
<file path=[Content_Types].xml><?xml version="1.0" encoding="utf-8"?>
<Types xmlns="http://schemas.openxmlformats.org/package/2006/content-types">
  <Default ContentType="image/jpeg" Extension="jpg"/>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haracter" sheetId="1" r:id="rId4"/>
    <sheet state="visible" name="Leveler" sheetId="2" r:id="rId5"/>
    <sheet state="hidden" name="PossibleSpells" sheetId="3" r:id="rId6"/>
    <sheet state="visible" name="SpellBook" sheetId="4" r:id="rId7"/>
    <sheet state="visible" name="Backpack" sheetId="5" r:id="rId8"/>
    <sheet state="visible" name="PiggyBank" sheetId="6" r:id="rId9"/>
    <sheet state="visible" name="BackStory" sheetId="7" r:id="rId10"/>
    <sheet state="visible" name="LearnedSpellsNatPowers" sheetId="8" r:id="rId11"/>
    <sheet state="visible" name="Achievements" sheetId="9" r:id="rId12"/>
    <sheet state="visible" name="Quest_Tracker" sheetId="10" r:id="rId13"/>
    <sheet state="visible" name="Locations_Visited" sheetId="11" r:id="rId14"/>
    <sheet state="hidden" name="Config" sheetId="12" r:id="rId15"/>
    <sheet state="visible" name="MyGuildInfo" sheetId="13" r:id="rId16"/>
    <sheet state="visible" name="Quests" sheetId="14" r:id="rId17"/>
    <sheet state="visible" name="Factions" sheetId="15" r:id="rId18"/>
    <sheet state="visible" name="Curses" sheetId="16" r:id="rId19"/>
    <sheet state="visible" name="Diseases" sheetId="17" r:id="rId20"/>
    <sheet state="visible" name="Guilds" sheetId="18" r:id="rId21"/>
    <sheet state="hidden" name="GuildMembers" sheetId="19" r:id="rId22"/>
    <sheet state="hidden" name="Cursed" sheetId="20" r:id="rId23"/>
    <sheet state="hidden" name="Diseased" sheetId="21" r:id="rId24"/>
    <sheet state="hidden" name="CharLoaderList" sheetId="22" r:id="rId25"/>
    <sheet state="visible" name="Classes" sheetId="23" r:id="rId26"/>
    <sheet state="visible" name="EnhancedClasses" sheetId="24" r:id="rId27"/>
    <sheet state="visible" name="Races" sheetId="25" r:id="rId28"/>
    <sheet state="visible" name="EntityTypes" sheetId="26" r:id="rId29"/>
    <sheet state="visible" name="Spells" sheetId="27" r:id="rId30"/>
    <sheet state="hidden" name="ClassCombo" sheetId="28" r:id="rId31"/>
    <sheet state="hidden" name="Items" sheetId="29" r:id="rId32"/>
    <sheet state="hidden" name="Equipment" sheetId="30" r:id="rId33"/>
    <sheet state="hidden" name="Equipconvert" sheetId="31" r:id="rId34"/>
    <sheet state="visible" name="AstrologicalSigns" sheetId="32" r:id="rId35"/>
    <sheet state="hidden" name="ItemEquipCombine" sheetId="33" r:id="rId36"/>
    <sheet state="hidden" name="Alignment" sheetId="34" r:id="rId37"/>
    <sheet state="hidden" name="NotorietyCombined" sheetId="35" r:id="rId38"/>
    <sheet state="hidden" name="Towns" sheetId="36" r:id="rId39"/>
    <sheet state="hidden" name="StarterTowns" sheetId="37" r:id="rId40"/>
    <sheet state="hidden" name="MoneyRates" sheetId="38" r:id="rId41"/>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M11">
      <text>
        <t xml:space="preserve">Add up all the damage and put that here.
Example Your Helmet has x2 DMG and your Legs have x3 DMG you would put 5 in this box</t>
      </text>
    </comment>
    <comment authorId="0" ref="M12">
      <text>
        <t xml:space="preserve">This is for adding flat dmage increases. Example your Ring1 give +1500 DMG and your feet give you +200 DMG, you would put 1700 in this box.</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F5">
      <text>
        <t xml:space="preserve">Please do not use special characters or emoji's in your name</t>
      </text>
    </comment>
  </commentList>
</comments>
</file>

<file path=xl/sharedStrings.xml><?xml version="1.0" encoding="utf-8"?>
<sst xmlns="http://schemas.openxmlformats.org/spreadsheetml/2006/main" count="399" uniqueCount="278">
  <si>
    <t>HP-Taken</t>
  </si>
  <si>
    <t>SP-Spent</t>
  </si>
  <si>
    <t>Hunger-Spent</t>
  </si>
  <si>
    <t>Thirst-Spent</t>
  </si>
  <si>
    <t>Energy-Spent</t>
  </si>
  <si>
    <t>DMG Calculator</t>
  </si>
  <si>
    <t>DMG multiplier:</t>
  </si>
  <si>
    <t>Attack</t>
  </si>
  <si>
    <t>Defense</t>
  </si>
  <si>
    <t>Accuracy</t>
  </si>
  <si>
    <t>Charisma</t>
  </si>
  <si>
    <t>Flat DMG Add:</t>
  </si>
  <si>
    <t>Base DMG:</t>
  </si>
  <si>
    <t>Wisdom</t>
  </si>
  <si>
    <t>Constitution</t>
  </si>
  <si>
    <t>Evasion</t>
  </si>
  <si>
    <t>Intimidation</t>
  </si>
  <si>
    <t>Calc DMG:</t>
  </si>
  <si>
    <t>Curses:</t>
  </si>
  <si>
    <t>Tomes:</t>
  </si>
  <si>
    <t>Diseases:</t>
  </si>
  <si>
    <t>Damage Orb:</t>
  </si>
  <si>
    <t>Spell (Counters):</t>
  </si>
  <si>
    <t>Equipped Items</t>
  </si>
  <si>
    <t>Name</t>
  </si>
  <si>
    <t>Description</t>
  </si>
  <si>
    <t>Type</t>
  </si>
  <si>
    <t>Abilities</t>
  </si>
  <si>
    <t>👑 (1) Head:</t>
  </si>
  <si>
    <t>Head</t>
  </si>
  <si>
    <t>📿 (1) Neck:</t>
  </si>
  <si>
    <t>Neck</t>
  </si>
  <si>
    <t>📿 (2) Neck:</t>
  </si>
  <si>
    <t>📿 (3) Neck:</t>
  </si>
  <si>
    <t>🎒(1) Shoulders</t>
  </si>
  <si>
    <t>Shoulders</t>
  </si>
  <si>
    <t>🧥 (1) Torso:</t>
  </si>
  <si>
    <t>Archer’s Cloaked Vest</t>
  </si>
  <si>
    <t>Torso</t>
  </si>
  <si>
    <t>💪(1) Arms</t>
  </si>
  <si>
    <t>Arms</t>
  </si>
  <si>
    <t>🖐 (1) L. Hand:</t>
  </si>
  <si>
    <t>Hand</t>
  </si>
  <si>
    <t>🖐 (1) R. Hand:</t>
  </si>
  <si>
    <t>💍 (1) Fingers:</t>
  </si>
  <si>
    <t>Ring</t>
  </si>
  <si>
    <t>💍 (2) Fingers:</t>
  </si>
  <si>
    <t>💍 (3) Fingers:</t>
  </si>
  <si>
    <t>💍 (4) Fingers:</t>
  </si>
  <si>
    <t>💍 (5) Fingers:</t>
  </si>
  <si>
    <t>💍 (6) Fingers:</t>
  </si>
  <si>
    <t>💍 (7) Fingers:</t>
  </si>
  <si>
    <t>💍 (8) Fingers:</t>
  </si>
  <si>
    <t>💍 (9) Fingers:</t>
  </si>
  <si>
    <t>💍 (10) Fingers:</t>
  </si>
  <si>
    <t>👖 (1) Legs:</t>
  </si>
  <si>
    <t>Legs</t>
  </si>
  <si>
    <t>🥾 (1) Feet:</t>
  </si>
  <si>
    <t>Archers Boots</t>
  </si>
  <si>
    <t>Feet</t>
  </si>
  <si>
    <t>⚒ SUB CLASSES</t>
  </si>
  <si>
    <t>Blacksmith</t>
  </si>
  <si>
    <t>Breeder</t>
  </si>
  <si>
    <t>Level:</t>
  </si>
  <si>
    <t>Enchanter</t>
  </si>
  <si>
    <t>Crafter</t>
  </si>
  <si>
    <t>Alchemist</t>
  </si>
  <si>
    <t>Farmer</t>
  </si>
  <si>
    <t>Chef</t>
  </si>
  <si>
    <t>Miner</t>
  </si>
  <si>
    <t>Spira Guard</t>
  </si>
  <si>
    <t>Fisherman</t>
  </si>
  <si>
    <t>Rank:</t>
  </si>
  <si>
    <t>Tier:</t>
  </si>
  <si>
    <t>Achievements</t>
  </si>
  <si>
    <t>Title Equip</t>
  </si>
  <si>
    <t>Notoriety Gained</t>
  </si>
  <si>
    <t>Bounty</t>
  </si>
  <si>
    <t>📜Quest Name</t>
  </si>
  <si>
    <t>Completed?</t>
  </si>
  <si>
    <t>Location</t>
  </si>
  <si>
    <t>Base Rolled Stats</t>
  </si>
  <si>
    <t>Racial Bonus</t>
  </si>
  <si>
    <t>Class Bonus</t>
  </si>
  <si>
    <t>Human Check</t>
  </si>
  <si>
    <t>Half Race</t>
  </si>
  <si>
    <t>Race:</t>
  </si>
  <si>
    <t>Halfling</t>
  </si>
  <si>
    <t>Half Class</t>
  </si>
  <si>
    <t>Class:</t>
  </si>
  <si>
    <t>Mage</t>
  </si>
  <si>
    <t>Half Race:</t>
  </si>
  <si>
    <t>Half Class:</t>
  </si>
  <si>
    <t>Archer</t>
  </si>
  <si>
    <t>Fire</t>
  </si>
  <si>
    <t>Enhanced Class:</t>
  </si>
  <si>
    <t>Grand Mage</t>
  </si>
  <si>
    <t>Water</t>
  </si>
  <si>
    <t>Starting Town:</t>
  </si>
  <si>
    <t>Spell Slots Number:</t>
  </si>
  <si>
    <t>Enhanced Half Class:</t>
  </si>
  <si>
    <t>Skilled Archer</t>
  </si>
  <si>
    <t>Storm</t>
  </si>
  <si>
    <t>HP</t>
  </si>
  <si>
    <t>Character Name:</t>
  </si>
  <si>
    <t>Archer of Swiftness (Change Name)</t>
  </si>
  <si>
    <t>Select Element1:</t>
  </si>
  <si>
    <t>Earth</t>
  </si>
  <si>
    <t>SP</t>
  </si>
  <si>
    <t>Sex:</t>
  </si>
  <si>
    <t>Astrological Sign:</t>
  </si>
  <si>
    <t>Taurus</t>
  </si>
  <si>
    <t>Select Element2:</t>
  </si>
  <si>
    <t>Light</t>
  </si>
  <si>
    <t>Hunger</t>
  </si>
  <si>
    <t>Age:</t>
  </si>
  <si>
    <t>Ability:</t>
  </si>
  <si>
    <t>Select Element3:</t>
  </si>
  <si>
    <t>Dark</t>
  </si>
  <si>
    <t>Thirst</t>
  </si>
  <si>
    <t>Height:</t>
  </si>
  <si>
    <t>Spirit</t>
  </si>
  <si>
    <t>Energy</t>
  </si>
  <si>
    <t>Weight:</t>
  </si>
  <si>
    <t>Time Spell Rank:</t>
  </si>
  <si>
    <t>Order</t>
  </si>
  <si>
    <t>Alignment:</t>
  </si>
  <si>
    <t>Chaos</t>
  </si>
  <si>
    <t>Nature</t>
  </si>
  <si>
    <t>Level</t>
  </si>
  <si>
    <t>Perk Points Total</t>
  </si>
  <si>
    <t>Resistances:</t>
  </si>
  <si>
    <t>DB ID:</t>
  </si>
  <si>
    <t>Physical</t>
  </si>
  <si>
    <t>Vulnerabilities:</t>
  </si>
  <si>
    <t>Melee</t>
  </si>
  <si>
    <t>Other Bonuses:</t>
  </si>
  <si>
    <t>Loyalty Score:</t>
  </si>
  <si>
    <t>Beta_V2-1</t>
  </si>
  <si>
    <t>Ranged</t>
  </si>
  <si>
    <t>Creature Type Override:</t>
  </si>
  <si>
    <t>Stasis</t>
  </si>
  <si>
    <t>Twilight</t>
  </si>
  <si>
    <t>Mobility</t>
  </si>
  <si>
    <t>Voodoo</t>
  </si>
  <si>
    <t>Blood</t>
  </si>
  <si>
    <t>Bonus:</t>
  </si>
  <si>
    <t>Delta</t>
  </si>
  <si>
    <t>Total:</t>
  </si>
  <si>
    <t>Zen</t>
  </si>
  <si>
    <t>Time</t>
  </si>
  <si>
    <t>Faction:</t>
  </si>
  <si>
    <t>The Storm Shamans</t>
  </si>
  <si>
    <t>Astral</t>
  </si>
  <si>
    <t>Abilities:</t>
  </si>
  <si>
    <t>Celestial</t>
  </si>
  <si>
    <t>Acoustic</t>
  </si>
  <si>
    <t>Equipment Def Add</t>
  </si>
  <si>
    <t>Equipment Atk Add</t>
  </si>
  <si>
    <t>Equipment Acc Add</t>
  </si>
  <si>
    <t>Equipment HP Add</t>
  </si>
  <si>
    <t>Equipment SP Add</t>
  </si>
  <si>
    <t>Equipment Hung Add</t>
  </si>
  <si>
    <t>Equipment Thirst Add</t>
  </si>
  <si>
    <t>Equipment Energy Add</t>
  </si>
  <si>
    <t>Neck 1</t>
  </si>
  <si>
    <t>Neck 2</t>
  </si>
  <si>
    <t>Neck 3</t>
  </si>
  <si>
    <t>L Hand</t>
  </si>
  <si>
    <t>R Hand</t>
  </si>
  <si>
    <t>Fingers 1</t>
  </si>
  <si>
    <t>Fingers 2</t>
  </si>
  <si>
    <t>Fingers 3</t>
  </si>
  <si>
    <t>Fingers 4</t>
  </si>
  <si>
    <t>Fingers 5</t>
  </si>
  <si>
    <t>Fingers 6</t>
  </si>
  <si>
    <t>Fingers 7</t>
  </si>
  <si>
    <t>Fingers 8</t>
  </si>
  <si>
    <t>Fingers 9</t>
  </si>
  <si>
    <t>Fingers 10</t>
  </si>
  <si>
    <t>Tomes</t>
  </si>
  <si>
    <t>Element</t>
  </si>
  <si>
    <t>Enabled</t>
  </si>
  <si>
    <t>Rank</t>
  </si>
  <si>
    <t>Fire:</t>
  </si>
  <si>
    <t>Water:</t>
  </si>
  <si>
    <t>Storm:</t>
  </si>
  <si>
    <t>Earth:</t>
  </si>
  <si>
    <t>Light:</t>
  </si>
  <si>
    <t>Dark:</t>
  </si>
  <si>
    <t>Spirit:</t>
  </si>
  <si>
    <t>Order:</t>
  </si>
  <si>
    <t>Chaos:</t>
  </si>
  <si>
    <t>Nature:</t>
  </si>
  <si>
    <t>Physical:</t>
  </si>
  <si>
    <t>Melee:</t>
  </si>
  <si>
    <t>Ranged:</t>
  </si>
  <si>
    <t>Stasis:</t>
  </si>
  <si>
    <t>Twilight:</t>
  </si>
  <si>
    <t>Voodoo:</t>
  </si>
  <si>
    <t>Blood:</t>
  </si>
  <si>
    <t>Delta:</t>
  </si>
  <si>
    <t>Zen:</t>
  </si>
  <si>
    <t>Time:</t>
  </si>
  <si>
    <t>Astral:</t>
  </si>
  <si>
    <t>Celestial:</t>
  </si>
  <si>
    <t>Acoustic:</t>
  </si>
  <si>
    <t>Elements</t>
  </si>
  <si>
    <t>Class</t>
  </si>
  <si>
    <t>EnhancedClass</t>
  </si>
  <si>
    <t>Race</t>
  </si>
  <si>
    <t>OtherAdds</t>
  </si>
  <si>
    <t>MaxRankLevel</t>
  </si>
  <si>
    <t>Spell Select</t>
  </si>
  <si>
    <t>SP Cost</t>
  </si>
  <si>
    <t>HP Cost</t>
  </si>
  <si>
    <t>Effect</t>
  </si>
  <si>
    <t>Target Amount</t>
  </si>
  <si>
    <t>Selected Spells</t>
  </si>
  <si>
    <t>Multishot</t>
  </si>
  <si>
    <t>Berserk</t>
  </si>
  <si>
    <t>[Element] Shot</t>
  </si>
  <si>
    <t>Bullseye</t>
  </si>
  <si>
    <t>Elemental Storm</t>
  </si>
  <si>
    <t>Thunderstorm</t>
  </si>
  <si>
    <t>Slot</t>
  </si>
  <si>
    <t>Level Requirement</t>
  </si>
  <si>
    <t>Estimated Price</t>
  </si>
  <si>
    <t>Item/Equipment Finder:</t>
  </si>
  <si>
    <t>Blue Steel Sword</t>
  </si>
  <si>
    <t>Max Storage Size</t>
  </si>
  <si>
    <t>Amount</t>
  </si>
  <si>
    <t>Forge Amount</t>
  </si>
  <si>
    <t>Max Mana Potion</t>
  </si>
  <si>
    <t>Restores 100SP</t>
  </si>
  <si>
    <t>Item</t>
  </si>
  <si>
    <t>Melomel (Mead w/ fruit added)</t>
  </si>
  <si>
    <t>Restores 50 Thirst and hunger +25 energy</t>
  </si>
  <si>
    <t>Sword</t>
  </si>
  <si>
    <t>DMG: +1000, Water DMG: +1000</t>
  </si>
  <si>
    <t>DEF: +800 (Ranger Set) +Half the Arrow - Range Spells cost half the sp cost, +Ranger Enrage - All Ranged Spells do double in damage +only archers can equip</t>
  </si>
  <si>
    <t xml:space="preserve"> (Ranger Set) +5 evasion +Only archers can equip, +Cannot be duplicated or forged.</t>
  </si>
  <si>
    <t>Grand Master Bow</t>
  </si>
  <si>
    <t>Bow</t>
  </si>
  <si>
    <t xml:space="preserve">DMG: +1000 +X4 additional damage towards ranged attacks. +Only Archers can equip. +Cannot be duplicated. </t>
  </si>
  <si>
    <t>Trading Value</t>
  </si>
  <si>
    <t>Gilder</t>
  </si>
  <si>
    <t>To</t>
  </si>
  <si>
    <t>Equals</t>
  </si>
  <si>
    <t>Your Currency</t>
  </si>
  <si>
    <t>Gilders (G)</t>
  </si>
  <si>
    <t>SeaCoin (SC)</t>
  </si>
  <si>
    <t>Crystals (C)</t>
  </si>
  <si>
    <t>Frost Coins (FC)</t>
  </si>
  <si>
    <t>Undead Coins (UC)</t>
  </si>
  <si>
    <t>Halloween Coins (HC)</t>
  </si>
  <si>
    <t>Backstory</t>
  </si>
  <si>
    <t>Put in Custom learned spells/powers below to show up in spellbook</t>
  </si>
  <si>
    <t>Progress</t>
  </si>
  <si>
    <t>Completed</t>
  </si>
  <si>
    <t>Quest name</t>
  </si>
  <si>
    <t>Quest description</t>
  </si>
  <si>
    <t>Quest Type</t>
  </si>
  <si>
    <t>Value</t>
  </si>
  <si>
    <t>Active</t>
  </si>
  <si>
    <t>Failed</t>
  </si>
  <si>
    <t>Town</t>
  </si>
  <si>
    <t>World</t>
  </si>
  <si>
    <t>MobFinder:</t>
  </si>
  <si>
    <t>1HXoAI5UG3zq1UHqU5n7fPdbQk93qOha2VQb1r7iRi1o</t>
  </si>
  <si>
    <t>MainDirectory:</t>
  </si>
  <si>
    <t>1g_AeDkwsPncYqeTMHcCDZCjj6wqB0sW_-miBSQqz6gk</t>
  </si>
  <si>
    <t>CharDB:</t>
  </si>
  <si>
    <t>1mNoojYCRU_5eQ4skcH3ywN5n3JMKPeua1AFji0FLWdI</t>
  </si>
  <si>
    <t>CharLink:</t>
  </si>
  <si>
    <t>1QgDXPf_fVPQK32N3-ewUmWSk-z6KUKh-D92vz-WAs3A</t>
  </si>
  <si>
    <t>Guild</t>
  </si>
  <si>
    <t>Guild Quests Completed</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</si>
</sst>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
    <numFmt numFmtId="165" formatCode="m/d/yyyy"/>
  </numFmts>
  <fonts count="20">
    <font>
      <sz val="10.0"/>
      <color rgb="FF000000"/>
      <name val="Arial"/>
      <scheme val="minor"/>
    </font>
    <font>
      <sz val="11.0"/>
      <color theme="1"/>
      <name val="Arial"/>
    </font>
    <font/>
    <font>
      <i/>
      <sz val="8.0"/>
      <color theme="1"/>
      <name val="Arial"/>
    </font>
    <font>
      <color theme="1"/>
      <name val="Arial"/>
      <scheme val="minor"/>
    </font>
    <font>
      <b/>
      <color theme="1"/>
      <name val="Arial"/>
      <scheme val="minor"/>
    </font>
    <font>
      <b/>
      <sz val="11.0"/>
      <color theme="1"/>
      <name val="Arial"/>
    </font>
    <font>
      <b/>
      <sz val="18.0"/>
      <color theme="1"/>
      <name val="Arial"/>
    </font>
    <font>
      <color theme="1"/>
      <name val="Arial"/>
    </font>
    <font>
      <b/>
      <color theme="1"/>
      <name val="Arial"/>
    </font>
    <font>
      <b/>
      <sz val="11.0"/>
      <color rgb="FF0B0080"/>
      <name val="Arial"/>
    </font>
    <font>
      <b/>
      <sz val="11.0"/>
      <color rgb="FF000000"/>
      <name val="Arial"/>
    </font>
    <font>
      <sz val="10.0"/>
      <color rgb="FF000000"/>
      <name val="Arial"/>
    </font>
    <font>
      <b/>
      <u/>
      <sz val="11.0"/>
      <color rgb="FF4A86E8"/>
      <name val="Arial"/>
    </font>
    <font>
      <sz val="11.0"/>
      <color rgb="FF000000"/>
      <name val="Arial"/>
    </font>
    <font>
      <b/>
      <color rgb="FF000000"/>
      <name val="Arial"/>
    </font>
    <font>
      <b/>
      <sz val="9.0"/>
      <color theme="1"/>
      <name val="Arial"/>
      <scheme val="minor"/>
    </font>
    <font>
      <b/>
      <sz val="24.0"/>
      <color theme="1"/>
      <name val="Arial"/>
      <scheme val="minor"/>
    </font>
    <font>
      <b/>
      <sz val="17.0"/>
      <color theme="1"/>
      <name val="Arial"/>
      <scheme val="minor"/>
    </font>
    <font>
      <sz val="9.0"/>
      <color rgb="FF000000"/>
      <name val="&quot;Google Sans Mono&quot;"/>
    </font>
  </fonts>
  <fills count="4">
    <fill>
      <patternFill patternType="none"/>
    </fill>
    <fill>
      <patternFill patternType="lightGray"/>
    </fill>
    <fill>
      <patternFill patternType="solid">
        <fgColor rgb="FFFFFFFF"/>
        <bgColor rgb="FFFFFFFF"/>
      </patternFill>
    </fill>
    <fill>
      <patternFill patternType="solid">
        <fgColor rgb="FFD9EAD3"/>
        <bgColor rgb="FFD9EAD3"/>
      </patternFill>
    </fill>
  </fills>
  <borders count="15">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top style="thin">
        <color rgb="FF000000"/>
      </top>
    </border>
    <border>
      <right style="thin">
        <color rgb="FF000000"/>
      </right>
      <top style="thin">
        <color rgb="FF000000"/>
      </top>
    </border>
    <border>
      <top style="thin">
        <color rgb="FF000000"/>
      </top>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thin">
        <color rgb="FF000000"/>
      </top>
      <bottom style="thin">
        <color rgb="FF000000"/>
      </bottom>
    </border>
    <border>
      <left style="thin">
        <color rgb="FF000000"/>
      </left>
    </border>
    <border>
      <right style="thin">
        <color rgb="FF000000"/>
      </right>
    </border>
    <border>
      <top style="thin">
        <color rgb="FF000000"/>
      </top>
    </border>
    <border>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s>
  <cellStyleXfs count="1">
    <xf borderId="0" fillId="0" fontId="0" numFmtId="0" applyAlignment="1" applyFont="1"/>
  </cellStyleXfs>
  <cellXfs count="123">
    <xf borderId="0" fillId="0" fontId="0" numFmtId="0" xfId="0" applyAlignment="1" applyFont="1">
      <alignment readingOrder="0" shrinkToFit="0" vertical="bottom" wrapText="0"/>
    </xf>
    <xf borderId="1" fillId="0" fontId="1" numFmtId="0" xfId="0" applyAlignment="1" applyBorder="1" applyFont="1">
      <alignment readingOrder="0" shrinkToFit="0" vertical="top" wrapText="1"/>
    </xf>
    <xf borderId="2" fillId="0" fontId="2" numFmtId="0" xfId="0" applyBorder="1" applyFont="1"/>
    <xf borderId="3" fillId="0" fontId="1" numFmtId="0" xfId="0" applyAlignment="1" applyBorder="1" applyFont="1">
      <alignment shrinkToFit="0" vertical="top" wrapText="1"/>
    </xf>
    <xf borderId="4" fillId="0" fontId="2" numFmtId="0" xfId="0" applyBorder="1" applyFont="1"/>
    <xf borderId="1" fillId="0" fontId="3" numFmtId="0" xfId="0" applyAlignment="1" applyBorder="1" applyFont="1">
      <alignment horizontal="center" readingOrder="0" shrinkToFit="0" vertical="center" wrapText="1"/>
    </xf>
    <xf borderId="5" fillId="0" fontId="2" numFmtId="0" xfId="0" applyBorder="1" applyFont="1"/>
    <xf borderId="6" fillId="0" fontId="2" numFmtId="0" xfId="0" applyBorder="1" applyFont="1"/>
    <xf borderId="7" fillId="0" fontId="2" numFmtId="0" xfId="0" applyBorder="1" applyFont="1"/>
    <xf borderId="1" fillId="0" fontId="1" numFmtId="0" xfId="0" applyAlignment="1" applyBorder="1" applyFont="1">
      <alignment readingOrder="0" shrinkToFit="0" vertical="bottom" wrapText="1"/>
    </xf>
    <xf borderId="1" fillId="2" fontId="1" numFmtId="0" xfId="0" applyAlignment="1" applyBorder="1" applyFill="1" applyFont="1">
      <alignment readingOrder="0" shrinkToFit="0" vertical="bottom" wrapText="1"/>
    </xf>
    <xf borderId="8" fillId="0" fontId="1" numFmtId="0" xfId="0" applyAlignment="1" applyBorder="1" applyFont="1">
      <alignment shrinkToFit="0" vertical="bottom" wrapText="1"/>
    </xf>
    <xf borderId="5" fillId="0" fontId="1" numFmtId="0" xfId="0" applyAlignment="1" applyBorder="1" applyFont="1">
      <alignment shrinkToFit="0" vertical="bottom" wrapText="1"/>
    </xf>
    <xf borderId="1" fillId="0" fontId="1" numFmtId="0" xfId="0" applyAlignment="1" applyBorder="1" applyFont="1">
      <alignment shrinkToFit="0" vertical="bottom" wrapText="1"/>
    </xf>
    <xf borderId="0" fillId="0" fontId="4" numFmtId="0" xfId="0" applyAlignment="1" applyFont="1">
      <alignment readingOrder="0"/>
    </xf>
    <xf borderId="1" fillId="0" fontId="5" numFmtId="0" xfId="0" applyAlignment="1" applyBorder="1" applyFont="1">
      <alignment horizontal="center" readingOrder="0"/>
    </xf>
    <xf borderId="0" fillId="0" fontId="4" numFmtId="0" xfId="0" applyFont="1"/>
    <xf borderId="3" fillId="0" fontId="4" numFmtId="0" xfId="0" applyAlignment="1" applyBorder="1" applyFont="1">
      <alignment readingOrder="0"/>
    </xf>
    <xf borderId="4" fillId="0" fontId="4" numFmtId="0" xfId="0" applyAlignment="1" applyBorder="1" applyFont="1">
      <alignment readingOrder="0"/>
    </xf>
    <xf borderId="8" fillId="2" fontId="1" numFmtId="0" xfId="0" applyAlignment="1" applyBorder="1" applyFont="1">
      <alignment shrinkToFit="0" vertical="bottom" wrapText="1"/>
    </xf>
    <xf borderId="9" fillId="0" fontId="4" numFmtId="0" xfId="0" applyAlignment="1" applyBorder="1" applyFont="1">
      <alignment readingOrder="0"/>
    </xf>
    <xf borderId="10" fillId="0" fontId="4" numFmtId="0" xfId="0" applyBorder="1" applyFont="1"/>
    <xf borderId="6" fillId="0" fontId="4" numFmtId="0" xfId="0" applyAlignment="1" applyBorder="1" applyFont="1">
      <alignment readingOrder="0"/>
    </xf>
    <xf borderId="7" fillId="0" fontId="4" numFmtId="0" xfId="0" applyAlignment="1" applyBorder="1" applyFont="1">
      <alignment readingOrder="0"/>
    </xf>
    <xf borderId="1" fillId="0" fontId="6" numFmtId="0" xfId="0" applyAlignment="1" applyBorder="1" applyFont="1">
      <alignment shrinkToFit="0" vertical="bottom" wrapText="1"/>
    </xf>
    <xf borderId="1" fillId="0" fontId="4" numFmtId="0" xfId="0" applyAlignment="1" applyBorder="1" applyFont="1">
      <alignment readingOrder="0"/>
    </xf>
    <xf borderId="2" fillId="0" fontId="4" numFmtId="3" xfId="0" applyBorder="1" applyFont="1" applyNumberFormat="1"/>
    <xf borderId="3" fillId="0" fontId="6" numFmtId="0" xfId="0" applyAlignment="1" applyBorder="1" applyFont="1">
      <alignment readingOrder="0" shrinkToFit="0" vertical="bottom" wrapText="1"/>
    </xf>
    <xf borderId="4" fillId="0" fontId="6" numFmtId="0" xfId="0" applyAlignment="1" applyBorder="1" applyFont="1">
      <alignment shrinkToFit="0" vertical="bottom" wrapText="1"/>
    </xf>
    <xf borderId="1" fillId="0" fontId="6" numFmtId="0" xfId="0" applyAlignment="1" applyBorder="1" applyFont="1">
      <alignment readingOrder="0" shrinkToFit="0" vertical="bottom" wrapText="1"/>
    </xf>
    <xf borderId="2" fillId="0" fontId="4" numFmtId="0" xfId="0" applyBorder="1" applyFont="1"/>
    <xf borderId="8" fillId="0" fontId="1" numFmtId="0" xfId="0" applyAlignment="1" applyBorder="1" applyFont="1">
      <alignment horizontal="center" readingOrder="0" shrinkToFit="0" vertical="center" wrapText="1"/>
    </xf>
    <xf borderId="8" fillId="0" fontId="1" numFmtId="0" xfId="0" applyAlignment="1" applyBorder="1" applyFont="1">
      <alignment horizontal="center" shrinkToFit="0" vertical="center" wrapText="1"/>
    </xf>
    <xf borderId="10" fillId="0" fontId="1" numFmtId="0" xfId="0" applyAlignment="1" applyBorder="1" applyFont="1">
      <alignment horizontal="left" shrinkToFit="0" vertical="top" wrapText="1"/>
    </xf>
    <xf borderId="8" fillId="0" fontId="4" numFmtId="0" xfId="0" applyBorder="1" applyFont="1"/>
    <xf borderId="10" fillId="0" fontId="2" numFmtId="0" xfId="0" applyBorder="1" applyFont="1"/>
    <xf borderId="1" fillId="0" fontId="7" numFmtId="0" xfId="0" applyAlignment="1" applyBorder="1" applyFont="1">
      <alignment horizontal="center" readingOrder="0" vertical="bottom"/>
    </xf>
    <xf borderId="0" fillId="0" fontId="8" numFmtId="0" xfId="0" applyAlignment="1" applyFont="1">
      <alignment vertical="bottom"/>
    </xf>
    <xf borderId="0" fillId="0" fontId="5" numFmtId="0" xfId="0" applyAlignment="1" applyFont="1">
      <alignment horizontal="center" readingOrder="0"/>
    </xf>
    <xf borderId="0" fillId="0" fontId="9" numFmtId="0" xfId="0" applyAlignment="1" applyFont="1">
      <alignment horizontal="center" readingOrder="0" vertical="bottom"/>
    </xf>
    <xf borderId="8" fillId="0" fontId="1" numFmtId="0" xfId="0" applyAlignment="1" applyBorder="1" applyFont="1">
      <alignment readingOrder="0" shrinkToFit="0" vertical="bottom" wrapText="1"/>
    </xf>
    <xf borderId="8" fillId="0" fontId="8" numFmtId="0" xfId="0" applyAlignment="1" applyBorder="1" applyFont="1">
      <alignment readingOrder="0" vertical="bottom"/>
    </xf>
    <xf borderId="0" fillId="0" fontId="4" numFmtId="0" xfId="0" applyAlignment="1" applyFont="1">
      <alignment shrinkToFit="0" wrapText="1"/>
    </xf>
    <xf borderId="8" fillId="0" fontId="4" numFmtId="0" xfId="0" applyAlignment="1" applyBorder="1" applyFont="1">
      <alignment readingOrder="0"/>
    </xf>
    <xf borderId="8" fillId="0" fontId="8" numFmtId="0" xfId="0" applyAlignment="1" applyBorder="1" applyFont="1">
      <alignment vertical="bottom"/>
    </xf>
    <xf borderId="0" fillId="0" fontId="10" numFmtId="0" xfId="0" applyAlignment="1" applyFont="1">
      <alignment readingOrder="0"/>
    </xf>
    <xf borderId="0" fillId="0" fontId="11" numFmtId="0" xfId="0" applyAlignment="1" applyFont="1">
      <alignment horizontal="right" readingOrder="0"/>
    </xf>
    <xf borderId="0" fillId="0" fontId="4" numFmtId="0" xfId="0" applyAlignment="1" applyFont="1">
      <alignment horizontal="right" readingOrder="0"/>
    </xf>
    <xf borderId="0" fillId="0" fontId="12" numFmtId="0" xfId="0" applyAlignment="1" applyFont="1">
      <alignment horizontal="right" readingOrder="0"/>
    </xf>
    <xf borderId="0" fillId="0" fontId="13" numFmtId="0" xfId="0" applyAlignment="1" applyFont="1">
      <alignment horizontal="right" readingOrder="0"/>
    </xf>
    <xf borderId="0" fillId="0" fontId="14" numFmtId="0" xfId="0" applyAlignment="1" applyFont="1">
      <alignment horizontal="left"/>
    </xf>
    <xf borderId="0" fillId="0" fontId="11" numFmtId="0" xfId="0" applyAlignment="1" applyFont="1">
      <alignment horizontal="left" readingOrder="0"/>
    </xf>
    <xf borderId="8" fillId="0" fontId="14" numFmtId="0" xfId="0" applyAlignment="1" applyBorder="1" applyFont="1">
      <alignment horizontal="left" shrinkToFit="0" wrapText="1"/>
    </xf>
    <xf borderId="8" fillId="0" fontId="4" numFmtId="0" xfId="0" applyAlignment="1" applyBorder="1" applyFont="1">
      <alignment horizontal="center" shrinkToFit="0" vertical="center" wrapText="1"/>
    </xf>
    <xf borderId="8" fillId="0" fontId="4" numFmtId="164" xfId="0" applyAlignment="1" applyBorder="1" applyFont="1" applyNumberFormat="1">
      <alignment shrinkToFit="0" wrapText="1"/>
    </xf>
    <xf borderId="8" fillId="0" fontId="4" numFmtId="164" xfId="0" applyAlignment="1" applyBorder="1" applyFont="1" applyNumberFormat="1">
      <alignment horizontal="center" shrinkToFit="0" vertical="center" wrapText="1"/>
    </xf>
    <xf borderId="1" fillId="0" fontId="4" numFmtId="0" xfId="0" applyAlignment="1" applyBorder="1" applyFont="1">
      <alignment readingOrder="0" shrinkToFit="0" wrapText="1"/>
    </xf>
    <xf borderId="8" fillId="0" fontId="4" numFmtId="0" xfId="0" applyAlignment="1" applyBorder="1" applyFont="1">
      <alignment shrinkToFit="0" wrapText="0"/>
    </xf>
    <xf borderId="8" fillId="0" fontId="4" numFmtId="0" xfId="0" applyAlignment="1" applyBorder="1" applyFont="1">
      <alignment horizontal="center"/>
    </xf>
    <xf borderId="8" fillId="0" fontId="4" numFmtId="0" xfId="0" applyAlignment="1" applyBorder="1" applyFont="1">
      <alignment horizontal="center" shrinkToFit="0" wrapText="1"/>
    </xf>
    <xf borderId="0" fillId="0" fontId="4" numFmtId="0" xfId="0" applyAlignment="1" applyFont="1">
      <alignment readingOrder="0"/>
    </xf>
    <xf borderId="8" fillId="0" fontId="4" numFmtId="0" xfId="0" applyAlignment="1" applyBorder="1" applyFont="1">
      <alignment shrinkToFit="0" wrapText="1"/>
    </xf>
    <xf borderId="0" fillId="0" fontId="5" numFmtId="0" xfId="0" applyAlignment="1" applyFont="1">
      <alignment readingOrder="0"/>
    </xf>
    <xf borderId="0" fillId="0" fontId="8" numFmtId="0" xfId="0" applyAlignment="1" applyFont="1">
      <alignment horizontal="right" readingOrder="0" vertical="bottom"/>
    </xf>
    <xf borderId="0" fillId="0" fontId="8" numFmtId="0" xfId="0" applyAlignment="1" applyFont="1">
      <alignment horizontal="right" vertical="bottom"/>
    </xf>
    <xf borderId="0" fillId="0" fontId="8" numFmtId="0" xfId="0" applyAlignment="1" applyFont="1">
      <alignment readingOrder="0" vertical="bottom"/>
    </xf>
    <xf borderId="0" fillId="0" fontId="8" numFmtId="49" xfId="0" applyAlignment="1" applyFont="1" applyNumberFormat="1">
      <alignment vertical="bottom"/>
    </xf>
    <xf borderId="0" fillId="0" fontId="8" numFmtId="0" xfId="0" applyAlignment="1" applyFont="1">
      <alignment vertical="bottom"/>
    </xf>
    <xf borderId="0" fillId="0" fontId="4" numFmtId="0" xfId="0" applyAlignment="1" applyFont="1">
      <alignment horizontal="left" readingOrder="0"/>
    </xf>
    <xf borderId="0" fillId="2" fontId="15" numFmtId="0" xfId="0" applyAlignment="1" applyFont="1">
      <alignment horizontal="left" readingOrder="0"/>
    </xf>
    <xf borderId="3" fillId="0" fontId="5" numFmtId="0" xfId="0" applyAlignment="1" applyBorder="1" applyFont="1">
      <alignment readingOrder="0"/>
    </xf>
    <xf borderId="9" fillId="0" fontId="5" numFmtId="0" xfId="0" applyAlignment="1" applyBorder="1" applyFont="1">
      <alignment horizontal="right" readingOrder="0"/>
    </xf>
    <xf borderId="9" fillId="0" fontId="5" numFmtId="0" xfId="0" applyAlignment="1" applyBorder="1" applyFont="1">
      <alignment horizontal="center" readingOrder="0"/>
    </xf>
    <xf borderId="9" fillId="0" fontId="4" numFmtId="0" xfId="0" applyAlignment="1" applyBorder="1" applyFont="1">
      <alignment shrinkToFit="0" vertical="top" wrapText="1"/>
    </xf>
    <xf borderId="9" fillId="0" fontId="2" numFmtId="0" xfId="0" applyBorder="1" applyFont="1"/>
    <xf borderId="0" fillId="0" fontId="5" numFmtId="0" xfId="0" applyAlignment="1" applyFont="1">
      <alignment horizontal="right" readingOrder="0"/>
    </xf>
    <xf borderId="0" fillId="0" fontId="4" numFmtId="0" xfId="0" applyAlignment="1" applyFont="1">
      <alignment horizontal="center" readingOrder="0"/>
    </xf>
    <xf borderId="0" fillId="0" fontId="4" numFmtId="0" xfId="0" applyAlignment="1" applyFont="1">
      <alignment horizontal="center"/>
    </xf>
    <xf borderId="0" fillId="0" fontId="16" numFmtId="0" xfId="0" applyAlignment="1" applyFont="1">
      <alignment readingOrder="0"/>
    </xf>
    <xf borderId="0" fillId="3" fontId="5" numFmtId="0" xfId="0" applyAlignment="1" applyFill="1" applyFont="1">
      <alignment horizontal="center" readingOrder="0"/>
    </xf>
    <xf borderId="11" fillId="0" fontId="4" numFmtId="0" xfId="0" applyAlignment="1" applyBorder="1" applyFont="1">
      <alignment horizontal="center"/>
    </xf>
    <xf borderId="3" fillId="0" fontId="5" numFmtId="0" xfId="0" applyAlignment="1" applyBorder="1" applyFont="1">
      <alignment horizontal="right" readingOrder="0"/>
    </xf>
    <xf borderId="11" fillId="0" fontId="4" numFmtId="0" xfId="0" applyAlignment="1" applyBorder="1" applyFont="1">
      <alignment readingOrder="0"/>
    </xf>
    <xf borderId="11" fillId="0" fontId="4" numFmtId="0" xfId="0" applyBorder="1" applyFont="1"/>
    <xf borderId="4" fillId="0" fontId="4" numFmtId="0" xfId="0" applyBorder="1" applyFont="1"/>
    <xf borderId="9" fillId="0" fontId="4" numFmtId="0" xfId="0" applyBorder="1" applyFont="1"/>
    <xf borderId="6" fillId="0" fontId="4" numFmtId="0" xfId="0" applyBorder="1" applyFont="1"/>
    <xf borderId="12" fillId="0" fontId="4" numFmtId="0" xfId="0" applyAlignment="1" applyBorder="1" applyFont="1">
      <alignment shrinkToFit="0" wrapText="1"/>
    </xf>
    <xf borderId="12" fillId="0" fontId="2" numFmtId="0" xfId="0" applyBorder="1" applyFont="1"/>
    <xf borderId="12" fillId="0" fontId="5" numFmtId="0" xfId="0" applyAlignment="1" applyBorder="1" applyFont="1">
      <alignment horizontal="center"/>
    </xf>
    <xf borderId="12" fillId="0" fontId="5" numFmtId="0" xfId="0" applyAlignment="1" applyBorder="1" applyFont="1">
      <alignment horizontal="center"/>
    </xf>
    <xf borderId="0" fillId="0" fontId="5" numFmtId="0" xfId="0" applyAlignment="1" applyFont="1">
      <alignment horizontal="center"/>
    </xf>
    <xf borderId="8" fillId="0" fontId="5" numFmtId="0" xfId="0" applyAlignment="1" applyBorder="1" applyFont="1">
      <alignment horizontal="center" readingOrder="0"/>
    </xf>
    <xf borderId="13" fillId="0" fontId="4" numFmtId="0" xfId="0" applyAlignment="1" applyBorder="1" applyFont="1">
      <alignment readingOrder="0"/>
    </xf>
    <xf borderId="13" fillId="0" fontId="4" numFmtId="0" xfId="0" applyBorder="1" applyFont="1"/>
    <xf borderId="14" fillId="0" fontId="4" numFmtId="0" xfId="0" applyBorder="1" applyFont="1"/>
    <xf borderId="0" fillId="0" fontId="5" numFmtId="0" xfId="0" applyAlignment="1" applyFont="1">
      <alignment horizontal="center"/>
    </xf>
    <xf borderId="0" fillId="0" fontId="4" numFmtId="0" xfId="0" applyAlignment="1" applyFont="1">
      <alignment readingOrder="0"/>
    </xf>
    <xf borderId="0" fillId="0" fontId="4" numFmtId="164" xfId="0" applyFont="1" applyNumberFormat="1"/>
    <xf borderId="0" fillId="0" fontId="8" numFmtId="164" xfId="0" applyAlignment="1" applyFont="1" applyNumberFormat="1">
      <alignment vertical="bottom"/>
    </xf>
    <xf borderId="0" fillId="0" fontId="8" numFmtId="0" xfId="0" applyAlignment="1" applyFont="1">
      <alignment readingOrder="0" shrinkToFit="0" vertical="bottom" wrapText="0"/>
    </xf>
    <xf borderId="0" fillId="0" fontId="4" numFmtId="164" xfId="0" applyAlignment="1" applyFont="1" applyNumberFormat="1">
      <alignment readingOrder="0"/>
    </xf>
    <xf borderId="0" fillId="0" fontId="8" numFmtId="0" xfId="0" applyAlignment="1" applyFont="1">
      <alignment readingOrder="0" vertical="bottom"/>
    </xf>
    <xf borderId="0" fillId="0" fontId="8" numFmtId="0" xfId="0" applyAlignment="1" applyFont="1">
      <alignment horizontal="right" readingOrder="0" vertical="bottom"/>
    </xf>
    <xf borderId="0" fillId="0" fontId="8" numFmtId="164" xfId="0" applyAlignment="1" applyFont="1" applyNumberFormat="1">
      <alignment readingOrder="0" vertical="bottom"/>
    </xf>
    <xf borderId="0" fillId="0" fontId="8" numFmtId="164" xfId="0" applyAlignment="1" applyFont="1" applyNumberFormat="1">
      <alignment horizontal="right" readingOrder="0" vertical="bottom"/>
    </xf>
    <xf borderId="0" fillId="0" fontId="8" numFmtId="0" xfId="0" applyAlignment="1" applyFont="1">
      <alignment shrinkToFit="0" vertical="bottom" wrapText="0"/>
    </xf>
    <xf borderId="0" fillId="0" fontId="8" numFmtId="164" xfId="0" applyAlignment="1" applyFont="1" applyNumberFormat="1">
      <alignment horizontal="right" vertical="bottom"/>
    </xf>
    <xf borderId="0" fillId="0" fontId="4" numFmtId="164" xfId="0" applyFont="1" applyNumberFormat="1"/>
    <xf borderId="1" fillId="0" fontId="1" numFmtId="0" xfId="0" applyAlignment="1" applyBorder="1" applyFont="1">
      <alignment shrinkToFit="0" vertical="top" wrapText="1"/>
    </xf>
    <xf borderId="1" fillId="0" fontId="17" numFmtId="0" xfId="0" applyAlignment="1" applyBorder="1" applyFont="1">
      <alignment horizontal="center" readingOrder="0"/>
    </xf>
    <xf borderId="9" fillId="0" fontId="4" numFmtId="0" xfId="0" applyAlignment="1" applyBorder="1" applyFont="1">
      <alignment readingOrder="0" shrinkToFit="0" vertical="top" wrapText="1"/>
    </xf>
    <xf borderId="0" fillId="0" fontId="18" numFmtId="0" xfId="0" applyAlignment="1" applyFont="1">
      <alignment horizontal="center" readingOrder="0"/>
    </xf>
    <xf borderId="0" fillId="0" fontId="8" numFmtId="0" xfId="0" applyAlignment="1" applyFont="1">
      <alignment readingOrder="0"/>
    </xf>
    <xf borderId="0" fillId="0" fontId="8" numFmtId="0" xfId="0" applyFont="1"/>
    <xf borderId="0" fillId="0" fontId="4" numFmtId="0" xfId="0" applyAlignment="1" applyFont="1">
      <alignment horizontal="center" vertical="center"/>
    </xf>
    <xf borderId="0" fillId="0" fontId="4" numFmtId="0" xfId="0" applyAlignment="1" applyFont="1">
      <alignment horizontal="left" shrinkToFit="0" vertical="center" wrapText="1"/>
    </xf>
    <xf borderId="0" fillId="0" fontId="4" numFmtId="0" xfId="0" applyAlignment="1" applyFont="1">
      <alignment horizontal="center" shrinkToFit="0" vertical="center" wrapText="1"/>
    </xf>
    <xf borderId="0" fillId="0" fontId="4" numFmtId="165" xfId="0" applyFont="1" applyNumberFormat="1"/>
    <xf borderId="0" fillId="0" fontId="4" numFmtId="3" xfId="0" applyFont="1" applyNumberFormat="1"/>
    <xf borderId="0" fillId="0" fontId="4" numFmtId="1" xfId="0" applyFont="1" applyNumberFormat="1"/>
    <xf borderId="0" fillId="0" fontId="4" numFmtId="49" xfId="0" applyFont="1" applyNumberFormat="1"/>
    <xf borderId="0" fillId="2" fontId="19" numFmtId="0" xfId="0" applyFont="1"/>
  </cellXfs>
  <cellStyles count="1">
    <cellStyle xfId="0" name="Normal" builtinId="0"/>
  </cellStyles>
  <dxfs count="3">
    <dxf>
      <font/>
      <fill>
        <patternFill patternType="solid">
          <fgColor rgb="FFF4C7C3"/>
          <bgColor rgb="FFF4C7C3"/>
        </patternFill>
      </fill>
      <border/>
    </dxf>
    <dxf>
      <font/>
      <fill>
        <patternFill patternType="solid">
          <fgColor rgb="FFB7E1CD"/>
          <bgColor rgb="FFB7E1CD"/>
        </patternFill>
      </fill>
      <border/>
    </dxf>
    <dxf>
      <font/>
      <fill>
        <patternFill patternType="solid">
          <fgColor rgb="FFFCE8B2"/>
          <bgColor rgb="FFFCE8B2"/>
        </patternFill>
      </fill>
      <border/>
    </dxf>
  </dxfs>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20" Type="http://schemas.openxmlformats.org/officeDocument/2006/relationships/worksheet" Target="worksheets/sheet17.xml"/><Relationship Id="rId41" Type="http://schemas.openxmlformats.org/officeDocument/2006/relationships/worksheet" Target="worksheets/sheet38.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35" Type="http://schemas.openxmlformats.org/officeDocument/2006/relationships/worksheet" Target="worksheets/sheet32.xml"/><Relationship Id="rId12" Type="http://schemas.openxmlformats.org/officeDocument/2006/relationships/worksheet" Target="worksheets/sheet9.xml"/><Relationship Id="rId34" Type="http://schemas.openxmlformats.org/officeDocument/2006/relationships/worksheet" Target="worksheets/sheet31.xml"/><Relationship Id="rId15" Type="http://schemas.openxmlformats.org/officeDocument/2006/relationships/worksheet" Target="worksheets/sheet12.xml"/><Relationship Id="rId37" Type="http://schemas.openxmlformats.org/officeDocument/2006/relationships/worksheet" Target="worksheets/sheet34.xml"/><Relationship Id="rId14" Type="http://schemas.openxmlformats.org/officeDocument/2006/relationships/worksheet" Target="worksheets/sheet11.xml"/><Relationship Id="rId36" Type="http://schemas.openxmlformats.org/officeDocument/2006/relationships/worksheet" Target="worksheets/sheet33.xml"/><Relationship Id="rId17" Type="http://schemas.openxmlformats.org/officeDocument/2006/relationships/worksheet" Target="worksheets/sheet14.xml"/><Relationship Id="rId39" Type="http://schemas.openxmlformats.org/officeDocument/2006/relationships/worksheet" Target="worksheets/sheet36.xml"/><Relationship Id="rId16" Type="http://schemas.openxmlformats.org/officeDocument/2006/relationships/worksheet" Target="worksheets/sheet13.xml"/><Relationship Id="rId38" Type="http://schemas.openxmlformats.org/officeDocument/2006/relationships/worksheet" Target="worksheets/sheet35.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0</xdr:colOff>
      <xdr:row>5</xdr:row>
      <xdr:rowOff>0</xdr:rowOff>
    </xdr:from>
    <xdr:ext cx="1400175" cy="1743075"/>
    <xdr:pic>
      <xdr:nvPicPr>
        <xdr:cNvPr id="0" name="image1.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1371600</xdr:colOff>
      <xdr:row>11</xdr:row>
      <xdr:rowOff>161925</xdr:rowOff>
    </xdr:from>
    <xdr:ext cx="1362075" cy="219075"/>
    <xdr:sp>
      <xdr:nvSpPr>
        <xdr:cNvPr id="3" name="Shape 3"/>
        <xdr:cNvSpPr txBox="1"/>
      </xdr:nvSpPr>
      <xdr:spPr>
        <a:xfrm>
          <a:off x="140100" y="270200"/>
          <a:ext cx="2321700" cy="400200"/>
        </a:xfrm>
        <a:prstGeom prst="rect">
          <a:avLst/>
        </a:prstGeom>
        <a:solidFill>
          <a:srgbClr val="00FF00"/>
        </a:solidFill>
        <a:ln>
          <a:noFill/>
        </a:ln>
      </xdr:spPr>
      <xdr:txBody>
        <a:bodyPr anchorCtr="0" anchor="t" bIns="91425" lIns="91425" spcFirstLastPara="1" rIns="91425" wrap="square" tIns="91425">
          <a:spAutoFit/>
        </a:bodyPr>
        <a:lstStyle/>
        <a:p>
          <a:pPr indent="0" lvl="0" marL="0" rtl="0" algn="ctr">
            <a:spcBef>
              <a:spcPts val="0"/>
            </a:spcBef>
            <a:spcAft>
              <a:spcPts val="0"/>
            </a:spcAft>
            <a:buNone/>
          </a:pPr>
          <a:r>
            <a:rPr lang="en-US" sz="1400"/>
            <a:t>Load</a:t>
          </a:r>
          <a:endParaRPr sz="1400"/>
        </a:p>
      </xdr:txBody>
    </xdr:sp>
    <xdr:clientData fLocksWithSheet="0"/>
  </xdr:oneCellAnchor>
  <xdr:oneCellAnchor>
    <xdr:from>
      <xdr:col>7</xdr:col>
      <xdr:colOff>1371600</xdr:colOff>
      <xdr:row>12</xdr:row>
      <xdr:rowOff>180975</xdr:rowOff>
    </xdr:from>
    <xdr:ext cx="1362075" cy="219075"/>
    <xdr:sp>
      <xdr:nvSpPr>
        <xdr:cNvPr id="4" name="Shape 4"/>
        <xdr:cNvSpPr txBox="1"/>
      </xdr:nvSpPr>
      <xdr:spPr>
        <a:xfrm>
          <a:off x="520375" y="430300"/>
          <a:ext cx="2071500" cy="400200"/>
        </a:xfrm>
        <a:prstGeom prst="rect">
          <a:avLst/>
        </a:prstGeom>
        <a:solidFill>
          <a:srgbClr val="CC0000"/>
        </a:solidFill>
        <a:ln>
          <a:noFill/>
        </a:ln>
      </xdr:spPr>
      <xdr:txBody>
        <a:bodyPr anchorCtr="0" anchor="t" bIns="91425" lIns="91425" spcFirstLastPara="1" rIns="91425" wrap="square" tIns="91425">
          <a:spAutoFit/>
        </a:bodyPr>
        <a:lstStyle/>
        <a:p>
          <a:pPr indent="0" lvl="0" marL="0" rtl="0" algn="ctr">
            <a:spcBef>
              <a:spcPts val="0"/>
            </a:spcBef>
            <a:spcAft>
              <a:spcPts val="0"/>
            </a:spcAft>
            <a:buNone/>
          </a:pPr>
          <a:r>
            <a:rPr lang="en-US" sz="1400"/>
            <a:t>Save</a:t>
          </a:r>
          <a:endParaRPr sz="1400"/>
        </a:p>
      </xdr:txBody>
    </xdr:sp>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00"/>
    <outlinePr summaryBelow="0" summaryRight="0"/>
  </sheetPr>
  <sheetViews>
    <sheetView workbookViewId="0"/>
  </sheetViews>
  <sheetFormatPr customHeight="1" defaultColWidth="12.63" defaultRowHeight="15.75"/>
  <cols>
    <col customWidth="1" min="2" max="2" width="18.38"/>
    <col customWidth="1" min="3" max="4" width="18.0"/>
    <col customWidth="1" min="5" max="5" width="23.13"/>
  </cols>
  <sheetData>
    <row r="5" ht="18.75" customHeight="1">
      <c r="B5" s="1" t="str">
        <f>"👤 Name: "&amp;Leveler!F5</f>
        <v>👤 Name: Archer of Swiftness (Change Name)</v>
      </c>
      <c r="C5" s="2"/>
      <c r="D5" s="3" t="str">
        <f>IFERROR(__xludf.DUMMYFUNCTION("""📜 Titles:""&amp;CHAR(10)&amp;IFNA(QUERY($C$77:$D$135,""Select D where C = True""))"),"📜 Titles:
")</f>
        <v>📜 Titles:
</v>
      </c>
      <c r="E5" s="4"/>
    </row>
    <row r="6" ht="196.5" customHeight="1">
      <c r="B6" s="5"/>
      <c r="C6" s="6"/>
      <c r="D6" s="7"/>
      <c r="E6" s="8"/>
    </row>
    <row r="7">
      <c r="B7" s="9" t="str">
        <f>"♀️♂️ Sex:"&amp;Leveler!F6&amp;" 
🧓👵 Age:"&amp;Leveler!F7&amp;"
📈 Height:"&amp;Leveler!F8&amp;"
⚖️ Weight:"&amp;Leveler!F9</f>
        <v>♀️♂️ Sex: 
🧓👵 Age:
📈 Height:
⚖️ Weight:</v>
      </c>
      <c r="C7" s="2"/>
      <c r="D7" s="10" t="str">
        <f>IFERROR(__xludf.DUMMYFUNCTION("""🧧 Guild 1: ""&amp;MyGuildInfo!A2&amp;CHAR(10)&amp;""Rank: ""&amp;MyGuildInfo!B2&amp;CHAR(10)&amp;""Completed Quests: ""&amp;CHAR(10)&amp;""- ""&amp;REGEXREPLACE(MyGuildInfo!C2,""\n"",CHAR(10)&amp;""- "")&amp;CHAR(10)&amp;CHAR(10)&amp;
""🧧 Guild 2: ""&amp;MyGuildInfo!A3&amp;CHAR(10)&amp;""Rank: ""&amp;MyGuildInfo!B3&amp;CH"&amp;"AR(10)&amp;""Completed Quests: ""&amp;CHAR(10)&amp;""- ""&amp;REGEXREPLACE(MyGuildInfo!C3,""\n"",CHAR(10)&amp;""- "")&amp;CHAR(10)&amp;CHAR(10)&amp;
""🧧 Guild 3: ""&amp;MyGuildInfo!A4&amp;CHAR(10)&amp;""Rank: ""&amp;MyGuildInfo!B4&amp;CHAR(10)&amp;""Completed Quests: ""&amp;CHAR(10)&amp;""- ""&amp;REGEXREPLACE(MyGuildInf"&amp;"o!C4,""\n"",CHAR(10)&amp;""- "")"),"🧧 Guild 1: 
Rank: 
Completed Quests: 
- 
🧧 Guild 2: 
Rank: 
Completed Quests: 
- 
🧧 Guild 3: 
Rank: 
Completed Quests: 
- ")</f>
        <v>🧧 Guild 1: 
Rank: 
Completed Quests: 
- 
🧧 Guild 2: 
Rank: 
Completed Quests: 
- 
🧧 Guild 3: 
Rank: 
Completed Quests: 
- </v>
      </c>
      <c r="E7" s="2"/>
    </row>
    <row r="8">
      <c r="B8" s="11" t="str">
        <f>"⭐ Level: "&amp;Leveler!B13</f>
        <v>⭐ Level: 200</v>
      </c>
      <c r="C8" s="11" t="str">
        <f>"Total Perk Points: "&amp;Leveler!C13</f>
        <v>Total Perk Points: 100</v>
      </c>
      <c r="D8" s="12" t="str">
        <f>"Entity Type: "&amp;IF(ISBLANK(Leveler!$F$15),IF(Leveler!$F$2,VLOOKUP(Leveler!$H$2,Races!$A$2:$AX1019,MATCH("EntityType",Races!$A$1:$AX$1,0),FALSE),VLOOKUP(Leveler!$H$1,Races!$A$2:$AX1019,MATCH("EntityType",Races!$A$1:$AX$1,0),FALSE)),Leveler!$F$15)</f>
        <v>Entity Type: Humanoid</v>
      </c>
      <c r="E8" s="2"/>
    </row>
    <row r="9">
      <c r="B9" s="11" t="str">
        <f>"🤝 Loyalty Score: "&amp;Leveler!H14</f>
        <v>🤝 Loyalty Score: </v>
      </c>
      <c r="C9" s="13" t="str">
        <f>"🏰 Starter Town: "&amp;Leveler!F4</f>
        <v>🏰 Starter Town: </v>
      </c>
      <c r="D9" s="6"/>
      <c r="E9" s="2"/>
    </row>
    <row r="10">
      <c r="B10" s="13" t="str">
        <f>"🧞‍♂️ Race: "&amp;IF(Leveler!F2,Leveler!H1&amp;CHAR(10)&amp;"Half Race: "&amp;Leveler!H2,Leveler!H1)</f>
        <v>🧞‍♂️ Race: Halfling</v>
      </c>
      <c r="C10" s="2"/>
      <c r="D10" s="13" t="str">
        <f>"🏹 Class: "&amp;IF(Leveler!I2,Leveler!K1&amp;CHAR(10)&amp;"Half Class: "&amp;Leveler!K2,Leveler!K1)</f>
        <v>🏹 Class: Mage
Half Class: Archer</v>
      </c>
      <c r="E10" s="2"/>
      <c r="F10" s="14" t="s">
        <v>0</v>
      </c>
      <c r="G10" s="14" t="s">
        <v>1</v>
      </c>
      <c r="H10" s="14" t="s">
        <v>2</v>
      </c>
      <c r="I10" s="14" t="s">
        <v>3</v>
      </c>
      <c r="J10" s="14" t="s">
        <v>4</v>
      </c>
      <c r="L10" s="15" t="s">
        <v>5</v>
      </c>
      <c r="M10" s="2"/>
    </row>
    <row r="11">
      <c r="B11" s="11" t="str">
        <f>"⚔️ Attack: "&amp;Leveler!B18+F13</f>
        <v>⚔️ Attack: 219</v>
      </c>
      <c r="C11" s="11" t="str">
        <f>"🛡️ Defense: "&amp;Leveler!C18+G13</f>
        <v>🛡️ Defense: 1019</v>
      </c>
      <c r="D11" s="11" t="str">
        <f>"🎯 Accuracy: "&amp;Leveler!D18+H13</f>
        <v>🎯 Accuracy: 219</v>
      </c>
      <c r="E11" s="11" t="str">
        <f>"😇[P] Charisma: "&amp;Leveler!E20+I13</f>
        <v>😇[P] Charisma: 5</v>
      </c>
      <c r="F11" s="16"/>
      <c r="G11" s="14">
        <v>0.0</v>
      </c>
      <c r="H11" s="14">
        <v>0.0</v>
      </c>
      <c r="I11" s="14">
        <v>0.0</v>
      </c>
      <c r="J11" s="14">
        <v>0.0</v>
      </c>
      <c r="L11" s="17" t="s">
        <v>6</v>
      </c>
      <c r="M11" s="18">
        <v>1.0</v>
      </c>
    </row>
    <row r="12">
      <c r="B12" s="19" t="str">
        <f>"🤯[P] Wisdom: "&amp;Leveler!F20+F15</f>
        <v>🤯[P] Wisdom: 5</v>
      </c>
      <c r="C12" s="11" t="str">
        <f>"❤️[P] Constitution: "&amp;Leveler!G20+G15</f>
        <v>❤️[P] Constitution: 77</v>
      </c>
      <c r="D12" s="11" t="str">
        <f>"🏃‍♀️[P] Evasion: "&amp;Leveler!H20+H15</f>
        <v>🏃‍♀️[P] Evasion: 18</v>
      </c>
      <c r="E12" s="11" t="str">
        <f>"😈[P] Intimidation: "&amp;Leveler!I20+I15</f>
        <v>😈[P] Intimidation: 5</v>
      </c>
      <c r="F12" s="14" t="s">
        <v>7</v>
      </c>
      <c r="G12" s="14" t="s">
        <v>8</v>
      </c>
      <c r="H12" s="14" t="s">
        <v>9</v>
      </c>
      <c r="I12" s="14" t="s">
        <v>10</v>
      </c>
      <c r="L12" s="20" t="s">
        <v>11</v>
      </c>
      <c r="M12" s="21"/>
    </row>
    <row r="13">
      <c r="B13" s="13"/>
      <c r="C13" s="2"/>
      <c r="D13" s="13" t="str">
        <f>"🏊‍♀🏃‍♀️[P]  Mobility: "&amp;Leveler!J20</f>
        <v>🏊‍♀🏃‍♀️[P]  Mobility: 8</v>
      </c>
      <c r="E13" s="2"/>
      <c r="F13" s="14">
        <v>0.0</v>
      </c>
      <c r="G13" s="14">
        <v>0.0</v>
      </c>
      <c r="H13" s="14">
        <v>0.0</v>
      </c>
      <c r="I13" s="14">
        <v>0.0</v>
      </c>
      <c r="L13" s="22" t="s">
        <v>12</v>
      </c>
      <c r="M13" s="23"/>
    </row>
    <row r="14">
      <c r="B14" s="24" t="str">
        <f>"❤️ HP: "&amp;Leveler!B23-F11&amp;"/"&amp;Leveler!B23</f>
        <v>❤️ HP: 604/604</v>
      </c>
      <c r="C14" s="2"/>
      <c r="D14" s="24" t="str">
        <f>"🧪 SP: "&amp;Leveler!C23-G11&amp;"/"&amp;Leveler!C23</f>
        <v>🧪 SP: 604/604</v>
      </c>
      <c r="E14" s="2"/>
      <c r="F14" s="14" t="s">
        <v>13</v>
      </c>
      <c r="G14" s="14" t="s">
        <v>14</v>
      </c>
      <c r="H14" s="14" t="s">
        <v>15</v>
      </c>
      <c r="I14" s="14" t="s">
        <v>16</v>
      </c>
      <c r="L14" s="25" t="s">
        <v>17</v>
      </c>
      <c r="M14" s="26">
        <f>(M12+M13)*M11</f>
        <v>0</v>
      </c>
    </row>
    <row r="15">
      <c r="B15" s="13" t="str">
        <f>"🍗 Hunger: "&amp;Leveler!D23-H11&amp;"/"&amp;Leveler!D23</f>
        <v>🍗 Hunger: 219/219</v>
      </c>
      <c r="C15" s="2"/>
      <c r="D15" s="13" t="str">
        <f>"💧 Thirst: "&amp;Leveler!E23-I11&amp;"/"&amp;Leveler!E23</f>
        <v>💧 Thirst: 219/219</v>
      </c>
      <c r="E15" s="2"/>
      <c r="F15" s="14">
        <v>0.0</v>
      </c>
      <c r="G15" s="14">
        <v>0.0</v>
      </c>
      <c r="H15" s="14">
        <v>0.0</v>
      </c>
      <c r="I15" s="14">
        <v>0.0</v>
      </c>
    </row>
    <row r="16">
      <c r="B16" s="13" t="str">
        <f>"⚡ Energy: "&amp;Leveler!F23-J11&amp;"/"&amp;Leveler!F23</f>
        <v>⚡ Energy: 219/219</v>
      </c>
      <c r="C16" s="2"/>
      <c r="D16" s="13" t="str">
        <f>"🐟 Astrological Sign: "&amp;Leveler!I6</f>
        <v>🐟 Astrological Sign: Taurus</v>
      </c>
      <c r="E16" s="2"/>
    </row>
    <row r="17">
      <c r="B17" s="24" t="str">
        <f>"🎭 Alignment: "&amp;Leveler!F10</f>
        <v>🎭 Alignment: </v>
      </c>
      <c r="C17" s="6"/>
      <c r="D17" s="6"/>
      <c r="E17" s="2"/>
    </row>
    <row r="18">
      <c r="B18" s="13" t="str">
        <f>"🧞‍♂️ Race Bonuses: "&amp;IF(ISBLANK(Leveler!$F$15),IF(Leveler!$F$2,VLOOKUP(Leveler!$H$2,Races!$A$2:$AX1019,MATCH("EntityType",Races!$A$1:$AX$1,0),FALSE),VLOOKUP(Leveler!$H$1,Races!$A$2:$AX1019,MATCH("EntityType",Races!$A$1:$AX$1,0),FALSE)),Leveler!$F$15)&amp;": "&amp;VLOOKUP(IF(ISBLANK(Leveler!$F$15),IF(Leveler!$F$2,VLOOKUP(Leveler!$H$2,Races!$A$2:$AX1019,MATCH("EntityType",Races!$A$1:$AX$1,0),FALSE),VLOOKUP(Leveler!$H$1,Races!$A$2:$AX1019,MATCH("EntityType",Races!$A$1:$AX$1,0),FALSE)),Leveler!$F$15),EntityTypes!$A$2:$AX1019,MATCH("Abilities",EntityTypes!$A$1:$AX$1,0),FALSE)&amp;CHAR(10)&amp;VLOOKUP(Leveler!$H$1,Races!$A$2:$R1019,MATCH("StatBonus",Races!$A$1:$R$1,0),FALSE)&amp;CHAR(10)&amp;IF(Leveler!$F$2,VLOOKUP(Leveler!$H$2,Races!$A$2:$R1019,MATCH("Ability",Races!$A$1:$R$1,0),FALSE),VLOOKUP(Leveler!$H$1,Races!$A$2:$R1019,MATCH("Ability",Races!$A$1:$R$1,0),FALSE))</f>
        <v>🧞‍♂️ Race Bonuses: Humanoid: Inspiration - Roll a fail or succeed roll, On success all allies add the casters Charisma X100 to DEF, ATK, and ACC for 1 round
+3 Mobility, +3 Evasion, +2 Constitution
Has a 20% chance of any attack missing them</v>
      </c>
      <c r="C18" s="6"/>
      <c r="D18" s="6"/>
      <c r="E18" s="2"/>
    </row>
    <row r="19">
      <c r="B19" s="13" t="str">
        <f>"Class Bonuses: "&amp;VLOOKUP(Leveler!$K$1,Classes!$A$2:$R1019,MATCH("SpellRank",Classes!$A$1:$R$1,0),FALSE)&amp;CHAR(10)&amp;IF(Leveler!$I$2,VLOOKUP(Leveler!$K$2,Classes!$A$2:$R1019,MATCH("Ability",Classes!$A$1:$R$1,0),FALSE),VLOOKUP(Leveler!$K$1,Classes!$A$2:$R1019,MATCH("Ability",Classes!$A$1:$R$1,0),FALSE))&amp;IF(Leveler!B13&gt;199,CHAR(10)&amp;CHAR(10)&amp;"Enhanced Class Bonuses: "&amp;VLOOKUP(Leveler!$K$3,EnhancedClasses!$B$2:$R1019,MATCH("SpellRank",EnhancedClasses!$B$1:$R$1,0),FALSE)&amp;CHAR(10)&amp;IF(Leveler!$I$2,VLOOKUP(Leveler!$K$4,EnhancedClasses!$B$2:$R1019,MATCH("Ability1",EnhancedClasses!$B$1:$R$1,0),FALSE)&amp;CHAR(10)&amp;VLOOKUP(Leveler!$K$4,EnhancedClasses!$B$2:$R1019,MATCH("Ability2",EnhancedClasses!$B$1:$R$1,0),FALSE)&amp;CHAR(10)&amp;VLOOKUP(Leveler!$K$4,EnhancedClasses!$B$2:$R1019,MATCH("Ability3",EnhancedClasses!$B$1:$R$1,0),FALSE)&amp;CHAR(10)&amp;VLOOKUP(Leveler!$K$4,EnhancedClasses!$B$2:$R1019,MATCH("Ability4",EnhancedClasses!$B$1:$R$1,0),FALSE),VLOOKUP(Leveler!$K$3,EnhancedClasses!$B$2:$R1019,MATCH("Ability1",EnhancedClasses!$B$1:$R$1,0),FALSE)&amp;CHAR(10)&amp;VLOOKUP(Leveler!$K$3,EnhancedClasses!$B$2:$R1019,MATCH("Ability2",EnhancedClasses!$B$1:$R$1,0),FALSE)&amp;CHAR(10)&amp;VLOOKUP(Leveler!$K$3,EnhancedClasses!$B$2:$R1019,MATCH("Ability3",EnhancedClasses!$B$1:$R$1,0),FALSE)&amp;CHAR(10)&amp;VLOOKUP(Leveler!$K$3,EnhancedClasses!$B$2:$R1019,MATCH("Ability4",EnhancedClasses!$B$1:$R$1,0),FALSE)),"")</f>
        <v>Class Bonuses: Rank 9 Select 1 of any element. (excluding Zen and Acoustic)
X6 damage with bows.
+5 evasion
Enhanced Class Bonuses: Rank 9 in all Elements (excluding Zen and Acoustic)
Add your mobility and evasion while evading.
X6 damage with bows.
Add mobilty when attacking with a bow.
</v>
      </c>
      <c r="C19" s="6"/>
      <c r="D19" s="6"/>
      <c r="E19" s="2"/>
    </row>
    <row r="20">
      <c r="B20" s="13" t="str">
        <f>"Other Bonuses: "&amp;Leveler!F14</f>
        <v>Other Bonuses: </v>
      </c>
      <c r="C20" s="6"/>
      <c r="D20" s="6"/>
      <c r="E20" s="2"/>
    </row>
    <row r="21">
      <c r="B21" s="13" t="str">
        <f>"Resistances: "&amp;Leveler!H12&amp;CHAR(10)&amp;"Vulnerabilities: "&amp;Leveler!H13</f>
        <v>Resistances: 
Vulnerabilities: </v>
      </c>
      <c r="C21" s="6"/>
      <c r="D21" s="6"/>
      <c r="E21" s="2"/>
    </row>
    <row r="22">
      <c r="B22" s="27" t="s">
        <v>18</v>
      </c>
      <c r="C22" s="28"/>
      <c r="D22" s="29" t="s">
        <v>19</v>
      </c>
      <c r="E22" s="29" t="s">
        <v>20</v>
      </c>
      <c r="F22" s="30"/>
      <c r="G22" s="29" t="s">
        <v>21</v>
      </c>
      <c r="H22" s="2"/>
    </row>
    <row r="23">
      <c r="B23" s="31" t="str">
        <f>IFERROR(__xludf.DUMMYFUNCTION("ifna(ARRAY_CONSTRAIN(QUERY(Cursed!A2:C1019,""Select B where A = '""&amp;Leveler!F5&amp;""'""),9,1))"),"")</f>
        <v/>
      </c>
      <c r="C23" s="32" t="str">
        <f>ifna(HYPERLINK("#gid=81054943&amp;range="&amp;REPLACE(REPLACE(Address(CELL("row",VLOOKUP($B23,Curses!$A$2:$B$900,2,FALSE)),CELL("col",VLOOKUP($B23,Curses!$A$2:$B$900,2,FALSE))),1,1,""),2,1,""),VLOOKUP($B23,Curses!$A$2:$B$900,2,FALSE)))</f>
        <v/>
      </c>
      <c r="D23" s="33" t="str">
        <f>IFERROR(__xludf.DUMMYFUNCTION("ifna(TEXTJOIN(CHAR(10),TRUE,ARRAYFORMULA(transpose(query(transpose(QUERY(Leveler!A53:C74,""Select A,C where B = True"")),,COLUMNS(QUERY(Leveler!A53:C74,""Select A,C where B = True"")))))))"),"")</f>
        <v/>
      </c>
      <c r="E23" s="11" t="str">
        <f>IFERROR(__xludf.DUMMYFUNCTION("ifna(ARRAY_CONSTRAIN(QUERY(Diseased!A2:C1019,""Select B where A = '""&amp;Leveler!F5&amp;""'""),9,1))"),"")</f>
        <v/>
      </c>
      <c r="F23" s="34" t="str">
        <f>ifna(HYPERLINK("#gid=372774058&amp;range="&amp;REPLACE(REPLACE(Address(CELL("row",VLOOKUP($E23,Diseases!$A$2:$B$900,2,FALSE)),CELL("col",VLOOKUP($E23,Diseases!$A$2:$B$900,2,FALSE))),1,1,""),2,1,""),VLOOKUP($E23,Diseases!$A$2:$B$900,2,FALSE)))</f>
        <v/>
      </c>
      <c r="G23" s="13" t="str">
        <f>Leveler!F12</f>
        <v/>
      </c>
      <c r="H23" s="2"/>
    </row>
    <row r="24">
      <c r="B24" s="31"/>
      <c r="C24" s="32" t="str">
        <f>ifna(HYPERLINK("#gid=81054943&amp;range="&amp;REPLACE(REPLACE(Address(CELL("row",VLOOKUP($B24,Curses!$A$2:$B$900,2,FALSE)),CELL("col",VLOOKUP($B24,Curses!$A$2:$B$900,2,FALSE))),1,1,""),2,1,""),VLOOKUP($B24,Curses!$A$2:$B$900,2,FALSE)))</f>
        <v/>
      </c>
      <c r="D24" s="35"/>
      <c r="E24" s="34"/>
      <c r="F24" s="34"/>
      <c r="G24" s="29" t="s">
        <v>22</v>
      </c>
      <c r="H24" s="2"/>
    </row>
    <row r="25">
      <c r="B25" s="31"/>
      <c r="C25" s="32" t="str">
        <f>ifna(HYPERLINK("#gid=81054943&amp;range="&amp;REPLACE(REPLACE(Address(CELL("row",VLOOKUP($B25,Curses!$A$2:$B$900,2,FALSE)),CELL("col",VLOOKUP($B25,Curses!$A$2:$B$900,2,FALSE))),1,1,""),2,1,""),VLOOKUP($B25,Curses!$A$2:$B$900,2,FALSE)))</f>
        <v/>
      </c>
      <c r="D25" s="35"/>
      <c r="E25" s="34"/>
      <c r="F25" s="34"/>
      <c r="G25" s="13" t="str">
        <f>Leveler!F13</f>
        <v/>
      </c>
      <c r="H25" s="2"/>
    </row>
    <row r="26">
      <c r="B26" s="31"/>
      <c r="C26" s="32" t="str">
        <f>ifna(HYPERLINK("#gid=81054943&amp;range="&amp;REPLACE(REPLACE(Address(CELL("row",VLOOKUP($B26,Curses!$A$2:$B$900,2,FALSE)),CELL("col",VLOOKUP($B26,Curses!$A$2:$B$900,2,FALSE))),1,1,""),2,1,""),VLOOKUP($B26,Curses!$A$2:$B$900,2,FALSE)))</f>
        <v/>
      </c>
      <c r="D26" s="35"/>
      <c r="E26" s="34"/>
      <c r="F26" s="34"/>
    </row>
    <row r="27">
      <c r="B27" s="31"/>
      <c r="C27" s="32" t="str">
        <f>ifna(HYPERLINK("#gid=81054943&amp;range="&amp;REPLACE(REPLACE(Address(CELL("row",VLOOKUP($B27,Curses!$A$2:$B$900,2,FALSE)),CELL("col",VLOOKUP($B27,Curses!$A$2:$B$900,2,FALSE))),1,1,""),2,1,""),VLOOKUP($B27,Curses!$A$2:$B$900,2,FALSE)))</f>
        <v/>
      </c>
      <c r="D27" s="35"/>
      <c r="E27" s="34"/>
      <c r="F27" s="34"/>
    </row>
    <row r="28">
      <c r="B28" s="31"/>
      <c r="C28" s="32" t="str">
        <f>ifna(HYPERLINK("#gid=81054943&amp;range="&amp;REPLACE(REPLACE(Address(CELL("row",VLOOKUP($B28,Curses!$A$2:$B$900,2,FALSE)),CELL("col",VLOOKUP($B28,Curses!$A$2:$B$900,2,FALSE))),1,1,""),2,1,""),VLOOKUP($B28,Curses!$A$2:$B$900,2,FALSE)))</f>
        <v/>
      </c>
      <c r="D28" s="35"/>
      <c r="E28" s="11"/>
      <c r="F28" s="34"/>
    </row>
    <row r="29">
      <c r="B29" s="31"/>
      <c r="C29" s="32" t="str">
        <f>ifna(HYPERLINK("#gid=81054943&amp;range="&amp;REPLACE(REPLACE(Address(CELL("row",VLOOKUP($B29,Curses!$A$2:$B$900,2,FALSE)),CELL("col",VLOOKUP($B29,Curses!$A$2:$B$900,2,FALSE))),1,1,""),2,1,""),VLOOKUP($B29,Curses!$A$2:$B$900,2,FALSE)))</f>
        <v/>
      </c>
      <c r="D29" s="35"/>
      <c r="E29" s="11"/>
      <c r="F29" s="34"/>
    </row>
    <row r="30">
      <c r="B30" s="31"/>
      <c r="C30" s="32" t="str">
        <f>ifna(HYPERLINK("#gid=81054943&amp;range="&amp;REPLACE(REPLACE(Address(CELL("row",VLOOKUP($B30,Curses!$A$2:$B$900,2,FALSE)),CELL("col",VLOOKUP($B30,Curses!$A$2:$B$900,2,FALSE))),1,1,""),2,1,""),VLOOKUP($B30,Curses!$A$2:$B$900,2,FALSE)))</f>
        <v/>
      </c>
      <c r="D30" s="35"/>
      <c r="E30" s="11"/>
      <c r="F30" s="34"/>
    </row>
    <row r="31">
      <c r="B31" s="31"/>
      <c r="C31" s="32" t="str">
        <f>ifna(HYPERLINK("#gid=81054943&amp;range="&amp;REPLACE(REPLACE(Address(CELL("row",VLOOKUP($B31,Curses!$A$2:$B$900,2,FALSE)),CELL("col",VLOOKUP($B31,Curses!$A$2:$B$900,2,FALSE))),1,1,""),2,1,""),VLOOKUP($B31,Curses!$A$2:$B$900,2,FALSE)))</f>
        <v/>
      </c>
      <c r="D31" s="8"/>
      <c r="E31" s="11"/>
      <c r="F31" s="34"/>
    </row>
    <row r="33">
      <c r="B33" s="36" t="s">
        <v>23</v>
      </c>
      <c r="C33" s="6"/>
      <c r="D33" s="6"/>
      <c r="E33" s="2"/>
      <c r="F33" s="37"/>
      <c r="G33" s="37"/>
      <c r="H33" s="37"/>
      <c r="I33" s="37"/>
      <c r="J33" s="37"/>
      <c r="K33" s="37"/>
      <c r="L33" s="37"/>
    </row>
    <row r="34">
      <c r="C34" s="38" t="s">
        <v>24</v>
      </c>
      <c r="D34" s="38" t="s">
        <v>25</v>
      </c>
      <c r="E34" s="38" t="s">
        <v>26</v>
      </c>
      <c r="F34" s="39" t="s">
        <v>27</v>
      </c>
      <c r="G34" s="37"/>
      <c r="H34" s="37"/>
      <c r="I34" s="37"/>
      <c r="J34" s="37"/>
      <c r="K34" s="37"/>
      <c r="L34" s="37"/>
    </row>
    <row r="35">
      <c r="B35" s="40" t="s">
        <v>28</v>
      </c>
      <c r="C35" s="41"/>
      <c r="D35" s="16" t="str">
        <f>IFERROR(VLOOKUP($C35,Backpack!$B$10:$G1019,MATCH(D$34,Backpack!$B$9:$G$9,0),FALSE),"")</f>
        <v/>
      </c>
      <c r="E35" s="16" t="str">
        <f>IFERROR(VLOOKUP($C35,Backpack!$B$10:$G1019,MATCH(E$34,Backpack!$B$9:$G$9,0),FALSE),"")</f>
        <v/>
      </c>
      <c r="F35" s="16" t="str">
        <f>IFERROR(VLOOKUP($C35,Backpack!$B$10:$G1019,MATCH(F$34,Backpack!$B$9:$G$9,0),FALSE),"")</f>
        <v/>
      </c>
      <c r="G35" s="42"/>
      <c r="H35" s="42"/>
      <c r="I35" s="42"/>
      <c r="J35" s="37"/>
      <c r="K35" s="37"/>
      <c r="L35" s="37"/>
      <c r="T35" s="14" t="s">
        <v>29</v>
      </c>
      <c r="U35" s="16" t="str">
        <f>IF(ISBLANK($C35),"",IF(IFERROR(VLOOKUP($C35,Backpack!$B$10:$G1019,MATCH("Slot",Backpack!$B$9:$G$9,0),FALSE),"")=T35,FALSE,TRUE))</f>
        <v/>
      </c>
      <c r="V35" s="16" t="str">
        <f>IF(ISBLANK($C35),"",IF(Value(IFERROR(VLOOKUP($C35,Backpack!$B$10:$G1019,MATCH("Level Requirement",Backpack!$B$9:$G$9,0),FALSE),""))&gt;Leveler!$B$13,TRUE,FALSE))</f>
        <v/>
      </c>
    </row>
    <row r="36">
      <c r="B36" s="40" t="s">
        <v>30</v>
      </c>
      <c r="C36" s="41"/>
      <c r="D36" s="16" t="str">
        <f>IFERROR(VLOOKUP($C36,Backpack!$B$10:$G1019,MATCH(D$34,Backpack!$B$9:$G$9,0),FALSE),"")</f>
        <v/>
      </c>
      <c r="E36" s="16" t="str">
        <f>IFERROR(VLOOKUP($C36,Backpack!$B$10:$G1019,MATCH(E$34,Backpack!$B$9:$G$9,0),FALSE),"")</f>
        <v/>
      </c>
      <c r="F36" s="16" t="str">
        <f>IFERROR(VLOOKUP($C36,Backpack!$B$10:$G1019,MATCH(F$34,Backpack!$B$9:$G$9,0),FALSE),"")</f>
        <v/>
      </c>
      <c r="G36" s="42"/>
      <c r="H36" s="42"/>
      <c r="I36" s="42"/>
      <c r="J36" s="37"/>
      <c r="K36" s="37"/>
      <c r="L36" s="37"/>
      <c r="T36" s="14" t="s">
        <v>31</v>
      </c>
      <c r="U36" s="16" t="str">
        <f>IF(ISBLANK($C36),"",IF(IFERROR(VLOOKUP($C36,Backpack!$B$10:$G1019,MATCH("Slot",Backpack!$B$9:$G$9,0),FALSE),"")=T36,FALSE,TRUE))</f>
        <v/>
      </c>
      <c r="V36" s="16" t="str">
        <f>IF(ISBLANK($C36),"",IF(Value(IFERROR(VLOOKUP($C36,Backpack!$B$10:$G1019,MATCH("Level Requirement",Backpack!$B$9:$G$9,0),FALSE),""))&gt;Leveler!$B$13,TRUE,FALSE))</f>
        <v/>
      </c>
    </row>
    <row r="37">
      <c r="B37" s="43" t="s">
        <v>32</v>
      </c>
      <c r="C37" s="41"/>
      <c r="D37" s="16" t="str">
        <f>IFERROR(VLOOKUP($C37,Backpack!$B$10:$G1019,MATCH(D$34,Backpack!$B$9:$G$9,0),FALSE),"")</f>
        <v/>
      </c>
      <c r="E37" s="16" t="str">
        <f>IFERROR(VLOOKUP($C37,Backpack!$B$10:$G1019,MATCH(E$34,Backpack!$B$9:$G$9,0),FALSE),"")</f>
        <v/>
      </c>
      <c r="F37" s="16" t="str">
        <f>IFERROR(VLOOKUP($C37,Backpack!$B$10:$G1019,MATCH(F$34,Backpack!$B$9:$G$9,0),FALSE),"")</f>
        <v/>
      </c>
      <c r="G37" s="42"/>
      <c r="H37" s="42"/>
      <c r="I37" s="42"/>
      <c r="J37" s="37"/>
      <c r="K37" s="37"/>
      <c r="L37" s="37"/>
      <c r="T37" s="14" t="s">
        <v>31</v>
      </c>
      <c r="U37" s="16" t="str">
        <f>IF(ISBLANK($C37),"",IF(IFERROR(VLOOKUP($C37,Backpack!$B$10:$G1019,MATCH("Slot",Backpack!$B$9:$G$9,0),FALSE),"")=T37,FALSE,TRUE))</f>
        <v/>
      </c>
      <c r="V37" s="16" t="str">
        <f>IF(ISBLANK($C37),"",IF(Value(IFERROR(VLOOKUP($C37,Backpack!$B$10:$G1019,MATCH("Level Requirement",Backpack!$B$9:$G$9,0),FALSE),""))&gt;Leveler!$B$13,TRUE,FALSE))</f>
        <v/>
      </c>
    </row>
    <row r="38">
      <c r="B38" s="43" t="s">
        <v>33</v>
      </c>
      <c r="C38" s="41"/>
      <c r="D38" s="16" t="str">
        <f>IFERROR(VLOOKUP($C38,Backpack!$B$10:$G1019,MATCH(D$34,Backpack!$B$9:$G$9,0),FALSE),"")</f>
        <v/>
      </c>
      <c r="E38" s="16" t="str">
        <f>IFERROR(VLOOKUP($C38,Backpack!$B$10:$G1019,MATCH(E$34,Backpack!$B$9:$G$9,0),FALSE),"")</f>
        <v/>
      </c>
      <c r="F38" s="16" t="str">
        <f>IFERROR(VLOOKUP($C38,Backpack!$B$10:$G1019,MATCH(F$34,Backpack!$B$9:$G$9,0),FALSE),"")</f>
        <v/>
      </c>
      <c r="G38" s="42"/>
      <c r="H38" s="42"/>
      <c r="I38" s="42"/>
      <c r="J38" s="37"/>
      <c r="K38" s="37"/>
      <c r="L38" s="37"/>
      <c r="T38" s="14" t="s">
        <v>31</v>
      </c>
      <c r="U38" s="16" t="str">
        <f>IF(ISBLANK($C38),"",IF(IFERROR(VLOOKUP($C38,Backpack!$B$10:$G1019,MATCH("Slot",Backpack!$B$9:$G$9,0),FALSE),"")=T38,FALSE,TRUE))</f>
        <v/>
      </c>
      <c r="V38" s="16" t="str">
        <f>IF(ISBLANK($C38),"",IF(Value(IFERROR(VLOOKUP($C38,Backpack!$B$10:$G1019,MATCH("Level Requirement",Backpack!$B$9:$G$9,0),FALSE),""))&gt;Leveler!$B$13,TRUE,FALSE))</f>
        <v/>
      </c>
    </row>
    <row r="39">
      <c r="B39" s="40" t="s">
        <v>34</v>
      </c>
      <c r="C39" s="41"/>
      <c r="D39" s="16" t="str">
        <f>IFERROR(VLOOKUP($C39,Backpack!$B$10:$G1019,MATCH(D$34,Backpack!$B$9:$G$9,0),FALSE),"")</f>
        <v/>
      </c>
      <c r="E39" s="16" t="str">
        <f>IFERROR(VLOOKUP($C39,Backpack!$B$10:$G1019,MATCH(E$34,Backpack!$B$9:$G$9,0),FALSE),"")</f>
        <v/>
      </c>
      <c r="F39" s="16" t="str">
        <f>IFERROR(VLOOKUP($C39,Backpack!$B$10:$G1019,MATCH(F$34,Backpack!$B$9:$G$9,0),FALSE),"")</f>
        <v/>
      </c>
      <c r="G39" s="42"/>
      <c r="H39" s="42"/>
      <c r="I39" s="42"/>
      <c r="T39" s="14" t="s">
        <v>35</v>
      </c>
      <c r="U39" s="16" t="str">
        <f>IF(ISBLANK($C39),"",IF(IFERROR(VLOOKUP($C39,Backpack!$B$10:$G1019,MATCH("Slot",Backpack!$B$9:$G$9,0),FALSE),"")=T39,FALSE,TRUE))</f>
        <v/>
      </c>
      <c r="V39" s="16" t="str">
        <f>IF(ISBLANK($C39),"",IF(Value(IFERROR(VLOOKUP($C39,Backpack!$B$10:$G1019,MATCH("Level Requirement",Backpack!$B$9:$G$9,0),FALSE),""))&gt;Leveler!$B$13,TRUE,FALSE))</f>
        <v/>
      </c>
    </row>
    <row r="40">
      <c r="B40" s="40" t="s">
        <v>36</v>
      </c>
      <c r="C40" s="41" t="s">
        <v>37</v>
      </c>
      <c r="D40" s="16" t="str">
        <f>IFERROR(VLOOKUP($C40,Backpack!$B$10:$G1019,MATCH(D$34,Backpack!$B$9:$G$9,0),FALSE),"")</f>
        <v/>
      </c>
      <c r="E40" s="16" t="str">
        <f>IFERROR(VLOOKUP($C40,Backpack!$B$10:$G1019,MATCH(E$34,Backpack!$B$9:$G$9,0),FALSE),"")</f>
        <v/>
      </c>
      <c r="F40" s="16" t="str">
        <f>IFERROR(VLOOKUP($C40,Backpack!$B$10:$G1019,MATCH(F$34,Backpack!$B$9:$G$9,0),FALSE),"")</f>
        <v>DEF: +800 (Ranger Set) +Half the Arrow - Range Spells cost half the sp cost, +Ranger Enrage - All Ranged Spells do double in damage +only archers can equip</v>
      </c>
      <c r="G40" s="42"/>
      <c r="H40" s="42"/>
      <c r="I40" s="42"/>
      <c r="T40" s="14" t="s">
        <v>38</v>
      </c>
      <c r="U40" s="16" t="b">
        <f>IF(ISBLANK($C40),"",IF(IFERROR(VLOOKUP($C40,Backpack!$B$10:$G1019,MATCH("Slot",Backpack!$B$9:$G$9,0),FALSE),"")=T40,FALSE,TRUE))</f>
        <v>0</v>
      </c>
      <c r="V40" s="16" t="b">
        <f>IF(ISBLANK($C40),"",IF(Value(IFERROR(VLOOKUP($C40,Backpack!$B$10:$G1019,MATCH("Level Requirement",Backpack!$B$9:$G$9,0),FALSE),""))&gt;Leveler!$B$13,TRUE,FALSE))</f>
        <v>0</v>
      </c>
    </row>
    <row r="41">
      <c r="B41" s="40" t="s">
        <v>39</v>
      </c>
      <c r="C41" s="44"/>
      <c r="D41" s="16" t="str">
        <f>IFERROR(VLOOKUP($C41,Backpack!$B$10:$G1019,MATCH(D$34,Backpack!$B$9:$G$9,0),FALSE),"")</f>
        <v/>
      </c>
      <c r="E41" s="16" t="str">
        <f>IFERROR(VLOOKUP($C41,Backpack!$B$10:$G1019,MATCH(E$34,Backpack!$B$9:$G$9,0),FALSE),"")</f>
        <v/>
      </c>
      <c r="F41" s="16" t="str">
        <f>IFERROR(VLOOKUP($C41,Backpack!$B$10:$G1019,MATCH(F$34,Backpack!$B$9:$G$9,0),FALSE),"")</f>
        <v/>
      </c>
      <c r="G41" s="42"/>
      <c r="H41" s="42"/>
      <c r="I41" s="42"/>
      <c r="T41" s="14" t="s">
        <v>40</v>
      </c>
      <c r="U41" s="16" t="str">
        <f>IF(ISBLANK($C41),"",IF(IFERROR(VLOOKUP($C41,Backpack!$B$10:$G1019,MATCH("Slot",Backpack!$B$9:$G$9,0),FALSE),"")=T41,FALSE,TRUE))</f>
        <v/>
      </c>
      <c r="V41" s="16" t="str">
        <f>IF(ISBLANK($C41),"",IF(Value(IFERROR(VLOOKUP($C41,Backpack!$B$10:$G1019,MATCH("Level Requirement",Backpack!$B$9:$G$9,0),FALSE),""))&gt;Leveler!$B$13,TRUE,FALSE))</f>
        <v/>
      </c>
    </row>
    <row r="42">
      <c r="B42" s="40" t="s">
        <v>41</v>
      </c>
      <c r="C42" s="41"/>
      <c r="D42" s="16" t="str">
        <f>IFERROR(VLOOKUP($C42,Backpack!$B$10:$G1019,MATCH(D$34,Backpack!$B$9:$G$9,0),FALSE),"")</f>
        <v/>
      </c>
      <c r="E42" s="16" t="str">
        <f>IFERROR(VLOOKUP($C42,Backpack!$B$10:$G1019,MATCH(E$34,Backpack!$B$9:$G$9,0),FALSE),"")</f>
        <v/>
      </c>
      <c r="F42" s="16" t="str">
        <f>IFERROR(VLOOKUP($C42,Backpack!$B$10:$G1019,MATCH(F$34,Backpack!$B$9:$G$9,0),FALSE),"")</f>
        <v/>
      </c>
      <c r="G42" s="42"/>
      <c r="H42" s="42"/>
      <c r="I42" s="42"/>
      <c r="J42" s="37"/>
      <c r="K42" s="37"/>
      <c r="L42" s="37"/>
      <c r="T42" s="14" t="s">
        <v>42</v>
      </c>
      <c r="U42" s="16" t="str">
        <f>IF(ISBLANK($C42),"",IF(IFERROR(VLOOKUP($C42,Backpack!$B$10:$G1019,MATCH("Slot",Backpack!$B$9:$G$9,0),FALSE),"")=T42,FALSE,TRUE))</f>
        <v/>
      </c>
      <c r="V42" s="16" t="str">
        <f>IF(ISBLANK($C42),"",IF(Value(IFERROR(VLOOKUP($C42,Backpack!$B$10:$G1019,MATCH("Level Requirement",Backpack!$B$9:$G$9,0),FALSE),""))&gt;Leveler!$B$13,TRUE,FALSE))</f>
        <v/>
      </c>
    </row>
    <row r="43">
      <c r="B43" s="40" t="s">
        <v>43</v>
      </c>
      <c r="C43" s="44"/>
      <c r="D43" s="16" t="str">
        <f>IFERROR(VLOOKUP($C43,Backpack!$B$10:$G1019,MATCH(D$34,Backpack!$B$9:$G$9,0),FALSE),"")</f>
        <v/>
      </c>
      <c r="E43" s="16" t="str">
        <f>IFERROR(VLOOKUP($C43,Backpack!$B$10:$G1019,MATCH(E$34,Backpack!$B$9:$G$9,0),FALSE),"")</f>
        <v/>
      </c>
      <c r="F43" s="16" t="str">
        <f>IFERROR(VLOOKUP($C43,Backpack!$B$10:$G1019,MATCH(F$34,Backpack!$B$9:$G$9,0),FALSE),"")</f>
        <v/>
      </c>
      <c r="G43" s="42"/>
      <c r="H43" s="42"/>
      <c r="I43" s="42"/>
      <c r="J43" s="37"/>
      <c r="K43" s="37"/>
      <c r="L43" s="37"/>
      <c r="T43" s="14" t="s">
        <v>42</v>
      </c>
      <c r="U43" s="16" t="str">
        <f>IF(ISBLANK($C43),"",IF(IFERROR(VLOOKUP($C43,Backpack!$B$10:$G1019,MATCH("Slot",Backpack!$B$9:$G$9,0),FALSE),"")=T43,FALSE,TRUE))</f>
        <v/>
      </c>
      <c r="V43" s="16" t="str">
        <f>IF(ISBLANK($C43),"",IF(Value(IFERROR(VLOOKUP($C43,Backpack!$B$10:$G1019,MATCH("Level Requirement",Backpack!$B$9:$G$9,0),FALSE),""))&gt;Leveler!$B$13,TRUE,FALSE))</f>
        <v/>
      </c>
    </row>
    <row r="44">
      <c r="B44" s="40" t="s">
        <v>44</v>
      </c>
      <c r="C44" s="44"/>
      <c r="D44" s="16" t="str">
        <f>IFERROR(VLOOKUP($C44,Backpack!$B$10:$G1019,MATCH(D$34,Backpack!$B$9:$G$9,0),FALSE),"")</f>
        <v/>
      </c>
      <c r="E44" s="16" t="str">
        <f>IFERROR(VLOOKUP($C44,Backpack!$B$10:$G1019,MATCH(E$34,Backpack!$B$9:$G$9,0),FALSE),"")</f>
        <v/>
      </c>
      <c r="F44" s="16" t="str">
        <f>IFERROR(VLOOKUP($C44,Backpack!$B$10:$G1019,MATCH(F$34,Backpack!$B$9:$G$9,0),FALSE),"")</f>
        <v/>
      </c>
      <c r="G44" s="42"/>
      <c r="H44" s="42"/>
      <c r="I44" s="42"/>
      <c r="T44" s="14" t="s">
        <v>45</v>
      </c>
      <c r="U44" s="16" t="str">
        <f>IF(ISBLANK($C44),"",IF(IFERROR(VLOOKUP($C44,Backpack!$B$10:$G1019,MATCH("Slot",Backpack!$B$9:$G$9,0),FALSE),"")=T44,FALSE,TRUE))</f>
        <v/>
      </c>
      <c r="V44" s="16" t="str">
        <f>IF(ISBLANK($C44),"",IF(Value(IFERROR(VLOOKUP($C44,Backpack!$B$10:$G1019,MATCH("Level Requirement",Backpack!$B$9:$G$9,0),FALSE),""))&gt;Leveler!$B$13,TRUE,FALSE))</f>
        <v/>
      </c>
    </row>
    <row r="45">
      <c r="B45" s="40" t="s">
        <v>46</v>
      </c>
      <c r="C45" s="44"/>
      <c r="D45" s="16" t="str">
        <f>IFERROR(VLOOKUP($C45,Backpack!$B$10:$G1019,MATCH(D$34,Backpack!$B$9:$G$9,0),FALSE),"")</f>
        <v/>
      </c>
      <c r="E45" s="16" t="str">
        <f>IFERROR(VLOOKUP($C45,Backpack!$B$10:$G1019,MATCH(E$34,Backpack!$B$9:$G$9,0),FALSE),"")</f>
        <v/>
      </c>
      <c r="F45" s="16" t="str">
        <f>IFERROR(VLOOKUP($C45,Backpack!$B$10:$G1019,MATCH(F$34,Backpack!$B$9:$G$9,0),FALSE),"")</f>
        <v/>
      </c>
      <c r="G45" s="42"/>
      <c r="H45" s="42"/>
      <c r="I45" s="42"/>
      <c r="T45" s="14" t="s">
        <v>45</v>
      </c>
      <c r="U45" s="16" t="str">
        <f>IF(ISBLANK($C45),"",IF(IFERROR(VLOOKUP($C45,Backpack!$B$10:$G1019,MATCH("Slot",Backpack!$B$9:$G$9,0),FALSE),"")=T45,FALSE,TRUE))</f>
        <v/>
      </c>
      <c r="V45" s="16" t="str">
        <f>IF(ISBLANK($C45),"",IF(Value(IFERROR(VLOOKUP($C45,Backpack!$B$10:$G1019,MATCH("Level Requirement",Backpack!$B$9:$G$9,0),FALSE),""))&gt;Leveler!$B$13,TRUE,FALSE))</f>
        <v/>
      </c>
    </row>
    <row r="46">
      <c r="B46" s="40" t="s">
        <v>47</v>
      </c>
      <c r="C46" s="44"/>
      <c r="D46" s="16" t="str">
        <f>IFERROR(VLOOKUP($C46,Backpack!$B$10:$G1019,MATCH(D$34,Backpack!$B$9:$G$9,0),FALSE),"")</f>
        <v/>
      </c>
      <c r="E46" s="16" t="str">
        <f>IFERROR(VLOOKUP($C46,Backpack!$B$10:$G1019,MATCH(E$34,Backpack!$B$9:$G$9,0),FALSE),"")</f>
        <v/>
      </c>
      <c r="F46" s="16" t="str">
        <f>IFERROR(VLOOKUP($C46,Backpack!$B$10:$G1019,MATCH(F$34,Backpack!$B$9:$G$9,0),FALSE),"")</f>
        <v/>
      </c>
      <c r="G46" s="42"/>
      <c r="H46" s="42"/>
      <c r="I46" s="42"/>
      <c r="T46" s="14" t="s">
        <v>45</v>
      </c>
      <c r="U46" s="16" t="str">
        <f>IF(ISBLANK($C46),"",IF(IFERROR(VLOOKUP($C46,Backpack!$B$10:$G1019,MATCH("Slot",Backpack!$B$9:$G$9,0),FALSE),"")=T46,FALSE,TRUE))</f>
        <v/>
      </c>
      <c r="V46" s="16" t="str">
        <f>IF(ISBLANK($C46),"",IF(Value(IFERROR(VLOOKUP($C46,Backpack!$B$10:$G1019,MATCH("Level Requirement",Backpack!$B$9:$G$9,0),FALSE),""))&gt;Leveler!$B$13,TRUE,FALSE))</f>
        <v/>
      </c>
    </row>
    <row r="47">
      <c r="B47" s="40" t="s">
        <v>48</v>
      </c>
      <c r="C47" s="44"/>
      <c r="D47" s="16" t="str">
        <f>IFERROR(VLOOKUP($C47,Backpack!$B$10:$G1019,MATCH(D$34,Backpack!$B$9:$G$9,0),FALSE),"")</f>
        <v/>
      </c>
      <c r="E47" s="16" t="str">
        <f>IFERROR(VLOOKUP($C47,Backpack!$B$10:$G1019,MATCH(E$34,Backpack!$B$9:$G$9,0),FALSE),"")</f>
        <v/>
      </c>
      <c r="F47" s="16" t="str">
        <f>IFERROR(VLOOKUP($C47,Backpack!$B$10:$G1019,MATCH(F$34,Backpack!$B$9:$G$9,0),FALSE),"")</f>
        <v/>
      </c>
      <c r="G47" s="42"/>
      <c r="H47" s="42"/>
      <c r="I47" s="42"/>
      <c r="T47" s="14" t="s">
        <v>45</v>
      </c>
      <c r="U47" s="16" t="str">
        <f>IF(ISBLANK($C47),"",IF(IFERROR(VLOOKUP($C47,Backpack!$B$10:$G1019,MATCH("Slot",Backpack!$B$9:$G$9,0),FALSE),"")=T47,FALSE,TRUE))</f>
        <v/>
      </c>
      <c r="V47" s="16" t="str">
        <f>IF(ISBLANK($C47),"",IF(Value(IFERROR(VLOOKUP($C47,Backpack!$B$10:$G1019,MATCH("Level Requirement",Backpack!$B$9:$G$9,0),FALSE),""))&gt;Leveler!$B$13,TRUE,FALSE))</f>
        <v/>
      </c>
    </row>
    <row r="48">
      <c r="B48" s="40" t="s">
        <v>49</v>
      </c>
      <c r="C48" s="41"/>
      <c r="D48" s="16" t="str">
        <f>IFERROR(VLOOKUP($C48,Backpack!$B$10:$G1019,MATCH(D$34,Backpack!$B$9:$G$9,0),FALSE),"")</f>
        <v/>
      </c>
      <c r="E48" s="16" t="str">
        <f>IFERROR(VLOOKUP($C48,Backpack!$B$10:$G1019,MATCH(E$34,Backpack!$B$9:$G$9,0),FALSE),"")</f>
        <v/>
      </c>
      <c r="F48" s="16" t="str">
        <f>IFERROR(VLOOKUP($C48,Backpack!$B$10:$G1019,MATCH(F$34,Backpack!$B$9:$G$9,0),FALSE),"")</f>
        <v/>
      </c>
      <c r="G48" s="42"/>
      <c r="H48" s="42"/>
      <c r="I48" s="42"/>
      <c r="T48" s="14" t="s">
        <v>45</v>
      </c>
      <c r="U48" s="16" t="str">
        <f>IF(ISBLANK($C48),"",IF(IFERROR(VLOOKUP($C48,Backpack!$B$10:$G1019,MATCH("Slot",Backpack!$B$9:$G$9,0),FALSE),"")=T48,FALSE,TRUE))</f>
        <v/>
      </c>
      <c r="V48" s="16" t="str">
        <f>IF(ISBLANK($C48),"",IF(Value(IFERROR(VLOOKUP($C48,Backpack!$B$10:$G1019,MATCH("Level Requirement",Backpack!$B$9:$G$9,0),FALSE),""))&gt;Leveler!$B$13,TRUE,FALSE))</f>
        <v/>
      </c>
    </row>
    <row r="49">
      <c r="B49" s="40" t="s">
        <v>50</v>
      </c>
      <c r="C49" s="44"/>
      <c r="D49" s="16" t="str">
        <f>IFERROR(VLOOKUP($C49,Backpack!$B$10:$G1019,MATCH(D$34,Backpack!$B$9:$G$9,0),FALSE),"")</f>
        <v/>
      </c>
      <c r="E49" s="16" t="str">
        <f>IFERROR(VLOOKUP($C49,Backpack!$B$10:$G1019,MATCH(E$34,Backpack!$B$9:$G$9,0),FALSE),"")</f>
        <v/>
      </c>
      <c r="F49" s="16" t="str">
        <f>IFERROR(VLOOKUP($C49,Backpack!$B$10:$G1019,MATCH(F$34,Backpack!$B$9:$G$9,0),FALSE),"")</f>
        <v/>
      </c>
      <c r="G49" s="42"/>
      <c r="H49" s="42"/>
      <c r="I49" s="42"/>
      <c r="T49" s="14" t="s">
        <v>45</v>
      </c>
      <c r="U49" s="16" t="str">
        <f>IF(ISBLANK($C49),"",IF(IFERROR(VLOOKUP($C49,Backpack!$B$10:$G1019,MATCH("Slot",Backpack!$B$9:$G$9,0),FALSE),"")=T49,FALSE,TRUE))</f>
        <v/>
      </c>
      <c r="V49" s="16" t="str">
        <f>IF(ISBLANK($C49),"",IF(Value(IFERROR(VLOOKUP($C49,Backpack!$B$10:$G1019,MATCH("Level Requirement",Backpack!$B$9:$G$9,0),FALSE),""))&gt;Leveler!$B$13,TRUE,FALSE))</f>
        <v/>
      </c>
    </row>
    <row r="50">
      <c r="B50" s="40" t="s">
        <v>51</v>
      </c>
      <c r="C50" s="44"/>
      <c r="D50" s="16" t="str">
        <f>IFERROR(VLOOKUP($C50,Backpack!$B$10:$G1019,MATCH(D$34,Backpack!$B$9:$G$9,0),FALSE),"")</f>
        <v/>
      </c>
      <c r="E50" s="16" t="str">
        <f>IFERROR(VLOOKUP($C50,Backpack!$B$10:$G1019,MATCH(E$34,Backpack!$B$9:$G$9,0),FALSE),"")</f>
        <v/>
      </c>
      <c r="F50" s="16" t="str">
        <f>IFERROR(VLOOKUP($C50,Backpack!$B$10:$G1019,MATCH(F$34,Backpack!$B$9:$G$9,0),FALSE),"")</f>
        <v/>
      </c>
      <c r="G50" s="42"/>
      <c r="H50" s="42"/>
      <c r="I50" s="42"/>
      <c r="T50" s="14" t="s">
        <v>45</v>
      </c>
      <c r="U50" s="16" t="str">
        <f>IF(ISBLANK($C50),"",IF(IFERROR(VLOOKUP($C50,Backpack!$B$10:$G1019,MATCH("Slot",Backpack!$B$9:$G$9,0),FALSE),"")=T50,FALSE,TRUE))</f>
        <v/>
      </c>
      <c r="V50" s="16" t="str">
        <f>IF(ISBLANK($C50),"",IF(Value(IFERROR(VLOOKUP($C50,Backpack!$B$10:$G1019,MATCH("Level Requirement",Backpack!$B$9:$G$9,0),FALSE),""))&gt;Leveler!$B$13,TRUE,FALSE))</f>
        <v/>
      </c>
    </row>
    <row r="51">
      <c r="B51" s="40" t="s">
        <v>52</v>
      </c>
      <c r="C51" s="44"/>
      <c r="D51" s="16" t="str">
        <f>IFERROR(VLOOKUP($C51,Backpack!$B$10:$G1019,MATCH(D$34,Backpack!$B$9:$G$9,0),FALSE),"")</f>
        <v/>
      </c>
      <c r="E51" s="16" t="str">
        <f>IFERROR(VLOOKUP($C51,Backpack!$B$10:$G1019,MATCH(E$34,Backpack!$B$9:$G$9,0),FALSE),"")</f>
        <v/>
      </c>
      <c r="F51" s="16" t="str">
        <f>IFERROR(VLOOKUP($C51,Backpack!$B$10:$G1019,MATCH(F$34,Backpack!$B$9:$G$9,0),FALSE),"")</f>
        <v/>
      </c>
      <c r="G51" s="42"/>
      <c r="H51" s="42"/>
      <c r="I51" s="42"/>
      <c r="T51" s="14" t="s">
        <v>45</v>
      </c>
      <c r="U51" s="16" t="str">
        <f>IF(ISBLANK($C51),"",IF(IFERROR(VLOOKUP($C51,Backpack!$B$10:$G1019,MATCH("Slot",Backpack!$B$9:$G$9,0),FALSE),"")=T51,FALSE,TRUE))</f>
        <v/>
      </c>
      <c r="V51" s="16" t="str">
        <f>IF(ISBLANK($C51),"",IF(Value(IFERROR(VLOOKUP($C51,Backpack!$B$10:$G1019,MATCH("Level Requirement",Backpack!$B$9:$G$9,0),FALSE),""))&gt;Leveler!$B$13,TRUE,FALSE))</f>
        <v/>
      </c>
    </row>
    <row r="52">
      <c r="B52" s="40" t="s">
        <v>53</v>
      </c>
      <c r="C52" s="44"/>
      <c r="D52" s="16" t="str">
        <f>IFERROR(VLOOKUP($C52,Backpack!$B$10:$G1019,MATCH(D$34,Backpack!$B$9:$G$9,0),FALSE),"")</f>
        <v/>
      </c>
      <c r="E52" s="16" t="str">
        <f>IFERROR(VLOOKUP($C52,Backpack!$B$10:$G1019,MATCH(E$34,Backpack!$B$9:$G$9,0),FALSE),"")</f>
        <v/>
      </c>
      <c r="F52" s="16" t="str">
        <f>IFERROR(VLOOKUP($C52,Backpack!$B$10:$G1019,MATCH(F$34,Backpack!$B$9:$G$9,0),FALSE),"")</f>
        <v/>
      </c>
      <c r="G52" s="42"/>
      <c r="H52" s="42"/>
      <c r="I52" s="42"/>
      <c r="T52" s="14" t="s">
        <v>45</v>
      </c>
      <c r="U52" s="16" t="str">
        <f>IF(ISBLANK($C52),"",IF(IFERROR(VLOOKUP($C52,Backpack!$B$10:$G1019,MATCH("Slot",Backpack!$B$9:$G$9,0),FALSE),"")=T52,FALSE,TRUE))</f>
        <v/>
      </c>
      <c r="V52" s="16" t="str">
        <f>IF(ISBLANK($C52),"",IF(Value(IFERROR(VLOOKUP($C52,Backpack!$B$10:$G1019,MATCH("Level Requirement",Backpack!$B$9:$G$9,0),FALSE),""))&gt;Leveler!$B$13,TRUE,FALSE))</f>
        <v/>
      </c>
    </row>
    <row r="53">
      <c r="B53" s="40" t="s">
        <v>54</v>
      </c>
      <c r="C53" s="44"/>
      <c r="D53" s="16" t="str">
        <f>IFERROR(VLOOKUP($C53,Backpack!$B$10:$G1019,MATCH(D$34,Backpack!$B$9:$G$9,0),FALSE),"")</f>
        <v/>
      </c>
      <c r="E53" s="16" t="str">
        <f>IFERROR(VLOOKUP($C53,Backpack!$B$10:$G1019,MATCH(E$34,Backpack!$B$9:$G$9,0),FALSE),"")</f>
        <v/>
      </c>
      <c r="F53" s="16" t="str">
        <f>IFERROR(VLOOKUP($C53,Backpack!$B$10:$G1019,MATCH(F$34,Backpack!$B$9:$G$9,0),FALSE),"")</f>
        <v/>
      </c>
      <c r="G53" s="42"/>
      <c r="H53" s="42"/>
      <c r="I53" s="42"/>
      <c r="T53" s="14" t="s">
        <v>45</v>
      </c>
      <c r="U53" s="16" t="str">
        <f>IF(ISBLANK($C53),"",IF(IFERROR(VLOOKUP($C53,Backpack!$B$10:$G1019,MATCH("Slot",Backpack!$B$9:$G$9,0),FALSE),"")=T53,FALSE,TRUE))</f>
        <v/>
      </c>
      <c r="V53" s="16" t="str">
        <f>IF(ISBLANK($C53),"",IF(Value(IFERROR(VLOOKUP($C53,Backpack!$B$10:$G1019,MATCH("Level Requirement",Backpack!$B$9:$G$9,0),FALSE),""))&gt;Leveler!$B$13,TRUE,FALSE))</f>
        <v/>
      </c>
    </row>
    <row r="54">
      <c r="B54" s="40" t="s">
        <v>55</v>
      </c>
      <c r="C54" s="44"/>
      <c r="D54" s="16" t="str">
        <f>IFERROR(VLOOKUP($C54,Backpack!$B$10:$G1019,MATCH(D$34,Backpack!$B$9:$G$9,0),FALSE),"")</f>
        <v/>
      </c>
      <c r="E54" s="16" t="str">
        <f>IFERROR(VLOOKUP($C54,Backpack!$B$10:$G1019,MATCH(E$34,Backpack!$B$9:$G$9,0),FALSE),"")</f>
        <v/>
      </c>
      <c r="F54" s="16" t="str">
        <f>IFERROR(VLOOKUP($C54,Backpack!$B$10:$G1019,MATCH(F$34,Backpack!$B$9:$G$9,0),FALSE),"")</f>
        <v/>
      </c>
      <c r="G54" s="42"/>
      <c r="H54" s="42"/>
      <c r="I54" s="42"/>
      <c r="T54" s="14" t="s">
        <v>56</v>
      </c>
      <c r="U54" s="16" t="str">
        <f>IF(ISBLANK($C54),"",IF(IFERROR(VLOOKUP($C54,Backpack!$B$10:$G1019,MATCH("Slot",Backpack!$B$9:$G$9,0),FALSE),"")=T54,FALSE,TRUE))</f>
        <v/>
      </c>
      <c r="V54" s="16" t="str">
        <f>IF(ISBLANK($C54),"",IF(Value(IFERROR(VLOOKUP($C54,Backpack!$B$10:$G1019,MATCH("Level Requirement",Backpack!$B$9:$G$9,0),FALSE),""))&gt;Leveler!$B$13,TRUE,FALSE))</f>
        <v/>
      </c>
    </row>
    <row r="55">
      <c r="B55" s="40" t="s">
        <v>57</v>
      </c>
      <c r="C55" s="41" t="s">
        <v>58</v>
      </c>
      <c r="D55" s="16" t="str">
        <f>IFERROR(VLOOKUP($C55,Backpack!$B$10:$G1019,MATCH(D$34,Backpack!$B$9:$G$9,0),FALSE),"")</f>
        <v/>
      </c>
      <c r="E55" s="16" t="str">
        <f>IFERROR(VLOOKUP($C55,Backpack!$B$10:$G1019,MATCH(E$34,Backpack!$B$9:$G$9,0),FALSE),"")</f>
        <v/>
      </c>
      <c r="F55" s="16" t="str">
        <f>IFERROR(VLOOKUP($C55,Backpack!$B$10:$G1019,MATCH(F$34,Backpack!$B$9:$G$9,0),FALSE),"")</f>
        <v> (Ranger Set) +5 evasion +Only archers can equip, +Cannot be duplicated or forged.</v>
      </c>
      <c r="G55" s="42"/>
      <c r="H55" s="42"/>
      <c r="I55" s="42"/>
      <c r="T55" s="14" t="s">
        <v>59</v>
      </c>
      <c r="U55" s="16" t="b">
        <f>IF(ISBLANK($C55),"",IF(IFERROR(VLOOKUP($C55,Backpack!$B$10:$G1019,MATCH("Slot",Backpack!$B$9:$G$9,0),FALSE),"")=T55,FALSE,TRUE))</f>
        <v>0</v>
      </c>
      <c r="V55" s="16" t="b">
        <f>IF(ISBLANK($C55),"",IF(Value(IFERROR(VLOOKUP($C55,Backpack!$B$10:$G1019,MATCH("Level Requirement",Backpack!$B$9:$G$9,0),FALSE),""))&gt;Leveler!$B$13,TRUE,FALSE))</f>
        <v>0</v>
      </c>
    </row>
    <row r="57">
      <c r="B57" s="45" t="s">
        <v>60</v>
      </c>
    </row>
    <row r="58">
      <c r="B58" s="46" t="s">
        <v>61</v>
      </c>
      <c r="C58" s="14" t="b">
        <v>0</v>
      </c>
      <c r="D58" s="46" t="s">
        <v>62</v>
      </c>
      <c r="E58" s="14" t="b">
        <v>0</v>
      </c>
    </row>
    <row r="59">
      <c r="B59" s="47" t="s">
        <v>63</v>
      </c>
      <c r="D59" s="48" t="s">
        <v>63</v>
      </c>
    </row>
    <row r="60">
      <c r="B60" s="46"/>
    </row>
    <row r="61">
      <c r="B61" s="46" t="s">
        <v>64</v>
      </c>
      <c r="C61" s="14" t="b">
        <v>0</v>
      </c>
      <c r="D61" s="46" t="s">
        <v>65</v>
      </c>
      <c r="E61" s="14" t="b">
        <v>0</v>
      </c>
    </row>
    <row r="62">
      <c r="B62" s="47" t="s">
        <v>63</v>
      </c>
      <c r="D62" s="48" t="s">
        <v>63</v>
      </c>
    </row>
    <row r="63">
      <c r="B63" s="46"/>
    </row>
    <row r="64">
      <c r="B64" s="46" t="s">
        <v>66</v>
      </c>
      <c r="C64" s="14" t="b">
        <v>0</v>
      </c>
      <c r="D64" s="46" t="s">
        <v>67</v>
      </c>
      <c r="E64" s="14" t="b">
        <v>0</v>
      </c>
    </row>
    <row r="65">
      <c r="B65" s="47" t="s">
        <v>63</v>
      </c>
      <c r="D65" s="48" t="s">
        <v>63</v>
      </c>
    </row>
    <row r="66">
      <c r="B66" s="46"/>
    </row>
    <row r="67">
      <c r="B67" s="46" t="s">
        <v>68</v>
      </c>
      <c r="C67" s="14" t="b">
        <v>0</v>
      </c>
      <c r="D67" s="46" t="s">
        <v>69</v>
      </c>
      <c r="E67" s="14" t="b">
        <v>0</v>
      </c>
    </row>
    <row r="68">
      <c r="B68" s="47" t="s">
        <v>63</v>
      </c>
      <c r="D68" s="48" t="s">
        <v>63</v>
      </c>
    </row>
    <row r="69">
      <c r="B69" s="46"/>
    </row>
    <row r="70">
      <c r="B70" s="46" t="s">
        <v>70</v>
      </c>
      <c r="C70" s="14" t="b">
        <v>0</v>
      </c>
      <c r="D70" s="46" t="s">
        <v>71</v>
      </c>
      <c r="E70" s="14" t="b">
        <v>0</v>
      </c>
    </row>
    <row r="71">
      <c r="B71" s="47" t="s">
        <v>72</v>
      </c>
      <c r="C71" s="16"/>
      <c r="D71" s="48" t="s">
        <v>63</v>
      </c>
    </row>
    <row r="72">
      <c r="B72" s="47" t="s">
        <v>73</v>
      </c>
    </row>
    <row r="73">
      <c r="B73" s="49" t="str">
        <f>HYPERLINK("https://docs.google.com/spreadsheets/d/1eSUtUwW_74KQVD7cwEk5N1aAXJ6VaYm26Np7dzqyft8", "Wanted Board")</f>
        <v>Wanted Board</v>
      </c>
    </row>
    <row r="74">
      <c r="B74" s="50"/>
    </row>
    <row r="75">
      <c r="B75" s="50"/>
    </row>
    <row r="76">
      <c r="B76" s="51" t="s">
        <v>74</v>
      </c>
      <c r="C76" s="38" t="s">
        <v>75</v>
      </c>
      <c r="D76" s="38" t="s">
        <v>76</v>
      </c>
      <c r="E76" s="38" t="s">
        <v>25</v>
      </c>
      <c r="F76" s="38" t="s">
        <v>77</v>
      </c>
      <c r="H76" s="38" t="s">
        <v>78</v>
      </c>
      <c r="J76" s="38" t="s">
        <v>25</v>
      </c>
      <c r="K76" s="38" t="s">
        <v>79</v>
      </c>
      <c r="L76" s="38" t="s">
        <v>26</v>
      </c>
      <c r="M76" s="38" t="s">
        <v>80</v>
      </c>
    </row>
    <row r="77">
      <c r="B77" s="52" t="str">
        <f>IFERROR(__xludf.DUMMYFUNCTION("ifna(QUERY(Achievements!A2:G1019,""Select A where G = True""))"),"Welcome to The Land of Spira")</f>
        <v>Welcome to The Land of Spira</v>
      </c>
      <c r="C77" s="14" t="b">
        <v>0</v>
      </c>
      <c r="D77" s="53" t="str">
        <f>IFERROR(__xludf.DUMMYFUNCTION("ifna(ARRAYFORMULA(QUERY(to_text(NotorietyCombined!A2:G1019),""Select Col2,Col3,Col5 where Col1 = '""""""&amp;Leveler!F5&amp;""""""'"")))"),"")</f>
        <v/>
      </c>
      <c r="E77" s="54"/>
      <c r="F77" s="55"/>
      <c r="H77" s="56" t="str">
        <f>IFERROR(__xludf.DUMMYFUNCTION("ifna(QUERY(Quest_Tracker!A2:I1019,""Select A where G = True Or I = True""))"),"")</f>
        <v/>
      </c>
      <c r="I77" s="2"/>
      <c r="J77" s="57" t="str">
        <f>ifna(HYPERLINK("#gid=1523906944&amp;range="&amp;REPLACE(REPLACE(Address(CELL("row",VLOOKUP($H77,Quest_Tracker!$A$2:$B$900,2,FALSE)),CELL("col",VLOOKUP($H77,Quest_Tracker!$A$2:$B$900,2,FALSE))),1,1,""),2,1,""),VLOOKUP($H77,Quest_Tracker!$A$2:$B$900,2,FALSE)))</f>
        <v/>
      </c>
      <c r="K77" s="58" t="str">
        <f>ifna(VLOOKUP($H77,Quest_Tracker!$A$2:$I$900,9,FALSE))</f>
        <v/>
      </c>
      <c r="L77" s="58" t="str">
        <f>ifna(VLOOKUP($H77,Quest_Tracker!$A$2:$I$900,3,FALSE))</f>
        <v/>
      </c>
      <c r="M77" s="59" t="str">
        <f>ifna(VLOOKUP($H77,Quest_Tracker!$A$2:$I$900,4,FALSE))</f>
        <v/>
      </c>
    </row>
    <row r="78">
      <c r="B78" s="52"/>
      <c r="C78" s="14" t="b">
        <v>0</v>
      </c>
      <c r="D78" s="53"/>
      <c r="E78" s="54"/>
      <c r="F78" s="55"/>
      <c r="H78" s="56"/>
      <c r="I78" s="2"/>
      <c r="J78" s="34" t="str">
        <f>ifna(HYPERLINK("#gid=1523906944&amp;range="&amp;REPLACE(REPLACE(Address(CELL("row",VLOOKUP($H78,Quest_Tracker!$A$2:$B$900,2,FALSE)),CELL("col",VLOOKUP($H78,Quest_Tracker!$A$2:$B$900,2,FALSE))),1,1,""),2,1,""),VLOOKUP($H78,Quest_Tracker!$A$2:$B$900,2,FALSE)))</f>
        <v/>
      </c>
      <c r="K78" s="58" t="str">
        <f>ifna(VLOOKUP($H78,Quest_Tracker!$A$2:$I$900,9,FALSE))</f>
        <v/>
      </c>
      <c r="L78" s="58" t="str">
        <f>ifna(VLOOKUP($H78,Quest_Tracker!$A$2:$I$900,3,FALSE))</f>
        <v/>
      </c>
      <c r="M78" s="59" t="str">
        <f>ifna(VLOOKUP($H78,Quest_Tracker!$A$2:$I$900,4,FALSE))</f>
        <v/>
      </c>
      <c r="N78" s="60"/>
    </row>
    <row r="79">
      <c r="B79" s="52"/>
      <c r="C79" s="14" t="b">
        <v>0</v>
      </c>
      <c r="D79" s="53"/>
      <c r="E79" s="54"/>
      <c r="F79" s="55"/>
      <c r="H79" s="56"/>
      <c r="I79" s="2"/>
      <c r="J79" s="34" t="str">
        <f>ifna(HYPERLINK("#gid=1523906944&amp;range="&amp;REPLACE(REPLACE(Address(CELL("row",VLOOKUP($H79,Quest_Tracker!$A$2:$B$900,2,FALSE)),CELL("col",VLOOKUP($H79,Quest_Tracker!$A$2:$B$900,2,FALSE))),1,1,""),2,1,""),VLOOKUP($H79,Quest_Tracker!$A$2:$B$900,2,FALSE)))</f>
        <v/>
      </c>
      <c r="K79" s="58" t="str">
        <f>ifna(VLOOKUP($H79,Quest_Tracker!$A$2:$I$900,9,FALSE))</f>
        <v/>
      </c>
      <c r="L79" s="58" t="str">
        <f>ifna(VLOOKUP($H79,Quest_Tracker!$A$2:$I$900,3,FALSE))</f>
        <v/>
      </c>
      <c r="M79" s="59" t="str">
        <f>ifna(VLOOKUP($H79,Quest_Tracker!$A$2:$I$900,4,FALSE))</f>
        <v/>
      </c>
    </row>
    <row r="80">
      <c r="B80" s="61"/>
      <c r="C80" s="14" t="b">
        <v>0</v>
      </c>
      <c r="D80" s="53"/>
      <c r="E80" s="54"/>
      <c r="F80" s="55"/>
      <c r="H80" s="56"/>
      <c r="I80" s="2"/>
      <c r="J80" s="34" t="str">
        <f>ifna(HYPERLINK("#gid=1523906944&amp;range="&amp;REPLACE(REPLACE(Address(CELL("row",VLOOKUP($H80,Quest_Tracker!$A$2:$B$900,2,FALSE)),CELL("col",VLOOKUP($H80,Quest_Tracker!$A$2:$B$900,2,FALSE))),1,1,""),2,1,""),VLOOKUP($H80,Quest_Tracker!$A$2:$B$900,2,FALSE)))</f>
        <v/>
      </c>
      <c r="K80" s="58" t="str">
        <f>ifna(VLOOKUP($H80,Quest_Tracker!$A$2:$I$900,9,FALSE))</f>
        <v/>
      </c>
      <c r="L80" s="58" t="str">
        <f>ifna(VLOOKUP($H80,Quest_Tracker!$A$2:$I$900,3,FALSE))</f>
        <v/>
      </c>
      <c r="M80" s="59" t="str">
        <f>ifna(VLOOKUP($H80,Quest_Tracker!$A$2:$I$900,4,FALSE))</f>
        <v/>
      </c>
    </row>
    <row r="81">
      <c r="B81" s="61"/>
      <c r="C81" s="14" t="b">
        <v>0</v>
      </c>
      <c r="D81" s="53"/>
      <c r="E81" s="54"/>
      <c r="F81" s="55"/>
      <c r="H81" s="56"/>
      <c r="I81" s="2"/>
      <c r="J81" s="34" t="str">
        <f>ifna(HYPERLINK("#gid=1523906944&amp;range="&amp;REPLACE(REPLACE(Address(CELL("row",VLOOKUP($H81,Quest_Tracker!$A$2:$B$900,2,FALSE)),CELL("col",VLOOKUP($H81,Quest_Tracker!$A$2:$B$900,2,FALSE))),1,1,""),2,1,""),VLOOKUP($H81,Quest_Tracker!$A$2:$B$900,2,FALSE)))</f>
        <v/>
      </c>
      <c r="K81" s="58" t="str">
        <f>ifna(VLOOKUP($H81,Quest_Tracker!$A$2:$I$900,9,FALSE))</f>
        <v/>
      </c>
      <c r="L81" s="58" t="str">
        <f>ifna(VLOOKUP($H81,Quest_Tracker!$A$2:$I$900,3,FALSE))</f>
        <v/>
      </c>
      <c r="M81" s="59" t="str">
        <f>ifna(VLOOKUP($H81,Quest_Tracker!$A$2:$I$900,4,FALSE))</f>
        <v/>
      </c>
    </row>
    <row r="82">
      <c r="B82" s="61"/>
      <c r="C82" s="14" t="b">
        <v>0</v>
      </c>
      <c r="D82" s="53"/>
      <c r="E82" s="54"/>
      <c r="F82" s="55"/>
      <c r="H82" s="56"/>
      <c r="I82" s="2"/>
      <c r="J82" s="34" t="str">
        <f>ifna(HYPERLINK("#gid=1523906944&amp;range="&amp;REPLACE(REPLACE(Address(CELL("row",VLOOKUP($H82,Quest_Tracker!$A$2:$B$900,2,FALSE)),CELL("col",VLOOKUP($H82,Quest_Tracker!$A$2:$B$900,2,FALSE))),1,1,""),2,1,""),VLOOKUP($H82,Quest_Tracker!$A$2:$B$900,2,FALSE)))</f>
        <v/>
      </c>
      <c r="K82" s="58" t="str">
        <f>ifna(VLOOKUP($H82,Quest_Tracker!$A$2:$I$900,9,FALSE))</f>
        <v/>
      </c>
      <c r="L82" s="58" t="str">
        <f>ifna(VLOOKUP($H82,Quest_Tracker!$A$2:$I$900,3,FALSE))</f>
        <v/>
      </c>
      <c r="M82" s="59" t="str">
        <f>ifna(VLOOKUP($H82,Quest_Tracker!$A$2:$I$900,4,FALSE))</f>
        <v/>
      </c>
    </row>
    <row r="83">
      <c r="B83" s="61"/>
      <c r="C83" s="14" t="b">
        <v>0</v>
      </c>
      <c r="D83" s="53"/>
      <c r="E83" s="54"/>
      <c r="F83" s="55"/>
      <c r="H83" s="56"/>
      <c r="I83" s="2"/>
      <c r="J83" s="34" t="str">
        <f>ifna(HYPERLINK("#gid=1523906944&amp;range="&amp;REPLACE(REPLACE(Address(CELL("row",VLOOKUP($H83,Quest_Tracker!$A$2:$B$900,2,FALSE)),CELL("col",VLOOKUP($H83,Quest_Tracker!$A$2:$B$900,2,FALSE))),1,1,""),2,1,""),VLOOKUP($H83,Quest_Tracker!$A$2:$B$900,2,FALSE)))</f>
        <v/>
      </c>
      <c r="K83" s="58" t="str">
        <f>ifna(VLOOKUP($H83,Quest_Tracker!$A$2:$I$900,9,FALSE))</f>
        <v/>
      </c>
      <c r="L83" s="58" t="str">
        <f>ifna(VLOOKUP($H83,Quest_Tracker!$A$2:$I$900,3,FALSE))</f>
        <v/>
      </c>
      <c r="M83" s="59" t="str">
        <f>ifna(VLOOKUP($H83,Quest_Tracker!$A$2:$I$900,4,FALSE))</f>
        <v/>
      </c>
    </row>
    <row r="84">
      <c r="B84" s="61"/>
      <c r="C84" s="14" t="b">
        <v>0</v>
      </c>
      <c r="D84" s="53"/>
      <c r="E84" s="54"/>
      <c r="F84" s="55"/>
      <c r="H84" s="56"/>
      <c r="I84" s="2"/>
      <c r="J84" s="34" t="str">
        <f>ifna(HYPERLINK("#gid=1523906944&amp;range="&amp;REPLACE(REPLACE(Address(CELL("row",VLOOKUP($H84,Quest_Tracker!$A$2:$B$900,2,FALSE)),CELL("col",VLOOKUP($H84,Quest_Tracker!$A$2:$B$900,2,FALSE))),1,1,""),2,1,""),VLOOKUP($H84,Quest_Tracker!$A$2:$B$900,2,FALSE)))</f>
        <v/>
      </c>
      <c r="K84" s="58" t="str">
        <f>ifna(VLOOKUP($H84,Quest_Tracker!$A$2:$I$900,9,FALSE))</f>
        <v/>
      </c>
      <c r="L84" s="58" t="str">
        <f>ifna(VLOOKUP($H84,Quest_Tracker!$A$2:$I$900,3,FALSE))</f>
        <v/>
      </c>
      <c r="M84" s="59" t="str">
        <f>ifna(VLOOKUP($H84,Quest_Tracker!$A$2:$I$900,4,FALSE))</f>
        <v/>
      </c>
    </row>
    <row r="85">
      <c r="B85" s="61"/>
      <c r="C85" s="14" t="b">
        <v>0</v>
      </c>
      <c r="D85" s="53"/>
      <c r="E85" s="54"/>
      <c r="F85" s="55"/>
      <c r="H85" s="56"/>
      <c r="I85" s="2"/>
      <c r="J85" s="34" t="str">
        <f>ifna(HYPERLINK("#gid=1523906944&amp;range="&amp;REPLACE(REPLACE(Address(CELL("row",VLOOKUP($H85,Quest_Tracker!$A$2:$B$900,2,FALSE)),CELL("col",VLOOKUP($H85,Quest_Tracker!$A$2:$B$900,2,FALSE))),1,1,""),2,1,""),VLOOKUP($H85,Quest_Tracker!$A$2:$B$900,2,FALSE)))</f>
        <v/>
      </c>
      <c r="K85" s="58" t="str">
        <f>ifna(VLOOKUP($H85,Quest_Tracker!$A$2:$I$900,9,FALSE))</f>
        <v/>
      </c>
      <c r="L85" s="58" t="str">
        <f>ifna(VLOOKUP($H85,Quest_Tracker!$A$2:$I$900,3,FALSE))</f>
        <v/>
      </c>
      <c r="M85" s="59" t="str">
        <f>ifna(VLOOKUP($H85,Quest_Tracker!$A$2:$I$900,4,FALSE))</f>
        <v/>
      </c>
    </row>
    <row r="86">
      <c r="B86" s="61"/>
      <c r="C86" s="14" t="b">
        <v>0</v>
      </c>
      <c r="D86" s="53"/>
      <c r="E86" s="54"/>
      <c r="F86" s="55"/>
      <c r="H86" s="56"/>
      <c r="I86" s="2"/>
      <c r="J86" s="34" t="str">
        <f>ifna(HYPERLINK("#gid=1523906944&amp;range="&amp;REPLACE(REPLACE(Address(CELL("row",VLOOKUP($H86,Quest_Tracker!$A$2:$B$900,2,FALSE)),CELL("col",VLOOKUP($H86,Quest_Tracker!$A$2:$B$900,2,FALSE))),1,1,""),2,1,""),VLOOKUP($H86,Quest_Tracker!$A$2:$B$900,2,FALSE)))</f>
        <v/>
      </c>
      <c r="K86" s="58" t="str">
        <f>ifna(VLOOKUP($H86,Quest_Tracker!$A$2:$I$900,9,FALSE))</f>
        <v/>
      </c>
      <c r="L86" s="58" t="str">
        <f>ifna(VLOOKUP($H86,Quest_Tracker!$A$2:$I$900,3,FALSE))</f>
        <v/>
      </c>
      <c r="M86" s="59" t="str">
        <f>ifna(VLOOKUP($H86,Quest_Tracker!$A$2:$I$900,4,FALSE))</f>
        <v/>
      </c>
    </row>
    <row r="87">
      <c r="B87" s="61"/>
      <c r="C87" s="14" t="b">
        <v>0</v>
      </c>
      <c r="D87" s="53"/>
      <c r="E87" s="54"/>
      <c r="F87" s="55"/>
      <c r="H87" s="56"/>
      <c r="I87" s="2"/>
      <c r="J87" s="34" t="str">
        <f>ifna(HYPERLINK("#gid=1523906944&amp;range="&amp;REPLACE(REPLACE(Address(CELL("row",VLOOKUP($H87,Quest_Tracker!$A$2:$B$900,2,FALSE)),CELL("col",VLOOKUP($H87,Quest_Tracker!$A$2:$B$900,2,FALSE))),1,1,""),2,1,""),VLOOKUP($H87,Quest_Tracker!$A$2:$B$900,2,FALSE)))</f>
        <v/>
      </c>
      <c r="K87" s="58" t="str">
        <f>ifna(VLOOKUP($H87,Quest_Tracker!$A$2:$I$900,9,FALSE))</f>
        <v/>
      </c>
      <c r="L87" s="58" t="str">
        <f>ifna(VLOOKUP($H87,Quest_Tracker!$A$2:$I$900,3,FALSE))</f>
        <v/>
      </c>
      <c r="M87" s="59" t="str">
        <f>ifna(VLOOKUP($H87,Quest_Tracker!$A$2:$I$900,4,FALSE))</f>
        <v/>
      </c>
    </row>
    <row r="88">
      <c r="B88" s="61"/>
      <c r="C88" s="14" t="b">
        <v>0</v>
      </c>
      <c r="D88" s="53"/>
      <c r="E88" s="54"/>
      <c r="F88" s="55"/>
      <c r="H88" s="56"/>
      <c r="I88" s="2"/>
      <c r="J88" s="34" t="str">
        <f>ifna(HYPERLINK("#gid=1523906944&amp;range="&amp;REPLACE(REPLACE(Address(CELL("row",VLOOKUP($H88,Quest_Tracker!$A$2:$B$900,2,FALSE)),CELL("col",VLOOKUP($H88,Quest_Tracker!$A$2:$B$900,2,FALSE))),1,1,""),2,1,""),VLOOKUP($H88,Quest_Tracker!$A$2:$B$900,2,FALSE)))</f>
        <v/>
      </c>
      <c r="K88" s="58" t="str">
        <f>ifna(VLOOKUP($H88,Quest_Tracker!$A$2:$I$900,9,FALSE))</f>
        <v/>
      </c>
      <c r="L88" s="58" t="str">
        <f>ifna(VLOOKUP($H88,Quest_Tracker!$A$2:$I$900,3,FALSE))</f>
        <v/>
      </c>
      <c r="M88" s="59" t="str">
        <f>ifna(VLOOKUP($H88,Quest_Tracker!$A$2:$I$900,4,FALSE))</f>
        <v/>
      </c>
    </row>
    <row r="89">
      <c r="B89" s="61"/>
      <c r="C89" s="14" t="b">
        <v>0</v>
      </c>
      <c r="D89" s="53"/>
      <c r="E89" s="54"/>
      <c r="F89" s="55"/>
      <c r="H89" s="56"/>
      <c r="I89" s="2"/>
      <c r="J89" s="34" t="str">
        <f>ifna(HYPERLINK("#gid=1523906944&amp;range="&amp;REPLACE(REPLACE(Address(CELL("row",VLOOKUP($H89,Quest_Tracker!$A$2:$B$900,2,FALSE)),CELL("col",VLOOKUP($H89,Quest_Tracker!$A$2:$B$900,2,FALSE))),1,1,""),2,1,""),VLOOKUP($H89,Quest_Tracker!$A$2:$B$900,2,FALSE)))</f>
        <v/>
      </c>
      <c r="K89" s="58" t="str">
        <f>ifna(VLOOKUP($H89,Quest_Tracker!$A$2:$I$900,9,FALSE))</f>
        <v/>
      </c>
      <c r="L89" s="58" t="str">
        <f>ifna(VLOOKUP($H89,Quest_Tracker!$A$2:$I$900,3,FALSE))</f>
        <v/>
      </c>
      <c r="M89" s="59" t="str">
        <f>ifna(VLOOKUP($H89,Quest_Tracker!$A$2:$I$900,4,FALSE))</f>
        <v/>
      </c>
    </row>
    <row r="90">
      <c r="B90" s="61"/>
      <c r="C90" s="14" t="b">
        <v>0</v>
      </c>
      <c r="D90" s="53"/>
      <c r="E90" s="54"/>
      <c r="F90" s="55"/>
      <c r="H90" s="56"/>
      <c r="I90" s="2"/>
      <c r="J90" s="34" t="str">
        <f>ifna(HYPERLINK("#gid=1523906944&amp;range="&amp;REPLACE(REPLACE(Address(CELL("row",VLOOKUP($H90,Quest_Tracker!$A$2:$B$900,2,FALSE)),CELL("col",VLOOKUP($H90,Quest_Tracker!$A$2:$B$900,2,FALSE))),1,1,""),2,1,""),VLOOKUP($H90,Quest_Tracker!$A$2:$B$900,2,FALSE)))</f>
        <v/>
      </c>
      <c r="K90" s="58" t="str">
        <f>ifna(VLOOKUP($H90,Quest_Tracker!$A$2:$I$900,9,FALSE))</f>
        <v/>
      </c>
      <c r="L90" s="58" t="str">
        <f>ifna(VLOOKUP($H90,Quest_Tracker!$A$2:$I$900,3,FALSE))</f>
        <v/>
      </c>
      <c r="M90" s="59" t="str">
        <f>ifna(VLOOKUP($H90,Quest_Tracker!$A$2:$I$900,4,FALSE))</f>
        <v/>
      </c>
    </row>
    <row r="91">
      <c r="B91" s="61"/>
      <c r="C91" s="14" t="b">
        <v>0</v>
      </c>
      <c r="D91" s="53"/>
      <c r="E91" s="54"/>
      <c r="F91" s="55"/>
      <c r="H91" s="56"/>
      <c r="I91" s="2"/>
      <c r="J91" s="34" t="str">
        <f>ifna(HYPERLINK("#gid=1523906944&amp;range="&amp;REPLACE(REPLACE(Address(CELL("row",VLOOKUP($H91,Quest_Tracker!$A$2:$B$900,2,FALSE)),CELL("col",VLOOKUP($H91,Quest_Tracker!$A$2:$B$900,2,FALSE))),1,1,""),2,1,""),VLOOKUP($H91,Quest_Tracker!$A$2:$B$900,2,FALSE)))</f>
        <v/>
      </c>
      <c r="K91" s="58" t="str">
        <f>ifna(VLOOKUP($H91,Quest_Tracker!$A$2:$I$900,9,FALSE))</f>
        <v/>
      </c>
      <c r="L91" s="58" t="str">
        <f>ifna(VLOOKUP($H91,Quest_Tracker!$A$2:$I$900,3,FALSE))</f>
        <v/>
      </c>
      <c r="M91" s="59" t="str">
        <f>ifna(VLOOKUP($H91,Quest_Tracker!$A$2:$I$900,4,FALSE))</f>
        <v/>
      </c>
    </row>
    <row r="92">
      <c r="B92" s="61"/>
      <c r="C92" s="14" t="b">
        <v>0</v>
      </c>
      <c r="D92" s="53"/>
      <c r="E92" s="54"/>
      <c r="F92" s="55"/>
      <c r="H92" s="56"/>
      <c r="I92" s="2"/>
      <c r="J92" s="34" t="str">
        <f>ifna(HYPERLINK("#gid=1523906944&amp;range="&amp;REPLACE(REPLACE(Address(CELL("row",VLOOKUP($H92,Quest_Tracker!$A$2:$B$900,2,FALSE)),CELL("col",VLOOKUP($H92,Quest_Tracker!$A$2:$B$900,2,FALSE))),1,1,""),2,1,""),VLOOKUP($H92,Quest_Tracker!$A$2:$B$900,2,FALSE)))</f>
        <v/>
      </c>
      <c r="K92" s="58" t="str">
        <f>ifna(VLOOKUP($H92,Quest_Tracker!$A$2:$I$900,9,FALSE))</f>
        <v/>
      </c>
      <c r="L92" s="58" t="str">
        <f>ifna(VLOOKUP($H92,Quest_Tracker!$A$2:$I$900,3,FALSE))</f>
        <v/>
      </c>
      <c r="M92" s="59" t="str">
        <f>ifna(VLOOKUP($H92,Quest_Tracker!$A$2:$I$900,4,FALSE))</f>
        <v/>
      </c>
    </row>
    <row r="93">
      <c r="B93" s="61"/>
      <c r="C93" s="14" t="b">
        <v>0</v>
      </c>
      <c r="D93" s="53"/>
      <c r="E93" s="54"/>
      <c r="F93" s="55"/>
      <c r="H93" s="56"/>
      <c r="I93" s="2"/>
      <c r="J93" s="34" t="str">
        <f>ifna(HYPERLINK("#gid=1523906944&amp;range="&amp;REPLACE(REPLACE(Address(CELL("row",VLOOKUP($H93,Quest_Tracker!$A$2:$B$900,2,FALSE)),CELL("col",VLOOKUP($H93,Quest_Tracker!$A$2:$B$900,2,FALSE))),1,1,""),2,1,""),VLOOKUP($H93,Quest_Tracker!$A$2:$B$900,2,FALSE)))</f>
        <v/>
      </c>
      <c r="K93" s="58" t="str">
        <f>ifna(VLOOKUP($H93,Quest_Tracker!$A$2:$I$900,9,FALSE))</f>
        <v/>
      </c>
      <c r="L93" s="58" t="str">
        <f>ifna(VLOOKUP($H93,Quest_Tracker!$A$2:$I$900,3,FALSE))</f>
        <v/>
      </c>
      <c r="M93" s="59" t="str">
        <f>ifna(VLOOKUP($H93,Quest_Tracker!$A$2:$I$900,4,FALSE))</f>
        <v/>
      </c>
    </row>
    <row r="94">
      <c r="B94" s="61"/>
      <c r="C94" s="14" t="b">
        <v>0</v>
      </c>
      <c r="D94" s="53"/>
      <c r="E94" s="54"/>
      <c r="F94" s="55"/>
      <c r="H94" s="56"/>
      <c r="I94" s="2"/>
      <c r="J94" s="34" t="str">
        <f>ifna(HYPERLINK("#gid=1523906944&amp;range="&amp;REPLACE(REPLACE(Address(CELL("row",VLOOKUP($H94,Quest_Tracker!$A$2:$B$900,2,FALSE)),CELL("col",VLOOKUP($H94,Quest_Tracker!$A$2:$B$900,2,FALSE))),1,1,""),2,1,""),VLOOKUP($H94,Quest_Tracker!$A$2:$B$900,2,FALSE)))</f>
        <v/>
      </c>
      <c r="K94" s="58" t="str">
        <f>ifna(VLOOKUP($H94,Quest_Tracker!$A$2:$I$900,9,FALSE))</f>
        <v/>
      </c>
      <c r="L94" s="58" t="str">
        <f>ifna(VLOOKUP($H94,Quest_Tracker!$A$2:$I$900,3,FALSE))</f>
        <v/>
      </c>
      <c r="M94" s="59" t="str">
        <f>ifna(VLOOKUP($H94,Quest_Tracker!$A$2:$I$900,4,FALSE))</f>
        <v/>
      </c>
    </row>
    <row r="95">
      <c r="B95" s="61"/>
      <c r="C95" s="14" t="b">
        <v>0</v>
      </c>
      <c r="D95" s="53"/>
      <c r="E95" s="54"/>
      <c r="F95" s="55"/>
      <c r="H95" s="56"/>
      <c r="I95" s="2"/>
      <c r="J95" s="34" t="str">
        <f>ifna(HYPERLINK("#gid=1523906944&amp;range="&amp;REPLACE(REPLACE(Address(CELL("row",VLOOKUP($H95,Quest_Tracker!$A$2:$B$900,2,FALSE)),CELL("col",VLOOKUP($H95,Quest_Tracker!$A$2:$B$900,2,FALSE))),1,1,""),2,1,""),VLOOKUP($H95,Quest_Tracker!$A$2:$B$900,2,FALSE)))</f>
        <v/>
      </c>
      <c r="K95" s="58" t="str">
        <f>ifna(VLOOKUP($H95,Quest_Tracker!$A$2:$I$900,9,FALSE))</f>
        <v/>
      </c>
      <c r="L95" s="58" t="str">
        <f>ifna(VLOOKUP($H95,Quest_Tracker!$A$2:$I$900,3,FALSE))</f>
        <v/>
      </c>
      <c r="M95" s="59" t="str">
        <f>ifna(VLOOKUP($H95,Quest_Tracker!$A$2:$I$900,4,FALSE))</f>
        <v/>
      </c>
    </row>
    <row r="96">
      <c r="B96" s="61"/>
      <c r="C96" s="14" t="b">
        <v>0</v>
      </c>
      <c r="D96" s="53"/>
      <c r="E96" s="54"/>
      <c r="F96" s="55"/>
      <c r="H96" s="56"/>
      <c r="I96" s="2"/>
      <c r="J96" s="34" t="str">
        <f>ifna(HYPERLINK("#gid=1523906944&amp;range="&amp;REPLACE(REPLACE(Address(CELL("row",VLOOKUP($H96,Quest_Tracker!$A$2:$B$900,2,FALSE)),CELL("col",VLOOKUP($H96,Quest_Tracker!$A$2:$B$900,2,FALSE))),1,1,""),2,1,""),VLOOKUP($H96,Quest_Tracker!$A$2:$B$900,2,FALSE)))</f>
        <v/>
      </c>
      <c r="K96" s="58" t="str">
        <f>ifna(VLOOKUP($H96,Quest_Tracker!$A$2:$I$900,9,FALSE))</f>
        <v/>
      </c>
      <c r="L96" s="58" t="str">
        <f>ifna(VLOOKUP($H96,Quest_Tracker!$A$2:$I$900,3,FALSE))</f>
        <v/>
      </c>
      <c r="M96" s="59" t="str">
        <f>ifna(VLOOKUP($H96,Quest_Tracker!$A$2:$I$900,4,FALSE))</f>
        <v/>
      </c>
    </row>
    <row r="97">
      <c r="B97" s="61"/>
      <c r="C97" s="14" t="b">
        <v>0</v>
      </c>
      <c r="D97" s="53"/>
      <c r="E97" s="54"/>
      <c r="F97" s="55"/>
      <c r="H97" s="56"/>
      <c r="I97" s="2"/>
      <c r="J97" s="34" t="str">
        <f>ifna(HYPERLINK("#gid=1523906944&amp;range="&amp;REPLACE(REPLACE(Address(CELL("row",VLOOKUP($H97,Quest_Tracker!$A$2:$B$900,2,FALSE)),CELL("col",VLOOKUP($H97,Quest_Tracker!$A$2:$B$900,2,FALSE))),1,1,""),2,1,""),VLOOKUP($H97,Quest_Tracker!$A$2:$B$900,2,FALSE)))</f>
        <v/>
      </c>
      <c r="K97" s="58" t="str">
        <f>ifna(VLOOKUP($H97,Quest_Tracker!$A$2:$I$900,9,FALSE))</f>
        <v/>
      </c>
      <c r="L97" s="58" t="str">
        <f>ifna(VLOOKUP($H97,Quest_Tracker!$A$2:$I$900,3,FALSE))</f>
        <v/>
      </c>
      <c r="M97" s="59" t="str">
        <f>ifna(VLOOKUP($H97,Quest_Tracker!$A$2:$I$900,4,FALSE))</f>
        <v/>
      </c>
    </row>
    <row r="98">
      <c r="B98" s="61"/>
      <c r="C98" s="14" t="b">
        <v>0</v>
      </c>
      <c r="D98" s="53"/>
      <c r="E98" s="54"/>
      <c r="F98" s="55"/>
      <c r="H98" s="56"/>
      <c r="I98" s="2"/>
      <c r="J98" s="34" t="str">
        <f>ifna(HYPERLINK("#gid=1523906944&amp;range="&amp;REPLACE(REPLACE(Address(CELL("row",VLOOKUP($H98,Quest_Tracker!$A$2:$B$900,2,FALSE)),CELL("col",VLOOKUP($H98,Quest_Tracker!$A$2:$B$900,2,FALSE))),1,1,""),2,1,""),VLOOKUP($H98,Quest_Tracker!$A$2:$B$900,2,FALSE)))</f>
        <v/>
      </c>
      <c r="K98" s="58" t="str">
        <f>ifna(VLOOKUP($H98,Quest_Tracker!$A$2:$I$900,9,FALSE))</f>
        <v/>
      </c>
      <c r="L98" s="58" t="str">
        <f>ifna(VLOOKUP($H98,Quest_Tracker!$A$2:$I$900,3,FALSE))</f>
        <v/>
      </c>
      <c r="M98" s="59" t="str">
        <f>ifna(VLOOKUP($H98,Quest_Tracker!$A$2:$I$900,4,FALSE))</f>
        <v/>
      </c>
    </row>
    <row r="99">
      <c r="B99" s="61"/>
      <c r="C99" s="14" t="b">
        <v>0</v>
      </c>
      <c r="D99" s="53"/>
      <c r="E99" s="54"/>
      <c r="F99" s="55"/>
      <c r="H99" s="56"/>
      <c r="I99" s="2"/>
      <c r="J99" s="34" t="str">
        <f>ifna(HYPERLINK("#gid=1523906944&amp;range="&amp;REPLACE(REPLACE(Address(CELL("row",VLOOKUP($H99,Quest_Tracker!$A$2:$B$900,2,FALSE)),CELL("col",VLOOKUP($H99,Quest_Tracker!$A$2:$B$900,2,FALSE))),1,1,""),2,1,""),VLOOKUP($H99,Quest_Tracker!$A$2:$B$900,2,FALSE)))</f>
        <v/>
      </c>
      <c r="K99" s="58" t="str">
        <f>ifna(VLOOKUP($H99,Quest_Tracker!$A$2:$I$900,9,FALSE))</f>
        <v/>
      </c>
      <c r="L99" s="58" t="str">
        <f>ifna(VLOOKUP($H99,Quest_Tracker!$A$2:$I$900,3,FALSE))</f>
        <v/>
      </c>
      <c r="M99" s="59" t="str">
        <f>ifna(VLOOKUP($H99,Quest_Tracker!$A$2:$I$900,4,FALSE))</f>
        <v/>
      </c>
    </row>
    <row r="100">
      <c r="B100" s="61"/>
      <c r="C100" s="14" t="b">
        <v>0</v>
      </c>
      <c r="D100" s="53"/>
      <c r="E100" s="54"/>
      <c r="F100" s="55"/>
      <c r="H100" s="56"/>
      <c r="I100" s="2"/>
      <c r="J100" s="34" t="str">
        <f>ifna(HYPERLINK("#gid=1523906944&amp;range="&amp;REPLACE(REPLACE(Address(CELL("row",VLOOKUP($H100,Quest_Tracker!$A$2:$B$900,2,FALSE)),CELL("col",VLOOKUP($H100,Quest_Tracker!$A$2:$B$900,2,FALSE))),1,1,""),2,1,""),VLOOKUP($H100,Quest_Tracker!$A$2:$B$900,2,FALSE)))</f>
        <v/>
      </c>
      <c r="K100" s="58" t="str">
        <f>ifna(VLOOKUP($H100,Quest_Tracker!$A$2:$I$900,9,FALSE))</f>
        <v/>
      </c>
      <c r="L100" s="58" t="str">
        <f>ifna(VLOOKUP($H100,Quest_Tracker!$A$2:$I$900,3,FALSE))</f>
        <v/>
      </c>
      <c r="M100" s="59" t="str">
        <f>ifna(VLOOKUP($H100,Quest_Tracker!$A$2:$I$900,4,FALSE))</f>
        <v/>
      </c>
    </row>
    <row r="101">
      <c r="B101" s="61"/>
      <c r="C101" s="14" t="b">
        <v>0</v>
      </c>
      <c r="D101" s="53"/>
      <c r="E101" s="54"/>
      <c r="F101" s="55"/>
      <c r="H101" s="56"/>
      <c r="I101" s="2"/>
      <c r="J101" s="34" t="str">
        <f>ifna(HYPERLINK("#gid=1523906944&amp;range="&amp;REPLACE(REPLACE(Address(CELL("row",VLOOKUP($H101,Quest_Tracker!$A$2:$B$900,2,FALSE)),CELL("col",VLOOKUP($H101,Quest_Tracker!$A$2:$B$900,2,FALSE))),1,1,""),2,1,""),VLOOKUP($H101,Quest_Tracker!$A$2:$B$900,2,FALSE)))</f>
        <v/>
      </c>
      <c r="K101" s="58" t="str">
        <f>ifna(VLOOKUP($H101,Quest_Tracker!$A$2:$I$900,9,FALSE))</f>
        <v/>
      </c>
      <c r="L101" s="58" t="str">
        <f>ifna(VLOOKUP($H101,Quest_Tracker!$A$2:$I$900,3,FALSE))</f>
        <v/>
      </c>
      <c r="M101" s="59" t="str">
        <f>ifna(VLOOKUP($H101,Quest_Tracker!$A$2:$I$900,4,FALSE))</f>
        <v/>
      </c>
    </row>
    <row r="102">
      <c r="B102" s="61"/>
      <c r="C102" s="14" t="b">
        <v>0</v>
      </c>
      <c r="D102" s="53"/>
      <c r="E102" s="54"/>
      <c r="F102" s="55"/>
      <c r="H102" s="56"/>
      <c r="I102" s="2"/>
      <c r="J102" s="34" t="str">
        <f>ifna(HYPERLINK("#gid=1523906944&amp;range="&amp;REPLACE(REPLACE(Address(CELL("row",VLOOKUP($H102,Quest_Tracker!$A$2:$B$900,2,FALSE)),CELL("col",VLOOKUP($H102,Quest_Tracker!$A$2:$B$900,2,FALSE))),1,1,""),2,1,""),VLOOKUP($H102,Quest_Tracker!$A$2:$B$900,2,FALSE)))</f>
        <v/>
      </c>
      <c r="K102" s="58" t="str">
        <f>ifna(VLOOKUP($H102,Quest_Tracker!$A$2:$I$900,9,FALSE))</f>
        <v/>
      </c>
      <c r="L102" s="58" t="str">
        <f>ifna(VLOOKUP($H102,Quest_Tracker!$A$2:$I$900,3,FALSE))</f>
        <v/>
      </c>
      <c r="M102" s="59" t="str">
        <f>ifna(VLOOKUP($H102,Quest_Tracker!$A$2:$I$900,4,FALSE))</f>
        <v/>
      </c>
    </row>
    <row r="103">
      <c r="B103" s="61"/>
      <c r="C103" s="14" t="b">
        <v>0</v>
      </c>
      <c r="D103" s="53"/>
      <c r="E103" s="54"/>
      <c r="F103" s="55"/>
      <c r="H103" s="56"/>
      <c r="I103" s="2"/>
      <c r="J103" s="34" t="str">
        <f>ifna(HYPERLINK("#gid=1523906944&amp;range="&amp;REPLACE(REPLACE(Address(CELL("row",VLOOKUP($H103,Quest_Tracker!$A$2:$B$900,2,FALSE)),CELL("col",VLOOKUP($H103,Quest_Tracker!$A$2:$B$900,2,FALSE))),1,1,""),2,1,""),VLOOKUP($H103,Quest_Tracker!$A$2:$B$900,2,FALSE)))</f>
        <v/>
      </c>
      <c r="K103" s="58" t="str">
        <f>ifna(VLOOKUP($H103,Quest_Tracker!$A$2:$I$900,9,FALSE))</f>
        <v/>
      </c>
      <c r="L103" s="58" t="str">
        <f>ifna(VLOOKUP($H103,Quest_Tracker!$A$2:$I$900,3,FALSE))</f>
        <v/>
      </c>
      <c r="M103" s="59" t="str">
        <f>ifna(VLOOKUP($H103,Quest_Tracker!$A$2:$I$900,4,FALSE))</f>
        <v/>
      </c>
    </row>
    <row r="104">
      <c r="B104" s="61"/>
      <c r="C104" s="14" t="b">
        <v>0</v>
      </c>
      <c r="D104" s="53"/>
      <c r="E104" s="54"/>
      <c r="F104" s="55"/>
      <c r="H104" s="56"/>
      <c r="I104" s="2"/>
      <c r="J104" s="34" t="str">
        <f>ifna(HYPERLINK("#gid=1523906944&amp;range="&amp;REPLACE(REPLACE(Address(CELL("row",VLOOKUP($H104,Quest_Tracker!$A$2:$B$900,2,FALSE)),CELL("col",VLOOKUP($H104,Quest_Tracker!$A$2:$B$900,2,FALSE))),1,1,""),2,1,""),VLOOKUP($H104,Quest_Tracker!$A$2:$B$900,2,FALSE)))</f>
        <v/>
      </c>
      <c r="K104" s="58" t="str">
        <f>ifna(VLOOKUP($H104,Quest_Tracker!$A$2:$I$900,9,FALSE))</f>
        <v/>
      </c>
      <c r="L104" s="58" t="str">
        <f>ifna(VLOOKUP($H104,Quest_Tracker!$A$2:$I$900,3,FALSE))</f>
        <v/>
      </c>
      <c r="M104" s="59" t="str">
        <f>ifna(VLOOKUP($H104,Quest_Tracker!$A$2:$I$900,4,FALSE))</f>
        <v/>
      </c>
    </row>
    <row r="105">
      <c r="B105" s="61"/>
      <c r="C105" s="14" t="b">
        <v>0</v>
      </c>
      <c r="D105" s="53"/>
      <c r="E105" s="54"/>
      <c r="F105" s="55"/>
      <c r="H105" s="56"/>
      <c r="I105" s="2"/>
      <c r="J105" s="34" t="str">
        <f>ifna(HYPERLINK("#gid=1523906944&amp;range="&amp;REPLACE(REPLACE(Address(CELL("row",VLOOKUP($H105,Quest_Tracker!$A$2:$B$900,2,FALSE)),CELL("col",VLOOKUP($H105,Quest_Tracker!$A$2:$B$900,2,FALSE))),1,1,""),2,1,""),VLOOKUP($H105,Quest_Tracker!$A$2:$B$900,2,FALSE)))</f>
        <v/>
      </c>
      <c r="K105" s="58" t="str">
        <f>ifna(VLOOKUP($H105,Quest_Tracker!$A$2:$I$900,9,FALSE))</f>
        <v/>
      </c>
      <c r="L105" s="58" t="str">
        <f>ifna(VLOOKUP($H105,Quest_Tracker!$A$2:$I$900,3,FALSE))</f>
        <v/>
      </c>
      <c r="M105" s="59" t="str">
        <f>ifna(VLOOKUP($H105,Quest_Tracker!$A$2:$I$900,4,FALSE))</f>
        <v/>
      </c>
    </row>
    <row r="106">
      <c r="B106" s="61"/>
      <c r="C106" s="14" t="b">
        <v>0</v>
      </c>
      <c r="D106" s="53"/>
      <c r="E106" s="54"/>
      <c r="F106" s="55"/>
      <c r="H106" s="56"/>
      <c r="I106" s="2"/>
      <c r="J106" s="34" t="str">
        <f>ifna(HYPERLINK("#gid=1523906944&amp;range="&amp;REPLACE(REPLACE(Address(CELL("row",VLOOKUP($H106,Quest_Tracker!$A$2:$B$900,2,FALSE)),CELL("col",VLOOKUP($H106,Quest_Tracker!$A$2:$B$900,2,FALSE))),1,1,""),2,1,""),VLOOKUP($H106,Quest_Tracker!$A$2:$B$900,2,FALSE)))</f>
        <v/>
      </c>
      <c r="K106" s="58" t="str">
        <f>ifna(VLOOKUP($H106,Quest_Tracker!$A$2:$I$900,9,FALSE))</f>
        <v/>
      </c>
      <c r="L106" s="58" t="str">
        <f>ifna(VLOOKUP($H106,Quest_Tracker!$A$2:$I$900,3,FALSE))</f>
        <v/>
      </c>
      <c r="M106" s="59" t="str">
        <f>ifna(VLOOKUP($H106,Quest_Tracker!$A$2:$I$900,4,FALSE))</f>
        <v/>
      </c>
    </row>
    <row r="107">
      <c r="B107" s="61"/>
      <c r="C107" s="14" t="b">
        <v>0</v>
      </c>
      <c r="D107" s="53"/>
      <c r="E107" s="54"/>
      <c r="F107" s="55"/>
      <c r="H107" s="56"/>
      <c r="I107" s="2"/>
      <c r="J107" s="34" t="str">
        <f>ifna(HYPERLINK("#gid=1523906944&amp;range="&amp;REPLACE(REPLACE(Address(CELL("row",VLOOKUP($H107,Quest_Tracker!$A$2:$B$900,2,FALSE)),CELL("col",VLOOKUP($H107,Quest_Tracker!$A$2:$B$900,2,FALSE))),1,1,""),2,1,""),VLOOKUP($H107,Quest_Tracker!$A$2:$B$900,2,FALSE)))</f>
        <v/>
      </c>
      <c r="K107" s="58" t="str">
        <f>ifna(VLOOKUP($H107,Quest_Tracker!$A$2:$I$900,9,FALSE))</f>
        <v/>
      </c>
      <c r="L107" s="58" t="str">
        <f>ifna(VLOOKUP($H107,Quest_Tracker!$A$2:$I$900,3,FALSE))</f>
        <v/>
      </c>
      <c r="M107" s="59" t="str">
        <f>ifna(VLOOKUP($H107,Quest_Tracker!$A$2:$I$900,4,FALSE))</f>
        <v/>
      </c>
    </row>
    <row r="108">
      <c r="B108" s="61"/>
      <c r="C108" s="14" t="b">
        <v>0</v>
      </c>
      <c r="D108" s="53"/>
      <c r="E108" s="54"/>
      <c r="F108" s="55"/>
      <c r="H108" s="56"/>
      <c r="I108" s="2"/>
      <c r="J108" s="34" t="str">
        <f>ifna(HYPERLINK("#gid=1523906944&amp;range="&amp;REPLACE(REPLACE(Address(CELL("row",VLOOKUP($H108,Quest_Tracker!$A$2:$B$900,2,FALSE)),CELL("col",VLOOKUP($H108,Quest_Tracker!$A$2:$B$900,2,FALSE))),1,1,""),2,1,""),VLOOKUP($H108,Quest_Tracker!$A$2:$B$900,2,FALSE)))</f>
        <v/>
      </c>
      <c r="K108" s="58" t="str">
        <f>ifna(VLOOKUP($H108,Quest_Tracker!$A$2:$I$900,9,FALSE))</f>
        <v/>
      </c>
      <c r="L108" s="58" t="str">
        <f>ifna(VLOOKUP($H108,Quest_Tracker!$A$2:$I$900,3,FALSE))</f>
        <v/>
      </c>
      <c r="M108" s="59" t="str">
        <f>ifna(VLOOKUP($H108,Quest_Tracker!$A$2:$I$900,4,FALSE))</f>
        <v/>
      </c>
    </row>
    <row r="109">
      <c r="B109" s="61"/>
      <c r="C109" s="14" t="b">
        <v>0</v>
      </c>
      <c r="D109" s="53"/>
      <c r="E109" s="54"/>
      <c r="F109" s="55"/>
      <c r="H109" s="56"/>
      <c r="I109" s="2"/>
      <c r="J109" s="34" t="str">
        <f>ifna(HYPERLINK("#gid=1523906944&amp;range="&amp;REPLACE(REPLACE(Address(CELL("row",VLOOKUP($H109,Quest_Tracker!$A$2:$B$900,2,FALSE)),CELL("col",VLOOKUP($H109,Quest_Tracker!$A$2:$B$900,2,FALSE))),1,1,""),2,1,""),VLOOKUP($H109,Quest_Tracker!$A$2:$B$900,2,FALSE)))</f>
        <v/>
      </c>
      <c r="K109" s="58" t="str">
        <f>ifna(VLOOKUP($H109,Quest_Tracker!$A$2:$I$900,9,FALSE))</f>
        <v/>
      </c>
      <c r="L109" s="58" t="str">
        <f>ifna(VLOOKUP($H109,Quest_Tracker!$A$2:$I$900,3,FALSE))</f>
        <v/>
      </c>
      <c r="M109" s="59" t="str">
        <f>ifna(VLOOKUP($H109,Quest_Tracker!$A$2:$I$900,4,FALSE))</f>
        <v/>
      </c>
    </row>
    <row r="110">
      <c r="B110" s="61"/>
      <c r="C110" s="14" t="b">
        <v>0</v>
      </c>
      <c r="D110" s="53"/>
      <c r="E110" s="54"/>
      <c r="F110" s="55"/>
      <c r="H110" s="56"/>
      <c r="I110" s="2"/>
      <c r="J110" s="34" t="str">
        <f>ifna(HYPERLINK("#gid=1523906944&amp;range="&amp;REPLACE(REPLACE(Address(CELL("row",VLOOKUP($H110,Quest_Tracker!$A$2:$B$900,2,FALSE)),CELL("col",VLOOKUP($H110,Quest_Tracker!$A$2:$B$900,2,FALSE))),1,1,""),2,1,""),VLOOKUP($H110,Quest_Tracker!$A$2:$B$900,2,FALSE)))</f>
        <v/>
      </c>
      <c r="K110" s="58" t="str">
        <f>ifna(VLOOKUP($H110,Quest_Tracker!$A$2:$I$900,9,FALSE))</f>
        <v/>
      </c>
      <c r="L110" s="58" t="str">
        <f>ifna(VLOOKUP($H110,Quest_Tracker!$A$2:$I$900,3,FALSE))</f>
        <v/>
      </c>
      <c r="M110" s="59" t="str">
        <f>ifna(VLOOKUP($H110,Quest_Tracker!$A$2:$I$900,4,FALSE))</f>
        <v/>
      </c>
    </row>
    <row r="111">
      <c r="B111" s="61"/>
      <c r="C111" s="14" t="b">
        <v>0</v>
      </c>
      <c r="D111" s="53"/>
      <c r="E111" s="54"/>
      <c r="F111" s="55"/>
      <c r="H111" s="56"/>
      <c r="I111" s="2"/>
      <c r="J111" s="34" t="str">
        <f>ifna(HYPERLINK("#gid=1523906944&amp;range="&amp;REPLACE(REPLACE(Address(CELL("row",VLOOKUP($H111,Quest_Tracker!$A$2:$B$900,2,FALSE)),CELL("col",VLOOKUP($H111,Quest_Tracker!$A$2:$B$900,2,FALSE))),1,1,""),2,1,""),VLOOKUP($H111,Quest_Tracker!$A$2:$B$900,2,FALSE)))</f>
        <v/>
      </c>
      <c r="K111" s="58" t="str">
        <f>ifna(VLOOKUP($H111,Quest_Tracker!$A$2:$I$900,9,FALSE))</f>
        <v/>
      </c>
      <c r="L111" s="58" t="str">
        <f>ifna(VLOOKUP($H111,Quest_Tracker!$A$2:$I$900,3,FALSE))</f>
        <v/>
      </c>
      <c r="M111" s="59" t="str">
        <f>ifna(VLOOKUP($H111,Quest_Tracker!$A$2:$I$900,4,FALSE))</f>
        <v/>
      </c>
    </row>
    <row r="112">
      <c r="B112" s="61"/>
      <c r="C112" s="14" t="b">
        <v>0</v>
      </c>
      <c r="D112" s="53"/>
      <c r="E112" s="54"/>
      <c r="F112" s="55"/>
      <c r="H112" s="56"/>
      <c r="I112" s="2"/>
      <c r="J112" s="34" t="str">
        <f>ifna(HYPERLINK("#gid=1523906944&amp;range="&amp;REPLACE(REPLACE(Address(CELL("row",VLOOKUP($H112,Quest_Tracker!$A$2:$B$900,2,FALSE)),CELL("col",VLOOKUP($H112,Quest_Tracker!$A$2:$B$900,2,FALSE))),1,1,""),2,1,""),VLOOKUP($H112,Quest_Tracker!$A$2:$B$900,2,FALSE)))</f>
        <v/>
      </c>
      <c r="K112" s="58" t="str">
        <f>ifna(VLOOKUP($H112,Quest_Tracker!$A$2:$I$900,9,FALSE))</f>
        <v/>
      </c>
      <c r="L112" s="58" t="str">
        <f>ifna(VLOOKUP($H112,Quest_Tracker!$A$2:$I$900,3,FALSE))</f>
        <v/>
      </c>
      <c r="M112" s="59" t="str">
        <f>ifna(VLOOKUP($H112,Quest_Tracker!$A$2:$I$900,4,FALSE))</f>
        <v/>
      </c>
    </row>
    <row r="113">
      <c r="B113" s="61"/>
      <c r="C113" s="14" t="b">
        <v>0</v>
      </c>
      <c r="D113" s="53"/>
      <c r="E113" s="54"/>
      <c r="F113" s="55"/>
      <c r="H113" s="56"/>
      <c r="I113" s="2"/>
      <c r="J113" s="34" t="str">
        <f>ifna(HYPERLINK("#gid=1523906944&amp;range="&amp;REPLACE(REPLACE(Address(CELL("row",VLOOKUP($H113,Quest_Tracker!$A$2:$B$900,2,FALSE)),CELL("col",VLOOKUP($H113,Quest_Tracker!$A$2:$B$900,2,FALSE))),1,1,""),2,1,""),VLOOKUP($H113,Quest_Tracker!$A$2:$B$900,2,FALSE)))</f>
        <v/>
      </c>
      <c r="K113" s="58" t="str">
        <f>ifna(VLOOKUP($H113,Quest_Tracker!$A$2:$I$900,9,FALSE))</f>
        <v/>
      </c>
      <c r="L113" s="58" t="str">
        <f>ifna(VLOOKUP($H113,Quest_Tracker!$A$2:$I$900,3,FALSE))</f>
        <v/>
      </c>
      <c r="M113" s="59" t="str">
        <f>ifna(VLOOKUP($H113,Quest_Tracker!$A$2:$I$900,4,FALSE))</f>
        <v/>
      </c>
    </row>
    <row r="114">
      <c r="B114" s="61"/>
      <c r="C114" s="14" t="b">
        <v>0</v>
      </c>
      <c r="D114" s="53"/>
      <c r="E114" s="54"/>
      <c r="F114" s="55"/>
      <c r="H114" s="56"/>
      <c r="I114" s="2"/>
      <c r="J114" s="34" t="str">
        <f>ifna(HYPERLINK("#gid=1523906944&amp;range="&amp;REPLACE(REPLACE(Address(CELL("row",VLOOKUP($H114,Quest_Tracker!$A$2:$B$900,2,FALSE)),CELL("col",VLOOKUP($H114,Quest_Tracker!$A$2:$B$900,2,FALSE))),1,1,""),2,1,""),VLOOKUP($H114,Quest_Tracker!$A$2:$B$900,2,FALSE)))</f>
        <v/>
      </c>
      <c r="K114" s="58" t="str">
        <f>ifna(VLOOKUP($H114,Quest_Tracker!$A$2:$I$900,9,FALSE))</f>
        <v/>
      </c>
      <c r="L114" s="58" t="str">
        <f>ifna(VLOOKUP($H114,Quest_Tracker!$A$2:$I$900,3,FALSE))</f>
        <v/>
      </c>
      <c r="M114" s="59" t="str">
        <f>ifna(VLOOKUP($H114,Quest_Tracker!$A$2:$I$900,4,FALSE))</f>
        <v/>
      </c>
    </row>
    <row r="115">
      <c r="B115" s="61"/>
      <c r="C115" s="14" t="b">
        <v>0</v>
      </c>
      <c r="D115" s="53"/>
      <c r="E115" s="54"/>
      <c r="F115" s="55"/>
      <c r="H115" s="56"/>
      <c r="I115" s="2"/>
      <c r="J115" s="34" t="str">
        <f>ifna(HYPERLINK("#gid=1523906944&amp;range="&amp;REPLACE(REPLACE(Address(CELL("row",VLOOKUP($H115,Quest_Tracker!$A$2:$B$900,2,FALSE)),CELL("col",VLOOKUP($H115,Quest_Tracker!$A$2:$B$900,2,FALSE))),1,1,""),2,1,""),VLOOKUP($H115,Quest_Tracker!$A$2:$B$900,2,FALSE)))</f>
        <v/>
      </c>
      <c r="K115" s="58" t="str">
        <f>ifna(VLOOKUP($H115,Quest_Tracker!$A$2:$I$900,9,FALSE))</f>
        <v/>
      </c>
      <c r="L115" s="58" t="str">
        <f>ifna(VLOOKUP($H115,Quest_Tracker!$A$2:$I$900,3,FALSE))</f>
        <v/>
      </c>
      <c r="M115" s="59" t="str">
        <f>ifna(VLOOKUP($H115,Quest_Tracker!$A$2:$I$900,4,FALSE))</f>
        <v/>
      </c>
    </row>
    <row r="116">
      <c r="B116" s="61"/>
      <c r="C116" s="14" t="b">
        <v>0</v>
      </c>
      <c r="D116" s="53"/>
      <c r="E116" s="54"/>
      <c r="F116" s="55"/>
      <c r="H116" s="56"/>
      <c r="I116" s="2"/>
      <c r="J116" s="34" t="str">
        <f>ifna(HYPERLINK("#gid=1523906944&amp;range="&amp;REPLACE(REPLACE(Address(CELL("row",VLOOKUP($H116,Quest_Tracker!$A$2:$B$900,2,FALSE)),CELL("col",VLOOKUP($H116,Quest_Tracker!$A$2:$B$900,2,FALSE))),1,1,""),2,1,""),VLOOKUP($H116,Quest_Tracker!$A$2:$B$900,2,FALSE)))</f>
        <v/>
      </c>
      <c r="K116" s="58" t="str">
        <f>ifna(VLOOKUP($H116,Quest_Tracker!$A$2:$I$900,9,FALSE))</f>
        <v/>
      </c>
      <c r="L116" s="58" t="str">
        <f>ifna(VLOOKUP($H116,Quest_Tracker!$A$2:$I$900,3,FALSE))</f>
        <v/>
      </c>
      <c r="M116" s="59" t="str">
        <f>ifna(VLOOKUP($H116,Quest_Tracker!$A$2:$I$900,4,FALSE))</f>
        <v/>
      </c>
    </row>
    <row r="117">
      <c r="B117" s="61"/>
      <c r="C117" s="14" t="b">
        <v>0</v>
      </c>
      <c r="D117" s="53"/>
      <c r="E117" s="54"/>
      <c r="F117" s="55"/>
      <c r="H117" s="56"/>
      <c r="I117" s="2"/>
      <c r="J117" s="34" t="str">
        <f>ifna(HYPERLINK("#gid=1523906944&amp;range="&amp;REPLACE(REPLACE(Address(CELL("row",VLOOKUP($H117,Quest_Tracker!$A$2:$B$900,2,FALSE)),CELL("col",VLOOKUP($H117,Quest_Tracker!$A$2:$B$900,2,FALSE))),1,1,""),2,1,""),VLOOKUP($H117,Quest_Tracker!$A$2:$B$900,2,FALSE)))</f>
        <v/>
      </c>
      <c r="K117" s="58" t="str">
        <f>ifna(VLOOKUP($H117,Quest_Tracker!$A$2:$I$900,9,FALSE))</f>
        <v/>
      </c>
      <c r="L117" s="58" t="str">
        <f>ifna(VLOOKUP($H117,Quest_Tracker!$A$2:$I$900,3,FALSE))</f>
        <v/>
      </c>
      <c r="M117" s="59" t="str">
        <f>ifna(VLOOKUP($H117,Quest_Tracker!$A$2:$I$900,4,FALSE))</f>
        <v/>
      </c>
    </row>
    <row r="118">
      <c r="B118" s="61"/>
      <c r="C118" s="14" t="b">
        <v>0</v>
      </c>
      <c r="D118" s="53"/>
      <c r="E118" s="54"/>
      <c r="F118" s="55"/>
      <c r="H118" s="56"/>
      <c r="I118" s="2"/>
      <c r="J118" s="34" t="str">
        <f>ifna(HYPERLINK("#gid=1523906944&amp;range="&amp;REPLACE(REPLACE(Address(CELL("row",VLOOKUP($H118,Quest_Tracker!$A$2:$B$900,2,FALSE)),CELL("col",VLOOKUP($H118,Quest_Tracker!$A$2:$B$900,2,FALSE))),1,1,""),2,1,""),VLOOKUP($H118,Quest_Tracker!$A$2:$B$900,2,FALSE)))</f>
        <v/>
      </c>
      <c r="K118" s="58" t="str">
        <f>ifna(VLOOKUP($H118,Quest_Tracker!$A$2:$I$900,9,FALSE))</f>
        <v/>
      </c>
      <c r="L118" s="58" t="str">
        <f>ifna(VLOOKUP($H118,Quest_Tracker!$A$2:$I$900,3,FALSE))</f>
        <v/>
      </c>
      <c r="M118" s="59" t="str">
        <f>ifna(VLOOKUP($H118,Quest_Tracker!$A$2:$I$900,4,FALSE))</f>
        <v/>
      </c>
    </row>
    <row r="119">
      <c r="B119" s="61"/>
      <c r="C119" s="14" t="b">
        <v>0</v>
      </c>
      <c r="D119" s="53"/>
      <c r="E119" s="54"/>
      <c r="F119" s="55"/>
      <c r="H119" s="56"/>
      <c r="I119" s="2"/>
      <c r="J119" s="34" t="str">
        <f>ifna(HYPERLINK("#gid=1523906944&amp;range="&amp;REPLACE(REPLACE(Address(CELL("row",VLOOKUP($H119,Quest_Tracker!$A$2:$B$900,2,FALSE)),CELL("col",VLOOKUP($H119,Quest_Tracker!$A$2:$B$900,2,FALSE))),1,1,""),2,1,""),VLOOKUP($H119,Quest_Tracker!$A$2:$B$900,2,FALSE)))</f>
        <v/>
      </c>
      <c r="K119" s="58" t="str">
        <f>ifna(VLOOKUP($H119,Quest_Tracker!$A$2:$I$900,9,FALSE))</f>
        <v/>
      </c>
      <c r="L119" s="58" t="str">
        <f>ifna(VLOOKUP($H119,Quest_Tracker!$A$2:$I$900,3,FALSE))</f>
        <v/>
      </c>
      <c r="M119" s="59" t="str">
        <f>ifna(VLOOKUP($H119,Quest_Tracker!$A$2:$I$900,4,FALSE))</f>
        <v/>
      </c>
    </row>
    <row r="120">
      <c r="B120" s="61"/>
      <c r="C120" s="14" t="b">
        <v>0</v>
      </c>
      <c r="D120" s="53"/>
      <c r="E120" s="54"/>
      <c r="F120" s="55"/>
      <c r="H120" s="56"/>
      <c r="I120" s="2"/>
      <c r="J120" s="34" t="str">
        <f>ifna(HYPERLINK("#gid=1523906944&amp;range="&amp;REPLACE(REPLACE(Address(CELL("row",VLOOKUP($H120,Quest_Tracker!$A$2:$B$900,2,FALSE)),CELL("col",VLOOKUP($H120,Quest_Tracker!$A$2:$B$900,2,FALSE))),1,1,""),2,1,""),VLOOKUP($H120,Quest_Tracker!$A$2:$B$900,2,FALSE)))</f>
        <v/>
      </c>
      <c r="K120" s="58" t="str">
        <f>ifna(VLOOKUP($H120,Quest_Tracker!$A$2:$I$900,9,FALSE))</f>
        <v/>
      </c>
      <c r="L120" s="58" t="str">
        <f>ifna(VLOOKUP($H120,Quest_Tracker!$A$2:$I$900,3,FALSE))</f>
        <v/>
      </c>
      <c r="M120" s="59" t="str">
        <f>ifna(VLOOKUP($H120,Quest_Tracker!$A$2:$I$900,4,FALSE))</f>
        <v/>
      </c>
    </row>
    <row r="121">
      <c r="B121" s="61"/>
      <c r="C121" s="14" t="b">
        <v>0</v>
      </c>
      <c r="D121" s="53"/>
      <c r="E121" s="54"/>
      <c r="F121" s="55"/>
      <c r="H121" s="56"/>
      <c r="I121" s="2"/>
      <c r="J121" s="34" t="str">
        <f>ifna(HYPERLINK("#gid=1523906944&amp;range="&amp;REPLACE(REPLACE(Address(CELL("row",VLOOKUP($H121,Quest_Tracker!$A$2:$B$900,2,FALSE)),CELL("col",VLOOKUP($H121,Quest_Tracker!$A$2:$B$900,2,FALSE))),1,1,""),2,1,""),VLOOKUP($H121,Quest_Tracker!$A$2:$B$900,2,FALSE)))</f>
        <v/>
      </c>
      <c r="K121" s="58" t="str">
        <f>ifna(VLOOKUP($H121,Quest_Tracker!$A$2:$I$900,9,FALSE))</f>
        <v/>
      </c>
      <c r="L121" s="58" t="str">
        <f>ifna(VLOOKUP($H121,Quest_Tracker!$A$2:$I$900,3,FALSE))</f>
        <v/>
      </c>
      <c r="M121" s="59" t="str">
        <f>ifna(VLOOKUP($H121,Quest_Tracker!$A$2:$I$900,4,FALSE))</f>
        <v/>
      </c>
    </row>
    <row r="122">
      <c r="B122" s="61"/>
      <c r="C122" s="14" t="b">
        <v>0</v>
      </c>
      <c r="D122" s="53"/>
      <c r="E122" s="54"/>
      <c r="F122" s="55"/>
      <c r="H122" s="56"/>
      <c r="I122" s="2"/>
      <c r="J122" s="34" t="str">
        <f>ifna(HYPERLINK("#gid=1523906944&amp;range="&amp;REPLACE(REPLACE(Address(CELL("row",VLOOKUP($H122,Quest_Tracker!$A$2:$B$900,2,FALSE)),CELL("col",VLOOKUP($H122,Quest_Tracker!$A$2:$B$900,2,FALSE))),1,1,""),2,1,""),VLOOKUP($H122,Quest_Tracker!$A$2:$B$900,2,FALSE)))</f>
        <v/>
      </c>
      <c r="K122" s="58" t="str">
        <f>ifna(VLOOKUP($H122,Quest_Tracker!$A$2:$I$900,9,FALSE))</f>
        <v/>
      </c>
      <c r="L122" s="58" t="str">
        <f>ifna(VLOOKUP($H122,Quest_Tracker!$A$2:$I$900,3,FALSE))</f>
        <v/>
      </c>
      <c r="M122" s="59" t="str">
        <f>ifna(VLOOKUP($H122,Quest_Tracker!$A$2:$I$900,4,FALSE))</f>
        <v/>
      </c>
    </row>
    <row r="123">
      <c r="B123" s="61"/>
      <c r="C123" s="14" t="b">
        <v>0</v>
      </c>
      <c r="D123" s="53"/>
      <c r="E123" s="54"/>
      <c r="F123" s="55"/>
      <c r="H123" s="56"/>
      <c r="I123" s="2"/>
      <c r="J123" s="34" t="str">
        <f>ifna(HYPERLINK("#gid=1523906944&amp;range="&amp;REPLACE(REPLACE(Address(CELL("row",VLOOKUP($H123,Quest_Tracker!$A$2:$B$900,2,FALSE)),CELL("col",VLOOKUP($H123,Quest_Tracker!$A$2:$B$900,2,FALSE))),1,1,""),2,1,""),VLOOKUP($H123,Quest_Tracker!$A$2:$B$900,2,FALSE)))</f>
        <v/>
      </c>
      <c r="K123" s="58" t="str">
        <f>ifna(VLOOKUP($H123,Quest_Tracker!$A$2:$I$900,9,FALSE))</f>
        <v/>
      </c>
      <c r="L123" s="58" t="str">
        <f>ifna(VLOOKUP($H123,Quest_Tracker!$A$2:$I$900,3,FALSE))</f>
        <v/>
      </c>
      <c r="M123" s="59" t="str">
        <f>ifna(VLOOKUP($H123,Quest_Tracker!$A$2:$I$900,4,FALSE))</f>
        <v/>
      </c>
    </row>
    <row r="124">
      <c r="B124" s="61"/>
      <c r="C124" s="14" t="b">
        <v>0</v>
      </c>
      <c r="D124" s="53"/>
      <c r="E124" s="54"/>
      <c r="F124" s="55"/>
      <c r="H124" s="56"/>
      <c r="I124" s="2"/>
      <c r="J124" s="34" t="str">
        <f>ifna(HYPERLINK("#gid=1523906944&amp;range="&amp;REPLACE(REPLACE(Address(CELL("row",VLOOKUP($H124,Quest_Tracker!$A$2:$B$900,2,FALSE)),CELL("col",VLOOKUP($H124,Quest_Tracker!$A$2:$B$900,2,FALSE))),1,1,""),2,1,""),VLOOKUP($H124,Quest_Tracker!$A$2:$B$900,2,FALSE)))</f>
        <v/>
      </c>
      <c r="K124" s="58" t="str">
        <f>ifna(VLOOKUP($H124,Quest_Tracker!$A$2:$I$900,9,FALSE))</f>
        <v/>
      </c>
      <c r="L124" s="58" t="str">
        <f>ifna(VLOOKUP($H124,Quest_Tracker!$A$2:$I$900,3,FALSE))</f>
        <v/>
      </c>
      <c r="M124" s="59" t="str">
        <f>ifna(VLOOKUP($H124,Quest_Tracker!$A$2:$I$900,4,FALSE))</f>
        <v/>
      </c>
    </row>
    <row r="125">
      <c r="B125" s="61"/>
      <c r="C125" s="14" t="b">
        <v>0</v>
      </c>
      <c r="D125" s="53"/>
      <c r="E125" s="54"/>
      <c r="F125" s="55"/>
      <c r="H125" s="56"/>
      <c r="I125" s="2"/>
      <c r="J125" s="34" t="str">
        <f>ifna(HYPERLINK("#gid=1523906944&amp;range="&amp;REPLACE(REPLACE(Address(CELL("row",VLOOKUP($H125,Quest_Tracker!$A$2:$B$900,2,FALSE)),CELL("col",VLOOKUP($H125,Quest_Tracker!$A$2:$B$900,2,FALSE))),1,1,""),2,1,""),VLOOKUP($H125,Quest_Tracker!$A$2:$B$900,2,FALSE)))</f>
        <v/>
      </c>
      <c r="K125" s="58" t="str">
        <f>ifna(VLOOKUP($H125,Quest_Tracker!$A$2:$I$900,9,FALSE))</f>
        <v/>
      </c>
      <c r="L125" s="58" t="str">
        <f>ifna(VLOOKUP($H125,Quest_Tracker!$A$2:$I$900,3,FALSE))</f>
        <v/>
      </c>
      <c r="M125" s="59" t="str">
        <f>ifna(VLOOKUP($H125,Quest_Tracker!$A$2:$I$900,4,FALSE))</f>
        <v/>
      </c>
    </row>
    <row r="126">
      <c r="B126" s="61"/>
      <c r="C126" s="14" t="b">
        <v>0</v>
      </c>
      <c r="D126" s="53"/>
      <c r="E126" s="54"/>
      <c r="F126" s="55"/>
      <c r="H126" s="56"/>
      <c r="I126" s="2"/>
      <c r="J126" s="34" t="str">
        <f>ifna(HYPERLINK("#gid=1523906944&amp;range="&amp;REPLACE(REPLACE(Address(CELL("row",VLOOKUP($H126,Quest_Tracker!$A$2:$B$900,2,FALSE)),CELL("col",VLOOKUP($H126,Quest_Tracker!$A$2:$B$900,2,FALSE))),1,1,""),2,1,""),VLOOKUP($H126,Quest_Tracker!$A$2:$B$900,2,FALSE)))</f>
        <v/>
      </c>
      <c r="K126" s="58" t="str">
        <f>ifna(VLOOKUP($H126,Quest_Tracker!$A$2:$I$900,9,FALSE))</f>
        <v/>
      </c>
      <c r="L126" s="58" t="str">
        <f>ifna(VLOOKUP($H126,Quest_Tracker!$A$2:$I$900,3,FALSE))</f>
        <v/>
      </c>
      <c r="M126" s="59" t="str">
        <f>ifna(VLOOKUP($H126,Quest_Tracker!$A$2:$I$900,4,FALSE))</f>
        <v/>
      </c>
    </row>
    <row r="127">
      <c r="B127" s="61"/>
      <c r="C127" s="14" t="b">
        <v>0</v>
      </c>
      <c r="D127" s="53"/>
      <c r="E127" s="54"/>
      <c r="F127" s="55"/>
      <c r="H127" s="56"/>
      <c r="I127" s="2"/>
      <c r="J127" s="34" t="str">
        <f>ifna(HYPERLINK("#gid=1523906944&amp;range="&amp;REPLACE(REPLACE(Address(CELL("row",VLOOKUP($H127,Quest_Tracker!$A$2:$B$900,2,FALSE)),CELL("col",VLOOKUP($H127,Quest_Tracker!$A$2:$B$900,2,FALSE))),1,1,""),2,1,""),VLOOKUP($H127,Quest_Tracker!$A$2:$B$900,2,FALSE)))</f>
        <v/>
      </c>
      <c r="K127" s="58" t="str">
        <f>ifna(VLOOKUP($H127,Quest_Tracker!$A$2:$I$900,9,FALSE))</f>
        <v/>
      </c>
      <c r="L127" s="58" t="str">
        <f>ifna(VLOOKUP($H127,Quest_Tracker!$A$2:$I$900,3,FALSE))</f>
        <v/>
      </c>
      <c r="M127" s="59" t="str">
        <f>ifna(VLOOKUP($H127,Quest_Tracker!$A$2:$I$900,4,FALSE))</f>
        <v/>
      </c>
    </row>
    <row r="128">
      <c r="B128" s="61"/>
      <c r="C128" s="14" t="b">
        <v>0</v>
      </c>
      <c r="D128" s="53"/>
      <c r="E128" s="54"/>
      <c r="F128" s="55"/>
      <c r="H128" s="56"/>
      <c r="I128" s="2"/>
      <c r="J128" s="34" t="str">
        <f>ifna(HYPERLINK("#gid=1523906944&amp;range="&amp;REPLACE(REPLACE(Address(CELL("row",VLOOKUP($H128,Quest_Tracker!$A$2:$B$900,2,FALSE)),CELL("col",VLOOKUP($H128,Quest_Tracker!$A$2:$B$900,2,FALSE))),1,1,""),2,1,""),VLOOKUP($H128,Quest_Tracker!$A$2:$B$900,2,FALSE)))</f>
        <v/>
      </c>
      <c r="K128" s="58" t="str">
        <f>ifna(VLOOKUP($H128,Quest_Tracker!$A$2:$I$900,9,FALSE))</f>
        <v/>
      </c>
      <c r="L128" s="58" t="str">
        <f>ifna(VLOOKUP($H128,Quest_Tracker!$A$2:$I$900,3,FALSE))</f>
        <v/>
      </c>
      <c r="M128" s="59" t="str">
        <f>ifna(VLOOKUP($H128,Quest_Tracker!$A$2:$I$900,4,FALSE))</f>
        <v/>
      </c>
    </row>
    <row r="129">
      <c r="B129" s="61"/>
      <c r="C129" s="14" t="b">
        <v>0</v>
      </c>
      <c r="D129" s="53"/>
      <c r="E129" s="54"/>
      <c r="F129" s="55"/>
      <c r="H129" s="56"/>
      <c r="I129" s="2"/>
      <c r="J129" s="34" t="str">
        <f>ifna(HYPERLINK("#gid=1523906944&amp;range="&amp;REPLACE(REPLACE(Address(CELL("row",VLOOKUP($H129,Quest_Tracker!$A$2:$B$900,2,FALSE)),CELL("col",VLOOKUP($H129,Quest_Tracker!$A$2:$B$900,2,FALSE))),1,1,""),2,1,""),VLOOKUP($H129,Quest_Tracker!$A$2:$B$900,2,FALSE)))</f>
        <v/>
      </c>
      <c r="K129" s="58" t="str">
        <f>ifna(VLOOKUP($H129,Quest_Tracker!$A$2:$I$900,9,FALSE))</f>
        <v/>
      </c>
      <c r="L129" s="58" t="str">
        <f>ifna(VLOOKUP($H129,Quest_Tracker!$A$2:$I$900,3,FALSE))</f>
        <v/>
      </c>
      <c r="M129" s="59" t="str">
        <f>ifna(VLOOKUP($H129,Quest_Tracker!$A$2:$I$900,4,FALSE))</f>
        <v/>
      </c>
    </row>
    <row r="130">
      <c r="B130" s="61"/>
      <c r="C130" s="14" t="b">
        <v>0</v>
      </c>
      <c r="D130" s="53"/>
      <c r="E130" s="54"/>
      <c r="F130" s="55"/>
      <c r="H130" s="56"/>
      <c r="I130" s="2"/>
      <c r="J130" s="34" t="str">
        <f>ifna(HYPERLINK("#gid=1523906944&amp;range="&amp;REPLACE(REPLACE(Address(CELL("row",VLOOKUP($H130,Quest_Tracker!$A$2:$B$900,2,FALSE)),CELL("col",VLOOKUP($H130,Quest_Tracker!$A$2:$B$900,2,FALSE))),1,1,""),2,1,""),VLOOKUP($H130,Quest_Tracker!$A$2:$B$900,2,FALSE)))</f>
        <v/>
      </c>
      <c r="K130" s="58" t="str">
        <f>ifna(VLOOKUP($H130,Quest_Tracker!$A$2:$I$900,9,FALSE))</f>
        <v/>
      </c>
      <c r="L130" s="58" t="str">
        <f>ifna(VLOOKUP($H130,Quest_Tracker!$A$2:$I$900,3,FALSE))</f>
        <v/>
      </c>
      <c r="M130" s="59" t="str">
        <f>ifna(VLOOKUP($H130,Quest_Tracker!$A$2:$I$900,4,FALSE))</f>
        <v/>
      </c>
    </row>
    <row r="131">
      <c r="B131" s="61"/>
      <c r="C131" s="14" t="b">
        <v>0</v>
      </c>
      <c r="D131" s="53"/>
      <c r="E131" s="54"/>
      <c r="F131" s="55"/>
      <c r="H131" s="56"/>
      <c r="I131" s="2"/>
      <c r="J131" s="34" t="str">
        <f>ifna(HYPERLINK("#gid=1523906944&amp;range="&amp;REPLACE(REPLACE(Address(CELL("row",VLOOKUP($H131,Quest_Tracker!$A$2:$B$900,2,FALSE)),CELL("col",VLOOKUP($H131,Quest_Tracker!$A$2:$B$900,2,FALSE))),1,1,""),2,1,""),VLOOKUP($H131,Quest_Tracker!$A$2:$B$900,2,FALSE)))</f>
        <v/>
      </c>
      <c r="K131" s="58" t="str">
        <f>ifna(VLOOKUP($H131,Quest_Tracker!$A$2:$I$900,9,FALSE))</f>
        <v/>
      </c>
      <c r="L131" s="58" t="str">
        <f>ifna(VLOOKUP($H131,Quest_Tracker!$A$2:$I$900,3,FALSE))</f>
        <v/>
      </c>
      <c r="M131" s="59" t="str">
        <f>ifna(VLOOKUP($H131,Quest_Tracker!$A$2:$I$900,4,FALSE))</f>
        <v/>
      </c>
    </row>
    <row r="132">
      <c r="B132" s="61"/>
      <c r="C132" s="14" t="b">
        <v>0</v>
      </c>
      <c r="D132" s="53"/>
      <c r="E132" s="54"/>
      <c r="F132" s="55"/>
      <c r="H132" s="56"/>
      <c r="I132" s="2"/>
      <c r="J132" s="34" t="str">
        <f>ifna(HYPERLINK("#gid=1523906944&amp;range="&amp;REPLACE(REPLACE(Address(CELL("row",VLOOKUP($H132,Quest_Tracker!$A$2:$B$900,2,FALSE)),CELL("col",VLOOKUP($H132,Quest_Tracker!$A$2:$B$900,2,FALSE))),1,1,""),2,1,""),VLOOKUP($H132,Quest_Tracker!$A$2:$B$900,2,FALSE)))</f>
        <v/>
      </c>
      <c r="K132" s="58" t="str">
        <f>ifna(VLOOKUP($H132,Quest_Tracker!$A$2:$I$900,9,FALSE))</f>
        <v/>
      </c>
      <c r="L132" s="58" t="str">
        <f>ifna(VLOOKUP($H132,Quest_Tracker!$A$2:$I$900,3,FALSE))</f>
        <v/>
      </c>
      <c r="M132" s="59" t="str">
        <f>ifna(VLOOKUP($H132,Quest_Tracker!$A$2:$I$900,4,FALSE))</f>
        <v/>
      </c>
    </row>
    <row r="133">
      <c r="B133" s="61"/>
      <c r="C133" s="14" t="b">
        <v>0</v>
      </c>
      <c r="D133" s="53"/>
      <c r="E133" s="54"/>
      <c r="F133" s="55"/>
      <c r="H133" s="56"/>
      <c r="I133" s="2"/>
      <c r="J133" s="34" t="str">
        <f>ifna(HYPERLINK("#gid=1523906944&amp;range="&amp;REPLACE(REPLACE(Address(CELL("row",VLOOKUP($H133,Quest_Tracker!$A$2:$B$900,2,FALSE)),CELL("col",VLOOKUP($H133,Quest_Tracker!$A$2:$B$900,2,FALSE))),1,1,""),2,1,""),VLOOKUP($H133,Quest_Tracker!$A$2:$B$900,2,FALSE)))</f>
        <v/>
      </c>
      <c r="K133" s="58" t="str">
        <f>ifna(VLOOKUP($H133,Quest_Tracker!$A$2:$I$900,9,FALSE))</f>
        <v/>
      </c>
      <c r="L133" s="58" t="str">
        <f>ifna(VLOOKUP($H133,Quest_Tracker!$A$2:$I$900,3,FALSE))</f>
        <v/>
      </c>
      <c r="M133" s="59" t="str">
        <f>ifna(VLOOKUP($H133,Quest_Tracker!$A$2:$I$900,4,FALSE))</f>
        <v/>
      </c>
    </row>
    <row r="134">
      <c r="B134" s="61"/>
      <c r="C134" s="14" t="b">
        <v>0</v>
      </c>
      <c r="D134" s="53"/>
      <c r="E134" s="54"/>
      <c r="F134" s="55"/>
      <c r="H134" s="56"/>
      <c r="I134" s="2"/>
      <c r="J134" s="34" t="str">
        <f>ifna(HYPERLINK("#gid=1523906944&amp;range="&amp;REPLACE(REPLACE(Address(CELL("row",VLOOKUP($H134,Quest_Tracker!$A$2:$B$900,2,FALSE)),CELL("col",VLOOKUP($H134,Quest_Tracker!$A$2:$B$900,2,FALSE))),1,1,""),2,1,""),VLOOKUP($H134,Quest_Tracker!$A$2:$B$900,2,FALSE)))</f>
        <v/>
      </c>
      <c r="K134" s="58" t="str">
        <f>ifna(VLOOKUP($H134,Quest_Tracker!$A$2:$I$900,9,FALSE))</f>
        <v/>
      </c>
      <c r="L134" s="58" t="str">
        <f>ifna(VLOOKUP($H134,Quest_Tracker!$A$2:$I$900,3,FALSE))</f>
        <v/>
      </c>
      <c r="M134" s="59" t="str">
        <f>ifna(VLOOKUP($H134,Quest_Tracker!$A$2:$I$900,4,FALSE))</f>
        <v/>
      </c>
    </row>
    <row r="135">
      <c r="B135" s="61"/>
      <c r="C135" s="14" t="b">
        <v>0</v>
      </c>
      <c r="D135" s="53"/>
      <c r="E135" s="54"/>
      <c r="F135" s="55"/>
      <c r="H135" s="56"/>
      <c r="I135" s="2"/>
      <c r="J135" s="34" t="str">
        <f>ifna(HYPERLINK("#gid=1523906944&amp;range="&amp;REPLACE(REPLACE(Address(CELL("row",VLOOKUP($H135,Quest_Tracker!$A$2:$B$900,2,FALSE)),CELL("col",VLOOKUP($H135,Quest_Tracker!$A$2:$B$900,2,FALSE))),1,1,""),2,1,""),VLOOKUP($H135,Quest_Tracker!$A$2:$B$900,2,FALSE)))</f>
        <v/>
      </c>
      <c r="K135" s="58" t="str">
        <f>ifna(VLOOKUP($H135,Quest_Tracker!$A$2:$I$900,9,FALSE))</f>
        <v/>
      </c>
      <c r="L135" s="58" t="str">
        <f>ifna(VLOOKUP($H135,Quest_Tracker!$A$2:$I$900,3,FALSE))</f>
        <v/>
      </c>
      <c r="M135" s="59" t="str">
        <f>ifna(VLOOKUP($H135,Quest_Tracker!$A$2:$I$900,4,FALSE))</f>
        <v/>
      </c>
    </row>
  </sheetData>
  <mergeCells count="89">
    <mergeCell ref="H87:I87"/>
    <mergeCell ref="H88:I88"/>
    <mergeCell ref="H89:I89"/>
    <mergeCell ref="H90:I90"/>
    <mergeCell ref="H91:I91"/>
    <mergeCell ref="H92:I92"/>
    <mergeCell ref="H93:I93"/>
    <mergeCell ref="H94:I94"/>
    <mergeCell ref="H95:I95"/>
    <mergeCell ref="H96:I96"/>
    <mergeCell ref="H97:I97"/>
    <mergeCell ref="H98:I98"/>
    <mergeCell ref="H99:I99"/>
    <mergeCell ref="H100:I100"/>
    <mergeCell ref="H101:I101"/>
    <mergeCell ref="H102:I102"/>
    <mergeCell ref="H103:I103"/>
    <mergeCell ref="H104:I104"/>
    <mergeCell ref="H105:I105"/>
    <mergeCell ref="H106:I106"/>
    <mergeCell ref="H107:I107"/>
    <mergeCell ref="H108:I108"/>
    <mergeCell ref="H109:I109"/>
    <mergeCell ref="H110:I110"/>
    <mergeCell ref="H111:I111"/>
    <mergeCell ref="H112:I112"/>
    <mergeCell ref="H113:I113"/>
    <mergeCell ref="H114:I114"/>
    <mergeCell ref="H115:I115"/>
    <mergeCell ref="H116:I116"/>
    <mergeCell ref="H117:I117"/>
    <mergeCell ref="H118:I118"/>
    <mergeCell ref="H119:I119"/>
    <mergeCell ref="H120:I120"/>
    <mergeCell ref="H121:I121"/>
    <mergeCell ref="H129:I129"/>
    <mergeCell ref="H130:I130"/>
    <mergeCell ref="H131:I131"/>
    <mergeCell ref="H132:I132"/>
    <mergeCell ref="H133:I133"/>
    <mergeCell ref="H134:I134"/>
    <mergeCell ref="H135:I135"/>
    <mergeCell ref="H122:I122"/>
    <mergeCell ref="H123:I123"/>
    <mergeCell ref="H124:I124"/>
    <mergeCell ref="H125:I125"/>
    <mergeCell ref="H126:I126"/>
    <mergeCell ref="H127:I127"/>
    <mergeCell ref="H128:I128"/>
    <mergeCell ref="B10:C10"/>
    <mergeCell ref="D10:E10"/>
    <mergeCell ref="L10:M10"/>
    <mergeCell ref="B5:C5"/>
    <mergeCell ref="D5:E6"/>
    <mergeCell ref="B6:C6"/>
    <mergeCell ref="B7:C7"/>
    <mergeCell ref="D7:E7"/>
    <mergeCell ref="D8:E8"/>
    <mergeCell ref="C9:E9"/>
    <mergeCell ref="D16:E16"/>
    <mergeCell ref="B17:E17"/>
    <mergeCell ref="B18:E18"/>
    <mergeCell ref="B19:E19"/>
    <mergeCell ref="B20:E20"/>
    <mergeCell ref="B21:E21"/>
    <mergeCell ref="G22:H22"/>
    <mergeCell ref="D23:D31"/>
    <mergeCell ref="B33:E33"/>
    <mergeCell ref="B13:C13"/>
    <mergeCell ref="D13:E13"/>
    <mergeCell ref="B14:C14"/>
    <mergeCell ref="D14:E14"/>
    <mergeCell ref="B15:C15"/>
    <mergeCell ref="D15:E15"/>
    <mergeCell ref="B16:C16"/>
    <mergeCell ref="G23:H23"/>
    <mergeCell ref="G24:H24"/>
    <mergeCell ref="G25:H25"/>
    <mergeCell ref="H76:I76"/>
    <mergeCell ref="H77:I77"/>
    <mergeCell ref="H78:I78"/>
    <mergeCell ref="H79:I79"/>
    <mergeCell ref="H80:I80"/>
    <mergeCell ref="H81:I81"/>
    <mergeCell ref="H82:I82"/>
    <mergeCell ref="H83:I83"/>
    <mergeCell ref="H84:I84"/>
    <mergeCell ref="H85:I85"/>
    <mergeCell ref="H86:I86"/>
  </mergeCells>
  <conditionalFormatting sqref="C35:C55">
    <cfRule type="expression" dxfId="0" priority="1">
      <formula>IF(U35,True,False)</formula>
    </cfRule>
  </conditionalFormatting>
  <conditionalFormatting sqref="C35:C55">
    <cfRule type="expression" dxfId="0" priority="2">
      <formula>IF(V35,TRUE,FALSE)</formula>
    </cfRule>
  </conditionalFormatting>
  <conditionalFormatting sqref="C71">
    <cfRule type="expression" dxfId="1" priority="3">
      <formula>if(AND(C71="Private",C72&gt;=20),True,   if(AND(C71="Private First Class",C72&gt;=40),True,  if(AND(C71="Specialist",C72&gt;=60),True,  if(AND(C71="Corporal",C72&gt;=80),True,  if(AND(C71="Sergeant",C72&gt;=100),True,  if(AND(C71="Staff Sergeant",C72&gt;=120),True,  if(AND(C71="Sergeant First Class",C72&gt;=140),True,  if(AND(C71="Master Sergeant",C72&gt;=160),True,  if(AND(C71="First Sergeant",C72&gt;=180),True,  if(AND(C71="Sergeant Major",C72&gt;=200),True,  if(AND(C71="Command Sergeant",C72&gt;=220),True,  if(AND(C71="Sergeant Major of Spira",C72&gt;=240),True,  if(AND(C71="Second Lieutenant",C72&gt;=260),True,  if(AND(C71="First Lieutenant",C72&gt;=280),True,  if(AND(C71="Captain",C72&gt;=300),True,  if(AND(C71="Major",C72&gt;=320),True,  if(AND(C71="Lieutenant Colonel",C72&gt;=340),True,  if(AND(C71="Colonel",C72&gt;=360),True,  if(AND(C71="Brigadier General",C72&gt;=380),True,  if(AND(C71="Major General",C72&gt;=400),True,  if(AND(C71="Lieutenant General",C72&gt;=420),True,  if(AND(C71="General ",C72&gt;=420),True,   False))))))))))))))))))))))</formula>
    </cfRule>
  </conditionalFormatting>
  <dataValidations>
    <dataValidation type="list" allowBlank="1" sqref="C35:C55">
      <formula1>Backpack!$B$10:$B1019</formula1>
    </dataValidation>
    <dataValidation type="list" allowBlank="1" sqref="C71">
      <formula1>"Bounty Hunter,Private,Private First Class,Specialist,Corporal,Sergeant,Staff Sergeant,Sergeant First Class,Master Sergeant,First Sergeant,Sergeant Major,Command Sergeant,Sergeant Major of Spira,Second Lieutenant,First Lieutenant,Captain,Major,Lieutenant C"&amp;"olonel,Colonel,Brigadier General,Major General,Lieutenant General,General,General of Spira,Lord of Spira"</formula1>
    </dataValidation>
    <dataValidation type="decimal" operator="greaterThanOrEqual" allowBlank="1" showDropDown="1" showErrorMessage="1" sqref="M11">
      <formula1>1.0</formula1>
    </dataValidation>
    <dataValidation type="decimal" operator="greaterThanOrEqual" allowBlank="1" showDropDown="1" sqref="F11:J11">
      <formula1>0.0</formula1>
    </dataValidation>
  </dataValidations>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9900"/>
    <outlinePr summaryBelow="0" summaryRight="0"/>
  </sheetPr>
  <sheetViews>
    <sheetView workbookViewId="0"/>
  </sheetViews>
  <sheetFormatPr customHeight="1" defaultColWidth="12.63" defaultRowHeight="15.75"/>
  <cols>
    <col customWidth="1" min="2" max="3" width="16.5"/>
    <col customWidth="1" min="4" max="4" width="16.88"/>
    <col customWidth="1" min="5" max="5" width="18.25"/>
    <col customWidth="1" min="6" max="6" width="16.0"/>
    <col customWidth="1" min="7" max="7" width="18.0"/>
    <col customWidth="1" min="8" max="8" width="18.38"/>
    <col customWidth="1" min="9" max="10" width="19.38"/>
    <col customWidth="1" min="11" max="11" width="16.5"/>
    <col hidden="1" min="14" max="27" width="12.63"/>
  </cols>
  <sheetData>
    <row r="1">
      <c r="B1" s="38" t="s">
        <v>81</v>
      </c>
      <c r="C1" s="38" t="s">
        <v>82</v>
      </c>
      <c r="D1" s="38" t="s">
        <v>83</v>
      </c>
      <c r="E1" s="38" t="s">
        <v>84</v>
      </c>
      <c r="F1" s="38" t="s">
        <v>85</v>
      </c>
      <c r="G1" s="62" t="s">
        <v>86</v>
      </c>
      <c r="H1" s="14" t="s">
        <v>87</v>
      </c>
      <c r="I1" s="38" t="s">
        <v>88</v>
      </c>
      <c r="J1" s="62" t="s">
        <v>89</v>
      </c>
      <c r="K1" s="14" t="s">
        <v>90</v>
      </c>
      <c r="P1" s="16">
        <f>VLOOKUP($K$1,Classes!$A$2:$AX993,MATCH("eleselect",Classes!$A1:$AX$1,0),FALSE)</f>
        <v>1</v>
      </c>
      <c r="Q1" s="16">
        <f>IFNA(VLOOKUP($K$3,EnhancedClasses!$B$2:$AX993,MATCH("eleselect",EnhancedClasses!$B1:$AX$1,0),FALSE),"")</f>
        <v>0</v>
      </c>
    </row>
    <row r="2">
      <c r="A2" s="62" t="s">
        <v>7</v>
      </c>
      <c r="B2" s="63">
        <v>20.0</v>
      </c>
      <c r="C2" s="64" t="str">
        <f>VLOOKUP($H$1,Races!$A$2:$AX993,MATCH($A2,Races!$A$1:$AX$1,0),FALSE)</f>
        <v/>
      </c>
      <c r="D2" s="16" t="str">
        <f>if((VLOOKUP($K$1,Classes!$A$2:$AN993,MATCH($A2,Classes!$A$1:$AN$1,0),FALSE)+IF($B$13&gt;199,VLOOKUP($K$3,EnhancedClasses!$B$2:$AS993,MATCH($A2,EnhancedClasses!$B$1:$AS$1,0),FALSE),""))=0,"",(VLOOKUP($K$1,Classes!$A$2:$AN993,MATCH($A2,Classes!$A$1:$AN$1,0),FALSE)+IF($I$2,IF($B$13&gt;199,VLOOKUP($K$4,EnhancedClasses!$B$2:$AS993,MATCH($A2,EnhancedClasses!$B$1:$AS$1,0),FALSE),""),IF($B$13&gt;199,VLOOKUP($K$3,EnhancedClasses!$B$2:$AS993,MATCH($A2,EnhancedClasses!$B$1:$AS$1,0),FALSE),""))))</f>
        <v/>
      </c>
      <c r="E2" s="16" t="b">
        <f>OR(ISNUMBER(SEARCH("Human",$H$1)),IF($F$2,ISNUMBER(SEARCH("Human",$H$2)),FALSE))</f>
        <v>0</v>
      </c>
      <c r="F2" s="14" t="b">
        <v>0</v>
      </c>
      <c r="G2" s="62" t="s">
        <v>91</v>
      </c>
      <c r="H2" s="16"/>
      <c r="I2" s="14" t="b">
        <v>1</v>
      </c>
      <c r="J2" s="62" t="s">
        <v>92</v>
      </c>
      <c r="K2" s="14" t="s">
        <v>93</v>
      </c>
      <c r="S2" s="65" t="s">
        <v>94</v>
      </c>
      <c r="T2" s="64"/>
      <c r="U2" s="37"/>
      <c r="V2" s="64"/>
      <c r="W2" s="37" t="str">
        <f>IFERROR(__xludf.DUMMYFUNCTION("QUERY(PossibleSpells!$A$2:$G$24,""Select A,G where G &gt; 0"")"),"Fire")</f>
        <v>Fire</v>
      </c>
      <c r="X2" s="66">
        <f>IFERROR(__xludf.DUMMYFUNCTION("""COMPUTED_VALUE"""),9.0)</f>
        <v>9</v>
      </c>
      <c r="Y2" s="67"/>
      <c r="Z2" s="37"/>
      <c r="AA2" s="37"/>
      <c r="AB2" s="64"/>
    </row>
    <row r="3">
      <c r="A3" s="62" t="s">
        <v>8</v>
      </c>
      <c r="B3" s="63">
        <v>20.0</v>
      </c>
      <c r="C3" s="64" t="str">
        <f>VLOOKUP($H$1,Races!$A$2:$AX993,MATCH($A3,Races!$A$1:$AX$1,0),FALSE)</f>
        <v/>
      </c>
      <c r="D3" s="16" t="str">
        <f>if((VLOOKUP($K$1,Classes!$A$2:$AN993,MATCH($A3,Classes!$A$1:$AN$1,0),FALSE)+IF($B$13&gt;199,VLOOKUP($K$3,EnhancedClasses!$B$2:$AS993,MATCH($A3,EnhancedClasses!$B$1:$AS$1,0),FALSE),""))=0,"",(VLOOKUP($K$1,Classes!$A$2:$AN993,MATCH($A3,Classes!$A$1:$AN$1,0),FALSE)+IF($I$2,IF($B$13&gt;199,VLOOKUP($K$4,EnhancedClasses!$B$2:$AS993,MATCH($A3,EnhancedClasses!$B$1:$AS$1,0),FALSE),""),IF($B$13&gt;199,VLOOKUP($K$3,EnhancedClasses!$B$2:$AS993,MATCH($A3,EnhancedClasses!$B$1:$AS$1,0),FALSE),""))))</f>
        <v/>
      </c>
      <c r="J3" s="62" t="s">
        <v>95</v>
      </c>
      <c r="K3" s="14" t="s">
        <v>96</v>
      </c>
      <c r="N3" s="16" t="str">
        <f>IFERROR(__xludf.DUMMYFUNCTION("FILTER(EnhancedClasses!$A$2:$B993,EnhancedClasses!$A$2:$A993=$K$1)"),"Mage")</f>
        <v>Mage</v>
      </c>
      <c r="O3" s="16" t="str">
        <f>IFERROR(__xludf.DUMMYFUNCTION("""COMPUTED_VALUE"""),"Grand Mage")</f>
        <v>Grand Mage</v>
      </c>
      <c r="P3" s="16" t="str">
        <f>IFERROR(__xludf.DUMMYFUNCTION("FILTER(EnhancedClasses!$A$2:$B993,EnhancedClasses!$A$2:$A993=$K$2)"),"Archer")</f>
        <v>Archer</v>
      </c>
      <c r="Q3" s="16" t="str">
        <f>IFERROR(__xludf.DUMMYFUNCTION("""COMPUTED_VALUE"""),"Skilled Archer")</f>
        <v>Skilled Archer</v>
      </c>
      <c r="S3" s="65" t="s">
        <v>97</v>
      </c>
      <c r="T3" s="64"/>
      <c r="U3" s="37"/>
      <c r="V3" s="64"/>
      <c r="W3" s="37" t="str">
        <f>IFERROR(__xludf.DUMMYFUNCTION("""COMPUTED_VALUE"""),"Water")</f>
        <v>Water</v>
      </c>
      <c r="X3" s="66">
        <f>IFERROR(__xludf.DUMMYFUNCTION("""COMPUTED_VALUE"""),9.0)</f>
        <v>9</v>
      </c>
      <c r="Y3" s="67"/>
      <c r="Z3" s="37"/>
      <c r="AA3" s="37"/>
      <c r="AB3" s="64"/>
    </row>
    <row r="4">
      <c r="A4" s="62" t="s">
        <v>9</v>
      </c>
      <c r="B4" s="63">
        <v>20.0</v>
      </c>
      <c r="C4" s="64" t="str">
        <f>VLOOKUP($H$1,Races!$A$2:$AX993,MATCH($A4,Races!$A$1:$AX$1,0),FALSE)</f>
        <v/>
      </c>
      <c r="D4" s="16" t="str">
        <f>if((VLOOKUP($K$1,Classes!$A$2:$AN993,MATCH($A4,Classes!$A$1:$AN$1,0),FALSE)+IF($B$13&gt;199,VLOOKUP($K$3,EnhancedClasses!$B$2:$AS993,MATCH($A4,EnhancedClasses!$B$1:$AS$1,0),FALSE),""))=0,"",(VLOOKUP($K$1,Classes!$A$2:$AN993,MATCH($A4,Classes!$A$1:$AN$1,0),FALSE)+IF($I$2,IF($B$13&gt;199,VLOOKUP($K$4,EnhancedClasses!$B$2:$AS993,MATCH($A4,EnhancedClasses!$B$1:$AS$1,0),FALSE),""),IF($B$13&gt;199,VLOOKUP($K$3,EnhancedClasses!$B$2:$AS993,MATCH($A4,EnhancedClasses!$B$1:$AS$1,0),FALSE),""))))</f>
        <v/>
      </c>
      <c r="E4" s="62" t="s">
        <v>98</v>
      </c>
      <c r="F4" s="16"/>
      <c r="H4" s="62" t="s">
        <v>99</v>
      </c>
      <c r="I4" s="68">
        <v>6.0</v>
      </c>
      <c r="J4" s="69" t="s">
        <v>100</v>
      </c>
      <c r="K4" s="14" t="s">
        <v>101</v>
      </c>
      <c r="N4" s="16" t="str">
        <f>IFERROR(__xludf.DUMMYFUNCTION("""COMPUTED_VALUE"""),"Mage")</f>
        <v>Mage</v>
      </c>
      <c r="O4" s="16" t="str">
        <f>IFERROR(__xludf.DUMMYFUNCTION("""COMPUTED_VALUE"""),"Chrono Mage")</f>
        <v>Chrono Mage</v>
      </c>
      <c r="P4" s="16" t="str">
        <f>IFERROR(__xludf.DUMMYFUNCTION("""COMPUTED_VALUE"""),"Archer")</f>
        <v>Archer</v>
      </c>
      <c r="Q4" s="16" t="str">
        <f>IFERROR(__xludf.DUMMYFUNCTION("""COMPUTED_VALUE"""),"Javelineer")</f>
        <v>Javelineer</v>
      </c>
      <c r="S4" s="65" t="s">
        <v>102</v>
      </c>
      <c r="T4" s="64"/>
      <c r="U4" s="37"/>
      <c r="V4" s="64"/>
      <c r="W4" s="37" t="str">
        <f>IFERROR(__xludf.DUMMYFUNCTION("""COMPUTED_VALUE"""),"Storm")</f>
        <v>Storm</v>
      </c>
      <c r="X4" s="66">
        <f>IFERROR(__xludf.DUMMYFUNCTION("""COMPUTED_VALUE"""),9.0)</f>
        <v>9</v>
      </c>
      <c r="Y4" s="67"/>
      <c r="Z4" s="37"/>
      <c r="AA4" s="37"/>
      <c r="AB4" s="64"/>
    </row>
    <row r="5">
      <c r="A5" s="62" t="s">
        <v>103</v>
      </c>
      <c r="B5" s="63">
        <v>20.0</v>
      </c>
      <c r="C5" s="64" t="str">
        <f>VLOOKUP($H$1,Races!$A$2:$AX993,MATCH($A5,Races!$A$1:$AX$1,0),FALSE)</f>
        <v/>
      </c>
      <c r="D5" s="16" t="str">
        <f>if((VLOOKUP($K$1,Classes!$A$2:$AN993,MATCH($A5,Classes!$A$1:$AN$1,0),FALSE)+IF($B$13&gt;199,VLOOKUP($K$3,EnhancedClasses!$B$2:$AS993,MATCH($A5,EnhancedClasses!$B$1:$AS$1,0),FALSE),""))=0,"",(VLOOKUP($K$1,Classes!$A$2:$AN993,MATCH($A5,Classes!$A$1:$AN$1,0),FALSE)+IF($I$2,IF($B$13&gt;199,VLOOKUP($K$4,EnhancedClasses!$B$2:$AS993,MATCH($A5,EnhancedClasses!$B$1:$AS$1,0),FALSE),""),IF($B$13&gt;199,VLOOKUP($K$3,EnhancedClasses!$B$2:$AS993,MATCH($A5,EnhancedClasses!$B$1:$AS$1,0),FALSE),""))))</f>
        <v/>
      </c>
      <c r="E5" s="62" t="s">
        <v>104</v>
      </c>
      <c r="F5" s="14" t="s">
        <v>105</v>
      </c>
      <c r="J5" s="62" t="s">
        <v>106</v>
      </c>
      <c r="K5" s="14" t="s">
        <v>102</v>
      </c>
      <c r="S5" s="65" t="s">
        <v>107</v>
      </c>
      <c r="T5" s="64"/>
      <c r="U5" s="37"/>
      <c r="V5" s="37"/>
      <c r="W5" s="37" t="str">
        <f>IFERROR(__xludf.DUMMYFUNCTION("""COMPUTED_VALUE"""),"Earth")</f>
        <v>Earth</v>
      </c>
      <c r="X5" s="66">
        <f>IFERROR(__xludf.DUMMYFUNCTION("""COMPUTED_VALUE"""),9.0)</f>
        <v>9</v>
      </c>
      <c r="Y5" s="67"/>
      <c r="Z5" s="37"/>
      <c r="AA5" s="37"/>
      <c r="AB5" s="64"/>
    </row>
    <row r="6">
      <c r="A6" s="62" t="s">
        <v>108</v>
      </c>
      <c r="B6" s="63">
        <v>20.0</v>
      </c>
      <c r="C6" s="64" t="str">
        <f>VLOOKUP($H$1,Races!$A$2:$AX993,MATCH($A6,Races!$A$1:$AX$1,0),FALSE)</f>
        <v/>
      </c>
      <c r="D6" s="16" t="str">
        <f>if((VLOOKUP($K$1,Classes!$A$2:$AN993,MATCH($A6,Classes!$A$1:$AN$1,0),FALSE)+IF($B$13&gt;199,VLOOKUP($K$3,EnhancedClasses!$B$2:$AS993,MATCH($A6,EnhancedClasses!$B$1:$AS$1,0),FALSE),""))=0,"",(VLOOKUP($K$1,Classes!$A$2:$AN993,MATCH($A6,Classes!$A$1:$AN$1,0),FALSE)+IF($I$2,IF($B$13&gt;199,VLOOKUP($K$4,EnhancedClasses!$B$2:$AS993,MATCH($A6,EnhancedClasses!$B$1:$AS$1,0),FALSE),""),IF($B$13&gt;199,VLOOKUP($K$3,EnhancedClasses!$B$2:$AS993,MATCH($A6,EnhancedClasses!$B$1:$AS$1,0),FALSE),""))))</f>
        <v/>
      </c>
      <c r="E6" s="62" t="s">
        <v>109</v>
      </c>
      <c r="F6" s="68"/>
      <c r="H6" s="70" t="s">
        <v>110</v>
      </c>
      <c r="I6" s="18" t="s">
        <v>111</v>
      </c>
      <c r="J6" s="62" t="s">
        <v>112</v>
      </c>
      <c r="K6" s="16"/>
      <c r="S6" s="65" t="s">
        <v>113</v>
      </c>
      <c r="T6" s="64"/>
      <c r="U6" s="37"/>
      <c r="V6" s="64"/>
      <c r="W6" s="37" t="str">
        <f>IFERROR(__xludf.DUMMYFUNCTION("""COMPUTED_VALUE"""),"Light")</f>
        <v>Light</v>
      </c>
      <c r="X6" s="66">
        <f>IFERROR(__xludf.DUMMYFUNCTION("""COMPUTED_VALUE"""),9.0)</f>
        <v>9</v>
      </c>
      <c r="Y6" s="67"/>
      <c r="Z6" s="37"/>
      <c r="AA6" s="37"/>
      <c r="AB6" s="64"/>
    </row>
    <row r="7">
      <c r="A7" s="62" t="s">
        <v>114</v>
      </c>
      <c r="B7" s="63">
        <v>20.0</v>
      </c>
      <c r="C7" s="64" t="str">
        <f>VLOOKUP($H$1,Races!$A$2:$AX993,MATCH($A7,Races!$A$1:$AX$1,0),FALSE)</f>
        <v/>
      </c>
      <c r="D7" s="16" t="str">
        <f>if((VLOOKUP($K$1,Classes!$A$2:$AN993,MATCH($A7,Classes!$A$1:$AN$1,0),FALSE)+IF($B$13&gt;199,VLOOKUP($K$3,EnhancedClasses!$B$2:$AS993,MATCH($A7,EnhancedClasses!$B$1:$AS$1,0),FALSE),""))=0,"",(VLOOKUP($K$1,Classes!$A$2:$AN993,MATCH($A7,Classes!$A$1:$AN$1,0),FALSE)+IF($I$2,IF($B$13&gt;199,VLOOKUP($K$4,EnhancedClasses!$B$2:$AS993,MATCH($A7,EnhancedClasses!$B$1:$AS$1,0),FALSE),""),IF($B$13&gt;199,VLOOKUP($K$3,EnhancedClasses!$B$2:$AS993,MATCH($A7,EnhancedClasses!$B$1:$AS$1,0),FALSE),""))))</f>
        <v/>
      </c>
      <c r="E7" s="62" t="s">
        <v>115</v>
      </c>
      <c r="F7" s="68"/>
      <c r="H7" s="71" t="s">
        <v>116</v>
      </c>
      <c r="I7" s="21" t="str">
        <f>IFERROR(VLOOKUP($I$6,AstrologicalSigns!$A$2:$D993,2,FALSE),"")</f>
        <v>The Bull</v>
      </c>
      <c r="J7" s="62" t="s">
        <v>117</v>
      </c>
      <c r="K7" s="16"/>
      <c r="S7" s="65" t="s">
        <v>118</v>
      </c>
      <c r="T7" s="64"/>
      <c r="U7" s="37"/>
      <c r="V7" s="64"/>
      <c r="W7" s="37" t="str">
        <f>IFERROR(__xludf.DUMMYFUNCTION("""COMPUTED_VALUE"""),"Dark")</f>
        <v>Dark</v>
      </c>
      <c r="X7" s="66">
        <f>IFERROR(__xludf.DUMMYFUNCTION("""COMPUTED_VALUE"""),9.0)</f>
        <v>9</v>
      </c>
      <c r="Y7" s="67"/>
      <c r="Z7" s="37"/>
      <c r="AA7" s="37"/>
      <c r="AB7" s="64"/>
    </row>
    <row r="8">
      <c r="A8" s="62" t="s">
        <v>119</v>
      </c>
      <c r="B8" s="63">
        <v>20.0</v>
      </c>
      <c r="C8" s="64" t="str">
        <f>VLOOKUP($H$1,Races!$A$2:$AX993,MATCH($A8,Races!$A$1:$AX$1,0),FALSE)</f>
        <v/>
      </c>
      <c r="D8" s="16" t="str">
        <f>if((VLOOKUP($K$1,Classes!$A$2:$AN993,MATCH($A8,Classes!$A$1:$AN$1,0),FALSE)+IF($B$13&gt;199,VLOOKUP($K$3,EnhancedClasses!$B$2:$AS993,MATCH($A8,EnhancedClasses!$B$1:$AS$1,0),FALSE),""))=0,"",(VLOOKUP($K$1,Classes!$A$2:$AN993,MATCH($A8,Classes!$A$1:$AN$1,0),FALSE)+IF($I$2,IF($B$13&gt;199,VLOOKUP($K$4,EnhancedClasses!$B$2:$AS993,MATCH($A8,EnhancedClasses!$B$1:$AS$1,0),FALSE),""),IF($B$13&gt;199,VLOOKUP($K$3,EnhancedClasses!$B$2:$AS993,MATCH($A8,EnhancedClasses!$B$1:$AS$1,0),FALSE),""))))</f>
        <v/>
      </c>
      <c r="E8" s="62" t="s">
        <v>120</v>
      </c>
      <c r="F8" s="68"/>
      <c r="H8" s="72" t="s">
        <v>25</v>
      </c>
      <c r="I8" s="35"/>
      <c r="S8" s="65" t="s">
        <v>121</v>
      </c>
      <c r="T8" s="64"/>
      <c r="U8" s="37"/>
      <c r="V8" s="37"/>
      <c r="W8" s="37" t="str">
        <f>IFERROR(__xludf.DUMMYFUNCTION("""COMPUTED_VALUE"""),"Spirit")</f>
        <v>Spirit</v>
      </c>
      <c r="X8" s="66">
        <f>IFERROR(__xludf.DUMMYFUNCTION("""COMPUTED_VALUE"""),9.0)</f>
        <v>9</v>
      </c>
      <c r="Y8" s="67"/>
      <c r="Z8" s="37"/>
      <c r="AA8" s="37"/>
      <c r="AB8" s="64"/>
    </row>
    <row r="9">
      <c r="A9" s="62" t="s">
        <v>122</v>
      </c>
      <c r="B9" s="63">
        <v>20.0</v>
      </c>
      <c r="C9" s="64" t="str">
        <f>VLOOKUP($H$1,Races!$A$2:$AX993,MATCH($A9,Races!$A$1:$AX$1,0),FALSE)</f>
        <v/>
      </c>
      <c r="D9" s="16" t="str">
        <f>if((VLOOKUP($K$1,Classes!$A$2:$AN993,MATCH($A9,Classes!$A$1:$AN$1,0),FALSE)+IF($B$13&gt;199,VLOOKUP($K$3,EnhancedClasses!$B$2:$AS993,MATCH($A9,EnhancedClasses!$B$1:$AS$1,0),FALSE),""))=0,"",(VLOOKUP($K$1,Classes!$A$2:$AN993,MATCH($A9,Classes!$A$1:$AN$1,0),FALSE)+IF($I$2,IF($B$13&gt;199,VLOOKUP($K$4,EnhancedClasses!$B$2:$AS993,MATCH($A9,EnhancedClasses!$B$1:$AS$1,0),FALSE),""),IF($B$13&gt;199,VLOOKUP($K$3,EnhancedClasses!$B$2:$AS993,MATCH($A9,EnhancedClasses!$B$1:$AS$1,0),FALSE),""))))</f>
        <v/>
      </c>
      <c r="E9" s="62" t="s">
        <v>123</v>
      </c>
      <c r="F9" s="68"/>
      <c r="H9" s="73" t="str">
        <f>IFERROR(VLOOKUP($I$6,AstrologicalSigns!$A$2:$D993,3,FALSE),"")</f>
        <v>During each of your turns in battle, you get 1 additional weapon attack as long as you attacked with a weapon.</v>
      </c>
      <c r="I9" s="35"/>
      <c r="J9" s="62" t="s">
        <v>124</v>
      </c>
      <c r="S9" s="65" t="s">
        <v>125</v>
      </c>
      <c r="T9" s="64"/>
      <c r="U9" s="37"/>
      <c r="V9" s="37"/>
      <c r="W9" s="37" t="str">
        <f>IFERROR(__xludf.DUMMYFUNCTION("""COMPUTED_VALUE"""),"Order")</f>
        <v>Order</v>
      </c>
      <c r="X9" s="37">
        <f>IFERROR(__xludf.DUMMYFUNCTION("""COMPUTED_VALUE"""),9.0)</f>
        <v>9</v>
      </c>
      <c r="Y9" s="67"/>
      <c r="Z9" s="37"/>
      <c r="AA9" s="37"/>
      <c r="AB9" s="64"/>
    </row>
    <row r="10">
      <c r="E10" s="62" t="s">
        <v>126</v>
      </c>
      <c r="F10" s="16"/>
      <c r="H10" s="74"/>
      <c r="I10" s="35"/>
      <c r="S10" s="65" t="s">
        <v>127</v>
      </c>
      <c r="T10" s="64"/>
      <c r="U10" s="37"/>
      <c r="V10" s="37"/>
      <c r="W10" s="37" t="str">
        <f>IFERROR(__xludf.DUMMYFUNCTION("""COMPUTED_VALUE"""),"Chaos")</f>
        <v>Chaos</v>
      </c>
      <c r="X10" s="37">
        <f>IFERROR(__xludf.DUMMYFUNCTION("""COMPUTED_VALUE"""),9.0)</f>
        <v>9</v>
      </c>
      <c r="Y10" s="67"/>
      <c r="Z10" s="37"/>
      <c r="AA10" s="37"/>
      <c r="AB10" s="64"/>
    </row>
    <row r="11" ht="18.75" customHeight="1">
      <c r="H11" s="7"/>
      <c r="I11" s="8"/>
      <c r="S11" s="65" t="s">
        <v>128</v>
      </c>
      <c r="T11" s="64"/>
      <c r="U11" s="37"/>
      <c r="V11" s="37"/>
      <c r="W11" s="37" t="str">
        <f>IFERROR(__xludf.DUMMYFUNCTION("""COMPUTED_VALUE"""),"Nature")</f>
        <v>Nature</v>
      </c>
      <c r="X11" s="37">
        <f>IFERROR(__xludf.DUMMYFUNCTION("""COMPUTED_VALUE"""),9.0)</f>
        <v>9</v>
      </c>
      <c r="Y11" s="67"/>
      <c r="Z11" s="37"/>
      <c r="AA11" s="37"/>
      <c r="AB11" s="64"/>
    </row>
    <row r="12">
      <c r="B12" s="38" t="s">
        <v>129</v>
      </c>
      <c r="C12" s="38" t="s">
        <v>130</v>
      </c>
      <c r="E12" s="62" t="str">
        <f>"Damage Orb ("&amp;IF(ISBLANK(F12),0,1)&amp;"/1):"</f>
        <v>Damage Orb (0/1):</v>
      </c>
      <c r="F12" s="14"/>
      <c r="G12" s="62" t="s">
        <v>131</v>
      </c>
      <c r="H12" s="14"/>
      <c r="I12" s="75" t="s">
        <v>132</v>
      </c>
      <c r="J12" s="14" t="str">
        <f>Config!B3</f>
        <v>1mNoojYCRU_5eQ4skcH3ywN5n3JMKPeua1AFji0FLWdI</v>
      </c>
      <c r="S12" s="65" t="s">
        <v>133</v>
      </c>
      <c r="T12" s="64"/>
      <c r="U12" s="37"/>
      <c r="V12" s="37"/>
      <c r="W12" s="37" t="str">
        <f>IFERROR(__xludf.DUMMYFUNCTION("""COMPUTED_VALUE"""),"Physical")</f>
        <v>Physical</v>
      </c>
      <c r="X12" s="37">
        <f>IFERROR(__xludf.DUMMYFUNCTION("""COMPUTED_VALUE"""),9.0)</f>
        <v>9</v>
      </c>
      <c r="Y12" s="67"/>
      <c r="Z12" s="37"/>
      <c r="AA12" s="37"/>
      <c r="AB12" s="64"/>
    </row>
    <row r="13">
      <c r="B13" s="76">
        <v>200.0</v>
      </c>
      <c r="C13" s="77">
        <f>(Rounddown(B13/10)*5)</f>
        <v>100</v>
      </c>
      <c r="E13" s="62" t="s">
        <v>22</v>
      </c>
      <c r="F13" s="14"/>
      <c r="G13" s="62" t="s">
        <v>134</v>
      </c>
      <c r="H13" s="14"/>
      <c r="J13" s="16"/>
      <c r="S13" s="65" t="s">
        <v>135</v>
      </c>
      <c r="T13" s="64"/>
      <c r="U13" s="37"/>
      <c r="V13" s="37"/>
      <c r="W13" s="37" t="str">
        <f>IFERROR(__xludf.DUMMYFUNCTION("""COMPUTED_VALUE"""),"Melee")</f>
        <v>Melee</v>
      </c>
      <c r="X13" s="37">
        <f>IFERROR(__xludf.DUMMYFUNCTION("""COMPUTED_VALUE"""),9.0)</f>
        <v>9</v>
      </c>
      <c r="Y13" s="67"/>
      <c r="Z13" s="37"/>
      <c r="AA13" s="37"/>
      <c r="AB13" s="64"/>
    </row>
    <row r="14">
      <c r="C14" s="16" t="str">
        <f>SUM(E18:J18)&amp;"/"&amp;C13</f>
        <v>100/100</v>
      </c>
      <c r="E14" s="62" t="s">
        <v>136</v>
      </c>
      <c r="F14" s="14"/>
      <c r="G14" s="62" t="s">
        <v>137</v>
      </c>
      <c r="H14" s="14"/>
      <c r="J14" s="14" t="s">
        <v>138</v>
      </c>
      <c r="S14" s="65" t="s">
        <v>139</v>
      </c>
      <c r="T14" s="64"/>
      <c r="U14" s="37"/>
      <c r="V14" s="37"/>
      <c r="W14" s="37" t="str">
        <f>IFERROR(__xludf.DUMMYFUNCTION("""COMPUTED_VALUE"""),"Ranged")</f>
        <v>Ranged</v>
      </c>
      <c r="X14" s="37">
        <f>IFERROR(__xludf.DUMMYFUNCTION("""COMPUTED_VALUE"""),9.0)</f>
        <v>9</v>
      </c>
      <c r="Y14" s="67"/>
      <c r="Z14" s="37"/>
      <c r="AA14" s="37"/>
      <c r="AB14" s="64"/>
    </row>
    <row r="15">
      <c r="C15" s="16" t="str">
        <f>"Free Points:"&amp;(SUM(C13)-SUM(E18:J18))</f>
        <v>Free Points:0</v>
      </c>
      <c r="E15" s="78" t="s">
        <v>140</v>
      </c>
      <c r="F15" s="16"/>
      <c r="S15" s="65" t="s">
        <v>141</v>
      </c>
      <c r="T15" s="64"/>
      <c r="U15" s="37"/>
      <c r="V15" s="37"/>
      <c r="W15" s="37" t="str">
        <f>IFERROR(__xludf.DUMMYFUNCTION("""COMPUTED_VALUE"""),"Stasis")</f>
        <v>Stasis</v>
      </c>
      <c r="X15" s="37">
        <f>IFERROR(__xludf.DUMMYFUNCTION("""COMPUTED_VALUE"""),9.0)</f>
        <v>9</v>
      </c>
      <c r="Y15" s="67"/>
      <c r="Z15" s="37"/>
      <c r="AA15" s="37"/>
      <c r="AB15" s="64"/>
    </row>
    <row r="16">
      <c r="S16" s="65" t="s">
        <v>142</v>
      </c>
      <c r="T16" s="64"/>
      <c r="U16" s="37"/>
      <c r="V16" s="37"/>
      <c r="W16" s="37" t="str">
        <f>IFERROR(__xludf.DUMMYFUNCTION("""COMPUTED_VALUE"""),"Twilight")</f>
        <v>Twilight</v>
      </c>
      <c r="X16" s="37">
        <f>IFERROR(__xludf.DUMMYFUNCTION("""COMPUTED_VALUE"""),9.0)</f>
        <v>9</v>
      </c>
      <c r="Y16" s="67"/>
      <c r="Z16" s="37"/>
      <c r="AA16" s="37"/>
      <c r="AB16" s="64"/>
    </row>
    <row r="17">
      <c r="B17" s="38" t="s">
        <v>7</v>
      </c>
      <c r="C17" s="38" t="s">
        <v>8</v>
      </c>
      <c r="D17" s="38" t="s">
        <v>9</v>
      </c>
      <c r="E17" s="79" t="s">
        <v>10</v>
      </c>
      <c r="F17" s="79" t="s">
        <v>13</v>
      </c>
      <c r="G17" s="79" t="s">
        <v>14</v>
      </c>
      <c r="H17" s="79" t="s">
        <v>15</v>
      </c>
      <c r="I17" s="79" t="s">
        <v>16</v>
      </c>
      <c r="J17" s="79" t="s">
        <v>143</v>
      </c>
      <c r="K17" s="38"/>
      <c r="S17" s="65" t="s">
        <v>144</v>
      </c>
      <c r="T17" s="64"/>
      <c r="U17" s="37"/>
      <c r="V17" s="37"/>
      <c r="W17" s="37" t="str">
        <f>IFERROR(__xludf.DUMMYFUNCTION("""COMPUTED_VALUE"""),"Voodoo")</f>
        <v>Voodoo</v>
      </c>
      <c r="X17" s="37">
        <f>IFERROR(__xludf.DUMMYFUNCTION("""COMPUTED_VALUE"""),9.0)</f>
        <v>9</v>
      </c>
      <c r="Y17" s="67"/>
      <c r="Z17" s="37"/>
      <c r="AA17" s="37"/>
      <c r="AB17" s="64"/>
    </row>
    <row r="18">
      <c r="B18" s="77">
        <f>(B2+C2+D2)+((B13-1)*IF(E2,2,1))+SUM(C28:C48)</f>
        <v>219</v>
      </c>
      <c r="C18" s="77">
        <f>(B3+C3+D3)+((B13-1)*IF(E2,2,1))+SUM(B28:B48)</f>
        <v>1019</v>
      </c>
      <c r="D18" s="77">
        <f>(B4+C4+D4)+((B13-1)*IF(E2,2,1))+SUM(D28:D48)</f>
        <v>219</v>
      </c>
      <c r="E18" s="76">
        <v>5.0</v>
      </c>
      <c r="F18" s="76">
        <v>5.0</v>
      </c>
      <c r="G18" s="76">
        <v>75.0</v>
      </c>
      <c r="H18" s="76">
        <v>5.0</v>
      </c>
      <c r="I18" s="76">
        <v>5.0</v>
      </c>
      <c r="J18" s="76">
        <v>5.0</v>
      </c>
      <c r="K18" s="77"/>
      <c r="S18" s="65" t="s">
        <v>145</v>
      </c>
      <c r="T18" s="64"/>
      <c r="U18" s="37"/>
      <c r="V18" s="37"/>
      <c r="W18" s="37" t="str">
        <f>IFERROR(__xludf.DUMMYFUNCTION("""COMPUTED_VALUE"""),"Blood")</f>
        <v>Blood</v>
      </c>
      <c r="X18" s="37">
        <f>IFERROR(__xludf.DUMMYFUNCTION("""COMPUTED_VALUE"""),9.0)</f>
        <v>9</v>
      </c>
      <c r="Y18" s="67"/>
      <c r="Z18" s="37"/>
      <c r="AA18" s="37"/>
      <c r="AB18" s="64"/>
    </row>
    <row r="19">
      <c r="D19" s="75" t="s">
        <v>146</v>
      </c>
      <c r="E19" s="76"/>
      <c r="F19" s="76"/>
      <c r="G19" s="76"/>
      <c r="H19" s="76">
        <v>5.0</v>
      </c>
      <c r="I19" s="76"/>
      <c r="J19" s="76"/>
      <c r="S19" s="65" t="s">
        <v>147</v>
      </c>
      <c r="T19" s="64"/>
      <c r="U19" s="37"/>
      <c r="V19" s="37"/>
      <c r="W19" s="37" t="str">
        <f>IFERROR(__xludf.DUMMYFUNCTION("""COMPUTED_VALUE"""),"Delta")</f>
        <v>Delta</v>
      </c>
      <c r="X19" s="37">
        <f>IFERROR(__xludf.DUMMYFUNCTION("""COMPUTED_VALUE"""),9.0)</f>
        <v>9</v>
      </c>
      <c r="Y19" s="67"/>
      <c r="Z19" s="37"/>
      <c r="AA19" s="37"/>
      <c r="AB19" s="64"/>
    </row>
    <row r="20">
      <c r="D20" s="75" t="s">
        <v>148</v>
      </c>
      <c r="E20" s="80">
        <f>VALUE(IF($I$2,VLOOKUP($K$2,Classes!$A$2:$AN993,MATCH(E$17,Classes!$A$1:$AN$1,0),FALSE),VLOOKUP($K$1,Classes!$A$2:$AN993,MATCH(E$17,Classes!$A$1:$AN$1,0),FALSE))+VLOOKUP($H$1,Races!$A$2:$R993,MATCH(E$17,Races!$A$1:$R$1,0),FALSE)+E$18)+E19+IF($I$2,if($B$13&gt;199,VLOOKUP($K$4,EnhancedClasses!$B$2:$AS993,MATCH(E$17,EnhancedClasses!$B$1:$AS$1,0),FALSE),""),if($B$13&gt;199,VLOOKUP($K$3,EnhancedClasses!$B$2:$AS993,MATCH(E$17,EnhancedClasses!$B$1:$AS$1,0),FALSE),""))</f>
        <v>5</v>
      </c>
      <c r="F20" s="80">
        <f>VALUE(IF($I$2,VLOOKUP($K$2,Classes!$A$2:$AN993,MATCH(F$17,Classes!$A$1:$AN$1,0),FALSE),VLOOKUP($K$1,Classes!$A$2:$AN993,MATCH(F$17,Classes!$A$1:$AN$1,0),FALSE))+VLOOKUP($H$1,Races!$A$2:$R993,MATCH(F$17,Races!$A$1:$R$1,0),FALSE)+F$18)+F19+IF($I$2,if($B$13&gt;199,VLOOKUP($K$4,EnhancedClasses!$B$2:$AS993,MATCH(F$17,EnhancedClasses!$B$1:$AS$1,0),FALSE),""),if($B$13&gt;199,VLOOKUP($K$3,EnhancedClasses!$B$2:$AS993,MATCH(F$17,EnhancedClasses!$B$1:$AS$1,0),FALSE),""))</f>
        <v>5</v>
      </c>
      <c r="G20" s="80">
        <f>VALUE(IF($I$2,VLOOKUP($K$2,Classes!$A$2:$AN993,MATCH(G$17,Classes!$A$1:$AN$1,0),FALSE),VLOOKUP($K$1,Classes!$A$2:$AN993,MATCH(G$17,Classes!$A$1:$AN$1,0),FALSE))+VLOOKUP($H$1,Races!$A$2:$R993,MATCH(G$17,Races!$A$1:$R$1,0),FALSE)+G$18)+G19+IF($I$2,if($B$13&gt;199,VLOOKUP($K$4,EnhancedClasses!$B$2:$AS993,MATCH(G$17,EnhancedClasses!$B$1:$AS$1,0),FALSE),""),if($B$13&gt;199,VLOOKUP($K$3,EnhancedClasses!$B$2:$AS993,MATCH(G$17,EnhancedClasses!$B$1:$AS$1,0),FALSE),""))</f>
        <v>77</v>
      </c>
      <c r="H20" s="80">
        <f>VALUE(IF($I$2,VLOOKUP($K$2,Classes!$A$2:$AN993,MATCH(H$17,Classes!$A$1:$AN$1,0),FALSE),VLOOKUP($K$1,Classes!$A$2:$AN993,MATCH(H$17,Classes!$A$1:$AN$1,0),FALSE))+VLOOKUP($H$1,Races!$A$2:$R993,MATCH(H$17,Races!$A$1:$R$1,0),FALSE)+H$18)+H19+IF($I$2,if($B$13&gt;199,VLOOKUP($K$4,EnhancedClasses!$B$2:$AS993,MATCH(H$17,EnhancedClasses!$B$1:$AS$1,0),FALSE),""),if($B$13&gt;199,VLOOKUP($K$3,EnhancedClasses!$B$2:$AS993,MATCH(H$17,EnhancedClasses!$B$1:$AS$1,0),FALSE),""))</f>
        <v>18</v>
      </c>
      <c r="I20" s="80">
        <f>VALUE(IF($I$2,VLOOKUP($K$2,Classes!$A$2:$AN993,MATCH(I$17,Classes!$A$1:$AN$1,0),FALSE),VLOOKUP($K$1,Classes!$A$2:$AN993,MATCH(I$17,Classes!$A$1:$AN$1,0),FALSE))+VLOOKUP($H$1,Races!$A$2:$R993,MATCH(I$17,Races!$A$1:$R$1,0),FALSE)+I$18)+I19+IF($I$2,if($B$13&gt;199,VLOOKUP($K$4,EnhancedClasses!$B$2:$AS993,MATCH(I$17,EnhancedClasses!$B$1:$AS$1,0),FALSE),""),if($B$13&gt;199,VLOOKUP($K$3,EnhancedClasses!$B$2:$AS993,MATCH(I$17,EnhancedClasses!$B$1:$AS$1,0),FALSE),""))</f>
        <v>5</v>
      </c>
      <c r="J20" s="80">
        <f>VALUE(IF($I$2,VLOOKUP($K$2,Classes!$A$2:$AN993,MATCH(J$17,Classes!$A$1:$AN$1,0),FALSE),VLOOKUP($K$1,Classes!$A$2:$AN993,MATCH(J$17,Classes!$A$1:$AN$1,0),FALSE))+VLOOKUP($H$1,Races!$A$2:$R993,MATCH(J$17,Races!$A$1:$R$1,0),FALSE)+J$18)+J19+IF($I$2,if($B$13&gt;199,VLOOKUP($K$4,EnhancedClasses!$B$2:$AS993,MATCH(J$17,EnhancedClasses!$B$1:$AS$1,0),FALSE),""),if($B$13&gt;199,VLOOKUP($K$3,EnhancedClasses!$B$2:$AS993,MATCH(J$17,EnhancedClasses!$B$1:$AS$1,0),FALSE),""))</f>
        <v>8</v>
      </c>
      <c r="S20" s="65" t="s">
        <v>149</v>
      </c>
      <c r="T20" s="37"/>
      <c r="U20" s="37"/>
      <c r="V20" s="37"/>
      <c r="W20" s="37" t="str">
        <f>IFERROR(__xludf.DUMMYFUNCTION("""COMPUTED_VALUE"""),"Astral")</f>
        <v>Astral</v>
      </c>
      <c r="X20" s="37">
        <f>IFERROR(__xludf.DUMMYFUNCTION("""COMPUTED_VALUE"""),9.0)</f>
        <v>9</v>
      </c>
      <c r="Y20" s="67"/>
      <c r="Z20" s="37"/>
      <c r="AA20" s="37"/>
      <c r="AB20" s="64"/>
    </row>
    <row r="21">
      <c r="S21" s="65" t="s">
        <v>150</v>
      </c>
      <c r="T21" s="37"/>
      <c r="U21" s="37"/>
      <c r="V21" s="37"/>
      <c r="W21" s="37" t="str">
        <f>IFERROR(__xludf.DUMMYFUNCTION("""COMPUTED_VALUE"""),"Celestial")</f>
        <v>Celestial</v>
      </c>
      <c r="X21" s="37">
        <f>IFERROR(__xludf.DUMMYFUNCTION("""COMPUTED_VALUE"""),9.0)</f>
        <v>9</v>
      </c>
      <c r="Y21" s="67"/>
      <c r="Z21" s="37"/>
      <c r="AA21" s="37"/>
      <c r="AB21" s="64"/>
    </row>
    <row r="22">
      <c r="B22" s="38" t="s">
        <v>103</v>
      </c>
      <c r="C22" s="38" t="s">
        <v>108</v>
      </c>
      <c r="D22" s="38" t="s">
        <v>114</v>
      </c>
      <c r="E22" s="38" t="s">
        <v>119</v>
      </c>
      <c r="F22" s="38" t="s">
        <v>122</v>
      </c>
      <c r="H22" s="81" t="s">
        <v>151</v>
      </c>
      <c r="I22" s="82" t="s">
        <v>152</v>
      </c>
      <c r="J22" s="83"/>
      <c r="K22" s="83"/>
      <c r="L22" s="84"/>
      <c r="S22" s="65" t="s">
        <v>153</v>
      </c>
      <c r="T22" s="64"/>
      <c r="U22" s="37"/>
      <c r="V22" s="37"/>
      <c r="W22" s="37"/>
      <c r="X22" s="37"/>
      <c r="Y22" s="67"/>
      <c r="Z22" s="37"/>
      <c r="AA22" s="37"/>
      <c r="AB22" s="64"/>
    </row>
    <row r="23">
      <c r="B23" s="77">
        <f>(B5+C5+D5)+((B13-1)*IF(E2,2,1))+(G20*5)+SUM(E28:E48)</f>
        <v>604</v>
      </c>
      <c r="C23" s="77">
        <f>(B6+C6+D6)+((B13-1)*IF(E2,2,1))+(G20*5)+SUM(F28:F48)</f>
        <v>604</v>
      </c>
      <c r="D23" s="77">
        <f>(B7+C7+D7)+((B13-1)*IF(E2,2,1))+SUM(G28:G48)</f>
        <v>219</v>
      </c>
      <c r="E23" s="77">
        <f>(B8+C8+D8)+((B13-1)*IF(E2,2,1))+SUM(H28:H48)</f>
        <v>219</v>
      </c>
      <c r="F23" s="77">
        <f>(B9+C9+D9)+((B13-1)*IF(E2,2,1))+SUM(I28:I48)</f>
        <v>219</v>
      </c>
      <c r="H23" s="71" t="s">
        <v>154</v>
      </c>
      <c r="I23" s="42" t="str">
        <f>IFERROR(VLOOKUP($I$22,Factions!$A$2:$Z993,MATCH("Faction Ability 1",Factions!$A$1:$Z$1,0),FALSE)&amp;" - "&amp;VLOOKUP($I$22,Factions!$A$2:$Z993,MATCH("Ability Description 1",Factions!$A$1:$Z$1,0),FALSE),"")</f>
        <v>Storming Vengeance  - +5 evasion and mobility if the weather is stormy.</v>
      </c>
      <c r="L23" s="35"/>
      <c r="S23" s="65" t="s">
        <v>155</v>
      </c>
      <c r="T23" s="64"/>
      <c r="U23" s="37"/>
      <c r="V23" s="37"/>
      <c r="W23" s="37"/>
      <c r="X23" s="37"/>
      <c r="Y23" s="67"/>
      <c r="Z23" s="64"/>
      <c r="AA23" s="37"/>
      <c r="AB23" s="64"/>
    </row>
    <row r="24">
      <c r="A24" s="75"/>
      <c r="H24" s="85"/>
      <c r="I24" s="42" t="str">
        <f>IFERROR(VLOOKUP($I$22,Factions!$A$2:$Z993,MATCH("Faction Ability 2",Factions!$A$1:$Z$1,0),FALSE)&amp;" - "&amp;VLOOKUP($I$22,Factions!$A$2:$Z993,MATCH("Ability Description 2",Factions!$A$1:$Z$1,0),FALSE),"")</f>
        <v>Storming Vengeance II - X2 additional Storm damage for the user.</v>
      </c>
      <c r="L24" s="35"/>
      <c r="S24" s="65" t="s">
        <v>156</v>
      </c>
      <c r="T24" s="37"/>
      <c r="U24" s="37"/>
      <c r="V24" s="37"/>
      <c r="W24" s="37"/>
      <c r="X24" s="37"/>
      <c r="Y24" s="67"/>
      <c r="Z24" s="37"/>
      <c r="AA24" s="37"/>
      <c r="AB24" s="64"/>
    </row>
    <row r="25">
      <c r="A25" s="75"/>
      <c r="H25" s="86"/>
      <c r="I25" s="87" t="str">
        <f>IFERROR(VLOOKUP($I$22,Factions!$A$2:$Z993,MATCH("Faction Ability 3",Factions!$A$1:$Z$1,0),FALSE)&amp;" - "&amp;VLOOKUP($I$22,Factions!$A$2:$Z993,MATCH("Ability Description 3",Factions!$A$1:$Z$1,0),FALSE),"")</f>
        <v>Storming Vengeance III - All Storm Related Attacks have a 20% chance to stun the target(s) they hit for 3 rounds.</v>
      </c>
      <c r="J25" s="88"/>
      <c r="K25" s="88"/>
      <c r="L25" s="8"/>
    </row>
    <row r="26">
      <c r="A26" s="75"/>
      <c r="S26" s="16" t="b">
        <f>IF(ISBLANK($F$10),FALSE,IF(VLOOKUP($I$22,Factions!$A$2:$Z993,MATCH($F$10,Factions!$A$1:$Z$1,0),FALSE),FALSE,TRUE))</f>
        <v>0</v>
      </c>
    </row>
    <row r="27">
      <c r="B27" s="62" t="s">
        <v>157</v>
      </c>
      <c r="C27" s="62" t="s">
        <v>158</v>
      </c>
      <c r="D27" s="62" t="s">
        <v>159</v>
      </c>
      <c r="E27" s="62" t="s">
        <v>160</v>
      </c>
      <c r="F27" s="62" t="s">
        <v>161</v>
      </c>
      <c r="G27" s="62" t="s">
        <v>162</v>
      </c>
      <c r="H27" s="62" t="s">
        <v>163</v>
      </c>
      <c r="I27" s="62" t="s">
        <v>164</v>
      </c>
    </row>
    <row r="28">
      <c r="A28" s="76" t="s">
        <v>29</v>
      </c>
      <c r="B28" s="47"/>
      <c r="C28" s="47"/>
      <c r="D28" s="47"/>
      <c r="E28" s="47"/>
      <c r="F28" s="47"/>
      <c r="G28" s="47"/>
      <c r="H28" s="47"/>
      <c r="I28" s="47"/>
    </row>
    <row r="29">
      <c r="A29" s="76" t="s">
        <v>165</v>
      </c>
      <c r="B29" s="47"/>
      <c r="C29" s="47"/>
      <c r="D29" s="47"/>
      <c r="E29" s="47"/>
      <c r="F29" s="47"/>
      <c r="G29" s="47"/>
      <c r="H29" s="47"/>
      <c r="I29" s="47"/>
    </row>
    <row r="30">
      <c r="A30" s="76" t="s">
        <v>166</v>
      </c>
      <c r="B30" s="47"/>
      <c r="C30" s="47"/>
      <c r="D30" s="47"/>
      <c r="E30" s="47"/>
      <c r="F30" s="47"/>
      <c r="G30" s="47"/>
      <c r="H30" s="47"/>
      <c r="I30" s="47"/>
    </row>
    <row r="31">
      <c r="A31" s="76" t="s">
        <v>167</v>
      </c>
      <c r="B31" s="47"/>
      <c r="C31" s="47"/>
      <c r="D31" s="47"/>
      <c r="E31" s="47"/>
      <c r="F31" s="47"/>
      <c r="G31" s="47"/>
      <c r="H31" s="47"/>
      <c r="I31" s="47"/>
    </row>
    <row r="32">
      <c r="A32" s="76" t="s">
        <v>35</v>
      </c>
      <c r="B32" s="47"/>
      <c r="C32" s="47"/>
      <c r="D32" s="47"/>
      <c r="E32" s="47"/>
      <c r="F32" s="47"/>
      <c r="G32" s="47"/>
      <c r="H32" s="47"/>
      <c r="I32" s="47"/>
    </row>
    <row r="33">
      <c r="A33" s="76" t="s">
        <v>38</v>
      </c>
      <c r="B33" s="47">
        <v>800.0</v>
      </c>
      <c r="C33" s="47"/>
      <c r="D33" s="47"/>
      <c r="E33" s="47"/>
      <c r="F33" s="47"/>
      <c r="G33" s="47"/>
      <c r="H33" s="47"/>
      <c r="I33" s="47"/>
    </row>
    <row r="34">
      <c r="A34" s="76" t="s">
        <v>40</v>
      </c>
      <c r="B34" s="47"/>
      <c r="C34" s="47"/>
      <c r="D34" s="47"/>
      <c r="E34" s="47"/>
      <c r="F34" s="47"/>
      <c r="G34" s="47"/>
      <c r="H34" s="47"/>
      <c r="I34" s="47"/>
    </row>
    <row r="35">
      <c r="A35" s="76" t="s">
        <v>168</v>
      </c>
      <c r="B35" s="47"/>
      <c r="C35" s="47"/>
      <c r="D35" s="47"/>
      <c r="E35" s="47"/>
      <c r="F35" s="47"/>
      <c r="G35" s="47"/>
      <c r="H35" s="47"/>
      <c r="I35" s="47"/>
    </row>
    <row r="36">
      <c r="A36" s="76" t="s">
        <v>169</v>
      </c>
      <c r="B36" s="47"/>
      <c r="C36" s="47"/>
      <c r="D36" s="47"/>
      <c r="E36" s="47"/>
      <c r="F36" s="47"/>
      <c r="G36" s="47"/>
      <c r="H36" s="47"/>
      <c r="I36" s="47"/>
    </row>
    <row r="37">
      <c r="A37" s="76" t="s">
        <v>170</v>
      </c>
      <c r="B37" s="47"/>
      <c r="C37" s="47"/>
      <c r="D37" s="47"/>
      <c r="E37" s="47"/>
      <c r="F37" s="47"/>
      <c r="G37" s="47"/>
      <c r="H37" s="47"/>
      <c r="I37" s="47"/>
    </row>
    <row r="38">
      <c r="A38" s="76" t="s">
        <v>171</v>
      </c>
      <c r="B38" s="47"/>
      <c r="C38" s="47"/>
      <c r="D38" s="47"/>
      <c r="E38" s="47"/>
      <c r="F38" s="47"/>
      <c r="G38" s="47"/>
      <c r="H38" s="47"/>
      <c r="I38" s="47"/>
    </row>
    <row r="39">
      <c r="A39" s="76" t="s">
        <v>172</v>
      </c>
      <c r="B39" s="47"/>
      <c r="C39" s="47"/>
      <c r="D39" s="47"/>
      <c r="E39" s="47"/>
      <c r="F39" s="47"/>
      <c r="G39" s="47"/>
      <c r="H39" s="47"/>
      <c r="I39" s="47"/>
    </row>
    <row r="40">
      <c r="A40" s="76" t="s">
        <v>173</v>
      </c>
      <c r="B40" s="47"/>
      <c r="C40" s="47"/>
      <c r="D40" s="47"/>
      <c r="E40" s="47"/>
      <c r="F40" s="47"/>
      <c r="G40" s="47"/>
      <c r="H40" s="47"/>
      <c r="I40" s="47"/>
    </row>
    <row r="41">
      <c r="A41" s="76" t="s">
        <v>174</v>
      </c>
      <c r="B41" s="47"/>
      <c r="C41" s="47"/>
      <c r="D41" s="47"/>
      <c r="E41" s="47"/>
      <c r="F41" s="47"/>
      <c r="G41" s="47"/>
      <c r="H41" s="47"/>
      <c r="I41" s="47"/>
    </row>
    <row r="42">
      <c r="A42" s="76" t="s">
        <v>175</v>
      </c>
      <c r="B42" s="47"/>
      <c r="C42" s="47"/>
      <c r="D42" s="47"/>
      <c r="E42" s="47"/>
      <c r="F42" s="47"/>
      <c r="G42" s="47"/>
      <c r="H42" s="47"/>
      <c r="I42" s="47"/>
    </row>
    <row r="43">
      <c r="A43" s="76" t="s">
        <v>176</v>
      </c>
      <c r="B43" s="47"/>
      <c r="C43" s="47"/>
      <c r="D43" s="47"/>
      <c r="E43" s="47"/>
      <c r="F43" s="47"/>
      <c r="G43" s="47"/>
      <c r="H43" s="47"/>
      <c r="I43" s="47"/>
    </row>
    <row r="44">
      <c r="A44" s="76" t="s">
        <v>177</v>
      </c>
      <c r="B44" s="47"/>
      <c r="C44" s="47"/>
      <c r="D44" s="47"/>
      <c r="E44" s="47"/>
      <c r="F44" s="47"/>
      <c r="G44" s="47"/>
      <c r="H44" s="47"/>
      <c r="I44" s="47"/>
    </row>
    <row r="45">
      <c r="A45" s="76" t="s">
        <v>178</v>
      </c>
      <c r="B45" s="47"/>
      <c r="C45" s="47"/>
      <c r="D45" s="47"/>
      <c r="E45" s="47"/>
      <c r="F45" s="47"/>
      <c r="G45" s="47"/>
      <c r="H45" s="47"/>
      <c r="I45" s="47"/>
    </row>
    <row r="46">
      <c r="A46" s="76" t="s">
        <v>179</v>
      </c>
      <c r="B46" s="47"/>
      <c r="C46" s="47"/>
      <c r="D46" s="47"/>
      <c r="E46" s="47"/>
      <c r="F46" s="47"/>
      <c r="G46" s="47"/>
      <c r="H46" s="47"/>
      <c r="I46" s="47"/>
    </row>
    <row r="47">
      <c r="A47" s="76" t="s">
        <v>56</v>
      </c>
      <c r="B47" s="47"/>
      <c r="C47" s="47"/>
      <c r="D47" s="47"/>
      <c r="E47" s="47"/>
      <c r="F47" s="47"/>
      <c r="G47" s="47"/>
      <c r="H47" s="47"/>
      <c r="I47" s="47"/>
    </row>
    <row r="48">
      <c r="A48" s="76" t="s">
        <v>59</v>
      </c>
      <c r="B48" s="47"/>
      <c r="C48" s="47"/>
      <c r="D48" s="47"/>
      <c r="E48" s="47"/>
      <c r="F48" s="47"/>
      <c r="G48" s="47"/>
      <c r="H48" s="47"/>
      <c r="I48" s="47"/>
    </row>
    <row r="51">
      <c r="B51" s="38" t="s">
        <v>180</v>
      </c>
    </row>
    <row r="52">
      <c r="A52" s="38" t="s">
        <v>181</v>
      </c>
      <c r="B52" s="38" t="s">
        <v>182</v>
      </c>
      <c r="C52" s="38" t="s">
        <v>183</v>
      </c>
      <c r="E52" s="38"/>
    </row>
    <row r="53">
      <c r="A53" s="14" t="s">
        <v>184</v>
      </c>
      <c r="B53" s="14" t="b">
        <v>0</v>
      </c>
      <c r="C53" s="16"/>
    </row>
    <row r="54">
      <c r="A54" s="14" t="s">
        <v>185</v>
      </c>
      <c r="B54" s="14" t="b">
        <v>0</v>
      </c>
      <c r="C54" s="16"/>
    </row>
    <row r="55">
      <c r="A55" s="14" t="s">
        <v>186</v>
      </c>
      <c r="B55" s="14" t="b">
        <v>0</v>
      </c>
      <c r="C55" s="16"/>
    </row>
    <row r="56">
      <c r="A56" s="14" t="s">
        <v>187</v>
      </c>
      <c r="B56" s="14" t="b">
        <v>0</v>
      </c>
      <c r="C56" s="16"/>
    </row>
    <row r="57">
      <c r="A57" s="14" t="s">
        <v>188</v>
      </c>
      <c r="B57" s="14" t="b">
        <v>0</v>
      </c>
      <c r="C57" s="16"/>
    </row>
    <row r="58">
      <c r="A58" s="14" t="s">
        <v>189</v>
      </c>
      <c r="B58" s="14" t="b">
        <v>0</v>
      </c>
      <c r="C58" s="16"/>
    </row>
    <row r="59">
      <c r="A59" s="14" t="s">
        <v>190</v>
      </c>
      <c r="B59" s="14" t="b">
        <v>0</v>
      </c>
      <c r="C59" s="16"/>
    </row>
    <row r="60">
      <c r="A60" s="14" t="s">
        <v>191</v>
      </c>
      <c r="B60" s="14" t="b">
        <v>0</v>
      </c>
      <c r="C60" s="16"/>
    </row>
    <row r="61">
      <c r="A61" s="14" t="s">
        <v>192</v>
      </c>
      <c r="B61" s="14" t="b">
        <v>0</v>
      </c>
      <c r="C61" s="16"/>
    </row>
    <row r="62">
      <c r="A62" s="14" t="s">
        <v>193</v>
      </c>
      <c r="B62" s="14" t="b">
        <v>0</v>
      </c>
      <c r="C62" s="16"/>
    </row>
    <row r="63">
      <c r="A63" s="14" t="s">
        <v>194</v>
      </c>
      <c r="B63" s="14" t="b">
        <v>0</v>
      </c>
      <c r="C63" s="16"/>
    </row>
    <row r="64">
      <c r="A64" s="14" t="s">
        <v>195</v>
      </c>
      <c r="B64" s="14" t="b">
        <v>0</v>
      </c>
      <c r="C64" s="16"/>
    </row>
    <row r="65">
      <c r="A65" s="14" t="s">
        <v>196</v>
      </c>
      <c r="B65" s="14" t="b">
        <v>0</v>
      </c>
      <c r="C65" s="16"/>
    </row>
    <row r="66">
      <c r="A66" s="14" t="s">
        <v>197</v>
      </c>
      <c r="B66" s="14" t="b">
        <v>0</v>
      </c>
      <c r="C66" s="16"/>
    </row>
    <row r="67">
      <c r="A67" s="14" t="s">
        <v>198</v>
      </c>
      <c r="B67" s="14" t="b">
        <v>0</v>
      </c>
      <c r="C67" s="16"/>
    </row>
    <row r="68">
      <c r="A68" s="14" t="s">
        <v>199</v>
      </c>
      <c r="B68" s="14" t="b">
        <v>0</v>
      </c>
      <c r="C68" s="16"/>
    </row>
    <row r="69">
      <c r="A69" s="14" t="s">
        <v>200</v>
      </c>
      <c r="B69" s="14" t="b">
        <v>0</v>
      </c>
      <c r="C69" s="16"/>
    </row>
    <row r="70">
      <c r="A70" s="14" t="s">
        <v>201</v>
      </c>
      <c r="B70" s="14" t="b">
        <v>0</v>
      </c>
      <c r="C70" s="16"/>
    </row>
    <row r="71">
      <c r="A71" s="14" t="s">
        <v>202</v>
      </c>
      <c r="B71" s="14" t="b">
        <v>0</v>
      </c>
      <c r="C71" s="16"/>
    </row>
    <row r="72">
      <c r="A72" s="14" t="s">
        <v>203</v>
      </c>
      <c r="B72" s="14" t="b">
        <v>0</v>
      </c>
      <c r="C72" s="16"/>
    </row>
    <row r="73">
      <c r="A73" s="14" t="s">
        <v>204</v>
      </c>
      <c r="B73" s="14" t="b">
        <v>0</v>
      </c>
      <c r="C73" s="16"/>
    </row>
    <row r="74">
      <c r="A74" s="14" t="s">
        <v>205</v>
      </c>
      <c r="B74" s="14" t="b">
        <v>0</v>
      </c>
      <c r="C74" s="16"/>
    </row>
    <row r="75">
      <c r="A75" s="14" t="s">
        <v>206</v>
      </c>
      <c r="B75" s="14" t="b">
        <v>0</v>
      </c>
      <c r="C75" s="16"/>
    </row>
  </sheetData>
  <mergeCells count="5">
    <mergeCell ref="H8:I8"/>
    <mergeCell ref="H9:I11"/>
    <mergeCell ref="I23:L23"/>
    <mergeCell ref="I24:L24"/>
    <mergeCell ref="I25:L25"/>
  </mergeCells>
  <conditionalFormatting sqref="H2">
    <cfRule type="expression" dxfId="0" priority="1">
      <formula>OR(AND($F$2,ISBLANK($H$2)),AND(IF($F$2,FALSE,TRUE),IF(ISBLANK($H$2),FALSE,TRUE)))</formula>
    </cfRule>
  </conditionalFormatting>
  <conditionalFormatting sqref="K2">
    <cfRule type="expression" dxfId="0" priority="2">
      <formula>OR(AND($I$2,ISBLANK($K$2)),AND(IF($I$2,FALSE,TRUE),IF(ISBLANK($K$2),FALSE,TRUE)))</formula>
    </cfRule>
  </conditionalFormatting>
  <conditionalFormatting sqref="C14">
    <cfRule type="expression" dxfId="0" priority="3">
      <formula>IF((C13-SUM(E18:J18))&lt;0,TRUE,FALSE)</formula>
    </cfRule>
  </conditionalFormatting>
  <conditionalFormatting sqref="C15">
    <cfRule type="expression" dxfId="0" priority="4">
      <formula>IF((C13-SUM(E18:J18))&lt;0,TRUE,FALSE)</formula>
    </cfRule>
  </conditionalFormatting>
  <conditionalFormatting sqref="K5">
    <cfRule type="expression" dxfId="0" priority="5">
      <formula>AND($P$1&gt;0,OR(ISBLANK($K$5),ISNUMBER(SEARCH("Zen",$K$5)),ISNUMBER(SEARCH("Time",$K$5)),AND(ISNUMBER(SEARCH("Acoustic",$K$5)),IF(ISNUMBER(SEARCH("Bard",$K$1)),FALSE,TRUE))))</formula>
    </cfRule>
  </conditionalFormatting>
  <conditionalFormatting sqref="K6">
    <cfRule type="expression" dxfId="0" priority="6">
      <formula>AND($P$1&gt;1,OR(ISBLANK($K$6),ISNUMBER(SEARCH("Zen",$K$6)),ISNUMBER(SEARCH("Time",$K$6)),AND(ISNUMBER(SEARCH("Acoustic",$K$6)),IF(ISNUMBER(SEARCH("Bard",$K$1)),FALSE,TRUE))))</formula>
    </cfRule>
  </conditionalFormatting>
  <conditionalFormatting sqref="K7">
    <cfRule type="expression" dxfId="0" priority="7">
      <formula>AND($P$1&gt;2,OR(ISBLANK($K$7),ISNUMBER(SEARCH("Zen",$K$7)),ISNUMBER(SEARCH("Time",$K$7)),AND(ISNUMBER(SEARCH("Acoustic",$K$7)),IF(ISNUMBER(SEARCH("Bard",$K$1)),FALSE,TRUE))))</formula>
    </cfRule>
  </conditionalFormatting>
  <conditionalFormatting sqref="K3">
    <cfRule type="expression" dxfId="0" priority="8">
      <formula>AND($B$13&gt;199,ISBLANK($K$3))</formula>
    </cfRule>
  </conditionalFormatting>
  <conditionalFormatting sqref="K3">
    <cfRule type="expression" dxfId="0" priority="9">
      <formula>AND($B$13&lt;200,IF(ISBLANK($K$3),FLASE,TRUE))</formula>
    </cfRule>
  </conditionalFormatting>
  <conditionalFormatting sqref="B2:B9">
    <cfRule type="containsBlanks" dxfId="0" priority="10">
      <formula>LEN(TRIM(B2))=0</formula>
    </cfRule>
  </conditionalFormatting>
  <conditionalFormatting sqref="I6">
    <cfRule type="containsBlanks" dxfId="0" priority="11">
      <formula>LEN(TRIM(I6))=0</formula>
    </cfRule>
  </conditionalFormatting>
  <conditionalFormatting sqref="H1">
    <cfRule type="containsBlanks" dxfId="0" priority="12">
      <formula>LEN(TRIM(H1))=0</formula>
    </cfRule>
  </conditionalFormatting>
  <conditionalFormatting sqref="K1">
    <cfRule type="containsBlanks" dxfId="0" priority="13">
      <formula>LEN(TRIM(K1))=0</formula>
    </cfRule>
  </conditionalFormatting>
  <conditionalFormatting sqref="K4">
    <cfRule type="expression" dxfId="0" priority="14">
      <formula>AND(AND($I$2,ISBLANK($K$4)),$B$13&gt;199)</formula>
    </cfRule>
  </conditionalFormatting>
  <conditionalFormatting sqref="K4">
    <cfRule type="expression" dxfId="0" priority="15">
      <formula>AND($B$13&lt;200,IF(ISBLANK($K$4),FLASE,TRUE))</formula>
    </cfRule>
  </conditionalFormatting>
  <conditionalFormatting sqref="F4:F10">
    <cfRule type="containsBlanks" dxfId="0" priority="16">
      <formula>LEN(TRIM(F4))=0</formula>
    </cfRule>
  </conditionalFormatting>
  <conditionalFormatting sqref="B53:B75">
    <cfRule type="expression" dxfId="0" priority="17">
      <formula>If(AND(B53,ISBLANK(C53)),True,False)</formula>
    </cfRule>
  </conditionalFormatting>
  <conditionalFormatting sqref="C53:C75">
    <cfRule type="expression" dxfId="0" priority="18">
      <formula>AND(IF($B53,FALSE,TRUE),IF(ISBLANK($C53),FALSE,TRUE))</formula>
    </cfRule>
  </conditionalFormatting>
  <conditionalFormatting sqref="K6">
    <cfRule type="expression" dxfId="0" priority="19">
      <formula>IF($P$1&gt;1,FALSE,IF(ISBLANK($K$6),FALSE,TRUE))</formula>
    </cfRule>
  </conditionalFormatting>
  <conditionalFormatting sqref="K7">
    <cfRule type="expression" dxfId="0" priority="20">
      <formula>IF($P$1&gt;2,FALSE,IF(ISBLANK($K$7),FALSE,TRUE))</formula>
    </cfRule>
  </conditionalFormatting>
  <conditionalFormatting sqref="K5">
    <cfRule type="expression" dxfId="0" priority="21">
      <formula>IF($P$1&gt;0,FALSE,IF(ISBLANK($K$5),FALSE,TRUE))</formula>
    </cfRule>
  </conditionalFormatting>
  <conditionalFormatting sqref="I22">
    <cfRule type="expression" dxfId="0" priority="22">
      <formula>$S$26</formula>
    </cfRule>
  </conditionalFormatting>
  <dataValidations>
    <dataValidation type="list" allowBlank="1" sqref="F4">
      <formula1>StarterTowns!$A$1:$A993</formula1>
    </dataValidation>
    <dataValidation type="list" allowBlank="1" sqref="K4">
      <formula1>$Q$3:$Q993</formula1>
    </dataValidation>
    <dataValidation type="decimal" allowBlank="1" showDropDown="1" showInputMessage="1" showErrorMessage="1" prompt="Spell levels are between 1 and 9" sqref="C53:C75">
      <formula1>1.0</formula1>
      <formula2>9.0</formula2>
    </dataValidation>
    <dataValidation type="list" allowBlank="1" sqref="J13">
      <formula1>CharLoaderList!$A:$A</formula1>
    </dataValidation>
    <dataValidation type="list" allowBlank="1" sqref="I6">
      <formula1>AstrologicalSigns!$A$2:$A993</formula1>
    </dataValidation>
    <dataValidation type="list" allowBlank="1" sqref="K1:K2">
      <formula1>Classes!$A$2:$A993</formula1>
    </dataValidation>
    <dataValidation type="list" allowBlank="1" showErrorMessage="1" sqref="F15">
      <formula1>EntityTypes!$A$2:$A993</formula1>
    </dataValidation>
    <dataValidation type="list" allowBlank="1" sqref="K3">
      <formula1>$O$3:$O$8</formula1>
    </dataValidation>
    <dataValidation type="list" allowBlank="1" sqref="K5:K7">
      <formula1>Leveler!$S$2:$S$24</formula1>
    </dataValidation>
    <dataValidation type="list" allowBlank="1" showErrorMessage="1" sqref="F10">
      <formula1>Alignment!$A$2:$A993</formula1>
    </dataValidation>
    <dataValidation type="list" allowBlank="1" sqref="I22">
      <formula1>Factions!$A$2:$A993</formula1>
    </dataValidation>
    <dataValidation type="decimal" allowBlank="1" showDropDown="1" showInputMessage="1" showErrorMessage="1" prompt="Can only put in a MAX of 5 points!" sqref="E18:F18 H18:J18">
      <formula1>0.0</formula1>
      <formula2>5.0</formula2>
    </dataValidation>
    <dataValidation type="list" allowBlank="1" sqref="H1:H2">
      <formula1>Races!$A$2:$A993</formula1>
    </dataValidation>
  </dataValidation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207</v>
      </c>
      <c r="B1" s="14" t="s">
        <v>208</v>
      </c>
      <c r="C1" s="14" t="s">
        <v>209</v>
      </c>
      <c r="D1" s="14" t="s">
        <v>210</v>
      </c>
      <c r="E1" s="14" t="s">
        <v>180</v>
      </c>
      <c r="F1" s="14" t="s">
        <v>211</v>
      </c>
      <c r="G1" s="14" t="s">
        <v>212</v>
      </c>
    </row>
    <row r="2">
      <c r="A2" s="67" t="s">
        <v>94</v>
      </c>
      <c r="B2" s="16">
        <f>IF(VLOOKUP(Leveler!$K$1,Classes!$A$2:$AX1000,MATCH($A2,Classes!$A$1:$AX$1,0),FALSE)&gt;0,IF($B$26,IF(ISNUMBER(MATCH($A2,$B$27:$B$29,0)),VLOOKUP(Leveler!$K$1,Classes!$A$2:$AX1000,MATCH($A2,Classes!$A$1:$AX$1,0),false),0),VLOOKUP(Leveler!$K$1,Classes!$A$2:$AX1000,MATCH($A2,Classes!$A$1:$AX$1,0),FALSE)),0)</f>
        <v>0</v>
      </c>
      <c r="C2" s="16">
        <f>IF(Leveler!$B$13&gt;199,IF(VLOOKUP(Leveler!$K$3,EnhancedClasses!$B$2:$AX1000,MATCH($A2,EnhancedClasses!$B$1:$AX$1,0),FALSE)&gt;0,VLOOKUP(Leveler!$K$3,EnhancedClasses!$B$2:$AX1000,MATCH($A2,EnhancedClasses!$B$1:$AX$1,0),FALSE),0),0)</f>
        <v>9</v>
      </c>
      <c r="D2" s="16">
        <f>IF(IF(Leveler!$F$2,VLOOKUP(Leveler!$H$2,Races!$A$2:$AX1000,MATCH($A2,Races!$A$1:$AX$1,0),FALSE),VLOOKUP(Leveler!$H$1,Races!$A$2:$AX1000,MATCH($A2,Races!$A$1:$AX$1,0),FALSE))&gt;0,IF(Leveler!$F$2,VLOOKUP(Leveler!$H$2,Races!$A$2:$AX1000,MATCH($A2,Races!$A$1:$AX$1,0),FALSE),VLOOKUP(Leveler!$H$1,Races!$A$2:$AX1000,MATCH($A2,Races!$A$1:$AX$1,0),FALSE)),0)</f>
        <v>0</v>
      </c>
      <c r="E2" s="16">
        <f>IF(Leveler!B53,Leveler!C53,0)</f>
        <v>0</v>
      </c>
      <c r="F2" s="14">
        <v>0.0</v>
      </c>
      <c r="G2" s="16">
        <f t="shared" ref="G2:G24" si="1">MAX(B2:F2)</f>
        <v>9</v>
      </c>
      <c r="H2" s="16" t="str">
        <f>IFERROR(__xludf.DUMMYFUNCTION("QUERY(A2:G24,""Select A,G where G &gt; 0"")"),"Fire")</f>
        <v>Fire</v>
      </c>
      <c r="I2" s="16">
        <f>IFERROR(__xludf.DUMMYFUNCTION("""COMPUTED_VALUE"""),9.0)</f>
        <v>9</v>
      </c>
    </row>
    <row r="3">
      <c r="A3" s="67" t="s">
        <v>97</v>
      </c>
      <c r="B3" s="16">
        <f>IF(VLOOKUP(Leveler!$K$1,Classes!$A$2:$AX1000,MATCH($A3,Classes!$A$1:$AX$1,0),FALSE)&gt;0,IF($B$26,IF(ISNUMBER(MATCH($A3,$B$27:$B$29,0)),VLOOKUP(Leveler!$K$1,Classes!$A$2:$AX1000,MATCH($A3,Classes!$A$1:$AX$1,0),false),0),VLOOKUP(Leveler!$K$1,Classes!$A$2:$AX1000,MATCH($A3,Classes!$A$1:$AX$1,0),FALSE)),0)</f>
        <v>0</v>
      </c>
      <c r="C3" s="16">
        <f>IF(Leveler!$B$13&gt;199,IF(VLOOKUP(Leveler!$K$3,EnhancedClasses!$B$2:$AX1000,MATCH($A3,EnhancedClasses!$B$1:$AX$1,0),FALSE)&gt;0,VLOOKUP(Leveler!$K$3,EnhancedClasses!$B$2:$AX1000,MATCH($A3,EnhancedClasses!$B$1:$AX$1,0),FALSE),0),0)</f>
        <v>9</v>
      </c>
      <c r="D3" s="16">
        <f>IF(IF(Leveler!$F$2,VLOOKUP(Leveler!$H$2,Races!$A$2:$AX1000,MATCH($A3,Races!$A$1:$AX$1,0),FALSE),VLOOKUP(Leveler!$H$1,Races!$A$2:$AX1000,MATCH($A3,Races!$A$1:$AX$1,0),FALSE))&gt;0,IF(Leveler!$F$2,VLOOKUP(Leveler!$H$2,Races!$A$2:$AX1000,MATCH($A3,Races!$A$1:$AX$1,0),FALSE),VLOOKUP(Leveler!$H$1,Races!$A$2:$AX1000,MATCH($A3,Races!$A$1:$AX$1,0),FALSE)),0)</f>
        <v>0</v>
      </c>
      <c r="E3" s="16">
        <f>IF(Leveler!B54,Leveler!C54,0)</f>
        <v>0</v>
      </c>
      <c r="F3" s="14">
        <v>0.0</v>
      </c>
      <c r="G3" s="16">
        <f t="shared" si="1"/>
        <v>9</v>
      </c>
      <c r="H3" s="16" t="str">
        <f>IFERROR(__xludf.DUMMYFUNCTION("""COMPUTED_VALUE"""),"Water")</f>
        <v>Water</v>
      </c>
      <c r="I3" s="16">
        <f>IFERROR(__xludf.DUMMYFUNCTION("""COMPUTED_VALUE"""),9.0)</f>
        <v>9</v>
      </c>
    </row>
    <row r="4">
      <c r="A4" s="67" t="s">
        <v>102</v>
      </c>
      <c r="B4" s="16">
        <f>IF(VLOOKUP(Leveler!$K$1,Classes!$A$2:$AX1000,MATCH($A4,Classes!$A$1:$AX$1,0),FALSE)&gt;0,IF($B$26,IF(ISNUMBER(MATCH($A4,$B$27:$B$29,0)),VLOOKUP(Leveler!$K$1,Classes!$A$2:$AX1000,MATCH($A4,Classes!$A$1:$AX$1,0),false),0),VLOOKUP(Leveler!$K$1,Classes!$A$2:$AX1000,MATCH($A4,Classes!$A$1:$AX$1,0),FALSE)),0)</f>
        <v>9</v>
      </c>
      <c r="C4" s="16">
        <f>IF(Leveler!$B$13&gt;199,IF(VLOOKUP(Leveler!$K$3,EnhancedClasses!$B$2:$AX1000,MATCH($A4,EnhancedClasses!$B$1:$AX$1,0),FALSE)&gt;0,VLOOKUP(Leveler!$K$3,EnhancedClasses!$B$2:$AX1000,MATCH($A4,EnhancedClasses!$B$1:$AX$1,0),FALSE),0),0)</f>
        <v>9</v>
      </c>
      <c r="D4" s="16">
        <f>IF(IF(Leveler!$F$2,VLOOKUP(Leveler!$H$2,Races!$A$2:$AX1000,MATCH($A4,Races!$A$1:$AX$1,0),FALSE),VLOOKUP(Leveler!$H$1,Races!$A$2:$AX1000,MATCH($A4,Races!$A$1:$AX$1,0),FALSE))&gt;0,IF(Leveler!$F$2,VLOOKUP(Leveler!$H$2,Races!$A$2:$AX1000,MATCH($A4,Races!$A$1:$AX$1,0),FALSE),VLOOKUP(Leveler!$H$1,Races!$A$2:$AX1000,MATCH($A4,Races!$A$1:$AX$1,0),FALSE)),0)</f>
        <v>0</v>
      </c>
      <c r="E4" s="16">
        <f>IF(Leveler!B55,Leveler!C55,0)</f>
        <v>0</v>
      </c>
      <c r="F4" s="14">
        <v>0.0</v>
      </c>
      <c r="G4" s="16">
        <f t="shared" si="1"/>
        <v>9</v>
      </c>
      <c r="H4" s="16" t="str">
        <f>IFERROR(__xludf.DUMMYFUNCTION("""COMPUTED_VALUE"""),"Storm")</f>
        <v>Storm</v>
      </c>
      <c r="I4" s="16">
        <f>IFERROR(__xludf.DUMMYFUNCTION("""COMPUTED_VALUE"""),9.0)</f>
        <v>9</v>
      </c>
    </row>
    <row r="5">
      <c r="A5" s="67" t="s">
        <v>107</v>
      </c>
      <c r="B5" s="16">
        <f>IF(VLOOKUP(Leveler!$K$1,Classes!$A$2:$AX1000,MATCH($A5,Classes!$A$1:$AX$1,0),FALSE)&gt;0,IF($B$26,IF(ISNUMBER(MATCH($A5,$B$27:$B$29,0)),VLOOKUP(Leveler!$K$1,Classes!$A$2:$AX1000,MATCH($A5,Classes!$A$1:$AX$1,0),false),0),VLOOKUP(Leveler!$K$1,Classes!$A$2:$AX1000,MATCH($A5,Classes!$A$1:$AX$1,0),FALSE)),0)</f>
        <v>0</v>
      </c>
      <c r="C5" s="16">
        <f>IF(Leveler!$B$13&gt;199,IF(VLOOKUP(Leveler!$K$3,EnhancedClasses!$B$2:$AX1000,MATCH($A5,EnhancedClasses!$B$1:$AX$1,0),FALSE)&gt;0,VLOOKUP(Leveler!$K$3,EnhancedClasses!$B$2:$AX1000,MATCH($A5,EnhancedClasses!$B$1:$AX$1,0),FALSE),0),0)</f>
        <v>9</v>
      </c>
      <c r="D5" s="16">
        <f>IF(IF(Leveler!$F$2,VLOOKUP(Leveler!$H$2,Races!$A$2:$AX1000,MATCH($A5,Races!$A$1:$AX$1,0),FALSE),VLOOKUP(Leveler!$H$1,Races!$A$2:$AX1000,MATCH($A5,Races!$A$1:$AX$1,0),FALSE))&gt;0,IF(Leveler!$F$2,VLOOKUP(Leveler!$H$2,Races!$A$2:$AX1000,MATCH($A5,Races!$A$1:$AX$1,0),FALSE),VLOOKUP(Leveler!$H$1,Races!$A$2:$AX1000,MATCH($A5,Races!$A$1:$AX$1,0),FALSE)),0)</f>
        <v>0</v>
      </c>
      <c r="E5" s="16">
        <f>IF(Leveler!B56,Leveler!C56,0)</f>
        <v>0</v>
      </c>
      <c r="F5" s="14">
        <v>0.0</v>
      </c>
      <c r="G5" s="16">
        <f t="shared" si="1"/>
        <v>9</v>
      </c>
      <c r="H5" s="16" t="str">
        <f>IFERROR(__xludf.DUMMYFUNCTION("""COMPUTED_VALUE"""),"Earth")</f>
        <v>Earth</v>
      </c>
      <c r="I5" s="16">
        <f>IFERROR(__xludf.DUMMYFUNCTION("""COMPUTED_VALUE"""),9.0)</f>
        <v>9</v>
      </c>
    </row>
    <row r="6">
      <c r="A6" s="67" t="s">
        <v>113</v>
      </c>
      <c r="B6" s="16">
        <f>IF(VLOOKUP(Leveler!$K$1,Classes!$A$2:$AX1000,MATCH($A6,Classes!$A$1:$AX$1,0),FALSE)&gt;0,IF($B$26,IF(ISNUMBER(MATCH($A6,$B$27:$B$29,0)),VLOOKUP(Leveler!$K$1,Classes!$A$2:$AX1000,MATCH($A6,Classes!$A$1:$AX$1,0),false),0),VLOOKUP(Leveler!$K$1,Classes!$A$2:$AX1000,MATCH($A6,Classes!$A$1:$AX$1,0),FALSE)),0)</f>
        <v>0</v>
      </c>
      <c r="C6" s="16">
        <f>IF(Leveler!$B$13&gt;199,IF(VLOOKUP(Leveler!$K$3,EnhancedClasses!$B$2:$AX1000,MATCH($A6,EnhancedClasses!$B$1:$AX$1,0),FALSE)&gt;0,VLOOKUP(Leveler!$K$3,EnhancedClasses!$B$2:$AX1000,MATCH($A6,EnhancedClasses!$B$1:$AX$1,0),FALSE),0),0)</f>
        <v>9</v>
      </c>
      <c r="D6" s="16">
        <f>IF(IF(Leveler!$F$2,VLOOKUP(Leveler!$H$2,Races!$A$2:$AX1000,MATCH($A6,Races!$A$1:$AX$1,0),FALSE),VLOOKUP(Leveler!$H$1,Races!$A$2:$AX1000,MATCH($A6,Races!$A$1:$AX$1,0),FALSE))&gt;0,IF(Leveler!$F$2,VLOOKUP(Leveler!$H$2,Races!$A$2:$AX1000,MATCH($A6,Races!$A$1:$AX$1,0),FALSE),VLOOKUP(Leveler!$H$1,Races!$A$2:$AX1000,MATCH($A6,Races!$A$1:$AX$1,0),FALSE)),0)</f>
        <v>0</v>
      </c>
      <c r="E6" s="16">
        <f>IF(Leveler!B57,Leveler!C57,0)</f>
        <v>0</v>
      </c>
      <c r="F6" s="14">
        <v>0.0</v>
      </c>
      <c r="G6" s="16">
        <f t="shared" si="1"/>
        <v>9</v>
      </c>
      <c r="H6" s="16" t="str">
        <f>IFERROR(__xludf.DUMMYFUNCTION("""COMPUTED_VALUE"""),"Light")</f>
        <v>Light</v>
      </c>
      <c r="I6" s="16">
        <f>IFERROR(__xludf.DUMMYFUNCTION("""COMPUTED_VALUE"""),9.0)</f>
        <v>9</v>
      </c>
    </row>
    <row r="7">
      <c r="A7" s="67" t="s">
        <v>118</v>
      </c>
      <c r="B7" s="16">
        <f>IF(VLOOKUP(Leveler!$K$1,Classes!$A$2:$AX1000,MATCH($A7,Classes!$A$1:$AX$1,0),FALSE)&gt;0,IF($B$26,IF(ISNUMBER(MATCH($A7,$B$27:$B$29,0)),VLOOKUP(Leveler!$K$1,Classes!$A$2:$AX1000,MATCH($A7,Classes!$A$1:$AX$1,0),false),0),VLOOKUP(Leveler!$K$1,Classes!$A$2:$AX1000,MATCH($A7,Classes!$A$1:$AX$1,0),FALSE)),0)</f>
        <v>0</v>
      </c>
      <c r="C7" s="16">
        <f>IF(Leveler!$B$13&gt;199,IF(VLOOKUP(Leveler!$K$3,EnhancedClasses!$B$2:$AX1000,MATCH($A7,EnhancedClasses!$B$1:$AX$1,0),FALSE)&gt;0,VLOOKUP(Leveler!$K$3,EnhancedClasses!$B$2:$AX1000,MATCH($A7,EnhancedClasses!$B$1:$AX$1,0),FALSE),0),0)</f>
        <v>9</v>
      </c>
      <c r="D7" s="16">
        <f>IF(IF(Leveler!$F$2,VLOOKUP(Leveler!$H$2,Races!$A$2:$AX1000,MATCH($A7,Races!$A$1:$AX$1,0),FALSE),VLOOKUP(Leveler!$H$1,Races!$A$2:$AX1000,MATCH($A7,Races!$A$1:$AX$1,0),FALSE))&gt;0,IF(Leveler!$F$2,VLOOKUP(Leveler!$H$2,Races!$A$2:$AX1000,MATCH($A7,Races!$A$1:$AX$1,0),FALSE),VLOOKUP(Leveler!$H$1,Races!$A$2:$AX1000,MATCH($A7,Races!$A$1:$AX$1,0),FALSE)),0)</f>
        <v>0</v>
      </c>
      <c r="E7" s="16">
        <f>IF(Leveler!B58,Leveler!C58,0)</f>
        <v>0</v>
      </c>
      <c r="F7" s="14">
        <v>0.0</v>
      </c>
      <c r="G7" s="16">
        <f t="shared" si="1"/>
        <v>9</v>
      </c>
      <c r="H7" s="16" t="str">
        <f>IFERROR(__xludf.DUMMYFUNCTION("""COMPUTED_VALUE"""),"Dark")</f>
        <v>Dark</v>
      </c>
      <c r="I7" s="16">
        <f>IFERROR(__xludf.DUMMYFUNCTION("""COMPUTED_VALUE"""),9.0)</f>
        <v>9</v>
      </c>
    </row>
    <row r="8">
      <c r="A8" s="67" t="s">
        <v>121</v>
      </c>
      <c r="B8" s="16">
        <f>IF(VLOOKUP(Leveler!$K$1,Classes!$A$2:$AX1000,MATCH($A8,Classes!$A$1:$AX$1,0),FALSE)&gt;0,IF($B$26,IF(ISNUMBER(MATCH($A8,$B$27:$B$29,0)),VLOOKUP(Leveler!$K$1,Classes!$A$2:$AX1000,MATCH($A8,Classes!$A$1:$AX$1,0),false),0),VLOOKUP(Leveler!$K$1,Classes!$A$2:$AX1000,MATCH($A8,Classes!$A$1:$AX$1,0),FALSE)),0)</f>
        <v>0</v>
      </c>
      <c r="C8" s="16">
        <f>IF(Leveler!$B$13&gt;199,IF(VLOOKUP(Leveler!$K$3,EnhancedClasses!$B$2:$AX1000,MATCH($A8,EnhancedClasses!$B$1:$AX$1,0),FALSE)&gt;0,VLOOKUP(Leveler!$K$3,EnhancedClasses!$B$2:$AX1000,MATCH($A8,EnhancedClasses!$B$1:$AX$1,0),FALSE),0),0)</f>
        <v>9</v>
      </c>
      <c r="D8" s="16">
        <f>IF(IF(Leveler!$F$2,VLOOKUP(Leveler!$H$2,Races!$A$2:$AX1000,MATCH($A8,Races!$A$1:$AX$1,0),FALSE),VLOOKUP(Leveler!$H$1,Races!$A$2:$AX1000,MATCH($A8,Races!$A$1:$AX$1,0),FALSE))&gt;0,IF(Leveler!$F$2,VLOOKUP(Leveler!$H$2,Races!$A$2:$AX1000,MATCH($A8,Races!$A$1:$AX$1,0),FALSE),VLOOKUP(Leveler!$H$1,Races!$A$2:$AX1000,MATCH($A8,Races!$A$1:$AX$1,0),FALSE)),0)</f>
        <v>0</v>
      </c>
      <c r="E8" s="16">
        <f>IF(Leveler!B59,Leveler!C59,0)</f>
        <v>0</v>
      </c>
      <c r="F8" s="14">
        <v>0.0</v>
      </c>
      <c r="G8" s="16">
        <f t="shared" si="1"/>
        <v>9</v>
      </c>
      <c r="H8" s="16" t="str">
        <f>IFERROR(__xludf.DUMMYFUNCTION("""COMPUTED_VALUE"""),"Spirit")</f>
        <v>Spirit</v>
      </c>
      <c r="I8" s="16">
        <f>IFERROR(__xludf.DUMMYFUNCTION("""COMPUTED_VALUE"""),9.0)</f>
        <v>9</v>
      </c>
    </row>
    <row r="9">
      <c r="A9" s="67" t="s">
        <v>125</v>
      </c>
      <c r="B9" s="16">
        <f>IF(VLOOKUP(Leveler!$K$1,Classes!$A$2:$AX1000,MATCH($A9,Classes!$A$1:$AX$1,0),FALSE)&gt;0,IF($B$26,IF(ISNUMBER(MATCH($A9,$B$27:$B$29,0)),VLOOKUP(Leveler!$K$1,Classes!$A$2:$AX1000,MATCH($A9,Classes!$A$1:$AX$1,0),false),0),VLOOKUP(Leveler!$K$1,Classes!$A$2:$AX1000,MATCH($A9,Classes!$A$1:$AX$1,0),FALSE)),0)</f>
        <v>0</v>
      </c>
      <c r="C9" s="16">
        <f>IF(Leveler!$B$13&gt;199,IF(VLOOKUP(Leveler!$K$3,EnhancedClasses!$B$2:$AX1000,MATCH($A9,EnhancedClasses!$B$1:$AX$1,0),FALSE)&gt;0,VLOOKUP(Leveler!$K$3,EnhancedClasses!$B$2:$AX1000,MATCH($A9,EnhancedClasses!$B$1:$AX$1,0),FALSE),0),0)</f>
        <v>9</v>
      </c>
      <c r="D9" s="16">
        <f>IF(IF(Leveler!$F$2,VLOOKUP(Leveler!$H$2,Races!$A$2:$AX1000,MATCH($A9,Races!$A$1:$AX$1,0),FALSE),VLOOKUP(Leveler!$H$1,Races!$A$2:$AX1000,MATCH($A9,Races!$A$1:$AX$1,0),FALSE))&gt;0,IF(Leveler!$F$2,VLOOKUP(Leveler!$H$2,Races!$A$2:$AX1000,MATCH($A9,Races!$A$1:$AX$1,0),FALSE),VLOOKUP(Leveler!$H$1,Races!$A$2:$AX1000,MATCH($A9,Races!$A$1:$AX$1,0),FALSE)),0)</f>
        <v>0</v>
      </c>
      <c r="E9" s="16">
        <f>IF(Leveler!B60,Leveler!C60,0)</f>
        <v>0</v>
      </c>
      <c r="F9" s="14">
        <v>0.0</v>
      </c>
      <c r="G9" s="16">
        <f t="shared" si="1"/>
        <v>9</v>
      </c>
      <c r="H9" s="16" t="str">
        <f>IFERROR(__xludf.DUMMYFUNCTION("""COMPUTED_VALUE"""),"Order")</f>
        <v>Order</v>
      </c>
      <c r="I9" s="16">
        <f>IFERROR(__xludf.DUMMYFUNCTION("""COMPUTED_VALUE"""),9.0)</f>
        <v>9</v>
      </c>
    </row>
    <row r="10">
      <c r="A10" s="67" t="s">
        <v>127</v>
      </c>
      <c r="B10" s="16">
        <f>IF(VLOOKUP(Leveler!$K$1,Classes!$A$2:$AX1000,MATCH($A10,Classes!$A$1:$AX$1,0),FALSE)&gt;0,IF($B$26,IF(ISNUMBER(MATCH($A10,$B$27:$B$29,0)),VLOOKUP(Leveler!$K$1,Classes!$A$2:$AX1000,MATCH($A10,Classes!$A$1:$AX$1,0),false),0),VLOOKUP(Leveler!$K$1,Classes!$A$2:$AX1000,MATCH($A10,Classes!$A$1:$AX$1,0),FALSE)),0)</f>
        <v>0</v>
      </c>
      <c r="C10" s="16">
        <f>IF(Leveler!$B$13&gt;199,IF(VLOOKUP(Leveler!$K$3,EnhancedClasses!$B$2:$AX1000,MATCH($A10,EnhancedClasses!$B$1:$AX$1,0),FALSE)&gt;0,VLOOKUP(Leveler!$K$3,EnhancedClasses!$B$2:$AX1000,MATCH($A10,EnhancedClasses!$B$1:$AX$1,0),FALSE),0),0)</f>
        <v>9</v>
      </c>
      <c r="D10" s="16">
        <f>IF(IF(Leveler!$F$2,VLOOKUP(Leveler!$H$2,Races!$A$2:$AX1000,MATCH($A10,Races!$A$1:$AX$1,0),FALSE),VLOOKUP(Leveler!$H$1,Races!$A$2:$AX1000,MATCH($A10,Races!$A$1:$AX$1,0),FALSE))&gt;0,IF(Leveler!$F$2,VLOOKUP(Leveler!$H$2,Races!$A$2:$AX1000,MATCH($A10,Races!$A$1:$AX$1,0),FALSE),VLOOKUP(Leveler!$H$1,Races!$A$2:$AX1000,MATCH($A10,Races!$A$1:$AX$1,0),FALSE)),0)</f>
        <v>0</v>
      </c>
      <c r="E10" s="16">
        <f>IF(Leveler!B61,Leveler!C61,0)</f>
        <v>0</v>
      </c>
      <c r="F10" s="14">
        <v>0.0</v>
      </c>
      <c r="G10" s="16">
        <f t="shared" si="1"/>
        <v>9</v>
      </c>
      <c r="H10" s="16" t="str">
        <f>IFERROR(__xludf.DUMMYFUNCTION("""COMPUTED_VALUE"""),"Chaos")</f>
        <v>Chaos</v>
      </c>
      <c r="I10" s="16">
        <f>IFERROR(__xludf.DUMMYFUNCTION("""COMPUTED_VALUE"""),9.0)</f>
        <v>9</v>
      </c>
    </row>
    <row r="11">
      <c r="A11" s="67" t="s">
        <v>128</v>
      </c>
      <c r="B11" s="16">
        <f>IF(VLOOKUP(Leveler!$K$1,Classes!$A$2:$AX1000,MATCH($A11,Classes!$A$1:$AX$1,0),FALSE)&gt;0,IF($B$26,IF(ISNUMBER(MATCH($A11,$B$27:$B$29,0)),VLOOKUP(Leveler!$K$1,Classes!$A$2:$AX1000,MATCH($A11,Classes!$A$1:$AX$1,0),false),0),VLOOKUP(Leveler!$K$1,Classes!$A$2:$AX1000,MATCH($A11,Classes!$A$1:$AX$1,0),FALSE)),0)</f>
        <v>0</v>
      </c>
      <c r="C11" s="16">
        <f>IF(Leveler!$B$13&gt;199,IF(VLOOKUP(Leveler!$K$3,EnhancedClasses!$B$2:$AX1000,MATCH($A11,EnhancedClasses!$B$1:$AX$1,0),FALSE)&gt;0,VLOOKUP(Leveler!$K$3,EnhancedClasses!$B$2:$AX1000,MATCH($A11,EnhancedClasses!$B$1:$AX$1,0),FALSE),0),0)</f>
        <v>9</v>
      </c>
      <c r="D11" s="16">
        <f>IF(IF(Leveler!$F$2,VLOOKUP(Leveler!$H$2,Races!$A$2:$AX1000,MATCH($A11,Races!$A$1:$AX$1,0),FALSE),VLOOKUP(Leveler!$H$1,Races!$A$2:$AX1000,MATCH($A11,Races!$A$1:$AX$1,0),FALSE))&gt;0,IF(Leveler!$F$2,VLOOKUP(Leveler!$H$2,Races!$A$2:$AX1000,MATCH($A11,Races!$A$1:$AX$1,0),FALSE),VLOOKUP(Leveler!$H$1,Races!$A$2:$AX1000,MATCH($A11,Races!$A$1:$AX$1,0),FALSE)),0)</f>
        <v>0</v>
      </c>
      <c r="E11" s="16">
        <f>IF(Leveler!B62,Leveler!C62,0)</f>
        <v>0</v>
      </c>
      <c r="F11" s="14">
        <v>0.0</v>
      </c>
      <c r="G11" s="16">
        <f t="shared" si="1"/>
        <v>9</v>
      </c>
      <c r="H11" s="16" t="str">
        <f>IFERROR(__xludf.DUMMYFUNCTION("""COMPUTED_VALUE"""),"Nature")</f>
        <v>Nature</v>
      </c>
      <c r="I11" s="16">
        <f>IFERROR(__xludf.DUMMYFUNCTION("""COMPUTED_VALUE"""),9.0)</f>
        <v>9</v>
      </c>
    </row>
    <row r="12">
      <c r="A12" s="67" t="s">
        <v>133</v>
      </c>
      <c r="B12" s="16">
        <f>IF(VLOOKUP(Leveler!$K$1,Classes!$A$2:$AX1000,MATCH($A12,Classes!$A$1:$AX$1,0),FALSE)&gt;0,IF($B$26,IF(ISNUMBER(MATCH($A12,$B$27:$B$29,0)),VLOOKUP(Leveler!$K$1,Classes!$A$2:$AX1000,MATCH($A12,Classes!$A$1:$AX$1,0),false),0),VLOOKUP(Leveler!$K$1,Classes!$A$2:$AX1000,MATCH($A12,Classes!$A$1:$AX$1,0),FALSE)),0)</f>
        <v>0</v>
      </c>
      <c r="C12" s="16">
        <f>IF(Leveler!$B$13&gt;199,IF(VLOOKUP(Leveler!$K$3,EnhancedClasses!$B$2:$AX1000,MATCH($A12,EnhancedClasses!$B$1:$AX$1,0),FALSE)&gt;0,VLOOKUP(Leveler!$K$3,EnhancedClasses!$B$2:$AX1000,MATCH($A12,EnhancedClasses!$B$1:$AX$1,0),FALSE),0),0)</f>
        <v>9</v>
      </c>
      <c r="D12" s="16">
        <f>IF(IF(Leveler!$F$2,VLOOKUP(Leveler!$H$2,Races!$A$2:$AX1000,MATCH($A12,Races!$A$1:$AX$1,0),FALSE),VLOOKUP(Leveler!$H$1,Races!$A$2:$AX1000,MATCH($A12,Races!$A$1:$AX$1,0),FALSE))&gt;0,IF(Leveler!$F$2,VLOOKUP(Leveler!$H$2,Races!$A$2:$AX1000,MATCH($A12,Races!$A$1:$AX$1,0),FALSE),VLOOKUP(Leveler!$H$1,Races!$A$2:$AX1000,MATCH($A12,Races!$A$1:$AX$1,0),FALSE)),0)</f>
        <v>0</v>
      </c>
      <c r="E12" s="16">
        <f>IF(Leveler!B63,Leveler!C63,0)</f>
        <v>0</v>
      </c>
      <c r="F12" s="14">
        <v>0.0</v>
      </c>
      <c r="G12" s="16">
        <f t="shared" si="1"/>
        <v>9</v>
      </c>
      <c r="H12" s="16" t="str">
        <f>IFERROR(__xludf.DUMMYFUNCTION("""COMPUTED_VALUE"""),"Physical")</f>
        <v>Physical</v>
      </c>
      <c r="I12" s="16">
        <f>IFERROR(__xludf.DUMMYFUNCTION("""COMPUTED_VALUE"""),9.0)</f>
        <v>9</v>
      </c>
    </row>
    <row r="13">
      <c r="A13" s="67" t="s">
        <v>135</v>
      </c>
      <c r="B13" s="16">
        <f>IF(VLOOKUP(Leveler!$K$1,Classes!$A$2:$AX1000,MATCH($A13,Classes!$A$1:$AX$1,0),FALSE)&gt;0,IF($B$26,IF(ISNUMBER(MATCH($A13,$B$27:$B$29,0)),VLOOKUP(Leveler!$K$1,Classes!$A$2:$AX1000,MATCH($A13,Classes!$A$1:$AX$1,0),false),0),VLOOKUP(Leveler!$K$1,Classes!$A$2:$AX1000,MATCH($A13,Classes!$A$1:$AX$1,0),FALSE)),0)</f>
        <v>0</v>
      </c>
      <c r="C13" s="16">
        <f>IF(Leveler!$B$13&gt;199,IF(VLOOKUP(Leveler!$K$3,EnhancedClasses!$B$2:$AX1000,MATCH($A13,EnhancedClasses!$B$1:$AX$1,0),FALSE)&gt;0,VLOOKUP(Leveler!$K$3,EnhancedClasses!$B$2:$AX1000,MATCH($A13,EnhancedClasses!$B$1:$AX$1,0),FALSE),0),0)</f>
        <v>9</v>
      </c>
      <c r="D13" s="16">
        <f>IF(IF(Leveler!$F$2,VLOOKUP(Leveler!$H$2,Races!$A$2:$AX1000,MATCH($A13,Races!$A$1:$AX$1,0),FALSE),VLOOKUP(Leveler!$H$1,Races!$A$2:$AX1000,MATCH($A13,Races!$A$1:$AX$1,0),FALSE))&gt;0,IF(Leveler!$F$2,VLOOKUP(Leveler!$H$2,Races!$A$2:$AX1000,MATCH($A13,Races!$A$1:$AX$1,0),FALSE),VLOOKUP(Leveler!$H$1,Races!$A$2:$AX1000,MATCH($A13,Races!$A$1:$AX$1,0),FALSE)),0)</f>
        <v>0</v>
      </c>
      <c r="E13" s="16">
        <f>IF(Leveler!B64,Leveler!C64,0)</f>
        <v>0</v>
      </c>
      <c r="F13" s="14">
        <v>0.0</v>
      </c>
      <c r="G13" s="16">
        <f t="shared" si="1"/>
        <v>9</v>
      </c>
      <c r="H13" s="16" t="str">
        <f>IFERROR(__xludf.DUMMYFUNCTION("""COMPUTED_VALUE"""),"Melee")</f>
        <v>Melee</v>
      </c>
      <c r="I13" s="16">
        <f>IFERROR(__xludf.DUMMYFUNCTION("""COMPUTED_VALUE"""),9.0)</f>
        <v>9</v>
      </c>
    </row>
    <row r="14">
      <c r="A14" s="67" t="s">
        <v>139</v>
      </c>
      <c r="B14" s="16">
        <f>IF(VLOOKUP(Leveler!$K$1,Classes!$A$2:$AX1000,MATCH($A14,Classes!$A$1:$AX$1,0),FALSE)&gt;0,IF($B$26,IF(ISNUMBER(MATCH($A14,$B$27:$B$29,0)),VLOOKUP(Leveler!$K$1,Classes!$A$2:$AX1000,MATCH($A14,Classes!$A$1:$AX$1,0),false),0),VLOOKUP(Leveler!$K$1,Classes!$A$2:$AX1000,MATCH($A14,Classes!$A$1:$AX$1,0),FALSE)),0)</f>
        <v>0</v>
      </c>
      <c r="C14" s="16">
        <f>IF(Leveler!$B$13&gt;199,IF(VLOOKUP(Leveler!$K$3,EnhancedClasses!$B$2:$AX1000,MATCH($A14,EnhancedClasses!$B$1:$AX$1,0),FALSE)&gt;0,VLOOKUP(Leveler!$K$3,EnhancedClasses!$B$2:$AX1000,MATCH($A14,EnhancedClasses!$B$1:$AX$1,0),FALSE),0),0)</f>
        <v>9</v>
      </c>
      <c r="D14" s="16">
        <f>IF(IF(Leveler!$F$2,VLOOKUP(Leveler!$H$2,Races!$A$2:$AX1000,MATCH($A14,Races!$A$1:$AX$1,0),FALSE),VLOOKUP(Leveler!$H$1,Races!$A$2:$AX1000,MATCH($A14,Races!$A$1:$AX$1,0),FALSE))&gt;0,IF(Leveler!$F$2,VLOOKUP(Leveler!$H$2,Races!$A$2:$AX1000,MATCH($A14,Races!$A$1:$AX$1,0),FALSE),VLOOKUP(Leveler!$H$1,Races!$A$2:$AX1000,MATCH($A14,Races!$A$1:$AX$1,0),FALSE)),0)</f>
        <v>0</v>
      </c>
      <c r="E14" s="16">
        <f>IF(Leveler!B65,Leveler!C65,0)</f>
        <v>0</v>
      </c>
      <c r="F14" s="14">
        <v>0.0</v>
      </c>
      <c r="G14" s="16">
        <f t="shared" si="1"/>
        <v>9</v>
      </c>
      <c r="H14" s="16" t="str">
        <f>IFERROR(__xludf.DUMMYFUNCTION("""COMPUTED_VALUE"""),"Ranged")</f>
        <v>Ranged</v>
      </c>
      <c r="I14" s="16">
        <f>IFERROR(__xludf.DUMMYFUNCTION("""COMPUTED_VALUE"""),9.0)</f>
        <v>9</v>
      </c>
    </row>
    <row r="15">
      <c r="A15" s="67" t="s">
        <v>141</v>
      </c>
      <c r="B15" s="16">
        <f>IF(VLOOKUP(Leveler!$K$1,Classes!$A$2:$AX1000,MATCH($A15,Classes!$A$1:$AX$1,0),FALSE)&gt;0,IF($B$26,IF(ISNUMBER(MATCH($A15,$B$27:$B$29,0)),VLOOKUP(Leveler!$K$1,Classes!$A$2:$AX1000,MATCH($A15,Classes!$A$1:$AX$1,0),false),0),VLOOKUP(Leveler!$K$1,Classes!$A$2:$AX1000,MATCH($A15,Classes!$A$1:$AX$1,0),FALSE)),0)</f>
        <v>0</v>
      </c>
      <c r="C15" s="16">
        <f>IF(Leveler!$B$13&gt;199,IF(VLOOKUP(Leveler!$K$3,EnhancedClasses!$B$2:$AX1000,MATCH($A15,EnhancedClasses!$B$1:$AX$1,0),FALSE)&gt;0,VLOOKUP(Leveler!$K$3,EnhancedClasses!$B$2:$AX1000,MATCH($A15,EnhancedClasses!$B$1:$AX$1,0),FALSE),0),0)</f>
        <v>9</v>
      </c>
      <c r="D15" s="16">
        <f>IF(IF(Leveler!$F$2,VLOOKUP(Leveler!$H$2,Races!$A$2:$AX1000,MATCH($A15,Races!$A$1:$AX$1,0),FALSE),VLOOKUP(Leveler!$H$1,Races!$A$2:$AX1000,MATCH($A15,Races!$A$1:$AX$1,0),FALSE))&gt;0,IF(Leveler!$F$2,VLOOKUP(Leveler!$H$2,Races!$A$2:$AX1000,MATCH($A15,Races!$A$1:$AX$1,0),FALSE),VLOOKUP(Leveler!$H$1,Races!$A$2:$AX1000,MATCH($A15,Races!$A$1:$AX$1,0),FALSE)),0)</f>
        <v>0</v>
      </c>
      <c r="E15" s="16">
        <f>IF(Leveler!B66,Leveler!C66,0)</f>
        <v>0</v>
      </c>
      <c r="F15" s="14">
        <v>0.0</v>
      </c>
      <c r="G15" s="16">
        <f t="shared" si="1"/>
        <v>9</v>
      </c>
      <c r="H15" s="16" t="str">
        <f>IFERROR(__xludf.DUMMYFUNCTION("""COMPUTED_VALUE"""),"Stasis")</f>
        <v>Stasis</v>
      </c>
      <c r="I15" s="16">
        <f>IFERROR(__xludf.DUMMYFUNCTION("""COMPUTED_VALUE"""),9.0)</f>
        <v>9</v>
      </c>
    </row>
    <row r="16">
      <c r="A16" s="67" t="s">
        <v>142</v>
      </c>
      <c r="B16" s="16">
        <f>IF(VLOOKUP(Leveler!$K$1,Classes!$A$2:$AX1000,MATCH($A16,Classes!$A$1:$AX$1,0),FALSE)&gt;0,IF($B$26,IF(ISNUMBER(MATCH($A16,$B$27:$B$29,0)),VLOOKUP(Leveler!$K$1,Classes!$A$2:$AX1000,MATCH($A16,Classes!$A$1:$AX$1,0),false),0),VLOOKUP(Leveler!$K$1,Classes!$A$2:$AX1000,MATCH($A16,Classes!$A$1:$AX$1,0),FALSE)),0)</f>
        <v>0</v>
      </c>
      <c r="C16" s="16">
        <f>IF(Leveler!$B$13&gt;199,IF(VLOOKUP(Leveler!$K$3,EnhancedClasses!$B$2:$AX1000,MATCH($A16,EnhancedClasses!$B$1:$AX$1,0),FALSE)&gt;0,VLOOKUP(Leveler!$K$3,EnhancedClasses!$B$2:$AX1000,MATCH($A16,EnhancedClasses!$B$1:$AX$1,0),FALSE),0),0)</f>
        <v>9</v>
      </c>
      <c r="D16" s="16">
        <f>IF(IF(Leveler!$F$2,VLOOKUP(Leveler!$H$2,Races!$A$2:$AX1000,MATCH($A16,Races!$A$1:$AX$1,0),FALSE),VLOOKUP(Leveler!$H$1,Races!$A$2:$AX1000,MATCH($A16,Races!$A$1:$AX$1,0),FALSE))&gt;0,IF(Leveler!$F$2,VLOOKUP(Leveler!$H$2,Races!$A$2:$AX1000,MATCH($A16,Races!$A$1:$AX$1,0),FALSE),VLOOKUP(Leveler!$H$1,Races!$A$2:$AX1000,MATCH($A16,Races!$A$1:$AX$1,0),FALSE)),0)</f>
        <v>0</v>
      </c>
      <c r="E16" s="16">
        <f>IF(Leveler!B67,Leveler!C67,0)</f>
        <v>0</v>
      </c>
      <c r="F16" s="14">
        <v>0.0</v>
      </c>
      <c r="G16" s="16">
        <f t="shared" si="1"/>
        <v>9</v>
      </c>
      <c r="H16" s="16" t="str">
        <f>IFERROR(__xludf.DUMMYFUNCTION("""COMPUTED_VALUE"""),"Twilight")</f>
        <v>Twilight</v>
      </c>
      <c r="I16" s="16">
        <f>IFERROR(__xludf.DUMMYFUNCTION("""COMPUTED_VALUE"""),9.0)</f>
        <v>9</v>
      </c>
    </row>
    <row r="17">
      <c r="A17" s="67" t="s">
        <v>144</v>
      </c>
      <c r="B17" s="16">
        <f>IF(VLOOKUP(Leveler!$K$1,Classes!$A$2:$AX1000,MATCH($A17,Classes!$A$1:$AX$1,0),FALSE)&gt;0,IF($B$26,IF(ISNUMBER(MATCH($A17,$B$27:$B$29,0)),VLOOKUP(Leveler!$K$1,Classes!$A$2:$AX1000,MATCH($A17,Classes!$A$1:$AX$1,0),false),0),VLOOKUP(Leveler!$K$1,Classes!$A$2:$AX1000,MATCH($A17,Classes!$A$1:$AX$1,0),FALSE)),0)</f>
        <v>0</v>
      </c>
      <c r="C17" s="16">
        <f>IF(Leveler!$B$13&gt;199,IF(VLOOKUP(Leveler!$K$3,EnhancedClasses!$B$2:$AX1000,MATCH($A17,EnhancedClasses!$B$1:$AX$1,0),FALSE)&gt;0,VLOOKUP(Leveler!$K$3,EnhancedClasses!$B$2:$AX1000,MATCH($A17,EnhancedClasses!$B$1:$AX$1,0),FALSE),0),0)</f>
        <v>9</v>
      </c>
      <c r="D17" s="16">
        <f>IF(IF(Leveler!$F$2,VLOOKUP(Leveler!$H$2,Races!$A$2:$AX1000,MATCH($A17,Races!$A$1:$AX$1,0),FALSE),VLOOKUP(Leveler!$H$1,Races!$A$2:$AX1000,MATCH($A17,Races!$A$1:$AX$1,0),FALSE))&gt;0,IF(Leveler!$F$2,VLOOKUP(Leveler!$H$2,Races!$A$2:$AX1000,MATCH($A17,Races!$A$1:$AX$1,0),FALSE),VLOOKUP(Leveler!$H$1,Races!$A$2:$AX1000,MATCH($A17,Races!$A$1:$AX$1,0),FALSE)),0)</f>
        <v>0</v>
      </c>
      <c r="E17" s="16">
        <f>IF(Leveler!B68,Leveler!C68,0)</f>
        <v>0</v>
      </c>
      <c r="F17" s="14">
        <v>0.0</v>
      </c>
      <c r="G17" s="16">
        <f t="shared" si="1"/>
        <v>9</v>
      </c>
      <c r="H17" s="16" t="str">
        <f>IFERROR(__xludf.DUMMYFUNCTION("""COMPUTED_VALUE"""),"Voodoo")</f>
        <v>Voodoo</v>
      </c>
      <c r="I17" s="16">
        <f>IFERROR(__xludf.DUMMYFUNCTION("""COMPUTED_VALUE"""),9.0)</f>
        <v>9</v>
      </c>
    </row>
    <row r="18">
      <c r="A18" s="67" t="s">
        <v>145</v>
      </c>
      <c r="B18" s="16">
        <f>IF(VLOOKUP(Leveler!$K$1,Classes!$A$2:$AX1000,MATCH($A18,Classes!$A$1:$AX$1,0),FALSE)&gt;0,IF($B$26,IF(ISNUMBER(MATCH($A18,$B$27:$B$29,0)),VLOOKUP(Leveler!$K$1,Classes!$A$2:$AX1000,MATCH($A18,Classes!$A$1:$AX$1,0),false),0),VLOOKUP(Leveler!$K$1,Classes!$A$2:$AX1000,MATCH($A18,Classes!$A$1:$AX$1,0),FALSE)),0)</f>
        <v>0</v>
      </c>
      <c r="C18" s="16">
        <f>IF(Leveler!$B$13&gt;199,IF(VLOOKUP(Leveler!$K$3,EnhancedClasses!$B$2:$AX1000,MATCH($A18,EnhancedClasses!$B$1:$AX$1,0),FALSE)&gt;0,VLOOKUP(Leveler!$K$3,EnhancedClasses!$B$2:$AX1000,MATCH($A18,EnhancedClasses!$B$1:$AX$1,0),FALSE),0),0)</f>
        <v>9</v>
      </c>
      <c r="D18" s="16">
        <f>IF(IF(Leveler!$F$2,VLOOKUP(Leveler!$H$2,Races!$A$2:$AX1000,MATCH($A18,Races!$A$1:$AX$1,0),FALSE),VLOOKUP(Leveler!$H$1,Races!$A$2:$AX1000,MATCH($A18,Races!$A$1:$AX$1,0),FALSE))&gt;0,IF(Leveler!$F$2,VLOOKUP(Leveler!$H$2,Races!$A$2:$AX1000,MATCH($A18,Races!$A$1:$AX$1,0),FALSE),VLOOKUP(Leveler!$H$1,Races!$A$2:$AX1000,MATCH($A18,Races!$A$1:$AX$1,0),FALSE)),0)</f>
        <v>0</v>
      </c>
      <c r="E18" s="16">
        <f>IF(Leveler!B69,Leveler!C69,0)</f>
        <v>0</v>
      </c>
      <c r="F18" s="14">
        <v>0.0</v>
      </c>
      <c r="G18" s="16">
        <f t="shared" si="1"/>
        <v>9</v>
      </c>
      <c r="H18" s="16" t="str">
        <f>IFERROR(__xludf.DUMMYFUNCTION("""COMPUTED_VALUE"""),"Blood")</f>
        <v>Blood</v>
      </c>
      <c r="I18" s="16">
        <f>IFERROR(__xludf.DUMMYFUNCTION("""COMPUTED_VALUE"""),9.0)</f>
        <v>9</v>
      </c>
    </row>
    <row r="19">
      <c r="A19" s="67" t="s">
        <v>147</v>
      </c>
      <c r="B19" s="16">
        <f>IF(VLOOKUP(Leveler!$K$1,Classes!$A$2:$AX1000,MATCH($A19,Classes!$A$1:$AX$1,0),FALSE)&gt;0,IF($B$26,IF(ISNUMBER(MATCH($A19,$B$27:$B$29,0)),VLOOKUP(Leveler!$K$1,Classes!$A$2:$AX1000,MATCH($A19,Classes!$A$1:$AX$1,0),false),0),VLOOKUP(Leveler!$K$1,Classes!$A$2:$AX1000,MATCH($A19,Classes!$A$1:$AX$1,0),FALSE)),0)</f>
        <v>0</v>
      </c>
      <c r="C19" s="16">
        <f>IF(Leveler!$B$13&gt;199,IF(VLOOKUP(Leveler!$K$3,EnhancedClasses!$B$2:$AX1000,MATCH($A19,EnhancedClasses!$B$1:$AX$1,0),FALSE)&gt;0,VLOOKUP(Leveler!$K$3,EnhancedClasses!$B$2:$AX1000,MATCH($A19,EnhancedClasses!$B$1:$AX$1,0),FALSE),0),0)</f>
        <v>9</v>
      </c>
      <c r="D19" s="16">
        <f>IF(IF(Leveler!$F$2,VLOOKUP(Leveler!$H$2,Races!$A$2:$AX1000,MATCH($A19,Races!$A$1:$AX$1,0),FALSE),VLOOKUP(Leveler!$H$1,Races!$A$2:$AX1000,MATCH($A19,Races!$A$1:$AX$1,0),FALSE))&gt;0,IF(Leveler!$F$2,VLOOKUP(Leveler!$H$2,Races!$A$2:$AX1000,MATCH($A19,Races!$A$1:$AX$1,0),FALSE),VLOOKUP(Leveler!$H$1,Races!$A$2:$AX1000,MATCH($A19,Races!$A$1:$AX$1,0),FALSE)),0)</f>
        <v>0</v>
      </c>
      <c r="E19" s="16">
        <f>IF(Leveler!B70,Leveler!C70,0)</f>
        <v>0</v>
      </c>
      <c r="F19" s="14">
        <v>0.0</v>
      </c>
      <c r="G19" s="16">
        <f t="shared" si="1"/>
        <v>9</v>
      </c>
      <c r="H19" s="16" t="str">
        <f>IFERROR(__xludf.DUMMYFUNCTION("""COMPUTED_VALUE"""),"Delta")</f>
        <v>Delta</v>
      </c>
      <c r="I19" s="16">
        <f>IFERROR(__xludf.DUMMYFUNCTION("""COMPUTED_VALUE"""),9.0)</f>
        <v>9</v>
      </c>
    </row>
    <row r="20">
      <c r="A20" s="67" t="s">
        <v>149</v>
      </c>
      <c r="B20" s="16">
        <f>IF(VLOOKUP(Leveler!$K$1,Classes!$A$2:$AX1000,MATCH($A20,Classes!$A$1:$AX$1,0),FALSE)&gt;0,IF($B$26,IF(ISNUMBER(MATCH($A20,$B$27:$B$29,0)),VLOOKUP(Leveler!$K$1,Classes!$A$2:$AX1000,MATCH($A20,Classes!$A$1:$AX$1,0),false),0),VLOOKUP(Leveler!$K$1,Classes!$A$2:$AX1000,MATCH($A20,Classes!$A$1:$AX$1,0),FALSE)),0)</f>
        <v>0</v>
      </c>
      <c r="C20" s="16">
        <f>IF(Leveler!$B$13&gt;199,IF(VLOOKUP(Leveler!$K$3,EnhancedClasses!$B$2:$AX1000,MATCH($A20,EnhancedClasses!$B$1:$AX$1,0),FALSE)&gt;0,VLOOKUP(Leveler!$K$3,EnhancedClasses!$B$2:$AX1000,MATCH($A20,EnhancedClasses!$B$1:$AX$1,0),FALSE),0),0)</f>
        <v>0</v>
      </c>
      <c r="D20" s="16">
        <f>IF(IF(Leveler!$F$2,VLOOKUP(Leveler!$H$2,Races!$A$2:$AX1000,MATCH($A20,Races!$A$1:$AX$1,0),FALSE),VLOOKUP(Leveler!$H$1,Races!$A$2:$AX1000,MATCH($A20,Races!$A$1:$AX$1,0),FALSE))&gt;0,IF(Leveler!$F$2,VLOOKUP(Leveler!$H$2,Races!$A$2:$AX1000,MATCH($A20,Races!$A$1:$AX$1,0),FALSE),VLOOKUP(Leveler!$H$1,Races!$A$2:$AX1000,MATCH($A20,Races!$A$1:$AX$1,0),FALSE)),0)</f>
        <v>0</v>
      </c>
      <c r="E20" s="16">
        <f>IF(Leveler!B71,Leveler!C71,0)</f>
        <v>0</v>
      </c>
      <c r="F20" s="14">
        <v>0.0</v>
      </c>
      <c r="G20" s="16">
        <f t="shared" si="1"/>
        <v>0</v>
      </c>
      <c r="H20" s="16" t="str">
        <f>IFERROR(__xludf.DUMMYFUNCTION("""COMPUTED_VALUE"""),"Astral")</f>
        <v>Astral</v>
      </c>
      <c r="I20" s="16">
        <f>IFERROR(__xludf.DUMMYFUNCTION("""COMPUTED_VALUE"""),9.0)</f>
        <v>9</v>
      </c>
    </row>
    <row r="21">
      <c r="A21" s="67" t="s">
        <v>150</v>
      </c>
      <c r="B21" s="16">
        <f>IF(VLOOKUP(Leveler!$K$1,Classes!$A$2:$AX1000,MATCH($A21,Classes!$A$1:$AX$1,0),FALSE)&gt;0,IF($B$26,IF(ISNUMBER(MATCH($A21,$B$27:$B$29,0)),VLOOKUP(Leveler!$K$1,Classes!$A$2:$AX1000,MATCH($A21,Classes!$A$1:$AX$1,0),false),0),VLOOKUP(Leveler!$K$1,Classes!$A$2:$AX1000,MATCH($A21,Classes!$A$1:$AX$1,0),FALSE)),0)</f>
        <v>0</v>
      </c>
      <c r="C21" s="16">
        <f>IF(Leveler!$B$13&gt;199,IF(VLOOKUP(Leveler!$K$3,EnhancedClasses!$B$2:$AX1000,MATCH($A21,EnhancedClasses!$B$1:$AX$1,0),FALSE)&gt;0,VLOOKUP(Leveler!$K$3,EnhancedClasses!$B$2:$AX1000,MATCH($A21,EnhancedClasses!$B$1:$AX$1,0),FALSE),0),0)</f>
        <v>0</v>
      </c>
      <c r="D21" s="16">
        <f>IF(IF(Leveler!$F$2,VLOOKUP(Leveler!$H$2,Races!$A$2:$AX1000,MATCH($A21,Races!$A$1:$AX$1,0),FALSE),VLOOKUP(Leveler!$H$1,Races!$A$2:$AX1000,MATCH($A21,Races!$A$1:$AX$1,0),FALSE))&gt;0,IF(Leveler!$F$2,VLOOKUP(Leveler!$H$2,Races!$A$2:$AX1000,MATCH($A21,Races!$A$1:$AX$1,0),FALSE),VLOOKUP(Leveler!$H$1,Races!$A$2:$AX1000,MATCH($A21,Races!$A$1:$AX$1,0),FALSE)),0)</f>
        <v>0</v>
      </c>
      <c r="E21" s="16">
        <f>IF(Leveler!B72,Leveler!C72,0)</f>
        <v>0</v>
      </c>
      <c r="F21" s="16">
        <f>IF(Leveler!K9&gt;0,Leveler!K9,0)</f>
        <v>0</v>
      </c>
      <c r="G21" s="16">
        <f t="shared" si="1"/>
        <v>0</v>
      </c>
      <c r="H21" s="16" t="str">
        <f>IFERROR(__xludf.DUMMYFUNCTION("""COMPUTED_VALUE"""),"Celestial")</f>
        <v>Celestial</v>
      </c>
      <c r="I21" s="16">
        <f>IFERROR(__xludf.DUMMYFUNCTION("""COMPUTED_VALUE"""),9.0)</f>
        <v>9</v>
      </c>
    </row>
    <row r="22">
      <c r="A22" s="67" t="s">
        <v>153</v>
      </c>
      <c r="B22" s="16">
        <f>IF(VLOOKUP(Leveler!$K$1,Classes!$A$2:$AX1000,MATCH($A22,Classes!$A$1:$AX$1,0),FALSE)&gt;0,IF($B$26,IF(ISNUMBER(MATCH($A22,$B$27:$B$29,0)),VLOOKUP(Leveler!$K$1,Classes!$A$2:$AX1000,MATCH($A22,Classes!$A$1:$AX$1,0),false),0),VLOOKUP(Leveler!$K$1,Classes!$A$2:$AX1000,MATCH($A22,Classes!$A$1:$AX$1,0),FALSE)),0)</f>
        <v>0</v>
      </c>
      <c r="C22" s="16">
        <f>IF(Leveler!$B$13&gt;199,IF(VLOOKUP(Leveler!$K$3,EnhancedClasses!$B$2:$AX1000,MATCH($A22,EnhancedClasses!$B$1:$AX$1,0),FALSE)&gt;0,VLOOKUP(Leveler!$K$3,EnhancedClasses!$B$2:$AX1000,MATCH($A22,EnhancedClasses!$B$1:$AX$1,0),FALSE),0),0)</f>
        <v>9</v>
      </c>
      <c r="D22" s="16">
        <f>IF(IF(Leveler!$F$2,VLOOKUP(Leveler!$H$2,Races!$A$2:$AX1000,MATCH($A22,Races!$A$1:$AX$1,0),FALSE),VLOOKUP(Leveler!$H$1,Races!$A$2:$AX1000,MATCH($A22,Races!$A$1:$AX$1,0),FALSE))&gt;0,IF(Leveler!$F$2,VLOOKUP(Leveler!$H$2,Races!$A$2:$AX1000,MATCH($A22,Races!$A$1:$AX$1,0),FALSE),VLOOKUP(Leveler!$H$1,Races!$A$2:$AX1000,MATCH($A22,Races!$A$1:$AX$1,0),FALSE)),0)</f>
        <v>0</v>
      </c>
      <c r="E22" s="16">
        <f>IF(Leveler!B73,Leveler!C73,0)</f>
        <v>0</v>
      </c>
      <c r="F22" s="14">
        <v>0.0</v>
      </c>
      <c r="G22" s="16">
        <f t="shared" si="1"/>
        <v>9</v>
      </c>
    </row>
    <row r="23">
      <c r="A23" s="67" t="s">
        <v>155</v>
      </c>
      <c r="B23" s="16">
        <f>IF(VLOOKUP(Leveler!$K$1,Classes!$A$2:$AX1000,MATCH($A23,Classes!$A$1:$AX$1,0),FALSE)&gt;0,IF($B$26,IF(ISNUMBER(MATCH($A23,$B$27:$B$29,0)),VLOOKUP(Leveler!$K$1,Classes!$A$2:$AX1000,MATCH($A23,Classes!$A$1:$AX$1,0),false),0),VLOOKUP(Leveler!$K$1,Classes!$A$2:$AX1000,MATCH($A23,Classes!$A$1:$AX$1,0),FALSE)),0)</f>
        <v>0</v>
      </c>
      <c r="C23" s="16">
        <f>IF(Leveler!$B$13&gt;199,IF(VLOOKUP(Leveler!$K$3,EnhancedClasses!$B$2:$AX1000,MATCH($A23,EnhancedClasses!$B$1:$AX$1,0),FALSE)&gt;0,VLOOKUP(Leveler!$K$3,EnhancedClasses!$B$2:$AX1000,MATCH($A23,EnhancedClasses!$B$1:$AX$1,0),FALSE),0),0)</f>
        <v>0</v>
      </c>
      <c r="D23" s="16">
        <f>IF(IF(Leveler!$F$2,VLOOKUP(Leveler!$H$2,Races!$A$2:$AX1000,MATCH($A23,Races!$A$1:$AX$1,0),FALSE),VLOOKUP(Leveler!$H$1,Races!$A$2:$AX1000,MATCH($A23,Races!$A$1:$AX$1,0),FALSE))&gt;0,IF(Leveler!$F$2,VLOOKUP(Leveler!$H$2,Races!$A$2:$AX1000,MATCH($A23,Races!$A$1:$AX$1,0),FALSE),VLOOKUP(Leveler!$H$1,Races!$A$2:$AX1000,MATCH($A23,Races!$A$1:$AX$1,0),FALSE)),0)</f>
        <v>0</v>
      </c>
      <c r="E23" s="16">
        <f>IF(Leveler!B74,Leveler!C74,0)</f>
        <v>0</v>
      </c>
      <c r="F23" s="16">
        <f>IF(Leveler!B13&gt;199,9,0)</f>
        <v>9</v>
      </c>
      <c r="G23" s="16">
        <f t="shared" si="1"/>
        <v>9</v>
      </c>
    </row>
    <row r="24">
      <c r="A24" s="67" t="s">
        <v>156</v>
      </c>
      <c r="B24" s="16">
        <f>IF(VLOOKUP(Leveler!$K$1,Classes!$A$2:$AX1000,MATCH($A24,Classes!$A$1:$AX$1,0),FALSE)&gt;0,IF($B$26,IF(ISNUMBER(MATCH($A24,$B$27:$B$29,0)),VLOOKUP(Leveler!$K$1,Classes!$A$2:$AX1000,MATCH($A24,Classes!$A$1:$AX$1,0),false),0),VLOOKUP(Leveler!$K$1,Classes!$A$2:$AX1000,MATCH($A24,Classes!$A$1:$AX$1,0),FALSE)),0)</f>
        <v>0</v>
      </c>
      <c r="C24" s="16">
        <f>IF(Leveler!$B$13&gt;199,IF(VLOOKUP(Leveler!$K$3,EnhancedClasses!$B$2:$AX1000,MATCH($A24,EnhancedClasses!$B$1:$AX$1,0),FALSE)&gt;0,VLOOKUP(Leveler!$K$3,EnhancedClasses!$B$2:$AX1000,MATCH($A24,EnhancedClasses!$B$1:$AX$1,0),FALSE),0),0)</f>
        <v>0</v>
      </c>
      <c r="D24" s="16">
        <f>IF(IF(Leveler!$F$2,VLOOKUP(Leveler!$H$2,Races!$A$2:$AX1000,MATCH($A24,Races!$A$1:$AX$1,0),FALSE),VLOOKUP(Leveler!$H$1,Races!$A$2:$AX1000,MATCH($A24,Races!$A$1:$AX$1,0),FALSE))&gt;0,IF(Leveler!$F$2,VLOOKUP(Leveler!$H$2,Races!$A$2:$AX1000,MATCH($A24,Races!$A$1:$AX$1,0),FALSE),VLOOKUP(Leveler!$H$1,Races!$A$2:$AX1000,MATCH($A24,Races!$A$1:$AX$1,0),FALSE)),0)</f>
        <v>0</v>
      </c>
      <c r="E24" s="16">
        <f>IF(Leveler!B75,Leveler!C75,0)</f>
        <v>0</v>
      </c>
      <c r="F24" s="14">
        <v>0.0</v>
      </c>
      <c r="G24" s="16">
        <f t="shared" si="1"/>
        <v>0</v>
      </c>
    </row>
    <row r="26">
      <c r="A26" s="14" t="s">
        <v>213</v>
      </c>
      <c r="B26" s="16" t="b">
        <f>IF(OR(ISNUMBER(SEARCH("Sorcerer",Leveler!$K$1)),ISNUMBER(SEARCH("Mage",Leveler!$K$1)),ISNUMBER(SEARCH("Wizard",Leveler!$K$1)),ISNUMBER(SEARCH("Witch",Leveler!$K$1)),ISNUMBER(SEARCH("Bard",Leveler!$K$1))),True,False)</f>
        <v>1</v>
      </c>
    </row>
    <row r="27">
      <c r="A27" s="14">
        <v>1.0</v>
      </c>
      <c r="B27" s="16" t="str">
        <f>IF($B$26,Leveler!$K5)</f>
        <v>Storm</v>
      </c>
    </row>
    <row r="28">
      <c r="A28" s="14">
        <v>2.0</v>
      </c>
      <c r="B28" s="16" t="str">
        <f>IF($B$26,Leveler!$K6)</f>
        <v/>
      </c>
    </row>
    <row r="29">
      <c r="A29" s="14">
        <v>3.0</v>
      </c>
      <c r="B29" s="16" t="str">
        <f>IF($B$26,Leveler!$K7)</f>
        <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outlinePr summaryBelow="0" summaryRight="0"/>
  </sheetPr>
  <sheetViews>
    <sheetView workbookViewId="0"/>
  </sheetViews>
  <sheetFormatPr customHeight="1" defaultColWidth="12.63" defaultRowHeight="15.75"/>
  <cols>
    <col customWidth="1" min="6" max="6" width="18.38"/>
    <col customWidth="1" min="10" max="10" width="21.13"/>
    <col hidden="1" min="11" max="11" width="12.63"/>
  </cols>
  <sheetData>
    <row r="1">
      <c r="A1" s="89" t="s">
        <v>24</v>
      </c>
      <c r="B1" s="89" t="s">
        <v>183</v>
      </c>
      <c r="C1" s="90" t="s">
        <v>214</v>
      </c>
      <c r="D1" s="90" t="s">
        <v>215</v>
      </c>
      <c r="E1" s="90" t="s">
        <v>216</v>
      </c>
      <c r="F1" s="90" t="s">
        <v>26</v>
      </c>
      <c r="G1" s="90" t="s">
        <v>217</v>
      </c>
      <c r="H1" s="90" t="s">
        <v>181</v>
      </c>
      <c r="I1" s="91"/>
      <c r="J1" s="14" t="str">
        <f>COUNTA(J3:J50)&amp;"/"&amp;K1</f>
        <v>6/6</v>
      </c>
      <c r="K1" s="16">
        <f>Leveler!I4</f>
        <v>6</v>
      </c>
    </row>
    <row r="2">
      <c r="A2" s="16" t="str">
        <f>IFERROR(__xludf.DUMMYFUNCTION("SORT(ARRAYFORMULA({IFNA(VLOOKUP(Unique(VSTACK(QUERY(Spells!A2:N1001,""Select A where (B&lt;=""&amp;IF(OR(LEN(Leveler!X2)&lt;1,ISBLANK(Leveler!X2)),0,Leveler!X2)&amp;"" AND H='""&amp;IF(ISBLANK(Leveler!W2),""Nothing"",Leveler!W2)&amp;""' AND J &lt;&gt; TRUE) 
OR (B&lt;=""&amp;IF(OR(LEN(Leve"&amp;"ler!X3)&lt;1,ISBLANK(Leveler!X3)),0,Leveler!X3)&amp;"" AND H='""&amp;IF(ISBLANK(Leveler!W3),""Nothing"",Leveler!W3)&amp;""' AND J &lt;&gt; TRUE)
OR (B&lt;=""&amp;IF(OR(LEN(Leveler!X4)&lt;1,ISBLANK(Leveler!X4)),0,Leveler!X4)&amp;"" AND H='""&amp;IF(ISBLANK(Leveler!W4),""Nothing"",Leveler!W4)&amp;"""&amp;"' AND J &lt;&gt; TRUE)
OR (B&lt;=""&amp;IF(OR(LEN(Leveler!X5)&lt;1,ISBLANK(Leveler!X5)),0,Leveler!X5)&amp;"" AND H='""&amp;IF(ISBLANK(Leveler!W5),""Nothing"",Leveler!W5)&amp;""' AND J &lt;&gt; TRUE)
OR (B&lt;=""&amp;IF(OR(LEN(Leveler!X6)&lt;1,ISBLANK(Leveler!X6)),0,Leveler!X6)&amp;"" AND H='""&amp;IF(ISBLA"&amp;"NK(Leveler!W6),""Nothing"",Leveler!W6)&amp;""' AND J &lt;&gt; TRUE)
OR (B&lt;=""&amp;IF(OR(LEN(Leveler!X7)&lt;1,ISBLANK(Leveler!X7)),0,Leveler!X7)&amp;"" AND H='""&amp;IF(ISBLANK(Leveler!W7),""Nothing"",Leveler!W7)&amp;""' AND J &lt;&gt; TRUE)
OR (B&lt;=""&amp;IF(OR(LEN(Leveler!X8)&lt;1,ISBLANK(Leveler"&amp;"!X8)),0,Leveler!X8)&amp;"" AND H='""&amp;IF(ISBLANK(Leveler!W8),""Nothing"",Leveler!W8)&amp;""' AND J &lt;&gt; TRUE)
OR (B&lt;=""&amp;IF(OR(LEN(Leveler!X9)&lt;1,ISBLANK(Leveler!X9)),0,Leveler!X9)&amp;"" AND H='""&amp;IF(ISBLANK(Leveler!W9),""Nothing"",Leveler!W9)&amp;""' AND J &lt;&gt; TRUE)
OR (B&lt;="&amp;"""&amp;IF(OR(LEN(Leveler!X10)&lt;1,ISBLANK(Leveler!X10)),0,Leveler!X10)&amp;"" AND H='""&amp;IF(ISBLANK(Leveler!W10),""Nothing"",Leveler!W10)&amp;""' AND J &lt;&gt; TRUE)
OR (B&lt;=""&amp;IF(OR(LEN(Leveler!X11)&lt;1,ISBLANK(Leveler!X11)),0,Leveler!X11)&amp;"" AND H='""&amp;IF(ISBLANK(Leveler!W11),"&amp;"""Nothing"",Leveler!W11)&amp;""' AND J &lt;&gt; TRUE)
OR (B&lt;=""&amp;IF(OR(LEN(Leveler!X12)&lt;1,ISBLANK(Leveler!X12)),0,Leveler!X12)&amp;"" AND H='""&amp;IF(ISBLANK(Leveler!W12),""Nothing"",Leveler!W12)&amp;""' AND J &lt;&gt; TRUE)
OR (B&lt;=""&amp;IF(OR(LEN(Leveler!X13)&lt;1,ISBLANK(Leveler!X13)),0"&amp;",Leveler!X13)&amp;"" AND H='""&amp;IF(ISBLANK(Leveler!W13),""Nothing"",Leveler!W13)&amp;""' AND J &lt;&gt; TRUE)
OR (B&lt;=""&amp;IF(OR(LEN(Leveler!X14)&lt;1,ISBLANK(Leveler!X14)),0,Leveler!X14)&amp;"" AND H='""&amp;IF(ISBLANK(Leveler!W14),""Nothing"",Leveler!W14)&amp;""' AND J &lt;&gt; TRUE)
OR (B&lt;="&amp;"""&amp;IF(OR(LEN(Leveler!X15)&lt;1,ISBLANK(Leveler!X15)),0,Leveler!X15)&amp;"" AND H='""&amp;IF(ISBLANK(Leveler!W15),""Nothing"",Leveler!W15)&amp;""' AND J &lt;&gt; TRUE)
OR (B&lt;=""&amp;IF(OR(LEN(Leveler!X16)&lt;1,ISBLANK(Leveler!X16)),0,Leveler!X16)&amp;"" AND H='""&amp;IF(ISBLANK(Leveler!W16),"&amp;"""Nothing"",Leveler!W16)&amp;""' AND J &lt;&gt; TRUE)
OR (B&lt;=""&amp;IF(OR(LEN(Leveler!X17)&lt;1,ISBLANK(Leveler!X17)),0,Leveler!X17)&amp;"" AND H='""&amp;IF(ISBLANK(Leveler!W17),""Nothing"",Leveler!W17)&amp;""' AND J &lt;&gt; TRUE)
OR (B&lt;=""&amp;IF(OR(LEN(Leveler!X18)&lt;1,ISBLANK(Leveler!X18)),0"&amp;",Leveler!X18)&amp;"" AND H='""&amp;IF(ISBLANK(Leveler!W18),""Nothing"",Leveler!W18)&amp;""' AND J &lt;&gt; TRUE)
OR (B&lt;=""&amp;IF(OR(LEN(Leveler!X19)&lt;1,ISBLANK(Leveler!X19)),0,Leveler!X19)&amp;"" AND H='""&amp;IF(ISBLANK(Leveler!W19),""Nothing"",Leveler!W19)&amp;""' AND J &lt;&gt; TRUE)
OR (B&lt;="&amp;"""&amp;IF(OR(LEN(Leveler!X20)&lt;1,ISBLANK(Leveler!X20)),0,Leveler!X20)&amp;"" AND H='""&amp;IF(ISBLANK(Leveler!W20),""Nothing"",Leveler!W20)&amp;""' AND J &lt;&gt; TRUE)
OR (B&lt;=""&amp;IF(OR(LEN(Leveler!X21)&lt;1,ISBLANK(Leveler!X21)),0,Leveler!X21)&amp;"" AND H='""&amp;IF(ISBLANK(Leveler!W21),"&amp;"""Nothing"",Leveler!W21)&amp;""' AND J &lt;&gt; TRUE)
OR (B&lt;=""&amp;IF(OR(LEN(Leveler!X22)&lt;1,ISBLANK(Leveler!X22)),0,Leveler!X22)&amp;"" AND H='""&amp;IF(ISBLANK(Leveler!W22),""Nothing"",Leveler!W22)&amp;""' AND J &lt;&gt; TRUE)
OR (B&lt;=""&amp;IF(OR(LEN(Leveler!X23)&lt;1,ISBLANK(Leveler!X23)),0"&amp;",Leveler!X23)&amp;"" AND H='""&amp;IF(ISBLANK(Leveler!W23),""Nothing"",Leveler!W23)&amp;""' AND J &lt;&gt; TRUE)
OR (B&lt;=""&amp;IF(OR(LEN(Leveler!X24)&lt;1,ISBLANK(Leveler!X24)),0,Leveler!X24)&amp;"" AND H='""&amp;IF(ISBLANK(Leveler!W24),""Nothing"",Leveler!W24)&amp;""' AND J &lt;&gt; TRUE)
""),IFN"&amp;"A(QUERY(LearnedSpellsNatPowers!A4:H1001,""Select A Where A IS NOT NULL"")))),Spells!A2:H1001,1,FALSE))
,
IFNA(VLOOKUP(Unique(VSTACK(QUERY(Spells!A2:N1001,""Select A where (B&lt;=""&amp;IF(OR(LEN(Leveler!X2)&lt;1,ISBLANK(Leveler!X2)),0,Leveler!X2)&amp;"" AND H='""&amp;IF(IS"&amp;"BLANK(Leveler!W2),""Nothing"",Leveler!W2)&amp;""' AND J &lt;&gt; TRUE) 
OR (B&lt;=""&amp;IF(OR(LEN(Leveler!X3)&lt;1,ISBLANK(Leveler!X3)),0,Leveler!X3)&amp;"" AND H='""&amp;IF(ISBLANK(Leveler!W3),""Nothing"",Leveler!W3)&amp;""' AND J &lt;&gt; TRUE)
OR (B&lt;=""&amp;IF(OR(LEN(Leveler!X4)&lt;1,ISBLANK(Lev"&amp;"eler!X4)),0,Leveler!X4)&amp;"" AND H='""&amp;IF(ISBLANK(Leveler!W4),""Nothing"",Leveler!W4)&amp;""' AND J &lt;&gt; TRUE)
OR (B&lt;=""&amp;IF(OR(LEN(Leveler!X5)&lt;1,ISBLANK(Leveler!X5)),0,Leveler!X5)&amp;"" AND H='""&amp;IF(ISBLANK(Leveler!W5),""Nothing"",Leveler!W5)&amp;""' AND J &lt;&gt; TRUE)
OR ("&amp;"B&lt;=""&amp;IF(OR(LEN(Leveler!X6)&lt;1,ISBLANK(Leveler!X6)),0,Leveler!X6)&amp;"" AND H='""&amp;IF(ISBLANK(Leveler!W6),""Nothing"",Leveler!W6)&amp;""' AND J &lt;&gt; TRUE)
OR (B&lt;=""&amp;IF(OR(LEN(Leveler!X7)&lt;1,ISBLANK(Leveler!X7)),0,Leveler!X7)&amp;"" AND H='""&amp;IF(ISBLANK(Leveler!W7),""Noth"&amp;"ing"",Leveler!W7)&amp;""' AND J &lt;&gt; TRUE)
OR (B&lt;=""&amp;IF(OR(LEN(Leveler!X8)&lt;1,ISBLANK(Leveler!X8)),0,Leveler!X8)&amp;"" AND H='""&amp;IF(ISBLANK(Leveler!W8),""Nothing"",Leveler!W8)&amp;""' AND J &lt;&gt; TRUE)
OR (B&lt;=""&amp;IF(OR(LEN(Leveler!X9)&lt;1,ISBLANK(Leveler!X9)),0,Leveler!X9)&amp;"&amp;""" AND H='""&amp;IF(ISBLANK(Leveler!W9),""Nothing"",Leveler!W9)&amp;""' AND J &lt;&gt; TRUE)
OR (B&lt;=""&amp;IF(OR(LEN(Leveler!X10)&lt;1,ISBLANK(Leveler!X10)),0,Leveler!X10)&amp;"" AND H='""&amp;IF(ISBLANK(Leveler!W10),""Nothing"",Leveler!W10)&amp;""' AND J &lt;&gt; TRUE)
OR (B&lt;=""&amp;IF(OR(LEN(Lev"&amp;"eler!X11)&lt;1,ISBLANK(Leveler!X11)),0,Leveler!X11)&amp;"" AND H='""&amp;IF(ISBLANK(Leveler!W11),""Nothing"",Leveler!W11)&amp;""' AND J &lt;&gt; TRUE)
OR (B&lt;=""&amp;IF(OR(LEN(Leveler!X12)&lt;1,ISBLANK(Leveler!X12)),0,Leveler!X12)&amp;"" AND H='""&amp;IF(ISBLANK(Leveler!W12),""Nothing"",Leve"&amp;"ler!W12)&amp;""' AND J &lt;&gt; TRUE)
OR (B&lt;=""&amp;IF(OR(LEN(Leveler!X13)&lt;1,ISBLANK(Leveler!X13)),0,Leveler!X13)&amp;"" AND H='""&amp;IF(ISBLANK(Leveler!W13),""Nothing"",Leveler!W13)&amp;""' AND J &lt;&gt; TRUE)
OR (B&lt;=""&amp;IF(OR(LEN(Leveler!X14)&lt;1,ISBLANK(Leveler!X14)),0,Leveler!X14)&amp;"""&amp;" AND H='""&amp;IF(ISBLANK(Leveler!W14),""Nothing"",Leveler!W14)&amp;""' AND J &lt;&gt; TRUE)
OR (B&lt;=""&amp;IF(OR(LEN(Leveler!X15)&lt;1,ISBLANK(Leveler!X15)),0,Leveler!X15)&amp;"" AND H='""&amp;IF(ISBLANK(Leveler!W15),""Nothing"",Leveler!W15)&amp;""' AND J &lt;&gt; TRUE)
OR (B&lt;=""&amp;IF(OR(LEN(Lev"&amp;"eler!X16)&lt;1,ISBLANK(Leveler!X16)),0,Leveler!X16)&amp;"" AND H='""&amp;IF(ISBLANK(Leveler!W16),""Nothing"",Leveler!W16)&amp;""' AND J &lt;&gt; TRUE)
OR (B&lt;=""&amp;IF(OR(LEN(Leveler!X17)&lt;1,ISBLANK(Leveler!X17)),0,Leveler!X17)&amp;"" AND H='""&amp;IF(ISBLANK(Leveler!W17),""Nothing"",Leve"&amp;"ler!W17)&amp;""' AND J &lt;&gt; TRUE)
OR (B&lt;=""&amp;IF(OR(LEN(Leveler!X18)&lt;1,ISBLANK(Leveler!X18)),0,Leveler!X18)&amp;"" AND H='""&amp;IF(ISBLANK(Leveler!W18),""Nothing"",Leveler!W18)&amp;""' AND J &lt;&gt; TRUE)
OR (B&lt;=""&amp;IF(OR(LEN(Leveler!X19)&lt;1,ISBLANK(Leveler!X19)),0,Leveler!X19)&amp;"""&amp;" AND H='""&amp;IF(ISBLANK(Leveler!W19),""Nothing"",Leveler!W19)&amp;""' AND J &lt;&gt; TRUE)
OR (B&lt;=""&amp;IF(OR(LEN(Leveler!X20)&lt;1,ISBLANK(Leveler!X20)),0,Leveler!X20)&amp;"" AND H='""&amp;IF(ISBLANK(Leveler!W20),""Nothing"",Leveler!W20)&amp;""' AND J &lt;&gt; TRUE)
OR (B&lt;=""&amp;IF(OR(LEN(Lev"&amp;"eler!X21)&lt;1,ISBLANK(Leveler!X21)),0,Leveler!X21)&amp;"" AND H='""&amp;IF(ISBLANK(Leveler!W21),""Nothing"",Leveler!W21)&amp;""' AND J &lt;&gt; TRUE)
OR (B&lt;=""&amp;IF(OR(LEN(Leveler!X22)&lt;1,ISBLANK(Leveler!X22)),0,Leveler!X22)&amp;"" AND H='""&amp;IF(ISBLANK(Leveler!W22),""Nothing"",Leve"&amp;"ler!W22)&amp;""' AND J &lt;&gt; TRUE)
OR (B&lt;=""&amp;IF(OR(LEN(Leveler!X23)&lt;1,ISBLANK(Leveler!X23)),0,Leveler!X23)&amp;"" AND H='""&amp;IF(ISBLANK(Leveler!W23),""Nothing"",Leveler!W23)&amp;""' AND J &lt;&gt; TRUE)
OR (B&lt;=""&amp;IF(OR(LEN(Leveler!X24)&lt;1,ISBLANK(Leveler!X24)),0,Leveler!X24)&amp;"""&amp;" AND H='""&amp;IF(ISBLANK(Leveler!W24),""Nothing"",Leveler!W24)&amp;""' AND J &lt;&gt; TRUE)
""),IFNA(QUERY(LearnedSpellsNatPowers!A4:H1001,""Select A Where A IS NOT NULL"")))),Spells!A2:H1001,2,FALSE))
,
IFNA(VLOOKUP(Unique(VSTACK(QUERY(Spells!A2:N1001,""Select A wher"&amp;"e (B&lt;=""&amp;IF(OR(LEN(Leveler!X2)&lt;1,ISBLANK(Leveler!X2)),0,Leveler!X2)&amp;"" AND H='""&amp;IF(ISBLANK(Leveler!W2),""Nothing"",Leveler!W2)&amp;""' AND J &lt;&gt; TRUE) 
OR (B&lt;=""&amp;IF(OR(LEN(Leveler!X3)&lt;1,ISBLANK(Leveler!X3)),0,Leveler!X3)&amp;"" AND H='""&amp;IF(ISBLANK(Leveler!W3),"""&amp;"Nothing"",Leveler!W3)&amp;""' AND J &lt;&gt; TRUE)
OR (B&lt;=""&amp;IF(OR(LEN(Leveler!X4)&lt;1,ISBLANK(Leveler!X4)),0,Leveler!X4)&amp;"" AND H='""&amp;IF(ISBLANK(Leveler!W4),""Nothing"",Leveler!W4)&amp;""' AND J &lt;&gt; TRUE)
OR (B&lt;=""&amp;IF(OR(LEN(Leveler!X5)&lt;1,ISBLANK(Leveler!X5)),0,Leveler!X"&amp;"5)&amp;"" AND H='""&amp;IF(ISBLANK(Leveler!W5),""Nothing"",Leveler!W5)&amp;""' AND J &lt;&gt; TRUE)
OR (B&lt;=""&amp;IF(OR(LEN(Leveler!X6)&lt;1,ISBLANK(Leveler!X6)),0,Leveler!X6)&amp;"" AND H='""&amp;IF(ISBLANK(Leveler!W6),""Nothing"",Leveler!W6)&amp;""' AND J &lt;&gt; TRUE)
OR (B&lt;=""&amp;IF(OR(LEN(Level"&amp;"er!X7)&lt;1,ISBLANK(Leveler!X7)),0,Leveler!X7)&amp;"" AND H='""&amp;IF(ISBLANK(Leveler!W7),""Nothing"",Leveler!W7)&amp;""' AND J &lt;&gt; TRUE)
OR (B&lt;=""&amp;IF(OR(LEN(Leveler!X8)&lt;1,ISBLANK(Leveler!X8)),0,Leveler!X8)&amp;"" AND H='""&amp;IF(ISBLANK(Leveler!W8),""Nothing"",Leveler!W8)&amp;""'"&amp;" AND J &lt;&gt; TRUE)
OR (B&lt;=""&amp;IF(OR(LEN(Leveler!X9)&lt;1,ISBLANK(Leveler!X9)),0,Leveler!X9)&amp;"" AND H='""&amp;IF(ISBLANK(Leveler!W9),""Nothing"",Leveler!W9)&amp;""' AND J &lt;&gt; TRUE)
OR (B&lt;=""&amp;IF(OR(LEN(Leveler!X10)&lt;1,ISBLANK(Leveler!X10)),0,Leveler!X10)&amp;"" AND H='""&amp;IF(ISB"&amp;"LANK(Leveler!W10),""Nothing"",Leveler!W10)&amp;""' AND J &lt;&gt; TRUE)
OR (B&lt;=""&amp;IF(OR(LEN(Leveler!X11)&lt;1,ISBLANK(Leveler!X11)),0,Leveler!X11)&amp;"" AND H='""&amp;IF(ISBLANK(Leveler!W11),""Nothing"",Leveler!W11)&amp;""' AND J &lt;&gt; TRUE)
OR (B&lt;=""&amp;IF(OR(LEN(Leveler!X12)&lt;1,ISBLA"&amp;"NK(Leveler!X12)),0,Leveler!X12)&amp;"" AND H='""&amp;IF(ISBLANK(Leveler!W12),""Nothing"",Leveler!W12)&amp;""' AND J &lt;&gt; TRUE)
OR (B&lt;=""&amp;IF(OR(LEN(Leveler!X13)&lt;1,ISBLANK(Leveler!X13)),0,Leveler!X13)&amp;"" AND H='""&amp;IF(ISBLANK(Leveler!W13),""Nothing"",Leveler!W13)&amp;""' AND "&amp;"J &lt;&gt; TRUE)
OR (B&lt;=""&amp;IF(OR(LEN(Leveler!X14)&lt;1,ISBLANK(Leveler!X14)),0,Leveler!X14)&amp;"" AND H='""&amp;IF(ISBLANK(Leveler!W14),""Nothing"",Leveler!W14)&amp;""' AND J &lt;&gt; TRUE)
OR (B&lt;=""&amp;IF(OR(LEN(Leveler!X15)&lt;1,ISBLANK(Leveler!X15)),0,Leveler!X15)&amp;"" AND H='""&amp;IF(ISB"&amp;"LANK(Leveler!W15),""Nothing"",Leveler!W15)&amp;""' AND J &lt;&gt; TRUE)
OR (B&lt;=""&amp;IF(OR(LEN(Leveler!X16)&lt;1,ISBLANK(Leveler!X16)),0,Leveler!X16)&amp;"" AND H='""&amp;IF(ISBLANK(Leveler!W16),""Nothing"",Leveler!W16)&amp;""' AND J &lt;&gt; TRUE)
OR (B&lt;=""&amp;IF(OR(LEN(Leveler!X17)&lt;1,ISBLA"&amp;"NK(Leveler!X17)),0,Leveler!X17)&amp;"" AND H='""&amp;IF(ISBLANK(Leveler!W17),""Nothing"",Leveler!W17)&amp;""' AND J &lt;&gt; TRUE)
OR (B&lt;=""&amp;IF(OR(LEN(Leveler!X18)&lt;1,ISBLANK(Leveler!X18)),0,Leveler!X18)&amp;"" AND H='""&amp;IF(ISBLANK(Leveler!W18),""Nothing"",Leveler!W18)&amp;""' AND "&amp;"J &lt;&gt; TRUE)
OR (B&lt;=""&amp;IF(OR(LEN(Leveler!X19)&lt;1,ISBLANK(Leveler!X19)),0,Leveler!X19)&amp;"" AND H='""&amp;IF(ISBLANK(Leveler!W19),""Nothing"",Leveler!W19)&amp;""' AND J &lt;&gt; TRUE)
OR (B&lt;=""&amp;IF(OR(LEN(Leveler!X20)&lt;1,ISBLANK(Leveler!X20)),0,Leveler!X20)&amp;"" AND H='""&amp;IF(ISB"&amp;"LANK(Leveler!W20),""Nothing"",Leveler!W20)&amp;""' AND J &lt;&gt; TRUE)
OR (B&lt;=""&amp;IF(OR(LEN(Leveler!X21)&lt;1,ISBLANK(Leveler!X21)),0,Leveler!X21)&amp;"" AND H='""&amp;IF(ISBLANK(Leveler!W21),""Nothing"",Leveler!W21)&amp;""' AND J &lt;&gt; TRUE)
OR (B&lt;=""&amp;IF(OR(LEN(Leveler!X22)&lt;1,ISBLA"&amp;"NK(Leveler!X22)),0,Leveler!X22)&amp;"" AND H='""&amp;IF(ISBLANK(Leveler!W22),""Nothing"",Leveler!W22)&amp;""' AND J &lt;&gt; TRUE)
OR (B&lt;=""&amp;IF(OR(LEN(Leveler!X23)&lt;1,ISBLANK(Leveler!X23)),0,Leveler!X23)&amp;"" AND H='""&amp;IF(ISBLANK(Leveler!W23),""Nothing"",Leveler!W23)&amp;""' AND "&amp;"J &lt;&gt; TRUE)
OR (B&lt;=""&amp;IF(OR(LEN(Leveler!X24)&lt;1,ISBLANK(Leveler!X24)),0,Leveler!X24)&amp;"" AND H='""&amp;IF(ISBLANK(Leveler!W24),""Nothing"",Leveler!W24)&amp;""' AND J &lt;&gt; TRUE)
""),IFNA(QUERY(LearnedSpellsNatPowers!A4:H1001,""Select A Where A IS NOT NULL"")))),Spells!"&amp;"A2:H1001,3,FALSE))
,
IFNA(VLOOKUP(Unique(VSTACK(QUERY(Spells!A2:N1001,""Select A where (B&lt;=""&amp;IF(OR(LEN(Leveler!X2)&lt;1,ISBLANK(Leveler!X2)),0,Leveler!X2)&amp;"" AND H='""&amp;IF(ISBLANK(Leveler!W2),""Nothing"",Leveler!W2)&amp;""' AND J &lt;&gt; TRUE) 
OR (B&lt;=""&amp;IF(OR(LEN(Le"&amp;"veler!X3)&lt;1,ISBLANK(Leveler!X3)),0,Leveler!X3)&amp;"" AND H='""&amp;IF(ISBLANK(Leveler!W3),""Nothing"",Leveler!W3)&amp;""' AND J &lt;&gt; TRUE)
OR (B&lt;=""&amp;IF(OR(LEN(Leveler!X4)&lt;1,ISBLANK(Leveler!X4)),0,Leveler!X4)&amp;"" AND H='""&amp;IF(ISBLANK(Leveler!W4),""Nothing"",Leveler!W4)&amp;"&amp;"""' AND J &lt;&gt; TRUE)
OR (B&lt;=""&amp;IF(OR(LEN(Leveler!X5)&lt;1,ISBLANK(Leveler!X5)),0,Leveler!X5)&amp;"" AND H='""&amp;IF(ISBLANK(Leveler!W5),""Nothing"",Leveler!W5)&amp;""' AND J &lt;&gt; TRUE)
OR (B&lt;=""&amp;IF(OR(LEN(Leveler!X6)&lt;1,ISBLANK(Leveler!X6)),0,Leveler!X6)&amp;"" AND H='""&amp;IF(ISB"&amp;"LANK(Leveler!W6),""Nothing"",Leveler!W6)&amp;""' AND J &lt;&gt; TRUE)
OR (B&lt;=""&amp;IF(OR(LEN(Leveler!X7)&lt;1,ISBLANK(Leveler!X7)),0,Leveler!X7)&amp;"" AND H='""&amp;IF(ISBLANK(Leveler!W7),""Nothing"",Leveler!W7)&amp;""' AND J &lt;&gt; TRUE)
OR (B&lt;=""&amp;IF(OR(LEN(Leveler!X8)&lt;1,ISBLANK(Level"&amp;"er!X8)),0,Leveler!X8)&amp;"" AND H='""&amp;IF(ISBLANK(Leveler!W8),""Nothing"",Leveler!W8)&amp;""' AND J &lt;&gt; TRUE)
OR (B&lt;=""&amp;IF(OR(LEN(Leveler!X9)&lt;1,ISBLANK(Leveler!X9)),0,Leveler!X9)&amp;"" AND H='""&amp;IF(ISBLANK(Leveler!W9),""Nothing"",Leveler!W9)&amp;""' AND J &lt;&gt; TRUE)
OR (B&lt;"&amp;"=""&amp;IF(OR(LEN(Leveler!X10)&lt;1,ISBLANK(Leveler!X10)),0,Leveler!X10)&amp;"" AND H='""&amp;IF(ISBLANK(Leveler!W10),""Nothing"",Leveler!W10)&amp;""' AND J &lt;&gt; TRUE)
OR (B&lt;=""&amp;IF(OR(LEN(Leveler!X11)&lt;1,ISBLANK(Leveler!X11)),0,Leveler!X11)&amp;"" AND H='""&amp;IF(ISBLANK(Leveler!W11)"&amp;",""Nothing"",Leveler!W11)&amp;""' AND J &lt;&gt; TRUE)
OR (B&lt;=""&amp;IF(OR(LEN(Leveler!X12)&lt;1,ISBLANK(Leveler!X12)),0,Leveler!X12)&amp;"" AND H='""&amp;IF(ISBLANK(Leveler!W12),""Nothing"",Leveler!W12)&amp;""' AND J &lt;&gt; TRUE)
OR (B&lt;=""&amp;IF(OR(LEN(Leveler!X13)&lt;1,ISBLANK(Leveler!X13)),"&amp;"0,Leveler!X13)&amp;"" AND H='""&amp;IF(ISBLANK(Leveler!W13),""Nothing"",Leveler!W13)&amp;""' AND J &lt;&gt; TRUE)
OR (B&lt;=""&amp;IF(OR(LEN(Leveler!X14)&lt;1,ISBLANK(Leveler!X14)),0,Leveler!X14)&amp;"" AND H='""&amp;IF(ISBLANK(Leveler!W14),""Nothing"",Leveler!W14)&amp;""' AND J &lt;&gt; TRUE)
OR (B&lt;"&amp;"=""&amp;IF(OR(LEN(Leveler!X15)&lt;1,ISBLANK(Leveler!X15)),0,Leveler!X15)&amp;"" AND H='""&amp;IF(ISBLANK(Leveler!W15),""Nothing"",Leveler!W15)&amp;""' AND J &lt;&gt; TRUE)
OR (B&lt;=""&amp;IF(OR(LEN(Leveler!X16)&lt;1,ISBLANK(Leveler!X16)),0,Leveler!X16)&amp;"" AND H='""&amp;IF(ISBLANK(Leveler!W16)"&amp;",""Nothing"",Leveler!W16)&amp;""' AND J &lt;&gt; TRUE)
OR (B&lt;=""&amp;IF(OR(LEN(Leveler!X17)&lt;1,ISBLANK(Leveler!X17)),0,Leveler!X17)&amp;"" AND H='""&amp;IF(ISBLANK(Leveler!W17),""Nothing"",Leveler!W17)&amp;""' AND J &lt;&gt; TRUE)
OR (B&lt;=""&amp;IF(OR(LEN(Leveler!X18)&lt;1,ISBLANK(Leveler!X18)),"&amp;"0,Leveler!X18)&amp;"" AND H='""&amp;IF(ISBLANK(Leveler!W18),""Nothing"",Leveler!W18)&amp;""' AND J &lt;&gt; TRUE)
OR (B&lt;=""&amp;IF(OR(LEN(Leveler!X19)&lt;1,ISBLANK(Leveler!X19)),0,Leveler!X19)&amp;"" AND H='""&amp;IF(ISBLANK(Leveler!W19),""Nothing"",Leveler!W19)&amp;""' AND J &lt;&gt; TRUE)
OR (B&lt;"&amp;"=""&amp;IF(OR(LEN(Leveler!X20)&lt;1,ISBLANK(Leveler!X20)),0,Leveler!X20)&amp;"" AND H='""&amp;IF(ISBLANK(Leveler!W20),""Nothing"",Leveler!W20)&amp;""' AND J &lt;&gt; TRUE)
OR (B&lt;=""&amp;IF(OR(LEN(Leveler!X21)&lt;1,ISBLANK(Leveler!X21)),0,Leveler!X21)&amp;"" AND H='""&amp;IF(ISBLANK(Leveler!W21)"&amp;",""Nothing"",Leveler!W21)&amp;""' AND J &lt;&gt; TRUE)
OR (B&lt;=""&amp;IF(OR(LEN(Leveler!X22)&lt;1,ISBLANK(Leveler!X22)),0,Leveler!X22)&amp;"" AND H='""&amp;IF(ISBLANK(Leveler!W22),""Nothing"",Leveler!W22)&amp;""' AND J &lt;&gt; TRUE)
OR (B&lt;=""&amp;IF(OR(LEN(Leveler!X23)&lt;1,ISBLANK(Leveler!X23)),"&amp;"0,Leveler!X23)&amp;"" AND H='""&amp;IF(ISBLANK(Leveler!W23),""Nothing"",Leveler!W23)&amp;""' AND J &lt;&gt; TRUE)
OR (B&lt;=""&amp;IF(OR(LEN(Leveler!X24)&lt;1,ISBLANK(Leveler!X24)),0,Leveler!X24)&amp;"" AND H='""&amp;IF(ISBLANK(Leveler!W24),""Nothing"",Leveler!W24)&amp;""' AND J &lt;&gt; TRUE)
""),IF"&amp;"NA(QUERY(LearnedSpellsNatPowers!A4:H1001,""Select A Where A IS NOT NULL"")))),Spells!A2:H1001,4,FALSE))
,
IFNA(VLOOKUP(Unique(VSTACK(QUERY(Spells!A2:N1001,""Select A where (B&lt;=""&amp;IF(OR(LEN(Leveler!X2)&lt;1,ISBLANK(Leveler!X2)),0,Leveler!X2)&amp;"" AND H='""&amp;IF(I"&amp;"SBLANK(Leveler!W2),""Nothing"",Leveler!W2)&amp;""' AND J &lt;&gt; TRUE) 
OR (B&lt;=""&amp;IF(OR(LEN(Leveler!X3)&lt;1,ISBLANK(Leveler!X3)),0,Leveler!X3)&amp;"" AND H='""&amp;IF(ISBLANK(Leveler!W3),""Nothing"",Leveler!W3)&amp;""' AND J &lt;&gt; TRUE)
OR (B&lt;=""&amp;IF(OR(LEN(Leveler!X4)&lt;1,ISBLANK(Le"&amp;"veler!X4)),0,Leveler!X4)&amp;"" AND H='""&amp;IF(ISBLANK(Leveler!W4),""Nothing"",Leveler!W4)&amp;""' AND J &lt;&gt; TRUE)
OR (B&lt;=""&amp;IF(OR(LEN(Leveler!X5)&lt;1,ISBLANK(Leveler!X5)),0,Leveler!X5)&amp;"" AND H='""&amp;IF(ISBLANK(Leveler!W5),""Nothing"",Leveler!W5)&amp;""' AND J &lt;&gt; TRUE)
OR "&amp;"(B&lt;=""&amp;IF(OR(LEN(Leveler!X6)&lt;1,ISBLANK(Leveler!X6)),0,Leveler!X6)&amp;"" AND H='""&amp;IF(ISBLANK(Leveler!W6),""Nothing"",Leveler!W6)&amp;""' AND J &lt;&gt; TRUE)
OR (B&lt;=""&amp;IF(OR(LEN(Leveler!X7)&lt;1,ISBLANK(Leveler!X7)),0,Leveler!X7)&amp;"" AND H='""&amp;IF(ISBLANK(Leveler!W7),""Not"&amp;"hing"",Leveler!W7)&amp;""' AND J &lt;&gt; TRUE)
OR (B&lt;=""&amp;IF(OR(LEN(Leveler!X8)&lt;1,ISBLANK(Leveler!X8)),0,Leveler!X8)&amp;"" AND H='""&amp;IF(ISBLANK(Leveler!W8),""Nothing"",Leveler!W8)&amp;""' AND J &lt;&gt; TRUE)
OR (B&lt;=""&amp;IF(OR(LEN(Leveler!X9)&lt;1,ISBLANK(Leveler!X9)),0,Leveler!X9)&amp;"&amp;""" AND H='""&amp;IF(ISBLANK(Leveler!W9),""Nothing"",Leveler!W9)&amp;""' AND J &lt;&gt; TRUE)
OR (B&lt;=""&amp;IF(OR(LEN(Leveler!X10)&lt;1,ISBLANK(Leveler!X10)),0,Leveler!X10)&amp;"" AND H='""&amp;IF(ISBLANK(Leveler!W10),""Nothing"",Leveler!W10)&amp;""' AND J &lt;&gt; TRUE)
OR (B&lt;=""&amp;IF(OR(LEN(Lev"&amp;"eler!X11)&lt;1,ISBLANK(Leveler!X11)),0,Leveler!X11)&amp;"" AND H='""&amp;IF(ISBLANK(Leveler!W11),""Nothing"",Leveler!W11)&amp;""' AND J &lt;&gt; TRUE)
OR (B&lt;=""&amp;IF(OR(LEN(Leveler!X12)&lt;1,ISBLANK(Leveler!X12)),0,Leveler!X12)&amp;"" AND H='""&amp;IF(ISBLANK(Leveler!W12),""Nothing"",Leve"&amp;"ler!W12)&amp;""' AND J &lt;&gt; TRUE)
OR (B&lt;=""&amp;IF(OR(LEN(Leveler!X13)&lt;1,ISBLANK(Leveler!X13)),0,Leveler!X13)&amp;"" AND H='""&amp;IF(ISBLANK(Leveler!W13),""Nothing"",Leveler!W13)&amp;""' AND J &lt;&gt; TRUE)
OR (B&lt;=""&amp;IF(OR(LEN(Leveler!X14)&lt;1,ISBLANK(Leveler!X14)),0,Leveler!X14)&amp;"""&amp;" AND H='""&amp;IF(ISBLANK(Leveler!W14),""Nothing"",Leveler!W14)&amp;""' AND J &lt;&gt; TRUE)
OR (B&lt;=""&amp;IF(OR(LEN(Leveler!X15)&lt;1,ISBLANK(Leveler!X15)),0,Leveler!X15)&amp;"" AND H='""&amp;IF(ISBLANK(Leveler!W15),""Nothing"",Leveler!W15)&amp;""' AND J &lt;&gt; TRUE)
OR (B&lt;=""&amp;IF(OR(LEN(Lev"&amp;"eler!X16)&lt;1,ISBLANK(Leveler!X16)),0,Leveler!X16)&amp;"" AND H='""&amp;IF(ISBLANK(Leveler!W16),""Nothing"",Leveler!W16)&amp;""' AND J &lt;&gt; TRUE)
OR (B&lt;=""&amp;IF(OR(LEN(Leveler!X17)&lt;1,ISBLANK(Leveler!X17)),0,Leveler!X17)&amp;"" AND H='""&amp;IF(ISBLANK(Leveler!W17),""Nothing"",Leve"&amp;"ler!W17)&amp;""' AND J &lt;&gt; TRUE)
OR (B&lt;=""&amp;IF(OR(LEN(Leveler!X18)&lt;1,ISBLANK(Leveler!X18)),0,Leveler!X18)&amp;"" AND H='""&amp;IF(ISBLANK(Leveler!W18),""Nothing"",Leveler!W18)&amp;""' AND J &lt;&gt; TRUE)
OR (B&lt;=""&amp;IF(OR(LEN(Leveler!X19)&lt;1,ISBLANK(Leveler!X19)),0,Leveler!X19)&amp;"""&amp;" AND H='""&amp;IF(ISBLANK(Leveler!W19),""Nothing"",Leveler!W19)&amp;""' AND J &lt;&gt; TRUE)
OR (B&lt;=""&amp;IF(OR(LEN(Leveler!X20)&lt;1,ISBLANK(Leveler!X20)),0,Leveler!X20)&amp;"" AND H='""&amp;IF(ISBLANK(Leveler!W20),""Nothing"",Leveler!W20)&amp;""' AND J &lt;&gt; TRUE)
OR (B&lt;=""&amp;IF(OR(LEN(Lev"&amp;"eler!X21)&lt;1,ISBLANK(Leveler!X21)),0,Leveler!X21)&amp;"" AND H='""&amp;IF(ISBLANK(Leveler!W21),""Nothing"",Leveler!W21)&amp;""' AND J &lt;&gt; TRUE)
OR (B&lt;=""&amp;IF(OR(LEN(Leveler!X22)&lt;1,ISBLANK(Leveler!X22)),0,Leveler!X22)&amp;"" AND H='""&amp;IF(ISBLANK(Leveler!W22),""Nothing"",Leve"&amp;"ler!W22)&amp;""' AND J &lt;&gt; TRUE)
OR (B&lt;=""&amp;IF(OR(LEN(Leveler!X23)&lt;1,ISBLANK(Leveler!X23)),0,Leveler!X23)&amp;"" AND H='""&amp;IF(ISBLANK(Leveler!W23),""Nothing"",Leveler!W23)&amp;""' AND J &lt;&gt; TRUE)
OR (B&lt;=""&amp;IF(OR(LEN(Leveler!X24)&lt;1,ISBLANK(Leveler!X24)),0,Leveler!X24)&amp;"""&amp;" AND H='""&amp;IF(ISBLANK(Leveler!W24),""Nothing"",Leveler!W24)&amp;""' AND J &lt;&gt; TRUE)
""),IFNA(QUERY(LearnedSpellsNatPowers!A4:H1001,""Select A Where A IS NOT NULL"")))),Spells!A2:H1001,5,FALSE))
,
IFNA(VLOOKUP(Unique(VSTACK(QUERY(Spells!A2:N1001,""Select A wher"&amp;"e (B&lt;=""&amp;IF(OR(LEN(Leveler!X2)&lt;1,ISBLANK(Leveler!X2)),0,Leveler!X2)&amp;"" AND H='""&amp;IF(ISBLANK(Leveler!W2),""Nothing"",Leveler!W2)&amp;""' AND J &lt;&gt; TRUE) 
OR (B&lt;=""&amp;IF(OR(LEN(Leveler!X3)&lt;1,ISBLANK(Leveler!X3)),0,Leveler!X3)&amp;"" AND H='""&amp;IF(ISBLANK(Leveler!W3),"""&amp;"Nothing"",Leveler!W3)&amp;""' AND J &lt;&gt; TRUE)
OR (B&lt;=""&amp;IF(OR(LEN(Leveler!X4)&lt;1,ISBLANK(Leveler!X4)),0,Leveler!X4)&amp;"" AND H='""&amp;IF(ISBLANK(Leveler!W4),""Nothing"",Leveler!W4)&amp;""' AND J &lt;&gt; TRUE)
OR (B&lt;=""&amp;IF(OR(LEN(Leveler!X5)&lt;1,ISBLANK(Leveler!X5)),0,Leveler!X"&amp;"5)&amp;"" AND H='""&amp;IF(ISBLANK(Leveler!W5),""Nothing"",Leveler!W5)&amp;""' AND J &lt;&gt; TRUE)
OR (B&lt;=""&amp;IF(OR(LEN(Leveler!X6)&lt;1,ISBLANK(Leveler!X6)),0,Leveler!X6)&amp;"" AND H='""&amp;IF(ISBLANK(Leveler!W6),""Nothing"",Leveler!W6)&amp;""' AND J &lt;&gt; TRUE)
OR (B&lt;=""&amp;IF(OR(LEN(Level"&amp;"er!X7)&lt;1,ISBLANK(Leveler!X7)),0,Leveler!X7)&amp;"" AND H='""&amp;IF(ISBLANK(Leveler!W7),""Nothing"",Leveler!W7)&amp;""' AND J &lt;&gt; TRUE)
OR (B&lt;=""&amp;IF(OR(LEN(Leveler!X8)&lt;1,ISBLANK(Leveler!X8)),0,Leveler!X8)&amp;"" AND H='""&amp;IF(ISBLANK(Leveler!W8),""Nothing"",Leveler!W8)&amp;""'"&amp;" AND J &lt;&gt; TRUE)
OR (B&lt;=""&amp;IF(OR(LEN(Leveler!X9)&lt;1,ISBLANK(Leveler!X9)),0,Leveler!X9)&amp;"" AND H='""&amp;IF(ISBLANK(Leveler!W9),""Nothing"",Leveler!W9)&amp;""' AND J &lt;&gt; TRUE)
OR (B&lt;=""&amp;IF(OR(LEN(Leveler!X10)&lt;1,ISBLANK(Leveler!X10)),0,Leveler!X10)&amp;"" AND H='""&amp;IF(ISB"&amp;"LANK(Leveler!W10),""Nothing"",Leveler!W10)&amp;""' AND J &lt;&gt; TRUE)
OR (B&lt;=""&amp;IF(OR(LEN(Leveler!X11)&lt;1,ISBLANK(Leveler!X11)),0,Leveler!X11)&amp;"" AND H='""&amp;IF(ISBLANK(Leveler!W11),""Nothing"",Leveler!W11)&amp;""' AND J &lt;&gt; TRUE)
OR (B&lt;=""&amp;IF(OR(LEN(Leveler!X12)&lt;1,ISBLA"&amp;"NK(Leveler!X12)),0,Leveler!X12)&amp;"" AND H='""&amp;IF(ISBLANK(Leveler!W12),""Nothing"",Leveler!W12)&amp;""' AND J &lt;&gt; TRUE)
OR (B&lt;=""&amp;IF(OR(LEN(Leveler!X13)&lt;1,ISBLANK(Leveler!X13)),0,Leveler!X13)&amp;"" AND H='""&amp;IF(ISBLANK(Leveler!W13),""Nothing"",Leveler!W13)&amp;""' AND "&amp;"J &lt;&gt; TRUE)
OR (B&lt;=""&amp;IF(OR(LEN(Leveler!X14)&lt;1,ISBLANK(Leveler!X14)),0,Leveler!X14)&amp;"" AND H='""&amp;IF(ISBLANK(Leveler!W14),""Nothing"",Leveler!W14)&amp;""' AND J &lt;&gt; TRUE)
OR (B&lt;=""&amp;IF(OR(LEN(Leveler!X15)&lt;1,ISBLANK(Leveler!X15)),0,Leveler!X15)&amp;"" AND H='""&amp;IF(ISB"&amp;"LANK(Leveler!W15),""Nothing"",Leveler!W15)&amp;""' AND J &lt;&gt; TRUE)
OR (B&lt;=""&amp;IF(OR(LEN(Leveler!X16)&lt;1,ISBLANK(Leveler!X16)),0,Leveler!X16)&amp;"" AND H='""&amp;IF(ISBLANK(Leveler!W16),""Nothing"",Leveler!W16)&amp;""' AND J &lt;&gt; TRUE)
OR (B&lt;=""&amp;IF(OR(LEN(Leveler!X17)&lt;1,ISBLA"&amp;"NK(Leveler!X17)),0,Leveler!X17)&amp;"" AND H='""&amp;IF(ISBLANK(Leveler!W17),""Nothing"",Leveler!W17)&amp;""' AND J &lt;&gt; TRUE)
OR (B&lt;=""&amp;IF(OR(LEN(Leveler!X18)&lt;1,ISBLANK(Leveler!X18)),0,Leveler!X18)&amp;"" AND H='""&amp;IF(ISBLANK(Leveler!W18),""Nothing"",Leveler!W18)&amp;""' AND "&amp;"J &lt;&gt; TRUE)
OR (B&lt;=""&amp;IF(OR(LEN(Leveler!X19)&lt;1,ISBLANK(Leveler!X19)),0,Leveler!X19)&amp;"" AND H='""&amp;IF(ISBLANK(Leveler!W19),""Nothing"",Leveler!W19)&amp;""' AND J &lt;&gt; TRUE)
OR (B&lt;=""&amp;IF(OR(LEN(Leveler!X20)&lt;1,ISBLANK(Leveler!X20)),0,Leveler!X20)&amp;"" AND H='""&amp;IF(ISB"&amp;"LANK(Leveler!W20),""Nothing"",Leveler!W20)&amp;""' AND J &lt;&gt; TRUE)
OR (B&lt;=""&amp;IF(OR(LEN(Leveler!X21)&lt;1,ISBLANK(Leveler!X21)),0,Leveler!X21)&amp;"" AND H='""&amp;IF(ISBLANK(Leveler!W21),""Nothing"",Leveler!W21)&amp;""' AND J &lt;&gt; TRUE)
OR (B&lt;=""&amp;IF(OR(LEN(Leveler!X22)&lt;1,ISBLA"&amp;"NK(Leveler!X22)),0,Leveler!X22)&amp;"" AND H='""&amp;IF(ISBLANK(Leveler!W22),""Nothing"",Leveler!W22)&amp;""' AND J &lt;&gt; TRUE)
OR (B&lt;=""&amp;IF(OR(LEN(Leveler!X23)&lt;1,ISBLANK(Leveler!X23)),0,Leveler!X23)&amp;"" AND H='""&amp;IF(ISBLANK(Leveler!W23),""Nothing"",Leveler!W23)&amp;""' AND "&amp;"J &lt;&gt; TRUE)
OR (B&lt;=""&amp;IF(OR(LEN(Leveler!X24)&lt;1,ISBLANK(Leveler!X24)),0,Leveler!X24)&amp;"" AND H='""&amp;IF(ISBLANK(Leveler!W24),""Nothing"",Leveler!W24)&amp;""' AND J &lt;&gt; TRUE)
""),IFNA(QUERY(LearnedSpellsNatPowers!A4:H1001,""Select A Where A IS NOT NULL"")))),Spells!"&amp;"A2:H1001,6,FALSE))
,
IFNA(VLOOKUP(Unique(VSTACK(QUERY(Spells!A2:N1001,""Select A where (B&lt;=""&amp;IF(OR(LEN(Leveler!X2)&lt;1,ISBLANK(Leveler!X2)),0,Leveler!X2)&amp;"" AND H='""&amp;IF(ISBLANK(Leveler!W2),""Nothing"",Leveler!W2)&amp;""' AND J &lt;&gt; TRUE) 
OR (B&lt;=""&amp;IF(OR(LEN(Le"&amp;"veler!X3)&lt;1,ISBLANK(Leveler!X3)),0,Leveler!X3)&amp;"" AND H='""&amp;IF(ISBLANK(Leveler!W3),""Nothing"",Leveler!W3)&amp;""' AND J &lt;&gt; TRUE)
OR (B&lt;=""&amp;IF(OR(LEN(Leveler!X4)&lt;1,ISBLANK(Leveler!X4)),0,Leveler!X4)&amp;"" AND H='""&amp;IF(ISBLANK(Leveler!W4),""Nothing"",Leveler!W4)&amp;"&amp;"""' AND J &lt;&gt; TRUE)
OR (B&lt;=""&amp;IF(OR(LEN(Leveler!X5)&lt;1,ISBLANK(Leveler!X5)),0,Leveler!X5)&amp;"" AND H='""&amp;IF(ISBLANK(Leveler!W5),""Nothing"",Leveler!W5)&amp;""' AND J &lt;&gt; TRUE)
OR (B&lt;=""&amp;IF(OR(LEN(Leveler!X6)&lt;1,ISBLANK(Leveler!X6)),0,Leveler!X6)&amp;"" AND H='""&amp;IF(ISB"&amp;"LANK(Leveler!W6),""Nothing"",Leveler!W6)&amp;""' AND J &lt;&gt; TRUE)
OR (B&lt;=""&amp;IF(OR(LEN(Leveler!X7)&lt;1,ISBLANK(Leveler!X7)),0,Leveler!X7)&amp;"" AND H='""&amp;IF(ISBLANK(Leveler!W7),""Nothing"",Leveler!W7)&amp;""' AND J &lt;&gt; TRUE)
OR (B&lt;=""&amp;IF(OR(LEN(Leveler!X8)&lt;1,ISBLANK(Level"&amp;"er!X8)),0,Leveler!X8)&amp;"" AND H='""&amp;IF(ISBLANK(Leveler!W8),""Nothing"",Leveler!W8)&amp;""' AND J &lt;&gt; TRUE)
OR (B&lt;=""&amp;IF(OR(LEN(Leveler!X9)&lt;1,ISBLANK(Leveler!X9)),0,Leveler!X9)&amp;"" AND H='""&amp;IF(ISBLANK(Leveler!W9),""Nothing"",Leveler!W9)&amp;""' AND J &lt;&gt; TRUE)
OR (B&lt;"&amp;"=""&amp;IF(OR(LEN(Leveler!X10)&lt;1,ISBLANK(Leveler!X10)),0,Leveler!X10)&amp;"" AND H='""&amp;IF(ISBLANK(Leveler!W10),""Nothing"",Leveler!W10)&amp;""' AND J &lt;&gt; TRUE)
OR (B&lt;=""&amp;IF(OR(LEN(Leveler!X11)&lt;1,ISBLANK(Leveler!X11)),0,Leveler!X11)&amp;"" AND H='""&amp;IF(ISBLANK(Leveler!W11)"&amp;",""Nothing"",Leveler!W11)&amp;""' AND J &lt;&gt; TRUE)
OR (B&lt;=""&amp;IF(OR(LEN(Leveler!X12)&lt;1,ISBLANK(Leveler!X12)),0,Leveler!X12)&amp;"" AND H='""&amp;IF(ISBLANK(Leveler!W12),""Nothing"",Leveler!W12)&amp;""' AND J &lt;&gt; TRUE)
OR (B&lt;=""&amp;IF(OR(LEN(Leveler!X13)&lt;1,ISBLANK(Leveler!X13)),"&amp;"0,Leveler!X13)&amp;"" AND H='""&amp;IF(ISBLANK(Leveler!W13),""Nothing"",Leveler!W13)&amp;""' AND J &lt;&gt; TRUE)
OR (B&lt;=""&amp;IF(OR(LEN(Leveler!X14)&lt;1,ISBLANK(Leveler!X14)),0,Leveler!X14)&amp;"" AND H='""&amp;IF(ISBLANK(Leveler!W14),""Nothing"",Leveler!W14)&amp;""' AND J &lt;&gt; TRUE)
OR (B&lt;"&amp;"=""&amp;IF(OR(LEN(Leveler!X15)&lt;1,ISBLANK(Leveler!X15)),0,Leveler!X15)&amp;"" AND H='""&amp;IF(ISBLANK(Leveler!W15),""Nothing"",Leveler!W15)&amp;""' AND J &lt;&gt; TRUE)
OR (B&lt;=""&amp;IF(OR(LEN(Leveler!X16)&lt;1,ISBLANK(Leveler!X16)),0,Leveler!X16)&amp;"" AND H='""&amp;IF(ISBLANK(Leveler!W16)"&amp;",""Nothing"",Leveler!W16)&amp;""' AND J &lt;&gt; TRUE)
OR (B&lt;=""&amp;IF(OR(LEN(Leveler!X17)&lt;1,ISBLANK(Leveler!X17)),0,Leveler!X17)&amp;"" AND H='""&amp;IF(ISBLANK(Leveler!W17),""Nothing"",Leveler!W17)&amp;""' AND J &lt;&gt; TRUE)
OR (B&lt;=""&amp;IF(OR(LEN(Leveler!X18)&lt;1,ISBLANK(Leveler!X18)),"&amp;"0,Leveler!X18)&amp;"" AND H='""&amp;IF(ISBLANK(Leveler!W18),""Nothing"",Leveler!W18)&amp;""' AND J &lt;&gt; TRUE)
OR (B&lt;=""&amp;IF(OR(LEN(Leveler!X19)&lt;1,ISBLANK(Leveler!X19)),0,Leveler!X19)&amp;"" AND H='""&amp;IF(ISBLANK(Leveler!W19),""Nothing"",Leveler!W19)&amp;""' AND J &lt;&gt; TRUE)
OR (B&lt;"&amp;"=""&amp;IF(OR(LEN(Leveler!X20)&lt;1,ISBLANK(Leveler!X20)),0,Leveler!X20)&amp;"" AND H='""&amp;IF(ISBLANK(Leveler!W20),""Nothing"",Leveler!W20)&amp;""' AND J &lt;&gt; TRUE)
OR (B&lt;=""&amp;IF(OR(LEN(Leveler!X21)&lt;1,ISBLANK(Leveler!X21)),0,Leveler!X21)&amp;"" AND H='""&amp;IF(ISBLANK(Leveler!W21)"&amp;",""Nothing"",Leveler!W21)&amp;""' AND J &lt;&gt; TRUE)
OR (B&lt;=""&amp;IF(OR(LEN(Leveler!X22)&lt;1,ISBLANK(Leveler!X22)),0,Leveler!X22)&amp;"" AND H='""&amp;IF(ISBLANK(Leveler!W22),""Nothing"",Leveler!W22)&amp;""' AND J &lt;&gt; TRUE)
OR (B&lt;=""&amp;IF(OR(LEN(Leveler!X23)&lt;1,ISBLANK(Leveler!X23)),"&amp;"0,Leveler!X23)&amp;"" AND H='""&amp;IF(ISBLANK(Leveler!W23),""Nothing"",Leveler!W23)&amp;""' AND J &lt;&gt; TRUE)
OR (B&lt;=""&amp;IF(OR(LEN(Leveler!X24)&lt;1,ISBLANK(Leveler!X24)),0,Leveler!X24)&amp;"" AND H='""&amp;IF(ISBLANK(Leveler!W24),""Nothing"",Leveler!W24)&amp;""' AND J &lt;&gt; TRUE)
""),IF"&amp;"NA(QUERY(LearnedSpellsNatPowers!A4:H1001,""Select A Where A IS NOT NULL"")))),Spells!A2:H1001,7,FALSE))
,
IFNA(VLOOKUP(Unique(VSTACK(QUERY(Spells!A2:N1001,""Select A where (B&lt;=""&amp;IF(OR(LEN(Leveler!X2)&lt;1,ISBLANK(Leveler!X2)),0,Leveler!X2)&amp;"" AND H='""&amp;IF(I"&amp;"SBLANK(Leveler!W2),""Nothing"",Leveler!W2)&amp;""' AND J &lt;&gt; TRUE) 
OR (B&lt;=""&amp;IF(OR(LEN(Leveler!X3)&lt;1,ISBLANK(Leveler!X3)),0,Leveler!X3)&amp;"" AND H='""&amp;IF(ISBLANK(Leveler!W3),""Nothing"",Leveler!W3)&amp;""' AND J &lt;&gt; TRUE)
OR (B&lt;=""&amp;IF(OR(LEN(Leveler!X4)&lt;1,ISBLANK(Le"&amp;"veler!X4)),0,Leveler!X4)&amp;"" AND H='""&amp;IF(ISBLANK(Leveler!W4),""Nothing"",Leveler!W4)&amp;""' AND J &lt;&gt; TRUE)
OR (B&lt;=""&amp;IF(OR(LEN(Leveler!X5)&lt;1,ISBLANK(Leveler!X5)),0,Leveler!X5)&amp;"" AND H='""&amp;IF(ISBLANK(Leveler!W5),""Nothing"",Leveler!W5)&amp;""' AND J &lt;&gt; TRUE)
OR "&amp;"(B&lt;=""&amp;IF(OR(LEN(Leveler!X6)&lt;1,ISBLANK(Leveler!X6)),0,Leveler!X6)&amp;"" AND H='""&amp;IF(ISBLANK(Leveler!W6),""Nothing"",Leveler!W6)&amp;""' AND J &lt;&gt; TRUE)
OR (B&lt;=""&amp;IF(OR(LEN(Leveler!X7)&lt;1,ISBLANK(Leveler!X7)),0,Leveler!X7)&amp;"" AND H='""&amp;IF(ISBLANK(Leveler!W7),""Not"&amp;"hing"",Leveler!W7)&amp;""' AND J &lt;&gt; TRUE)
OR (B&lt;=""&amp;IF(OR(LEN(Leveler!X8)&lt;1,ISBLANK(Leveler!X8)),0,Leveler!X8)&amp;"" AND H='""&amp;IF(ISBLANK(Leveler!W8),""Nothing"",Leveler!W8)&amp;""' AND J &lt;&gt; TRUE)
OR (B&lt;=""&amp;IF(OR(LEN(Leveler!X9)&lt;1,ISBLANK(Leveler!X9)),0,Leveler!X9)&amp;"&amp;""" AND H='""&amp;IF(ISBLANK(Leveler!W9),""Nothing"",Leveler!W9)&amp;""' AND J &lt;&gt; TRUE)
OR (B&lt;=""&amp;IF(OR(LEN(Leveler!X10)&lt;1,ISBLANK(Leveler!X10)),0,Leveler!X10)&amp;"" AND H='""&amp;IF(ISBLANK(Leveler!W10),""Nothing"",Leveler!W10)&amp;""' AND J &lt;&gt; TRUE)
OR (B&lt;=""&amp;IF(OR(LEN(Lev"&amp;"eler!X11)&lt;1,ISBLANK(Leveler!X11)),0,Leveler!X11)&amp;"" AND H='""&amp;IF(ISBLANK(Leveler!W11),""Nothing"",Leveler!W11)&amp;""' AND J &lt;&gt; TRUE)
OR (B&lt;=""&amp;IF(OR(LEN(Leveler!X12)&lt;1,ISBLANK(Leveler!X12)),0,Leveler!X12)&amp;"" AND H='""&amp;IF(ISBLANK(Leveler!W12),""Nothing"",Leve"&amp;"ler!W12)&amp;""' AND J &lt;&gt; TRUE)
OR (B&lt;=""&amp;IF(OR(LEN(Leveler!X13)&lt;1,ISBLANK(Leveler!X13)),0,Leveler!X13)&amp;"" AND H='""&amp;IF(ISBLANK(Leveler!W13),""Nothing"",Leveler!W13)&amp;""' AND J &lt;&gt; TRUE)
OR (B&lt;=""&amp;IF(OR(LEN(Leveler!X14)&lt;1,ISBLANK(Leveler!X14)),0,Leveler!X14)&amp;"""&amp;" AND H='""&amp;IF(ISBLANK(Leveler!W14),""Nothing"",Leveler!W14)&amp;""' AND J &lt;&gt; TRUE)
OR (B&lt;=""&amp;IF(OR(LEN(Leveler!X15)&lt;1,ISBLANK(Leveler!X15)),0,Leveler!X15)&amp;"" AND H='""&amp;IF(ISBLANK(Leveler!W15),""Nothing"",Leveler!W15)&amp;""' AND J &lt;&gt; TRUE)
OR (B&lt;=""&amp;IF(OR(LEN(Lev"&amp;"eler!X16)&lt;1,ISBLANK(Leveler!X16)),0,Leveler!X16)&amp;"" AND H='""&amp;IF(ISBLANK(Leveler!W16),""Nothing"",Leveler!W16)&amp;""' AND J &lt;&gt; TRUE)
OR (B&lt;=""&amp;IF(OR(LEN(Leveler!X17)&lt;1,ISBLANK(Leveler!X17)),0,Leveler!X17)&amp;"" AND H='""&amp;IF(ISBLANK(Leveler!W17),""Nothing"",Leve"&amp;"ler!W17)&amp;""' AND J &lt;&gt; TRUE)
OR (B&lt;=""&amp;IF(OR(LEN(Leveler!X18)&lt;1,ISBLANK(Leveler!X18)),0,Leveler!X18)&amp;"" AND H='""&amp;IF(ISBLANK(Leveler!W18),""Nothing"",Leveler!W18)&amp;""' AND J &lt;&gt; TRUE)
OR (B&lt;=""&amp;IF(OR(LEN(Leveler!X19)&lt;1,ISBLANK(Leveler!X19)),0,Leveler!X19)&amp;"""&amp;" AND H='""&amp;IF(ISBLANK(Leveler!W19),""Nothing"",Leveler!W19)&amp;""' AND J &lt;&gt; TRUE)
OR (B&lt;=""&amp;IF(OR(LEN(Leveler!X20)&lt;1,ISBLANK(Leveler!X20)),0,Leveler!X20)&amp;"" AND H='""&amp;IF(ISBLANK(Leveler!W20),""Nothing"",Leveler!W20)&amp;""' AND J &lt;&gt; TRUE)
OR (B&lt;=""&amp;IF(OR(LEN(Lev"&amp;"eler!X21)&lt;1,ISBLANK(Leveler!X21)),0,Leveler!X21)&amp;"" AND H='""&amp;IF(ISBLANK(Leveler!W21),""Nothing"",Leveler!W21)&amp;""' AND J &lt;&gt; TRUE)
OR (B&lt;=""&amp;IF(OR(LEN(Leveler!X22)&lt;1,ISBLANK(Leveler!X22)),0,Leveler!X22)&amp;"" AND H='""&amp;IF(ISBLANK(Leveler!W22),""Nothing"",Leve"&amp;"ler!W22)&amp;""' AND J &lt;&gt; TRUE)
OR (B&lt;=""&amp;IF(OR(LEN(Leveler!X23)&lt;1,ISBLANK(Leveler!X23)),0,Leveler!X23)&amp;"" AND H='""&amp;IF(ISBLANK(Leveler!W23),""Nothing"",Leveler!W23)&amp;""' AND J &lt;&gt; TRUE)
OR (B&lt;=""&amp;IF(OR(LEN(Leveler!X24)&lt;1,ISBLANK(Leveler!X24)),0,Leveler!X24)&amp;"""&amp;" AND H='""&amp;IF(ISBLANK(Leveler!W24),""Nothing"",Leveler!W24)&amp;""' AND J &lt;&gt; TRUE)
""),IFNA(QUERY(LearnedSpellsNatPowers!A4:H1001,""Select A Where A IS NOT NULL"")))),Spells!A2:H1001,8,FALSE))
}),8,TRUE,1,TRUE)"),"Astral Beam")</f>
        <v>Astral Beam</v>
      </c>
      <c r="B2" s="16">
        <f>IFERROR(__xludf.DUMMYFUNCTION("""COMPUTED_VALUE"""),2.0)</f>
        <v>2</v>
      </c>
      <c r="C2" s="16" t="str">
        <f>IFERROR(__xludf.DUMMYFUNCTION("""COMPUTED_VALUE"""),"X")</f>
        <v>X</v>
      </c>
      <c r="D2" s="16"/>
      <c r="E2" s="16" t="str">
        <f>IFERROR(__xludf.DUMMYFUNCTION("""COMPUTED_VALUE"""),"X*50 Light damage and X*50 Astral damage to a single target where X is equal to SP.")</f>
        <v>X*50 Light damage and X*50 Astral damage to a single target where X is equal to SP.</v>
      </c>
      <c r="F2" s="16" t="str">
        <f>IFERROR(__xludf.DUMMYFUNCTION("""COMPUTED_VALUE"""),"Hit or Miss")</f>
        <v>Hit or Miss</v>
      </c>
      <c r="G2" s="16">
        <f>IFERROR(__xludf.DUMMYFUNCTION("""COMPUTED_VALUE"""),1.0)</f>
        <v>1</v>
      </c>
      <c r="H2" s="16" t="str">
        <f>IFERROR(__xludf.DUMMYFUNCTION("""COMPUTED_VALUE"""),"Astral")</f>
        <v>Astral</v>
      </c>
      <c r="J2" s="92" t="s">
        <v>218</v>
      </c>
      <c r="V2" s="14"/>
    </row>
    <row r="3">
      <c r="A3" s="16" t="str">
        <f>IFERROR(__xludf.DUMMYFUNCTION("""COMPUTED_VALUE"""),"Astral Contact")</f>
        <v>Astral Contact</v>
      </c>
      <c r="B3" s="16">
        <f>IFERROR(__xludf.DUMMYFUNCTION("""COMPUTED_VALUE"""),3.0)</f>
        <v>3</v>
      </c>
      <c r="C3" s="16">
        <f>IFERROR(__xludf.DUMMYFUNCTION("""COMPUTED_VALUE"""),100.0)</f>
        <v>100</v>
      </c>
      <c r="D3" s="16"/>
      <c r="E3" s="16" t="str">
        <f>IFERROR(__xludf.DUMMYFUNCTION("""COMPUTED_VALUE"""),"Increases Astral and Light damage by X2 for caster only.")</f>
        <v>Increases Astral and Light damage by X2 for caster only.</v>
      </c>
      <c r="F3" s="16" t="str">
        <f>IFERROR(__xludf.DUMMYFUNCTION("""COMPUTED_VALUE"""),"Fail/succeed")</f>
        <v>Fail/succeed</v>
      </c>
      <c r="G3" s="16"/>
      <c r="H3" s="16" t="str">
        <f>IFERROR(__xludf.DUMMYFUNCTION("""COMPUTED_VALUE"""),"Astral")</f>
        <v>Astral</v>
      </c>
      <c r="J3" s="93" t="s">
        <v>219</v>
      </c>
    </row>
    <row r="4">
      <c r="A4" s="16" t="str">
        <f>IFERROR(__xludf.DUMMYFUNCTION("""COMPUTED_VALUE"""),"Black Hole")</f>
        <v>Black Hole</v>
      </c>
      <c r="B4" s="16">
        <f>IFERROR(__xludf.DUMMYFUNCTION("""COMPUTED_VALUE"""),9.0)</f>
        <v>9</v>
      </c>
      <c r="C4" s="16">
        <f>IFERROR(__xludf.DUMMYFUNCTION("""COMPUTED_VALUE"""),1000.0)</f>
        <v>1000</v>
      </c>
      <c r="D4" s="16"/>
      <c r="E4" s="16" t="str">
        <f>IFERROR(__xludf.DUMMYFUNCTION("""COMPUTED_VALUE"""),"Summon a void that has a 100% chance of instant death to all enemies.")</f>
        <v>Summon a void that has a 100% chance of instant death to all enemies.</v>
      </c>
      <c r="F4" s="16" t="str">
        <f>IFERROR(__xludf.DUMMYFUNCTION("""COMPUTED_VALUE"""),"Cannot be avoided")</f>
        <v>Cannot be avoided</v>
      </c>
      <c r="G4" s="16"/>
      <c r="H4" s="16" t="str">
        <f>IFERROR(__xludf.DUMMYFUNCTION("""COMPUTED_VALUE"""),"Astral")</f>
        <v>Astral</v>
      </c>
      <c r="J4" s="93" t="s">
        <v>220</v>
      </c>
    </row>
    <row r="5">
      <c r="A5" s="16" t="str">
        <f>IFERROR(__xludf.DUMMYFUNCTION("""COMPUTED_VALUE"""),"Comet Shower")</f>
        <v>Comet Shower</v>
      </c>
      <c r="B5" s="16">
        <f>IFERROR(__xludf.DUMMYFUNCTION("""COMPUTED_VALUE"""),9.0)</f>
        <v>9</v>
      </c>
      <c r="C5" s="16" t="str">
        <f>IFERROR(__xludf.DUMMYFUNCTION("""COMPUTED_VALUE"""),"X")</f>
        <v>X</v>
      </c>
      <c r="D5" s="16"/>
      <c r="E5" s="16" t="str">
        <f>IFERROR(__xludf.DUMMYFUNCTION("""COMPUTED_VALUE"""),"X*15 Astral and X*15 Light damage to all enemies where X is equal to SP.")</f>
        <v>X*15 Astral and X*15 Light damage to all enemies where X is equal to SP.</v>
      </c>
      <c r="F5" s="16" t="str">
        <f>IFERROR(__xludf.DUMMYFUNCTION("""COMPUTED_VALUE"""),"Cannot be avoided")</f>
        <v>Cannot be avoided</v>
      </c>
      <c r="G5" s="16"/>
      <c r="H5" s="16" t="str">
        <f>IFERROR(__xludf.DUMMYFUNCTION("""COMPUTED_VALUE"""),"Astral")</f>
        <v>Astral</v>
      </c>
      <c r="J5" s="93" t="s">
        <v>221</v>
      </c>
    </row>
    <row r="6">
      <c r="A6" s="16" t="str">
        <f>IFERROR(__xludf.DUMMYFUNCTION("""COMPUTED_VALUE"""),"Constellation Strike")</f>
        <v>Constellation Strike</v>
      </c>
      <c r="B6" s="16">
        <f>IFERROR(__xludf.DUMMYFUNCTION("""COMPUTED_VALUE"""),5.0)</f>
        <v>5</v>
      </c>
      <c r="C6" s="16">
        <f>IFERROR(__xludf.DUMMYFUNCTION("""COMPUTED_VALUE"""),1100.0)</f>
        <v>1100</v>
      </c>
      <c r="D6" s="16"/>
      <c r="E6" s="16" t="str">
        <f>IFERROR(__xludf.DUMMYFUNCTION("""COMPUTED_VALUE"""),"25000 Astral dmg + 25000 light dmg, increases Astral damage by X2 for caster only.")</f>
        <v>25000 Astral dmg + 25000 light dmg, increases Astral damage by X2 for caster only.</v>
      </c>
      <c r="F6" s="16" t="str">
        <f>IFERROR(__xludf.DUMMYFUNCTION("""COMPUTED_VALUE"""),"Hit or Miss")</f>
        <v>Hit or Miss</v>
      </c>
      <c r="G6" s="16">
        <f>IFERROR(__xludf.DUMMYFUNCTION("""COMPUTED_VALUE"""),1.0)</f>
        <v>1</v>
      </c>
      <c r="H6" s="16" t="str">
        <f>IFERROR(__xludf.DUMMYFUNCTION("""COMPUTED_VALUE"""),"Astral")</f>
        <v>Astral</v>
      </c>
      <c r="J6" s="93" t="s">
        <v>222</v>
      </c>
    </row>
    <row r="7">
      <c r="A7" s="16" t="str">
        <f>IFERROR(__xludf.DUMMYFUNCTION("""COMPUTED_VALUE"""),"Moon Beam")</f>
        <v>Moon Beam</v>
      </c>
      <c r="B7" s="16">
        <f>IFERROR(__xludf.DUMMYFUNCTION("""COMPUTED_VALUE"""),9.0)</f>
        <v>9</v>
      </c>
      <c r="C7" s="16">
        <f>IFERROR(__xludf.DUMMYFUNCTION("""COMPUTED_VALUE"""),200.0)</f>
        <v>200</v>
      </c>
      <c r="D7" s="16"/>
      <c r="E7" s="16" t="str">
        <f>IFERROR(__xludf.DUMMYFUNCTION("""COMPUTED_VALUE"""),"Deals 10,000 Dark and 10,000 astral damage that enemies cannot resist or be immune to. However if the enemy is undead instead stuns them for 3 rounds.")</f>
        <v>Deals 10,000 Dark and 10,000 astral damage that enemies cannot resist or be immune to. However if the enemy is undead instead stuns them for 3 rounds.</v>
      </c>
      <c r="F7" s="16" t="str">
        <f>IFERROR(__xludf.DUMMYFUNCTION("""COMPUTED_VALUE"""),"Hit/Miss")</f>
        <v>Hit/Miss</v>
      </c>
      <c r="G7" s="16">
        <f>IFERROR(__xludf.DUMMYFUNCTION("""COMPUTED_VALUE"""),1.0)</f>
        <v>1</v>
      </c>
      <c r="H7" s="16" t="str">
        <f>IFERROR(__xludf.DUMMYFUNCTION("""COMPUTED_VALUE"""),"Astral")</f>
        <v>Astral</v>
      </c>
      <c r="J7" s="93" t="s">
        <v>223</v>
      </c>
    </row>
    <row r="8">
      <c r="A8" s="16" t="str">
        <f>IFERROR(__xludf.DUMMYFUNCTION("""COMPUTED_VALUE"""),"Moonlight Regen")</f>
        <v>Moonlight Regen</v>
      </c>
      <c r="B8" s="16">
        <f>IFERROR(__xludf.DUMMYFUNCTION("""COMPUTED_VALUE"""),9.0)</f>
        <v>9</v>
      </c>
      <c r="C8" s="16">
        <f>IFERROR(__xludf.DUMMYFUNCTION("""COMPUTED_VALUE"""),400.0)</f>
        <v>400</v>
      </c>
      <c r="D8" s="16"/>
      <c r="E8" s="16" t="str">
        <f>IFERROR(__xludf.DUMMYFUNCTION("""COMPUTED_VALUE"""),"If the field is bathed in moonlight, 1000hp and 1000sp to self and allies per round until the end of the battle. negates the need for darkvision for 3 rounds.")</f>
        <v>If the field is bathed in moonlight, 1000hp and 1000sp to self and allies per round until the end of the battle. negates the need for darkvision for 3 rounds.</v>
      </c>
      <c r="F8" s="16" t="str">
        <f>IFERROR(__xludf.DUMMYFUNCTION("""COMPUTED_VALUE"""),"Fail/Succeed")</f>
        <v>Fail/Succeed</v>
      </c>
      <c r="G8" s="16" t="str">
        <f>IFERROR(__xludf.DUMMYFUNCTION("""COMPUTED_VALUE"""),"All")</f>
        <v>All</v>
      </c>
      <c r="H8" s="16" t="str">
        <f>IFERROR(__xludf.DUMMYFUNCTION("""COMPUTED_VALUE"""),"Astral")</f>
        <v>Astral</v>
      </c>
      <c r="J8" s="93" t="s">
        <v>224</v>
      </c>
    </row>
    <row r="9">
      <c r="A9" s="16" t="str">
        <f>IFERROR(__xludf.DUMMYFUNCTION("""COMPUTED_VALUE"""),"Planetary Meteor Storm")</f>
        <v>Planetary Meteor Storm</v>
      </c>
      <c r="B9" s="16">
        <f>IFERROR(__xludf.DUMMYFUNCTION("""COMPUTED_VALUE"""),9.0)</f>
        <v>9</v>
      </c>
      <c r="C9" s="16" t="str">
        <f>IFERROR(__xludf.DUMMYFUNCTION("""COMPUTED_VALUE"""),"X")</f>
        <v>X</v>
      </c>
      <c r="D9" s="16"/>
      <c r="E9" s="16" t="str">
        <f>IFERROR(__xludf.DUMMYFUNCTION("""COMPUTED_VALUE"""),"X*15 Astral damage and X*15 Light damage to all enemies.")</f>
        <v>X*15 Astral damage and X*15 Light damage to all enemies.</v>
      </c>
      <c r="F9" s="16" t="str">
        <f>IFERROR(__xludf.DUMMYFUNCTION("""COMPUTED_VALUE"""),"Cannot be avoided")</f>
        <v>Cannot be avoided</v>
      </c>
      <c r="G9" s="16"/>
      <c r="H9" s="16" t="str">
        <f>IFERROR(__xludf.DUMMYFUNCTION("""COMPUTED_VALUE"""),"Astral")</f>
        <v>Astral</v>
      </c>
      <c r="J9" s="93"/>
    </row>
    <row r="10">
      <c r="A10" s="16" t="str">
        <f>IFERROR(__xludf.DUMMYFUNCTION("""COMPUTED_VALUE"""),"Protection of Stars.")</f>
        <v>Protection of Stars.</v>
      </c>
      <c r="B10" s="16">
        <f>IFERROR(__xludf.DUMMYFUNCTION("""COMPUTED_VALUE"""),4.0)</f>
        <v>4</v>
      </c>
      <c r="C10" s="16">
        <f>IFERROR(__xludf.DUMMYFUNCTION("""COMPUTED_VALUE"""),200.0)</f>
        <v>200</v>
      </c>
      <c r="D10" s="16"/>
      <c r="E10" s="16" t="str">
        <f>IFERROR(__xludf.DUMMYFUNCTION("""COMPUTED_VALUE"""),"X2 defense to self and any enemy who hits you for 3 rounds is inflicted with blindness 3, negates the need for darkvision for 5 rounds.")</f>
        <v>X2 defense to self and any enemy who hits you for 3 rounds is inflicted with blindness 3, negates the need for darkvision for 5 rounds.</v>
      </c>
      <c r="F10" s="16" t="str">
        <f>IFERROR(__xludf.DUMMYFUNCTION("""COMPUTED_VALUE"""),"Fail/Succeed")</f>
        <v>Fail/Succeed</v>
      </c>
      <c r="G10" s="16"/>
      <c r="H10" s="16" t="str">
        <f>IFERROR(__xludf.DUMMYFUNCTION("""COMPUTED_VALUE"""),"Astral")</f>
        <v>Astral</v>
      </c>
      <c r="J10" s="94"/>
    </row>
    <row r="11">
      <c r="A11" s="16" t="str">
        <f>IFERROR(__xludf.DUMMYFUNCTION("""COMPUTED_VALUE"""),"Star Storm")</f>
        <v>Star Storm</v>
      </c>
      <c r="B11" s="16">
        <f>IFERROR(__xludf.DUMMYFUNCTION("""COMPUTED_VALUE"""),1.0)</f>
        <v>1</v>
      </c>
      <c r="C11" s="16" t="str">
        <f>IFERROR(__xludf.DUMMYFUNCTION("""COMPUTED_VALUE"""),"X")</f>
        <v>X</v>
      </c>
      <c r="D11" s="16"/>
      <c r="E11" s="16" t="str">
        <f>IFERROR(__xludf.DUMMYFUNCTION("""COMPUTED_VALUE"""),"X*5 Ongoing Astral damage and X*5 Ongoing Light damage to all enemies where X is equal to SP spent. negates the need for darkvision for 3 rounds.")</f>
        <v>X*5 Ongoing Astral damage and X*5 Ongoing Light damage to all enemies where X is equal to SP spent. negates the need for darkvision for 3 rounds.</v>
      </c>
      <c r="F11" s="16" t="str">
        <f>IFERROR(__xludf.DUMMYFUNCTION("""COMPUTED_VALUE"""),"Fail/Succeed")</f>
        <v>Fail/Succeed</v>
      </c>
      <c r="G11" s="16"/>
      <c r="H11" s="16" t="str">
        <f>IFERROR(__xludf.DUMMYFUNCTION("""COMPUTED_VALUE"""),"Astral")</f>
        <v>Astral</v>
      </c>
      <c r="J11" s="94"/>
    </row>
    <row r="12">
      <c r="A12" s="16" t="str">
        <f>IFERROR(__xludf.DUMMYFUNCTION("""COMPUTED_VALUE"""),"Sunny Day")</f>
        <v>Sunny Day</v>
      </c>
      <c r="B12" s="16">
        <f>IFERROR(__xludf.DUMMYFUNCTION("""COMPUTED_VALUE"""),9.0)</f>
        <v>9</v>
      </c>
      <c r="C12" s="16">
        <f>IFERROR(__xludf.DUMMYFUNCTION("""COMPUTED_VALUE"""),20000.0)</f>
        <v>20000</v>
      </c>
      <c r="D12" s="16"/>
      <c r="E12" s="16" t="str">
        <f>IFERROR(__xludf.DUMMYFUNCTION("""COMPUTED_VALUE"""),"Summons a miniature sun, the target is forced to look at the sun for the next three rounds, reducing their stats by ½ except constitution and dealing 36000 Light and 36,000 Fire damage p/r for 3 rounds. (nullifies all abilities that require darkness or da"&amp;"rkness related field effects), negates the need for darkvision for 5 rounds.")</f>
        <v>Summons a miniature sun, the target is forced to look at the sun for the next three rounds, reducing their stats by ½ except constitution and dealing 36000 Light and 36,000 Fire damage p/r for 3 rounds. (nullifies all abilities that require darkness or darkness related field effects), negates the need for darkvision for 5 rounds.</v>
      </c>
      <c r="F12" s="16" t="str">
        <f>IFERROR(__xludf.DUMMYFUNCTION("""COMPUTED_VALUE"""),"Fail/Succeed")</f>
        <v>Fail/Succeed</v>
      </c>
      <c r="G12" s="16"/>
      <c r="H12" s="16" t="str">
        <f>IFERROR(__xludf.DUMMYFUNCTION("""COMPUTED_VALUE"""),"Astral")</f>
        <v>Astral</v>
      </c>
      <c r="J12" s="94"/>
    </row>
    <row r="13">
      <c r="A13" s="16" t="str">
        <f>IFERROR(__xludf.DUMMYFUNCTION("""COMPUTED_VALUE"""),"Tower of The Universe")</f>
        <v>Tower of The Universe</v>
      </c>
      <c r="B13" s="16">
        <f>IFERROR(__xludf.DUMMYFUNCTION("""COMPUTED_VALUE"""),8.0)</f>
        <v>8</v>
      </c>
      <c r="C13" s="16">
        <f>IFERROR(__xludf.DUMMYFUNCTION("""COMPUTED_VALUE"""),1200.0)</f>
        <v>1200</v>
      </c>
      <c r="D13" s="16"/>
      <c r="E13" s="16" t="str">
        <f>IFERROR(__xludf.DUMMYFUNCTION("""COMPUTED_VALUE"""),"Forms a tower that appears in the sky and shoots a giant beam of Astral energy from the towers eye dealing 42000 Astral, Dark, and Light damage. Negates the need for darkvision for 5 rounds.")</f>
        <v>Forms a tower that appears in the sky and shoots a giant beam of Astral energy from the towers eye dealing 42000 Astral, Dark, and Light damage. Negates the need for darkvision for 5 rounds.</v>
      </c>
      <c r="F13" s="16" t="str">
        <f>IFERROR(__xludf.DUMMYFUNCTION("""COMPUTED_VALUE"""),"Hit/miss")</f>
        <v>Hit/miss</v>
      </c>
      <c r="G13" s="16">
        <f>IFERROR(__xludf.DUMMYFUNCTION("""COMPUTED_VALUE"""),1.0)</f>
        <v>1</v>
      </c>
      <c r="H13" s="16" t="str">
        <f>IFERROR(__xludf.DUMMYFUNCTION("""COMPUTED_VALUE"""),"Astral")</f>
        <v>Astral</v>
      </c>
      <c r="J13" s="94"/>
    </row>
    <row r="14">
      <c r="A14" s="16" t="str">
        <f>IFERROR(__xludf.DUMMYFUNCTION("""COMPUTED_VALUE"""),"A Worthy Sacrifice")</f>
        <v>A Worthy Sacrifice</v>
      </c>
      <c r="B14" s="16">
        <f>IFERROR(__xludf.DUMMYFUNCTION("""COMPUTED_VALUE"""),9.0)</f>
        <v>9</v>
      </c>
      <c r="C14" s="16"/>
      <c r="D14" s="16" t="str">
        <f>IFERROR(__xludf.DUMMYFUNCTION("""COMPUTED_VALUE"""),"All")</f>
        <v>All</v>
      </c>
      <c r="E14" s="16" t="str">
        <f>IFERROR(__xludf.DUMMYFUNCTION("""COMPUTED_VALUE"""),"Revive all allies by completely depleting your own hp, Cannot resist or be immune to.")</f>
        <v>Revive all allies by completely depleting your own hp, Cannot resist or be immune to.</v>
      </c>
      <c r="F14" s="16" t="str">
        <f>IFERROR(__xludf.DUMMYFUNCTION("""COMPUTED_VALUE"""),"Will Succeed")</f>
        <v>Will Succeed</v>
      </c>
      <c r="G14" s="16"/>
      <c r="H14" s="16" t="str">
        <f>IFERROR(__xludf.DUMMYFUNCTION("""COMPUTED_VALUE"""),"Blood")</f>
        <v>Blood</v>
      </c>
      <c r="J14" s="94"/>
    </row>
    <row r="15">
      <c r="A15" s="16" t="str">
        <f>IFERROR(__xludf.DUMMYFUNCTION("""COMPUTED_VALUE"""),"Absorb Life")</f>
        <v>Absorb Life</v>
      </c>
      <c r="B15" s="16">
        <f>IFERROR(__xludf.DUMMYFUNCTION("""COMPUTED_VALUE"""),1.0)</f>
        <v>1</v>
      </c>
      <c r="C15" s="16"/>
      <c r="D15" s="16">
        <f>IFERROR(__xludf.DUMMYFUNCTION("""COMPUTED_VALUE"""),0.0)</f>
        <v>0</v>
      </c>
      <c r="E15" s="16" t="str">
        <f>IFERROR(__xludf.DUMMYFUNCTION("""COMPUTED_VALUE"""),"Drain X*2 HP from 1 target, where X is equal to your accuracy.")</f>
        <v>Drain X*2 HP from 1 target, where X is equal to your accuracy.</v>
      </c>
      <c r="F15" s="16" t="str">
        <f>IFERROR(__xludf.DUMMYFUNCTION("""COMPUTED_VALUE"""),"Natural/ Hit or Miss")</f>
        <v>Natural/ Hit or Miss</v>
      </c>
      <c r="G15" s="16">
        <f>IFERROR(__xludf.DUMMYFUNCTION("""COMPUTED_VALUE"""),1.0)</f>
        <v>1</v>
      </c>
      <c r="H15" s="16" t="str">
        <f>IFERROR(__xludf.DUMMYFUNCTION("""COMPUTED_VALUE"""),"Blood")</f>
        <v>Blood</v>
      </c>
      <c r="J15" s="93"/>
    </row>
    <row r="16">
      <c r="A16" s="16" t="str">
        <f>IFERROR(__xludf.DUMMYFUNCTION("""COMPUTED_VALUE"""),"Absorbing Blood")</f>
        <v>Absorbing Blood</v>
      </c>
      <c r="B16" s="16">
        <f>IFERROR(__xludf.DUMMYFUNCTION("""COMPUTED_VALUE"""),9.0)</f>
        <v>9</v>
      </c>
      <c r="C16" s="16"/>
      <c r="D16" s="16">
        <f>IFERROR(__xludf.DUMMYFUNCTION("""COMPUTED_VALUE"""),300.0)</f>
        <v>300</v>
      </c>
      <c r="E16" s="16" t="str">
        <f>IFERROR(__xludf.DUMMYFUNCTION("""COMPUTED_VALUE"""),"Deal 20000 Blood damage to one target. If the target is killed, user is healed by target’s Max HP*2.
If the enemy is killed, skip loot roll.")</f>
        <v>Deal 20000 Blood damage to one target. If the target is killed, user is healed by target’s Max HP*2.
If the enemy is killed, skip loot roll.</v>
      </c>
      <c r="F16" s="16" t="str">
        <f>IFERROR(__xludf.DUMMYFUNCTION("""COMPUTED_VALUE"""),"Hit/Miss")</f>
        <v>Hit/Miss</v>
      </c>
      <c r="G16" s="16">
        <f>IFERROR(__xludf.DUMMYFUNCTION("""COMPUTED_VALUE"""),1.0)</f>
        <v>1</v>
      </c>
      <c r="H16" s="16" t="str">
        <f>IFERROR(__xludf.DUMMYFUNCTION("""COMPUTED_VALUE"""),"Blood")</f>
        <v>Blood</v>
      </c>
      <c r="J16" s="94"/>
    </row>
    <row r="17">
      <c r="A17" s="16" t="str">
        <f>IFERROR(__xludf.DUMMYFUNCTION("""COMPUTED_VALUE"""),"Atrophy")</f>
        <v>Atrophy</v>
      </c>
      <c r="B17" s="16">
        <f>IFERROR(__xludf.DUMMYFUNCTION("""COMPUTED_VALUE"""),5.0)</f>
        <v>5</v>
      </c>
      <c r="C17" s="16"/>
      <c r="D17" s="16" t="str">
        <f>IFERROR(__xludf.DUMMYFUNCTION("""COMPUTED_VALUE"""),"X")</f>
        <v>X</v>
      </c>
      <c r="E17" s="16" t="str">
        <f>IFERROR(__xludf.DUMMYFUNCTION("""COMPUTED_VALUE"""),"Deals X*50 Bleed for 3 rounds to a single target where X is equal to HP spent.")</f>
        <v>Deals X*50 Bleed for 3 rounds to a single target where X is equal to HP spent.</v>
      </c>
      <c r="F17" s="16" t="str">
        <f>IFERROR(__xludf.DUMMYFUNCTION("""COMPUTED_VALUE"""),"Hit/Miss")</f>
        <v>Hit/Miss</v>
      </c>
      <c r="G17" s="16">
        <f>IFERROR(__xludf.DUMMYFUNCTION("""COMPUTED_VALUE"""),1.0)</f>
        <v>1</v>
      </c>
      <c r="H17" s="16" t="str">
        <f>IFERROR(__xludf.DUMMYFUNCTION("""COMPUTED_VALUE"""),"Blood")</f>
        <v>Blood</v>
      </c>
      <c r="J17" s="94"/>
    </row>
    <row r="18">
      <c r="A18" s="16" t="str">
        <f>IFERROR(__xludf.DUMMYFUNCTION("""COMPUTED_VALUE"""),"Bleeding Catastrophe")</f>
        <v>Bleeding Catastrophe</v>
      </c>
      <c r="B18" s="16">
        <f>IFERROR(__xludf.DUMMYFUNCTION("""COMPUTED_VALUE"""),9.0)</f>
        <v>9</v>
      </c>
      <c r="C18" s="16"/>
      <c r="D18" s="16">
        <f>IFERROR(__xludf.DUMMYFUNCTION("""COMPUTED_VALUE"""),300.0)</f>
        <v>300</v>
      </c>
      <c r="E18" s="16" t="str">
        <f>IFERROR(__xludf.DUMMYFUNCTION("""COMPUTED_VALUE"""),"An equipped weapon will deal an additional X2 bleeding damage per round for 3 rounds.")</f>
        <v>An equipped weapon will deal an additional X2 bleeding damage per round for 3 rounds.</v>
      </c>
      <c r="F18" s="16" t="str">
        <f>IFERROR(__xludf.DUMMYFUNCTION("""COMPUTED_VALUE"""),"Will Succeed")</f>
        <v>Will Succeed</v>
      </c>
      <c r="G18" s="16"/>
      <c r="H18" s="16" t="str">
        <f>IFERROR(__xludf.DUMMYFUNCTION("""COMPUTED_VALUE"""),"Blood")</f>
        <v>Blood</v>
      </c>
      <c r="J18" s="94"/>
    </row>
    <row r="19">
      <c r="A19" s="16" t="str">
        <f>IFERROR(__xludf.DUMMYFUNCTION("""COMPUTED_VALUE"""),"Blood Barrage")</f>
        <v>Blood Barrage</v>
      </c>
      <c r="B19" s="16">
        <f>IFERROR(__xludf.DUMMYFUNCTION("""COMPUTED_VALUE"""),6.0)</f>
        <v>6</v>
      </c>
      <c r="C19" s="16"/>
      <c r="D19" s="16" t="str">
        <f>IFERROR(__xludf.DUMMYFUNCTION("""COMPUTED_VALUE"""),"1d20*10")</f>
        <v>1d20*10</v>
      </c>
      <c r="E19" s="16" t="str">
        <f>IFERROR(__xludf.DUMMYFUNCTION("""COMPUTED_VALUE"""),"Drains 1d20*1000 HP.")</f>
        <v>Drains 1d20*1000 HP.</v>
      </c>
      <c r="F19" s="16" t="str">
        <f>IFERROR(__xludf.DUMMYFUNCTION("""COMPUTED_VALUE"""),"Hit/Miss")</f>
        <v>Hit/Miss</v>
      </c>
      <c r="G19" s="16">
        <f>IFERROR(__xludf.DUMMYFUNCTION("""COMPUTED_VALUE"""),1.0)</f>
        <v>1</v>
      </c>
      <c r="H19" s="16" t="str">
        <f>IFERROR(__xludf.DUMMYFUNCTION("""COMPUTED_VALUE"""),"Blood")</f>
        <v>Blood</v>
      </c>
      <c r="J19" s="94"/>
    </row>
    <row r="20">
      <c r="A20" s="16" t="str">
        <f>IFERROR(__xludf.DUMMYFUNCTION("""COMPUTED_VALUE"""),"Blood Bolt")</f>
        <v>Blood Bolt</v>
      </c>
      <c r="B20" s="16">
        <f>IFERROR(__xludf.DUMMYFUNCTION("""COMPUTED_VALUE"""),1.0)</f>
        <v>1</v>
      </c>
      <c r="C20" s="16"/>
      <c r="D20" s="16" t="str">
        <f>IFERROR(__xludf.DUMMYFUNCTION("""COMPUTED_VALUE"""),"X")</f>
        <v>X</v>
      </c>
      <c r="E20" s="16" t="str">
        <f>IFERROR(__xludf.DUMMYFUNCTION("""COMPUTED_VALUE"""),"Deals X*100 Blood damage to a single enemy where X is equal to HP spent.")</f>
        <v>Deals X*100 Blood damage to a single enemy where X is equal to HP spent.</v>
      </c>
      <c r="F20" s="16" t="str">
        <f>IFERROR(__xludf.DUMMYFUNCTION("""COMPUTED_VALUE"""),"Hit/Miss")</f>
        <v>Hit/Miss</v>
      </c>
      <c r="G20" s="16">
        <f>IFERROR(__xludf.DUMMYFUNCTION("""COMPUTED_VALUE"""),1.0)</f>
        <v>1</v>
      </c>
      <c r="H20" s="16" t="str">
        <f>IFERROR(__xludf.DUMMYFUNCTION("""COMPUTED_VALUE"""),"Blood")</f>
        <v>Blood</v>
      </c>
      <c r="J20" s="94"/>
    </row>
    <row r="21">
      <c r="A21" s="16" t="str">
        <f>IFERROR(__xludf.DUMMYFUNCTION("""COMPUTED_VALUE"""),"Blood Fire")</f>
        <v>Blood Fire</v>
      </c>
      <c r="B21" s="16">
        <f>IFERROR(__xludf.DUMMYFUNCTION("""COMPUTED_VALUE"""),5.0)</f>
        <v>5</v>
      </c>
      <c r="C21" s="16"/>
      <c r="D21" s="16" t="str">
        <f>IFERROR(__xludf.DUMMYFUNCTION("""COMPUTED_VALUE"""),"X")</f>
        <v>X</v>
      </c>
      <c r="E21" s="16" t="str">
        <f>IFERROR(__xludf.DUMMYFUNCTION("""COMPUTED_VALUE"""),"X*50 Blood and X*50 Fire Damage where X is equal to HP spent.")</f>
        <v>X*50 Blood and X*50 Fire Damage where X is equal to HP spent.</v>
      </c>
      <c r="F21" s="16" t="str">
        <f>IFERROR(__xludf.DUMMYFUNCTION("""COMPUTED_VALUE"""),"Hit/Miss")</f>
        <v>Hit/Miss</v>
      </c>
      <c r="G21" s="16">
        <f>IFERROR(__xludf.DUMMYFUNCTION("""COMPUTED_VALUE"""),1.0)</f>
        <v>1</v>
      </c>
      <c r="H21" s="16" t="str">
        <f>IFERROR(__xludf.DUMMYFUNCTION("""COMPUTED_VALUE"""),"Blood")</f>
        <v>Blood</v>
      </c>
      <c r="J21" s="94"/>
    </row>
    <row r="22">
      <c r="A22" s="16" t="str">
        <f>IFERROR(__xludf.DUMMYFUNCTION("""COMPUTED_VALUE"""),"Blood Geyser")</f>
        <v>Blood Geyser</v>
      </c>
      <c r="B22" s="16">
        <f>IFERROR(__xludf.DUMMYFUNCTION("""COMPUTED_VALUE"""),7.0)</f>
        <v>7</v>
      </c>
      <c r="C22" s="16"/>
      <c r="D22" s="16">
        <f>IFERROR(__xludf.DUMMYFUNCTION("""COMPUTED_VALUE"""),600.0)</f>
        <v>600</v>
      </c>
      <c r="E22" s="16" t="str">
        <f>IFERROR(__xludf.DUMMYFUNCTION("""COMPUTED_VALUE"""),"Drain 8000 HP from all enemies, if a target is defeated by this power Drain an additional 8000 HP from those targets.")</f>
        <v>Drain 8000 HP from all enemies, if a target is defeated by this power Drain an additional 8000 HP from those targets.</v>
      </c>
      <c r="F22" s="16" t="str">
        <f>IFERROR(__xludf.DUMMYFUNCTION("""COMPUTED_VALUE"""),"Cannot Avoid")</f>
        <v>Cannot Avoid</v>
      </c>
      <c r="G22" s="16"/>
      <c r="H22" s="16" t="str">
        <f>IFERROR(__xludf.DUMMYFUNCTION("""COMPUTED_VALUE"""),"Blood")</f>
        <v>Blood</v>
      </c>
      <c r="J22" s="94"/>
    </row>
    <row r="23">
      <c r="A23" s="16" t="str">
        <f>IFERROR(__xludf.DUMMYFUNCTION("""COMPUTED_VALUE"""),"Blood Rejuvenation")</f>
        <v>Blood Rejuvenation</v>
      </c>
      <c r="B23" s="16">
        <f>IFERROR(__xludf.DUMMYFUNCTION("""COMPUTED_VALUE"""),5.0)</f>
        <v>5</v>
      </c>
      <c r="C23" s="16"/>
      <c r="D23" s="16" t="str">
        <f>IFERROR(__xludf.DUMMYFUNCTION("""COMPUTED_VALUE"""),"X")</f>
        <v>X</v>
      </c>
      <c r="E23" s="16" t="str">
        <f>IFERROR(__xludf.DUMMYFUNCTION("""COMPUTED_VALUE"""),"Restores X*50 HP to target for 3 rounds. Cannot be used on self")</f>
        <v>Restores X*50 HP to target for 3 rounds. Cannot be used on self</v>
      </c>
      <c r="F23" s="16" t="str">
        <f>IFERROR(__xludf.DUMMYFUNCTION("""COMPUTED_VALUE"""),"Fail/Succeed")</f>
        <v>Fail/Succeed</v>
      </c>
      <c r="G23" s="16"/>
      <c r="H23" s="16" t="str">
        <f>IFERROR(__xludf.DUMMYFUNCTION("""COMPUTED_VALUE"""),"Blood")</f>
        <v>Blood</v>
      </c>
      <c r="J23" s="94"/>
    </row>
    <row r="24">
      <c r="A24" s="16" t="str">
        <f>IFERROR(__xludf.DUMMYFUNCTION("""COMPUTED_VALUE"""),"Blood Siphon")</f>
        <v>Blood Siphon</v>
      </c>
      <c r="B24" s="16">
        <f>IFERROR(__xludf.DUMMYFUNCTION("""COMPUTED_VALUE"""),5.0)</f>
        <v>5</v>
      </c>
      <c r="C24" s="16"/>
      <c r="D24" s="16" t="str">
        <f>IFERROR(__xludf.DUMMYFUNCTION("""COMPUTED_VALUE"""),"X")</f>
        <v>X</v>
      </c>
      <c r="E24" s="16" t="str">
        <f>IFERROR(__xludf.DUMMYFUNCTION("""COMPUTED_VALUE"""),"Drain X*100 HP from target where X is equal to HP spent.")</f>
        <v>Drain X*100 HP from target where X is equal to HP spent.</v>
      </c>
      <c r="F24" s="16" t="str">
        <f>IFERROR(__xludf.DUMMYFUNCTION("""COMPUTED_VALUE"""),"Hit/Miss")</f>
        <v>Hit/Miss</v>
      </c>
      <c r="G24" s="16"/>
      <c r="H24" s="16" t="str">
        <f>IFERROR(__xludf.DUMMYFUNCTION("""COMPUTED_VALUE"""),"Blood")</f>
        <v>Blood</v>
      </c>
      <c r="J24" s="94"/>
    </row>
    <row r="25">
      <c r="A25" s="16" t="str">
        <f>IFERROR(__xludf.DUMMYFUNCTION("""COMPUTED_VALUE"""),"Blood Spray")</f>
        <v>Blood Spray</v>
      </c>
      <c r="B25" s="16">
        <f>IFERROR(__xludf.DUMMYFUNCTION("""COMPUTED_VALUE"""),5.0)</f>
        <v>5</v>
      </c>
      <c r="C25" s="16"/>
      <c r="D25" s="16" t="str">
        <f>IFERROR(__xludf.DUMMYFUNCTION("""COMPUTED_VALUE"""),"X")</f>
        <v>X</v>
      </c>
      <c r="E25" s="16" t="str">
        <f>IFERROR(__xludf.DUMMYFUNCTION("""COMPUTED_VALUE"""),"Deals X*25 Blood damage to all enemies where X is equal to HP spent.")</f>
        <v>Deals X*25 Blood damage to all enemies where X is equal to HP spent.</v>
      </c>
      <c r="F25" s="16" t="str">
        <f>IFERROR(__xludf.DUMMYFUNCTION("""COMPUTED_VALUE"""),"Cannot Avoid")</f>
        <v>Cannot Avoid</v>
      </c>
      <c r="G25" s="16" t="str">
        <f>IFERROR(__xludf.DUMMYFUNCTION("""COMPUTED_VALUE"""),"All")</f>
        <v>All</v>
      </c>
      <c r="H25" s="16" t="str">
        <f>IFERROR(__xludf.DUMMYFUNCTION("""COMPUTED_VALUE"""),"Blood")</f>
        <v>Blood</v>
      </c>
      <c r="J25" s="94"/>
    </row>
    <row r="26">
      <c r="A26" s="16" t="str">
        <f>IFERROR(__xludf.DUMMYFUNCTION("""COMPUTED_VALUE"""),"Blood Transfusion")</f>
        <v>Blood Transfusion</v>
      </c>
      <c r="B26" s="16">
        <f>IFERROR(__xludf.DUMMYFUNCTION("""COMPUTED_VALUE"""),4.0)</f>
        <v>4</v>
      </c>
      <c r="C26" s="16"/>
      <c r="D26" s="16" t="str">
        <f>IFERROR(__xludf.DUMMYFUNCTION("""COMPUTED_VALUE"""),"d100")</f>
        <v>d100</v>
      </c>
      <c r="E26" s="16" t="str">
        <f>IFERROR(__xludf.DUMMYFUNCTION("""COMPUTED_VALUE"""),"Cure ally of already owned status effects. Cost is d100. If the caster has any status effects, they are transferred to the target.")</f>
        <v>Cure ally of already owned status effects. Cost is d100. If the caster has any status effects, they are transferred to the target.</v>
      </c>
      <c r="F26" s="16" t="str">
        <f>IFERROR(__xludf.DUMMYFUNCTION("""COMPUTED_VALUE"""),"Fail/Succeed")</f>
        <v>Fail/Succeed</v>
      </c>
      <c r="G26" s="16"/>
      <c r="H26" s="16" t="str">
        <f>IFERROR(__xludf.DUMMYFUNCTION("""COMPUTED_VALUE"""),"Blood")</f>
        <v>Blood</v>
      </c>
      <c r="J26" s="94"/>
    </row>
    <row r="27">
      <c r="A27" s="16" t="str">
        <f>IFERROR(__xludf.DUMMYFUNCTION("""COMPUTED_VALUE"""),"Bloody Alliance")</f>
        <v>Bloody Alliance</v>
      </c>
      <c r="B27" s="16">
        <f>IFERROR(__xludf.DUMMYFUNCTION("""COMPUTED_VALUE"""),9.0)</f>
        <v>9</v>
      </c>
      <c r="C27" s="16"/>
      <c r="D27" s="16" t="str">
        <f>IFERROR(__xludf.DUMMYFUNCTION("""COMPUTED_VALUE"""),"X*1000")</f>
        <v>X*1000</v>
      </c>
      <c r="E27" s="16" t="str">
        <f>IFERROR(__xludf.DUMMYFUNCTION("""COMPUTED_VALUE"""),"Select up to 3 target's to gain SP equal to the damage you take from the next incoming attack.")</f>
        <v>Select up to 3 target's to gain SP equal to the damage you take from the next incoming attack.</v>
      </c>
      <c r="F27" s="16" t="str">
        <f>IFERROR(__xludf.DUMMYFUNCTION("""COMPUTED_VALUE"""),"Fail/Succeed")</f>
        <v>Fail/Succeed</v>
      </c>
      <c r="G27" s="16" t="str">
        <f>IFERROR(__xludf.DUMMYFUNCTION("""COMPUTED_VALUE"""),"X")</f>
        <v>X</v>
      </c>
      <c r="H27" s="16" t="str">
        <f>IFERROR(__xludf.DUMMYFUNCTION("""COMPUTED_VALUE"""),"Blood")</f>
        <v>Blood</v>
      </c>
      <c r="J27" s="94"/>
    </row>
    <row r="28">
      <c r="A28" s="16" t="str">
        <f>IFERROR(__xludf.DUMMYFUNCTION("""COMPUTED_VALUE"""),"Bloody Knuckles")</f>
        <v>Bloody Knuckles</v>
      </c>
      <c r="B28" s="16">
        <f>IFERROR(__xludf.DUMMYFUNCTION("""COMPUTED_VALUE"""),4.0)</f>
        <v>4</v>
      </c>
      <c r="C28" s="16"/>
      <c r="D28" s="16">
        <f>IFERROR(__xludf.DUMMYFUNCTION("""COMPUTED_VALUE"""),40.0)</f>
        <v>40</v>
      </c>
      <c r="E28" s="16" t="str">
        <f>IFERROR(__xludf.DUMMYFUNCTION("""COMPUTED_VALUE"""),"X2 additional bleeding damage for weapons and spells.")</f>
        <v>X2 additional bleeding damage for weapons and spells.</v>
      </c>
      <c r="F28" s="16" t="str">
        <f>IFERROR(__xludf.DUMMYFUNCTION("""COMPUTED_VALUE"""),"Fail/Succeed")</f>
        <v>Fail/Succeed</v>
      </c>
      <c r="G28" s="16"/>
      <c r="H28" s="16" t="str">
        <f>IFERROR(__xludf.DUMMYFUNCTION("""COMPUTED_VALUE"""),"Blood")</f>
        <v>Blood</v>
      </c>
      <c r="J28" s="94"/>
    </row>
    <row r="29">
      <c r="A29" s="16" t="str">
        <f>IFERROR(__xludf.DUMMYFUNCTION("""COMPUTED_VALUE"""),"Callous Sacrifice")</f>
        <v>Callous Sacrifice</v>
      </c>
      <c r="B29" s="16">
        <f>IFERROR(__xludf.DUMMYFUNCTION("""COMPUTED_VALUE"""),8.0)</f>
        <v>8</v>
      </c>
      <c r="C29" s="16" t="str">
        <f>IFERROR(__xludf.DUMMYFUNCTION("""COMPUTED_VALUE"""),"X*300")</f>
        <v>X*300</v>
      </c>
      <c r="D29" s="16">
        <f>IFERROR(__xludf.DUMMYFUNCTION("""COMPUTED_VALUE"""),200.0)</f>
        <v>200</v>
      </c>
      <c r="E29" s="16" t="str">
        <f>IFERROR(__xludf.DUMMYFUNCTION("""COMPUTED_VALUE"""),"Sacrifice a party member. All enemies take 6* sacrificed party member’s Max HP.")</f>
        <v>Sacrifice a party member. All enemies take 6* sacrificed party member’s Max HP.</v>
      </c>
      <c r="F29" s="16" t="str">
        <f>IFERROR(__xludf.DUMMYFUNCTION("""COMPUTED_VALUE"""),"Fail/Succeed")</f>
        <v>Fail/Succeed</v>
      </c>
      <c r="G29" s="16"/>
      <c r="H29" s="16" t="str">
        <f>IFERROR(__xludf.DUMMYFUNCTION("""COMPUTED_VALUE"""),"Blood")</f>
        <v>Blood</v>
      </c>
      <c r="J29" s="94"/>
    </row>
    <row r="30">
      <c r="A30" s="16" t="str">
        <f>IFERROR(__xludf.DUMMYFUNCTION("""COMPUTED_VALUE"""),"Damage With A Cost.")</f>
        <v>Damage With A Cost.</v>
      </c>
      <c r="B30" s="16">
        <f>IFERROR(__xludf.DUMMYFUNCTION("""COMPUTED_VALUE"""),9.0)</f>
        <v>9</v>
      </c>
      <c r="C30" s="16"/>
      <c r="D30" s="16">
        <f>IFERROR(__xludf.DUMMYFUNCTION("""COMPUTED_VALUE"""),1000.0)</f>
        <v>1000</v>
      </c>
      <c r="E30" s="16" t="str">
        <f>IFERROR(__xludf.DUMMYFUNCTION("""COMPUTED_VALUE"""),"For 3 rounds enemies will take the same amount of damage you or your allies take.")</f>
        <v>For 3 rounds enemies will take the same amount of damage you or your allies take.</v>
      </c>
      <c r="F30" s="16" t="str">
        <f>IFERROR(__xludf.DUMMYFUNCTION("""COMPUTED_VALUE"""),"Fail/Succeed")</f>
        <v>Fail/Succeed</v>
      </c>
      <c r="G30" s="16"/>
      <c r="H30" s="16" t="str">
        <f>IFERROR(__xludf.DUMMYFUNCTION("""COMPUTED_VALUE"""),"Blood")</f>
        <v>Blood</v>
      </c>
      <c r="J30" s="94"/>
    </row>
    <row r="31">
      <c r="A31" s="16" t="str">
        <f>IFERROR(__xludf.DUMMYFUNCTION("""COMPUTED_VALUE"""),"Mass Blood Control")</f>
        <v>Mass Blood Control</v>
      </c>
      <c r="B31" s="16">
        <f>IFERROR(__xludf.DUMMYFUNCTION("""COMPUTED_VALUE"""),6.0)</f>
        <v>6</v>
      </c>
      <c r="C31" s="16"/>
      <c r="D31" s="16" t="str">
        <f>IFERROR(__xludf.DUMMYFUNCTION("""COMPUTED_VALUE"""),"X")</f>
        <v>X</v>
      </c>
      <c r="E31" s="16" t="str">
        <f>IFERROR(__xludf.DUMMYFUNCTION("""COMPUTED_VALUE"""),"Deals X*10 Bleed to all enemies for 3 rounds where X is equal to HP spent.")</f>
        <v>Deals X*10 Bleed to all enemies for 3 rounds where X is equal to HP spent.</v>
      </c>
      <c r="F31" s="16" t="str">
        <f>IFERROR(__xludf.DUMMYFUNCTION("""COMPUTED_VALUE"""),"Cannot Avoid")</f>
        <v>Cannot Avoid</v>
      </c>
      <c r="G31" s="16" t="str">
        <f>IFERROR(__xludf.DUMMYFUNCTION("""COMPUTED_VALUE"""),"All")</f>
        <v>All</v>
      </c>
      <c r="H31" s="16" t="str">
        <f>IFERROR(__xludf.DUMMYFUNCTION("""COMPUTED_VALUE"""),"Blood")</f>
        <v>Blood</v>
      </c>
      <c r="J31" s="94"/>
    </row>
    <row r="32">
      <c r="A32" s="16" t="str">
        <f>IFERROR(__xludf.DUMMYFUNCTION("""COMPUTED_VALUE"""),"One For Another")</f>
        <v>One For Another</v>
      </c>
      <c r="B32" s="16">
        <f>IFERROR(__xludf.DUMMYFUNCTION("""COMPUTED_VALUE"""),6.0)</f>
        <v>6</v>
      </c>
      <c r="C32" s="16"/>
      <c r="D32" s="16" t="str">
        <f>IFERROR(__xludf.DUMMYFUNCTION("""COMPUTED_VALUE"""),"X")</f>
        <v>X</v>
      </c>
      <c r="E32" s="16" t="str">
        <f>IFERROR(__xludf.DUMMYFUNCTION("""COMPUTED_VALUE"""),"Drain all but 1HP from a party member to Drain all but 1HP from 1 enemy.")</f>
        <v>Drain all but 1HP from a party member to Drain all but 1HP from 1 enemy.</v>
      </c>
      <c r="F32" s="16" t="str">
        <f>IFERROR(__xludf.DUMMYFUNCTION("""COMPUTED_VALUE"""),"Hit/Miss")</f>
        <v>Hit/Miss</v>
      </c>
      <c r="G32" s="16">
        <f>IFERROR(__xludf.DUMMYFUNCTION("""COMPUTED_VALUE"""),1.0)</f>
        <v>1</v>
      </c>
      <c r="H32" s="16" t="str">
        <f>IFERROR(__xludf.DUMMYFUNCTION("""COMPUTED_VALUE"""),"Blood")</f>
        <v>Blood</v>
      </c>
      <c r="J32" s="94"/>
    </row>
    <row r="33">
      <c r="A33" s="16" t="str">
        <f>IFERROR(__xludf.DUMMYFUNCTION("""COMPUTED_VALUE"""),"Purified Blood")</f>
        <v>Purified Blood</v>
      </c>
      <c r="B33" s="16">
        <f>IFERROR(__xludf.DUMMYFUNCTION("""COMPUTED_VALUE"""),6.0)</f>
        <v>6</v>
      </c>
      <c r="C33" s="16"/>
      <c r="D33" s="16">
        <f>IFERROR(__xludf.DUMMYFUNCTION("""COMPUTED_VALUE"""),60.0)</f>
        <v>60</v>
      </c>
      <c r="E33" s="16" t="str">
        <f>IFERROR(__xludf.DUMMYFUNCTION("""COMPUTED_VALUE"""),"Cure a target of the Bleed effect, or drain 10,000 health from an undead creature.")</f>
        <v>Cure a target of the Bleed effect, or drain 10,000 health from an undead creature.</v>
      </c>
      <c r="F33" s="16" t="str">
        <f>IFERROR(__xludf.DUMMYFUNCTION("""COMPUTED_VALUE"""),"Hit/Miss")</f>
        <v>Hit/Miss</v>
      </c>
      <c r="G33" s="16">
        <f>IFERROR(__xludf.DUMMYFUNCTION("""COMPUTED_VALUE"""),1.0)</f>
        <v>1</v>
      </c>
      <c r="H33" s="16" t="str">
        <f>IFERROR(__xludf.DUMMYFUNCTION("""COMPUTED_VALUE"""),"Blood")</f>
        <v>Blood</v>
      </c>
      <c r="J33" s="94"/>
    </row>
    <row r="34">
      <c r="A34" s="16" t="str">
        <f>IFERROR(__xludf.DUMMYFUNCTION("""COMPUTED_VALUE"""),"Tainted Blood")</f>
        <v>Tainted Blood</v>
      </c>
      <c r="B34" s="16">
        <f>IFERROR(__xludf.DUMMYFUNCTION("""COMPUTED_VALUE"""),6.0)</f>
        <v>6</v>
      </c>
      <c r="C34" s="16"/>
      <c r="D34" s="16">
        <f>IFERROR(__xludf.DUMMYFUNCTION("""COMPUTED_VALUE"""),60.0)</f>
        <v>60</v>
      </c>
      <c r="E34" s="16" t="str">
        <f>IFERROR(__xludf.DUMMYFUNCTION("""COMPUTED_VALUE"""),"Inflict Undead (Dark) for 3 rounds to 1 target.")</f>
        <v>Inflict Undead (Dark) for 3 rounds to 1 target.</v>
      </c>
      <c r="F34" s="16" t="str">
        <f>IFERROR(__xludf.DUMMYFUNCTION("""COMPUTED_VALUE"""),"Fail/Succeed")</f>
        <v>Fail/Succeed</v>
      </c>
      <c r="G34" s="16"/>
      <c r="H34" s="16" t="str">
        <f>IFERROR(__xludf.DUMMYFUNCTION("""COMPUTED_VALUE"""),"Blood")</f>
        <v>Blood</v>
      </c>
      <c r="J34" s="94"/>
    </row>
    <row r="35">
      <c r="A35" s="16" t="str">
        <f>IFERROR(__xludf.DUMMYFUNCTION("""COMPUTED_VALUE"""),"Celestial Blast")</f>
        <v>Celestial Blast</v>
      </c>
      <c r="B35" s="16">
        <f>IFERROR(__xludf.DUMMYFUNCTION("""COMPUTED_VALUE"""),6.0)</f>
        <v>6</v>
      </c>
      <c r="C35" s="16" t="str">
        <f>IFERROR(__xludf.DUMMYFUNCTION("""COMPUTED_VALUE"""),"X*100")</f>
        <v>X*100</v>
      </c>
      <c r="D35" s="16"/>
      <c r="E35" s="16" t="str">
        <f>IFERROR(__xludf.DUMMYFUNCTION("""COMPUTED_VALUE"""),"Pay X amount of mana for celestial dmg and times the damage by 5000.")</f>
        <v>Pay X amount of mana for celestial dmg and times the damage by 5000.</v>
      </c>
      <c r="F35" s="16" t="str">
        <f>IFERROR(__xludf.DUMMYFUNCTION("""COMPUTED_VALUE"""),"Hit or Miss")</f>
        <v>Hit or Miss</v>
      </c>
      <c r="G35" s="16">
        <f>IFERROR(__xludf.DUMMYFUNCTION("""COMPUTED_VALUE"""),1.0)</f>
        <v>1</v>
      </c>
      <c r="H35" s="16" t="str">
        <f>IFERROR(__xludf.DUMMYFUNCTION("""COMPUTED_VALUE"""),"Celestial")</f>
        <v>Celestial</v>
      </c>
      <c r="J35" s="94"/>
    </row>
    <row r="36">
      <c r="A36" s="16" t="str">
        <f>IFERROR(__xludf.DUMMYFUNCTION("""COMPUTED_VALUE"""),"Celestial Increase I")</f>
        <v>Celestial Increase I</v>
      </c>
      <c r="B36" s="16">
        <f>IFERROR(__xludf.DUMMYFUNCTION("""COMPUTED_VALUE"""),2.0)</f>
        <v>2</v>
      </c>
      <c r="C36" s="16">
        <f>IFERROR(__xludf.DUMMYFUNCTION("""COMPUTED_VALUE"""),200.0)</f>
        <v>200</v>
      </c>
      <c r="D36" s="16"/>
      <c r="E36" s="16" t="str">
        <f>IFERROR(__xludf.DUMMYFUNCTION("""COMPUTED_VALUE"""),"X2 additional Celestial dmg for self + X2 attack and accuracy for self.")</f>
        <v>X2 additional Celestial dmg for self + X2 attack and accuracy for self.</v>
      </c>
      <c r="F36" s="16" t="str">
        <f>IFERROR(__xludf.DUMMYFUNCTION("""COMPUTED_VALUE"""),"Will Succeed")</f>
        <v>Will Succeed</v>
      </c>
      <c r="G36" s="16"/>
      <c r="H36" s="16" t="str">
        <f>IFERROR(__xludf.DUMMYFUNCTION("""COMPUTED_VALUE"""),"Celestial")</f>
        <v>Celestial</v>
      </c>
      <c r="J36" s="94"/>
    </row>
    <row r="37">
      <c r="A37" s="16" t="str">
        <f>IFERROR(__xludf.DUMMYFUNCTION("""COMPUTED_VALUE"""),"Celestial Increase II")</f>
        <v>Celestial Increase II</v>
      </c>
      <c r="B37" s="16">
        <f>IFERROR(__xludf.DUMMYFUNCTION("""COMPUTED_VALUE"""),3.0)</f>
        <v>3</v>
      </c>
      <c r="C37" s="16">
        <f>IFERROR(__xludf.DUMMYFUNCTION("""COMPUTED_VALUE"""),300.0)</f>
        <v>300</v>
      </c>
      <c r="D37" s="16"/>
      <c r="E37" s="16" t="str">
        <f>IFERROR(__xludf.DUMMYFUNCTION("""COMPUTED_VALUE"""),"X4 Celestial dmg for self + X4 attack and accuracy for self.")</f>
        <v>X4 Celestial dmg for self + X4 attack and accuracy for self.</v>
      </c>
      <c r="F37" s="16" t="str">
        <f>IFERROR(__xludf.DUMMYFUNCTION("""COMPUTED_VALUE"""),"Will Succeed")</f>
        <v>Will Succeed</v>
      </c>
      <c r="G37" s="16"/>
      <c r="H37" s="16" t="str">
        <f>IFERROR(__xludf.DUMMYFUNCTION("""COMPUTED_VALUE"""),"Celestial")</f>
        <v>Celestial</v>
      </c>
      <c r="J37" s="94"/>
    </row>
    <row r="38">
      <c r="A38" s="16" t="str">
        <f>IFERROR(__xludf.DUMMYFUNCTION("""COMPUTED_VALUE"""),"Celestial Portal")</f>
        <v>Celestial Portal</v>
      </c>
      <c r="B38" s="16">
        <f>IFERROR(__xludf.DUMMYFUNCTION("""COMPUTED_VALUE"""),2.0)</f>
        <v>2</v>
      </c>
      <c r="C38" s="16">
        <f>IFERROR(__xludf.DUMMYFUNCTION("""COMPUTED_VALUE"""),200.0)</f>
        <v>200</v>
      </c>
      <c r="D38" s="16"/>
      <c r="E38" s="16" t="str">
        <f>IFERROR(__xludf.DUMMYFUNCTION("""COMPUTED_VALUE"""),"6000 celestial continuous damage to one target.")</f>
        <v>6000 celestial continuous damage to one target.</v>
      </c>
      <c r="F38" s="16" t="str">
        <f>IFERROR(__xludf.DUMMYFUNCTION("""COMPUTED_VALUE"""),"Hit or Miss")</f>
        <v>Hit or Miss</v>
      </c>
      <c r="G38" s="16">
        <f>IFERROR(__xludf.DUMMYFUNCTION("""COMPUTED_VALUE"""),1.0)</f>
        <v>1</v>
      </c>
      <c r="H38" s="16" t="str">
        <f>IFERROR(__xludf.DUMMYFUNCTION("""COMPUTED_VALUE"""),"Celestial")</f>
        <v>Celestial</v>
      </c>
      <c r="J38" s="94"/>
    </row>
    <row r="39">
      <c r="A39" s="16" t="str">
        <f>IFERROR(__xludf.DUMMYFUNCTION("""COMPUTED_VALUE"""),"Celestial Shield")</f>
        <v>Celestial Shield</v>
      </c>
      <c r="B39" s="16">
        <f>IFERROR(__xludf.DUMMYFUNCTION("""COMPUTED_VALUE"""),4.0)</f>
        <v>4</v>
      </c>
      <c r="C39" s="16">
        <f>IFERROR(__xludf.DUMMYFUNCTION("""COMPUTED_VALUE"""),400.0)</f>
        <v>400</v>
      </c>
      <c r="D39" s="16"/>
      <c r="E39" s="16" t="str">
        <f>IFERROR(__xludf.DUMMYFUNCTION("""COMPUTED_VALUE"""),"Gives caster X2 def, and X2 resistance to astral dmg. (can only be used once per battle)")</f>
        <v>Gives caster X2 def, and X2 resistance to astral dmg. (can only be used once per battle)</v>
      </c>
      <c r="F39" s="16" t="str">
        <f>IFERROR(__xludf.DUMMYFUNCTION("""COMPUTED_VALUE"""),"Will Succeed")</f>
        <v>Will Succeed</v>
      </c>
      <c r="G39" s="16"/>
      <c r="H39" s="16" t="str">
        <f>IFERROR(__xludf.DUMMYFUNCTION("""COMPUTED_VALUE"""),"Celestial")</f>
        <v>Celestial</v>
      </c>
      <c r="J39" s="94"/>
    </row>
    <row r="40">
      <c r="A40" s="16" t="str">
        <f>IFERROR(__xludf.DUMMYFUNCTION("""COMPUTED_VALUE"""),"Celestial Strike")</f>
        <v>Celestial Strike</v>
      </c>
      <c r="B40" s="16">
        <f>IFERROR(__xludf.DUMMYFUNCTION("""COMPUTED_VALUE"""),1.0)</f>
        <v>1</v>
      </c>
      <c r="C40" s="16">
        <f>IFERROR(__xludf.DUMMYFUNCTION("""COMPUTED_VALUE"""),100.0)</f>
        <v>100</v>
      </c>
      <c r="D40" s="16"/>
      <c r="E40" s="16" t="str">
        <f>IFERROR(__xludf.DUMMYFUNCTION("""COMPUTED_VALUE"""),"6000 celestial damage, X2 attack and accuracy for self if you hit the target..")</f>
        <v>6000 celestial damage, X2 attack and accuracy for self if you hit the target..</v>
      </c>
      <c r="F40" s="16" t="str">
        <f>IFERROR(__xludf.DUMMYFUNCTION("""COMPUTED_VALUE"""),"Hit/Miss")</f>
        <v>Hit/Miss</v>
      </c>
      <c r="G40" s="16">
        <f>IFERROR(__xludf.DUMMYFUNCTION("""COMPUTED_VALUE"""),1.0)</f>
        <v>1</v>
      </c>
      <c r="H40" s="16" t="str">
        <f>IFERROR(__xludf.DUMMYFUNCTION("""COMPUTED_VALUE"""),"Celestial")</f>
        <v>Celestial</v>
      </c>
      <c r="J40" s="94"/>
    </row>
    <row r="41">
      <c r="A41" s="16" t="str">
        <f>IFERROR(__xludf.DUMMYFUNCTION("""COMPUTED_VALUE"""),"Celestial Summon")</f>
        <v>Celestial Summon</v>
      </c>
      <c r="B41" s="16">
        <f>IFERROR(__xludf.DUMMYFUNCTION("""COMPUTED_VALUE"""),8.0)</f>
        <v>8</v>
      </c>
      <c r="C41" s="16">
        <f>IFERROR(__xludf.DUMMYFUNCTION("""COMPUTED_VALUE"""),800.0)</f>
        <v>800</v>
      </c>
      <c r="D41" s="16"/>
      <c r="E41" s="16" t="str">
        <f>IFERROR(__xludf.DUMMYFUNCTION("""COMPUTED_VALUE"""),"Summon a mob as an ally. Level and Mob is determined by DM/GM.  ")</f>
        <v>Summon a mob as an ally. Level and Mob is determined by DM/GM.  </v>
      </c>
      <c r="F41" s="16" t="str">
        <f>IFERROR(__xludf.DUMMYFUNCTION("""COMPUTED_VALUE"""),"Fail/Succeed")</f>
        <v>Fail/Succeed</v>
      </c>
      <c r="G41" s="16"/>
      <c r="H41" s="16" t="str">
        <f>IFERROR(__xludf.DUMMYFUNCTION("""COMPUTED_VALUE"""),"Celestial")</f>
        <v>Celestial</v>
      </c>
      <c r="J41" s="94"/>
    </row>
    <row r="42">
      <c r="A42" s="16" t="str">
        <f>IFERROR(__xludf.DUMMYFUNCTION("""COMPUTED_VALUE"""),"Celestial Wave")</f>
        <v>Celestial Wave</v>
      </c>
      <c r="B42" s="16">
        <f>IFERROR(__xludf.DUMMYFUNCTION("""COMPUTED_VALUE"""),5.0)</f>
        <v>5</v>
      </c>
      <c r="C42" s="16">
        <f>IFERROR(__xludf.DUMMYFUNCTION("""COMPUTED_VALUE"""),500.0)</f>
        <v>500</v>
      </c>
      <c r="D42" s="16"/>
      <c r="E42" s="16" t="str">
        <f>IFERROR(__xludf.DUMMYFUNCTION("""COMPUTED_VALUE"""),"30000 Celestial dmg to all enemies.")</f>
        <v>30000 Celestial dmg to all enemies.</v>
      </c>
      <c r="F42" s="16" t="str">
        <f>IFERROR(__xludf.DUMMYFUNCTION("""COMPUTED_VALUE"""),"Cannot be avoided")</f>
        <v>Cannot be avoided</v>
      </c>
      <c r="G42" s="16"/>
      <c r="H42" s="16" t="str">
        <f>IFERROR(__xludf.DUMMYFUNCTION("""COMPUTED_VALUE"""),"Celestial")</f>
        <v>Celestial</v>
      </c>
      <c r="J42" s="94"/>
    </row>
    <row r="43">
      <c r="A43" s="16" t="str">
        <f>IFERROR(__xludf.DUMMYFUNCTION("""COMPUTED_VALUE"""),"Celestial Wrath")</f>
        <v>Celestial Wrath</v>
      </c>
      <c r="B43" s="16">
        <f>IFERROR(__xludf.DUMMYFUNCTION("""COMPUTED_VALUE"""),7.0)</f>
        <v>7</v>
      </c>
      <c r="C43" s="16">
        <f>IFERROR(__xludf.DUMMYFUNCTION("""COMPUTED_VALUE"""),700.0)</f>
        <v>700</v>
      </c>
      <c r="D43" s="16"/>
      <c r="E43" s="16" t="str">
        <f>IFERROR(__xludf.DUMMYFUNCTION("""COMPUTED_VALUE"""),"Causes 42000 Celestial dmg to all enemies, +7000 def to self and allies.")</f>
        <v>Causes 42000 Celestial dmg to all enemies, +7000 def to self and allies.</v>
      </c>
      <c r="F43" s="16" t="str">
        <f>IFERROR(__xludf.DUMMYFUNCTION("""COMPUTED_VALUE"""),"Cannot Avoid")</f>
        <v>Cannot Avoid</v>
      </c>
      <c r="G43" s="16"/>
      <c r="H43" s="16" t="str">
        <f>IFERROR(__xludf.DUMMYFUNCTION("""COMPUTED_VALUE"""),"Celestial")</f>
        <v>Celestial</v>
      </c>
      <c r="J43" s="94"/>
    </row>
    <row r="44">
      <c r="A44" s="16" t="str">
        <f>IFERROR(__xludf.DUMMYFUNCTION("""COMPUTED_VALUE"""),"Duplicate")</f>
        <v>Duplicate</v>
      </c>
      <c r="B44" s="16">
        <f>IFERROR(__xludf.DUMMYFUNCTION("""COMPUTED_VALUE"""),9.0)</f>
        <v>9</v>
      </c>
      <c r="C44" s="16">
        <f>IFERROR(__xludf.DUMMYFUNCTION("""COMPUTED_VALUE"""),1000.0)</f>
        <v>1000</v>
      </c>
      <c r="D44" s="16"/>
      <c r="E44" s="16" t="str">
        <f>IFERROR(__xludf.DUMMYFUNCTION("""COMPUTED_VALUE"""),"Duplicate an item of choice in your bag or inventory. (spell can only be used once per week in real time.)")</f>
        <v>Duplicate an item of choice in your bag or inventory. (spell can only be used once per week in real time.)</v>
      </c>
      <c r="F44" s="16" t="str">
        <f>IFERROR(__xludf.DUMMYFUNCTION("""COMPUTED_VALUE"""),"Will Succeed")</f>
        <v>Will Succeed</v>
      </c>
      <c r="G44" s="16"/>
      <c r="H44" s="16" t="str">
        <f>IFERROR(__xludf.DUMMYFUNCTION("""COMPUTED_VALUE"""),"Celestial")</f>
        <v>Celestial</v>
      </c>
      <c r="J44" s="94"/>
    </row>
    <row r="45">
      <c r="A45" s="16" t="str">
        <f>IFERROR(__xludf.DUMMYFUNCTION("""COMPUTED_VALUE"""),"Mass Destruction")</f>
        <v>Mass Destruction</v>
      </c>
      <c r="B45" s="16">
        <f>IFERROR(__xludf.DUMMYFUNCTION("""COMPUTED_VALUE"""),9.0)</f>
        <v>9</v>
      </c>
      <c r="C45" s="16">
        <f>IFERROR(__xludf.DUMMYFUNCTION("""COMPUTED_VALUE"""),900.0)</f>
        <v>900</v>
      </c>
      <c r="D45" s="16"/>
      <c r="E45" s="16" t="str">
        <f>IFERROR(__xludf.DUMMYFUNCTION("""COMPUTED_VALUE"""),"54,000 celestial damage to all enemies, 70% chance of instant death.")</f>
        <v>54,000 celestial damage to all enemies, 70% chance of instant death.</v>
      </c>
      <c r="F45" s="16" t="str">
        <f>IFERROR(__xludf.DUMMYFUNCTION("""COMPUTED_VALUE"""),"Cannot Avoid")</f>
        <v>Cannot Avoid</v>
      </c>
      <c r="G45" s="16"/>
      <c r="H45" s="16" t="str">
        <f>IFERROR(__xludf.DUMMYFUNCTION("""COMPUTED_VALUE"""),"Celestial")</f>
        <v>Celestial</v>
      </c>
      <c r="J45" s="94"/>
    </row>
    <row r="46">
      <c r="A46" s="16" t="str">
        <f>IFERROR(__xludf.DUMMYFUNCTION("""COMPUTED_VALUE"""),"Tower Of Gods")</f>
        <v>Tower Of Gods</v>
      </c>
      <c r="B46" s="16">
        <f>IFERROR(__xludf.DUMMYFUNCTION("""COMPUTED_VALUE"""),8.0)</f>
        <v>8</v>
      </c>
      <c r="C46" s="16">
        <f>IFERROR(__xludf.DUMMYFUNCTION("""COMPUTED_VALUE"""),800.0)</f>
        <v>800</v>
      </c>
      <c r="D46" s="16"/>
      <c r="E46" s="16" t="str">
        <f>IFERROR(__xludf.DUMMYFUNCTION("""COMPUTED_VALUE"""),"Forms a tower that rises from beneath the ground and shoots a giant beam of celestial energy from the towers eye- 48000 celestial strike dmg and doubles celestial damage.")</f>
        <v>Forms a tower that rises from beneath the ground and shoots a giant beam of celestial energy from the towers eye- 48000 celestial strike dmg and doubles celestial damage.</v>
      </c>
      <c r="F46" s="16" t="str">
        <f>IFERROR(__xludf.DUMMYFUNCTION("""COMPUTED_VALUE"""),"Fail/Succeed")</f>
        <v>Fail/Succeed</v>
      </c>
      <c r="G46" s="16"/>
      <c r="H46" s="16" t="str">
        <f>IFERROR(__xludf.DUMMYFUNCTION("""COMPUTED_VALUE"""),"Celestial")</f>
        <v>Celestial</v>
      </c>
      <c r="J46" s="94"/>
    </row>
    <row r="47">
      <c r="A47" s="16" t="str">
        <f>IFERROR(__xludf.DUMMYFUNCTION("""COMPUTED_VALUE"""),"Transformation")</f>
        <v>Transformation</v>
      </c>
      <c r="B47" s="16">
        <f>IFERROR(__xludf.DUMMYFUNCTION("""COMPUTED_VALUE"""),1.0)</f>
        <v>1</v>
      </c>
      <c r="C47" s="16" t="str">
        <f>IFERROR(__xludf.DUMMYFUNCTION("""COMPUTED_VALUE"""),"0")</f>
        <v>0</v>
      </c>
      <c r="D47" s="16"/>
      <c r="E47" s="16" t="str">
        <f>IFERROR(__xludf.DUMMYFUNCTION("""COMPUTED_VALUE"""),"If you have  5+ souls of a specific creature in your backpack you can become that creature. Can only be used once per battle.")</f>
        <v>If you have  5+ souls of a specific creature in your backpack you can become that creature. Can only be used once per battle.</v>
      </c>
      <c r="F47" s="16" t="str">
        <f>IFERROR(__xludf.DUMMYFUNCTION("""COMPUTED_VALUE"""),"Fail/Succeed")</f>
        <v>Fail/Succeed</v>
      </c>
      <c r="G47" s="16" t="str">
        <f>IFERROR(__xludf.DUMMYFUNCTION("""COMPUTED_VALUE"""),"Self")</f>
        <v>Self</v>
      </c>
      <c r="H47" s="16" t="str">
        <f>IFERROR(__xludf.DUMMYFUNCTION("""COMPUTED_VALUE"""),"Celestial")</f>
        <v>Celestial</v>
      </c>
      <c r="J47" s="94"/>
    </row>
    <row r="48">
      <c r="A48" s="16" t="str">
        <f>IFERROR(__xludf.DUMMYFUNCTION("""COMPUTED_VALUE"""),"Call From The Mob House")</f>
        <v>Call From The Mob House</v>
      </c>
      <c r="B48" s="16">
        <f>IFERROR(__xludf.DUMMYFUNCTION("""COMPUTED_VALUE"""),3.0)</f>
        <v>3</v>
      </c>
      <c r="C48" s="16">
        <f>IFERROR(__xludf.DUMMYFUNCTION("""COMPUTED_VALUE"""),30.0)</f>
        <v>30</v>
      </c>
      <c r="D48" s="16"/>
      <c r="E48" s="16" t="str">
        <f>IFERROR(__xludf.DUMMYFUNCTION("""COMPUTED_VALUE"""),"Randomly summon 1 mob from a list of 20. You have control over the summoned mobs until the end of battle. Level determined by DM/GM.")</f>
        <v>Randomly summon 1 mob from a list of 20. You have control over the summoned mobs until the end of battle. Level determined by DM/GM.</v>
      </c>
      <c r="F48" s="16" t="str">
        <f>IFERROR(__xludf.DUMMYFUNCTION("""COMPUTED_VALUE"""),"Fail/Succeed")</f>
        <v>Fail/Succeed</v>
      </c>
      <c r="G48" s="16"/>
      <c r="H48" s="16" t="str">
        <f>IFERROR(__xludf.DUMMYFUNCTION("""COMPUTED_VALUE"""),"Chaos")</f>
        <v>Chaos</v>
      </c>
      <c r="J48" s="94"/>
    </row>
    <row r="49">
      <c r="A49" s="16" t="str">
        <f>IFERROR(__xludf.DUMMYFUNCTION("""COMPUTED_VALUE"""),"Chaos Barrier")</f>
        <v>Chaos Barrier</v>
      </c>
      <c r="B49" s="16">
        <f>IFERROR(__xludf.DUMMYFUNCTION("""COMPUTED_VALUE"""),4.0)</f>
        <v>4</v>
      </c>
      <c r="C49" s="16">
        <f>IFERROR(__xludf.DUMMYFUNCTION("""COMPUTED_VALUE"""),40.0)</f>
        <v>40</v>
      </c>
      <c r="D49" s="16"/>
      <c r="E49" s="16" t="str">
        <f>IFERROR(__xludf.DUMMYFUNCTION("""COMPUTED_VALUE"""),"If the caster is hit, the attacker takes 4000 chaos dmg for 3 rounds.")</f>
        <v>If the caster is hit, the attacker takes 4000 chaos dmg for 3 rounds.</v>
      </c>
      <c r="F49" s="16" t="str">
        <f>IFERROR(__xludf.DUMMYFUNCTION("""COMPUTED_VALUE"""),"Fail/Succeed")</f>
        <v>Fail/Succeed</v>
      </c>
      <c r="G49" s="16"/>
      <c r="H49" s="16" t="str">
        <f>IFERROR(__xludf.DUMMYFUNCTION("""COMPUTED_VALUE"""),"Chaos")</f>
        <v>Chaos</v>
      </c>
      <c r="J49" s="94"/>
    </row>
    <row r="50">
      <c r="A50" s="16" t="str">
        <f>IFERROR(__xludf.DUMMYFUNCTION("""COMPUTED_VALUE"""),"Chaos Beam")</f>
        <v>Chaos Beam</v>
      </c>
      <c r="B50" s="16">
        <f>IFERROR(__xludf.DUMMYFUNCTION("""COMPUTED_VALUE"""),1.0)</f>
        <v>1</v>
      </c>
      <c r="C50" s="16" t="str">
        <f>IFERROR(__xludf.DUMMYFUNCTION("""COMPUTED_VALUE"""),"X")</f>
        <v>X</v>
      </c>
      <c r="D50" s="16"/>
      <c r="E50" s="16" t="str">
        <f>IFERROR(__xludf.DUMMYFUNCTION("""COMPUTED_VALUE"""),"Deals X*100 Chaos damage to a single enemy where X is equal to SP spent.")</f>
        <v>Deals X*100 Chaos damage to a single enemy where X is equal to SP spent.</v>
      </c>
      <c r="F50" s="16" t="str">
        <f>IFERROR(__xludf.DUMMYFUNCTION("""COMPUTED_VALUE"""),"Hit/Miss")</f>
        <v>Hit/Miss</v>
      </c>
      <c r="G50" s="16">
        <f>IFERROR(__xludf.DUMMYFUNCTION("""COMPUTED_VALUE"""),1.0)</f>
        <v>1</v>
      </c>
      <c r="H50" s="16" t="str">
        <f>IFERROR(__xludf.DUMMYFUNCTION("""COMPUTED_VALUE"""),"Chaos")</f>
        <v>Chaos</v>
      </c>
      <c r="J50" s="95"/>
    </row>
    <row r="51">
      <c r="A51" s="16" t="str">
        <f>IFERROR(__xludf.DUMMYFUNCTION("""COMPUTED_VALUE"""),"Chaos Ward")</f>
        <v>Chaos Ward</v>
      </c>
      <c r="B51" s="16">
        <f>IFERROR(__xludf.DUMMYFUNCTION("""COMPUTED_VALUE"""),9.0)</f>
        <v>9</v>
      </c>
      <c r="C51" s="16">
        <f>IFERROR(__xludf.DUMMYFUNCTION("""COMPUTED_VALUE"""),400.0)</f>
        <v>400</v>
      </c>
      <c r="D51" s="16"/>
      <c r="E51" s="16" t="str">
        <f>IFERROR(__xludf.DUMMYFUNCTION("""COMPUTED_VALUE"""),"Deflects any incoming damage for 3 rounds to a random enemy. Ward ends when stopping a spell that bypasses immunities/resistances.")</f>
        <v>Deflects any incoming damage for 3 rounds to a random enemy. Ward ends when stopping a spell that bypasses immunities/resistances.</v>
      </c>
      <c r="F51" s="16" t="str">
        <f>IFERROR(__xludf.DUMMYFUNCTION("""COMPUTED_VALUE"""),"Fail/Succeed")</f>
        <v>Fail/Succeed</v>
      </c>
      <c r="G51" s="16">
        <f>IFERROR(__xludf.DUMMYFUNCTION("""COMPUTED_VALUE"""),1.0)</f>
        <v>1</v>
      </c>
      <c r="H51" s="16" t="str">
        <f>IFERROR(__xludf.DUMMYFUNCTION("""COMPUTED_VALUE"""),"Chaos")</f>
        <v>Chaos</v>
      </c>
    </row>
    <row r="52">
      <c r="A52" s="16" t="str">
        <f>IFERROR(__xludf.DUMMYFUNCTION("""COMPUTED_VALUE"""),"Chaotic Collapse")</f>
        <v>Chaotic Collapse</v>
      </c>
      <c r="B52" s="16">
        <f>IFERROR(__xludf.DUMMYFUNCTION("""COMPUTED_VALUE"""),5.0)</f>
        <v>5</v>
      </c>
      <c r="C52" s="16" t="str">
        <f>IFERROR(__xludf.DUMMYFUNCTION("""COMPUTED_VALUE"""),"X")</f>
        <v>X</v>
      </c>
      <c r="D52" s="16"/>
      <c r="E52" s="16" t="str">
        <f>IFERROR(__xludf.DUMMYFUNCTION("""COMPUTED_VALUE"""),"Deals X*50 Chaos damage per round for 3 rounds to a single target where X is equal to SP spent.")</f>
        <v>Deals X*50 Chaos damage per round for 3 rounds to a single target where X is equal to SP spent.</v>
      </c>
      <c r="F52" s="16" t="str">
        <f>IFERROR(__xludf.DUMMYFUNCTION("""COMPUTED_VALUE"""),"Hit/Miss")</f>
        <v>Hit/Miss</v>
      </c>
      <c r="G52" s="16">
        <f>IFERROR(__xludf.DUMMYFUNCTION("""COMPUTED_VALUE"""),1.0)</f>
        <v>1</v>
      </c>
      <c r="H52" s="16" t="str">
        <f>IFERROR(__xludf.DUMMYFUNCTION("""COMPUTED_VALUE"""),"Chaos")</f>
        <v>Chaos</v>
      </c>
    </row>
    <row r="53">
      <c r="A53" s="16" t="str">
        <f>IFERROR(__xludf.DUMMYFUNCTION("""COMPUTED_VALUE"""),"Chaotic Implosion")</f>
        <v>Chaotic Implosion</v>
      </c>
      <c r="B53" s="16">
        <f>IFERROR(__xludf.DUMMYFUNCTION("""COMPUTED_VALUE"""),5.0)</f>
        <v>5</v>
      </c>
      <c r="C53" s="16" t="str">
        <f>IFERROR(__xludf.DUMMYFUNCTION("""COMPUTED_VALUE"""),"X")</f>
        <v>X</v>
      </c>
      <c r="D53" s="16"/>
      <c r="E53" s="16" t="str">
        <f>IFERROR(__xludf.DUMMYFUNCTION("""COMPUTED_VALUE"""),"Deals X*25 Chaos damage to all enemies where X is equal to SP spent.")</f>
        <v>Deals X*25 Chaos damage to all enemies where X is equal to SP spent.</v>
      </c>
      <c r="F53" s="16" t="str">
        <f>IFERROR(__xludf.DUMMYFUNCTION("""COMPUTED_VALUE"""),"Cannot Avoid")</f>
        <v>Cannot Avoid</v>
      </c>
      <c r="G53" s="16" t="str">
        <f>IFERROR(__xludf.DUMMYFUNCTION("""COMPUTED_VALUE"""),"All")</f>
        <v>All</v>
      </c>
      <c r="H53" s="16" t="str">
        <f>IFERROR(__xludf.DUMMYFUNCTION("""COMPUTED_VALUE"""),"Chaos")</f>
        <v>Chaos</v>
      </c>
    </row>
    <row r="54">
      <c r="A54" s="16" t="str">
        <f>IFERROR(__xludf.DUMMYFUNCTION("""COMPUTED_VALUE"""),"Chaotic Increase")</f>
        <v>Chaotic Increase</v>
      </c>
      <c r="B54" s="16">
        <f>IFERROR(__xludf.DUMMYFUNCTION("""COMPUTED_VALUE"""),5.0)</f>
        <v>5</v>
      </c>
      <c r="C54" s="16">
        <f>IFERROR(__xludf.DUMMYFUNCTION("""COMPUTED_VALUE"""),200.0)</f>
        <v>200</v>
      </c>
      <c r="D54" s="16"/>
      <c r="E54" s="16" t="str">
        <f>IFERROR(__xludf.DUMMYFUNCTION("""COMPUTED_VALUE"""),"Increases chaos dmg by X4 for the caster.")</f>
        <v>Increases chaos dmg by X4 for the caster.</v>
      </c>
      <c r="F54" s="16" t="str">
        <f>IFERROR(__xludf.DUMMYFUNCTION("""COMPUTED_VALUE"""),"Will Succeed")</f>
        <v>Will Succeed</v>
      </c>
      <c r="G54" s="16"/>
      <c r="H54" s="16" t="str">
        <f>IFERROR(__xludf.DUMMYFUNCTION("""COMPUTED_VALUE"""),"Chaos")</f>
        <v>Chaos</v>
      </c>
    </row>
    <row r="55">
      <c r="A55" s="16" t="str">
        <f>IFERROR(__xludf.DUMMYFUNCTION("""COMPUTED_VALUE"""),"Deflect (Random)")</f>
        <v>Deflect (Random)</v>
      </c>
      <c r="B55" s="16">
        <f>IFERROR(__xludf.DUMMYFUNCTION("""COMPUTED_VALUE"""),3.0)</f>
        <v>3</v>
      </c>
      <c r="C55" s="16">
        <f>IFERROR(__xludf.DUMMYFUNCTION("""COMPUTED_VALUE"""),30.0)</f>
        <v>30</v>
      </c>
      <c r="D55" s="16"/>
      <c r="E55" s="16" t="str">
        <f>IFERROR(__xludf.DUMMYFUNCTION("""COMPUTED_VALUE"""),"Deflects any damage you would have taken from the next attack and diverts to a random target.")</f>
        <v>Deflects any damage you would have taken from the next attack and diverts to a random target.</v>
      </c>
      <c r="F55" s="16" t="str">
        <f>IFERROR(__xludf.DUMMYFUNCTION("""COMPUTED_VALUE"""),"Fail/Succeed")</f>
        <v>Fail/Succeed</v>
      </c>
      <c r="G55" s="16"/>
      <c r="H55" s="16" t="str">
        <f>IFERROR(__xludf.DUMMYFUNCTION("""COMPUTED_VALUE"""),"Chaos")</f>
        <v>Chaos</v>
      </c>
    </row>
    <row r="56">
      <c r="A56" s="16" t="str">
        <f>IFERROR(__xludf.DUMMYFUNCTION("""COMPUTED_VALUE"""),"Dimension Portal")</f>
        <v>Dimension Portal</v>
      </c>
      <c r="B56" s="16">
        <f>IFERROR(__xludf.DUMMYFUNCTION("""COMPUTED_VALUE"""),9.0)</f>
        <v>9</v>
      </c>
      <c r="C56" s="16" t="str">
        <f>IFERROR(__xludf.DUMMYFUNCTION("""COMPUTED_VALUE"""),"200 or 400")</f>
        <v>200 or 400</v>
      </c>
      <c r="D56" s="16"/>
      <c r="E56" s="16" t="str">
        <f>IFERROR(__xludf.DUMMYFUNCTION("""COMPUTED_VALUE"""),"Pay 400SP to teleport you or a target to a desired region in battle or rp, pay 200SP to teleport you or a target to a random region in battle or rp.")</f>
        <v>Pay 400SP to teleport you or a target to a desired region in battle or rp, pay 200SP to teleport you or a target to a random region in battle or rp.</v>
      </c>
      <c r="F56" s="16" t="str">
        <f>IFERROR(__xludf.DUMMYFUNCTION("""COMPUTED_VALUE"""),"Fail/Succeed")</f>
        <v>Fail/Succeed</v>
      </c>
      <c r="G56" s="16"/>
      <c r="H56" s="16" t="str">
        <f>IFERROR(__xludf.DUMMYFUNCTION("""COMPUTED_VALUE"""),"Chaos")</f>
        <v>Chaos</v>
      </c>
    </row>
    <row r="57">
      <c r="A57" s="16" t="str">
        <f>IFERROR(__xludf.DUMMYFUNCTION("""COMPUTED_VALUE"""),"Dimensional Quake")</f>
        <v>Dimensional Quake</v>
      </c>
      <c r="B57" s="16">
        <f>IFERROR(__xludf.DUMMYFUNCTION("""COMPUTED_VALUE"""),9.0)</f>
        <v>9</v>
      </c>
      <c r="C57" s="16">
        <f>IFERROR(__xludf.DUMMYFUNCTION("""COMPUTED_VALUE"""),400.0)</f>
        <v>400</v>
      </c>
      <c r="D57" s="16"/>
      <c r="E57" s="16" t="str">
        <f>IFERROR(__xludf.DUMMYFUNCTION("""COMPUTED_VALUE"""),"24,000 chaos damage to all enemies, 50% chance to use the spell effect “Dimension portal (Random)” on all targets affected by this spell.")</f>
        <v>24,000 chaos damage to all enemies, 50% chance to use the spell effect “Dimension portal (Random)” on all targets affected by this spell.</v>
      </c>
      <c r="F57" s="16" t="str">
        <f>IFERROR(__xludf.DUMMYFUNCTION("""COMPUTED_VALUE"""),"Cannot Avoid")</f>
        <v>Cannot Avoid</v>
      </c>
      <c r="G57" s="16" t="str">
        <f>IFERROR(__xludf.DUMMYFUNCTION("""COMPUTED_VALUE"""),"All")</f>
        <v>All</v>
      </c>
      <c r="H57" s="16" t="str">
        <f>IFERROR(__xludf.DUMMYFUNCTION("""COMPUTED_VALUE"""),"Chaos")</f>
        <v>Chaos</v>
      </c>
    </row>
    <row r="58">
      <c r="A58" s="16" t="str">
        <f>IFERROR(__xludf.DUMMYFUNCTION("""COMPUTED_VALUE"""),"Disruption")</f>
        <v>Disruption</v>
      </c>
      <c r="B58" s="16">
        <f>IFERROR(__xludf.DUMMYFUNCTION("""COMPUTED_VALUE"""),9.0)</f>
        <v>9</v>
      </c>
      <c r="C58" s="16">
        <f>IFERROR(__xludf.DUMMYFUNCTION("""COMPUTED_VALUE"""),600.0)</f>
        <v>600</v>
      </c>
      <c r="D58" s="16"/>
      <c r="E58" s="16" t="str">
        <f>IFERROR(__xludf.DUMMYFUNCTION("""COMPUTED_VALUE"""),"Prevent all enemies from Spell Casting for 3 rounds.")</f>
        <v>Prevent all enemies from Spell Casting for 3 rounds.</v>
      </c>
      <c r="F58" s="16" t="str">
        <f>IFERROR(__xludf.DUMMYFUNCTION("""COMPUTED_VALUE"""),"Fail/Succeed")</f>
        <v>Fail/Succeed</v>
      </c>
      <c r="G58" s="16"/>
      <c r="H58" s="16" t="str">
        <f>IFERROR(__xludf.DUMMYFUNCTION("""COMPUTED_VALUE"""),"Chaos")</f>
        <v>Chaos</v>
      </c>
    </row>
    <row r="59">
      <c r="A59" s="16" t="str">
        <f>IFERROR(__xludf.DUMMYFUNCTION("""COMPUTED_VALUE"""),"Disturbance")</f>
        <v>Disturbance</v>
      </c>
      <c r="B59" s="16">
        <f>IFERROR(__xludf.DUMMYFUNCTION("""COMPUTED_VALUE"""),8.0)</f>
        <v>8</v>
      </c>
      <c r="C59" s="16">
        <f>IFERROR(__xludf.DUMMYFUNCTION("""COMPUTED_VALUE"""),300.0)</f>
        <v>300</v>
      </c>
      <c r="D59" s="16"/>
      <c r="E59" s="16" t="str">
        <f>IFERROR(__xludf.DUMMYFUNCTION("""COMPUTED_VALUE"""),"Prevent 1 target from Spell Casting for 3 rounds.")</f>
        <v>Prevent 1 target from Spell Casting for 3 rounds.</v>
      </c>
      <c r="F59" s="16" t="str">
        <f>IFERROR(__xludf.DUMMYFUNCTION("""COMPUTED_VALUE"""),"Fail/Succeed")</f>
        <v>Fail/Succeed</v>
      </c>
      <c r="G59" s="16"/>
      <c r="H59" s="16" t="str">
        <f>IFERROR(__xludf.DUMMYFUNCTION("""COMPUTED_VALUE"""),"Chaos")</f>
        <v>Chaos</v>
      </c>
    </row>
    <row r="60">
      <c r="A60" s="16" t="str">
        <f>IFERROR(__xludf.DUMMYFUNCTION("""COMPUTED_VALUE"""),"Mad shot")</f>
        <v>Mad shot</v>
      </c>
      <c r="B60" s="16">
        <f>IFERROR(__xludf.DUMMYFUNCTION("""COMPUTED_VALUE"""),1.0)</f>
        <v>1</v>
      </c>
      <c r="C60" s="16">
        <f>IFERROR(__xludf.DUMMYFUNCTION("""COMPUTED_VALUE"""),10.0)</f>
        <v>10</v>
      </c>
      <c r="D60" s="16"/>
      <c r="E60" s="16" t="str">
        <f>IFERROR(__xludf.DUMMYFUNCTION("""COMPUTED_VALUE"""),"1000 chaos damage and inflicts target with 5 Insanity.")</f>
        <v>1000 chaos damage and inflicts target with 5 Insanity.</v>
      </c>
      <c r="F60" s="16" t="str">
        <f>IFERROR(__xludf.DUMMYFUNCTION("""COMPUTED_VALUE"""),"Hit/Miss")</f>
        <v>Hit/Miss</v>
      </c>
      <c r="G60" s="16">
        <f>IFERROR(__xludf.DUMMYFUNCTION("""COMPUTED_VALUE"""),1.0)</f>
        <v>1</v>
      </c>
      <c r="H60" s="16" t="str">
        <f>IFERROR(__xludf.DUMMYFUNCTION("""COMPUTED_VALUE"""),"Chaos")</f>
        <v>Chaos</v>
      </c>
    </row>
    <row r="61">
      <c r="A61" s="16" t="str">
        <f>IFERROR(__xludf.DUMMYFUNCTION("""COMPUTED_VALUE"""),"Mass Chaotic Collapse")</f>
        <v>Mass Chaotic Collapse</v>
      </c>
      <c r="B61" s="16">
        <f>IFERROR(__xludf.DUMMYFUNCTION("""COMPUTED_VALUE"""),6.0)</f>
        <v>6</v>
      </c>
      <c r="C61" s="16" t="str">
        <f>IFERROR(__xludf.DUMMYFUNCTION("""COMPUTED_VALUE"""),"X")</f>
        <v>X</v>
      </c>
      <c r="D61" s="16"/>
      <c r="E61" s="16" t="str">
        <f>IFERROR(__xludf.DUMMYFUNCTION("""COMPUTED_VALUE"""),"Deals X*10 Chaos damage per round to all enemies for 3 rounds where X is equal to SP spent.")</f>
        <v>Deals X*10 Chaos damage per round to all enemies for 3 rounds where X is equal to SP spent.</v>
      </c>
      <c r="F61" s="16" t="str">
        <f>IFERROR(__xludf.DUMMYFUNCTION("""COMPUTED_VALUE"""),"Cannot Avoid")</f>
        <v>Cannot Avoid</v>
      </c>
      <c r="G61" s="16" t="str">
        <f>IFERROR(__xludf.DUMMYFUNCTION("""COMPUTED_VALUE"""),"All")</f>
        <v>All</v>
      </c>
      <c r="H61" s="16" t="str">
        <f>IFERROR(__xludf.DUMMYFUNCTION("""COMPUTED_VALUE"""),"Chaos")</f>
        <v>Chaos</v>
      </c>
    </row>
    <row r="62">
      <c r="A62" s="16" t="str">
        <f>IFERROR(__xludf.DUMMYFUNCTION("""COMPUTED_VALUE"""),"Shatter")</f>
        <v>Shatter</v>
      </c>
      <c r="B62" s="16">
        <f>IFERROR(__xludf.DUMMYFUNCTION("""COMPUTED_VALUE"""),6.0)</f>
        <v>6</v>
      </c>
      <c r="C62" s="16">
        <f>IFERROR(__xludf.DUMMYFUNCTION("""COMPUTED_VALUE"""),60.0)</f>
        <v>60</v>
      </c>
      <c r="D62" s="16"/>
      <c r="E62" s="16" t="str">
        <f>IFERROR(__xludf.DUMMYFUNCTION("""COMPUTED_VALUE"""),"Make a target enemies base Defense 0")</f>
        <v>Make a target enemies base Defense 0</v>
      </c>
      <c r="F62" s="16" t="str">
        <f>IFERROR(__xludf.DUMMYFUNCTION("""COMPUTED_VALUE"""),"Fail/Succeed")</f>
        <v>Fail/Succeed</v>
      </c>
      <c r="G62" s="16"/>
      <c r="H62" s="16" t="str">
        <f>IFERROR(__xludf.DUMMYFUNCTION("""COMPUTED_VALUE"""),"Chaos")</f>
        <v>Chaos</v>
      </c>
    </row>
    <row r="63">
      <c r="A63" s="16" t="str">
        <f>IFERROR(__xludf.DUMMYFUNCTION("""COMPUTED_VALUE"""),"Army of The Dead")</f>
        <v>Army of The Dead</v>
      </c>
      <c r="B63" s="16">
        <f>IFERROR(__xludf.DUMMYFUNCTION("""COMPUTED_VALUE"""),9.0)</f>
        <v>9</v>
      </c>
      <c r="C63" s="16" t="str">
        <f>IFERROR(__xludf.DUMMYFUNCTION("""COMPUTED_VALUE"""),"X*100")</f>
        <v>X*100</v>
      </c>
      <c r="D63" s="16"/>
      <c r="E63" s="16" t="str">
        <f>IFERROR(__xludf.DUMMYFUNCTION("""COMPUTED_VALUE"""),"Revive 1d6 targets, if any of those target's were enemies, 50% chance to recruit them to the casters side. Costs X*100SP where X is equal to your d6 roll.")</f>
        <v>Revive 1d6 targets, if any of those target's were enemies, 50% chance to recruit them to the casters side. Costs X*100SP where X is equal to your d6 roll.</v>
      </c>
      <c r="F63" s="16" t="str">
        <f>IFERROR(__xludf.DUMMYFUNCTION("""COMPUTED_VALUE"""),"Fail/Suceed")</f>
        <v>Fail/Suceed</v>
      </c>
      <c r="G63" s="16" t="str">
        <f>IFERROR(__xludf.DUMMYFUNCTION("""COMPUTED_VALUE"""),"d6")</f>
        <v>d6</v>
      </c>
      <c r="H63" s="16" t="str">
        <f>IFERROR(__xludf.DUMMYFUNCTION("""COMPUTED_VALUE"""),"Dark")</f>
        <v>Dark</v>
      </c>
    </row>
    <row r="64">
      <c r="A64" s="16" t="str">
        <f>IFERROR(__xludf.DUMMYFUNCTION("""COMPUTED_VALUE"""),"Chains of Shadow")</f>
        <v>Chains of Shadow</v>
      </c>
      <c r="B64" s="16">
        <f>IFERROR(__xludf.DUMMYFUNCTION("""COMPUTED_VALUE"""),4.0)</f>
        <v>4</v>
      </c>
      <c r="C64" s="16">
        <f>IFERROR(__xludf.DUMMYFUNCTION("""COMPUTED_VALUE"""),40.0)</f>
        <v>40</v>
      </c>
      <c r="D64" s="16"/>
      <c r="E64" s="16" t="str">
        <f>IFERROR(__xludf.DUMMYFUNCTION("""COMPUTED_VALUE"""),"Immobilizes 1 target Skipping there turn order for 3 rounds, 60% chance to immobilize another target.")</f>
        <v>Immobilizes 1 target Skipping there turn order for 3 rounds, 60% chance to immobilize another target.</v>
      </c>
      <c r="F64" s="16" t="str">
        <f>IFERROR(__xludf.DUMMYFUNCTION("""COMPUTED_VALUE"""),"Fail/Succeed")</f>
        <v>Fail/Succeed</v>
      </c>
      <c r="G64" s="16"/>
      <c r="H64" s="16" t="str">
        <f>IFERROR(__xludf.DUMMYFUNCTION("""COMPUTED_VALUE"""),"Dark")</f>
        <v>Dark</v>
      </c>
    </row>
    <row r="65">
      <c r="A65" s="16" t="str">
        <f>IFERROR(__xludf.DUMMYFUNCTION("""COMPUTED_VALUE"""),"Conceal")</f>
        <v>Conceal</v>
      </c>
      <c r="B65" s="16">
        <f>IFERROR(__xludf.DUMMYFUNCTION("""COMPUTED_VALUE"""),9.0)</f>
        <v>9</v>
      </c>
      <c r="C65" s="16">
        <f>IFERROR(__xludf.DUMMYFUNCTION("""COMPUTED_VALUE"""),300.0)</f>
        <v>300</v>
      </c>
      <c r="D65" s="16"/>
      <c r="E65" s="16" t="str">
        <f>IFERROR(__xludf.DUMMYFUNCTION("""COMPUTED_VALUE"""),"You are invisible and silent so long as you don’t attack. You cannot be attacked or affected by spells while invisible.")</f>
        <v>You are invisible and silent so long as you don’t attack. You cannot be attacked or affected by spells while invisible.</v>
      </c>
      <c r="F65" s="16" t="str">
        <f>IFERROR(__xludf.DUMMYFUNCTION("""COMPUTED_VALUE"""),"Fail/Succeed")</f>
        <v>Fail/Succeed</v>
      </c>
      <c r="G65" s="16"/>
      <c r="H65" s="16" t="str">
        <f>IFERROR(__xludf.DUMMYFUNCTION("""COMPUTED_VALUE"""),"Dark")</f>
        <v>Dark</v>
      </c>
    </row>
    <row r="66">
      <c r="A66" s="16" t="str">
        <f>IFERROR(__xludf.DUMMYFUNCTION("""COMPUTED_VALUE"""),"Corrupt")</f>
        <v>Corrupt</v>
      </c>
      <c r="B66" s="16">
        <f>IFERROR(__xludf.DUMMYFUNCTION("""COMPUTED_VALUE"""),4.0)</f>
        <v>4</v>
      </c>
      <c r="C66" s="16" t="str">
        <f>IFERROR(__xludf.DUMMYFUNCTION("""COMPUTED_VALUE"""),"X")</f>
        <v>X</v>
      </c>
      <c r="D66" s="16"/>
      <c r="E66" s="16" t="str">
        <f>IFERROR(__xludf.DUMMYFUNCTION("""COMPUTED_VALUE"""),"Target gains X*4 Dark damage and X*4 Dark resistance, can’t be used on self")</f>
        <v>Target gains X*4 Dark damage and X*4 Dark resistance, can’t be used on self</v>
      </c>
      <c r="F66" s="16" t="str">
        <f>IFERROR(__xludf.DUMMYFUNCTION("""COMPUTED_VALUE"""),"Will Succeed")</f>
        <v>Will Succeed</v>
      </c>
      <c r="G66" s="16"/>
      <c r="H66" s="16" t="str">
        <f>IFERROR(__xludf.DUMMYFUNCTION("""COMPUTED_VALUE"""),"Dark")</f>
        <v>Dark</v>
      </c>
    </row>
    <row r="67">
      <c r="A67" s="16" t="str">
        <f>IFERROR(__xludf.DUMMYFUNCTION("""COMPUTED_VALUE"""),"Creeping Darkness")</f>
        <v>Creeping Darkness</v>
      </c>
      <c r="B67" s="16">
        <f>IFERROR(__xludf.DUMMYFUNCTION("""COMPUTED_VALUE"""),5.0)</f>
        <v>5</v>
      </c>
      <c r="C67" s="16" t="str">
        <f>IFERROR(__xludf.DUMMYFUNCTION("""COMPUTED_VALUE"""),"X")</f>
        <v>X</v>
      </c>
      <c r="D67" s="16"/>
      <c r="E67" s="16" t="str">
        <f>IFERROR(__xludf.DUMMYFUNCTION("""COMPUTED_VALUE"""),"Deals X*25 Dark damage to all enemies where X is equal to SP spent.")</f>
        <v>Deals X*25 Dark damage to all enemies where X is equal to SP spent.</v>
      </c>
      <c r="F67" s="16" t="str">
        <f>IFERROR(__xludf.DUMMYFUNCTION("""COMPUTED_VALUE"""),"Cannot Avoid")</f>
        <v>Cannot Avoid</v>
      </c>
      <c r="G67" s="16" t="str">
        <f>IFERROR(__xludf.DUMMYFUNCTION("""COMPUTED_VALUE"""),"All")</f>
        <v>All</v>
      </c>
      <c r="H67" s="16" t="str">
        <f>IFERROR(__xludf.DUMMYFUNCTION("""COMPUTED_VALUE"""),"Dark")</f>
        <v>Dark</v>
      </c>
    </row>
    <row r="68">
      <c r="A68" s="16" t="str">
        <f>IFERROR(__xludf.DUMMYFUNCTION("""COMPUTED_VALUE"""),"Curse of Wasting")</f>
        <v>Curse of Wasting</v>
      </c>
      <c r="B68" s="16">
        <f>IFERROR(__xludf.DUMMYFUNCTION("""COMPUTED_VALUE"""),5.0)</f>
        <v>5</v>
      </c>
      <c r="C68" s="16" t="str">
        <f>IFERROR(__xludf.DUMMYFUNCTION("""COMPUTED_VALUE"""),"X")</f>
        <v>X</v>
      </c>
      <c r="D68" s="16"/>
      <c r="E68" s="16" t="str">
        <f>IFERROR(__xludf.DUMMYFUNCTION("""COMPUTED_VALUE"""),"Deals X*50 Dark damage per round for 3 rounds to a single target where X is equal to SP spent.")</f>
        <v>Deals X*50 Dark damage per round for 3 rounds to a single target where X is equal to SP spent.</v>
      </c>
      <c r="F68" s="16" t="str">
        <f>IFERROR(__xludf.DUMMYFUNCTION("""COMPUTED_VALUE"""),"Hit/Miss")</f>
        <v>Hit/Miss</v>
      </c>
      <c r="G68" s="16">
        <f>IFERROR(__xludf.DUMMYFUNCTION("""COMPUTED_VALUE"""),1.0)</f>
        <v>1</v>
      </c>
      <c r="H68" s="16" t="str">
        <f>IFERROR(__xludf.DUMMYFUNCTION("""COMPUTED_VALUE"""),"Dark")</f>
        <v>Dark</v>
      </c>
    </row>
    <row r="69">
      <c r="A69" s="16" t="str">
        <f>IFERROR(__xludf.DUMMYFUNCTION("""COMPUTED_VALUE"""),"Dark Bolt")</f>
        <v>Dark Bolt</v>
      </c>
      <c r="B69" s="16">
        <f>IFERROR(__xludf.DUMMYFUNCTION("""COMPUTED_VALUE"""),1.0)</f>
        <v>1</v>
      </c>
      <c r="C69" s="16" t="str">
        <f>IFERROR(__xludf.DUMMYFUNCTION("""COMPUTED_VALUE"""),"X")</f>
        <v>X</v>
      </c>
      <c r="D69" s="16"/>
      <c r="E69" s="16" t="str">
        <f>IFERROR(__xludf.DUMMYFUNCTION("""COMPUTED_VALUE"""),"Deals X*100 Dark damage to a single enemy where X is equal to SP spent.")</f>
        <v>Deals X*100 Dark damage to a single enemy where X is equal to SP spent.</v>
      </c>
      <c r="F69" s="16" t="str">
        <f>IFERROR(__xludf.DUMMYFUNCTION("""COMPUTED_VALUE"""),"Hit/Miss")</f>
        <v>Hit/Miss</v>
      </c>
      <c r="G69" s="16">
        <f>IFERROR(__xludf.DUMMYFUNCTION("""COMPUTED_VALUE"""),1.0)</f>
        <v>1</v>
      </c>
      <c r="H69" s="16" t="str">
        <f>IFERROR(__xludf.DUMMYFUNCTION("""COMPUTED_VALUE"""),"Dark")</f>
        <v>Dark</v>
      </c>
    </row>
    <row r="70">
      <c r="A70" s="16" t="str">
        <f>IFERROR(__xludf.DUMMYFUNCTION("""COMPUTED_VALUE"""),"Dark Curse")</f>
        <v>Dark Curse</v>
      </c>
      <c r="B70" s="16">
        <f>IFERROR(__xludf.DUMMYFUNCTION("""COMPUTED_VALUE"""),7.0)</f>
        <v>7</v>
      </c>
      <c r="C70" s="16">
        <f>IFERROR(__xludf.DUMMYFUNCTION("""COMPUTED_VALUE"""),70.0)</f>
        <v>70</v>
      </c>
      <c r="D70" s="16"/>
      <c r="E70" s="16" t="str">
        <f>IFERROR(__xludf.DUMMYFUNCTION("""COMPUTED_VALUE"""),"All targets take 8000 dark damage and skip turn order for 3 rounds and causes the arena to be dark for 3 rounds.")</f>
        <v>All targets take 8000 dark damage and skip turn order for 3 rounds and causes the arena to be dark for 3 rounds.</v>
      </c>
      <c r="F70" s="16" t="str">
        <f>IFERROR(__xludf.DUMMYFUNCTION("""COMPUTED_VALUE"""),"Fail or Succeed")</f>
        <v>Fail or Succeed</v>
      </c>
      <c r="G70" s="16"/>
      <c r="H70" s="16" t="str">
        <f>IFERROR(__xludf.DUMMYFUNCTION("""COMPUTED_VALUE"""),"Dark")</f>
        <v>Dark</v>
      </c>
    </row>
    <row r="71">
      <c r="A71" s="16" t="str">
        <f>IFERROR(__xludf.DUMMYFUNCTION("""COMPUTED_VALUE"""),"Dark Sacrifice")</f>
        <v>Dark Sacrifice</v>
      </c>
      <c r="B71" s="16">
        <f>IFERROR(__xludf.DUMMYFUNCTION("""COMPUTED_VALUE"""),6.0)</f>
        <v>6</v>
      </c>
      <c r="C71" s="16">
        <f>IFERROR(__xludf.DUMMYFUNCTION("""COMPUTED_VALUE"""),60.0)</f>
        <v>60</v>
      </c>
      <c r="D71" s="16"/>
      <c r="E71" s="16" t="str">
        <f>IFERROR(__xludf.DUMMYFUNCTION("""COMPUTED_VALUE"""),"Caster takes damage equal to half their hp and selects 1 target to be revived.")</f>
        <v>Caster takes damage equal to half their hp and selects 1 target to be revived.</v>
      </c>
      <c r="F71" s="16" t="str">
        <f>IFERROR(__xludf.DUMMYFUNCTION("""COMPUTED_VALUE"""),"Will Succeed")</f>
        <v>Will Succeed</v>
      </c>
      <c r="G71" s="16"/>
      <c r="H71" s="16" t="str">
        <f>IFERROR(__xludf.DUMMYFUNCTION("""COMPUTED_VALUE"""),"Dark")</f>
        <v>Dark</v>
      </c>
    </row>
    <row r="72">
      <c r="A72" s="16" t="str">
        <f>IFERROR(__xludf.DUMMYFUNCTION("""COMPUTED_VALUE"""),"Darkest Abyss")</f>
        <v>Darkest Abyss</v>
      </c>
      <c r="B72" s="16">
        <f>IFERROR(__xludf.DUMMYFUNCTION("""COMPUTED_VALUE"""),9.0)</f>
        <v>9</v>
      </c>
      <c r="C72" s="16">
        <f>IFERROR(__xludf.DUMMYFUNCTION("""COMPUTED_VALUE"""),300.0)</f>
        <v>300</v>
      </c>
      <c r="D72" s="16"/>
      <c r="E72" s="16" t="str">
        <f>IFERROR(__xludf.DUMMYFUNCTION("""COMPUTED_VALUE"""),"50,000 dark damage to all enemies. 50% chance of instant death and causes the arena to be dark for 3 rounds..")</f>
        <v>50,000 dark damage to all enemies. 50% chance of instant death and causes the arena to be dark for 3 rounds..</v>
      </c>
      <c r="F72" s="16" t="str">
        <f>IFERROR(__xludf.DUMMYFUNCTION("""COMPUTED_VALUE"""),"Cannot be avoided")</f>
        <v>Cannot be avoided</v>
      </c>
      <c r="G72" s="16">
        <f>IFERROR(__xludf.DUMMYFUNCTION("""COMPUTED_VALUE"""),1.0)</f>
        <v>1</v>
      </c>
      <c r="H72" s="16" t="str">
        <f>IFERROR(__xludf.DUMMYFUNCTION("""COMPUTED_VALUE"""),"Dark")</f>
        <v>Dark</v>
      </c>
    </row>
    <row r="73">
      <c r="A73" s="16" t="str">
        <f>IFERROR(__xludf.DUMMYFUNCTION("""COMPUTED_VALUE"""),"Devolve")</f>
        <v>Devolve</v>
      </c>
      <c r="B73" s="16">
        <f>IFERROR(__xludf.DUMMYFUNCTION("""COMPUTED_VALUE"""),8.0)</f>
        <v>8</v>
      </c>
      <c r="C73" s="16" t="str">
        <f>IFERROR(__xludf.DUMMYFUNCTION("""COMPUTED_VALUE"""),"X")</f>
        <v>X</v>
      </c>
      <c r="D73" s="16"/>
      <c r="E73" s="16" t="str">
        <f>IFERROR(__xludf.DUMMYFUNCTION("""COMPUTED_VALUE"""),"Decrease a targets base stats by X*100")</f>
        <v>Decrease a targets base stats by X*100</v>
      </c>
      <c r="F73" s="16" t="str">
        <f>IFERROR(__xludf.DUMMYFUNCTION("""COMPUTED_VALUE"""),"Fail/Succeed")</f>
        <v>Fail/Succeed</v>
      </c>
      <c r="G73" s="16"/>
      <c r="H73" s="16" t="str">
        <f>IFERROR(__xludf.DUMMYFUNCTION("""COMPUTED_VALUE"""),"Dark")</f>
        <v>Dark</v>
      </c>
    </row>
    <row r="74">
      <c r="A74" s="16" t="str">
        <f>IFERROR(__xludf.DUMMYFUNCTION("""COMPUTED_VALUE"""),"Mass Curse of Wasting")</f>
        <v>Mass Curse of Wasting</v>
      </c>
      <c r="B74" s="16">
        <f>IFERROR(__xludf.DUMMYFUNCTION("""COMPUTED_VALUE"""),6.0)</f>
        <v>6</v>
      </c>
      <c r="C74" s="16" t="str">
        <f>IFERROR(__xludf.DUMMYFUNCTION("""COMPUTED_VALUE"""),"X")</f>
        <v>X</v>
      </c>
      <c r="D74" s="16"/>
      <c r="E74" s="16" t="str">
        <f>IFERROR(__xludf.DUMMYFUNCTION("""COMPUTED_VALUE"""),"Deals X*10 Dark damage per round to all enemies for 3 rounds where X is equal to SP spent.")</f>
        <v>Deals X*10 Dark damage per round to all enemies for 3 rounds where X is equal to SP spent.</v>
      </c>
      <c r="F74" s="16" t="str">
        <f>IFERROR(__xludf.DUMMYFUNCTION("""COMPUTED_VALUE"""),"Cannot Avoid")</f>
        <v>Cannot Avoid</v>
      </c>
      <c r="G74" s="16" t="str">
        <f>IFERROR(__xludf.DUMMYFUNCTION("""COMPUTED_VALUE"""),"All")</f>
        <v>All</v>
      </c>
      <c r="H74" s="16" t="str">
        <f>IFERROR(__xludf.DUMMYFUNCTION("""COMPUTED_VALUE"""),"Dark")</f>
        <v>Dark</v>
      </c>
    </row>
    <row r="75">
      <c r="A75" s="16" t="str">
        <f>IFERROR(__xludf.DUMMYFUNCTION("""COMPUTED_VALUE"""),"Multi Vanish")</f>
        <v>Multi Vanish</v>
      </c>
      <c r="B75" s="16">
        <f>IFERROR(__xludf.DUMMYFUNCTION("""COMPUTED_VALUE"""),9.0)</f>
        <v>9</v>
      </c>
      <c r="C75" s="16">
        <f>IFERROR(__xludf.DUMMYFUNCTION("""COMPUTED_VALUE"""),300.0)</f>
        <v>300</v>
      </c>
      <c r="D75" s="16"/>
      <c r="E75" s="16" t="str">
        <f>IFERROR(__xludf.DUMMYFUNCTION("""COMPUTED_VALUE"""),"Caster and all allies Gain invulnerability for 3 rounds, Caster and allies are unable to inflict any non-magic damage for 3 rounds.")</f>
        <v>Caster and all allies Gain invulnerability for 3 rounds, Caster and allies are unable to inflict any non-magic damage for 3 rounds.</v>
      </c>
      <c r="F75" s="16" t="str">
        <f>IFERROR(__xludf.DUMMYFUNCTION("""COMPUTED_VALUE"""),"Fail/succeed")</f>
        <v>Fail/succeed</v>
      </c>
      <c r="G75" s="16"/>
      <c r="H75" s="16" t="str">
        <f>IFERROR(__xludf.DUMMYFUNCTION("""COMPUTED_VALUE"""),"Dark")</f>
        <v>Dark</v>
      </c>
    </row>
    <row r="76">
      <c r="A76" s="16" t="str">
        <f>IFERROR(__xludf.DUMMYFUNCTION("""COMPUTED_VALUE"""),"Pick Pocket")</f>
        <v>Pick Pocket</v>
      </c>
      <c r="B76" s="16">
        <f>IFERROR(__xludf.DUMMYFUNCTION("""COMPUTED_VALUE"""),1.0)</f>
        <v>1</v>
      </c>
      <c r="C76" s="16">
        <f>IFERROR(__xludf.DUMMYFUNCTION("""COMPUTED_VALUE"""),0.0)</f>
        <v>0</v>
      </c>
      <c r="D76" s="16"/>
      <c r="E76" s="16" t="str">
        <f>IFERROR(__xludf.DUMMYFUNCTION("""COMPUTED_VALUE"""),"Take lowest item from targets loot table (if Player take the first item listed in their backpack). Can only take from 1 target per battle.")</f>
        <v>Take lowest item from targets loot table (if Player take the first item listed in their backpack). Can only take from 1 target per battle.</v>
      </c>
      <c r="F76" s="16" t="str">
        <f>IFERROR(__xludf.DUMMYFUNCTION("""COMPUTED_VALUE"""),"Natural/Fail or Succeed")</f>
        <v>Natural/Fail or Succeed</v>
      </c>
      <c r="G76" s="16"/>
      <c r="H76" s="16" t="str">
        <f>IFERROR(__xludf.DUMMYFUNCTION("""COMPUTED_VALUE"""),"Dark")</f>
        <v>Dark</v>
      </c>
    </row>
    <row r="77">
      <c r="A77" s="16" t="str">
        <f>IFERROR(__xludf.DUMMYFUNCTION("""COMPUTED_VALUE"""),"Raise Dead")</f>
        <v>Raise Dead</v>
      </c>
      <c r="B77" s="16">
        <f>IFERROR(__xludf.DUMMYFUNCTION("""COMPUTED_VALUE"""),9.0)</f>
        <v>9</v>
      </c>
      <c r="C77" s="16">
        <f>IFERROR(__xludf.DUMMYFUNCTION("""COMPUTED_VALUE"""),300.0)</f>
        <v>300</v>
      </c>
      <c r="D77" s="16"/>
      <c r="E77" s="16" t="str">
        <f>IFERROR(__xludf.DUMMYFUNCTION("""COMPUTED_VALUE"""),"Return a target from death with half their HP, must be done before they respawn")</f>
        <v>Return a target from death with half their HP, must be done before they respawn</v>
      </c>
      <c r="F77" s="16" t="str">
        <f>IFERROR(__xludf.DUMMYFUNCTION("""COMPUTED_VALUE"""),"Fail/succeed")</f>
        <v>Fail/succeed</v>
      </c>
      <c r="G77" s="16">
        <f>IFERROR(__xludf.DUMMYFUNCTION("""COMPUTED_VALUE"""),1.0)</f>
        <v>1</v>
      </c>
      <c r="H77" s="16" t="str">
        <f>IFERROR(__xludf.DUMMYFUNCTION("""COMPUTED_VALUE"""),"Dark")</f>
        <v>Dark</v>
      </c>
    </row>
    <row r="78">
      <c r="A78" s="16" t="str">
        <f>IFERROR(__xludf.DUMMYFUNCTION("""COMPUTED_VALUE"""),"Regress")</f>
        <v>Regress</v>
      </c>
      <c r="B78" s="16">
        <f>IFERROR(__xludf.DUMMYFUNCTION("""COMPUTED_VALUE"""),3.0)</f>
        <v>3</v>
      </c>
      <c r="C78" s="16" t="str">
        <f>IFERROR(__xludf.DUMMYFUNCTION("""COMPUTED_VALUE"""),"X")</f>
        <v>X</v>
      </c>
      <c r="D78" s="16"/>
      <c r="E78" s="16" t="str">
        <f>IFERROR(__xludf.DUMMYFUNCTION("""COMPUTED_VALUE"""),"All target’s base stats are reduced by X*2 until the end of battle.")</f>
        <v>All target’s base stats are reduced by X*2 until the end of battle.</v>
      </c>
      <c r="F78" s="16" t="str">
        <f>IFERROR(__xludf.DUMMYFUNCTION("""COMPUTED_VALUE"""),"Fail/Succeed")</f>
        <v>Fail/Succeed</v>
      </c>
      <c r="G78" s="16"/>
      <c r="H78" s="16" t="str">
        <f>IFERROR(__xludf.DUMMYFUNCTION("""COMPUTED_VALUE"""),"Dark")</f>
        <v>Dark</v>
      </c>
    </row>
    <row r="79">
      <c r="A79" s="16" t="str">
        <f>IFERROR(__xludf.DUMMYFUNCTION("""COMPUTED_VALUE"""),"Shade")</f>
        <v>Shade</v>
      </c>
      <c r="B79" s="16">
        <f>IFERROR(__xludf.DUMMYFUNCTION("""COMPUTED_VALUE"""),1.0)</f>
        <v>1</v>
      </c>
      <c r="C79" s="16">
        <f>IFERROR(__xludf.DUMMYFUNCTION("""COMPUTED_VALUE"""),10.0)</f>
        <v>10</v>
      </c>
      <c r="D79" s="16"/>
      <c r="E79" s="16" t="str">
        <f>IFERROR(__xludf.DUMMYFUNCTION("""COMPUTED_VALUE"""),"1000 dark damage and causes the arena to be dark for 3 rounds.")</f>
        <v>1000 dark damage and causes the arena to be dark for 3 rounds.</v>
      </c>
      <c r="F79" s="16" t="str">
        <f>IFERROR(__xludf.DUMMYFUNCTION("""COMPUTED_VALUE"""),"Hit or Miss")</f>
        <v>Hit or Miss</v>
      </c>
      <c r="G79" s="16">
        <f>IFERROR(__xludf.DUMMYFUNCTION("""COMPUTED_VALUE"""),1.0)</f>
        <v>1</v>
      </c>
      <c r="H79" s="16" t="str">
        <f>IFERROR(__xludf.DUMMYFUNCTION("""COMPUTED_VALUE"""),"Dark")</f>
        <v>Dark</v>
      </c>
    </row>
    <row r="80">
      <c r="A80" s="16" t="str">
        <f>IFERROR(__xludf.DUMMYFUNCTION("""COMPUTED_VALUE"""),"Shadow")</f>
        <v>Shadow</v>
      </c>
      <c r="B80" s="16">
        <f>IFERROR(__xludf.DUMMYFUNCTION("""COMPUTED_VALUE"""),4.0)</f>
        <v>4</v>
      </c>
      <c r="C80" s="16">
        <f>IFERROR(__xludf.DUMMYFUNCTION("""COMPUTED_VALUE"""),40.0)</f>
        <v>40</v>
      </c>
      <c r="D80" s="16"/>
      <c r="E80" s="16" t="str">
        <f>IFERROR(__xludf.DUMMYFUNCTION("""COMPUTED_VALUE"""),"4000 Dark Damage, Stun 3 and causes the arena to be dark for 3 rounds.")</f>
        <v>4000 Dark Damage, Stun 3 and causes the arena to be dark for 3 rounds.</v>
      </c>
      <c r="F80" s="16" t="str">
        <f>IFERROR(__xludf.DUMMYFUNCTION("""COMPUTED_VALUE"""),"Hit or Miss")</f>
        <v>Hit or Miss</v>
      </c>
      <c r="G80" s="16">
        <f>IFERROR(__xludf.DUMMYFUNCTION("""COMPUTED_VALUE"""),1.0)</f>
        <v>1</v>
      </c>
      <c r="H80" s="16" t="str">
        <f>IFERROR(__xludf.DUMMYFUNCTION("""COMPUTED_VALUE"""),"Dark")</f>
        <v>Dark</v>
      </c>
    </row>
    <row r="81">
      <c r="A81" s="16" t="str">
        <f>IFERROR(__xludf.DUMMYFUNCTION("""COMPUTED_VALUE"""),"Shadow Strike")</f>
        <v>Shadow Strike</v>
      </c>
      <c r="B81" s="16">
        <f>IFERROR(__xludf.DUMMYFUNCTION("""COMPUTED_VALUE"""),9.0)</f>
        <v>9</v>
      </c>
      <c r="C81" s="16">
        <f>IFERROR(__xludf.DUMMYFUNCTION("""COMPUTED_VALUE"""),300.0)</f>
        <v>300</v>
      </c>
      <c r="D81" s="16"/>
      <c r="E81" s="16" t="str">
        <f>IFERROR(__xludf.DUMMYFUNCTION("""COMPUTED_VALUE"""),"You hide away the turn you use this spell, You cannot be attacked or affected by spells while hidden. On your next turn you attack a random enemy dealing 20,000 Dark  damage; this does not count as your next turns action.")</f>
        <v>You hide away the turn you use this spell, You cannot be attacked or affected by spells while hidden. On your next turn you attack a random enemy dealing 20,000 Dark  damage; this does not count as your next turns action.</v>
      </c>
      <c r="F81" s="16" t="str">
        <f>IFERROR(__xludf.DUMMYFUNCTION("""COMPUTED_VALUE"""),"Fail/succeed")</f>
        <v>Fail/succeed</v>
      </c>
      <c r="G81" s="16" t="str">
        <f>IFERROR(__xludf.DUMMYFUNCTION("""COMPUTED_VALUE"""),"Self")</f>
        <v>Self</v>
      </c>
      <c r="H81" s="16" t="str">
        <f>IFERROR(__xludf.DUMMYFUNCTION("""COMPUTED_VALUE"""),"Dark")</f>
        <v>Dark</v>
      </c>
    </row>
    <row r="82">
      <c r="A82" s="16" t="str">
        <f>IFERROR(__xludf.DUMMYFUNCTION("""COMPUTED_VALUE"""),"Shadow Vanish")</f>
        <v>Shadow Vanish</v>
      </c>
      <c r="B82" s="16">
        <f>IFERROR(__xludf.DUMMYFUNCTION("""COMPUTED_VALUE"""),9.0)</f>
        <v>9</v>
      </c>
      <c r="C82" s="16">
        <f>IFERROR(__xludf.DUMMYFUNCTION("""COMPUTED_VALUE"""),300.0)</f>
        <v>300</v>
      </c>
      <c r="D82" s="16"/>
      <c r="E82" s="16" t="str">
        <f>IFERROR(__xludf.DUMMYFUNCTION("""COMPUTED_VALUE"""),"Gain invulnerability for 3 rounds, you are unable to inflict any non-magic damage for 3 rounds")</f>
        <v>Gain invulnerability for 3 rounds, you are unable to inflict any non-magic damage for 3 rounds</v>
      </c>
      <c r="F82" s="16" t="str">
        <f>IFERROR(__xludf.DUMMYFUNCTION("""COMPUTED_VALUE"""),"Fail/succeed")</f>
        <v>Fail/succeed</v>
      </c>
      <c r="G82" s="16">
        <f>IFERROR(__xludf.DUMMYFUNCTION("""COMPUTED_VALUE"""),1.0)</f>
        <v>1</v>
      </c>
      <c r="H82" s="16" t="str">
        <f>IFERROR(__xludf.DUMMYFUNCTION("""COMPUTED_VALUE"""),"Dark")</f>
        <v>Dark</v>
      </c>
    </row>
    <row r="83">
      <c r="A83" s="16" t="str">
        <f>IFERROR(__xludf.DUMMYFUNCTION("""COMPUTED_VALUE"""),"Chaincast")</f>
        <v>Chaincast</v>
      </c>
      <c r="B83" s="16">
        <f>IFERROR(__xludf.DUMMYFUNCTION("""COMPUTED_VALUE"""),9.0)</f>
        <v>9</v>
      </c>
      <c r="C83" s="16">
        <f>IFERROR(__xludf.DUMMYFUNCTION("""COMPUTED_VALUE"""),700.0)</f>
        <v>700</v>
      </c>
      <c r="D83" s="16"/>
      <c r="E83" s="16" t="str">
        <f>IFERROR(__xludf.DUMMYFUNCTION("""COMPUTED_VALUE"""),"Caster can perform two spells per turn for the rest of the battle. All spells cost 2x more than the normal SP cost.")</f>
        <v>Caster can perform two spells per turn for the rest of the battle. All spells cost 2x more than the normal SP cost.</v>
      </c>
      <c r="F83" s="16" t="str">
        <f>IFERROR(__xludf.DUMMYFUNCTION("""COMPUTED_VALUE"""),"Will Succeed")</f>
        <v>Will Succeed</v>
      </c>
      <c r="G83" s="16"/>
      <c r="H83" s="16" t="str">
        <f>IFERROR(__xludf.DUMMYFUNCTION("""COMPUTED_VALUE"""),"Delta")</f>
        <v>Delta</v>
      </c>
    </row>
    <row r="84">
      <c r="A84" s="16" t="str">
        <f>IFERROR(__xludf.DUMMYFUNCTION("""COMPUTED_VALUE"""),"Delta Ball")</f>
        <v>Delta Ball</v>
      </c>
      <c r="B84" s="16">
        <f>IFERROR(__xludf.DUMMYFUNCTION("""COMPUTED_VALUE"""),4.0)</f>
        <v>4</v>
      </c>
      <c r="C84" s="16">
        <f>IFERROR(__xludf.DUMMYFUNCTION("""COMPUTED_VALUE"""),40.0)</f>
        <v>40</v>
      </c>
      <c r="D84" s="16"/>
      <c r="E84" s="16" t="str">
        <f>IFERROR(__xludf.DUMMYFUNCTION("""COMPUTED_VALUE"""),"Drains 4000 SP from the target.")</f>
        <v>Drains 4000 SP from the target.</v>
      </c>
      <c r="F84" s="16" t="str">
        <f>IFERROR(__xludf.DUMMYFUNCTION("""COMPUTED_VALUE"""),"Hit/Miss")</f>
        <v>Hit/Miss</v>
      </c>
      <c r="G84" s="16">
        <f>IFERROR(__xludf.DUMMYFUNCTION("""COMPUTED_VALUE"""),1.0)</f>
        <v>1</v>
      </c>
      <c r="H84" s="16" t="str">
        <f>IFERROR(__xludf.DUMMYFUNCTION("""COMPUTED_VALUE"""),"Delta")</f>
        <v>Delta</v>
      </c>
    </row>
    <row r="85">
      <c r="A85" s="16" t="str">
        <f>IFERROR(__xludf.DUMMYFUNCTION("""COMPUTED_VALUE"""),"Delta Beam")</f>
        <v>Delta Beam</v>
      </c>
      <c r="B85" s="16">
        <f>IFERROR(__xludf.DUMMYFUNCTION("""COMPUTED_VALUE"""),6.0)</f>
        <v>6</v>
      </c>
      <c r="C85" s="16">
        <f>IFERROR(__xludf.DUMMYFUNCTION("""COMPUTED_VALUE"""),120.0)</f>
        <v>120</v>
      </c>
      <c r="D85" s="16"/>
      <c r="E85" s="16" t="str">
        <f>IFERROR(__xludf.DUMMYFUNCTION("""COMPUTED_VALUE"""),"Deals 6000 delta damage and drains 6000 sp from the target.")</f>
        <v>Deals 6000 delta damage and drains 6000 sp from the target.</v>
      </c>
      <c r="F85" s="16" t="str">
        <f>IFERROR(__xludf.DUMMYFUNCTION("""COMPUTED_VALUE"""),"Hit/Miss")</f>
        <v>Hit/Miss</v>
      </c>
      <c r="G85" s="16">
        <f>IFERROR(__xludf.DUMMYFUNCTION("""COMPUTED_VALUE"""),1.0)</f>
        <v>1</v>
      </c>
      <c r="H85" s="16" t="str">
        <f>IFERROR(__xludf.DUMMYFUNCTION("""COMPUTED_VALUE"""),"Delta")</f>
        <v>Delta</v>
      </c>
    </row>
    <row r="86">
      <c r="A86" s="16" t="str">
        <f>IFERROR(__xludf.DUMMYFUNCTION("""COMPUTED_VALUE"""),"Delta Blast")</f>
        <v>Delta Blast</v>
      </c>
      <c r="B86" s="16">
        <f>IFERROR(__xludf.DUMMYFUNCTION("""COMPUTED_VALUE"""),6.0)</f>
        <v>6</v>
      </c>
      <c r="C86" s="16">
        <f>IFERROR(__xludf.DUMMYFUNCTION("""COMPUTED_VALUE"""),240.0)</f>
        <v>240</v>
      </c>
      <c r="D86" s="16"/>
      <c r="E86" s="16" t="str">
        <f>IFERROR(__xludf.DUMMYFUNCTION("""COMPUTED_VALUE"""),"6000 undefendable Delta damage to all enemies, when in a dungeon knocks back enemies 3 spaces.")</f>
        <v>6000 undefendable Delta damage to all enemies, when in a dungeon knocks back enemies 3 spaces.</v>
      </c>
      <c r="F86" s="16" t="str">
        <f>IFERROR(__xludf.DUMMYFUNCTION("""COMPUTED_VALUE"""),"Cannot Avoid")</f>
        <v>Cannot Avoid</v>
      </c>
      <c r="G86" s="16"/>
      <c r="H86" s="16" t="str">
        <f>IFERROR(__xludf.DUMMYFUNCTION("""COMPUTED_VALUE"""),"Delta")</f>
        <v>Delta</v>
      </c>
    </row>
    <row r="87">
      <c r="A87" s="16" t="str">
        <f>IFERROR(__xludf.DUMMYFUNCTION("""COMPUTED_VALUE"""),"Delta Obelisk")</f>
        <v>Delta Obelisk</v>
      </c>
      <c r="B87" s="16">
        <f>IFERROR(__xludf.DUMMYFUNCTION("""COMPUTED_VALUE"""),8.0)</f>
        <v>8</v>
      </c>
      <c r="C87" s="16">
        <f>IFERROR(__xludf.DUMMYFUNCTION("""COMPUTED_VALUE"""),600.0)</f>
        <v>600</v>
      </c>
      <c r="D87" s="16"/>
      <c r="E87" s="16" t="str">
        <f>IFERROR(__xludf.DUMMYFUNCTION("""COMPUTED_VALUE"""),"Raises an Obelisk from the ground. All delta damage dealt for the next 3 rounds of the battle restores the users SP equal to the damage they cause while this effect is active..")</f>
        <v>Raises an Obelisk from the ground. All delta damage dealt for the next 3 rounds of the battle restores the users SP equal to the damage they cause while this effect is active..</v>
      </c>
      <c r="F87" s="16" t="str">
        <f>IFERROR(__xludf.DUMMYFUNCTION("""COMPUTED_VALUE"""),"Will Succeed")</f>
        <v>Will Succeed</v>
      </c>
      <c r="G87" s="16"/>
      <c r="H87" s="16" t="str">
        <f>IFERROR(__xludf.DUMMYFUNCTION("""COMPUTED_VALUE"""),"Delta")</f>
        <v>Delta</v>
      </c>
    </row>
    <row r="88">
      <c r="A88" s="16" t="str">
        <f>IFERROR(__xludf.DUMMYFUNCTION("""COMPUTED_VALUE"""),"Delta Pulse")</f>
        <v>Delta Pulse</v>
      </c>
      <c r="B88" s="16">
        <f>IFERROR(__xludf.DUMMYFUNCTION("""COMPUTED_VALUE"""),5.0)</f>
        <v>5</v>
      </c>
      <c r="C88" s="16" t="str">
        <f>IFERROR(__xludf.DUMMYFUNCTION("""COMPUTED_VALUE"""),"X")</f>
        <v>X</v>
      </c>
      <c r="D88" s="16"/>
      <c r="E88" s="16" t="str">
        <f>IFERROR(__xludf.DUMMYFUNCTION("""COMPUTED_VALUE"""),"Deals X*25 Delta damage to all enemies where X is equal to SP spent.")</f>
        <v>Deals X*25 Delta damage to all enemies where X is equal to SP spent.</v>
      </c>
      <c r="F88" s="16" t="str">
        <f>IFERROR(__xludf.DUMMYFUNCTION("""COMPUTED_VALUE"""),"Cannot Avoid")</f>
        <v>Cannot Avoid</v>
      </c>
      <c r="G88" s="16" t="str">
        <f>IFERROR(__xludf.DUMMYFUNCTION("""COMPUTED_VALUE"""),"All")</f>
        <v>All</v>
      </c>
      <c r="H88" s="16" t="str">
        <f>IFERROR(__xludf.DUMMYFUNCTION("""COMPUTED_VALUE"""),"Delta")</f>
        <v>Delta</v>
      </c>
    </row>
    <row r="89">
      <c r="A89" s="16" t="str">
        <f>IFERROR(__xludf.DUMMYFUNCTION("""COMPUTED_VALUE"""),"Delta Rock")</f>
        <v>Delta Rock</v>
      </c>
      <c r="B89" s="16">
        <f>IFERROR(__xludf.DUMMYFUNCTION("""COMPUTED_VALUE"""),7.0)</f>
        <v>7</v>
      </c>
      <c r="C89" s="16">
        <f>IFERROR(__xludf.DUMMYFUNCTION("""COMPUTED_VALUE"""),500.0)</f>
        <v>500</v>
      </c>
      <c r="D89" s="16"/>
      <c r="E89" s="16" t="str">
        <f>IFERROR(__xludf.DUMMYFUNCTION("""COMPUTED_VALUE"""),"Unleashes a wave of sound. No spell can be casted for the rest of the round.")</f>
        <v>Unleashes a wave of sound. No spell can be casted for the rest of the round.</v>
      </c>
      <c r="F89" s="16" t="str">
        <f>IFERROR(__xludf.DUMMYFUNCTION("""COMPUTED_VALUE"""),"Fail/Succeed")</f>
        <v>Fail/Succeed</v>
      </c>
      <c r="G89" s="16"/>
      <c r="H89" s="16" t="str">
        <f>IFERROR(__xludf.DUMMYFUNCTION("""COMPUTED_VALUE"""),"Delta")</f>
        <v>Delta</v>
      </c>
    </row>
    <row r="90">
      <c r="A90" s="16" t="str">
        <f>IFERROR(__xludf.DUMMYFUNCTION("""COMPUTED_VALUE"""),"Delta Rock &amp; Roll")</f>
        <v>Delta Rock &amp; Roll</v>
      </c>
      <c r="B90" s="16">
        <f>IFERROR(__xludf.DUMMYFUNCTION("""COMPUTED_VALUE"""),8.0)</f>
        <v>8</v>
      </c>
      <c r="C90" s="16" t="str">
        <f>IFERROR(__xludf.DUMMYFUNCTION("""COMPUTED_VALUE"""),"X*600")</f>
        <v>X*600</v>
      </c>
      <c r="D90" s="16"/>
      <c r="E90" s="16" t="str">
        <f>IFERROR(__xludf.DUMMYFUNCTION("""COMPUTED_VALUE"""),"Target enemies are incapable of performing an action for 3 rounds. X=number of enemies.")</f>
        <v>Target enemies are incapable of performing an action for 3 rounds. X=number of enemies.</v>
      </c>
      <c r="F90" s="16" t="str">
        <f>IFERROR(__xludf.DUMMYFUNCTION("""COMPUTED_VALUE"""),"Fail/Succeed")</f>
        <v>Fail/Succeed</v>
      </c>
      <c r="G90" s="16"/>
      <c r="H90" s="16" t="str">
        <f>IFERROR(__xludf.DUMMYFUNCTION("""COMPUTED_VALUE"""),"Delta")</f>
        <v>Delta</v>
      </c>
    </row>
    <row r="91">
      <c r="A91" s="16" t="str">
        <f>IFERROR(__xludf.DUMMYFUNCTION("""COMPUTED_VALUE"""),"Delta Roll")</f>
        <v>Delta Roll</v>
      </c>
      <c r="B91" s="16">
        <f>IFERROR(__xludf.DUMMYFUNCTION("""COMPUTED_VALUE"""),7.0)</f>
        <v>7</v>
      </c>
      <c r="C91" s="16">
        <f>IFERROR(__xludf.DUMMYFUNCTION("""COMPUTED_VALUE"""),500.0)</f>
        <v>500</v>
      </c>
      <c r="D91" s="16"/>
      <c r="E91" s="16" t="str">
        <f>IFERROR(__xludf.DUMMYFUNCTION("""COMPUTED_VALUE"""),"Makes everyone incapable of attacking for the rest of the round.")</f>
        <v>Makes everyone incapable of attacking for the rest of the round.</v>
      </c>
      <c r="F91" s="16" t="str">
        <f>IFERROR(__xludf.DUMMYFUNCTION("""COMPUTED_VALUE"""),"FailSucceed")</f>
        <v>FailSucceed</v>
      </c>
      <c r="G91" s="16"/>
      <c r="H91" s="16" t="str">
        <f>IFERROR(__xludf.DUMMYFUNCTION("""COMPUTED_VALUE"""),"Delta")</f>
        <v>Delta</v>
      </c>
    </row>
    <row r="92">
      <c r="A92" s="16" t="str">
        <f>IFERROR(__xludf.DUMMYFUNCTION("""COMPUTED_VALUE"""),"Delta Strike")</f>
        <v>Delta Strike</v>
      </c>
      <c r="B92" s="16">
        <f>IFERROR(__xludf.DUMMYFUNCTION("""COMPUTED_VALUE"""),1.0)</f>
        <v>1</v>
      </c>
      <c r="C92" s="16" t="str">
        <f>IFERROR(__xludf.DUMMYFUNCTION("""COMPUTED_VALUE"""),"X")</f>
        <v>X</v>
      </c>
      <c r="D92" s="16"/>
      <c r="E92" s="16" t="str">
        <f>IFERROR(__xludf.DUMMYFUNCTION("""COMPUTED_VALUE"""),"Deals X*100 Delta damage to a single enemy where X is equal to SP spent.")</f>
        <v>Deals X*100 Delta damage to a single enemy where X is equal to SP spent.</v>
      </c>
      <c r="F92" s="16" t="str">
        <f>IFERROR(__xludf.DUMMYFUNCTION("""COMPUTED_VALUE"""),"Hit/Miss")</f>
        <v>Hit/Miss</v>
      </c>
      <c r="G92" s="16">
        <f>IFERROR(__xludf.DUMMYFUNCTION("""COMPUTED_VALUE"""),1.0)</f>
        <v>1</v>
      </c>
      <c r="H92" s="16" t="str">
        <f>IFERROR(__xludf.DUMMYFUNCTION("""COMPUTED_VALUE"""),"Delta")</f>
        <v>Delta</v>
      </c>
    </row>
    <row r="93">
      <c r="A93" s="16" t="str">
        <f>IFERROR(__xludf.DUMMYFUNCTION("""COMPUTED_VALUE"""),"Delta World")</f>
        <v>Delta World</v>
      </c>
      <c r="B93" s="16">
        <f>IFERROR(__xludf.DUMMYFUNCTION("""COMPUTED_VALUE"""),9.0)</f>
        <v>9</v>
      </c>
      <c r="C93" s="16">
        <f>IFERROR(__xludf.DUMMYFUNCTION("""COMPUTED_VALUE"""),1000.0)</f>
        <v>1000</v>
      </c>
      <c r="D93" s="16"/>
      <c r="E93" s="16" t="str">
        <f>IFERROR(__xludf.DUMMYFUNCTION("""COMPUTED_VALUE"""),"All elements except storm and delta are negated until the end of battle. Storm and Delta spells will bypass immunities and resistances for the remainder of the battle. Storm and Delta spells will deal X4 damage until the end of battle.")</f>
        <v>All elements except storm and delta are negated until the end of battle. Storm and Delta spells will bypass immunities and resistances for the remainder of the battle. Storm and Delta spells will deal X4 damage until the end of battle.</v>
      </c>
      <c r="F93" s="16" t="str">
        <f>IFERROR(__xludf.DUMMYFUNCTION("""COMPUTED_VALUE"""),"Fail/Succeed")</f>
        <v>Fail/Succeed</v>
      </c>
      <c r="G93" s="16"/>
      <c r="H93" s="16" t="str">
        <f>IFERROR(__xludf.DUMMYFUNCTION("""COMPUTED_VALUE"""),"Delta")</f>
        <v>Delta</v>
      </c>
    </row>
    <row r="94">
      <c r="A94" s="16" t="str">
        <f>IFERROR(__xludf.DUMMYFUNCTION("""COMPUTED_VALUE"""),"False Tower")</f>
        <v>False Tower</v>
      </c>
      <c r="B94" s="16">
        <f>IFERROR(__xludf.DUMMYFUNCTION("""COMPUTED_VALUE"""),8.0)</f>
        <v>8</v>
      </c>
      <c r="C94" s="16">
        <f>IFERROR(__xludf.DUMMYFUNCTION("""COMPUTED_VALUE"""),600.0)</f>
        <v>600</v>
      </c>
      <c r="D94" s="16"/>
      <c r="E94" s="16" t="str">
        <f>IFERROR(__xludf.DUMMYFUNCTION("""COMPUTED_VALUE"""),"A false tower appears as a mirage to everyone. Reduces all enemies' sp by half and inflicting them with 5 insanity.")</f>
        <v>A false tower appears as a mirage to everyone. Reduces all enemies' sp by half and inflicting them with 5 insanity.</v>
      </c>
      <c r="F94" s="16" t="str">
        <f>IFERROR(__xludf.DUMMYFUNCTION("""COMPUTED_VALUE"""),"Fail/Succeed")</f>
        <v>Fail/Succeed</v>
      </c>
      <c r="G94" s="16" t="str">
        <f>IFERROR(__xludf.DUMMYFUNCTION("""COMPUTED_VALUE"""),"All")</f>
        <v>All</v>
      </c>
      <c r="H94" s="16" t="str">
        <f>IFERROR(__xludf.DUMMYFUNCTION("""COMPUTED_VALUE"""),"Delta")</f>
        <v>Delta</v>
      </c>
    </row>
    <row r="95">
      <c r="A95" s="16" t="str">
        <f>IFERROR(__xludf.DUMMYFUNCTION("""COMPUTED_VALUE"""),"Magic Break")</f>
        <v>Magic Break</v>
      </c>
      <c r="B95" s="16">
        <f>IFERROR(__xludf.DUMMYFUNCTION("""COMPUTED_VALUE"""),2.0)</f>
        <v>2</v>
      </c>
      <c r="C95" s="16">
        <f>IFERROR(__xludf.DUMMYFUNCTION("""COMPUTED_VALUE"""),20.0)</f>
        <v>20</v>
      </c>
      <c r="D95" s="16"/>
      <c r="E95" s="16" t="str">
        <f>IFERROR(__xludf.DUMMYFUNCTION("""COMPUTED_VALUE"""),"2000 Delta damage, 25% chance to cancel an ongoing spell effect the target has casted upon themself.")</f>
        <v>2000 Delta damage, 25% chance to cancel an ongoing spell effect the target has casted upon themself.</v>
      </c>
      <c r="F95" s="16" t="str">
        <f>IFERROR(__xludf.DUMMYFUNCTION("""COMPUTED_VALUE"""),"Hit/Miss")</f>
        <v>Hit/Miss</v>
      </c>
      <c r="G95" s="16">
        <f>IFERROR(__xludf.DUMMYFUNCTION("""COMPUTED_VALUE"""),1.0)</f>
        <v>1</v>
      </c>
      <c r="H95" s="16" t="str">
        <f>IFERROR(__xludf.DUMMYFUNCTION("""COMPUTED_VALUE"""),"Delta")</f>
        <v>Delta</v>
      </c>
    </row>
    <row r="96">
      <c r="A96" s="16" t="str">
        <f>IFERROR(__xludf.DUMMYFUNCTION("""COMPUTED_VALUE"""),"Magic Surge")</f>
        <v>Magic Surge</v>
      </c>
      <c r="B96" s="16">
        <f>IFERROR(__xludf.DUMMYFUNCTION("""COMPUTED_VALUE"""),5.0)</f>
        <v>5</v>
      </c>
      <c r="C96" s="16" t="str">
        <f>IFERROR(__xludf.DUMMYFUNCTION("""COMPUTED_VALUE"""),"X")</f>
        <v>X</v>
      </c>
      <c r="D96" s="16"/>
      <c r="E96" s="16" t="str">
        <f>IFERROR(__xludf.DUMMYFUNCTION("""COMPUTED_VALUE"""),"Deals X*50 Delta damage per round for 3 rounds to a single target where X is equal to SP spent.")</f>
        <v>Deals X*50 Delta damage per round for 3 rounds to a single target where X is equal to SP spent.</v>
      </c>
      <c r="F96" s="16" t="str">
        <f>IFERROR(__xludf.DUMMYFUNCTION("""COMPUTED_VALUE"""),"Hit/Miss")</f>
        <v>Hit/Miss</v>
      </c>
      <c r="G96" s="16">
        <f>IFERROR(__xludf.DUMMYFUNCTION("""COMPUTED_VALUE"""),1.0)</f>
        <v>1</v>
      </c>
      <c r="H96" s="16" t="str">
        <f>IFERROR(__xludf.DUMMYFUNCTION("""COMPUTED_VALUE"""),"Delta")</f>
        <v>Delta</v>
      </c>
    </row>
    <row r="97">
      <c r="A97" s="16" t="str">
        <f>IFERROR(__xludf.DUMMYFUNCTION("""COMPUTED_VALUE"""),"Mass Magic Surge")</f>
        <v>Mass Magic Surge</v>
      </c>
      <c r="B97" s="16">
        <f>IFERROR(__xludf.DUMMYFUNCTION("""COMPUTED_VALUE"""),6.0)</f>
        <v>6</v>
      </c>
      <c r="C97" s="16" t="str">
        <f>IFERROR(__xludf.DUMMYFUNCTION("""COMPUTED_VALUE"""),"X")</f>
        <v>X</v>
      </c>
      <c r="D97" s="16"/>
      <c r="E97" s="16" t="str">
        <f>IFERROR(__xludf.DUMMYFUNCTION("""COMPUTED_VALUE"""),"Deals X*10 Delta damage per round to all enemies for 3 rounds where X is equal to SP spent.")</f>
        <v>Deals X*10 Delta damage per round to all enemies for 3 rounds where X is equal to SP spent.</v>
      </c>
      <c r="F97" s="16" t="str">
        <f>IFERROR(__xludf.DUMMYFUNCTION("""COMPUTED_VALUE"""),"Cannot Avoid")</f>
        <v>Cannot Avoid</v>
      </c>
      <c r="G97" s="16" t="str">
        <f>IFERROR(__xludf.DUMMYFUNCTION("""COMPUTED_VALUE"""),"All")</f>
        <v>All</v>
      </c>
      <c r="H97" s="16" t="str">
        <f>IFERROR(__xludf.DUMMYFUNCTION("""COMPUTED_VALUE"""),"Delta")</f>
        <v>Delta</v>
      </c>
    </row>
    <row r="98">
      <c r="A98" s="16" t="str">
        <f>IFERROR(__xludf.DUMMYFUNCTION("""COMPUTED_VALUE"""),"Mind Blast")</f>
        <v>Mind Blast</v>
      </c>
      <c r="B98" s="16">
        <f>IFERROR(__xludf.DUMMYFUNCTION("""COMPUTED_VALUE"""),1.0)</f>
        <v>1</v>
      </c>
      <c r="C98" s="16">
        <f>IFERROR(__xludf.DUMMYFUNCTION("""COMPUTED_VALUE"""),100.0)</f>
        <v>100</v>
      </c>
      <c r="D98" s="16"/>
      <c r="E98" s="16" t="str">
        <f>IFERROR(__xludf.DUMMYFUNCTION("""COMPUTED_VALUE"""),"Deals 1000 dmg and pacifies an enemy for 3 rounds.")</f>
        <v>Deals 1000 dmg and pacifies an enemy for 3 rounds.</v>
      </c>
      <c r="F98" s="16" t="str">
        <f>IFERROR(__xludf.DUMMYFUNCTION("""COMPUTED_VALUE"""),"Hit/Miss")</f>
        <v>Hit/Miss</v>
      </c>
      <c r="G98" s="16">
        <f>IFERROR(__xludf.DUMMYFUNCTION("""COMPUTED_VALUE"""),1.0)</f>
        <v>1</v>
      </c>
      <c r="H98" s="16" t="str">
        <f>IFERROR(__xludf.DUMMYFUNCTION("""COMPUTED_VALUE"""),"Delta")</f>
        <v>Delta</v>
      </c>
    </row>
    <row r="99">
      <c r="A99" s="16" t="str">
        <f>IFERROR(__xludf.DUMMYFUNCTION("""COMPUTED_VALUE"""),"Rapid Delta Punch")</f>
        <v>Rapid Delta Punch</v>
      </c>
      <c r="B99" s="16">
        <f>IFERROR(__xludf.DUMMYFUNCTION("""COMPUTED_VALUE"""),9.0)</f>
        <v>9</v>
      </c>
      <c r="C99" s="16" t="str">
        <f>IFERROR(__xludf.DUMMYFUNCTION("""COMPUTED_VALUE"""),"X*420")</f>
        <v>X*420</v>
      </c>
      <c r="D99" s="16"/>
      <c r="E99" s="16" t="str">
        <f>IFERROR(__xludf.DUMMYFUNCTION("""COMPUTED_VALUE"""),"Drain 42,000 sp per Punch, X is equal to the amount of punches. X is equal to your attack roll.")</f>
        <v>Drain 42,000 sp per Punch, X is equal to the amount of punches. X is equal to your attack roll.</v>
      </c>
      <c r="F99" s="16" t="str">
        <f>IFERROR(__xludf.DUMMYFUNCTION("""COMPUTED_VALUE"""),"Hit/Miss")</f>
        <v>Hit/Miss</v>
      </c>
      <c r="G99" s="16">
        <f>IFERROR(__xludf.DUMMYFUNCTION("""COMPUTED_VALUE"""),1.0)</f>
        <v>1</v>
      </c>
      <c r="H99" s="16" t="str">
        <f>IFERROR(__xludf.DUMMYFUNCTION("""COMPUTED_VALUE"""),"Delta")</f>
        <v>Delta</v>
      </c>
    </row>
    <row r="100">
      <c r="A100" s="16" t="str">
        <f>IFERROR(__xludf.DUMMYFUNCTION("""COMPUTED_VALUE"""),"Ancient Monolith Of Earth")</f>
        <v>Ancient Monolith Of Earth</v>
      </c>
      <c r="B100" s="16">
        <f>IFERROR(__xludf.DUMMYFUNCTION("""COMPUTED_VALUE"""),9.0)</f>
        <v>9</v>
      </c>
      <c r="C100" s="16">
        <f>IFERROR(__xludf.DUMMYFUNCTION("""COMPUTED_VALUE"""),300.0)</f>
        <v>300</v>
      </c>
      <c r="D100" s="16"/>
      <c r="E100" s="16" t="str">
        <f>IFERROR(__xludf.DUMMYFUNCTION("""COMPUTED_VALUE"""),"X4 additional earth damage for caster and allies. Fire Immunity for caster only.")</f>
        <v>X4 additional earth damage for caster and allies. Fire Immunity for caster only.</v>
      </c>
      <c r="F100" s="16" t="str">
        <f>IFERROR(__xludf.DUMMYFUNCTION("""COMPUTED_VALUE"""),"Fail/Succeed")</f>
        <v>Fail/Succeed</v>
      </c>
      <c r="G100" s="16"/>
      <c r="H100" s="16" t="str">
        <f>IFERROR(__xludf.DUMMYFUNCTION("""COMPUTED_VALUE"""),"Earth")</f>
        <v>Earth</v>
      </c>
    </row>
    <row r="101">
      <c r="A101" s="16" t="str">
        <f>IFERROR(__xludf.DUMMYFUNCTION("""COMPUTED_VALUE"""),"Boulder Toss")</f>
        <v>Boulder Toss</v>
      </c>
      <c r="B101" s="16">
        <f>IFERROR(__xludf.DUMMYFUNCTION("""COMPUTED_VALUE"""),2.0)</f>
        <v>2</v>
      </c>
      <c r="C101" s="16">
        <f>IFERROR(__xludf.DUMMYFUNCTION("""COMPUTED_VALUE"""),20.0)</f>
        <v>20</v>
      </c>
      <c r="D101" s="16"/>
      <c r="E101" s="16" t="str">
        <f>IFERROR(__xludf.DUMMYFUNCTION("""COMPUTED_VALUE"""),"X Earth damage where X is equal to the users accuracy, and -2000 defense for the rest of battle.")</f>
        <v>X Earth damage where X is equal to the users accuracy, and -2000 defense for the rest of battle.</v>
      </c>
      <c r="F101" s="16" t="str">
        <f>IFERROR(__xludf.DUMMYFUNCTION("""COMPUTED_VALUE"""),"Hit/Miss")</f>
        <v>Hit/Miss</v>
      </c>
      <c r="G101" s="16">
        <f>IFERROR(__xludf.DUMMYFUNCTION("""COMPUTED_VALUE"""),1.0)</f>
        <v>1</v>
      </c>
      <c r="H101" s="16" t="str">
        <f>IFERROR(__xludf.DUMMYFUNCTION("""COMPUTED_VALUE"""),"Earth")</f>
        <v>Earth</v>
      </c>
    </row>
    <row r="102">
      <c r="A102" s="16" t="str">
        <f>IFERROR(__xludf.DUMMYFUNCTION("""COMPUTED_VALUE"""),"Breaking Earth")</f>
        <v>Breaking Earth</v>
      </c>
      <c r="B102" s="16">
        <f>IFERROR(__xludf.DUMMYFUNCTION("""COMPUTED_VALUE"""),6.0)</f>
        <v>6</v>
      </c>
      <c r="C102" s="16" t="str">
        <f>IFERROR(__xludf.DUMMYFUNCTION("""COMPUTED_VALUE"""),"X")</f>
        <v>X</v>
      </c>
      <c r="D102" s="16"/>
      <c r="E102" s="16" t="str">
        <f>IFERROR(__xludf.DUMMYFUNCTION("""COMPUTED_VALUE"""),"Deals X*25 Earth damage to all enemies where X is equal to SP spent.")</f>
        <v>Deals X*25 Earth damage to all enemies where X is equal to SP spent.</v>
      </c>
      <c r="F102" s="16" t="str">
        <f>IFERROR(__xludf.DUMMYFUNCTION("""COMPUTED_VALUE"""),"Cannot Avoid")</f>
        <v>Cannot Avoid</v>
      </c>
      <c r="G102" s="16" t="str">
        <f>IFERROR(__xludf.DUMMYFUNCTION("""COMPUTED_VALUE"""),"All")</f>
        <v>All</v>
      </c>
      <c r="H102" s="16" t="str">
        <f>IFERROR(__xludf.DUMMYFUNCTION("""COMPUTED_VALUE"""),"Earth")</f>
        <v>Earth</v>
      </c>
    </row>
    <row r="103">
      <c r="A103" s="16" t="str">
        <f>IFERROR(__xludf.DUMMYFUNCTION("""COMPUTED_VALUE"""),"Calcife")</f>
        <v>Calcife</v>
      </c>
      <c r="B103" s="16">
        <f>IFERROR(__xludf.DUMMYFUNCTION("""COMPUTED_VALUE"""),4.0)</f>
        <v>4</v>
      </c>
      <c r="C103" s="16" t="str">
        <f>IFERROR(__xludf.DUMMYFUNCTION("""COMPUTED_VALUE"""),"X")</f>
        <v>X</v>
      </c>
      <c r="D103" s="16"/>
      <c r="E103" s="16" t="str">
        <f>IFERROR(__xludf.DUMMYFUNCTION("""COMPUTED_VALUE"""),"Target gains X*100 Earth damage and X*100 Earth resistance, can’t be used on self")</f>
        <v>Target gains X*100 Earth damage and X*100 Earth resistance, can’t be used on self</v>
      </c>
      <c r="F103" s="16" t="str">
        <f>IFERROR(__xludf.DUMMYFUNCTION("""COMPUTED_VALUE"""),"Fail/Succeed")</f>
        <v>Fail/Succeed</v>
      </c>
      <c r="G103" s="16"/>
      <c r="H103" s="16" t="str">
        <f>IFERROR(__xludf.DUMMYFUNCTION("""COMPUTED_VALUE"""),"Earth")</f>
        <v>Earth</v>
      </c>
    </row>
    <row r="104">
      <c r="A104" s="16" t="str">
        <f>IFERROR(__xludf.DUMMYFUNCTION("""COMPUTED_VALUE"""),"Calm Earth")</f>
        <v>Calm Earth</v>
      </c>
      <c r="B104" s="16">
        <f>IFERROR(__xludf.DUMMYFUNCTION("""COMPUTED_VALUE"""),7.0)</f>
        <v>7</v>
      </c>
      <c r="C104" s="16" t="str">
        <f>IFERROR(__xludf.DUMMYFUNCTION("""COMPUTED_VALUE"""),"X")</f>
        <v>X</v>
      </c>
      <c r="D104" s="16"/>
      <c r="E104" s="16" t="str">
        <f>IFERROR(__xludf.DUMMYFUNCTION("""COMPUTED_VALUE"""),"Makes an Earth enemy Non-Hostile. If all Earth enemies become Non-Hostile during the current battle, the battle ends.")</f>
        <v>Makes an Earth enemy Non-Hostile. If all Earth enemies become Non-Hostile during the current battle, the battle ends.</v>
      </c>
      <c r="F104" s="16" t="str">
        <f>IFERROR(__xludf.DUMMYFUNCTION("""COMPUTED_VALUE"""),"Fail/Succeed")</f>
        <v>Fail/Succeed</v>
      </c>
      <c r="G104" s="16"/>
      <c r="H104" s="16" t="str">
        <f>IFERROR(__xludf.DUMMYFUNCTION("""COMPUTED_VALUE"""),"Earth")</f>
        <v>Earth</v>
      </c>
    </row>
    <row r="105">
      <c r="A105" s="16" t="str">
        <f>IFERROR(__xludf.DUMMYFUNCTION("""COMPUTED_VALUE"""),"Earthquake")</f>
        <v>Earthquake</v>
      </c>
      <c r="B105" s="16">
        <f>IFERROR(__xludf.DUMMYFUNCTION("""COMPUTED_VALUE"""),5.0)</f>
        <v>5</v>
      </c>
      <c r="C105" s="16" t="str">
        <f>IFERROR(__xludf.DUMMYFUNCTION("""COMPUTED_VALUE"""),"d20*40")</f>
        <v>d20*40</v>
      </c>
      <c r="D105" s="16"/>
      <c r="E105" s="16" t="str">
        <f>IFERROR(__xludf.DUMMYFUNCTION("""COMPUTED_VALUE"""),"The d20 roll times 1000 is equal to the amount of Earth damage this spell does to all enemies, X4 defense for self and allies for 3 rounds.")</f>
        <v>The d20 roll times 1000 is equal to the amount of Earth damage this spell does to all enemies, X4 defense for self and allies for 3 rounds.</v>
      </c>
      <c r="F105" s="16" t="str">
        <f>IFERROR(__xludf.DUMMYFUNCTION("""COMPUTED_VALUE"""),"Cannot Avoid")</f>
        <v>Cannot Avoid</v>
      </c>
      <c r="G105" s="16" t="str">
        <f>IFERROR(__xludf.DUMMYFUNCTION("""COMPUTED_VALUE"""),"All")</f>
        <v>All</v>
      </c>
      <c r="H105" s="16" t="str">
        <f>IFERROR(__xludf.DUMMYFUNCTION("""COMPUTED_VALUE"""),"Earth")</f>
        <v>Earth</v>
      </c>
    </row>
    <row r="106">
      <c r="A106" s="16" t="str">
        <f>IFERROR(__xludf.DUMMYFUNCTION("""COMPUTED_VALUE"""),"Landslide")</f>
        <v>Landslide</v>
      </c>
      <c r="B106" s="16">
        <f>IFERROR(__xludf.DUMMYFUNCTION("""COMPUTED_VALUE"""),9.0)</f>
        <v>9</v>
      </c>
      <c r="C106" s="16">
        <f>IFERROR(__xludf.DUMMYFUNCTION("""COMPUTED_VALUE"""),1500.0)</f>
        <v>1500</v>
      </c>
      <c r="D106" s="16"/>
      <c r="E106" s="16" t="str">
        <f>IFERROR(__xludf.DUMMYFUNCTION("""COMPUTED_VALUE"""),"20,000 Undefendable Earth damage. 50% chance of instant death.")</f>
        <v>20,000 Undefendable Earth damage. 50% chance of instant death.</v>
      </c>
      <c r="F106" s="16" t="str">
        <f>IFERROR(__xludf.DUMMYFUNCTION("""COMPUTED_VALUE"""),"Cannot Avoid")</f>
        <v>Cannot Avoid</v>
      </c>
      <c r="G106" s="16">
        <f>IFERROR(__xludf.DUMMYFUNCTION("""COMPUTED_VALUE"""),1.0)</f>
        <v>1</v>
      </c>
      <c r="H106" s="16" t="str">
        <f>IFERROR(__xludf.DUMMYFUNCTION("""COMPUTED_VALUE"""),"Earth")</f>
        <v>Earth</v>
      </c>
    </row>
    <row r="107">
      <c r="A107" s="16" t="str">
        <f>IFERROR(__xludf.DUMMYFUNCTION("""COMPUTED_VALUE"""),"Mass Petrification")</f>
        <v>Mass Petrification</v>
      </c>
      <c r="B107" s="16">
        <f>IFERROR(__xludf.DUMMYFUNCTION("""COMPUTED_VALUE"""),6.0)</f>
        <v>6</v>
      </c>
      <c r="C107" s="16" t="str">
        <f>IFERROR(__xludf.DUMMYFUNCTION("""COMPUTED_VALUE"""),"X")</f>
        <v>X</v>
      </c>
      <c r="D107" s="16"/>
      <c r="E107" s="16" t="str">
        <f>IFERROR(__xludf.DUMMYFUNCTION("""COMPUTED_VALUE"""),"Deals X*10 Earth damage per round to all enemies for 3 rounds where X is equal to SP spent.")</f>
        <v>Deals X*10 Earth damage per round to all enemies for 3 rounds where X is equal to SP spent.</v>
      </c>
      <c r="F107" s="16" t="str">
        <f>IFERROR(__xludf.DUMMYFUNCTION("""COMPUTED_VALUE"""),"Cannot Avoid")</f>
        <v>Cannot Avoid</v>
      </c>
      <c r="G107" s="16" t="str">
        <f>IFERROR(__xludf.DUMMYFUNCTION("""COMPUTED_VALUE"""),"All")</f>
        <v>All</v>
      </c>
      <c r="H107" s="16" t="str">
        <f>IFERROR(__xludf.DUMMYFUNCTION("""COMPUTED_VALUE"""),"Earth")</f>
        <v>Earth</v>
      </c>
    </row>
    <row r="108">
      <c r="A108" s="16" t="str">
        <f>IFERROR(__xludf.DUMMYFUNCTION("""COMPUTED_VALUE"""),"Mountain Formation")</f>
        <v>Mountain Formation</v>
      </c>
      <c r="B108" s="16">
        <f>IFERROR(__xludf.DUMMYFUNCTION("""COMPUTED_VALUE"""),5.0)</f>
        <v>5</v>
      </c>
      <c r="C108" s="16">
        <f>IFERROR(__xludf.DUMMYFUNCTION("""COMPUTED_VALUE"""),50.0)</f>
        <v>50</v>
      </c>
      <c r="D108" s="16"/>
      <c r="E108" s="16" t="str">
        <f>IFERROR(__xludf.DUMMYFUNCTION("""COMPUTED_VALUE"""),"X2 additional earth damage and X4 defense for self and allies.")</f>
        <v>X2 additional earth damage and X4 defense for self and allies.</v>
      </c>
      <c r="F108" s="16" t="str">
        <f>IFERROR(__xludf.DUMMYFUNCTION("""COMPUTED_VALUE"""),"Will Succeed")</f>
        <v>Will Succeed</v>
      </c>
      <c r="G108" s="16"/>
      <c r="H108" s="16" t="str">
        <f>IFERROR(__xludf.DUMMYFUNCTION("""COMPUTED_VALUE"""),"Earth")</f>
        <v>Earth</v>
      </c>
    </row>
    <row r="109">
      <c r="A109" s="16" t="str">
        <f>IFERROR(__xludf.DUMMYFUNCTION("""COMPUTED_VALUE"""),"Mud Sling")</f>
        <v>Mud Sling</v>
      </c>
      <c r="B109" s="16">
        <f>IFERROR(__xludf.DUMMYFUNCTION("""COMPUTED_VALUE"""),1.0)</f>
        <v>1</v>
      </c>
      <c r="C109" s="16">
        <f>IFERROR(__xludf.DUMMYFUNCTION("""COMPUTED_VALUE"""),10.0)</f>
        <v>10</v>
      </c>
      <c r="D109" s="16"/>
      <c r="E109" s="16" t="str">
        <f>IFERROR(__xludf.DUMMYFUNCTION("""COMPUTED_VALUE"""),"50% chance target skips next turn and inflicts them with slowness 3.")</f>
        <v>50% chance target skips next turn and inflicts them with slowness 3.</v>
      </c>
      <c r="F109" s="16" t="str">
        <f>IFERROR(__xludf.DUMMYFUNCTION("""COMPUTED_VALUE"""),"Fail/Succeed")</f>
        <v>Fail/Succeed</v>
      </c>
      <c r="G109" s="16"/>
      <c r="H109" s="16" t="str">
        <f>IFERROR(__xludf.DUMMYFUNCTION("""COMPUTED_VALUE"""),"Earth")</f>
        <v>Earth</v>
      </c>
    </row>
    <row r="110">
      <c r="A110" s="16" t="str">
        <f>IFERROR(__xludf.DUMMYFUNCTION("""COMPUTED_VALUE"""),"Mud Wave")</f>
        <v>Mud Wave</v>
      </c>
      <c r="B110" s="16">
        <f>IFERROR(__xludf.DUMMYFUNCTION("""COMPUTED_VALUE"""),9.0)</f>
        <v>9</v>
      </c>
      <c r="C110" s="16">
        <f>IFERROR(__xludf.DUMMYFUNCTION("""COMPUTED_VALUE"""),400.0)</f>
        <v>400</v>
      </c>
      <c r="D110" s="16"/>
      <c r="E110" s="16" t="str">
        <f>IFERROR(__xludf.DUMMYFUNCTION("""COMPUTED_VALUE"""),"A wave of mud that washes over all enemies. All enemies will skip their next turn and be inflicted with slowness 3.")</f>
        <v>A wave of mud that washes over all enemies. All enemies will skip their next turn and be inflicted with slowness 3.</v>
      </c>
      <c r="F110" s="16" t="str">
        <f>IFERROR(__xludf.DUMMYFUNCTION("""COMPUTED_VALUE"""),"Fail/Succeed")</f>
        <v>Fail/Succeed</v>
      </c>
      <c r="G110" s="16" t="str">
        <f>IFERROR(__xludf.DUMMYFUNCTION("""COMPUTED_VALUE"""),"All")</f>
        <v>All</v>
      </c>
      <c r="H110" s="16" t="str">
        <f>IFERROR(__xludf.DUMMYFUNCTION("""COMPUTED_VALUE"""),"Earth")</f>
        <v>Earth</v>
      </c>
    </row>
    <row r="111">
      <c r="A111" s="16" t="str">
        <f>IFERROR(__xludf.DUMMYFUNCTION("""COMPUTED_VALUE"""),"Petrification")</f>
        <v>Petrification</v>
      </c>
      <c r="B111" s="16">
        <f>IFERROR(__xludf.DUMMYFUNCTION("""COMPUTED_VALUE"""),5.0)</f>
        <v>5</v>
      </c>
      <c r="C111" s="16" t="str">
        <f>IFERROR(__xludf.DUMMYFUNCTION("""COMPUTED_VALUE"""),"X")</f>
        <v>X</v>
      </c>
      <c r="D111" s="16"/>
      <c r="E111" s="16" t="str">
        <f>IFERROR(__xludf.DUMMYFUNCTION("""COMPUTED_VALUE"""),"Deals X*50 Earth damage per round for 3 rounds to a single target where X is equal to SP spent.")</f>
        <v>Deals X*50 Earth damage per round for 3 rounds to a single target where X is equal to SP spent.</v>
      </c>
      <c r="F111" s="16" t="str">
        <f>IFERROR(__xludf.DUMMYFUNCTION("""COMPUTED_VALUE"""),"Hit/Miss")</f>
        <v>Hit/Miss</v>
      </c>
      <c r="G111" s="16">
        <f>IFERROR(__xludf.DUMMYFUNCTION("""COMPUTED_VALUE"""),1.0)</f>
        <v>1</v>
      </c>
      <c r="H111" s="16" t="str">
        <f>IFERROR(__xludf.DUMMYFUNCTION("""COMPUTED_VALUE"""),"Earth")</f>
        <v>Earth</v>
      </c>
    </row>
    <row r="112">
      <c r="A112" s="16" t="str">
        <f>IFERROR(__xludf.DUMMYFUNCTION("""COMPUTED_VALUE"""),"Quicksand")</f>
        <v>Quicksand</v>
      </c>
      <c r="B112" s="16">
        <f>IFERROR(__xludf.DUMMYFUNCTION("""COMPUTED_VALUE"""),8.0)</f>
        <v>8</v>
      </c>
      <c r="C112" s="16" t="str">
        <f>IFERROR(__xludf.DUMMYFUNCTION("""COMPUTED_VALUE"""),"X*10")</f>
        <v>X*10</v>
      </c>
      <c r="D112" s="16"/>
      <c r="E112" s="16" t="str">
        <f>IFERROR(__xludf.DUMMYFUNCTION("""COMPUTED_VALUE"""),"Instantly kills all enemies. The % chance of instant death is XSP.")</f>
        <v>Instantly kills all enemies. The % chance of instant death is XSP.</v>
      </c>
      <c r="F112" s="16" t="str">
        <f>IFERROR(__xludf.DUMMYFUNCTION("""COMPUTED_VALUE"""),"Fail/Succeed")</f>
        <v>Fail/Succeed</v>
      </c>
      <c r="G112" s="16"/>
      <c r="H112" s="16" t="str">
        <f>IFERROR(__xludf.DUMMYFUNCTION("""COMPUTED_VALUE"""),"Earth")</f>
        <v>Earth</v>
      </c>
    </row>
    <row r="113">
      <c r="A113" s="16" t="str">
        <f>IFERROR(__xludf.DUMMYFUNCTION("""COMPUTED_VALUE"""),"Rock Cycle")</f>
        <v>Rock Cycle</v>
      </c>
      <c r="B113" s="16">
        <f>IFERROR(__xludf.DUMMYFUNCTION("""COMPUTED_VALUE"""),9.0)</f>
        <v>9</v>
      </c>
      <c r="C113" s="16">
        <f>IFERROR(__xludf.DUMMYFUNCTION("""COMPUTED_VALUE"""),300.0)</f>
        <v>300</v>
      </c>
      <c r="D113" s="16"/>
      <c r="E113" s="16" t="str">
        <f>IFERROR(__xludf.DUMMYFUNCTION("""COMPUTED_VALUE"""),"Become unaffected by status effects, spells and weapons for 3 rounds.")</f>
        <v>Become unaffected by status effects, spells and weapons for 3 rounds.</v>
      </c>
      <c r="F113" s="16" t="str">
        <f>IFERROR(__xludf.DUMMYFUNCTION("""COMPUTED_VALUE"""),"Fail/Succeed")</f>
        <v>Fail/Succeed</v>
      </c>
      <c r="G113" s="16"/>
      <c r="H113" s="16" t="str">
        <f>IFERROR(__xludf.DUMMYFUNCTION("""COMPUTED_VALUE"""),"Earth")</f>
        <v>Earth</v>
      </c>
    </row>
    <row r="114">
      <c r="A114" s="16" t="str">
        <f>IFERROR(__xludf.DUMMYFUNCTION("""COMPUTED_VALUE"""),"Rock Shot")</f>
        <v>Rock Shot</v>
      </c>
      <c r="B114" s="16">
        <f>IFERROR(__xludf.DUMMYFUNCTION("""COMPUTED_VALUE"""),1.0)</f>
        <v>1</v>
      </c>
      <c r="C114" s="16" t="str">
        <f>IFERROR(__xludf.DUMMYFUNCTION("""COMPUTED_VALUE"""),"X")</f>
        <v>X</v>
      </c>
      <c r="D114" s="16"/>
      <c r="E114" s="16" t="str">
        <f>IFERROR(__xludf.DUMMYFUNCTION("""COMPUTED_VALUE"""),"Deals X*100 Earth damage to a single enemy where X is equal to SP spent.")</f>
        <v>Deals X*100 Earth damage to a single enemy where X is equal to SP spent.</v>
      </c>
      <c r="F114" s="16" t="str">
        <f>IFERROR(__xludf.DUMMYFUNCTION("""COMPUTED_VALUE"""),"Hit/Miss")</f>
        <v>Hit/Miss</v>
      </c>
      <c r="G114" s="16">
        <f>IFERROR(__xludf.DUMMYFUNCTION("""COMPUTED_VALUE"""),1.0)</f>
        <v>1</v>
      </c>
      <c r="H114" s="16" t="str">
        <f>IFERROR(__xludf.DUMMYFUNCTION("""COMPUTED_VALUE"""),"Earth")</f>
        <v>Earth</v>
      </c>
    </row>
    <row r="115">
      <c r="A115" s="16" t="str">
        <f>IFERROR(__xludf.DUMMYFUNCTION("""COMPUTED_VALUE"""),"Sandstorm")</f>
        <v>Sandstorm</v>
      </c>
      <c r="B115" s="16">
        <f>IFERROR(__xludf.DUMMYFUNCTION("""COMPUTED_VALUE"""),9.0)</f>
        <v>9</v>
      </c>
      <c r="C115" s="16">
        <f>IFERROR(__xludf.DUMMYFUNCTION("""COMPUTED_VALUE"""),300.0)</f>
        <v>300</v>
      </c>
      <c r="D115" s="16"/>
      <c r="E115" s="16" t="str">
        <f>IFERROR(__xludf.DUMMYFUNCTION("""COMPUTED_VALUE"""),"20,000 Earth damage to all enemies, 25% chance of Blindness 3, and Slowness 3.")</f>
        <v>20,000 Earth damage to all enemies, 25% chance of Blindness 3, and Slowness 3.</v>
      </c>
      <c r="F115" s="16" t="str">
        <f>IFERROR(__xludf.DUMMYFUNCTION("""COMPUTED_VALUE"""),"Cannot Avoid")</f>
        <v>Cannot Avoid</v>
      </c>
      <c r="G115" s="16" t="str">
        <f>IFERROR(__xludf.DUMMYFUNCTION("""COMPUTED_VALUE"""),"All")</f>
        <v>All</v>
      </c>
      <c r="H115" s="16" t="str">
        <f>IFERROR(__xludf.DUMMYFUNCTION("""COMPUTED_VALUE"""),"Earth")</f>
        <v>Earth</v>
      </c>
    </row>
    <row r="116">
      <c r="A116" s="16" t="str">
        <f>IFERROR(__xludf.DUMMYFUNCTION("""COMPUTED_VALUE"""),"Tremor")</f>
        <v>Tremor</v>
      </c>
      <c r="B116" s="16">
        <f>IFERROR(__xludf.DUMMYFUNCTION("""COMPUTED_VALUE"""),3.0)</f>
        <v>3</v>
      </c>
      <c r="C116" s="16" t="str">
        <f>IFERROR(__xludf.DUMMYFUNCTION("""COMPUTED_VALUE"""),"d12*20")</f>
        <v>d12*20</v>
      </c>
      <c r="D116" s="16"/>
      <c r="E116" s="16" t="str">
        <f>IFERROR(__xludf.DUMMYFUNCTION("""COMPUTED_VALUE"""),"The d12 roll times 500 is equal to the amount of Earth damage this spell does to all enemies, X2 defense for self and allies for 3 rounds.")</f>
        <v>The d12 roll times 500 is equal to the amount of Earth damage this spell does to all enemies, X2 defense for self and allies for 3 rounds.</v>
      </c>
      <c r="F116" s="16" t="str">
        <f>IFERROR(__xludf.DUMMYFUNCTION("""COMPUTED_VALUE"""),"Cannot Avoid")</f>
        <v>Cannot Avoid</v>
      </c>
      <c r="G116" s="16"/>
      <c r="H116" s="16" t="str">
        <f>IFERROR(__xludf.DUMMYFUNCTION("""COMPUTED_VALUE"""),"Earth")</f>
        <v>Earth</v>
      </c>
    </row>
    <row r="117">
      <c r="A117" s="16" t="str">
        <f>IFERROR(__xludf.DUMMYFUNCTION("""COMPUTED_VALUE"""),"Calm Fire")</f>
        <v>Calm Fire</v>
      </c>
      <c r="B117" s="16">
        <f>IFERROR(__xludf.DUMMYFUNCTION("""COMPUTED_VALUE"""),7.0)</f>
        <v>7</v>
      </c>
      <c r="C117" s="16">
        <f>IFERROR(__xludf.DUMMYFUNCTION("""COMPUTED_VALUE"""),100.0)</f>
        <v>100</v>
      </c>
      <c r="D117" s="16"/>
      <c r="E117" s="16" t="str">
        <f>IFERROR(__xludf.DUMMYFUNCTION("""COMPUTED_VALUE"""),"Negate X points of fire damage")</f>
        <v>Negate X points of fire damage</v>
      </c>
      <c r="F117" s="16" t="str">
        <f>IFERROR(__xludf.DUMMYFUNCTION("""COMPUTED_VALUE"""),"Fail/Succeed")</f>
        <v>Fail/Succeed</v>
      </c>
      <c r="G117" s="16"/>
      <c r="H117" s="16" t="str">
        <f>IFERROR(__xludf.DUMMYFUNCTION("""COMPUTED_VALUE"""),"Fire")</f>
        <v>Fire</v>
      </c>
    </row>
    <row r="118">
      <c r="A118" s="16" t="str">
        <f>IFERROR(__xludf.DUMMYFUNCTION("""COMPUTED_VALUE"""),"Fire Bolt")</f>
        <v>Fire Bolt</v>
      </c>
      <c r="B118" s="16">
        <f>IFERROR(__xludf.DUMMYFUNCTION("""COMPUTED_VALUE"""),1.0)</f>
        <v>1</v>
      </c>
      <c r="C118" s="16" t="str">
        <f>IFERROR(__xludf.DUMMYFUNCTION("""COMPUTED_VALUE"""),"X")</f>
        <v>X</v>
      </c>
      <c r="D118" s="16"/>
      <c r="E118" s="16" t="str">
        <f>IFERROR(__xludf.DUMMYFUNCTION("""COMPUTED_VALUE"""),"Deals X*100 Fire damage to a single enemy where X is equal to SP spent.")</f>
        <v>Deals X*100 Fire damage to a single enemy where X is equal to SP spent.</v>
      </c>
      <c r="F118" s="16" t="str">
        <f>IFERROR(__xludf.DUMMYFUNCTION("""COMPUTED_VALUE"""),"Hit/Miss")</f>
        <v>Hit/Miss</v>
      </c>
      <c r="G118" s="16">
        <f>IFERROR(__xludf.DUMMYFUNCTION("""COMPUTED_VALUE"""),1.0)</f>
        <v>1</v>
      </c>
      <c r="H118" s="16" t="str">
        <f>IFERROR(__xludf.DUMMYFUNCTION("""COMPUTED_VALUE"""),"Fire")</f>
        <v>Fire</v>
      </c>
    </row>
    <row r="119">
      <c r="A119" s="16" t="str">
        <f>IFERROR(__xludf.DUMMYFUNCTION("""COMPUTED_VALUE"""),"Flame Sanctuary")</f>
        <v>Flame Sanctuary</v>
      </c>
      <c r="B119" s="16">
        <f>IFERROR(__xludf.DUMMYFUNCTION("""COMPUTED_VALUE"""),9.0)</f>
        <v>9</v>
      </c>
      <c r="C119" s="16">
        <f>IFERROR(__xludf.DUMMYFUNCTION("""COMPUTED_VALUE"""),300.0)</f>
        <v>300</v>
      </c>
      <c r="D119" s="16"/>
      <c r="E119" s="16" t="str">
        <f>IFERROR(__xludf.DUMMYFUNCTION("""COMPUTED_VALUE"""),"Absorb all damage you take until your next turn then add that damage you would have taken to your next attack as additional fire damage.")</f>
        <v>Absorb all damage you take until your next turn then add that damage you would have taken to your next attack as additional fire damage.</v>
      </c>
      <c r="F119" s="16" t="str">
        <f>IFERROR(__xludf.DUMMYFUNCTION("""COMPUTED_VALUE"""),"Fail/Succeed")</f>
        <v>Fail/Succeed</v>
      </c>
      <c r="G119" s="16"/>
      <c r="H119" s="16" t="str">
        <f>IFERROR(__xludf.DUMMYFUNCTION("""COMPUTED_VALUE"""),"Fire")</f>
        <v>Fire</v>
      </c>
    </row>
    <row r="120">
      <c r="A120" s="16" t="str">
        <f>IFERROR(__xludf.DUMMYFUNCTION("""COMPUTED_VALUE"""),"Flame Thrower")</f>
        <v>Flame Thrower</v>
      </c>
      <c r="B120" s="16">
        <f>IFERROR(__xludf.DUMMYFUNCTION("""COMPUTED_VALUE"""),5.0)</f>
        <v>5</v>
      </c>
      <c r="C120" s="16" t="str">
        <f>IFERROR(__xludf.DUMMYFUNCTION("""COMPUTED_VALUE"""),"X")</f>
        <v>X</v>
      </c>
      <c r="D120" s="16"/>
      <c r="E120" s="16" t="str">
        <f>IFERROR(__xludf.DUMMYFUNCTION("""COMPUTED_VALUE"""),"Deals X*50 Burn for 3 rounds to a single target where X is equal to SP spent.")</f>
        <v>Deals X*50 Burn for 3 rounds to a single target where X is equal to SP spent.</v>
      </c>
      <c r="F120" s="16" t="str">
        <f>IFERROR(__xludf.DUMMYFUNCTION("""COMPUTED_VALUE"""),"Hit/Miss")</f>
        <v>Hit/Miss</v>
      </c>
      <c r="G120" s="16">
        <f>IFERROR(__xludf.DUMMYFUNCTION("""COMPUTED_VALUE"""),1.0)</f>
        <v>1</v>
      </c>
      <c r="H120" s="16" t="str">
        <f>IFERROR(__xludf.DUMMYFUNCTION("""COMPUTED_VALUE"""),"Fire")</f>
        <v>Fire</v>
      </c>
    </row>
    <row r="121">
      <c r="A121" s="16" t="str">
        <f>IFERROR(__xludf.DUMMYFUNCTION("""COMPUTED_VALUE"""),"Flames of the Undead")</f>
        <v>Flames of the Undead</v>
      </c>
      <c r="B121" s="16">
        <f>IFERROR(__xludf.DUMMYFUNCTION("""COMPUTED_VALUE"""),3.0)</f>
        <v>3</v>
      </c>
      <c r="C121" s="16" t="str">
        <f>IFERROR(__xludf.DUMMYFUNCTION("""COMPUTED_VALUE"""),"X")</f>
        <v>X</v>
      </c>
      <c r="D121" s="16"/>
      <c r="E121" s="16" t="str">
        <f>IFERROR(__xludf.DUMMYFUNCTION("""COMPUTED_VALUE"""),"Can only be used by Undead, deals X*10 damage to all non-undead enemies, and X*100 to all Undead enemies.")</f>
        <v>Can only be used by Undead, deals X*10 damage to all non-undead enemies, and X*100 to all Undead enemies.</v>
      </c>
      <c r="F121" s="16" t="str">
        <f>IFERROR(__xludf.DUMMYFUNCTION("""COMPUTED_VALUE"""),"Cannot Avoid")</f>
        <v>Cannot Avoid</v>
      </c>
      <c r="G121" s="16" t="str">
        <f>IFERROR(__xludf.DUMMYFUNCTION("""COMPUTED_VALUE"""),"All")</f>
        <v>All</v>
      </c>
      <c r="H121" s="16" t="str">
        <f>IFERROR(__xludf.DUMMYFUNCTION("""COMPUTED_VALUE"""),"Fire")</f>
        <v>Fire</v>
      </c>
    </row>
    <row r="122">
      <c r="A122" s="16" t="str">
        <f>IFERROR(__xludf.DUMMYFUNCTION("""COMPUTED_VALUE"""),"Forgotten Fire")</f>
        <v>Forgotten Fire</v>
      </c>
      <c r="B122" s="16">
        <f>IFERROR(__xludf.DUMMYFUNCTION("""COMPUTED_VALUE"""),8.0)</f>
        <v>8</v>
      </c>
      <c r="C122" s="16">
        <f>IFERROR(__xludf.DUMMYFUNCTION("""COMPUTED_VALUE"""),200.0)</f>
        <v>200</v>
      </c>
      <c r="D122" s="16"/>
      <c r="E122" s="16" t="str">
        <f>IFERROR(__xludf.DUMMYFUNCTION("""COMPUTED_VALUE"""),"Any damage you take from the next attack is doubled. Any fire damage you deal from your next attack is X4.")</f>
        <v>Any damage you take from the next attack is doubled. Any fire damage you deal from your next attack is X4.</v>
      </c>
      <c r="F122" s="16" t="str">
        <f>IFERROR(__xludf.DUMMYFUNCTION("""COMPUTED_VALUE"""),"Will Succeed")</f>
        <v>Will Succeed</v>
      </c>
      <c r="G122" s="16"/>
      <c r="H122" s="16" t="str">
        <f>IFERROR(__xludf.DUMMYFUNCTION("""COMPUTED_VALUE"""),"Fire")</f>
        <v>Fire</v>
      </c>
    </row>
    <row r="123">
      <c r="A123" s="16" t="str">
        <f>IFERROR(__xludf.DUMMYFUNCTION("""COMPUTED_VALUE"""),"Ignite")</f>
        <v>Ignite</v>
      </c>
      <c r="B123" s="16">
        <f>IFERROR(__xludf.DUMMYFUNCTION("""COMPUTED_VALUE"""),4.0)</f>
        <v>4</v>
      </c>
      <c r="C123" s="16" t="str">
        <f>IFERROR(__xludf.DUMMYFUNCTION("""COMPUTED_VALUE"""),"X")</f>
        <v>X</v>
      </c>
      <c r="D123" s="16"/>
      <c r="E123" s="16" t="str">
        <f>IFERROR(__xludf.DUMMYFUNCTION("""COMPUTED_VALUE"""),"Target gains X*4 Fire damage and X*4 Fire resistance, can’t be used on self")</f>
        <v>Target gains X*4 Fire damage and X*4 Fire resistance, can’t be used on self</v>
      </c>
      <c r="F123" s="16" t="str">
        <f>IFERROR(__xludf.DUMMYFUNCTION("""COMPUTED_VALUE"""),"Will Succeed")</f>
        <v>Will Succeed</v>
      </c>
      <c r="G123" s="16"/>
      <c r="H123" s="16" t="str">
        <f>IFERROR(__xludf.DUMMYFUNCTION("""COMPUTED_VALUE"""),"Fire")</f>
        <v>Fire</v>
      </c>
    </row>
    <row r="124">
      <c r="A124" s="16" t="str">
        <f>IFERROR(__xludf.DUMMYFUNCTION("""COMPUTED_VALUE"""),"Last Resort")</f>
        <v>Last Resort</v>
      </c>
      <c r="B124" s="16">
        <f>IFERROR(__xludf.DUMMYFUNCTION("""COMPUTED_VALUE"""),8.0)</f>
        <v>8</v>
      </c>
      <c r="C124" s="16"/>
      <c r="D124" s="16" t="str">
        <f>IFERROR(__xludf.DUMMYFUNCTION("""COMPUTED_VALUE"""),"X")</f>
        <v>X</v>
      </c>
      <c r="E124" s="16" t="str">
        <f>IFERROR(__xludf.DUMMYFUNCTION("""COMPUTED_VALUE"""),"You die and every enemy takes X*4 Fire Damage. X is equal to your current HP.")</f>
        <v>You die and every enemy takes X*4 Fire Damage. X is equal to your current HP.</v>
      </c>
      <c r="F124" s="16" t="str">
        <f>IFERROR(__xludf.DUMMYFUNCTION("""COMPUTED_VALUE"""),"Will Succeed")</f>
        <v>Will Succeed</v>
      </c>
      <c r="G124" s="16"/>
      <c r="H124" s="16" t="str">
        <f>IFERROR(__xludf.DUMMYFUNCTION("""COMPUTED_VALUE"""),"Fire")</f>
        <v>Fire</v>
      </c>
    </row>
    <row r="125">
      <c r="A125" s="16" t="str">
        <f>IFERROR(__xludf.DUMMYFUNCTION("""COMPUTED_VALUE"""),"Lesser Nova")</f>
        <v>Lesser Nova</v>
      </c>
      <c r="B125" s="16">
        <f>IFERROR(__xludf.DUMMYFUNCTION("""COMPUTED_VALUE"""),3.0)</f>
        <v>3</v>
      </c>
      <c r="C125" s="16" t="str">
        <f>IFERROR(__xludf.DUMMYFUNCTION("""COMPUTED_VALUE"""),"X")</f>
        <v>X</v>
      </c>
      <c r="D125" s="16"/>
      <c r="E125" s="16" t="str">
        <f>IFERROR(__xludf.DUMMYFUNCTION("""COMPUTED_VALUE"""),"X*25 Fire damage where X equals sp spent.")</f>
        <v>X*25 Fire damage where X equals sp spent.</v>
      </c>
      <c r="F125" s="16" t="str">
        <f>IFERROR(__xludf.DUMMYFUNCTION("""COMPUTED_VALUE"""),"Fail/Succeed")</f>
        <v>Fail/Succeed</v>
      </c>
      <c r="G125" s="16"/>
      <c r="H125" s="16" t="str">
        <f>IFERROR(__xludf.DUMMYFUNCTION("""COMPUTED_VALUE"""),"Fire")</f>
        <v>Fire</v>
      </c>
    </row>
    <row r="126">
      <c r="A126" s="16" t="str">
        <f>IFERROR(__xludf.DUMMYFUNCTION("""COMPUTED_VALUE"""),"Mass Ignition")</f>
        <v>Mass Ignition</v>
      </c>
      <c r="B126" s="16">
        <f>IFERROR(__xludf.DUMMYFUNCTION("""COMPUTED_VALUE"""),6.0)</f>
        <v>6</v>
      </c>
      <c r="C126" s="16" t="str">
        <f>IFERROR(__xludf.DUMMYFUNCTION("""COMPUTED_VALUE"""),"X")</f>
        <v>X</v>
      </c>
      <c r="D126" s="16"/>
      <c r="E126" s="16" t="str">
        <f>IFERROR(__xludf.DUMMYFUNCTION("""COMPUTED_VALUE"""),"Deals X*10 Burn to all enemies for 3 rounds where X is equal to SP spent.")</f>
        <v>Deals X*10 Burn to all enemies for 3 rounds where X is equal to SP spent.</v>
      </c>
      <c r="F126" s="16" t="str">
        <f>IFERROR(__xludf.DUMMYFUNCTION("""COMPUTED_VALUE"""),"Cannot Avoid")</f>
        <v>Cannot Avoid</v>
      </c>
      <c r="G126" s="16" t="str">
        <f>IFERROR(__xludf.DUMMYFUNCTION("""COMPUTED_VALUE"""),"All")</f>
        <v>All</v>
      </c>
      <c r="H126" s="16" t="str">
        <f>IFERROR(__xludf.DUMMYFUNCTION("""COMPUTED_VALUE"""),"Fire")</f>
        <v>Fire</v>
      </c>
    </row>
    <row r="127">
      <c r="A127" s="16" t="str">
        <f>IFERROR(__xludf.DUMMYFUNCTION("""COMPUTED_VALUE"""),"Meteor Shower")</f>
        <v>Meteor Shower</v>
      </c>
      <c r="B127" s="16">
        <f>IFERROR(__xludf.DUMMYFUNCTION("""COMPUTED_VALUE"""),5.0)</f>
        <v>5</v>
      </c>
      <c r="C127" s="16" t="str">
        <f>IFERROR(__xludf.DUMMYFUNCTION("""COMPUTED_VALUE"""),"X")</f>
        <v>X</v>
      </c>
      <c r="D127" s="16"/>
      <c r="E127" s="16" t="str">
        <f>IFERROR(__xludf.DUMMYFUNCTION("""COMPUTED_VALUE"""),"Deals X*25 Fire damage to all enemies where X is equal to SP spent.")</f>
        <v>Deals X*25 Fire damage to all enemies where X is equal to SP spent.</v>
      </c>
      <c r="F127" s="16" t="str">
        <f>IFERROR(__xludf.DUMMYFUNCTION("""COMPUTED_VALUE"""),"Cannot Avoid")</f>
        <v>Cannot Avoid</v>
      </c>
      <c r="G127" s="16" t="str">
        <f>IFERROR(__xludf.DUMMYFUNCTION("""COMPUTED_VALUE"""),"All")</f>
        <v>All</v>
      </c>
      <c r="H127" s="16" t="str">
        <f>IFERROR(__xludf.DUMMYFUNCTION("""COMPUTED_VALUE"""),"Fire")</f>
        <v>Fire</v>
      </c>
    </row>
    <row r="128">
      <c r="A128" s="16" t="str">
        <f>IFERROR(__xludf.DUMMYFUNCTION("""COMPUTED_VALUE"""),"Solar Storm")</f>
        <v>Solar Storm</v>
      </c>
      <c r="B128" s="16">
        <f>IFERROR(__xludf.DUMMYFUNCTION("""COMPUTED_VALUE"""),9.0)</f>
        <v>9</v>
      </c>
      <c r="C128" s="16">
        <f>IFERROR(__xludf.DUMMYFUNCTION("""COMPUTED_VALUE"""),2000.0)</f>
        <v>2000</v>
      </c>
      <c r="D128" s="16"/>
      <c r="E128" s="16" t="str">
        <f>IFERROR(__xludf.DUMMYFUNCTION("""COMPUTED_VALUE"""),"20,000 burn to all enemies for 3 rounds. X2 fire damage for self and allies for 3 rounds.")</f>
        <v>20,000 burn to all enemies for 3 rounds. X2 fire damage for self and allies for 3 rounds.</v>
      </c>
      <c r="F128" s="16" t="str">
        <f>IFERROR(__xludf.DUMMYFUNCTION("""COMPUTED_VALUE"""),"Cannot Avoid")</f>
        <v>Cannot Avoid</v>
      </c>
      <c r="G128" s="16"/>
      <c r="H128" s="16" t="str">
        <f>IFERROR(__xludf.DUMMYFUNCTION("""COMPUTED_VALUE"""),"Fire")</f>
        <v>Fire</v>
      </c>
    </row>
    <row r="129">
      <c r="A129" s="16" t="str">
        <f>IFERROR(__xludf.DUMMYFUNCTION("""COMPUTED_VALUE"""),"Volcanic Rain")</f>
        <v>Volcanic Rain</v>
      </c>
      <c r="B129" s="16">
        <f>IFERROR(__xludf.DUMMYFUNCTION("""COMPUTED_VALUE"""),9.0)</f>
        <v>9</v>
      </c>
      <c r="C129" s="16">
        <f>IFERROR(__xludf.DUMMYFUNCTION("""COMPUTED_VALUE"""),25000.0)</f>
        <v>25000</v>
      </c>
      <c r="D129" s="16"/>
      <c r="E129" s="16" t="str">
        <f>IFERROR(__xludf.DUMMYFUNCTION("""COMPUTED_VALUE"""),"Summons a rainstorm of lava dealing 25,000 undefendable Fire damage for 3 rounds to all enemies, Fire spell damage is increased by X2 damage for 3 rounds.")</f>
        <v>Summons a rainstorm of lava dealing 25,000 undefendable Fire damage for 3 rounds to all enemies, Fire spell damage is increased by X2 damage for 3 rounds.</v>
      </c>
      <c r="F129" s="16" t="str">
        <f>IFERROR(__xludf.DUMMYFUNCTION("""COMPUTED_VALUE"""),"Cannot Avoid")</f>
        <v>Cannot Avoid</v>
      </c>
      <c r="G129" s="16"/>
      <c r="H129" s="16" t="str">
        <f>IFERROR(__xludf.DUMMYFUNCTION("""COMPUTED_VALUE"""),"Fire")</f>
        <v>Fire</v>
      </c>
    </row>
    <row r="130">
      <c r="A130" s="16" t="str">
        <f>IFERROR(__xludf.DUMMYFUNCTION("""COMPUTED_VALUE"""),"Volcanic Wall")</f>
        <v>Volcanic Wall</v>
      </c>
      <c r="B130" s="16">
        <f>IFERROR(__xludf.DUMMYFUNCTION("""COMPUTED_VALUE"""),9.0)</f>
        <v>9</v>
      </c>
      <c r="C130" s="16">
        <f>IFERROR(__xludf.DUMMYFUNCTION("""COMPUTED_VALUE"""),300.0)</f>
        <v>300</v>
      </c>
      <c r="D130" s="16"/>
      <c r="E130"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130" s="16" t="str">
        <f>IFERROR(__xludf.DUMMYFUNCTION("""COMPUTED_VALUE"""),"Fail/Succeed")</f>
        <v>Fail/Succeed</v>
      </c>
      <c r="G130" s="16"/>
      <c r="H130" s="16" t="str">
        <f>IFERROR(__xludf.DUMMYFUNCTION("""COMPUTED_VALUE"""),"Fire")</f>
        <v>Fire</v>
      </c>
    </row>
    <row r="131">
      <c r="A131" s="16" t="str">
        <f>IFERROR(__xludf.DUMMYFUNCTION("""COMPUTED_VALUE"""),"Wall of Flames")</f>
        <v>Wall of Flames</v>
      </c>
      <c r="B131" s="16">
        <f>IFERROR(__xludf.DUMMYFUNCTION("""COMPUTED_VALUE"""),9.0)</f>
        <v>9</v>
      </c>
      <c r="C131" s="16">
        <f>IFERROR(__xludf.DUMMYFUNCTION("""COMPUTED_VALUE"""),2000.0)</f>
        <v>2000</v>
      </c>
      <c r="D131" s="16"/>
      <c r="E131" s="16" t="str">
        <f>IFERROR(__xludf.DUMMYFUNCTION("""COMPUTED_VALUE"""),"Deals 20,000 fire damage per round to all enemies that doubles each round for 3 rounds.")</f>
        <v>Deals 20,000 fire damage per round to all enemies that doubles each round for 3 rounds.</v>
      </c>
      <c r="F131" s="16" t="str">
        <f>IFERROR(__xludf.DUMMYFUNCTION("""COMPUTED_VALUE"""),"Fail/Succeed")</f>
        <v>Fail/Succeed</v>
      </c>
      <c r="G131" s="16" t="str">
        <f>IFERROR(__xludf.DUMMYFUNCTION("""COMPUTED_VALUE"""),"All")</f>
        <v>All</v>
      </c>
      <c r="H131" s="16" t="str">
        <f>IFERROR(__xludf.DUMMYFUNCTION("""COMPUTED_VALUE"""),"Fire")</f>
        <v>Fire</v>
      </c>
    </row>
    <row r="132">
      <c r="A132" s="16" t="str">
        <f>IFERROR(__xludf.DUMMYFUNCTION("""COMPUTED_VALUE"""),"Baptize")</f>
        <v>Baptize</v>
      </c>
      <c r="B132" s="16">
        <f>IFERROR(__xludf.DUMMYFUNCTION("""COMPUTED_VALUE"""),4.0)</f>
        <v>4</v>
      </c>
      <c r="C132" s="16">
        <f>IFERROR(__xludf.DUMMYFUNCTION("""COMPUTED_VALUE"""),40.0)</f>
        <v>40</v>
      </c>
      <c r="D132" s="16"/>
      <c r="E132" s="16" t="str">
        <f>IFERROR(__xludf.DUMMYFUNCTION("""COMPUTED_VALUE"""),"Target becomes immune to light and dark until the end of Battle. Cannot be casted on self.")</f>
        <v>Target becomes immune to light and dark until the end of Battle. Cannot be casted on self.</v>
      </c>
      <c r="F132" s="16" t="str">
        <f>IFERROR(__xludf.DUMMYFUNCTION("""COMPUTED_VALUE"""),"Fail/Succeed")</f>
        <v>Fail/Succeed</v>
      </c>
      <c r="G132" s="16"/>
      <c r="H132" s="16" t="str">
        <f>IFERROR(__xludf.DUMMYFUNCTION("""COMPUTED_VALUE"""),"Light")</f>
        <v>Light</v>
      </c>
    </row>
    <row r="133">
      <c r="A133" s="16" t="str">
        <f>IFERROR(__xludf.DUMMYFUNCTION("""COMPUTED_VALUE"""),"Bless")</f>
        <v>Bless</v>
      </c>
      <c r="B133" s="16">
        <f>IFERROR(__xludf.DUMMYFUNCTION("""COMPUTED_VALUE"""),4.0)</f>
        <v>4</v>
      </c>
      <c r="C133" s="16" t="str">
        <f>IFERROR(__xludf.DUMMYFUNCTION("""COMPUTED_VALUE"""),"X")</f>
        <v>X</v>
      </c>
      <c r="D133" s="16"/>
      <c r="E133" s="16" t="str">
        <f>IFERROR(__xludf.DUMMYFUNCTION("""COMPUTED_VALUE"""),"Target gains X*4 Light damage and X*4 Light resistance, can’t be used on self")</f>
        <v>Target gains X*4 Light damage and X*4 Light resistance, can’t be used on self</v>
      </c>
      <c r="F133" s="16" t="str">
        <f>IFERROR(__xludf.DUMMYFUNCTION("""COMPUTED_VALUE"""),"Will Succeed")</f>
        <v>Will Succeed</v>
      </c>
      <c r="G133" s="16"/>
      <c r="H133" s="16" t="str">
        <f>IFERROR(__xludf.DUMMYFUNCTION("""COMPUTED_VALUE"""),"Light")</f>
        <v>Light</v>
      </c>
    </row>
    <row r="134">
      <c r="A134" s="16" t="str">
        <f>IFERROR(__xludf.DUMMYFUNCTION("""COMPUTED_VALUE"""),"Bright Light")</f>
        <v>Bright Light</v>
      </c>
      <c r="B134" s="16">
        <f>IFERROR(__xludf.DUMMYFUNCTION("""COMPUTED_VALUE"""),2.0)</f>
        <v>2</v>
      </c>
      <c r="C134" s="16" t="str">
        <f>IFERROR(__xludf.DUMMYFUNCTION("""COMPUTED_VALUE"""),"X")</f>
        <v>X</v>
      </c>
      <c r="D134" s="16"/>
      <c r="E134" s="16" t="str">
        <f>IFERROR(__xludf.DUMMYFUNCTION("""COMPUTED_VALUE"""),"X*25 Light damage to all enemies where X is equal to the users SP spent, sheds light for 3 rounds.")</f>
        <v>X*25 Light damage to all enemies where X is equal to the users SP spent, sheds light for 3 rounds.</v>
      </c>
      <c r="F134" s="16" t="str">
        <f>IFERROR(__xludf.DUMMYFUNCTION("""COMPUTED_VALUE"""),"Cannot Avoid")</f>
        <v>Cannot Avoid</v>
      </c>
      <c r="G134" s="16" t="str">
        <f>IFERROR(__xludf.DUMMYFUNCTION("""COMPUTED_VALUE"""),"All")</f>
        <v>All</v>
      </c>
      <c r="H134" s="16" t="str">
        <f>IFERROR(__xludf.DUMMYFUNCTION("""COMPUTED_VALUE"""),"Light")</f>
        <v>Light</v>
      </c>
    </row>
    <row r="135">
      <c r="A135" s="16" t="str">
        <f>IFERROR(__xludf.DUMMYFUNCTION("""COMPUTED_VALUE"""),"Continuous Light")</f>
        <v>Continuous Light</v>
      </c>
      <c r="B135" s="16">
        <f>IFERROR(__xludf.DUMMYFUNCTION("""COMPUTED_VALUE"""),3.0)</f>
        <v>3</v>
      </c>
      <c r="C135" s="16" t="str">
        <f>IFERROR(__xludf.DUMMYFUNCTION("""COMPUTED_VALUE"""),"X")</f>
        <v>X</v>
      </c>
      <c r="D135" s="16"/>
      <c r="E135" s="16" t="str">
        <f>IFERROR(__xludf.DUMMYFUNCTION("""COMPUTED_VALUE"""),"X*50 Light damage per round for 3 rounds to a single target where X is equal to SP spent.")</f>
        <v>X*50 Light damage per round for 3 rounds to a single target where X is equal to SP spent.</v>
      </c>
      <c r="F135" s="16" t="str">
        <f>IFERROR(__xludf.DUMMYFUNCTION("""COMPUTED_VALUE"""),"Hit/Miss")</f>
        <v>Hit/Miss</v>
      </c>
      <c r="G135" s="16"/>
      <c r="H135" s="16" t="str">
        <f>IFERROR(__xludf.DUMMYFUNCTION("""COMPUTED_VALUE"""),"Light")</f>
        <v>Light</v>
      </c>
    </row>
    <row r="136">
      <c r="A136" s="16" t="str">
        <f>IFERROR(__xludf.DUMMYFUNCTION("""COMPUTED_VALUE"""),"Disease Control")</f>
        <v>Disease Control</v>
      </c>
      <c r="B136" s="16">
        <f>IFERROR(__xludf.DUMMYFUNCTION("""COMPUTED_VALUE"""),9.0)</f>
        <v>9</v>
      </c>
      <c r="C136" s="16">
        <f>IFERROR(__xludf.DUMMYFUNCTION("""COMPUTED_VALUE"""),300.0)</f>
        <v>300</v>
      </c>
      <c r="D136" s="16"/>
      <c r="E136" s="16" t="str">
        <f>IFERROR(__xludf.DUMMYFUNCTION("""COMPUTED_VALUE"""),"Cures 1 target of 1 Non-permanent diseases and/or status effects. Can only be used once per character per session.")</f>
        <v>Cures 1 target of 1 Non-permanent diseases and/or status effects. Can only be used once per character per session.</v>
      </c>
      <c r="F136" s="16" t="str">
        <f>IFERROR(__xludf.DUMMYFUNCTION("""COMPUTED_VALUE"""),"Fail/succeed")</f>
        <v>Fail/succeed</v>
      </c>
      <c r="G136" s="16">
        <f>IFERROR(__xludf.DUMMYFUNCTION("""COMPUTED_VALUE"""),1.0)</f>
        <v>1</v>
      </c>
      <c r="H136" s="16" t="str">
        <f>IFERROR(__xludf.DUMMYFUNCTION("""COMPUTED_VALUE"""),"Light")</f>
        <v>Light</v>
      </c>
    </row>
    <row r="137">
      <c r="A137" s="16" t="str">
        <f>IFERROR(__xludf.DUMMYFUNCTION("""COMPUTED_VALUE"""),"Flare")</f>
        <v>Flare</v>
      </c>
      <c r="B137" s="16">
        <f>IFERROR(__xludf.DUMMYFUNCTION("""COMPUTED_VALUE"""),1.0)</f>
        <v>1</v>
      </c>
      <c r="C137" s="16" t="str">
        <f>IFERROR(__xludf.DUMMYFUNCTION("""COMPUTED_VALUE"""),"X")</f>
        <v>X</v>
      </c>
      <c r="D137" s="16"/>
      <c r="E137" s="16" t="str">
        <f>IFERROR(__xludf.DUMMYFUNCTION("""COMPUTED_VALUE"""),"X*100 Light damage to one target where X is equal to sp spent, sheds light for 3 rounds")</f>
        <v>X*100 Light damage to one target where X is equal to sp spent, sheds light for 3 rounds</v>
      </c>
      <c r="F137" s="16" t="str">
        <f>IFERROR(__xludf.DUMMYFUNCTION("""COMPUTED_VALUE"""),"Hit/Miss")</f>
        <v>Hit/Miss</v>
      </c>
      <c r="G137" s="16">
        <f>IFERROR(__xludf.DUMMYFUNCTION("""COMPUTED_VALUE"""),1.0)</f>
        <v>1</v>
      </c>
      <c r="H137" s="16" t="str">
        <f>IFERROR(__xludf.DUMMYFUNCTION("""COMPUTED_VALUE"""),"Light")</f>
        <v>Light</v>
      </c>
    </row>
    <row r="138">
      <c r="A138" s="16" t="str">
        <f>IFERROR(__xludf.DUMMYFUNCTION("""COMPUTED_VALUE"""),"Focused Light")</f>
        <v>Focused Light</v>
      </c>
      <c r="B138" s="16">
        <f>IFERROR(__xludf.DUMMYFUNCTION("""COMPUTED_VALUE"""),5.0)</f>
        <v>5</v>
      </c>
      <c r="C138" s="16" t="str">
        <f>IFERROR(__xludf.DUMMYFUNCTION("""COMPUTED_VALUE"""),"X")</f>
        <v>X</v>
      </c>
      <c r="D138" s="16"/>
      <c r="E138" s="16" t="str">
        <f>IFERROR(__xludf.DUMMYFUNCTION("""COMPUTED_VALUE"""),"X*50 Light damage and X*50 Fire damage to one target where X is equal to Sp spent. Sheds light for 3 rounds.")</f>
        <v>X*50 Light damage and X*50 Fire damage to one target where X is equal to Sp spent. Sheds light for 3 rounds.</v>
      </c>
      <c r="F138" s="16" t="str">
        <f>IFERROR(__xludf.DUMMYFUNCTION("""COMPUTED_VALUE"""),"Hit/Miss")</f>
        <v>Hit/Miss</v>
      </c>
      <c r="G138" s="16">
        <f>IFERROR(__xludf.DUMMYFUNCTION("""COMPUTED_VALUE"""),1.0)</f>
        <v>1</v>
      </c>
      <c r="H138" s="16" t="str">
        <f>IFERROR(__xludf.DUMMYFUNCTION("""COMPUTED_VALUE"""),"Light")</f>
        <v>Light</v>
      </c>
    </row>
    <row r="139">
      <c r="A139" s="16" t="str">
        <f>IFERROR(__xludf.DUMMYFUNCTION("""COMPUTED_VALUE"""),"Full Revive")</f>
        <v>Full Revive</v>
      </c>
      <c r="B139" s="16">
        <f>IFERROR(__xludf.DUMMYFUNCTION("""COMPUTED_VALUE"""),9.0)</f>
        <v>9</v>
      </c>
      <c r="C139" s="16">
        <f>IFERROR(__xludf.DUMMYFUNCTION("""COMPUTED_VALUE"""),300.0)</f>
        <v>300</v>
      </c>
      <c r="D139" s="16"/>
      <c r="E139" s="16" t="str">
        <f>IFERROR(__xludf.DUMMYFUNCTION("""COMPUTED_VALUE"""),"Return all allies from death with full HP, must be done before they respawn.")</f>
        <v>Return all allies from death with full HP, must be done before they respawn.</v>
      </c>
      <c r="F139" s="16" t="str">
        <f>IFERROR(__xludf.DUMMYFUNCTION("""COMPUTED_VALUE"""),"Fail/succeed")</f>
        <v>Fail/succeed</v>
      </c>
      <c r="G139" s="16"/>
      <c r="H139" s="16" t="str">
        <f>IFERROR(__xludf.DUMMYFUNCTION("""COMPUTED_VALUE"""),"Light")</f>
        <v>Light</v>
      </c>
    </row>
    <row r="140">
      <c r="A140" s="16" t="str">
        <f>IFERROR(__xludf.DUMMYFUNCTION("""COMPUTED_VALUE"""),"Heal")</f>
        <v>Heal</v>
      </c>
      <c r="B140" s="16">
        <f>IFERROR(__xludf.DUMMYFUNCTION("""COMPUTED_VALUE"""),1.0)</f>
        <v>1</v>
      </c>
      <c r="C140" s="16" t="str">
        <f>IFERROR(__xludf.DUMMYFUNCTION("""COMPUTED_VALUE"""),"X")</f>
        <v>X</v>
      </c>
      <c r="D140" s="16"/>
      <c r="E140" s="16" t="str">
        <f>IFERROR(__xludf.DUMMYFUNCTION("""COMPUTED_VALUE"""),"+x*100 HP healed to all allies where X is equal to SP spent.")</f>
        <v>+x*100 HP healed to all allies where X is equal to SP spent.</v>
      </c>
      <c r="F140" s="16" t="str">
        <f>IFERROR(__xludf.DUMMYFUNCTION("""COMPUTED_VALUE"""),"Will Succeed")</f>
        <v>Will Succeed</v>
      </c>
      <c r="G140" s="16">
        <f>IFERROR(__xludf.DUMMYFUNCTION("""COMPUTED_VALUE"""),1.0)</f>
        <v>1</v>
      </c>
      <c r="H140" s="16" t="str">
        <f>IFERROR(__xludf.DUMMYFUNCTION("""COMPUTED_VALUE"""),"Light")</f>
        <v>Light</v>
      </c>
    </row>
    <row r="141">
      <c r="A141" s="16" t="str">
        <f>IFERROR(__xludf.DUMMYFUNCTION("""COMPUTED_VALUE"""),"Healing Alliance")</f>
        <v>Healing Alliance</v>
      </c>
      <c r="B141" s="16">
        <f>IFERROR(__xludf.DUMMYFUNCTION("""COMPUTED_VALUE"""),5.0)</f>
        <v>5</v>
      </c>
      <c r="C141" s="16" t="str">
        <f>IFERROR(__xludf.DUMMYFUNCTION("""COMPUTED_VALUE"""),"X")</f>
        <v>X</v>
      </c>
      <c r="D141" s="16"/>
      <c r="E141" s="16" t="str">
        <f>IFERROR(__xludf.DUMMYFUNCTION("""COMPUTED_VALUE"""),"+X*25 HP healed to all allies where X is equal to SP spent.")</f>
        <v>+X*25 HP healed to all allies where X is equal to SP spent.</v>
      </c>
      <c r="F141" s="16" t="str">
        <f>IFERROR(__xludf.DUMMYFUNCTION("""COMPUTED_VALUE"""),"Will Succeed")</f>
        <v>Will Succeed</v>
      </c>
      <c r="G141" s="16"/>
      <c r="H141" s="16" t="str">
        <f>IFERROR(__xludf.DUMMYFUNCTION("""COMPUTED_VALUE"""),"Light")</f>
        <v>Light</v>
      </c>
    </row>
    <row r="142">
      <c r="A142" s="16" t="str">
        <f>IFERROR(__xludf.DUMMYFUNCTION("""COMPUTED_VALUE"""),"Hygiene")</f>
        <v>Hygiene</v>
      </c>
      <c r="B142" s="16">
        <f>IFERROR(__xludf.DUMMYFUNCTION("""COMPUTED_VALUE"""),7.0)</f>
        <v>7</v>
      </c>
      <c r="C142" s="16">
        <f>IFERROR(__xludf.DUMMYFUNCTION("""COMPUTED_VALUE"""),100.0)</f>
        <v>100</v>
      </c>
      <c r="D142" s="16"/>
      <c r="E142" s="16" t="str">
        <f>IFERROR(__xludf.DUMMYFUNCTION("""COMPUTED_VALUE"""),"Caster becomes immune to all status effects.")</f>
        <v>Caster becomes immune to all status effects.</v>
      </c>
      <c r="F142" s="16" t="str">
        <f>IFERROR(__xludf.DUMMYFUNCTION("""COMPUTED_VALUE"""),"Will Succeed")</f>
        <v>Will Succeed</v>
      </c>
      <c r="G142" s="16"/>
      <c r="H142" s="16" t="str">
        <f>IFERROR(__xludf.DUMMYFUNCTION("""COMPUTED_VALUE"""),"Light")</f>
        <v>Light</v>
      </c>
    </row>
    <row r="143">
      <c r="A143" s="16" t="str">
        <f>IFERROR(__xludf.DUMMYFUNCTION("""COMPUTED_VALUE"""),"Instant Regeneration")</f>
        <v>Instant Regeneration</v>
      </c>
      <c r="B143" s="16">
        <f>IFERROR(__xludf.DUMMYFUNCTION("""COMPUTED_VALUE"""),8.0)</f>
        <v>8</v>
      </c>
      <c r="C143" s="16">
        <f>IFERROR(__xludf.DUMMYFUNCTION("""COMPUTED_VALUE"""),200.0)</f>
        <v>200</v>
      </c>
      <c r="D143" s="16"/>
      <c r="E143" s="16" t="str">
        <f>IFERROR(__xludf.DUMMYFUNCTION("""COMPUTED_VALUE"""),"Self and allies will revive with full HP and SP, this spell must be used before you and your allies die for the effect to be applied. Can only be used once per battle.")</f>
        <v>Self and allies will revive with full HP and SP, this spell must be used before you and your allies die for the effect to be applied. Can only be used once per battle.</v>
      </c>
      <c r="F143" s="16" t="str">
        <f>IFERROR(__xludf.DUMMYFUNCTION("""COMPUTED_VALUE"""),"Fail/succeed")</f>
        <v>Fail/succeed</v>
      </c>
      <c r="G143" s="16"/>
      <c r="H143" s="16" t="str">
        <f>IFERROR(__xludf.DUMMYFUNCTION("""COMPUTED_VALUE"""),"Light")</f>
        <v>Light</v>
      </c>
    </row>
    <row r="144">
      <c r="A144" s="16" t="str">
        <f>IFERROR(__xludf.DUMMYFUNCTION("""COMPUTED_VALUE"""),"Light Ray")</f>
        <v>Light Ray</v>
      </c>
      <c r="B144" s="16">
        <f>IFERROR(__xludf.DUMMYFUNCTION("""COMPUTED_VALUE"""),2.0)</f>
        <v>2</v>
      </c>
      <c r="C144" s="16">
        <f>IFERROR(__xludf.DUMMYFUNCTION("""COMPUTED_VALUE"""),20.0)</f>
        <v>20</v>
      </c>
      <c r="D144" s="16"/>
      <c r="E144" s="16" t="str">
        <f>IFERROR(__xludf.DUMMYFUNCTION("""COMPUTED_VALUE"""),"Blindness 3 to a single target and sheds light for 3 rounds.")</f>
        <v>Blindness 3 to a single target and sheds light for 3 rounds.</v>
      </c>
      <c r="F144" s="16" t="str">
        <f>IFERROR(__xludf.DUMMYFUNCTION("""COMPUTED_VALUE"""),"Hit/Miss")</f>
        <v>Hit/Miss</v>
      </c>
      <c r="G144" s="16">
        <f>IFERROR(__xludf.DUMMYFUNCTION("""COMPUTED_VALUE"""),1.0)</f>
        <v>1</v>
      </c>
      <c r="H144" s="16" t="str">
        <f>IFERROR(__xludf.DUMMYFUNCTION("""COMPUTED_VALUE"""),"Light")</f>
        <v>Light</v>
      </c>
    </row>
    <row r="145">
      <c r="A145" s="16" t="str">
        <f>IFERROR(__xludf.DUMMYFUNCTION("""COMPUTED_VALUE"""),"Obliterating Light of Blindness")</f>
        <v>Obliterating Light of Blindness</v>
      </c>
      <c r="B145" s="16">
        <f>IFERROR(__xludf.DUMMYFUNCTION("""COMPUTED_VALUE"""),9.0)</f>
        <v>9</v>
      </c>
      <c r="C145" s="16" t="str">
        <f>IFERROR(__xludf.DUMMYFUNCTION("""COMPUTED_VALUE"""),"300")</f>
        <v>300</v>
      </c>
      <c r="D145" s="16"/>
      <c r="E145" s="16" t="str">
        <f>IFERROR(__xludf.DUMMYFUNCTION("""COMPUTED_VALUE"""),"20,000 Light damage to all enemies, 25% chance of Blidness 3. and sheds light for 3 rounds.")</f>
        <v>20,000 Light damage to all enemies, 25% chance of Blidness 3. and sheds light for 3 rounds.</v>
      </c>
      <c r="F145" s="16" t="str">
        <f>IFERROR(__xludf.DUMMYFUNCTION("""COMPUTED_VALUE"""),"Cannot Avoid")</f>
        <v>Cannot Avoid</v>
      </c>
      <c r="G145" s="16" t="str">
        <f>IFERROR(__xludf.DUMMYFUNCTION("""COMPUTED_VALUE"""),"All")</f>
        <v>All</v>
      </c>
      <c r="H145" s="16" t="str">
        <f>IFERROR(__xludf.DUMMYFUNCTION("""COMPUTED_VALUE"""),"Light")</f>
        <v>Light</v>
      </c>
    </row>
    <row r="146">
      <c r="A146" s="16" t="str">
        <f>IFERROR(__xludf.DUMMYFUNCTION("""COMPUTED_VALUE"""),"Regeneration")</f>
        <v>Regeneration</v>
      </c>
      <c r="B146" s="16">
        <f>IFERROR(__xludf.DUMMYFUNCTION("""COMPUTED_VALUE"""),6.0)</f>
        <v>6</v>
      </c>
      <c r="C146" s="16" t="str">
        <f>IFERROR(__xludf.DUMMYFUNCTION("""COMPUTED_VALUE"""),"X")</f>
        <v>X</v>
      </c>
      <c r="D146" s="16"/>
      <c r="E146" s="16" t="str">
        <f>IFERROR(__xludf.DUMMYFUNCTION("""COMPUTED_VALUE"""),"+X*50 HP healed per round for 3 rounds to a single ally.")</f>
        <v>+X*50 HP healed per round for 3 rounds to a single ally.</v>
      </c>
      <c r="F146" s="16" t="str">
        <f>IFERROR(__xludf.DUMMYFUNCTION("""COMPUTED_VALUE"""),"Fail/Succeed")</f>
        <v>Fail/Succeed</v>
      </c>
      <c r="G146" s="16"/>
      <c r="H146" s="16" t="str">
        <f>IFERROR(__xludf.DUMMYFUNCTION("""COMPUTED_VALUE"""),"Light")</f>
        <v>Light</v>
      </c>
    </row>
    <row r="147">
      <c r="A147" s="16" t="str">
        <f>IFERROR(__xludf.DUMMYFUNCTION("""COMPUTED_VALUE"""),"Revive")</f>
        <v>Revive</v>
      </c>
      <c r="B147" s="16">
        <f>IFERROR(__xludf.DUMMYFUNCTION("""COMPUTED_VALUE"""),6.0)</f>
        <v>6</v>
      </c>
      <c r="C147" s="16">
        <f>IFERROR(__xludf.DUMMYFUNCTION("""COMPUTED_VALUE"""),60.0)</f>
        <v>60</v>
      </c>
      <c r="D147" s="16"/>
      <c r="E147" s="16" t="str">
        <f>IFERROR(__xludf.DUMMYFUNCTION("""COMPUTED_VALUE"""),"Return a target from death with half their max HP, must be done before they respawn")</f>
        <v>Return a target from death with half their max HP, must be done before they respawn</v>
      </c>
      <c r="F147" s="16" t="str">
        <f>IFERROR(__xludf.DUMMYFUNCTION("""COMPUTED_VALUE"""),"Fail/Succeed")</f>
        <v>Fail/Succeed</v>
      </c>
      <c r="G147" s="16">
        <f>IFERROR(__xludf.DUMMYFUNCTION("""COMPUTED_VALUE"""),1.0)</f>
        <v>1</v>
      </c>
      <c r="H147" s="16" t="str">
        <f>IFERROR(__xludf.DUMMYFUNCTION("""COMPUTED_VALUE"""),"Light")</f>
        <v>Light</v>
      </c>
    </row>
    <row r="148">
      <c r="A148" s="16" t="str">
        <f>IFERROR(__xludf.DUMMYFUNCTION("""COMPUTED_VALUE"""),"Teleport")</f>
        <v>Teleport</v>
      </c>
      <c r="B148" s="16">
        <f>IFERROR(__xludf.DUMMYFUNCTION("""COMPUTED_VALUE"""),9.0)</f>
        <v>9</v>
      </c>
      <c r="C148" s="16">
        <f>IFERROR(__xludf.DUMMYFUNCTION("""COMPUTED_VALUE"""),300.0)</f>
        <v>300</v>
      </c>
      <c r="D148" s="16"/>
      <c r="E148" s="16" t="str">
        <f>IFERROR(__xludf.DUMMYFUNCTION("""COMPUTED_VALUE"""),"Immediately teleport to a region (RP/Battle), Prevents the caster from being attacked from the next attack. (Battle).")</f>
        <v>Immediately teleport to a region (RP/Battle), Prevents the caster from being attacked from the next attack. (Battle).</v>
      </c>
      <c r="F148" s="16" t="str">
        <f>IFERROR(__xludf.DUMMYFUNCTION("""COMPUTED_VALUE"""),"Fail/succeed")</f>
        <v>Fail/succeed</v>
      </c>
      <c r="G148" s="16"/>
      <c r="H148" s="16" t="str">
        <f>IFERROR(__xludf.DUMMYFUNCTION("""COMPUTED_VALUE"""),"Light")</f>
        <v>Light</v>
      </c>
    </row>
    <row r="149">
      <c r="A149" s="16" t="str">
        <f>IFERROR(__xludf.DUMMYFUNCTION("""COMPUTED_VALUE"""),"[Element] Swing")</f>
        <v>[Element] Swing</v>
      </c>
      <c r="B149" s="16">
        <f>IFERROR(__xludf.DUMMYFUNCTION("""COMPUTED_VALUE"""),4.0)</f>
        <v>4</v>
      </c>
      <c r="C149" s="16">
        <f>IFERROR(__xludf.DUMMYFUNCTION("""COMPUTED_VALUE"""),40.0)</f>
        <v>40</v>
      </c>
      <c r="D149" s="16"/>
      <c r="E149" s="16" t="str">
        <f>IFERROR(__xludf.DUMMYFUNCTION("""COMPUTED_VALUE"""),"Select an equipped non-ranged weapon and apply additional [Element] damage to it equal to your attack. (Cannot choose celestial unless level 200 or higher).")</f>
        <v>Select an equipped non-ranged weapon and apply additional [Element] damage to it equal to your attack. (Cannot choose celestial unless level 200 or higher).</v>
      </c>
      <c r="F149" s="16" t="str">
        <f>IFERROR(__xludf.DUMMYFUNCTION("""COMPUTED_VALUE"""),"Fail/Succeed")</f>
        <v>Fail/Succeed</v>
      </c>
      <c r="G149" s="16"/>
      <c r="H149" s="16" t="str">
        <f>IFERROR(__xludf.DUMMYFUNCTION("""COMPUTED_VALUE"""),"Melee")</f>
        <v>Melee</v>
      </c>
    </row>
    <row r="150">
      <c r="A150" s="16" t="str">
        <f>IFERROR(__xludf.DUMMYFUNCTION("""COMPUTED_VALUE"""),"Berserk")</f>
        <v>Berserk</v>
      </c>
      <c r="B150" s="16">
        <f>IFERROR(__xludf.DUMMYFUNCTION("""COMPUTED_VALUE"""),8.0)</f>
        <v>8</v>
      </c>
      <c r="C150" s="16">
        <f>IFERROR(__xludf.DUMMYFUNCTION("""COMPUTED_VALUE"""),200.0)</f>
        <v>200</v>
      </c>
      <c r="D150" s="16"/>
      <c r="E150" s="16" t="str">
        <f>IFERROR(__xludf.DUMMYFUNCTION("""COMPUTED_VALUE"""),"Double your attack roll and damage dealt during your next attack.")</f>
        <v>Double your attack roll and damage dealt during your next attack.</v>
      </c>
      <c r="F150" s="16" t="str">
        <f>IFERROR(__xludf.DUMMYFUNCTION("""COMPUTED_VALUE"""),"Will Succeed")</f>
        <v>Will Succeed</v>
      </c>
      <c r="G150" s="16"/>
      <c r="H150" s="16" t="str">
        <f>IFERROR(__xludf.DUMMYFUNCTION("""COMPUTED_VALUE"""),"Melee")</f>
        <v>Melee</v>
      </c>
    </row>
    <row r="151">
      <c r="A151" s="16" t="str">
        <f>IFERROR(__xludf.DUMMYFUNCTION("""COMPUTED_VALUE"""),"Blade Barrier")</f>
        <v>Blade Barrier</v>
      </c>
      <c r="B151" s="16">
        <f>IFERROR(__xludf.DUMMYFUNCTION("""COMPUTED_VALUE"""),6.0)</f>
        <v>6</v>
      </c>
      <c r="C151" s="16">
        <f>IFERROR(__xludf.DUMMYFUNCTION("""COMPUTED_VALUE"""),60.0)</f>
        <v>60</v>
      </c>
      <c r="D151" s="16"/>
      <c r="E151" s="16" t="str">
        <f>IFERROR(__xludf.DUMMYFUNCTION("""COMPUTED_VALUE"""),"Raise your defense by your attack, if your defense is higher than the damage of an attacking enemy they take the difference as damage")</f>
        <v>Raise your defense by your attack, if your defense is higher than the damage of an attacking enemy they take the difference as damage</v>
      </c>
      <c r="F151" s="16" t="str">
        <f>IFERROR(__xludf.DUMMYFUNCTION("""COMPUTED_VALUE"""),"Fail/Succeed")</f>
        <v>Fail/Succeed</v>
      </c>
      <c r="G151" s="16"/>
      <c r="H151" s="16" t="str">
        <f>IFERROR(__xludf.DUMMYFUNCTION("""COMPUTED_VALUE"""),"Melee")</f>
        <v>Melee</v>
      </c>
    </row>
    <row r="152">
      <c r="A152" s="16" t="str">
        <f>IFERROR(__xludf.DUMMYFUNCTION("""COMPUTED_VALUE"""),"Double Strike")</f>
        <v>Double Strike</v>
      </c>
      <c r="B152" s="16">
        <f>IFERROR(__xludf.DUMMYFUNCTION("""COMPUTED_VALUE"""),9.0)</f>
        <v>9</v>
      </c>
      <c r="C152" s="16">
        <f>IFERROR(__xludf.DUMMYFUNCTION("""COMPUTED_VALUE"""),300.0)</f>
        <v>300</v>
      </c>
      <c r="D152" s="16"/>
      <c r="E152" s="16" t="str">
        <f>IFERROR(__xludf.DUMMYFUNCTION("""COMPUTED_VALUE"""),"Allows you to attack an additional time during your next attack with a weapon or natural attack.")</f>
        <v>Allows you to attack an additional time during your next attack with a weapon or natural attack.</v>
      </c>
      <c r="F152" s="16" t="str">
        <f>IFERROR(__xludf.DUMMYFUNCTION("""COMPUTED_VALUE"""),"Will Succeed")</f>
        <v>Will Succeed</v>
      </c>
      <c r="G152" s="16" t="str">
        <f>IFERROR(__xludf.DUMMYFUNCTION("""COMPUTED_VALUE"""),"Self")</f>
        <v>Self</v>
      </c>
      <c r="H152" s="16" t="str">
        <f>IFERROR(__xludf.DUMMYFUNCTION("""COMPUTED_VALUE"""),"Melee")</f>
        <v>Melee</v>
      </c>
    </row>
    <row r="153">
      <c r="A153" s="16" t="str">
        <f>IFERROR(__xludf.DUMMYFUNCTION("""COMPUTED_VALUE"""),"Energy Charge")</f>
        <v>Energy Charge</v>
      </c>
      <c r="B153" s="16">
        <f>IFERROR(__xludf.DUMMYFUNCTION("""COMPUTED_VALUE"""),7.0)</f>
        <v>7</v>
      </c>
      <c r="C153" s="16" t="str">
        <f>IFERROR(__xludf.DUMMYFUNCTION("""COMPUTED_VALUE"""),"X")</f>
        <v>X</v>
      </c>
      <c r="D153" s="16"/>
      <c r="E153" s="16" t="str">
        <f>IFERROR(__xludf.DUMMYFUNCTION("""COMPUTED_VALUE"""),"Raises attack and accuracy by X*2 SP")</f>
        <v>Raises attack and accuracy by X*2 SP</v>
      </c>
      <c r="F153" s="16" t="str">
        <f>IFERROR(__xludf.DUMMYFUNCTION("""COMPUTED_VALUE"""),"Will Succeed")</f>
        <v>Will Succeed</v>
      </c>
      <c r="G153" s="16"/>
      <c r="H153" s="16" t="str">
        <f>IFERROR(__xludf.DUMMYFUNCTION("""COMPUTED_VALUE"""),"Melee")</f>
        <v>Melee</v>
      </c>
    </row>
    <row r="154">
      <c r="A154" s="16" t="str">
        <f>IFERROR(__xludf.DUMMYFUNCTION("""COMPUTED_VALUE"""),"Go For The Vitals")</f>
        <v>Go For The Vitals</v>
      </c>
      <c r="B154" s="16">
        <f>IFERROR(__xludf.DUMMYFUNCTION("""COMPUTED_VALUE"""),2.0)</f>
        <v>2</v>
      </c>
      <c r="C154" s="16">
        <f>IFERROR(__xludf.DUMMYFUNCTION("""COMPUTED_VALUE"""),20.0)</f>
        <v>20</v>
      </c>
      <c r="D154" s="16"/>
      <c r="E154" s="16" t="str">
        <f>IFERROR(__xludf.DUMMYFUNCTION("""COMPUTED_VALUE"""),"Treat your next attack roll as double.")</f>
        <v>Treat your next attack roll as double.</v>
      </c>
      <c r="F154" s="16" t="str">
        <f>IFERROR(__xludf.DUMMYFUNCTION("""COMPUTED_VALUE"""),"Fail/Succeed")</f>
        <v>Fail/Succeed</v>
      </c>
      <c r="G154" s="16"/>
      <c r="H154" s="16" t="str">
        <f>IFERROR(__xludf.DUMMYFUNCTION("""COMPUTED_VALUE"""),"Melee")</f>
        <v>Melee</v>
      </c>
    </row>
    <row r="155">
      <c r="A155" s="16" t="str">
        <f>IFERROR(__xludf.DUMMYFUNCTION("""COMPUTED_VALUE"""),"Hard swing")</f>
        <v>Hard swing</v>
      </c>
      <c r="B155" s="16">
        <f>IFERROR(__xludf.DUMMYFUNCTION("""COMPUTED_VALUE"""),1.0)</f>
        <v>1</v>
      </c>
      <c r="C155" s="16">
        <f>IFERROR(__xludf.DUMMYFUNCTION("""COMPUTED_VALUE"""),10.0)</f>
        <v>10</v>
      </c>
      <c r="D155" s="16"/>
      <c r="E155" s="16" t="str">
        <f>IFERROR(__xludf.DUMMYFUNCTION("""COMPUTED_VALUE"""),"During your next attack while attacking with a weapon; Roll for the attack twice and take the higher number.")</f>
        <v>During your next attack while attacking with a weapon; Roll for the attack twice and take the higher number.</v>
      </c>
      <c r="F155" s="16" t="str">
        <f>IFERROR(__xludf.DUMMYFUNCTION("""COMPUTED_VALUE"""),"Fail/Succeed")</f>
        <v>Fail/Succeed</v>
      </c>
      <c r="G155" s="16"/>
      <c r="H155" s="16" t="str">
        <f>IFERROR(__xludf.DUMMYFUNCTION("""COMPUTED_VALUE"""),"Melee")</f>
        <v>Melee</v>
      </c>
    </row>
    <row r="156">
      <c r="A156" s="16" t="str">
        <f>IFERROR(__xludf.DUMMYFUNCTION("""COMPUTED_VALUE"""),"Marauder's Rage")</f>
        <v>Marauder's Rage</v>
      </c>
      <c r="B156" s="16">
        <f>IFERROR(__xludf.DUMMYFUNCTION("""COMPUTED_VALUE"""),5.0)</f>
        <v>5</v>
      </c>
      <c r="C156" s="16" t="str">
        <f>IFERROR(__xludf.DUMMYFUNCTION("""COMPUTED_VALUE"""),"X")</f>
        <v>X</v>
      </c>
      <c r="D156" s="16"/>
      <c r="E156" s="16" t="str">
        <f>IFERROR(__xludf.DUMMYFUNCTION("""COMPUTED_VALUE"""),"Roll a D20 for additional attack, times it by the amount of mana you pay.")</f>
        <v>Roll a D20 for additional attack, times it by the amount of mana you pay.</v>
      </c>
      <c r="F156" s="16" t="str">
        <f>IFERROR(__xludf.DUMMYFUNCTION("""COMPUTED_VALUE"""),"Will Succeed")</f>
        <v>Will Succeed</v>
      </c>
      <c r="G156" s="16" t="str">
        <f>IFERROR(__xludf.DUMMYFUNCTION("""COMPUTED_VALUE"""),"Self")</f>
        <v>Self</v>
      </c>
      <c r="H156" s="16" t="str">
        <f>IFERROR(__xludf.DUMMYFUNCTION("""COMPUTED_VALUE"""),"Melee")</f>
        <v>Melee</v>
      </c>
    </row>
    <row r="157">
      <c r="A157" s="16" t="str">
        <f>IFERROR(__xludf.DUMMYFUNCTION("""COMPUTED_VALUE"""),"Melee Barrier")</f>
        <v>Melee Barrier</v>
      </c>
      <c r="B157" s="16">
        <f>IFERROR(__xludf.DUMMYFUNCTION("""COMPUTED_VALUE"""),3.0)</f>
        <v>3</v>
      </c>
      <c r="C157" s="16">
        <f>IFERROR(__xludf.DUMMYFUNCTION("""COMPUTED_VALUE"""),30.0)</f>
        <v>30</v>
      </c>
      <c r="D157" s="16"/>
      <c r="E157" s="16" t="str">
        <f>IFERROR(__xludf.DUMMYFUNCTION("""COMPUTED_VALUE"""),"Take half damage from the next attack.")</f>
        <v>Take half damage from the next attack.</v>
      </c>
      <c r="F157" s="16" t="str">
        <f>IFERROR(__xludf.DUMMYFUNCTION("""COMPUTED_VALUE"""),"Fail/Succeed")</f>
        <v>Fail/Succeed</v>
      </c>
      <c r="G157" s="16"/>
      <c r="H157" s="16" t="str">
        <f>IFERROR(__xludf.DUMMYFUNCTION("""COMPUTED_VALUE"""),"Melee")</f>
        <v>Melee</v>
      </c>
    </row>
    <row r="158">
      <c r="A158" s="16" t="str">
        <f>IFERROR(__xludf.DUMMYFUNCTION("""COMPUTED_VALUE"""),"Melee Boost")</f>
        <v>Melee Boost</v>
      </c>
      <c r="B158" s="16">
        <f>IFERROR(__xludf.DUMMYFUNCTION("""COMPUTED_VALUE"""),8.0)</f>
        <v>8</v>
      </c>
      <c r="C158" s="16">
        <f>IFERROR(__xludf.DUMMYFUNCTION("""COMPUTED_VALUE"""),200.0)</f>
        <v>200</v>
      </c>
      <c r="D158" s="16"/>
      <c r="E158" s="16" t="str">
        <f>IFERROR(__xludf.DUMMYFUNCTION("""COMPUTED_VALUE"""),"X2 attack for caster only.")</f>
        <v>X2 attack for caster only.</v>
      </c>
      <c r="F158" s="16" t="str">
        <f>IFERROR(__xludf.DUMMYFUNCTION("""COMPUTED_VALUE"""),"Will Succeed")</f>
        <v>Will Succeed</v>
      </c>
      <c r="G158" s="16"/>
      <c r="H158" s="16" t="str">
        <f>IFERROR(__xludf.DUMMYFUNCTION("""COMPUTED_VALUE"""),"Melee")</f>
        <v>Melee</v>
      </c>
    </row>
    <row r="159">
      <c r="A159" s="16" t="str">
        <f>IFERROR(__xludf.DUMMYFUNCTION("""COMPUTED_VALUE"""),"Melee Shield")</f>
        <v>Melee Shield</v>
      </c>
      <c r="B159" s="16">
        <f>IFERROR(__xludf.DUMMYFUNCTION("""COMPUTED_VALUE"""),5.0)</f>
        <v>5</v>
      </c>
      <c r="C159" s="16">
        <f>IFERROR(__xludf.DUMMYFUNCTION("""COMPUTED_VALUE"""),50.0)</f>
        <v>50</v>
      </c>
      <c r="D159" s="16"/>
      <c r="E159" s="16" t="str">
        <f>IFERROR(__xludf.DUMMYFUNCTION("""COMPUTED_VALUE"""),"You take no damage from the next weapon attack targeting you.")</f>
        <v>You take no damage from the next weapon attack targeting you.</v>
      </c>
      <c r="F159" s="16" t="str">
        <f>IFERROR(__xludf.DUMMYFUNCTION("""COMPUTED_VALUE"""),"Fail/Succeed")</f>
        <v>Fail/Succeed</v>
      </c>
      <c r="G159" s="16"/>
      <c r="H159" s="16" t="str">
        <f>IFERROR(__xludf.DUMMYFUNCTION("""COMPUTED_VALUE"""),"Melee")</f>
        <v>Melee</v>
      </c>
    </row>
    <row r="160">
      <c r="A160" s="16" t="str">
        <f>IFERROR(__xludf.DUMMYFUNCTION("""COMPUTED_VALUE"""),"Tower Of Balance II")</f>
        <v>Tower Of Balance II</v>
      </c>
      <c r="B160" s="16">
        <f>IFERROR(__xludf.DUMMYFUNCTION("""COMPUTED_VALUE"""),8.0)</f>
        <v>8</v>
      </c>
      <c r="C160" s="16">
        <f>IFERROR(__xludf.DUMMYFUNCTION("""COMPUTED_VALUE"""),200.0)</f>
        <v>200</v>
      </c>
      <c r="D160" s="16"/>
      <c r="E160" s="16" t="str">
        <f>IFERROR(__xludf.DUMMYFUNCTION("""COMPUTED_VALUE"""),"Forms a tower that rises from beneath the ground that shoots multiple beams of melee energy that doubles the attack of the caster and allies.")</f>
        <v>Forms a tower that rises from beneath the ground that shoots multiple beams of melee energy that doubles the attack of the caster and allies.</v>
      </c>
      <c r="F160" s="16" t="str">
        <f>IFERROR(__xludf.DUMMYFUNCTION("""COMPUTED_VALUE"""),"Will Succeed")</f>
        <v>Will Succeed</v>
      </c>
      <c r="G160" s="16"/>
      <c r="H160" s="16" t="str">
        <f>IFERROR(__xludf.DUMMYFUNCTION("""COMPUTED_VALUE"""),"Melee")</f>
        <v>Melee</v>
      </c>
    </row>
    <row r="161">
      <c r="A161" s="16" t="str">
        <f>IFERROR(__xludf.DUMMYFUNCTION("""COMPUTED_VALUE"""),"Ancient Forest Colossus form")</f>
        <v>Ancient Forest Colossus form</v>
      </c>
      <c r="B161" s="16">
        <f>IFERROR(__xludf.DUMMYFUNCTION("""COMPUTED_VALUE"""),9.0)</f>
        <v>9</v>
      </c>
      <c r="C161" s="16">
        <f>IFERROR(__xludf.DUMMYFUNCTION("""COMPUTED_VALUE"""),300.0)</f>
        <v>300</v>
      </c>
      <c r="D161" s="16"/>
      <c r="E161" s="16" t="str">
        <f>IFERROR(__xludf.DUMMYFUNCTION("""COMPUTED_VALUE"""),"Transform into the ancient forest colossus for the rest of battle. You gain all of its spells, base stats, resistances, immunities, and vulnerabilities. Level determined by DM.")</f>
        <v>Transform into the ancient forest colossus for the rest of battle. You gain all of its spells, base stats, resistances, immunities, and vulnerabilities. Level determined by DM.</v>
      </c>
      <c r="F161" s="16" t="str">
        <f>IFERROR(__xludf.DUMMYFUNCTION("""COMPUTED_VALUE"""),"Fail/succeed")</f>
        <v>Fail/succeed</v>
      </c>
      <c r="G161" s="16"/>
      <c r="H161" s="16" t="str">
        <f>IFERROR(__xludf.DUMMYFUNCTION("""COMPUTED_VALUE"""),"Nature")</f>
        <v>Nature</v>
      </c>
    </row>
    <row r="162">
      <c r="A162" s="16" t="str">
        <f>IFERROR(__xludf.DUMMYFUNCTION("""COMPUTED_VALUE"""),"Barkskin")</f>
        <v>Barkskin</v>
      </c>
      <c r="B162" s="16">
        <f>IFERROR(__xludf.DUMMYFUNCTION("""COMPUTED_VALUE"""),3.0)</f>
        <v>3</v>
      </c>
      <c r="C162" s="16">
        <f>IFERROR(__xludf.DUMMYFUNCTION("""COMPUTED_VALUE"""),30.0)</f>
        <v>30</v>
      </c>
      <c r="D162" s="16"/>
      <c r="E162" s="16" t="str">
        <f>IFERROR(__xludf.DUMMYFUNCTION("""COMPUTED_VALUE"""),"X2 defense for target.")</f>
        <v>X2 defense for target.</v>
      </c>
      <c r="F162" s="16" t="str">
        <f>IFERROR(__xludf.DUMMYFUNCTION("""COMPUTED_VALUE"""),"Fail/Succeed")</f>
        <v>Fail/Succeed</v>
      </c>
      <c r="G162" s="16">
        <f>IFERROR(__xludf.DUMMYFUNCTION("""COMPUTED_VALUE"""),1.0)</f>
        <v>1</v>
      </c>
      <c r="H162" s="16" t="str">
        <f>IFERROR(__xludf.DUMMYFUNCTION("""COMPUTED_VALUE"""),"Nature")</f>
        <v>Nature</v>
      </c>
    </row>
    <row r="163">
      <c r="A163" s="16" t="str">
        <f>IFERROR(__xludf.DUMMYFUNCTION("""COMPUTED_VALUE"""),"Beast Form")</f>
        <v>Beast Form</v>
      </c>
      <c r="B163" s="16">
        <f>IFERROR(__xludf.DUMMYFUNCTION("""COMPUTED_VALUE"""),5.0)</f>
        <v>5</v>
      </c>
      <c r="C163" s="16">
        <f>IFERROR(__xludf.DUMMYFUNCTION("""COMPUTED_VALUE"""),50.0)</f>
        <v>50</v>
      </c>
      <c r="D163" s="16"/>
      <c r="E163" s="16" t="str">
        <f>IFERROR(__xludf.DUMMYFUNCTION("""COMPUTED_VALUE"""),"You become a beast that is equal or lower level than you.")</f>
        <v>You become a beast that is equal or lower level than you.</v>
      </c>
      <c r="F163" s="16" t="str">
        <f>IFERROR(__xludf.DUMMYFUNCTION("""COMPUTED_VALUE"""),"Fail/succeed")</f>
        <v>Fail/succeed</v>
      </c>
      <c r="G163" s="16"/>
      <c r="H163" s="16" t="str">
        <f>IFERROR(__xludf.DUMMYFUNCTION("""COMPUTED_VALUE"""),"Nature")</f>
        <v>Nature</v>
      </c>
    </row>
    <row r="164">
      <c r="A164" s="16" t="str">
        <f>IFERROR(__xludf.DUMMYFUNCTION("""COMPUTED_VALUE"""),"Creature Control")</f>
        <v>Creature Control</v>
      </c>
      <c r="B164" s="16">
        <f>IFERROR(__xludf.DUMMYFUNCTION("""COMPUTED_VALUE"""),3.0)</f>
        <v>3</v>
      </c>
      <c r="C164" s="16">
        <f>IFERROR(__xludf.DUMMYFUNCTION("""COMPUTED_VALUE"""),30.0)</f>
        <v>30</v>
      </c>
      <c r="D164" s="16"/>
      <c r="E164" s="16" t="str">
        <f>IFERROR(__xludf.DUMMYFUNCTION("""COMPUTED_VALUE"""),"Turn one non-sentient creature into a companion, and can only have one creature under this power's effect at a time.")</f>
        <v>Turn one non-sentient creature into a companion, and can only have one creature under this power's effect at a time.</v>
      </c>
      <c r="F164" s="16" t="str">
        <f>IFERROR(__xludf.DUMMYFUNCTION("""COMPUTED_VALUE"""),"Fail/succeed")</f>
        <v>Fail/succeed</v>
      </c>
      <c r="G164" s="16"/>
      <c r="H164" s="16" t="str">
        <f>IFERROR(__xludf.DUMMYFUNCTION("""COMPUTED_VALUE"""),"Nature")</f>
        <v>Nature</v>
      </c>
    </row>
    <row r="165">
      <c r="A165" s="16" t="str">
        <f>IFERROR(__xludf.DUMMYFUNCTION("""COMPUTED_VALUE"""),"Grounds")</f>
        <v>Grounds</v>
      </c>
      <c r="B165" s="16">
        <f>IFERROR(__xludf.DUMMYFUNCTION("""COMPUTED_VALUE"""),9.0)</f>
        <v>9</v>
      </c>
      <c r="C165" s="16" t="str">
        <f>IFERROR(__xludf.DUMMYFUNCTION("""COMPUTED_VALUE"""),"X")</f>
        <v>X</v>
      </c>
      <c r="D165" s="16"/>
      <c r="E165" s="16" t="str">
        <f>IFERROR(__xludf.DUMMYFUNCTION("""COMPUTED_VALUE"""),"Creates an area of healing for you and your allies equal to the amount of SP you spend, they regain XHP each round they are in the area for the rest of battle. (Within dungeons with a map Creates a 3x3 around you) (1 use)")</f>
        <v>Creates an area of healing for you and your allies equal to the amount of SP you spend, they regain XHP each round they are in the area for the rest of battle. (Within dungeons with a map Creates a 3x3 around you) (1 use)</v>
      </c>
      <c r="F165" s="16" t="str">
        <f>IFERROR(__xludf.DUMMYFUNCTION("""COMPUTED_VALUE"""),"Will Succeed")</f>
        <v>Will Succeed</v>
      </c>
      <c r="G165" s="16"/>
      <c r="H165" s="16" t="str">
        <f>IFERROR(__xludf.DUMMYFUNCTION("""COMPUTED_VALUE"""),"Nature")</f>
        <v>Nature</v>
      </c>
    </row>
    <row r="166">
      <c r="A166" s="16" t="str">
        <f>IFERROR(__xludf.DUMMYFUNCTION("""COMPUTED_VALUE"""),"Nature Ward")</f>
        <v>Nature Ward</v>
      </c>
      <c r="B166" s="16">
        <f>IFERROR(__xludf.DUMMYFUNCTION("""COMPUTED_VALUE"""),9.0)</f>
        <v>9</v>
      </c>
      <c r="C166" s="16">
        <f>IFERROR(__xludf.DUMMYFUNCTION("""COMPUTED_VALUE"""),300.0)</f>
        <v>300</v>
      </c>
      <c r="D166" s="16"/>
      <c r="E166"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166" s="16" t="str">
        <f>IFERROR(__xludf.DUMMYFUNCTION("""COMPUTED_VALUE"""),"Fail/Succeed")</f>
        <v>Fail/Succeed</v>
      </c>
      <c r="G166" s="16">
        <f>IFERROR(__xludf.DUMMYFUNCTION("""COMPUTED_VALUE"""),1.0)</f>
        <v>1</v>
      </c>
      <c r="H166" s="16" t="str">
        <f>IFERROR(__xludf.DUMMYFUNCTION("""COMPUTED_VALUE"""),"Nature")</f>
        <v>Nature</v>
      </c>
    </row>
    <row r="167">
      <c r="A167" s="16" t="str">
        <f>IFERROR(__xludf.DUMMYFUNCTION("""COMPUTED_VALUE"""),"Nature's Embrace")</f>
        <v>Nature's Embrace</v>
      </c>
      <c r="B167" s="16">
        <f>IFERROR(__xludf.DUMMYFUNCTION("""COMPUTED_VALUE"""),7.0)</f>
        <v>7</v>
      </c>
      <c r="C167" s="16">
        <f>IFERROR(__xludf.DUMMYFUNCTION("""COMPUTED_VALUE"""),200.0)</f>
        <v>200</v>
      </c>
      <c r="D167" s="16"/>
      <c r="E167" s="16" t="str">
        <f>IFERROR(__xludf.DUMMYFUNCTION("""COMPUTED_VALUE"""),"Has a 40% chance to inflict Pacified 3 on a single target. (once per battle)")</f>
        <v>Has a 40% chance to inflict Pacified 3 on a single target. (once per battle)</v>
      </c>
      <c r="F167" s="16" t="str">
        <f>IFERROR(__xludf.DUMMYFUNCTION("""COMPUTED_VALUE"""),"Fail/Succeed")</f>
        <v>Fail/Succeed</v>
      </c>
      <c r="G167" s="16">
        <f>IFERROR(__xludf.DUMMYFUNCTION("""COMPUTED_VALUE"""),1.0)</f>
        <v>1</v>
      </c>
      <c r="H167" s="16" t="str">
        <f>IFERROR(__xludf.DUMMYFUNCTION("""COMPUTED_VALUE"""),"Nature")</f>
        <v>Nature</v>
      </c>
    </row>
    <row r="168">
      <c r="A168" s="16" t="str">
        <f>IFERROR(__xludf.DUMMYFUNCTION("""COMPUTED_VALUE"""),"Nature's Light")</f>
        <v>Nature's Light</v>
      </c>
      <c r="B168" s="16">
        <f>IFERROR(__xludf.DUMMYFUNCTION("""COMPUTED_VALUE"""),9.0)</f>
        <v>9</v>
      </c>
      <c r="C168" s="16" t="str">
        <f>IFERROR(__xludf.DUMMYFUNCTION("""COMPUTED_VALUE"""),"X")</f>
        <v>X</v>
      </c>
      <c r="D168" s="16"/>
      <c r="E168" s="16" t="str">
        <f>IFERROR(__xludf.DUMMYFUNCTION("""COMPUTED_VALUE"""),"A gentle glow emanates from the caster healing all allies by X HP every round and dealing X2 Nature damage.")</f>
        <v>A gentle glow emanates from the caster healing all allies by X HP every round and dealing X2 Nature damage.</v>
      </c>
      <c r="F168" s="16" t="str">
        <f>IFERROR(__xludf.DUMMYFUNCTION("""COMPUTED_VALUE"""),"Fail/Succeed")</f>
        <v>Fail/Succeed</v>
      </c>
      <c r="G168" s="16" t="str">
        <f>IFERROR(__xludf.DUMMYFUNCTION("""COMPUTED_VALUE"""),"All")</f>
        <v>All</v>
      </c>
      <c r="H168" s="16" t="str">
        <f>IFERROR(__xludf.DUMMYFUNCTION("""COMPUTED_VALUE"""),"Nature")</f>
        <v>Nature</v>
      </c>
    </row>
    <row r="169">
      <c r="A169" s="16" t="str">
        <f>IFERROR(__xludf.DUMMYFUNCTION("""COMPUTED_VALUE"""),"Nature's Wrath")</f>
        <v>Nature's Wrath</v>
      </c>
      <c r="B169" s="16">
        <f>IFERROR(__xludf.DUMMYFUNCTION("""COMPUTED_VALUE"""),9.0)</f>
        <v>9</v>
      </c>
      <c r="C169" s="16">
        <f>IFERROR(__xludf.DUMMYFUNCTION("""COMPUTED_VALUE"""),4000.0)</f>
        <v>4000</v>
      </c>
      <c r="D169" s="16"/>
      <c r="E169" s="16" t="str">
        <f>IFERROR(__xludf.DUMMYFUNCTION("""COMPUTED_VALUE"""),"Deals 20,000 undefendable damage to all enemies with a 5% chance to inflict the effect of entagle.")</f>
        <v>Deals 20,000 undefendable damage to all enemies with a 5% chance to inflict the effect of entagle.</v>
      </c>
      <c r="F169" s="16" t="str">
        <f>IFERROR(__xludf.DUMMYFUNCTION("""COMPUTED_VALUE"""),"Cannot Avoid")</f>
        <v>Cannot Avoid</v>
      </c>
      <c r="G169" s="16" t="str">
        <f>IFERROR(__xludf.DUMMYFUNCTION("""COMPUTED_VALUE"""),"All")</f>
        <v>All</v>
      </c>
      <c r="H169" s="16" t="str">
        <f>IFERROR(__xludf.DUMMYFUNCTION("""COMPUTED_VALUE"""),"Nature")</f>
        <v>Nature</v>
      </c>
    </row>
    <row r="170">
      <c r="A170" s="16" t="str">
        <f>IFERROR(__xludf.DUMMYFUNCTION("""COMPUTED_VALUE"""),"Poison Ivy")</f>
        <v>Poison Ivy</v>
      </c>
      <c r="B170" s="16">
        <f>IFERROR(__xludf.DUMMYFUNCTION("""COMPUTED_VALUE"""),5.0)</f>
        <v>5</v>
      </c>
      <c r="C170" s="16" t="str">
        <f>IFERROR(__xludf.DUMMYFUNCTION("""COMPUTED_VALUE"""),"X")</f>
        <v>X</v>
      </c>
      <c r="D170" s="16"/>
      <c r="E170" s="16" t="str">
        <f>IFERROR(__xludf.DUMMYFUNCTION("""COMPUTED_VALUE"""),"Deals X*50 Poison for 3 rounds to a single target where X is equal to SP spent.")</f>
        <v>Deals X*50 Poison for 3 rounds to a single target where X is equal to SP spent.</v>
      </c>
      <c r="F170" s="16" t="str">
        <f>IFERROR(__xludf.DUMMYFUNCTION("""COMPUTED_VALUE"""),"Hit/Miss")</f>
        <v>Hit/Miss</v>
      </c>
      <c r="G170" s="16">
        <f>IFERROR(__xludf.DUMMYFUNCTION("""COMPUTED_VALUE"""),1.0)</f>
        <v>1</v>
      </c>
      <c r="H170" s="16" t="str">
        <f>IFERROR(__xludf.DUMMYFUNCTION("""COMPUTED_VALUE"""),"Nature")</f>
        <v>Nature</v>
      </c>
    </row>
    <row r="171">
      <c r="A171" s="16" t="str">
        <f>IFERROR(__xludf.DUMMYFUNCTION("""COMPUTED_VALUE"""),"Poisonous Fumes")</f>
        <v>Poisonous Fumes</v>
      </c>
      <c r="B171" s="16">
        <f>IFERROR(__xludf.DUMMYFUNCTION("""COMPUTED_VALUE"""),8.0)</f>
        <v>8</v>
      </c>
      <c r="C171" s="16">
        <f>IFERROR(__xludf.DUMMYFUNCTION("""COMPUTED_VALUE"""),1400.0)</f>
        <v>1400</v>
      </c>
      <c r="D171" s="16"/>
      <c r="E171" s="16" t="str">
        <f>IFERROR(__xludf.DUMMYFUNCTION("""COMPUTED_VALUE"""),"Poison 14000 to all enemies for 3 rounds, 50% chance to deal an additional Poison 14,000 to all enemies for 3 more rounds.")</f>
        <v>Poison 14000 to all enemies for 3 rounds, 50% chance to deal an additional Poison 14,000 to all enemies for 3 more rounds.</v>
      </c>
      <c r="F171" s="16" t="str">
        <f>IFERROR(__xludf.DUMMYFUNCTION("""COMPUTED_VALUE"""),"Fail/Succeed")</f>
        <v>Fail/Succeed</v>
      </c>
      <c r="G171" s="16"/>
      <c r="H171" s="16" t="str">
        <f>IFERROR(__xludf.DUMMYFUNCTION("""COMPUTED_VALUE"""),"Nature")</f>
        <v>Nature</v>
      </c>
    </row>
    <row r="172">
      <c r="A172" s="16" t="str">
        <f>IFERROR(__xludf.DUMMYFUNCTION("""COMPUTED_VALUE"""),"Razor Leaves")</f>
        <v>Razor Leaves</v>
      </c>
      <c r="B172" s="16">
        <f>IFERROR(__xludf.DUMMYFUNCTION("""COMPUTED_VALUE"""),5.0)</f>
        <v>5</v>
      </c>
      <c r="C172" s="16" t="str">
        <f>IFERROR(__xludf.DUMMYFUNCTION("""COMPUTED_VALUE"""),"X")</f>
        <v>X</v>
      </c>
      <c r="D172" s="16"/>
      <c r="E172" s="16" t="str">
        <f>IFERROR(__xludf.DUMMYFUNCTION("""COMPUTED_VALUE"""),"Deals X*25 Nature damage to all enemies where X is equal to SP spent.")</f>
        <v>Deals X*25 Nature damage to all enemies where X is equal to SP spent.</v>
      </c>
      <c r="F172" s="16" t="str">
        <f>IFERROR(__xludf.DUMMYFUNCTION("""COMPUTED_VALUE"""),"Cannot Avoid")</f>
        <v>Cannot Avoid</v>
      </c>
      <c r="G172" s="16" t="str">
        <f>IFERROR(__xludf.DUMMYFUNCTION("""COMPUTED_VALUE"""),"All")</f>
        <v>All</v>
      </c>
      <c r="H172" s="16" t="str">
        <f>IFERROR(__xludf.DUMMYFUNCTION("""COMPUTED_VALUE"""),"Nature")</f>
        <v>Nature</v>
      </c>
    </row>
    <row r="173">
      <c r="A173" s="16" t="str">
        <f>IFERROR(__xludf.DUMMYFUNCTION("""COMPUTED_VALUE"""),"Regrowth")</f>
        <v>Regrowth</v>
      </c>
      <c r="B173" s="16">
        <f>IFERROR(__xludf.DUMMYFUNCTION("""COMPUTED_VALUE"""),6.0)</f>
        <v>6</v>
      </c>
      <c r="C173" s="16">
        <f>IFERROR(__xludf.DUMMYFUNCTION("""COMPUTED_VALUE"""),75.0)</f>
        <v>75</v>
      </c>
      <c r="D173" s="16"/>
      <c r="E173" s="16" t="str">
        <f>IFERROR(__xludf.DUMMYFUNCTION("""COMPUTED_VALUE"""),"Heals target by 5000 and grants them Invigorated 5.")</f>
        <v>Heals target by 5000 and grants them Invigorated 5.</v>
      </c>
      <c r="F173" s="16" t="str">
        <f>IFERROR(__xludf.DUMMYFUNCTION("""COMPUTED_VALUE"""),"Fail/Succeed")</f>
        <v>Fail/Succeed</v>
      </c>
      <c r="G173" s="16">
        <f>IFERROR(__xludf.DUMMYFUNCTION("""COMPUTED_VALUE"""),1.0)</f>
        <v>1</v>
      </c>
      <c r="H173" s="16" t="str">
        <f>IFERROR(__xludf.DUMMYFUNCTION("""COMPUTED_VALUE"""),"Nature")</f>
        <v>Nature</v>
      </c>
    </row>
    <row r="174">
      <c r="A174" s="16" t="str">
        <f>IFERROR(__xludf.DUMMYFUNCTION("""COMPUTED_VALUE"""),"The Orb of Life")</f>
        <v>The Orb of Life</v>
      </c>
      <c r="B174" s="16">
        <f>IFERROR(__xludf.DUMMYFUNCTION("""COMPUTED_VALUE"""),9.0)</f>
        <v>9</v>
      </c>
      <c r="C174" s="16">
        <f>IFERROR(__xludf.DUMMYFUNCTION("""COMPUTED_VALUE"""),300.0)</f>
        <v>300</v>
      </c>
      <c r="D174" s="16"/>
      <c r="E174" s="16" t="str">
        <f>IFERROR(__xludf.DUMMYFUNCTION("""COMPUTED_VALUE"""),"Summons a life orb that revives 1 target.")</f>
        <v>Summons a life orb that revives 1 target.</v>
      </c>
      <c r="F174" s="16" t="str">
        <f>IFERROR(__xludf.DUMMYFUNCTION("""COMPUTED_VALUE"""),"Fail/Succeed")</f>
        <v>Fail/Succeed</v>
      </c>
      <c r="G174" s="16">
        <f>IFERROR(__xludf.DUMMYFUNCTION("""COMPUTED_VALUE"""),1.0)</f>
        <v>1</v>
      </c>
      <c r="H174" s="16" t="str">
        <f>IFERROR(__xludf.DUMMYFUNCTION("""COMPUTED_VALUE"""),"Nature")</f>
        <v>Nature</v>
      </c>
    </row>
    <row r="175">
      <c r="A175" s="16" t="str">
        <f>IFERROR(__xludf.DUMMYFUNCTION("""COMPUTED_VALUE"""),"The World Tree")</f>
        <v>The World Tree</v>
      </c>
      <c r="B175" s="16">
        <f>IFERROR(__xludf.DUMMYFUNCTION("""COMPUTED_VALUE"""),9.0)</f>
        <v>9</v>
      </c>
      <c r="C175" s="16">
        <f>IFERROR(__xludf.DUMMYFUNCTION("""COMPUTED_VALUE"""),500.0)</f>
        <v>500</v>
      </c>
      <c r="D175" s="16"/>
      <c r="E175" s="16" t="str">
        <f>IFERROR(__xludf.DUMMYFUNCTION("""COMPUTED_VALUE"""),"Fully revives all dead party members and fully restores their sp. This spell can only be casted when one or more party member(s) are dead.")</f>
        <v>Fully revives all dead party members and fully restores their sp. This spell can only be casted when one or more party member(s) are dead.</v>
      </c>
      <c r="F175" s="16" t="str">
        <f>IFERROR(__xludf.DUMMYFUNCTION("""COMPUTED_VALUE"""),"Fail/Succeed")</f>
        <v>Fail/Succeed</v>
      </c>
      <c r="G175" s="16"/>
      <c r="H175" s="16" t="str">
        <f>IFERROR(__xludf.DUMMYFUNCTION("""COMPUTED_VALUE"""),"Nature")</f>
        <v>Nature</v>
      </c>
    </row>
    <row r="176">
      <c r="A176" s="16" t="str">
        <f>IFERROR(__xludf.DUMMYFUNCTION("""COMPUTED_VALUE"""),"Thorn Bush")</f>
        <v>Thorn Bush</v>
      </c>
      <c r="B176" s="16">
        <f>IFERROR(__xludf.DUMMYFUNCTION("""COMPUTED_VALUE"""),6.0)</f>
        <v>6</v>
      </c>
      <c r="C176" s="16" t="str">
        <f>IFERROR(__xludf.DUMMYFUNCTION("""COMPUTED_VALUE"""),"X")</f>
        <v>X</v>
      </c>
      <c r="D176" s="16"/>
      <c r="E176" s="16" t="str">
        <f>IFERROR(__xludf.DUMMYFUNCTION("""COMPUTED_VALUE"""),"Deals X*10 Poison to all enemies for 3 rounds where X is equal to SP spent.")</f>
        <v>Deals X*10 Poison to all enemies for 3 rounds where X is equal to SP spent.</v>
      </c>
      <c r="F176" s="16" t="str">
        <f>IFERROR(__xludf.DUMMYFUNCTION("""COMPUTED_VALUE"""),"Cannot Avoid")</f>
        <v>Cannot Avoid</v>
      </c>
      <c r="G176" s="16" t="str">
        <f>IFERROR(__xludf.DUMMYFUNCTION("""COMPUTED_VALUE"""),"All")</f>
        <v>All</v>
      </c>
      <c r="H176" s="16" t="str">
        <f>IFERROR(__xludf.DUMMYFUNCTION("""COMPUTED_VALUE"""),"Nature")</f>
        <v>Nature</v>
      </c>
    </row>
    <row r="177">
      <c r="A177" s="16" t="str">
        <f>IFERROR(__xludf.DUMMYFUNCTION("""COMPUTED_VALUE"""),"Tower Of The Forest")</f>
        <v>Tower Of The Forest</v>
      </c>
      <c r="B177" s="16">
        <f>IFERROR(__xludf.DUMMYFUNCTION("""COMPUTED_VALUE"""),8.0)</f>
        <v>8</v>
      </c>
      <c r="C177" s="16">
        <f>IFERROR(__xludf.DUMMYFUNCTION("""COMPUTED_VALUE"""),200.0)</f>
        <v>200</v>
      </c>
      <c r="D177" s="16"/>
      <c r="E177" s="16" t="str">
        <f>IFERROR(__xludf.DUMMYFUNCTION("""COMPUTED_VALUE"""),"Forms a tower that rises from beneath the ground and shoots a giant beam of nature energy from the towers eye - 14,000 nature damage and revives 1 dead party member.")</f>
        <v>Forms a tower that rises from beneath the ground and shoots a giant beam of nature energy from the towers eye - 14,000 nature damage and revives 1 dead party member.</v>
      </c>
      <c r="F177" s="16" t="str">
        <f>IFERROR(__xludf.DUMMYFUNCTION("""COMPUTED_VALUE"""),"Fail/Succeed")</f>
        <v>Fail/Succeed</v>
      </c>
      <c r="G177" s="16">
        <f>IFERROR(__xludf.DUMMYFUNCTION("""COMPUTED_VALUE"""),1.0)</f>
        <v>1</v>
      </c>
      <c r="H177" s="16" t="str">
        <f>IFERROR(__xludf.DUMMYFUNCTION("""COMPUTED_VALUE"""),"Nature")</f>
        <v>Nature</v>
      </c>
    </row>
    <row r="178">
      <c r="A178" s="16" t="str">
        <f>IFERROR(__xludf.DUMMYFUNCTION("""COMPUTED_VALUE"""),"Vine Hold")</f>
        <v>Vine Hold</v>
      </c>
      <c r="B178" s="16">
        <f>IFERROR(__xludf.DUMMYFUNCTION("""COMPUTED_VALUE"""),6.0)</f>
        <v>6</v>
      </c>
      <c r="C178" s="16">
        <f>IFERROR(__xludf.DUMMYFUNCTION("""COMPUTED_VALUE"""),60.0)</f>
        <v>60</v>
      </c>
      <c r="D178" s="16"/>
      <c r="E178" s="16" t="str">
        <f>IFERROR(__xludf.DUMMYFUNCTION("""COMPUTED_VALUE"""),"6000 poison for 3 rounds, Stun 3")</f>
        <v>6000 poison for 3 rounds, Stun 3</v>
      </c>
      <c r="F178" s="16" t="str">
        <f>IFERROR(__xludf.DUMMYFUNCTION("""COMPUTED_VALUE"""),"Fail/succeed")</f>
        <v>Fail/succeed</v>
      </c>
      <c r="G178" s="16"/>
      <c r="H178" s="16" t="str">
        <f>IFERROR(__xludf.DUMMYFUNCTION("""COMPUTED_VALUE"""),"Nature")</f>
        <v>Nature</v>
      </c>
    </row>
    <row r="179">
      <c r="A179" s="16" t="str">
        <f>IFERROR(__xludf.DUMMYFUNCTION("""COMPUTED_VALUE"""),"Vine Whip")</f>
        <v>Vine Whip</v>
      </c>
      <c r="B179" s="16">
        <f>IFERROR(__xludf.DUMMYFUNCTION("""COMPUTED_VALUE"""),1.0)</f>
        <v>1</v>
      </c>
      <c r="C179" s="16" t="str">
        <f>IFERROR(__xludf.DUMMYFUNCTION("""COMPUTED_VALUE"""),"X")</f>
        <v>X</v>
      </c>
      <c r="D179" s="16"/>
      <c r="E179" s="16" t="str">
        <f>IFERROR(__xludf.DUMMYFUNCTION("""COMPUTED_VALUE"""),"Deals X*100 Nature damage to a single enemy where X is equal to SP spent.")</f>
        <v>Deals X*100 Nature damage to a single enemy where X is equal to SP spent.</v>
      </c>
      <c r="F179" s="16" t="str">
        <f>IFERROR(__xludf.DUMMYFUNCTION("""COMPUTED_VALUE"""),"Hit/Miss")</f>
        <v>Hit/Miss</v>
      </c>
      <c r="G179" s="16">
        <f>IFERROR(__xludf.DUMMYFUNCTION("""COMPUTED_VALUE"""),1.0)</f>
        <v>1</v>
      </c>
      <c r="H179" s="16" t="str">
        <f>IFERROR(__xludf.DUMMYFUNCTION("""COMPUTED_VALUE"""),"Nature")</f>
        <v>Nature</v>
      </c>
    </row>
    <row r="180">
      <c r="A180" s="16" t="str">
        <f>IFERROR(__xludf.DUMMYFUNCTION("""COMPUTED_VALUE"""),"Alliance Guard")</f>
        <v>Alliance Guard</v>
      </c>
      <c r="B180" s="16">
        <f>IFERROR(__xludf.DUMMYFUNCTION("""COMPUTED_VALUE"""),8.0)</f>
        <v>8</v>
      </c>
      <c r="C180" s="16">
        <f>IFERROR(__xludf.DUMMYFUNCTION("""COMPUTED_VALUE"""),80.0)</f>
        <v>80</v>
      </c>
      <c r="D180" s="16"/>
      <c r="E180" s="16" t="str">
        <f>IFERROR(__xludf.DUMMYFUNCTION("""COMPUTED_VALUE"""),"X4 defense to self and all allies until end of battle. 
(1 use)")</f>
        <v>X4 defense to self and all allies until end of battle. 
(1 use)</v>
      </c>
      <c r="F180" s="16" t="str">
        <f>IFERROR(__xludf.DUMMYFUNCTION("""COMPUTED_VALUE"""),"Will succeed")</f>
        <v>Will succeed</v>
      </c>
      <c r="G180" s="16"/>
      <c r="H180" s="16" t="str">
        <f>IFERROR(__xludf.DUMMYFUNCTION("""COMPUTED_VALUE"""),"Order")</f>
        <v>Order</v>
      </c>
    </row>
    <row r="181">
      <c r="A181" s="16" t="str">
        <f>IFERROR(__xludf.DUMMYFUNCTION("""COMPUTED_VALUE"""),"Aura of Order")</f>
        <v>Aura of Order</v>
      </c>
      <c r="B181" s="16">
        <f>IFERROR(__xludf.DUMMYFUNCTION("""COMPUTED_VALUE"""),5.0)</f>
        <v>5</v>
      </c>
      <c r="C181" s="16" t="str">
        <f>IFERROR(__xludf.DUMMYFUNCTION("""COMPUTED_VALUE"""),"X")</f>
        <v>X</v>
      </c>
      <c r="D181" s="16"/>
      <c r="E181" s="16" t="str">
        <f>IFERROR(__xludf.DUMMYFUNCTION("""COMPUTED_VALUE"""),"Deals X*25 Order damage to all enemies where X is equal to SP spent.")</f>
        <v>Deals X*25 Order damage to all enemies where X is equal to SP spent.</v>
      </c>
      <c r="F181" s="16" t="str">
        <f>IFERROR(__xludf.DUMMYFUNCTION("""COMPUTED_VALUE"""),"Cannot Avoid")</f>
        <v>Cannot Avoid</v>
      </c>
      <c r="G181" s="16" t="str">
        <f>IFERROR(__xludf.DUMMYFUNCTION("""COMPUTED_VALUE"""),"All")</f>
        <v>All</v>
      </c>
      <c r="H181" s="16" t="str">
        <f>IFERROR(__xludf.DUMMYFUNCTION("""COMPUTED_VALUE"""),"Order")</f>
        <v>Order</v>
      </c>
    </row>
    <row r="182">
      <c r="A182" s="16" t="str">
        <f>IFERROR(__xludf.DUMMYFUNCTION("""COMPUTED_VALUE"""),"Aura Shot")</f>
        <v>Aura Shot</v>
      </c>
      <c r="B182" s="16">
        <f>IFERROR(__xludf.DUMMYFUNCTION("""COMPUTED_VALUE"""),1.0)</f>
        <v>1</v>
      </c>
      <c r="C182" s="16" t="str">
        <f>IFERROR(__xludf.DUMMYFUNCTION("""COMPUTED_VALUE"""),"X")</f>
        <v>X</v>
      </c>
      <c r="D182" s="16"/>
      <c r="E182" s="16" t="str">
        <f>IFERROR(__xludf.DUMMYFUNCTION("""COMPUTED_VALUE"""),"Deals X*100 Order damage to a single enemy where X is equal to SP spent.")</f>
        <v>Deals X*100 Order damage to a single enemy where X is equal to SP spent.</v>
      </c>
      <c r="F182" s="16" t="str">
        <f>IFERROR(__xludf.DUMMYFUNCTION("""COMPUTED_VALUE"""),"Hit/Miss")</f>
        <v>Hit/Miss</v>
      </c>
      <c r="G182" s="16">
        <f>IFERROR(__xludf.DUMMYFUNCTION("""COMPUTED_VALUE"""),1.0)</f>
        <v>1</v>
      </c>
      <c r="H182" s="16" t="str">
        <f>IFERROR(__xludf.DUMMYFUNCTION("""COMPUTED_VALUE"""),"Order")</f>
        <v>Order</v>
      </c>
    </row>
    <row r="183">
      <c r="A183" s="16" t="str">
        <f>IFERROR(__xludf.DUMMYFUNCTION("""COMPUTED_VALUE"""),"Cancel")</f>
        <v>Cancel</v>
      </c>
      <c r="B183" s="16">
        <f>IFERROR(__xludf.DUMMYFUNCTION("""COMPUTED_VALUE"""),9.0)</f>
        <v>9</v>
      </c>
      <c r="C183" s="16" t="str">
        <f>IFERROR(__xludf.DUMMYFUNCTION("""COMPUTED_VALUE"""),"X*1000")</f>
        <v>X*1000</v>
      </c>
      <c r="D183" s="16"/>
      <c r="E183" s="16" t="str">
        <f>IFERROR(__xludf.DUMMYFUNCTION("""COMPUTED_VALUE"""),"Choose an X amount of target's, those target's Ongoing Spell Effects immediately end.")</f>
        <v>Choose an X amount of target's, those target's Ongoing Spell Effects immediately end.</v>
      </c>
      <c r="F183" s="16" t="str">
        <f>IFERROR(__xludf.DUMMYFUNCTION("""COMPUTED_VALUE"""),"Fail/Succeed")</f>
        <v>Fail/Succeed</v>
      </c>
      <c r="G183" s="16" t="str">
        <f>IFERROR(__xludf.DUMMYFUNCTION("""COMPUTED_VALUE"""),"X")</f>
        <v>X</v>
      </c>
      <c r="H183" s="16" t="str">
        <f>IFERROR(__xludf.DUMMYFUNCTION("""COMPUTED_VALUE"""),"Order")</f>
        <v>Order</v>
      </c>
    </row>
    <row r="184">
      <c r="A184" s="16" t="str">
        <f>IFERROR(__xludf.DUMMYFUNCTION("""COMPUTED_VALUE"""),"Continue")</f>
        <v>Continue</v>
      </c>
      <c r="B184" s="16">
        <f>IFERROR(__xludf.DUMMYFUNCTION("""COMPUTED_VALUE"""),5.0)</f>
        <v>5</v>
      </c>
      <c r="C184" s="16">
        <f>IFERROR(__xludf.DUMMYFUNCTION("""COMPUTED_VALUE"""),50.0)</f>
        <v>50</v>
      </c>
      <c r="D184" s="16"/>
      <c r="E184" s="16" t="str">
        <f>IFERROR(__xludf.DUMMYFUNCTION("""COMPUTED_VALUE"""),"Any ongoing spell effects cannot be canceled including this effect until the end of battle. (Any ongoing spells will still run out of time)")</f>
        <v>Any ongoing spell effects cannot be canceled including this effect until the end of battle. (Any ongoing spells will still run out of time)</v>
      </c>
      <c r="F184" s="16" t="str">
        <f>IFERROR(__xludf.DUMMYFUNCTION("""COMPUTED_VALUE"""),"Fail/Succeed")</f>
        <v>Fail/Succeed</v>
      </c>
      <c r="G184" s="16"/>
      <c r="H184" s="16" t="str">
        <f>IFERROR(__xludf.DUMMYFUNCTION("""COMPUTED_VALUE"""),"Order")</f>
        <v>Order</v>
      </c>
    </row>
    <row r="185">
      <c r="A185" s="16" t="str">
        <f>IFERROR(__xludf.DUMMYFUNCTION("""COMPUTED_VALUE"""),"Downgrade")</f>
        <v>Downgrade</v>
      </c>
      <c r="B185" s="16">
        <f>IFERROR(__xludf.DUMMYFUNCTION("""COMPUTED_VALUE"""),6.0)</f>
        <v>6</v>
      </c>
      <c r="C185" s="16">
        <f>IFERROR(__xludf.DUMMYFUNCTION("""COMPUTED_VALUE"""),60.0)</f>
        <v>60</v>
      </c>
      <c r="D185" s="16"/>
      <c r="E185" s="16" t="str">
        <f>IFERROR(__xludf.DUMMYFUNCTION("""COMPUTED_VALUE"""),"Decrease an ongoing spell's round/and or turn count by 2.")</f>
        <v>Decrease an ongoing spell's round/and or turn count by 2.</v>
      </c>
      <c r="F185" s="16" t="str">
        <f>IFERROR(__xludf.DUMMYFUNCTION("""COMPUTED_VALUE"""),"Fail/Succeed")</f>
        <v>Fail/Succeed</v>
      </c>
      <c r="G185" s="16"/>
      <c r="H185" s="16" t="str">
        <f>IFERROR(__xludf.DUMMYFUNCTION("""COMPUTED_VALUE"""),"Order")</f>
        <v>Order</v>
      </c>
    </row>
    <row r="186">
      <c r="A186" s="16" t="str">
        <f>IFERROR(__xludf.DUMMYFUNCTION("""COMPUTED_VALUE"""),"Judgement")</f>
        <v>Judgement</v>
      </c>
      <c r="B186" s="16">
        <f>IFERROR(__xludf.DUMMYFUNCTION("""COMPUTED_VALUE"""),5.0)</f>
        <v>5</v>
      </c>
      <c r="C186" s="16" t="str">
        <f>IFERROR(__xludf.DUMMYFUNCTION("""COMPUTED_VALUE"""),"X")</f>
        <v>X</v>
      </c>
      <c r="D186" s="16"/>
      <c r="E186" s="16" t="str">
        <f>IFERROR(__xludf.DUMMYFUNCTION("""COMPUTED_VALUE"""),"Deals X*50 Order damage per round for 3 rounds to a single target where X is equal to SP spent.")</f>
        <v>Deals X*50 Order damage per round for 3 rounds to a single target where X is equal to SP spent.</v>
      </c>
      <c r="F186" s="16" t="str">
        <f>IFERROR(__xludf.DUMMYFUNCTION("""COMPUTED_VALUE"""),"Hit/Miss")</f>
        <v>Hit/Miss</v>
      </c>
      <c r="G186" s="16">
        <f>IFERROR(__xludf.DUMMYFUNCTION("""COMPUTED_VALUE"""),1.0)</f>
        <v>1</v>
      </c>
      <c r="H186" s="16" t="str">
        <f>IFERROR(__xludf.DUMMYFUNCTION("""COMPUTED_VALUE"""),"Order")</f>
        <v>Order</v>
      </c>
    </row>
    <row r="187">
      <c r="A187" s="16" t="str">
        <f>IFERROR(__xludf.DUMMYFUNCTION("""COMPUTED_VALUE"""),"Mass Judgement")</f>
        <v>Mass Judgement</v>
      </c>
      <c r="B187" s="16">
        <f>IFERROR(__xludf.DUMMYFUNCTION("""COMPUTED_VALUE"""),6.0)</f>
        <v>6</v>
      </c>
      <c r="C187" s="16" t="str">
        <f>IFERROR(__xludf.DUMMYFUNCTION("""COMPUTED_VALUE"""),"X")</f>
        <v>X</v>
      </c>
      <c r="D187" s="16"/>
      <c r="E187" s="16" t="str">
        <f>IFERROR(__xludf.DUMMYFUNCTION("""COMPUTED_VALUE"""),"Deals X*10 Order damage per round to all enemies for 3 rounds where X is equal to SP spent.")</f>
        <v>Deals X*10 Order damage per round to all enemies for 3 rounds where X is equal to SP spent.</v>
      </c>
      <c r="F187" s="16" t="str">
        <f>IFERROR(__xludf.DUMMYFUNCTION("""COMPUTED_VALUE"""),"Cannot Avoid")</f>
        <v>Cannot Avoid</v>
      </c>
      <c r="G187" s="16" t="str">
        <f>IFERROR(__xludf.DUMMYFUNCTION("""COMPUTED_VALUE"""),"All")</f>
        <v>All</v>
      </c>
      <c r="H187" s="16" t="str">
        <f>IFERROR(__xludf.DUMMYFUNCTION("""COMPUTED_VALUE"""),"Order")</f>
        <v>Order</v>
      </c>
    </row>
    <row r="188">
      <c r="A188" s="16" t="str">
        <f>IFERROR(__xludf.DUMMYFUNCTION("""COMPUTED_VALUE"""),"Medium Ward")</f>
        <v>Medium Ward</v>
      </c>
      <c r="B188" s="16">
        <f>IFERROR(__xludf.DUMMYFUNCTION("""COMPUTED_VALUE"""),6.0)</f>
        <v>6</v>
      </c>
      <c r="C188" s="16">
        <f>IFERROR(__xludf.DUMMYFUNCTION("""COMPUTED_VALUE"""),60.0)</f>
        <v>60</v>
      </c>
      <c r="D188" s="16"/>
      <c r="E188" s="16" t="str">
        <f>IFERROR(__xludf.DUMMYFUNCTION("""COMPUTED_VALUE"""),"Target is unaffected by enemy spells of rank 6 or lower for 3 rounds. Ward ends when stopping a spell that bypasses immunities/resistances.")</f>
        <v>Target is unaffected by enemy spells of rank 6 or lower for 3 rounds. Ward ends when stopping a spell that bypasses immunities/resistances.</v>
      </c>
      <c r="F188" s="16" t="str">
        <f>IFERROR(__xludf.DUMMYFUNCTION("""COMPUTED_VALUE"""),"Fail/succeed")</f>
        <v>Fail/succeed</v>
      </c>
      <c r="G188" s="16"/>
      <c r="H188" s="16" t="str">
        <f>IFERROR(__xludf.DUMMYFUNCTION("""COMPUTED_VALUE"""),"Order")</f>
        <v>Order</v>
      </c>
    </row>
    <row r="189">
      <c r="A189" s="16" t="str">
        <f>IFERROR(__xludf.DUMMYFUNCTION("""COMPUTED_VALUE"""),"Multi Ward")</f>
        <v>Multi Ward</v>
      </c>
      <c r="B189" s="16">
        <f>IFERROR(__xludf.DUMMYFUNCTION("""COMPUTED_VALUE"""),9.0)</f>
        <v>9</v>
      </c>
      <c r="C189" s="16">
        <f>IFERROR(__xludf.DUMMYFUNCTION("""COMPUTED_VALUE"""),300.0)</f>
        <v>300</v>
      </c>
      <c r="D189" s="16"/>
      <c r="E189" s="16" t="str">
        <f>IFERROR(__xludf.DUMMYFUNCTION("""COMPUTED_VALUE"""),"All allies are unaffected by enemy spells of rank 9 or lower for 3 rounds. Ward ends when stopping a spell that bypasses immunities/resistances.")</f>
        <v>All allies are unaffected by enemy spells of rank 9 or lower for 3 rounds. Ward ends when stopping a spell that bypasses immunities/resistances.</v>
      </c>
      <c r="F189" s="16" t="str">
        <f>IFERROR(__xludf.DUMMYFUNCTION("""COMPUTED_VALUE"""),"Fail/Succeed")</f>
        <v>Fail/Succeed</v>
      </c>
      <c r="G189" s="16"/>
      <c r="H189" s="16" t="str">
        <f>IFERROR(__xludf.DUMMYFUNCTION("""COMPUTED_VALUE"""),"Order")</f>
        <v>Order</v>
      </c>
    </row>
    <row r="190">
      <c r="A190" s="16" t="str">
        <f>IFERROR(__xludf.DUMMYFUNCTION("""COMPUTED_VALUE"""),"Neutralize")</f>
        <v>Neutralize</v>
      </c>
      <c r="B190" s="16">
        <f>IFERROR(__xludf.DUMMYFUNCTION("""COMPUTED_VALUE"""),9.0)</f>
        <v>9</v>
      </c>
      <c r="C190" s="16">
        <f>IFERROR(__xludf.DUMMYFUNCTION("""COMPUTED_VALUE"""),300.0)</f>
        <v>300</v>
      </c>
      <c r="D190" s="16"/>
      <c r="E190" s="16" t="str">
        <f>IFERROR(__xludf.DUMMYFUNCTION("""COMPUTED_VALUE"""),"Select a target, any powers of a selected element may not be casted by that target for 3 rounds. (once per battle)")</f>
        <v>Select a target, any powers of a selected element may not be casted by that target for 3 rounds. (once per battle)</v>
      </c>
      <c r="F190" s="16" t="str">
        <f>IFERROR(__xludf.DUMMYFUNCTION("""COMPUTED_VALUE"""),"Fail/Succeed")</f>
        <v>Fail/Succeed</v>
      </c>
      <c r="G190" s="16"/>
      <c r="H190" s="16" t="str">
        <f>IFERROR(__xludf.DUMMYFUNCTION("""COMPUTED_VALUE"""),"Order")</f>
        <v>Order</v>
      </c>
    </row>
    <row r="191">
      <c r="A191" s="16" t="str">
        <f>IFERROR(__xludf.DUMMYFUNCTION("""COMPUTED_VALUE"""),"Protection")</f>
        <v>Protection</v>
      </c>
      <c r="B191" s="16">
        <f>IFERROR(__xludf.DUMMYFUNCTION("""COMPUTED_VALUE"""),2.0)</f>
        <v>2</v>
      </c>
      <c r="C191" s="16">
        <f>IFERROR(__xludf.DUMMYFUNCTION("""COMPUTED_VALUE"""),20.0)</f>
        <v>20</v>
      </c>
      <c r="D191" s="16"/>
      <c r="E191" s="16" t="str">
        <f>IFERROR(__xludf.DUMMYFUNCTION("""COMPUTED_VALUE"""),"X2 Defense to self and allies.")</f>
        <v>X2 Defense to self and allies.</v>
      </c>
      <c r="F191" s="16" t="str">
        <f>IFERROR(__xludf.DUMMYFUNCTION("""COMPUTED_VALUE"""),"Will Succeed")</f>
        <v>Will Succeed</v>
      </c>
      <c r="G191" s="16"/>
      <c r="H191" s="16" t="str">
        <f>IFERROR(__xludf.DUMMYFUNCTION("""COMPUTED_VALUE"""),"Order")</f>
        <v>Order</v>
      </c>
    </row>
    <row r="192">
      <c r="A192" s="16" t="str">
        <f>IFERROR(__xludf.DUMMYFUNCTION("""COMPUTED_VALUE"""),"Reflect")</f>
        <v>Reflect</v>
      </c>
      <c r="B192" s="16">
        <f>IFERROR(__xludf.DUMMYFUNCTION("""COMPUTED_VALUE"""),2.0)</f>
        <v>2</v>
      </c>
      <c r="C192" s="16">
        <f>IFERROR(__xludf.DUMMYFUNCTION("""COMPUTED_VALUE"""),20.0)</f>
        <v>20</v>
      </c>
      <c r="D192" s="16"/>
      <c r="E192" s="16" t="str">
        <f>IFERROR(__xludf.DUMMYFUNCTION("""COMPUTED_VALUE"""),"Inflict Half the damage you take from the next attack on the attacker")</f>
        <v>Inflict Half the damage you take from the next attack on the attacker</v>
      </c>
      <c r="F192" s="16" t="str">
        <f>IFERROR(__xludf.DUMMYFUNCTION("""COMPUTED_VALUE"""),"Fail/succeed")</f>
        <v>Fail/succeed</v>
      </c>
      <c r="G192" s="16"/>
      <c r="H192" s="16" t="str">
        <f>IFERROR(__xludf.DUMMYFUNCTION("""COMPUTED_VALUE"""),"Order")</f>
        <v>Order</v>
      </c>
    </row>
    <row r="193">
      <c r="A193" s="16" t="str">
        <f>IFERROR(__xludf.DUMMYFUNCTION("""COMPUTED_VALUE"""),"Strong Ward")</f>
        <v>Strong Ward</v>
      </c>
      <c r="B193" s="16">
        <f>IFERROR(__xludf.DUMMYFUNCTION("""COMPUTED_VALUE"""),9.0)</f>
        <v>9</v>
      </c>
      <c r="C193" s="16">
        <f>IFERROR(__xludf.DUMMYFUNCTION("""COMPUTED_VALUE"""),300.0)</f>
        <v>300</v>
      </c>
      <c r="D193" s="16"/>
      <c r="E193"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193" s="16" t="str">
        <f>IFERROR(__xludf.DUMMYFUNCTION("""COMPUTED_VALUE"""),"Fail/succeed")</f>
        <v>Fail/succeed</v>
      </c>
      <c r="G193" s="16"/>
      <c r="H193" s="16" t="str">
        <f>IFERROR(__xludf.DUMMYFUNCTION("""COMPUTED_VALUE"""),"Order")</f>
        <v>Order</v>
      </c>
    </row>
    <row r="194">
      <c r="A194" s="16" t="str">
        <f>IFERROR(__xludf.DUMMYFUNCTION("""COMPUTED_VALUE"""),"Tower Of Truth")</f>
        <v>Tower Of Truth</v>
      </c>
      <c r="B194" s="16">
        <f>IFERROR(__xludf.DUMMYFUNCTION("""COMPUTED_VALUE"""),8.0)</f>
        <v>8</v>
      </c>
      <c r="C194" s="16">
        <f>IFERROR(__xludf.DUMMYFUNCTION("""COMPUTED_VALUE"""),200.0)</f>
        <v>200</v>
      </c>
      <c r="D194" s="16"/>
      <c r="E194" s="16" t="str">
        <f>IFERROR(__xludf.DUMMYFUNCTION("""COMPUTED_VALUE"""),"Forms a tower that appears in the sky and shoots a giant beam of order energy from the towers eye- 12000 Order damage. Casts a strong ward on self")</f>
        <v>Forms a tower that appears in the sky and shoots a giant beam of order energy from the towers eye- 12000 Order damage. Casts a strong ward on self</v>
      </c>
      <c r="F194" s="16" t="str">
        <f>IFERROR(__xludf.DUMMYFUNCTION("""COMPUTED_VALUE"""),"Fail/succeed")</f>
        <v>Fail/succeed</v>
      </c>
      <c r="G194" s="16">
        <f>IFERROR(__xludf.DUMMYFUNCTION("""COMPUTED_VALUE"""),1.0)</f>
        <v>1</v>
      </c>
      <c r="H194" s="16" t="str">
        <f>IFERROR(__xludf.DUMMYFUNCTION("""COMPUTED_VALUE"""),"Order")</f>
        <v>Order</v>
      </c>
    </row>
    <row r="195">
      <c r="A195" s="16" t="str">
        <f>IFERROR(__xludf.DUMMYFUNCTION("""COMPUTED_VALUE"""),"Ward")</f>
        <v>Ward</v>
      </c>
      <c r="B195" s="16">
        <f>IFERROR(__xludf.DUMMYFUNCTION("""COMPUTED_VALUE"""),6.0)</f>
        <v>6</v>
      </c>
      <c r="C195" s="16">
        <f>IFERROR(__xludf.DUMMYFUNCTION("""COMPUTED_VALUE"""),60.0)</f>
        <v>60</v>
      </c>
      <c r="D195" s="16"/>
      <c r="E195" s="16" t="str">
        <f>IFERROR(__xludf.DUMMYFUNCTION("""COMPUTED_VALUE"""),"Target is unaffected by enemy spells of rank 3 or lower for 3 rounds. Ward ends when stopping a spell that bypasses immunities/resistances.")</f>
        <v>Target is unaffected by enemy spells of rank 3 or lower for 3 rounds. Ward ends when stopping a spell that bypasses immunities/resistances.</v>
      </c>
      <c r="F195" s="16" t="str">
        <f>IFERROR(__xludf.DUMMYFUNCTION("""COMPUTED_VALUE"""),"Fail/succeed")</f>
        <v>Fail/succeed</v>
      </c>
      <c r="G195" s="16"/>
      <c r="H195" s="16" t="str">
        <f>IFERROR(__xludf.DUMMYFUNCTION("""COMPUTED_VALUE"""),"Order")</f>
        <v>Order</v>
      </c>
    </row>
    <row r="196">
      <c r="A196" s="16" t="str">
        <f>IFERROR(__xludf.DUMMYFUNCTION("""COMPUTED_VALUE"""),"[Element] Strike")</f>
        <v>[Element] Strike</v>
      </c>
      <c r="B196" s="16">
        <f>IFERROR(__xludf.DUMMYFUNCTION("""COMPUTED_VALUE"""),4.0)</f>
        <v>4</v>
      </c>
      <c r="C196" s="16">
        <f>IFERROR(__xludf.DUMMYFUNCTION("""COMPUTED_VALUE"""),40.0)</f>
        <v>40</v>
      </c>
      <c r="D196" s="16"/>
      <c r="E196" s="16" t="str">
        <f>IFERROR(__xludf.DUMMYFUNCTION("""COMPUTED_VALUE"""),"Select an equipped natural attack and apply additional [Element] damage to it equal to your defense. (Cannot choose celestial unless level 200 or higher).")</f>
        <v>Select an equipped natural attack and apply additional [Element] damage to it equal to your defense. (Cannot choose celestial unless level 200 or higher).</v>
      </c>
      <c r="F196" s="16" t="str">
        <f>IFERROR(__xludf.DUMMYFUNCTION("""COMPUTED_VALUE"""),"Fail/succeed")</f>
        <v>Fail/succeed</v>
      </c>
      <c r="G196" s="16"/>
      <c r="H196" s="16" t="str">
        <f>IFERROR(__xludf.DUMMYFUNCTION("""COMPUTED_VALUE"""),"Physical")</f>
        <v>Physical</v>
      </c>
    </row>
    <row r="197">
      <c r="A197" s="16" t="str">
        <f>IFERROR(__xludf.DUMMYFUNCTION("""COMPUTED_VALUE"""),"Bite")</f>
        <v>Bite</v>
      </c>
      <c r="B197" s="16">
        <f>IFERROR(__xludf.DUMMYFUNCTION("""COMPUTED_VALUE"""),1.0)</f>
        <v>1</v>
      </c>
      <c r="C197" s="16">
        <f>IFERROR(__xludf.DUMMYFUNCTION("""COMPUTED_VALUE"""),0.0)</f>
        <v>0</v>
      </c>
      <c r="D197" s="16"/>
      <c r="E197" s="16" t="str">
        <f>IFERROR(__xludf.DUMMYFUNCTION("""COMPUTED_VALUE"""),"X*2 damage of your primary element where X is equal to your attack. 50% chance to hit twice")</f>
        <v>X*2 damage of your primary element where X is equal to your attack. 50% chance to hit twice</v>
      </c>
      <c r="F197" s="16" t="str">
        <f>IFERROR(__xludf.DUMMYFUNCTION("""COMPUTED_VALUE"""),"Natural/Hit or Miss")</f>
        <v>Natural/Hit or Miss</v>
      </c>
      <c r="G197" s="16">
        <f>IFERROR(__xludf.DUMMYFUNCTION("""COMPUTED_VALUE"""),1.0)</f>
        <v>1</v>
      </c>
      <c r="H197" s="16" t="str">
        <f>IFERROR(__xludf.DUMMYFUNCTION("""COMPUTED_VALUE"""),"Physical")</f>
        <v>Physical</v>
      </c>
    </row>
    <row r="198">
      <c r="A198" s="16" t="str">
        <f>IFERROR(__xludf.DUMMYFUNCTION("""COMPUTED_VALUE"""),"Body armor")</f>
        <v>Body armor</v>
      </c>
      <c r="B198" s="16">
        <f>IFERROR(__xludf.DUMMYFUNCTION("""COMPUTED_VALUE"""),1.0)</f>
        <v>1</v>
      </c>
      <c r="C198" s="16">
        <f>IFERROR(__xludf.DUMMYFUNCTION("""COMPUTED_VALUE"""),10.0)</f>
        <v>10</v>
      </c>
      <c r="D198" s="16"/>
      <c r="E198" s="16" t="str">
        <f>IFERROR(__xludf.DUMMYFUNCTION("""COMPUTED_VALUE"""),"100 defense until the end of the round")</f>
        <v>100 defense until the end of the round</v>
      </c>
      <c r="F198" s="16" t="str">
        <f>IFERROR(__xludf.DUMMYFUNCTION("""COMPUTED_VALUE"""),"Will Succeed")</f>
        <v>Will Succeed</v>
      </c>
      <c r="G198" s="16"/>
      <c r="H198" s="16" t="str">
        <f>IFERROR(__xludf.DUMMYFUNCTION("""COMPUTED_VALUE"""),"Physical")</f>
        <v>Physical</v>
      </c>
    </row>
    <row r="199">
      <c r="A199" s="16" t="str">
        <f>IFERROR(__xludf.DUMMYFUNCTION("""COMPUTED_VALUE"""),"Charge")</f>
        <v>Charge</v>
      </c>
      <c r="B199" s="16">
        <f>IFERROR(__xludf.DUMMYFUNCTION("""COMPUTED_VALUE"""),2.0)</f>
        <v>2</v>
      </c>
      <c r="C199" s="16">
        <f>IFERROR(__xludf.DUMMYFUNCTION("""COMPUTED_VALUE"""),20.0)</f>
        <v>20</v>
      </c>
      <c r="D199" s="16"/>
      <c r="E199" s="16" t="str">
        <f>IFERROR(__xludf.DUMMYFUNCTION("""COMPUTED_VALUE"""),"X2 additional damage for the Caster for 3 rounds.")</f>
        <v>X2 additional damage for the Caster for 3 rounds.</v>
      </c>
      <c r="F199" s="16" t="str">
        <f>IFERROR(__xludf.DUMMYFUNCTION("""COMPUTED_VALUE"""),"Will Succeed")</f>
        <v>Will Succeed</v>
      </c>
      <c r="G199" s="16"/>
      <c r="H199" s="16" t="str">
        <f>IFERROR(__xludf.DUMMYFUNCTION("""COMPUTED_VALUE"""),"Physical")</f>
        <v>Physical</v>
      </c>
    </row>
    <row r="200">
      <c r="A200" s="16" t="str">
        <f>IFERROR(__xludf.DUMMYFUNCTION("""COMPUTED_VALUE"""),"Confiscate")</f>
        <v>Confiscate</v>
      </c>
      <c r="B200" s="16">
        <f>IFERROR(__xludf.DUMMYFUNCTION("""COMPUTED_VALUE"""),1.0)</f>
        <v>1</v>
      </c>
      <c r="C200" s="16">
        <f>IFERROR(__xludf.DUMMYFUNCTION("""COMPUTED_VALUE"""),0.0)</f>
        <v>0</v>
      </c>
      <c r="D200" s="16"/>
      <c r="E200" s="16" t="str">
        <f>IFERROR(__xludf.DUMMYFUNCTION("""COMPUTED_VALUE"""),"Take a target’s item in their equipment slot, loot table or backpack.  The item is the caster's choice. Can only take from 1 target per battle.")</f>
        <v>Take a target’s item in their equipment slot, loot table or backpack.  The item is the caster's choice. Can only take from 1 target per battle.</v>
      </c>
      <c r="F200" s="16" t="str">
        <f>IFERROR(__xludf.DUMMYFUNCTION("""COMPUTED_VALUE"""),"Natural/Fail or Succeed")</f>
        <v>Natural/Fail or Succeed</v>
      </c>
      <c r="G200" s="16">
        <f>IFERROR(__xludf.DUMMYFUNCTION("""COMPUTED_VALUE"""),1.0)</f>
        <v>1</v>
      </c>
      <c r="H200" s="16" t="str">
        <f>IFERROR(__xludf.DUMMYFUNCTION("""COMPUTED_VALUE"""),"Physical")</f>
        <v>Physical</v>
      </c>
    </row>
    <row r="201">
      <c r="A201" s="16" t="str">
        <f>IFERROR(__xludf.DUMMYFUNCTION("""COMPUTED_VALUE"""),"Decrease")</f>
        <v>Decrease</v>
      </c>
      <c r="B201" s="16">
        <f>IFERROR(__xludf.DUMMYFUNCTION("""COMPUTED_VALUE"""),7.0)</f>
        <v>7</v>
      </c>
      <c r="C201" s="16">
        <f>IFERROR(__xludf.DUMMYFUNCTION("""COMPUTED_VALUE"""),100.0)</f>
        <v>100</v>
      </c>
      <c r="D201" s="16"/>
      <c r="E201" s="16" t="str">
        <f>IFERROR(__xludf.DUMMYFUNCTION("""COMPUTED_VALUE"""),"Decrease targets attack, defense, and accuracy permanently by 7000.")</f>
        <v>Decrease targets attack, defense, and accuracy permanently by 7000.</v>
      </c>
      <c r="F201" s="16" t="str">
        <f>IFERROR(__xludf.DUMMYFUNCTION("""COMPUTED_VALUE"""),"Fail/succeed")</f>
        <v>Fail/succeed</v>
      </c>
      <c r="G201" s="16"/>
      <c r="H201" s="16" t="str">
        <f>IFERROR(__xludf.DUMMYFUNCTION("""COMPUTED_VALUE"""),"Physical")</f>
        <v>Physical</v>
      </c>
    </row>
    <row r="202">
      <c r="A202" s="16" t="str">
        <f>IFERROR(__xludf.DUMMYFUNCTION("""COMPUTED_VALUE"""),"Defender's Tenacity")</f>
        <v>Defender's Tenacity</v>
      </c>
      <c r="B202" s="16">
        <f>IFERROR(__xludf.DUMMYFUNCTION("""COMPUTED_VALUE"""),5.0)</f>
        <v>5</v>
      </c>
      <c r="C202" s="16" t="str">
        <f>IFERROR(__xludf.DUMMYFUNCTION("""COMPUTED_VALUE"""),"X")</f>
        <v>X</v>
      </c>
      <c r="D202" s="16"/>
      <c r="E202" s="16" t="str">
        <f>IFERROR(__xludf.DUMMYFUNCTION("""COMPUTED_VALUE"""),"Roll a D20 for additional defense, times it by the amount of mana you pay.")</f>
        <v>Roll a D20 for additional defense, times it by the amount of mana you pay.</v>
      </c>
      <c r="F202" s="16" t="str">
        <f>IFERROR(__xludf.DUMMYFUNCTION("""COMPUTED_VALUE"""),"Will Succeed")</f>
        <v>Will Succeed</v>
      </c>
      <c r="G202" s="16" t="str">
        <f>IFERROR(__xludf.DUMMYFUNCTION("""COMPUTED_VALUE"""),"Self")</f>
        <v>Self</v>
      </c>
      <c r="H202" s="16" t="str">
        <f>IFERROR(__xludf.DUMMYFUNCTION("""COMPUTED_VALUE"""),"Physical")</f>
        <v>Physical</v>
      </c>
    </row>
    <row r="203">
      <c r="A203" s="16" t="str">
        <f>IFERROR(__xludf.DUMMYFUNCTION("""COMPUTED_VALUE"""),"Evil touch")</f>
        <v>Evil touch</v>
      </c>
      <c r="B203" s="16">
        <f>IFERROR(__xludf.DUMMYFUNCTION("""COMPUTED_VALUE"""),1.0)</f>
        <v>1</v>
      </c>
      <c r="C203" s="16">
        <f>IFERROR(__xludf.DUMMYFUNCTION("""COMPUTED_VALUE"""),10.0)</f>
        <v>10</v>
      </c>
      <c r="D203" s="16"/>
      <c r="E203" s="16" t="str">
        <f>IFERROR(__xludf.DUMMYFUNCTION("""COMPUTED_VALUE"""),"50% chance of poison 100")</f>
        <v>50% chance of poison 100</v>
      </c>
      <c r="F203" s="16" t="str">
        <f>IFERROR(__xludf.DUMMYFUNCTION("""COMPUTED_VALUE"""),"Will Succeed")</f>
        <v>Will Succeed</v>
      </c>
      <c r="G203" s="16"/>
      <c r="H203" s="16" t="str">
        <f>IFERROR(__xludf.DUMMYFUNCTION("""COMPUTED_VALUE"""),"Physical")</f>
        <v>Physical</v>
      </c>
    </row>
    <row r="204">
      <c r="A204" s="16" t="str">
        <f>IFERROR(__xludf.DUMMYFUNCTION("""COMPUTED_VALUE"""),"Guard")</f>
        <v>Guard</v>
      </c>
      <c r="B204" s="16">
        <f>IFERROR(__xludf.DUMMYFUNCTION("""COMPUTED_VALUE"""),1.0)</f>
        <v>1</v>
      </c>
      <c r="C204" s="16">
        <f>IFERROR(__xludf.DUMMYFUNCTION("""COMPUTED_VALUE"""),0.0)</f>
        <v>0</v>
      </c>
      <c r="D204" s="16"/>
      <c r="E204" s="16" t="str">
        <f>IFERROR(__xludf.DUMMYFUNCTION("""COMPUTED_VALUE"""),"X2 defense for the user only.")</f>
        <v>X2 defense for the user only.</v>
      </c>
      <c r="F204" s="16" t="str">
        <f>IFERROR(__xludf.DUMMYFUNCTION("""COMPUTED_VALUE"""),"Natural/Fail or Succeed")</f>
        <v>Natural/Fail or Succeed</v>
      </c>
      <c r="G204" s="16" t="str">
        <f>IFERROR(__xludf.DUMMYFUNCTION("""COMPUTED_VALUE"""),"Self")</f>
        <v>Self</v>
      </c>
      <c r="H204" s="16" t="str">
        <f>IFERROR(__xludf.DUMMYFUNCTION("""COMPUTED_VALUE"""),"Physical")</f>
        <v>Physical</v>
      </c>
    </row>
    <row r="205">
      <c r="A205" s="16" t="str">
        <f>IFERROR(__xludf.DUMMYFUNCTION("""COMPUTED_VALUE"""),"Hard Punch")</f>
        <v>Hard Punch</v>
      </c>
      <c r="B205" s="16">
        <f>IFERROR(__xludf.DUMMYFUNCTION("""COMPUTED_VALUE"""),1.0)</f>
        <v>1</v>
      </c>
      <c r="C205" s="16">
        <f>IFERROR(__xludf.DUMMYFUNCTION("""COMPUTED_VALUE"""),10.0)</f>
        <v>10</v>
      </c>
      <c r="D205" s="16"/>
      <c r="E205" s="16" t="str">
        <f>IFERROR(__xludf.DUMMYFUNCTION("""COMPUTED_VALUE"""),"Roll for an attack twice and take the higher number.")</f>
        <v>Roll for an attack twice and take the higher number.</v>
      </c>
      <c r="F205" s="16" t="str">
        <f>IFERROR(__xludf.DUMMYFUNCTION("""COMPUTED_VALUE"""),"Will Succeed")</f>
        <v>Will Succeed</v>
      </c>
      <c r="G205" s="16"/>
      <c r="H205" s="16" t="str">
        <f>IFERROR(__xludf.DUMMYFUNCTION("""COMPUTED_VALUE"""),"Physical")</f>
        <v>Physical</v>
      </c>
    </row>
    <row r="206">
      <c r="A206" s="16" t="str">
        <f>IFERROR(__xludf.DUMMYFUNCTION("""COMPUTED_VALUE"""),"Heighten Reflexes")</f>
        <v>Heighten Reflexes</v>
      </c>
      <c r="B206" s="16">
        <f>IFERROR(__xludf.DUMMYFUNCTION("""COMPUTED_VALUE"""),3.0)</f>
        <v>3</v>
      </c>
      <c r="C206" s="16">
        <f>IFERROR(__xludf.DUMMYFUNCTION("""COMPUTED_VALUE"""),30.0)</f>
        <v>30</v>
      </c>
      <c r="D206" s="16"/>
      <c r="E206" s="16" t="str">
        <f>IFERROR(__xludf.DUMMYFUNCTION("""COMPUTED_VALUE"""),"Double your own evasion until the end of your next turn.")</f>
        <v>Double your own evasion until the end of your next turn.</v>
      </c>
      <c r="F206" s="16" t="str">
        <f>IFERROR(__xludf.DUMMYFUNCTION("""COMPUTED_VALUE"""),"Will Succeed")</f>
        <v>Will Succeed</v>
      </c>
      <c r="G206" s="16"/>
      <c r="H206" s="16" t="str">
        <f>IFERROR(__xludf.DUMMYFUNCTION("""COMPUTED_VALUE"""),"Physical")</f>
        <v>Physical</v>
      </c>
    </row>
    <row r="207">
      <c r="A207" s="16" t="str">
        <f>IFERROR(__xludf.DUMMYFUNCTION("""COMPUTED_VALUE"""),"Increase")</f>
        <v>Increase</v>
      </c>
      <c r="B207" s="16">
        <f>IFERROR(__xludf.DUMMYFUNCTION("""COMPUTED_VALUE"""),5.0)</f>
        <v>5</v>
      </c>
      <c r="C207" s="16">
        <f>IFERROR(__xludf.DUMMYFUNCTION("""COMPUTED_VALUE"""),50.0)</f>
        <v>50</v>
      </c>
      <c r="D207" s="16"/>
      <c r="E207" s="16" t="str">
        <f>IFERROR(__xludf.DUMMYFUNCTION("""COMPUTED_VALUE"""),"X4 additional damage for the Caster for 3 rounds.")</f>
        <v>X4 additional damage for the Caster for 3 rounds.</v>
      </c>
      <c r="F207" s="16" t="str">
        <f>IFERROR(__xludf.DUMMYFUNCTION("""COMPUTED_VALUE"""),"Will Succeed")</f>
        <v>Will Succeed</v>
      </c>
      <c r="G207" s="16"/>
      <c r="H207" s="16" t="str">
        <f>IFERROR(__xludf.DUMMYFUNCTION("""COMPUTED_VALUE"""),"Physical")</f>
        <v>Physical</v>
      </c>
    </row>
    <row r="208">
      <c r="A208" s="16" t="str">
        <f>IFERROR(__xludf.DUMMYFUNCTION("""COMPUTED_VALUE"""),"Meditate")</f>
        <v>Meditate</v>
      </c>
      <c r="B208" s="16">
        <f>IFERROR(__xludf.DUMMYFUNCTION("""COMPUTED_VALUE"""),6.0)</f>
        <v>6</v>
      </c>
      <c r="C208" s="16" t="str">
        <f>IFERROR(__xludf.DUMMYFUNCTION("""COMPUTED_VALUE"""),"X")</f>
        <v>X</v>
      </c>
      <c r="D208" s="16"/>
      <c r="E208" s="16" t="str">
        <f>IFERROR(__xludf.DUMMYFUNCTION("""COMPUTED_VALUE"""),"Regain X*100 HP")</f>
        <v>Regain X*100 HP</v>
      </c>
      <c r="F208" s="16" t="str">
        <f>IFERROR(__xludf.DUMMYFUNCTION("""COMPUTED_VALUE"""),"Will succeed")</f>
        <v>Will succeed</v>
      </c>
      <c r="G208" s="16"/>
      <c r="H208" s="16" t="str">
        <f>IFERROR(__xludf.DUMMYFUNCTION("""COMPUTED_VALUE"""),"Physical")</f>
        <v>Physical</v>
      </c>
    </row>
    <row r="209">
      <c r="A209" s="16" t="str">
        <f>IFERROR(__xludf.DUMMYFUNCTION("""COMPUTED_VALUE"""),"Parry")</f>
        <v>Parry</v>
      </c>
      <c r="B209" s="16">
        <f>IFERROR(__xludf.DUMMYFUNCTION("""COMPUTED_VALUE"""),1.0)</f>
        <v>1</v>
      </c>
      <c r="C209" s="16">
        <f>IFERROR(__xludf.DUMMYFUNCTION("""COMPUTED_VALUE"""),0.0)</f>
        <v>0</v>
      </c>
      <c r="D209" s="16"/>
      <c r="E209" s="16" t="str">
        <f>IFERROR(__xludf.DUMMYFUNCTION("""COMPUTED_VALUE"""),"(requires a weapon be equipped) parry the next weapon attack as per the handbook ability: Parry")</f>
        <v>(requires a weapon be equipped) parry the next weapon attack as per the handbook ability: Parry</v>
      </c>
      <c r="F209" s="16" t="str">
        <f>IFERROR(__xludf.DUMMYFUNCTION("""COMPUTED_VALUE"""),"Natural/Fail or Succeed")</f>
        <v>Natural/Fail or Succeed</v>
      </c>
      <c r="G209" s="16" t="str">
        <f>IFERROR(__xludf.DUMMYFUNCTION("""COMPUTED_VALUE"""),"Self")</f>
        <v>Self</v>
      </c>
      <c r="H209" s="16" t="str">
        <f>IFERROR(__xludf.DUMMYFUNCTION("""COMPUTED_VALUE"""),"Physical")</f>
        <v>Physical</v>
      </c>
    </row>
    <row r="210">
      <c r="A210" s="16" t="str">
        <f>IFERROR(__xludf.DUMMYFUNCTION("""COMPUTED_VALUE"""),"Pay Back")</f>
        <v>Pay Back</v>
      </c>
      <c r="B210" s="16">
        <f>IFERROR(__xludf.DUMMYFUNCTION("""COMPUTED_VALUE"""),9.0)</f>
        <v>9</v>
      </c>
      <c r="C210" s="16">
        <f>IFERROR(__xludf.DUMMYFUNCTION("""COMPUTED_VALUE"""),300.0)</f>
        <v>300</v>
      </c>
      <c r="D210" s="16"/>
      <c r="E210" s="16" t="str">
        <f>IFERROR(__xludf.DUMMYFUNCTION("""COMPUTED_VALUE"""),"Choose an item in your backpack or equipment slot and equip it to a target's valid equipment slot. If their equipment slot is occupied replace their current item with the item you are equipping to them.")</f>
        <v>Choose an item in your backpack or equipment slot and equip it to a target's valid equipment slot. If their equipment slot is occupied replace their current item with the item you are equipping to them.</v>
      </c>
      <c r="F210" s="16" t="str">
        <f>IFERROR(__xludf.DUMMYFUNCTION("""COMPUTED_VALUE"""),"Fail/Succeed")</f>
        <v>Fail/Succeed</v>
      </c>
      <c r="G210" s="16">
        <f>IFERROR(__xludf.DUMMYFUNCTION("""COMPUTED_VALUE"""),1.0)</f>
        <v>1</v>
      </c>
      <c r="H210" s="16" t="str">
        <f>IFERROR(__xludf.DUMMYFUNCTION("""COMPUTED_VALUE"""),"Physical")</f>
        <v>Physical</v>
      </c>
    </row>
    <row r="211">
      <c r="A211" s="16" t="str">
        <f>IFERROR(__xludf.DUMMYFUNCTION("""COMPUTED_VALUE"""),"Power Increase")</f>
        <v>Power Increase</v>
      </c>
      <c r="B211" s="16">
        <f>IFERROR(__xludf.DUMMYFUNCTION("""COMPUTED_VALUE"""),9.0)</f>
        <v>9</v>
      </c>
      <c r="C211" s="16">
        <f>IFERROR(__xludf.DUMMYFUNCTION("""COMPUTED_VALUE"""),300.0)</f>
        <v>300</v>
      </c>
      <c r="D211" s="16"/>
      <c r="E211" s="16" t="str">
        <f>IFERROR(__xludf.DUMMYFUNCTION("""COMPUTED_VALUE"""),"Gain 20000 attack and accuracy for 3 rounds.")</f>
        <v>Gain 20000 attack and accuracy for 3 rounds.</v>
      </c>
      <c r="F211" s="16" t="str">
        <f>IFERROR(__xludf.DUMMYFUNCTION("""COMPUTED_VALUE"""),"Will Succeed")</f>
        <v>Will Succeed</v>
      </c>
      <c r="G211" s="16"/>
      <c r="H211" s="16" t="str">
        <f>IFERROR(__xludf.DUMMYFUNCTION("""COMPUTED_VALUE"""),"Physical")</f>
        <v>Physical</v>
      </c>
    </row>
    <row r="212">
      <c r="A212" s="16" t="str">
        <f>IFERROR(__xludf.DUMMYFUNCTION("""COMPUTED_VALUE"""),"Punch")</f>
        <v>Punch</v>
      </c>
      <c r="B212" s="16">
        <f>IFERROR(__xludf.DUMMYFUNCTION("""COMPUTED_VALUE"""),1.0)</f>
        <v>1</v>
      </c>
      <c r="C212" s="16">
        <f>IFERROR(__xludf.DUMMYFUNCTION("""COMPUTED_VALUE"""),0.0)</f>
        <v>0</v>
      </c>
      <c r="D212" s="16"/>
      <c r="E212" s="16" t="str">
        <f>IFERROR(__xludf.DUMMYFUNCTION("""COMPUTED_VALUE"""),"X*2 Damage of your primary element Where X is equal to your attack.")</f>
        <v>X*2 Damage of your primary element Where X is equal to your attack.</v>
      </c>
      <c r="F212" s="16" t="str">
        <f>IFERROR(__xludf.DUMMYFUNCTION("""COMPUTED_VALUE"""),"Natural/Hit or Miss")</f>
        <v>Natural/Hit or Miss</v>
      </c>
      <c r="G212" s="16">
        <f>IFERROR(__xludf.DUMMYFUNCTION("""COMPUTED_VALUE"""),1.0)</f>
        <v>1</v>
      </c>
      <c r="H212" s="16" t="str">
        <f>IFERROR(__xludf.DUMMYFUNCTION("""COMPUTED_VALUE"""),"Physical")</f>
        <v>Physical</v>
      </c>
    </row>
    <row r="213">
      <c r="A213" s="16" t="str">
        <f>IFERROR(__xludf.DUMMYFUNCTION("""COMPUTED_VALUE"""),"Take")</f>
        <v>Take</v>
      </c>
      <c r="B213" s="16">
        <f>IFERROR(__xludf.DUMMYFUNCTION("""COMPUTED_VALUE"""),1.0)</f>
        <v>1</v>
      </c>
      <c r="C213" s="16">
        <f>IFERROR(__xludf.DUMMYFUNCTION("""COMPUTED_VALUE"""),0.0)</f>
        <v>0</v>
      </c>
      <c r="D213" s="16"/>
      <c r="E213" s="16" t="str">
        <f>IFERROR(__xludf.DUMMYFUNCTION("""COMPUTED_VALUE"""),"Takes a target’s item in their equipment slot. The slot is the caster's choice. Can only take from 1 target per battle.")</f>
        <v>Takes a target’s item in their equipment slot. The slot is the caster's choice. Can only take from 1 target per battle.</v>
      </c>
      <c r="F213" s="16" t="str">
        <f>IFERROR(__xludf.DUMMYFUNCTION("""COMPUTED_VALUE"""),"Natural/Fail or Succeed")</f>
        <v>Natural/Fail or Succeed</v>
      </c>
      <c r="G213" s="16">
        <f>IFERROR(__xludf.DUMMYFUNCTION("""COMPUTED_VALUE"""),1.0)</f>
        <v>1</v>
      </c>
      <c r="H213" s="16" t="str">
        <f>IFERROR(__xludf.DUMMYFUNCTION("""COMPUTED_VALUE"""),"Physical")</f>
        <v>Physical</v>
      </c>
    </row>
    <row r="214">
      <c r="A214" s="16" t="str">
        <f>IFERROR(__xludf.DUMMYFUNCTION("""COMPUTED_VALUE"""),"Taunt")</f>
        <v>Taunt</v>
      </c>
      <c r="B214" s="16">
        <f>IFERROR(__xludf.DUMMYFUNCTION("""COMPUTED_VALUE"""),1.0)</f>
        <v>1</v>
      </c>
      <c r="C214" s="16">
        <f>IFERROR(__xludf.DUMMYFUNCTION("""COMPUTED_VALUE"""),0.0)</f>
        <v>0</v>
      </c>
      <c r="D214" s="16"/>
      <c r="E214" s="16" t="str">
        <f>IFERROR(__xludf.DUMMYFUNCTION("""COMPUTED_VALUE"""),"Forces 1 target to attack or use a spell effect on the user and forces all attacks, spells, and natural abilites to only hit the caster for 1 round If another party member uses Taunt the same round as the first caster it will fail.")</f>
        <v>Forces 1 target to attack or use a spell effect on the user and forces all attacks, spells, and natural abilites to only hit the caster for 1 round If another party member uses Taunt the same round as the first caster it will fail.</v>
      </c>
      <c r="F214" s="16" t="str">
        <f>IFERROR(__xludf.DUMMYFUNCTION("""COMPUTED_VALUE"""),"Natural/Fail or succeed")</f>
        <v>Natural/Fail or succeed</v>
      </c>
      <c r="G214" s="16">
        <f>IFERROR(__xludf.DUMMYFUNCTION("""COMPUTED_VALUE"""),1.0)</f>
        <v>1</v>
      </c>
      <c r="H214" s="16" t="str">
        <f>IFERROR(__xludf.DUMMYFUNCTION("""COMPUTED_VALUE"""),"Physical")</f>
        <v>Physical</v>
      </c>
    </row>
    <row r="215">
      <c r="A215" s="16" t="str">
        <f>IFERROR(__xludf.DUMMYFUNCTION("""COMPUTED_VALUE"""),"Tower Of Balance I")</f>
        <v>Tower Of Balance I</v>
      </c>
      <c r="B215" s="16">
        <f>IFERROR(__xludf.DUMMYFUNCTION("""COMPUTED_VALUE"""),8.0)</f>
        <v>8</v>
      </c>
      <c r="C215" s="16">
        <f>IFERROR(__xludf.DUMMYFUNCTION("""COMPUTED_VALUE"""),200.0)</f>
        <v>200</v>
      </c>
      <c r="D215" s="16"/>
      <c r="E215" s="16" t="str">
        <f>IFERROR(__xludf.DUMMYFUNCTION("""COMPUTED_VALUE"""),"Forms a tower that rises from beneath the ground that shoots multiple beams of physical energy that multiplys the casters weapon damage by 4.")</f>
        <v>Forms a tower that rises from beneath the ground that shoots multiple beams of physical energy that multiplys the casters weapon damage by 4.</v>
      </c>
      <c r="F215" s="16" t="str">
        <f>IFERROR(__xludf.DUMMYFUNCTION("""COMPUTED_VALUE"""),"Fail/Succeed")</f>
        <v>Fail/Succeed</v>
      </c>
      <c r="G215" s="16"/>
      <c r="H215" s="16" t="str">
        <f>IFERROR(__xludf.DUMMYFUNCTION("""COMPUTED_VALUE"""),"Physical")</f>
        <v>Physical</v>
      </c>
    </row>
    <row r="216">
      <c r="A216" s="16" t="str">
        <f>IFERROR(__xludf.DUMMYFUNCTION("""COMPUTED_VALUE"""),"[Element] Shot")</f>
        <v>[Element] Shot</v>
      </c>
      <c r="B216" s="16">
        <f>IFERROR(__xludf.DUMMYFUNCTION("""COMPUTED_VALUE"""),4.0)</f>
        <v>4</v>
      </c>
      <c r="C216" s="16">
        <f>IFERROR(__xludf.DUMMYFUNCTION("""COMPUTED_VALUE"""),40.0)</f>
        <v>40</v>
      </c>
      <c r="D216" s="16"/>
      <c r="E216" s="16" t="str">
        <f>IFERROR(__xludf.DUMMYFUNCTION("""COMPUTED_VALUE"""),"Select an equipped ranged weapon and apply additional [Element] damage to it equal to your accuracy. (Cannot choose celestial unless level 200 or higher).")</f>
        <v>Select an equipped ranged weapon and apply additional [Element] damage to it equal to your accuracy. (Cannot choose celestial unless level 200 or higher).</v>
      </c>
      <c r="F216" s="16" t="str">
        <f>IFERROR(__xludf.DUMMYFUNCTION("""COMPUTED_VALUE"""),"Fail/succeed")</f>
        <v>Fail/succeed</v>
      </c>
      <c r="G216" s="16"/>
      <c r="H216" s="16" t="str">
        <f>IFERROR(__xludf.DUMMYFUNCTION("""COMPUTED_VALUE"""),"Ranged")</f>
        <v>Ranged</v>
      </c>
    </row>
    <row r="217">
      <c r="A217" s="16" t="str">
        <f>IFERROR(__xludf.DUMMYFUNCTION("""COMPUTED_VALUE"""),"Accuracy Boost")</f>
        <v>Accuracy Boost</v>
      </c>
      <c r="B217" s="16">
        <f>IFERROR(__xludf.DUMMYFUNCTION("""COMPUTED_VALUE"""),6.0)</f>
        <v>6</v>
      </c>
      <c r="C217" s="16">
        <f>IFERROR(__xludf.DUMMYFUNCTION("""COMPUTED_VALUE"""),60.0)</f>
        <v>60</v>
      </c>
      <c r="D217" s="16"/>
      <c r="E217" s="16" t="str">
        <f>IFERROR(__xludf.DUMMYFUNCTION("""COMPUTED_VALUE"""),"Raise accuracy by X2 for 3 rounds (1 use)")</f>
        <v>Raise accuracy by X2 for 3 rounds (1 use)</v>
      </c>
      <c r="F217" s="16" t="str">
        <f>IFERROR(__xludf.DUMMYFUNCTION("""COMPUTED_VALUE"""),"Will Succeed")</f>
        <v>Will Succeed</v>
      </c>
      <c r="G217" s="16"/>
      <c r="H217" s="16" t="str">
        <f>IFERROR(__xludf.DUMMYFUNCTION("""COMPUTED_VALUE"""),"Ranged")</f>
        <v>Ranged</v>
      </c>
    </row>
    <row r="218">
      <c r="A218" s="16" t="str">
        <f>IFERROR(__xludf.DUMMYFUNCTION("""COMPUTED_VALUE"""),"Archer’s Wrath")</f>
        <v>Archer’s Wrath</v>
      </c>
      <c r="B218" s="16">
        <f>IFERROR(__xludf.DUMMYFUNCTION("""COMPUTED_VALUE"""),5.0)</f>
        <v>5</v>
      </c>
      <c r="C218" s="16" t="str">
        <f>IFERROR(__xludf.DUMMYFUNCTION("""COMPUTED_VALUE"""),"X")</f>
        <v>X</v>
      </c>
      <c r="D218" s="16"/>
      <c r="E218" s="16" t="str">
        <f>IFERROR(__xludf.DUMMYFUNCTION("""COMPUTED_VALUE"""),"Roll a D20 for additional accuracy, times it by the amount of mana you pay.")</f>
        <v>Roll a D20 for additional accuracy, times it by the amount of mana you pay.</v>
      </c>
      <c r="F218" s="16" t="str">
        <f>IFERROR(__xludf.DUMMYFUNCTION("""COMPUTED_VALUE"""),"Will Succeed")</f>
        <v>Will Succeed</v>
      </c>
      <c r="G218" s="16"/>
      <c r="H218" s="16" t="str">
        <f>IFERROR(__xludf.DUMMYFUNCTION("""COMPUTED_VALUE"""),"Ranged")</f>
        <v>Ranged</v>
      </c>
    </row>
    <row r="219">
      <c r="A219" s="16" t="str">
        <f>IFERROR(__xludf.DUMMYFUNCTION("""COMPUTED_VALUE"""),"Bullseye")</f>
        <v>Bullseye</v>
      </c>
      <c r="B219" s="16">
        <f>IFERROR(__xludf.DUMMYFUNCTION("""COMPUTED_VALUE"""),9.0)</f>
        <v>9</v>
      </c>
      <c r="C219" s="16">
        <f>IFERROR(__xludf.DUMMYFUNCTION("""COMPUTED_VALUE"""),300.0)</f>
        <v>300</v>
      </c>
      <c r="D219" s="16"/>
      <c r="E219" s="16" t="str">
        <f>IFERROR(__xludf.DUMMYFUNCTION("""COMPUTED_VALUE"""),"Caster will hit the target during their next attack even when the target has a higher evade roll, 90% chance to instantly kill the target.")</f>
        <v>Caster will hit the target during their next attack even when the target has a higher evade roll, 90% chance to instantly kill the target.</v>
      </c>
      <c r="F219" s="16" t="str">
        <f>IFERROR(__xludf.DUMMYFUNCTION("""COMPUTED_VALUE"""),"Fail/succeed")</f>
        <v>Fail/succeed</v>
      </c>
      <c r="G219" s="16"/>
      <c r="H219" s="16" t="str">
        <f>IFERROR(__xludf.DUMMYFUNCTION("""COMPUTED_VALUE"""),"Ranged")</f>
        <v>Ranged</v>
      </c>
    </row>
    <row r="220">
      <c r="A220" s="16" t="str">
        <f>IFERROR(__xludf.DUMMYFUNCTION("""COMPUTED_VALUE"""),"Cannon Bombardment")</f>
        <v>Cannon Bombardment</v>
      </c>
      <c r="B220" s="16">
        <f>IFERROR(__xludf.DUMMYFUNCTION("""COMPUTED_VALUE"""),1.0)</f>
        <v>1</v>
      </c>
      <c r="C220" s="16">
        <f>IFERROR(__xludf.DUMMYFUNCTION("""COMPUTED_VALUE"""),0.0)</f>
        <v>0</v>
      </c>
      <c r="D220" s="16"/>
      <c r="E220" s="16" t="str">
        <f>IFERROR(__xludf.DUMMYFUNCTION("""COMPUTED_VALUE"""),"Summon up to 8 cannons equal to a d8 roll. Each cannon deals X*2 damage to all enemies where X is equal to the users accuracy.")</f>
        <v>Summon up to 8 cannons equal to a d8 roll. Each cannon deals X*2 damage to all enemies where X is equal to the users accuracy.</v>
      </c>
      <c r="F220" s="16" t="str">
        <f>IFERROR(__xludf.DUMMYFUNCTION("""COMPUTED_VALUE"""),"Natural/Fail or Succeed")</f>
        <v>Natural/Fail or Succeed</v>
      </c>
      <c r="G220" s="16" t="str">
        <f>IFERROR(__xludf.DUMMYFUNCTION("""COMPUTED_VALUE"""),"All")</f>
        <v>All</v>
      </c>
      <c r="H220" s="16" t="str">
        <f>IFERROR(__xludf.DUMMYFUNCTION("""COMPUTED_VALUE"""),"Ranged")</f>
        <v>Ranged</v>
      </c>
    </row>
    <row r="221">
      <c r="A221" s="16" t="str">
        <f>IFERROR(__xludf.DUMMYFUNCTION("""COMPUTED_VALUE"""),"Good shot")</f>
        <v>Good shot</v>
      </c>
      <c r="B221" s="16">
        <f>IFERROR(__xludf.DUMMYFUNCTION("""COMPUTED_VALUE"""),1.0)</f>
        <v>1</v>
      </c>
      <c r="C221" s="16">
        <f>IFERROR(__xludf.DUMMYFUNCTION("""COMPUTED_VALUE"""),10.0)</f>
        <v>10</v>
      </c>
      <c r="D221" s="16"/>
      <c r="E221" s="16" t="str">
        <f>IFERROR(__xludf.DUMMYFUNCTION("""COMPUTED_VALUE"""),"Roll for a ranged attack twice take the higher")</f>
        <v>Roll for a ranged attack twice take the higher</v>
      </c>
      <c r="F221" s="16" t="str">
        <f>IFERROR(__xludf.DUMMYFUNCTION("""COMPUTED_VALUE"""),"Will Succeed")</f>
        <v>Will Succeed</v>
      </c>
      <c r="G221" s="16" t="str">
        <f>IFERROR(__xludf.DUMMYFUNCTION("""COMPUTED_VALUE"""),"Self")</f>
        <v>Self</v>
      </c>
      <c r="H221" s="16" t="str">
        <f>IFERROR(__xludf.DUMMYFUNCTION("""COMPUTED_VALUE"""),"Ranged")</f>
        <v>Ranged</v>
      </c>
    </row>
    <row r="222">
      <c r="A222" s="16" t="str">
        <f>IFERROR(__xludf.DUMMYFUNCTION("""COMPUTED_VALUE"""),"Lock On")</f>
        <v>Lock On</v>
      </c>
      <c r="B222" s="16">
        <f>IFERROR(__xludf.DUMMYFUNCTION("""COMPUTED_VALUE"""),7.0)</f>
        <v>7</v>
      </c>
      <c r="C222" s="16">
        <f>IFERROR(__xludf.DUMMYFUNCTION("""COMPUTED_VALUE"""),100.0)</f>
        <v>100</v>
      </c>
      <c r="D222" s="16"/>
      <c r="E222" s="16" t="str">
        <f>IFERROR(__xludf.DUMMYFUNCTION("""COMPUTED_VALUE"""),"Target cannot evade for 3 rounds.")</f>
        <v>Target cannot evade for 3 rounds.</v>
      </c>
      <c r="F222" s="16" t="str">
        <f>IFERROR(__xludf.DUMMYFUNCTION("""COMPUTED_VALUE"""),"Fail/succeed")</f>
        <v>Fail/succeed</v>
      </c>
      <c r="G222" s="16"/>
      <c r="H222" s="16" t="str">
        <f>IFERROR(__xludf.DUMMYFUNCTION("""COMPUTED_VALUE"""),"Ranged")</f>
        <v>Ranged</v>
      </c>
    </row>
    <row r="223">
      <c r="A223" s="16" t="str">
        <f>IFERROR(__xludf.DUMMYFUNCTION("""COMPUTED_VALUE"""),"Multishot")</f>
        <v>Multishot</v>
      </c>
      <c r="B223" s="16">
        <f>IFERROR(__xludf.DUMMYFUNCTION("""COMPUTED_VALUE"""),9.0)</f>
        <v>9</v>
      </c>
      <c r="C223" s="16" t="str">
        <f>IFERROR(__xludf.DUMMYFUNCTION("""COMPUTED_VALUE"""),"X*300")</f>
        <v>X*300</v>
      </c>
      <c r="D223" s="16"/>
      <c r="E223" s="16" t="str">
        <f>IFERROR(__xludf.DUMMYFUNCTION("""COMPUTED_VALUE"""),"Multiples the damage of the next attack by X. X= SP you pay for X Cost.")</f>
        <v>Multiples the damage of the next attack by X. X= SP you pay for X Cost.</v>
      </c>
      <c r="F223" s="16" t="str">
        <f>IFERROR(__xludf.DUMMYFUNCTION("""COMPUTED_VALUE"""),"Fail/succeed")</f>
        <v>Fail/succeed</v>
      </c>
      <c r="G223" s="16"/>
      <c r="H223" s="16" t="str">
        <f>IFERROR(__xludf.DUMMYFUNCTION("""COMPUTED_VALUE"""),"Ranged")</f>
        <v>Ranged</v>
      </c>
    </row>
    <row r="224">
      <c r="A224" s="16" t="str">
        <f>IFERROR(__xludf.DUMMYFUNCTION("""COMPUTED_VALUE"""),"Pinning shot")</f>
        <v>Pinning shot</v>
      </c>
      <c r="B224" s="16">
        <f>IFERROR(__xludf.DUMMYFUNCTION("""COMPUTED_VALUE"""),3.0)</f>
        <v>3</v>
      </c>
      <c r="C224" s="16">
        <f>IFERROR(__xludf.DUMMYFUNCTION("""COMPUTED_VALUE"""),30.0)</f>
        <v>30</v>
      </c>
      <c r="D224" s="16"/>
      <c r="E224" s="16" t="str">
        <f>IFERROR(__xludf.DUMMYFUNCTION("""COMPUTED_VALUE"""),"The target is immobilized until the end of its next turn.")</f>
        <v>The target is immobilized until the end of its next turn.</v>
      </c>
      <c r="F224" s="16" t="str">
        <f>IFERROR(__xludf.DUMMYFUNCTION("""COMPUTED_VALUE"""),"Fail/succeed")</f>
        <v>Fail/succeed</v>
      </c>
      <c r="G224" s="16"/>
      <c r="H224" s="16" t="str">
        <f>IFERROR(__xludf.DUMMYFUNCTION("""COMPUTED_VALUE"""),"Ranged")</f>
        <v>Ranged</v>
      </c>
    </row>
    <row r="225">
      <c r="A225" s="16" t="str">
        <f>IFERROR(__xludf.DUMMYFUNCTION("""COMPUTED_VALUE"""),"Tower Of Balance III")</f>
        <v>Tower Of Balance III</v>
      </c>
      <c r="B225" s="16">
        <f>IFERROR(__xludf.DUMMYFUNCTION("""COMPUTED_VALUE"""),8.0)</f>
        <v>8</v>
      </c>
      <c r="C225" s="16">
        <f>IFERROR(__xludf.DUMMYFUNCTION("""COMPUTED_VALUE"""),200.0)</f>
        <v>200</v>
      </c>
      <c r="D225" s="16"/>
      <c r="E225" s="16" t="str">
        <f>IFERROR(__xludf.DUMMYFUNCTION("""COMPUTED_VALUE"""),"Forms a tower that rises from beneath the ground that shoots multiple beams of ranged energy that doubles the accuracy of the caster and allies.")</f>
        <v>Forms a tower that rises from beneath the ground that shoots multiple beams of ranged energy that doubles the accuracy of the caster and allies.</v>
      </c>
      <c r="F225" s="16" t="str">
        <f>IFERROR(__xludf.DUMMYFUNCTION("""COMPUTED_VALUE"""),"Will Succeed")</f>
        <v>Will Succeed</v>
      </c>
      <c r="G225" s="16"/>
      <c r="H225" s="16" t="str">
        <f>IFERROR(__xludf.DUMMYFUNCTION("""COMPUTED_VALUE"""),"Ranged")</f>
        <v>Ranged</v>
      </c>
    </row>
    <row r="226">
      <c r="A226" s="16" t="str">
        <f>IFERROR(__xludf.DUMMYFUNCTION("""COMPUTED_VALUE"""),"A Deal With The Spirit World")</f>
        <v>A Deal With The Spirit World</v>
      </c>
      <c r="B226" s="16">
        <f>IFERROR(__xludf.DUMMYFUNCTION("""COMPUTED_VALUE"""),7.0)</f>
        <v>7</v>
      </c>
      <c r="C226" s="16"/>
      <c r="D226" s="16" t="str">
        <f>IFERROR(__xludf.DUMMYFUNCTION("""COMPUTED_VALUE"""),"X")</f>
        <v>X</v>
      </c>
      <c r="E226" s="16" t="str">
        <f>IFERROR(__xludf.DUMMYFUNCTION("""COMPUTED_VALUE"""),"Deal X unblockable damage to self to drain X*100 SP from target.")</f>
        <v>Deal X unblockable damage to self to drain X*100 SP from target.</v>
      </c>
      <c r="F226" s="16" t="str">
        <f>IFERROR(__xludf.DUMMYFUNCTION("""COMPUTED_VALUE"""),"Fail/Succeed")</f>
        <v>Fail/Succeed</v>
      </c>
      <c r="G226" s="16"/>
      <c r="H226" s="16" t="str">
        <f>IFERROR(__xludf.DUMMYFUNCTION("""COMPUTED_VALUE"""),"Spirit")</f>
        <v>Spirit</v>
      </c>
    </row>
    <row r="227">
      <c r="A227" s="16" t="str">
        <f>IFERROR(__xludf.DUMMYFUNCTION("""COMPUTED_VALUE"""),"Burning Dread")</f>
        <v>Burning Dread</v>
      </c>
      <c r="B227" s="16">
        <f>IFERROR(__xludf.DUMMYFUNCTION("""COMPUTED_VALUE"""),6.0)</f>
        <v>6</v>
      </c>
      <c r="C227" s="16" t="str">
        <f>IFERROR(__xludf.DUMMYFUNCTION("""COMPUTED_VALUE"""),"X")</f>
        <v>X</v>
      </c>
      <c r="D227" s="16"/>
      <c r="E227" s="16" t="str">
        <f>IFERROR(__xludf.DUMMYFUNCTION("""COMPUTED_VALUE"""),"Deals X*10 Spirit damage per round to all enemies for 3 rounds where X is equal to SP spent.")</f>
        <v>Deals X*10 Spirit damage per round to all enemies for 3 rounds where X is equal to SP spent.</v>
      </c>
      <c r="F227" s="16" t="str">
        <f>IFERROR(__xludf.DUMMYFUNCTION("""COMPUTED_VALUE"""),"Cannot Avoid")</f>
        <v>Cannot Avoid</v>
      </c>
      <c r="G227" s="16" t="str">
        <f>IFERROR(__xludf.DUMMYFUNCTION("""COMPUTED_VALUE"""),"All")</f>
        <v>All</v>
      </c>
      <c r="H227" s="16" t="str">
        <f>IFERROR(__xludf.DUMMYFUNCTION("""COMPUTED_VALUE"""),"Spirit")</f>
        <v>Spirit</v>
      </c>
    </row>
    <row r="228">
      <c r="A228" s="16" t="str">
        <f>IFERROR(__xludf.DUMMYFUNCTION("""COMPUTED_VALUE"""),"Confuse")</f>
        <v>Confuse</v>
      </c>
      <c r="B228" s="16">
        <f>IFERROR(__xludf.DUMMYFUNCTION("""COMPUTED_VALUE"""),6.0)</f>
        <v>6</v>
      </c>
      <c r="C228" s="16">
        <f>IFERROR(__xludf.DUMMYFUNCTION("""COMPUTED_VALUE"""),90.0)</f>
        <v>90</v>
      </c>
      <c r="D228" s="16"/>
      <c r="E228" s="16" t="str">
        <f>IFERROR(__xludf.DUMMYFUNCTION("""COMPUTED_VALUE"""),"Makes the target incapable of performing their next action.")</f>
        <v>Makes the target incapable of performing their next action.</v>
      </c>
      <c r="F228" s="16" t="str">
        <f>IFERROR(__xludf.DUMMYFUNCTION("""COMPUTED_VALUE"""),"Fail/Succeed")</f>
        <v>Fail/Succeed</v>
      </c>
      <c r="G228" s="16"/>
      <c r="H228" s="16" t="str">
        <f>IFERROR(__xludf.DUMMYFUNCTION("""COMPUTED_VALUE"""),"Spirit")</f>
        <v>Spirit</v>
      </c>
    </row>
    <row r="229">
      <c r="A229" s="16" t="str">
        <f>IFERROR(__xludf.DUMMYFUNCTION("""COMPUTED_VALUE"""),"Degrade")</f>
        <v>Degrade</v>
      </c>
      <c r="B229" s="16">
        <f>IFERROR(__xludf.DUMMYFUNCTION("""COMPUTED_VALUE"""),1.0)</f>
        <v>1</v>
      </c>
      <c r="C229" s="16">
        <f>IFERROR(__xludf.DUMMYFUNCTION("""COMPUTED_VALUE"""),10.0)</f>
        <v>10</v>
      </c>
      <c r="D229" s="16"/>
      <c r="E229" s="16" t="str">
        <f>IFERROR(__xludf.DUMMYFUNCTION("""COMPUTED_VALUE"""),"1 Targets Max HP is reduced to 100.")</f>
        <v>1 Targets Max HP is reduced to 100.</v>
      </c>
      <c r="F229" s="16" t="str">
        <f>IFERROR(__xludf.DUMMYFUNCTION("""COMPUTED_VALUE"""),"Fail/Succeed")</f>
        <v>Fail/Succeed</v>
      </c>
      <c r="G229" s="16"/>
      <c r="H229" s="16" t="str">
        <f>IFERROR(__xludf.DUMMYFUNCTION("""COMPUTED_VALUE"""),"Spirit")</f>
        <v>Spirit</v>
      </c>
    </row>
    <row r="230">
      <c r="A230" s="16" t="str">
        <f>IFERROR(__xludf.DUMMYFUNCTION("""COMPUTED_VALUE"""),"Distant Warrior")</f>
        <v>Distant Warrior</v>
      </c>
      <c r="B230" s="16">
        <f>IFERROR(__xludf.DUMMYFUNCTION("""COMPUTED_VALUE"""),9.0)</f>
        <v>9</v>
      </c>
      <c r="C230" s="16" t="str">
        <f>IFERROR(__xludf.DUMMYFUNCTION("""COMPUTED_VALUE"""),"X*1000")</f>
        <v>X*1000</v>
      </c>
      <c r="D230" s="16"/>
      <c r="E230" s="16" t="str">
        <f>IFERROR(__xludf.DUMMYFUNCTION("""COMPUTED_VALUE"""),"Summon the spirit of a distant warrior. The spirit will protect the caster from any attacks for X rounds. The caster will take no damage from attacks on those rounds.")</f>
        <v>Summon the spirit of a distant warrior. The spirit will protect the caster from any attacks for X rounds. The caster will take no damage from attacks on those rounds.</v>
      </c>
      <c r="F230" s="16" t="str">
        <f>IFERROR(__xludf.DUMMYFUNCTION("""COMPUTED_VALUE"""),"Will Succeed")</f>
        <v>Will Succeed</v>
      </c>
      <c r="G230" s="16"/>
      <c r="H230" s="16" t="str">
        <f>IFERROR(__xludf.DUMMYFUNCTION("""COMPUTED_VALUE"""),"Spirit")</f>
        <v>Spirit</v>
      </c>
    </row>
    <row r="231">
      <c r="A231" s="16" t="str">
        <f>IFERROR(__xludf.DUMMYFUNCTION("""COMPUTED_VALUE"""),"Dread")</f>
        <v>Dread</v>
      </c>
      <c r="B231" s="16">
        <f>IFERROR(__xludf.DUMMYFUNCTION("""COMPUTED_VALUE"""),5.0)</f>
        <v>5</v>
      </c>
      <c r="C231" s="16" t="str">
        <f>IFERROR(__xludf.DUMMYFUNCTION("""COMPUTED_VALUE"""),"X")</f>
        <v>X</v>
      </c>
      <c r="D231" s="16"/>
      <c r="E231" s="16" t="str">
        <f>IFERROR(__xludf.DUMMYFUNCTION("""COMPUTED_VALUE"""),"Deals X*50 Spirit damage per round for 3 rounds to a single target where X is equal to SP spent.")</f>
        <v>Deals X*50 Spirit damage per round for 3 rounds to a single target where X is equal to SP spent.</v>
      </c>
      <c r="F231" s="16" t="str">
        <f>IFERROR(__xludf.DUMMYFUNCTION("""COMPUTED_VALUE"""),"Hit/Miss")</f>
        <v>Hit/Miss</v>
      </c>
      <c r="G231" s="16">
        <f>IFERROR(__xludf.DUMMYFUNCTION("""COMPUTED_VALUE"""),1.0)</f>
        <v>1</v>
      </c>
      <c r="H231" s="16" t="str">
        <f>IFERROR(__xludf.DUMMYFUNCTION("""COMPUTED_VALUE"""),"Spirit")</f>
        <v>Spirit</v>
      </c>
    </row>
    <row r="232">
      <c r="A232" s="16" t="str">
        <f>IFERROR(__xludf.DUMMYFUNCTION("""COMPUTED_VALUE"""),"Enthrall")</f>
        <v>Enthrall</v>
      </c>
      <c r="B232" s="16">
        <f>IFERROR(__xludf.DUMMYFUNCTION("""COMPUTED_VALUE"""),9.0)</f>
        <v>9</v>
      </c>
      <c r="C232" s="16">
        <f>IFERROR(__xludf.DUMMYFUNCTION("""COMPUTED_VALUE"""),1000.0)</f>
        <v>1000</v>
      </c>
      <c r="D232" s="16"/>
      <c r="E232" s="16" t="str">
        <f>IFERROR(__xludf.DUMMYFUNCTION("""COMPUTED_VALUE"""),"Possess two targets, making both of them under your control until they are killed or banished. Cannot be canceled.")</f>
        <v>Possess two targets, making both of them under your control until they are killed or banished. Cannot be canceled.</v>
      </c>
      <c r="F232" s="16" t="str">
        <f>IFERROR(__xludf.DUMMYFUNCTION("""COMPUTED_VALUE"""),"Fail/Succeed")</f>
        <v>Fail/Succeed</v>
      </c>
      <c r="G232" s="16"/>
      <c r="H232" s="16" t="str">
        <f>IFERROR(__xludf.DUMMYFUNCTION("""COMPUTED_VALUE"""),"Spirit")</f>
        <v>Spirit</v>
      </c>
    </row>
    <row r="233">
      <c r="A233" s="16" t="str">
        <f>IFERROR(__xludf.DUMMYFUNCTION("""COMPUTED_VALUE"""),"Final Blast")</f>
        <v>Final Blast</v>
      </c>
      <c r="B233" s="16">
        <f>IFERROR(__xludf.DUMMYFUNCTION("""COMPUTED_VALUE"""),6.0)</f>
        <v>6</v>
      </c>
      <c r="C233" s="16" t="str">
        <f>IFERROR(__xludf.DUMMYFUNCTION("""COMPUTED_VALUE"""),"Current SP")</f>
        <v>Current SP</v>
      </c>
      <c r="D233" s="16"/>
      <c r="E233" s="16" t="str">
        <f>IFERROR(__xludf.DUMMYFUNCTION("""COMPUTED_VALUE"""),"Deal Current SP *10 damage to all enemies.")</f>
        <v>Deal Current SP *10 damage to all enemies.</v>
      </c>
      <c r="F233" s="16" t="str">
        <f>IFERROR(__xludf.DUMMYFUNCTION("""COMPUTED_VALUE"""),"Canot Avoid")</f>
        <v>Canot Avoid</v>
      </c>
      <c r="G233" s="16">
        <f>IFERROR(__xludf.DUMMYFUNCTION("""COMPUTED_VALUE"""),1.0)</f>
        <v>1</v>
      </c>
      <c r="H233" s="16" t="str">
        <f>IFERROR(__xludf.DUMMYFUNCTION("""COMPUTED_VALUE"""),"Spirit")</f>
        <v>Spirit</v>
      </c>
    </row>
    <row r="234">
      <c r="A234" s="16" t="str">
        <f>IFERROR(__xludf.DUMMYFUNCTION("""COMPUTED_VALUE"""),"Final Rest")</f>
        <v>Final Rest</v>
      </c>
      <c r="B234" s="16">
        <f>IFERROR(__xludf.DUMMYFUNCTION("""COMPUTED_VALUE"""),6.0)</f>
        <v>6</v>
      </c>
      <c r="C234" s="16">
        <f>IFERROR(__xludf.DUMMYFUNCTION("""COMPUTED_VALUE"""),90.0)</f>
        <v>90</v>
      </c>
      <c r="D234" s="16"/>
      <c r="E234" s="16" t="str">
        <f>IFERROR(__xludf.DUMMYFUNCTION("""COMPUTED_VALUE"""),"25% chance of instantly banishing any target, 20% chance to banish self.")</f>
        <v>25% chance of instantly banishing any target, 20% chance to banish self.</v>
      </c>
      <c r="F234" s="16" t="str">
        <f>IFERROR(__xludf.DUMMYFUNCTION("""COMPUTED_VALUE"""),"Fail/Succeed")</f>
        <v>Fail/Succeed</v>
      </c>
      <c r="G234" s="16"/>
      <c r="H234" s="16" t="str">
        <f>IFERROR(__xludf.DUMMYFUNCTION("""COMPUTED_VALUE"""),"Spirit")</f>
        <v>Spirit</v>
      </c>
    </row>
    <row r="235">
      <c r="A235" s="16" t="str">
        <f>IFERROR(__xludf.DUMMYFUNCTION("""COMPUTED_VALUE"""),"Gain Soul")</f>
        <v>Gain Soul</v>
      </c>
      <c r="B235" s="16">
        <f>IFERROR(__xludf.DUMMYFUNCTION("""COMPUTED_VALUE"""),6.0)</f>
        <v>6</v>
      </c>
      <c r="C235" s="16">
        <f>IFERROR(__xludf.DUMMYFUNCTION("""COMPUTED_VALUE"""),90.0)</f>
        <v>90</v>
      </c>
      <c r="D235" s="16"/>
      <c r="E235" s="16" t="str">
        <f>IFERROR(__xludf.DUMMYFUNCTION("""COMPUTED_VALUE"""),"Undoes Lost Soul. If Lost Soul hasn’t been casted, then doubles the effects of the next two spells.")</f>
        <v>Undoes Lost Soul. If Lost Soul hasn’t been casted, then doubles the effects of the next two spells.</v>
      </c>
      <c r="F235" s="16" t="str">
        <f>IFERROR(__xludf.DUMMYFUNCTION("""COMPUTED_VALUE"""),"Will Succeed")</f>
        <v>Will Succeed</v>
      </c>
      <c r="G235" s="16"/>
      <c r="H235" s="16" t="str">
        <f>IFERROR(__xludf.DUMMYFUNCTION("""COMPUTED_VALUE"""),"Spirit")</f>
        <v>Spirit</v>
      </c>
    </row>
    <row r="236">
      <c r="A236" s="16" t="str">
        <f>IFERROR(__xludf.DUMMYFUNCTION("""COMPUTED_VALUE"""),"HP Recover")</f>
        <v>HP Recover</v>
      </c>
      <c r="B236" s="16">
        <f>IFERROR(__xludf.DUMMYFUNCTION("""COMPUTED_VALUE"""),1.0)</f>
        <v>1</v>
      </c>
      <c r="C236" s="16">
        <f>IFERROR(__xludf.DUMMYFUNCTION("""COMPUTED_VALUE"""),0.0)</f>
        <v>0</v>
      </c>
      <c r="D236" s="16"/>
      <c r="E236" s="16" t="str">
        <f>IFERROR(__xludf.DUMMYFUNCTION("""COMPUTED_VALUE"""),"Regain 5000 HP. Can only be used three times per character per session.")</f>
        <v>Regain 5000 HP. Can only be used three times per character per session.</v>
      </c>
      <c r="F236" s="16" t="str">
        <f>IFERROR(__xludf.DUMMYFUNCTION("""COMPUTED_VALUE"""),"Natural/Will Succeed")</f>
        <v>Natural/Will Succeed</v>
      </c>
      <c r="G236" s="16"/>
      <c r="H236" s="16" t="str">
        <f>IFERROR(__xludf.DUMMYFUNCTION("""COMPUTED_VALUE"""),"Spirit")</f>
        <v>Spirit</v>
      </c>
    </row>
    <row r="237">
      <c r="A237" s="16" t="str">
        <f>IFERROR(__xludf.DUMMYFUNCTION("""COMPUTED_VALUE"""),"Incorporeal Form")</f>
        <v>Incorporeal Form</v>
      </c>
      <c r="B237" s="16">
        <f>IFERROR(__xludf.DUMMYFUNCTION("""COMPUTED_VALUE"""),9.0)</f>
        <v>9</v>
      </c>
      <c r="C237" s="16">
        <f>IFERROR(__xludf.DUMMYFUNCTION("""COMPUTED_VALUE"""),500.0)</f>
        <v>500</v>
      </c>
      <c r="D237" s="16"/>
      <c r="E237" s="16" t="str">
        <f>IFERROR(__xludf.DUMMYFUNCTION("""COMPUTED_VALUE"""),"Grants Incorporeal 3 to self Can only be cast once every 6 rounds.")</f>
        <v>Grants Incorporeal 3 to self Can only be cast once every 6 rounds.</v>
      </c>
      <c r="F237" s="16" t="str">
        <f>IFERROR(__xludf.DUMMYFUNCTION("""COMPUTED_VALUE"""),"Fail/Succeed")</f>
        <v>Fail/Succeed</v>
      </c>
      <c r="G237" s="16" t="str">
        <f>IFERROR(__xludf.DUMMYFUNCTION("""COMPUTED_VALUE"""),"Self")</f>
        <v>Self</v>
      </c>
      <c r="H237" s="16" t="str">
        <f>IFERROR(__xludf.DUMMYFUNCTION("""COMPUTED_VALUE"""),"Spirit")</f>
        <v>Spirit</v>
      </c>
    </row>
    <row r="238">
      <c r="A238" s="16" t="str">
        <f>IFERROR(__xludf.DUMMYFUNCTION("""COMPUTED_VALUE"""),"Lost Soul")</f>
        <v>Lost Soul</v>
      </c>
      <c r="B238" s="16">
        <f>IFERROR(__xludf.DUMMYFUNCTION("""COMPUTED_VALUE"""),6.0)</f>
        <v>6</v>
      </c>
      <c r="C238" s="16">
        <f>IFERROR(__xludf.DUMMYFUNCTION("""COMPUTED_VALUE"""),90.0)</f>
        <v>90</v>
      </c>
      <c r="D238" s="16"/>
      <c r="E238" s="16" t="str">
        <f>IFERROR(__xludf.DUMMYFUNCTION("""COMPUTED_VALUE"""),"Lose connection with your soul. All spells for the remainder of the encounter have a 50% chance to fail but no SP cost.")</f>
        <v>Lose connection with your soul. All spells for the remainder of the encounter have a 50% chance to fail but no SP cost.</v>
      </c>
      <c r="F238" s="16" t="str">
        <f>IFERROR(__xludf.DUMMYFUNCTION("""COMPUTED_VALUE"""),"Will Succeed")</f>
        <v>Will Succeed</v>
      </c>
      <c r="G238" s="16"/>
      <c r="H238" s="16" t="str">
        <f>IFERROR(__xludf.DUMMYFUNCTION("""COMPUTED_VALUE"""),"Spirit")</f>
        <v>Spirit</v>
      </c>
    </row>
    <row r="239">
      <c r="A239" s="16" t="str">
        <f>IFERROR(__xludf.DUMMYFUNCTION("""COMPUTED_VALUE"""),"Negative Energy")</f>
        <v>Negative Energy</v>
      </c>
      <c r="B239" s="16">
        <f>IFERROR(__xludf.DUMMYFUNCTION("""COMPUTED_VALUE"""),5.0)</f>
        <v>5</v>
      </c>
      <c r="C239" s="16">
        <f>IFERROR(__xludf.DUMMYFUNCTION("""COMPUTED_VALUE"""),50.0)</f>
        <v>50</v>
      </c>
      <c r="D239" s="16"/>
      <c r="E239" s="16" t="str">
        <f>IFERROR(__xludf.DUMMYFUNCTION("""COMPUTED_VALUE"""),"Target halfs the damage from their next attack.")</f>
        <v>Target halfs the damage from their next attack.</v>
      </c>
      <c r="F239" s="16" t="str">
        <f>IFERROR(__xludf.DUMMYFUNCTION("""COMPUTED_VALUE"""),"Fail/succeed")</f>
        <v>Fail/succeed</v>
      </c>
      <c r="G239" s="16"/>
      <c r="H239" s="16" t="str">
        <f>IFERROR(__xludf.DUMMYFUNCTION("""COMPUTED_VALUE"""),"Spirit")</f>
        <v>Spirit</v>
      </c>
    </row>
    <row r="240">
      <c r="A240" s="16" t="str">
        <f>IFERROR(__xludf.DUMMYFUNCTION("""COMPUTED_VALUE"""),"Positive Energy")</f>
        <v>Positive Energy</v>
      </c>
      <c r="B240" s="16">
        <f>IFERROR(__xludf.DUMMYFUNCTION("""COMPUTED_VALUE"""),5.0)</f>
        <v>5</v>
      </c>
      <c r="C240" s="16">
        <f>IFERROR(__xludf.DUMMYFUNCTION("""COMPUTED_VALUE"""),50.0)</f>
        <v>50</v>
      </c>
      <c r="D240" s="16"/>
      <c r="E240" s="16" t="str">
        <f>IFERROR(__xludf.DUMMYFUNCTION("""COMPUTED_VALUE"""),"X2 additional spirit damage for caster only.")</f>
        <v>X2 additional spirit damage for caster only.</v>
      </c>
      <c r="F240" s="16" t="str">
        <f>IFERROR(__xludf.DUMMYFUNCTION("""COMPUTED_VALUE"""),"Fail/Succeed")</f>
        <v>Fail/Succeed</v>
      </c>
      <c r="G240" s="16"/>
      <c r="H240" s="16" t="str">
        <f>IFERROR(__xludf.DUMMYFUNCTION("""COMPUTED_VALUE"""),"Spirit")</f>
        <v>Spirit</v>
      </c>
    </row>
    <row r="241">
      <c r="A241" s="16" t="str">
        <f>IFERROR(__xludf.DUMMYFUNCTION("""COMPUTED_VALUE"""),"Possession")</f>
        <v>Possession</v>
      </c>
      <c r="B241" s="16">
        <f>IFERROR(__xludf.DUMMYFUNCTION("""COMPUTED_VALUE"""),6.0)</f>
        <v>6</v>
      </c>
      <c r="C241" s="16">
        <f>IFERROR(__xludf.DUMMYFUNCTION("""COMPUTED_VALUE"""),90.0)</f>
        <v>90</v>
      </c>
      <c r="D241" s="16"/>
      <c r="E241" s="16" t="str">
        <f>IFERROR(__xludf.DUMMYFUNCTION("""COMPUTED_VALUE"""),"Possess one target, making them under your control until they are killed or banished. Cannot be canceled.")</f>
        <v>Possess one target, making them under your control until they are killed or banished. Cannot be canceled.</v>
      </c>
      <c r="F241" s="16" t="str">
        <f>IFERROR(__xludf.DUMMYFUNCTION("""COMPUTED_VALUE"""),"Fail/Succeed")</f>
        <v>Fail/Succeed</v>
      </c>
      <c r="G241" s="16"/>
      <c r="H241" s="16" t="str">
        <f>IFERROR(__xludf.DUMMYFUNCTION("""COMPUTED_VALUE"""),"Spirit")</f>
        <v>Spirit</v>
      </c>
    </row>
    <row r="242">
      <c r="A242" s="16" t="str">
        <f>IFERROR(__xludf.DUMMYFUNCTION("""COMPUTED_VALUE"""),"Rain of Souls")</f>
        <v>Rain of Souls</v>
      </c>
      <c r="B242" s="16">
        <f>IFERROR(__xludf.DUMMYFUNCTION("""COMPUTED_VALUE"""),9.0)</f>
        <v>9</v>
      </c>
      <c r="C242" s="16">
        <f>IFERROR(__xludf.DUMMYFUNCTION("""COMPUTED_VALUE"""),300.0)</f>
        <v>300</v>
      </c>
      <c r="D242" s="16"/>
      <c r="E242" s="16" t="str">
        <f>IFERROR(__xludf.DUMMYFUNCTION("""COMPUTED_VALUE"""),"Release X amount of souls to regain X*100 SP for self and allies.")</f>
        <v>Release X amount of souls to regain X*100 SP for self and allies.</v>
      </c>
      <c r="F242" s="16" t="str">
        <f>IFERROR(__xludf.DUMMYFUNCTION("""COMPUTED_VALUE"""),"Will Succeed")</f>
        <v>Will Succeed</v>
      </c>
      <c r="G242" s="16"/>
      <c r="H242" s="16" t="str">
        <f>IFERROR(__xludf.DUMMYFUNCTION("""COMPUTED_VALUE"""),"Spirit")</f>
        <v>Spirit</v>
      </c>
    </row>
    <row r="243">
      <c r="A243" s="16" t="str">
        <f>IFERROR(__xludf.DUMMYFUNCTION("""COMPUTED_VALUE"""),"Soul Absorption")</f>
        <v>Soul Absorption</v>
      </c>
      <c r="B243" s="16">
        <f>IFERROR(__xludf.DUMMYFUNCTION("""COMPUTED_VALUE"""),8.0)</f>
        <v>8</v>
      </c>
      <c r="C243" s="16">
        <f>IFERROR(__xludf.DUMMYFUNCTION("""COMPUTED_VALUE"""),200.0)</f>
        <v>200</v>
      </c>
      <c r="D243" s="16"/>
      <c r="E243" s="16" t="str">
        <f>IFERROR(__xludf.DUMMYFUNCTION("""COMPUTED_VALUE"""),"If the enemy has a soul as a loot drop, caster will automatically take it. If it's a player, the caster will automatically get their soul.")</f>
        <v>If the enemy has a soul as a loot drop, caster will automatically take it. If it's a player, the caster will automatically get their soul.</v>
      </c>
      <c r="F243" s="16" t="str">
        <f>IFERROR(__xludf.DUMMYFUNCTION("""COMPUTED_VALUE"""),"Fail/succeed")</f>
        <v>Fail/succeed</v>
      </c>
      <c r="G243" s="16"/>
      <c r="H243" s="16" t="str">
        <f>IFERROR(__xludf.DUMMYFUNCTION("""COMPUTED_VALUE"""),"Spirit")</f>
        <v>Spirit</v>
      </c>
    </row>
    <row r="244">
      <c r="A244" s="16" t="str">
        <f>IFERROR(__xludf.DUMMYFUNCTION("""COMPUTED_VALUE"""),"Soul Rend")</f>
        <v>Soul Rend</v>
      </c>
      <c r="B244" s="16">
        <f>IFERROR(__xludf.DUMMYFUNCTION("""COMPUTED_VALUE"""),5.0)</f>
        <v>5</v>
      </c>
      <c r="C244" s="16">
        <f>IFERROR(__xludf.DUMMYFUNCTION("""COMPUTED_VALUE"""),200.0)</f>
        <v>200</v>
      </c>
      <c r="D244" s="16"/>
      <c r="E244" s="16" t="str">
        <f>IFERROR(__xludf.DUMMYFUNCTION("""COMPUTED_VALUE"""),"Deal 2000 unblockable spirit damage and inflict the enemy with 10 Soulburn")</f>
        <v>Deal 2000 unblockable spirit damage and inflict the enemy with 10 Soulburn</v>
      </c>
      <c r="F244" s="16" t="str">
        <f>IFERROR(__xludf.DUMMYFUNCTION("""COMPUTED_VALUE"""),"Hit or MIss")</f>
        <v>Hit or MIss</v>
      </c>
      <c r="G244" s="16">
        <f>IFERROR(__xludf.DUMMYFUNCTION("""COMPUTED_VALUE"""),1.0)</f>
        <v>1</v>
      </c>
      <c r="H244" s="16" t="str">
        <f>IFERROR(__xludf.DUMMYFUNCTION("""COMPUTED_VALUE"""),"Spirit")</f>
        <v>Spirit</v>
      </c>
    </row>
    <row r="245">
      <c r="A245" s="16" t="str">
        <f>IFERROR(__xludf.DUMMYFUNCTION("""COMPUTED_VALUE"""),"Soul Shot")</f>
        <v>Soul Shot</v>
      </c>
      <c r="B245" s="16">
        <f>IFERROR(__xludf.DUMMYFUNCTION("""COMPUTED_VALUE"""),1.0)</f>
        <v>1</v>
      </c>
      <c r="C245" s="16" t="str">
        <f>IFERROR(__xludf.DUMMYFUNCTION("""COMPUTED_VALUE"""),"X")</f>
        <v>X</v>
      </c>
      <c r="D245" s="16"/>
      <c r="E245" s="16" t="str">
        <f>IFERROR(__xludf.DUMMYFUNCTION("""COMPUTED_VALUE"""),"Deals X*100 Undefendable Spirit damage to a single enemy where X is equal to SP spent.")</f>
        <v>Deals X*100 Undefendable Spirit damage to a single enemy where X is equal to SP spent.</v>
      </c>
      <c r="F245" s="16" t="str">
        <f>IFERROR(__xludf.DUMMYFUNCTION("""COMPUTED_VALUE"""),"Hit/Miss")</f>
        <v>Hit/Miss</v>
      </c>
      <c r="G245" s="16">
        <f>IFERROR(__xludf.DUMMYFUNCTION("""COMPUTED_VALUE"""),1.0)</f>
        <v>1</v>
      </c>
      <c r="H245" s="16" t="str">
        <f>IFERROR(__xludf.DUMMYFUNCTION("""COMPUTED_VALUE"""),"Spirit")</f>
        <v>Spirit</v>
      </c>
    </row>
    <row r="246">
      <c r="A246" s="16" t="str">
        <f>IFERROR(__xludf.DUMMYFUNCTION("""COMPUTED_VALUE"""),"Soul Trap")</f>
        <v>Soul Trap</v>
      </c>
      <c r="B246" s="16">
        <f>IFERROR(__xludf.DUMMYFUNCTION("""COMPUTED_VALUE"""),6.0)</f>
        <v>6</v>
      </c>
      <c r="C246" s="16">
        <f>IFERROR(__xludf.DUMMYFUNCTION("""COMPUTED_VALUE"""),60.0)</f>
        <v>60</v>
      </c>
      <c r="D246" s="16"/>
      <c r="E246" s="16" t="str">
        <f>IFERROR(__xludf.DUMMYFUNCTION("""COMPUTED_VALUE"""),"Trap 1 target in a soul binding cage causing Stun 3.")</f>
        <v>Trap 1 target in a soul binding cage causing Stun 3.</v>
      </c>
      <c r="F246" s="16" t="str">
        <f>IFERROR(__xludf.DUMMYFUNCTION("""COMPUTED_VALUE"""),"Fail/Succeed")</f>
        <v>Fail/Succeed</v>
      </c>
      <c r="G246" s="16"/>
      <c r="H246" s="16" t="str">
        <f>IFERROR(__xludf.DUMMYFUNCTION("""COMPUTED_VALUE"""),"Spirit")</f>
        <v>Spirit</v>
      </c>
    </row>
    <row r="247">
      <c r="A247" s="16" t="str">
        <f>IFERROR(__xludf.DUMMYFUNCTION("""COMPUTED_VALUE"""),"SP Recover")</f>
        <v>SP Recover</v>
      </c>
      <c r="B247" s="16">
        <f>IFERROR(__xludf.DUMMYFUNCTION("""COMPUTED_VALUE"""),1.0)</f>
        <v>1</v>
      </c>
      <c r="C247" s="16">
        <f>IFERROR(__xludf.DUMMYFUNCTION("""COMPUTED_VALUE"""),0.0)</f>
        <v>0</v>
      </c>
      <c r="D247" s="16"/>
      <c r="E247" s="16" t="str">
        <f>IFERROR(__xludf.DUMMYFUNCTION("""COMPUTED_VALUE"""),"Regain 5000 SP. Can only be used three times per character per session.")</f>
        <v>Regain 5000 SP. Can only be used three times per character per session.</v>
      </c>
      <c r="F247" s="16" t="str">
        <f>IFERROR(__xludf.DUMMYFUNCTION("""COMPUTED_VALUE"""),"Natural/Will Succeed")</f>
        <v>Natural/Will Succeed</v>
      </c>
      <c r="G247" s="16"/>
      <c r="H247" s="16" t="str">
        <f>IFERROR(__xludf.DUMMYFUNCTION("""COMPUTED_VALUE"""),"Spirit")</f>
        <v>Spirit</v>
      </c>
    </row>
    <row r="248">
      <c r="A248" s="16" t="str">
        <f>IFERROR(__xludf.DUMMYFUNCTION("""COMPUTED_VALUE"""),"Spectral Lash")</f>
        <v>Spectral Lash</v>
      </c>
      <c r="B248" s="16">
        <f>IFERROR(__xludf.DUMMYFUNCTION("""COMPUTED_VALUE"""),7.0)</f>
        <v>7</v>
      </c>
      <c r="C248" s="16">
        <f>IFERROR(__xludf.DUMMYFUNCTION("""COMPUTED_VALUE"""),500.0)</f>
        <v>500</v>
      </c>
      <c r="D248" s="16"/>
      <c r="E248" s="16" t="str">
        <f>IFERROR(__xludf.DUMMYFUNCTION("""COMPUTED_VALUE"""),"Unleash a stream of spectral magic upon an enemy inflicting them with Slowness 3 and Disoriented 5")</f>
        <v>Unleash a stream of spectral magic upon an enemy inflicting them with Slowness 3 and Disoriented 5</v>
      </c>
      <c r="F248" s="16" t="str">
        <f>IFERROR(__xludf.DUMMYFUNCTION("""COMPUTED_VALUE"""),"Fail or Succeed")</f>
        <v>Fail or Succeed</v>
      </c>
      <c r="G248" s="16">
        <f>IFERROR(__xludf.DUMMYFUNCTION("""COMPUTED_VALUE"""),1.0)</f>
        <v>1</v>
      </c>
      <c r="H248" s="16" t="str">
        <f>IFERROR(__xludf.DUMMYFUNCTION("""COMPUTED_VALUE"""),"Spirit")</f>
        <v>Spirit</v>
      </c>
    </row>
    <row r="249">
      <c r="A249" s="16" t="str">
        <f>IFERROR(__xludf.DUMMYFUNCTION("""COMPUTED_VALUE"""),"Spirit Drain")</f>
        <v>Spirit Drain</v>
      </c>
      <c r="B249" s="16">
        <f>IFERROR(__xludf.DUMMYFUNCTION("""COMPUTED_VALUE"""),6.0)</f>
        <v>6</v>
      </c>
      <c r="C249" s="16" t="str">
        <f>IFERROR(__xludf.DUMMYFUNCTION("""COMPUTED_VALUE"""),"½ Current SP")</f>
        <v>½ Current SP</v>
      </c>
      <c r="D249" s="16"/>
      <c r="E249" s="16" t="str">
        <f>IFERROR(__xludf.DUMMYFUNCTION("""COMPUTED_VALUE"""),"Costs half current SP, drains half of target’s current SP")</f>
        <v>Costs half current SP, drains half of target’s current SP</v>
      </c>
      <c r="F249" s="16" t="str">
        <f>IFERROR(__xludf.DUMMYFUNCTION("""COMPUTED_VALUE"""),"Fail/Succeed")</f>
        <v>Fail/Succeed</v>
      </c>
      <c r="G249" s="16"/>
      <c r="H249" s="16" t="str">
        <f>IFERROR(__xludf.DUMMYFUNCTION("""COMPUTED_VALUE"""),"Spirit")</f>
        <v>Spirit</v>
      </c>
    </row>
    <row r="250">
      <c r="A250" s="16" t="str">
        <f>IFERROR(__xludf.DUMMYFUNCTION("""COMPUTED_VALUE"""),"Spirit Fog")</f>
        <v>Spirit Fog</v>
      </c>
      <c r="B250" s="16">
        <f>IFERROR(__xludf.DUMMYFUNCTION("""COMPUTED_VALUE"""),5.0)</f>
        <v>5</v>
      </c>
      <c r="C250" s="16" t="str">
        <f>IFERROR(__xludf.DUMMYFUNCTION("""COMPUTED_VALUE"""),"X")</f>
        <v>X</v>
      </c>
      <c r="D250" s="16"/>
      <c r="E250" s="16" t="str">
        <f>IFERROR(__xludf.DUMMYFUNCTION("""COMPUTED_VALUE"""),"Deals X*25 Undefendable Spirit damage to all enemies where X is equal to SP spent.")</f>
        <v>Deals X*25 Undefendable Spirit damage to all enemies where X is equal to SP spent.</v>
      </c>
      <c r="F250" s="16" t="str">
        <f>IFERROR(__xludf.DUMMYFUNCTION("""COMPUTED_VALUE"""),"Cannot Avoid")</f>
        <v>Cannot Avoid</v>
      </c>
      <c r="G250" s="16" t="str">
        <f>IFERROR(__xludf.DUMMYFUNCTION("""COMPUTED_VALUE"""),"All")</f>
        <v>All</v>
      </c>
      <c r="H250" s="16" t="str">
        <f>IFERROR(__xludf.DUMMYFUNCTION("""COMPUTED_VALUE"""),"Spirit")</f>
        <v>Spirit</v>
      </c>
    </row>
    <row r="251">
      <c r="A251" s="16" t="str">
        <f>IFERROR(__xludf.DUMMYFUNCTION("""COMPUTED_VALUE"""),"Spirit's March")</f>
        <v>Spirit's March</v>
      </c>
      <c r="B251" s="16">
        <f>IFERROR(__xludf.DUMMYFUNCTION("""COMPUTED_VALUE"""),9.0)</f>
        <v>9</v>
      </c>
      <c r="C251" s="16" t="str">
        <f>IFERROR(__xludf.DUMMYFUNCTION("""COMPUTED_VALUE"""),"1d20*120")</f>
        <v>1d20*120</v>
      </c>
      <c r="D251" s="16"/>
      <c r="E251" s="16" t="str">
        <f>IFERROR(__xludf.DUMMYFUNCTION("""COMPUTED_VALUE"""),"Call upon all the Spirits and elementals within an area to deal 1d20*500 unblockable Spirit, fire, water, Nature, storm, and earth damage to all enemies")</f>
        <v>Call upon all the Spirits and elementals within an area to deal 1d20*500 unblockable Spirit, fire, water, Nature, storm, and earth damage to all enemies</v>
      </c>
      <c r="F251" s="16" t="str">
        <f>IFERROR(__xludf.DUMMYFUNCTION("""COMPUTED_VALUE"""),"Cannot Avoid")</f>
        <v>Cannot Avoid</v>
      </c>
      <c r="G251" s="16" t="str">
        <f>IFERROR(__xludf.DUMMYFUNCTION("""COMPUTED_VALUE"""),"All")</f>
        <v>All</v>
      </c>
      <c r="H251" s="16" t="str">
        <f>IFERROR(__xludf.DUMMYFUNCTION("""COMPUTED_VALUE"""),"Spirit")</f>
        <v>Spirit</v>
      </c>
    </row>
    <row r="252">
      <c r="A252" s="16" t="str">
        <f>IFERROR(__xludf.DUMMYFUNCTION("""COMPUTED_VALUE"""),"Vengeful Strike")</f>
        <v>Vengeful Strike</v>
      </c>
      <c r="B252" s="16">
        <f>IFERROR(__xludf.DUMMYFUNCTION("""COMPUTED_VALUE"""),9.0)</f>
        <v>9</v>
      </c>
      <c r="C252" s="16">
        <f>IFERROR(__xludf.DUMMYFUNCTION("""COMPUTED_VALUE"""),500.0)</f>
        <v>500</v>
      </c>
      <c r="D252" s="16"/>
      <c r="E252" s="16" t="str">
        <f>IFERROR(__xludf.DUMMYFUNCTION("""COMPUTED_VALUE"""),"Upon death, you deal 20,000 spirit damage to the enemy that killed you for 3 rounds. At the end of those 3 rounds if at least one ally is alive you come back to life. (Can only be used once per battle)")</f>
        <v>Upon death, you deal 20,000 spirit damage to the enemy that killed you for 3 rounds. At the end of those 3 rounds if at least one ally is alive you come back to life. (Can only be used once per battle)</v>
      </c>
      <c r="F252" s="16" t="str">
        <f>IFERROR(__xludf.DUMMYFUNCTION("""COMPUTED_VALUE"""),"Fail/Succeed")</f>
        <v>Fail/Succeed</v>
      </c>
      <c r="G252" s="16" t="str">
        <f>IFERROR(__xludf.DUMMYFUNCTION("""COMPUTED_VALUE"""),"Self")</f>
        <v>Self</v>
      </c>
      <c r="H252" s="16" t="str">
        <f>IFERROR(__xludf.DUMMYFUNCTION("""COMPUTED_VALUE"""),"Spirit")</f>
        <v>Spirit</v>
      </c>
    </row>
    <row r="253">
      <c r="A253" s="16" t="str">
        <f>IFERROR(__xludf.DUMMYFUNCTION("""COMPUTED_VALUE"""),"Colliding Forces")</f>
        <v>Colliding Forces</v>
      </c>
      <c r="B253" s="16">
        <f>IFERROR(__xludf.DUMMYFUNCTION("""COMPUTED_VALUE"""),5.0)</f>
        <v>5</v>
      </c>
      <c r="C253" s="16" t="str">
        <f>IFERROR(__xludf.DUMMYFUNCTION("""COMPUTED_VALUE"""),"X")</f>
        <v>X</v>
      </c>
      <c r="D253" s="16"/>
      <c r="E253" s="16" t="str">
        <f>IFERROR(__xludf.DUMMYFUNCTION("""COMPUTED_VALUE"""),"Deals X*15 Order and X*15 Chaos damage to all enemies where X is equal to SP spent.")</f>
        <v>Deals X*15 Order and X*15 Chaos damage to all enemies where X is equal to SP spent.</v>
      </c>
      <c r="F253" s="16" t="str">
        <f>IFERROR(__xludf.DUMMYFUNCTION("""COMPUTED_VALUE"""),"Cannot Avoid")</f>
        <v>Cannot Avoid</v>
      </c>
      <c r="G253" s="16" t="str">
        <f>IFERROR(__xludf.DUMMYFUNCTION("""COMPUTED_VALUE"""),"All")</f>
        <v>All</v>
      </c>
      <c r="H253" s="16" t="str">
        <f>IFERROR(__xludf.DUMMYFUNCTION("""COMPUTED_VALUE"""),"Stasis")</f>
        <v>Stasis</v>
      </c>
    </row>
    <row r="254">
      <c r="A254" s="16" t="str">
        <f>IFERROR(__xludf.DUMMYFUNCTION("""COMPUTED_VALUE"""),"Contradiction")</f>
        <v>Contradiction</v>
      </c>
      <c r="B254" s="16">
        <f>IFERROR(__xludf.DUMMYFUNCTION("""COMPUTED_VALUE"""),1.0)</f>
        <v>1</v>
      </c>
      <c r="C254" s="16" t="str">
        <f>IFERROR(__xludf.DUMMYFUNCTION("""COMPUTED_VALUE"""),"X")</f>
        <v>X</v>
      </c>
      <c r="D254" s="16"/>
      <c r="E254" s="16" t="str">
        <f>IFERROR(__xludf.DUMMYFUNCTION("""COMPUTED_VALUE"""),"Deals X*50 Order and X*50 Chaos damage to a single enemy where X is equal to SP spent.")</f>
        <v>Deals X*50 Order and X*50 Chaos damage to a single enemy where X is equal to SP spent.</v>
      </c>
      <c r="F254" s="16" t="str">
        <f>IFERROR(__xludf.DUMMYFUNCTION("""COMPUTED_VALUE"""),"Hit/Miss")</f>
        <v>Hit/Miss</v>
      </c>
      <c r="G254" s="16">
        <f>IFERROR(__xludf.DUMMYFUNCTION("""COMPUTED_VALUE"""),1.0)</f>
        <v>1</v>
      </c>
      <c r="H254" s="16" t="str">
        <f>IFERROR(__xludf.DUMMYFUNCTION("""COMPUTED_VALUE"""),"Stasis")</f>
        <v>Stasis</v>
      </c>
    </row>
    <row r="255">
      <c r="A255" s="16" t="str">
        <f>IFERROR(__xludf.DUMMYFUNCTION("""COMPUTED_VALUE"""),"Mass Static Breakdown")</f>
        <v>Mass Static Breakdown</v>
      </c>
      <c r="B255" s="16">
        <f>IFERROR(__xludf.DUMMYFUNCTION("""COMPUTED_VALUE"""),6.0)</f>
        <v>6</v>
      </c>
      <c r="C255" s="16" t="str">
        <f>IFERROR(__xludf.DUMMYFUNCTION("""COMPUTED_VALUE"""),"X")</f>
        <v>X</v>
      </c>
      <c r="D255" s="16"/>
      <c r="E255" s="16" t="str">
        <f>IFERROR(__xludf.DUMMYFUNCTION("""COMPUTED_VALUE"""),"Deals X*5 Order and X*5 Chaos damage per round to all enemies for 3 rounds where X is equal to SP spent.")</f>
        <v>Deals X*5 Order and X*5 Chaos damage per round to all enemies for 3 rounds where X is equal to SP spent.</v>
      </c>
      <c r="F255" s="16" t="str">
        <f>IFERROR(__xludf.DUMMYFUNCTION("""COMPUTED_VALUE"""),"Cannot Avoid")</f>
        <v>Cannot Avoid</v>
      </c>
      <c r="G255" s="16" t="str">
        <f>IFERROR(__xludf.DUMMYFUNCTION("""COMPUTED_VALUE"""),"All")</f>
        <v>All</v>
      </c>
      <c r="H255" s="16" t="str">
        <f>IFERROR(__xludf.DUMMYFUNCTION("""COMPUTED_VALUE"""),"Stasis")</f>
        <v>Stasis</v>
      </c>
    </row>
    <row r="256">
      <c r="A256" s="16" t="str">
        <f>IFERROR(__xludf.DUMMYFUNCTION("""COMPUTED_VALUE"""),"Stasis Madness")</f>
        <v>Stasis Madness</v>
      </c>
      <c r="B256" s="16">
        <f>IFERROR(__xludf.DUMMYFUNCTION("""COMPUTED_VALUE"""),6.0)</f>
        <v>6</v>
      </c>
      <c r="C256" s="16" t="str">
        <f>IFERROR(__xludf.DUMMYFUNCTION("""COMPUTED_VALUE"""),"X*100")</f>
        <v>X*100</v>
      </c>
      <c r="D256" s="16"/>
      <c r="E256" s="16" t="str">
        <f>IFERROR(__xludf.DUMMYFUNCTION("""COMPUTED_VALUE"""),"Target becomes completely unresponsive for X rounds")</f>
        <v>Target becomes completely unresponsive for X rounds</v>
      </c>
      <c r="F256" s="16" t="str">
        <f>IFERROR(__xludf.DUMMYFUNCTION("""COMPUTED_VALUE"""),"Fail/Succeed")</f>
        <v>Fail/Succeed</v>
      </c>
      <c r="G256" s="16"/>
      <c r="H256" s="16" t="str">
        <f>IFERROR(__xludf.DUMMYFUNCTION("""COMPUTED_VALUE"""),"Stasis")</f>
        <v>Stasis</v>
      </c>
    </row>
    <row r="257">
      <c r="A257" s="16" t="str">
        <f>IFERROR(__xludf.DUMMYFUNCTION("""COMPUTED_VALUE"""),"Stasis Meteor Shower")</f>
        <v>Stasis Meteor Shower</v>
      </c>
      <c r="B257" s="16">
        <f>IFERROR(__xludf.DUMMYFUNCTION("""COMPUTED_VALUE"""),9.0)</f>
        <v>9</v>
      </c>
      <c r="C257" s="16">
        <f>IFERROR(__xludf.DUMMYFUNCTION("""COMPUTED_VALUE"""),300.0)</f>
        <v>300</v>
      </c>
      <c r="D257" s="16"/>
      <c r="E257" s="16" t="str">
        <f>IFERROR(__xludf.DUMMYFUNCTION("""COMPUTED_VALUE"""),"10,000 order, 10,000 chaos damage to all enemies 15% chance of stun 3.")</f>
        <v>10,000 order, 10,000 chaos damage to all enemies 15% chance of stun 3.</v>
      </c>
      <c r="F257" s="16" t="str">
        <f>IFERROR(__xludf.DUMMYFUNCTION("""COMPUTED_VALUE"""),"Cannot be avoided")</f>
        <v>Cannot be avoided</v>
      </c>
      <c r="G257" s="16"/>
      <c r="H257" s="16" t="str">
        <f>IFERROR(__xludf.DUMMYFUNCTION("""COMPUTED_VALUE"""),"Stasis")</f>
        <v>Stasis</v>
      </c>
    </row>
    <row r="258">
      <c r="A258" s="16" t="str">
        <f>IFERROR(__xludf.DUMMYFUNCTION("""COMPUTED_VALUE"""),"Stasis Shield")</f>
        <v>Stasis Shield</v>
      </c>
      <c r="B258" s="16">
        <f>IFERROR(__xludf.DUMMYFUNCTION("""COMPUTED_VALUE"""),4.0)</f>
        <v>4</v>
      </c>
      <c r="C258" s="16">
        <f>IFERROR(__xludf.DUMMYFUNCTION("""COMPUTED_VALUE"""),40.0)</f>
        <v>40</v>
      </c>
      <c r="D258" s="16"/>
      <c r="E258" s="16" t="str">
        <f>IFERROR(__xludf.DUMMYFUNCTION("""COMPUTED_VALUE"""),"X4 def to selected target, and Immunity to order and chaos.")</f>
        <v>X4 def to selected target, and Immunity to order and chaos.</v>
      </c>
      <c r="F258" s="16" t="str">
        <f>IFERROR(__xludf.DUMMYFUNCTION("""COMPUTED_VALUE"""),"Will Succeed")</f>
        <v>Will Succeed</v>
      </c>
      <c r="G258" s="16"/>
      <c r="H258" s="16" t="str">
        <f>IFERROR(__xludf.DUMMYFUNCTION("""COMPUTED_VALUE"""),"Stasis")</f>
        <v>Stasis</v>
      </c>
    </row>
    <row r="259">
      <c r="A259" s="16" t="str">
        <f>IFERROR(__xludf.DUMMYFUNCTION("""COMPUTED_VALUE"""),"Stasis Storm")</f>
        <v>Stasis Storm</v>
      </c>
      <c r="B259" s="16">
        <f>IFERROR(__xludf.DUMMYFUNCTION("""COMPUTED_VALUE"""),2.0)</f>
        <v>2</v>
      </c>
      <c r="C259" s="16">
        <f>IFERROR(__xludf.DUMMYFUNCTION("""COMPUTED_VALUE"""),20.0)</f>
        <v>20</v>
      </c>
      <c r="D259" s="16"/>
      <c r="E259" s="16" t="str">
        <f>IFERROR(__xludf.DUMMYFUNCTION("""COMPUTED_VALUE"""),"1000 continuous order, 1000 continuous chaos damage.")</f>
        <v>1000 continuous order, 1000 continuous chaos damage.</v>
      </c>
      <c r="F259" s="16" t="str">
        <f>IFERROR(__xludf.DUMMYFUNCTION("""COMPUTED_VALUE"""),"Hit or Miss")</f>
        <v>Hit or Miss</v>
      </c>
      <c r="G259" s="16">
        <f>IFERROR(__xludf.DUMMYFUNCTION("""COMPUTED_VALUE"""),1.0)</f>
        <v>1</v>
      </c>
      <c r="H259" s="16" t="str">
        <f>IFERROR(__xludf.DUMMYFUNCTION("""COMPUTED_VALUE"""),"Stasis")</f>
        <v>Stasis</v>
      </c>
    </row>
    <row r="260">
      <c r="A260" s="16" t="str">
        <f>IFERROR(__xludf.DUMMYFUNCTION("""COMPUTED_VALUE"""),"Stasis Strike")</f>
        <v>Stasis Strike</v>
      </c>
      <c r="B260" s="16">
        <f>IFERROR(__xludf.DUMMYFUNCTION("""COMPUTED_VALUE"""),1.0)</f>
        <v>1</v>
      </c>
      <c r="C260" s="16">
        <f>IFERROR(__xludf.DUMMYFUNCTION("""COMPUTED_VALUE"""),10.0)</f>
        <v>10</v>
      </c>
      <c r="D260" s="16"/>
      <c r="E260" s="16" t="str">
        <f>IFERROR(__xludf.DUMMYFUNCTION("""COMPUTED_VALUE"""),"500 order, 500 chaos damage")</f>
        <v>500 order, 500 chaos damage</v>
      </c>
      <c r="F260" s="16" t="str">
        <f>IFERROR(__xludf.DUMMYFUNCTION("""COMPUTED_VALUE"""),"Hit or Miss")</f>
        <v>Hit or Miss</v>
      </c>
      <c r="G260" s="16">
        <f>IFERROR(__xludf.DUMMYFUNCTION("""COMPUTED_VALUE"""),1.0)</f>
        <v>1</v>
      </c>
      <c r="H260" s="16" t="str">
        <f>IFERROR(__xludf.DUMMYFUNCTION("""COMPUTED_VALUE"""),"Stasis")</f>
        <v>Stasis</v>
      </c>
    </row>
    <row r="261">
      <c r="A261" s="16" t="str">
        <f>IFERROR(__xludf.DUMMYFUNCTION("""COMPUTED_VALUE"""),"Stasis Transformation")</f>
        <v>Stasis Transformation</v>
      </c>
      <c r="B261" s="16">
        <f>IFERROR(__xludf.DUMMYFUNCTION("""COMPUTED_VALUE"""),8.0)</f>
        <v>8</v>
      </c>
      <c r="C261" s="16">
        <f>IFERROR(__xludf.DUMMYFUNCTION("""COMPUTED_VALUE"""),200.0)</f>
        <v>200</v>
      </c>
      <c r="D261" s="16"/>
      <c r="E261" s="16" t="str">
        <f>IFERROR(__xludf.DUMMYFUNCTION("""COMPUTED_VALUE"""),"X4 order and chaos damage for self and allies until end of battle.")</f>
        <v>X4 order and chaos damage for self and allies until end of battle.</v>
      </c>
      <c r="F261" s="16" t="str">
        <f>IFERROR(__xludf.DUMMYFUNCTION("""COMPUTED_VALUE"""),"Will succeed")</f>
        <v>Will succeed</v>
      </c>
      <c r="G261" s="16"/>
      <c r="H261" s="16" t="str">
        <f>IFERROR(__xludf.DUMMYFUNCTION("""COMPUTED_VALUE"""),"Stasis")</f>
        <v>Stasis</v>
      </c>
    </row>
    <row r="262">
      <c r="A262" s="16" t="str">
        <f>IFERROR(__xludf.DUMMYFUNCTION("""COMPUTED_VALUE"""),"Stasis Tsunami")</f>
        <v>Stasis Tsunami</v>
      </c>
      <c r="B262" s="16">
        <f>IFERROR(__xludf.DUMMYFUNCTION("""COMPUTED_VALUE"""),9.0)</f>
        <v>9</v>
      </c>
      <c r="C262" s="16">
        <f>IFERROR(__xludf.DUMMYFUNCTION("""COMPUTED_VALUE"""),300.0)</f>
        <v>300</v>
      </c>
      <c r="D262" s="16"/>
      <c r="E262" s="16" t="str">
        <f>IFERROR(__xludf.DUMMYFUNCTION("""COMPUTED_VALUE"""),"10,000 order, 10,000 chaos damage to all enemies.")</f>
        <v>10,000 order, 10,000 chaos damage to all enemies.</v>
      </c>
      <c r="F262" s="16" t="str">
        <f>IFERROR(__xludf.DUMMYFUNCTION("""COMPUTED_VALUE"""),"Cannot be avoided")</f>
        <v>Cannot be avoided</v>
      </c>
      <c r="G262" s="16"/>
      <c r="H262" s="16" t="str">
        <f>IFERROR(__xludf.DUMMYFUNCTION("""COMPUTED_VALUE"""),"Stasis")</f>
        <v>Stasis</v>
      </c>
    </row>
    <row r="263">
      <c r="A263" s="16" t="str">
        <f>IFERROR(__xludf.DUMMYFUNCTION("""COMPUTED_VALUE"""),"Static Breakdown")</f>
        <v>Static Breakdown</v>
      </c>
      <c r="B263" s="16">
        <f>IFERROR(__xludf.DUMMYFUNCTION("""COMPUTED_VALUE"""),5.0)</f>
        <v>5</v>
      </c>
      <c r="C263" s="16" t="str">
        <f>IFERROR(__xludf.DUMMYFUNCTION("""COMPUTED_VALUE"""),"X")</f>
        <v>X</v>
      </c>
      <c r="D263" s="16"/>
      <c r="E263" s="16" t="str">
        <f>IFERROR(__xludf.DUMMYFUNCTION("""COMPUTED_VALUE"""),"Deals X*25 Order and X*25 Chaos damage per round for 3 rounds to a single target where X is equal to SP spent.")</f>
        <v>Deals X*25 Order and X*25 Chaos damage per round for 3 rounds to a single target where X is equal to SP spent.</v>
      </c>
      <c r="F263" s="16" t="str">
        <f>IFERROR(__xludf.DUMMYFUNCTION("""COMPUTED_VALUE"""),"Hit/Miss")</f>
        <v>Hit/Miss</v>
      </c>
      <c r="G263" s="16">
        <f>IFERROR(__xludf.DUMMYFUNCTION("""COMPUTED_VALUE"""),1.0)</f>
        <v>1</v>
      </c>
      <c r="H263" s="16" t="str">
        <f>IFERROR(__xludf.DUMMYFUNCTION("""COMPUTED_VALUE"""),"Stasis")</f>
        <v>Stasis</v>
      </c>
    </row>
    <row r="264">
      <c r="A264" s="16" t="str">
        <f>IFERROR(__xludf.DUMMYFUNCTION("""COMPUTED_VALUE"""),"Tower Of Stasis")</f>
        <v>Tower Of Stasis</v>
      </c>
      <c r="B264" s="16">
        <f>IFERROR(__xludf.DUMMYFUNCTION("""COMPUTED_VALUE"""),8.0)</f>
        <v>8</v>
      </c>
      <c r="C264" s="16">
        <f>IFERROR(__xludf.DUMMYFUNCTION("""COMPUTED_VALUE"""),200.0)</f>
        <v>200</v>
      </c>
      <c r="D264" s="16"/>
      <c r="E264" s="16" t="str">
        <f>IFERROR(__xludf.DUMMYFUNCTION("""COMPUTED_VALUE"""),"Forms a tower that rises from a portal beneath the ground and shoots a giant beam of stasis energy from the towers eye- Stuns a target for 3 rounds. has a 50% chance to stun a second target for 3 rounds")</f>
        <v>Forms a tower that rises from a portal beneath the ground and shoots a giant beam of stasis energy from the towers eye- Stuns a target for 3 rounds. has a 50% chance to stun a second target for 3 rounds</v>
      </c>
      <c r="F264" s="16" t="str">
        <f>IFERROR(__xludf.DUMMYFUNCTION("""COMPUTED_VALUE"""),"Fail or succeed")</f>
        <v>Fail or succeed</v>
      </c>
      <c r="G264" s="16">
        <f>IFERROR(__xludf.DUMMYFUNCTION("""COMPUTED_VALUE"""),1.0)</f>
        <v>1</v>
      </c>
      <c r="H264" s="16" t="str">
        <f>IFERROR(__xludf.DUMMYFUNCTION("""COMPUTED_VALUE"""),"Stasis")</f>
        <v>Stasis</v>
      </c>
    </row>
    <row r="265">
      <c r="A265" s="16" t="str">
        <f>IFERROR(__xludf.DUMMYFUNCTION("""COMPUTED_VALUE"""),"Brewing Storm")</f>
        <v>Brewing Storm</v>
      </c>
      <c r="B265" s="16">
        <f>IFERROR(__xludf.DUMMYFUNCTION("""COMPUTED_VALUE"""),9.0)</f>
        <v>9</v>
      </c>
      <c r="C265" s="16">
        <f>IFERROR(__xludf.DUMMYFUNCTION("""COMPUTED_VALUE"""),500.0)</f>
        <v>500</v>
      </c>
      <c r="D265" s="16"/>
      <c r="E265" s="16" t="str">
        <f>IFERROR(__xludf.DUMMYFUNCTION("""COMPUTED_VALUE"""),"Causes Stormy Weather to cover the Battlefield increasing all Storm and Water damage by X4 and halving all Fire and Nature Damage")</f>
        <v>Causes Stormy Weather to cover the Battlefield increasing all Storm and Water damage by X4 and halving all Fire and Nature Damage</v>
      </c>
      <c r="F265" s="16" t="str">
        <f>IFERROR(__xludf.DUMMYFUNCTION("""COMPUTED_VALUE"""),"Will Succeed")</f>
        <v>Will Succeed</v>
      </c>
      <c r="G265" s="16" t="str">
        <f>IFERROR(__xludf.DUMMYFUNCTION("""COMPUTED_VALUE"""),"All")</f>
        <v>All</v>
      </c>
      <c r="H265" s="16" t="str">
        <f>IFERROR(__xludf.DUMMYFUNCTION("""COMPUTED_VALUE"""),"Storm")</f>
        <v>Storm</v>
      </c>
    </row>
    <row r="266">
      <c r="A266" s="16" t="str">
        <f>IFERROR(__xludf.DUMMYFUNCTION("""COMPUTED_VALUE"""),"Calm storm")</f>
        <v>Calm storm</v>
      </c>
      <c r="B266" s="16">
        <f>IFERROR(__xludf.DUMMYFUNCTION("""COMPUTED_VALUE"""),7.0)</f>
        <v>7</v>
      </c>
      <c r="C266" s="16" t="str">
        <f>IFERROR(__xludf.DUMMYFUNCTION("""COMPUTED_VALUE"""),"X")</f>
        <v>X</v>
      </c>
      <c r="D266" s="16"/>
      <c r="E266" s="16" t="str">
        <f>IFERROR(__xludf.DUMMYFUNCTION("""COMPUTED_VALUE"""),"Negate X*4 points of storm damage.")</f>
        <v>Negate X*4 points of storm damage.</v>
      </c>
      <c r="F266" s="16" t="str">
        <f>IFERROR(__xludf.DUMMYFUNCTION("""COMPUTED_VALUE"""),"Fail/Succeed")</f>
        <v>Fail/Succeed</v>
      </c>
      <c r="G266" s="16"/>
      <c r="H266" s="16" t="str">
        <f>IFERROR(__xludf.DUMMYFUNCTION("""COMPUTED_VALUE"""),"Storm")</f>
        <v>Storm</v>
      </c>
    </row>
    <row r="267">
      <c r="A267" s="16" t="str">
        <f>IFERROR(__xludf.DUMMYFUNCTION("""COMPUTED_VALUE"""),"Chain Lightning")</f>
        <v>Chain Lightning</v>
      </c>
      <c r="B267" s="16">
        <f>IFERROR(__xludf.DUMMYFUNCTION("""COMPUTED_VALUE"""),5.0)</f>
        <v>5</v>
      </c>
      <c r="C267" s="16" t="str">
        <f>IFERROR(__xludf.DUMMYFUNCTION("""COMPUTED_VALUE"""),"X")</f>
        <v>X</v>
      </c>
      <c r="D267" s="16"/>
      <c r="E267" s="16" t="str">
        <f>IFERROR(__xludf.DUMMYFUNCTION("""COMPUTED_VALUE"""),"Deals X*25 Storm damage to all enemies where X is equal to SP spent.")</f>
        <v>Deals X*25 Storm damage to all enemies where X is equal to SP spent.</v>
      </c>
      <c r="F267" s="16" t="str">
        <f>IFERROR(__xludf.DUMMYFUNCTION("""COMPUTED_VALUE"""),"Cannot Avoid")</f>
        <v>Cannot Avoid</v>
      </c>
      <c r="G267" s="16" t="str">
        <f>IFERROR(__xludf.DUMMYFUNCTION("""COMPUTED_VALUE"""),"All")</f>
        <v>All</v>
      </c>
      <c r="H267" s="16" t="str">
        <f>IFERROR(__xludf.DUMMYFUNCTION("""COMPUTED_VALUE"""),"Storm")</f>
        <v>Storm</v>
      </c>
    </row>
    <row r="268">
      <c r="A268" s="16" t="str">
        <f>IFERROR(__xludf.DUMMYFUNCTION("""COMPUTED_VALUE"""),"Cyclone")</f>
        <v>Cyclone</v>
      </c>
      <c r="B268" s="16">
        <f>IFERROR(__xludf.DUMMYFUNCTION("""COMPUTED_VALUE"""),3.0)</f>
        <v>3</v>
      </c>
      <c r="C268" s="16">
        <f>IFERROR(__xludf.DUMMYFUNCTION("""COMPUTED_VALUE"""),240.0)</f>
        <v>240</v>
      </c>
      <c r="D268" s="16"/>
      <c r="E268" s="16" t="str">
        <f>IFERROR(__xludf.DUMMYFUNCTION("""COMPUTED_VALUE"""),"3000 Storm Damage and 3000 Water damage to all enemies. ")</f>
        <v>3000 Storm Damage and 3000 Water damage to all enemies. </v>
      </c>
      <c r="F268" s="16" t="str">
        <f>IFERROR(__xludf.DUMMYFUNCTION("""COMPUTED_VALUE"""),"Cannot Avoid")</f>
        <v>Cannot Avoid</v>
      </c>
      <c r="G268" s="16"/>
      <c r="H268" s="16" t="str">
        <f>IFERROR(__xludf.DUMMYFUNCTION("""COMPUTED_VALUE"""),"Storm")</f>
        <v>Storm</v>
      </c>
    </row>
    <row r="269">
      <c r="A269" s="16" t="str">
        <f>IFERROR(__xludf.DUMMYFUNCTION("""COMPUTED_VALUE"""),"Dreading Storm")</f>
        <v>Dreading Storm</v>
      </c>
      <c r="B269" s="16">
        <f>IFERROR(__xludf.DUMMYFUNCTION("""COMPUTED_VALUE"""),8.0)</f>
        <v>8</v>
      </c>
      <c r="C269" s="16">
        <f>IFERROR(__xludf.DUMMYFUNCTION("""COMPUTED_VALUE"""),200.0)</f>
        <v>200</v>
      </c>
      <c r="D269" s="16"/>
      <c r="E269" s="16" t="str">
        <f>IFERROR(__xludf.DUMMYFUNCTION("""COMPUTED_VALUE"""),"5000 storm damage to all enemies, 50% chance to negate the next incoming stun attempts.")</f>
        <v>5000 storm damage to all enemies, 50% chance to negate the next incoming stun attempts.</v>
      </c>
      <c r="F269" s="16" t="str">
        <f>IFERROR(__xludf.DUMMYFUNCTION("""COMPUTED_VALUE"""),"Cannot Avoid")</f>
        <v>Cannot Avoid</v>
      </c>
      <c r="G269" s="16"/>
      <c r="H269" s="16" t="str">
        <f>IFERROR(__xludf.DUMMYFUNCTION("""COMPUTED_VALUE"""),"Storm")</f>
        <v>Storm</v>
      </c>
    </row>
    <row r="270">
      <c r="A270" s="16" t="str">
        <f>IFERROR(__xludf.DUMMYFUNCTION("""COMPUTED_VALUE"""),"Eel Nado")</f>
        <v>Eel Nado</v>
      </c>
      <c r="B270" s="16">
        <f>IFERROR(__xludf.DUMMYFUNCTION("""COMPUTED_VALUE"""),9.0)</f>
        <v>9</v>
      </c>
      <c r="C270" s="16">
        <f>IFERROR(__xludf.DUMMYFUNCTION("""COMPUTED_VALUE"""),800.0)</f>
        <v>800</v>
      </c>
      <c r="D270" s="16"/>
      <c r="E270" s="16" t="str">
        <f>IFERROR(__xludf.DUMMYFUNCTION("""COMPUTED_VALUE"""),"20,000 storm and water damage to all enemies, 75% chance to summon 2 Eel Sharks if the battle is in water. ")</f>
        <v>20,000 storm and water damage to all enemies, 75% chance to summon 2 Eel Sharks if the battle is in water. </v>
      </c>
      <c r="F270" s="16" t="str">
        <f>IFERROR(__xludf.DUMMYFUNCTION("""COMPUTED_VALUE"""),"Hit/Miss")</f>
        <v>Hit/Miss</v>
      </c>
      <c r="G270" s="16">
        <f>IFERROR(__xludf.DUMMYFUNCTION("""COMPUTED_VALUE"""),1.0)</f>
        <v>1</v>
      </c>
      <c r="H270" s="16" t="str">
        <f>IFERROR(__xludf.DUMMYFUNCTION("""COMPUTED_VALUE"""),"Storm")</f>
        <v>Storm</v>
      </c>
    </row>
    <row r="271">
      <c r="A271" s="16" t="str">
        <f>IFERROR(__xludf.DUMMYFUNCTION("""COMPUTED_VALUE"""),"Elemental Storm")</f>
        <v>Elemental Storm</v>
      </c>
      <c r="B271" s="16">
        <f>IFERROR(__xludf.DUMMYFUNCTION("""COMPUTED_VALUE"""),9.0)</f>
        <v>9</v>
      </c>
      <c r="C271" s="16">
        <f>IFERROR(__xludf.DUMMYFUNCTION("""COMPUTED_VALUE"""),7200.0)</f>
        <v>7200</v>
      </c>
      <c r="D271" s="16"/>
      <c r="E271" s="16" t="str">
        <f>IFERROR(__xludf.DUMMYFUNCTION("""COMPUTED_VALUE"""),"20,000 fire, water, earth, light, dark, order, chaos, nature, and storm damage to all enemies.")</f>
        <v>20,000 fire, water, earth, light, dark, order, chaos, nature, and storm damage to all enemies.</v>
      </c>
      <c r="F271" s="16" t="str">
        <f>IFERROR(__xludf.DUMMYFUNCTION("""COMPUTED_VALUE"""),"Cannot Avoid")</f>
        <v>Cannot Avoid</v>
      </c>
      <c r="G271" s="16"/>
      <c r="H271" s="16" t="str">
        <f>IFERROR(__xludf.DUMMYFUNCTION("""COMPUTED_VALUE"""),"Storm")</f>
        <v>Storm</v>
      </c>
    </row>
    <row r="272">
      <c r="A272" s="16" t="str">
        <f>IFERROR(__xludf.DUMMYFUNCTION("""COMPUTED_VALUE"""),"Freezing Fog")</f>
        <v>Freezing Fog</v>
      </c>
      <c r="B272" s="16">
        <f>IFERROR(__xludf.DUMMYFUNCTION("""COMPUTED_VALUE"""),9.0)</f>
        <v>9</v>
      </c>
      <c r="C272" s="16">
        <f>IFERROR(__xludf.DUMMYFUNCTION("""COMPUTED_VALUE"""),300.0)</f>
        <v>300</v>
      </c>
      <c r="D272" s="16"/>
      <c r="E272" s="16" t="str">
        <f>IFERROR(__xludf.DUMMYFUNCTION("""COMPUTED_VALUE"""),"50% chance of freezing 1d6 enemies.")</f>
        <v>50% chance of freezing 1d6 enemies.</v>
      </c>
      <c r="F272" s="16" t="str">
        <f>IFERROR(__xludf.DUMMYFUNCTION("""COMPUTED_VALUE"""),"Will Succeed")</f>
        <v>Will Succeed</v>
      </c>
      <c r="G272" s="16" t="str">
        <f>IFERROR(__xludf.DUMMYFUNCTION("""COMPUTED_VALUE"""),"1d6")</f>
        <v>1d6</v>
      </c>
      <c r="H272" s="16" t="str">
        <f>IFERROR(__xludf.DUMMYFUNCTION("""COMPUTED_VALUE"""),"Storm")</f>
        <v>Storm</v>
      </c>
    </row>
    <row r="273">
      <c r="A273" s="16" t="str">
        <f>IFERROR(__xludf.DUMMYFUNCTION("""COMPUTED_VALUE"""),"Gust of Wind")</f>
        <v>Gust of Wind</v>
      </c>
      <c r="B273" s="16">
        <f>IFERROR(__xludf.DUMMYFUNCTION("""COMPUTED_VALUE"""),2.0)</f>
        <v>2</v>
      </c>
      <c r="C273" s="16">
        <f>IFERROR(__xludf.DUMMYFUNCTION("""COMPUTED_VALUE"""),80.0)</f>
        <v>80</v>
      </c>
      <c r="D273" s="16"/>
      <c r="E273" s="16" t="str">
        <f>IFERROR(__xludf.DUMMYFUNCTION("""COMPUTED_VALUE"""),"2000 storm damage to all enemies. 50% chance to remove those targets from battle.")</f>
        <v>2000 storm damage to all enemies. 50% chance to remove those targets from battle.</v>
      </c>
      <c r="F273" s="16" t="str">
        <f>IFERROR(__xludf.DUMMYFUNCTION("""COMPUTED_VALUE"""),"Cannot Avoid")</f>
        <v>Cannot Avoid</v>
      </c>
      <c r="G273" s="16" t="str">
        <f>IFERROR(__xludf.DUMMYFUNCTION("""COMPUTED_VALUE"""),"All")</f>
        <v>All</v>
      </c>
      <c r="H273" s="16" t="str">
        <f>IFERROR(__xludf.DUMMYFUNCTION("""COMPUTED_VALUE"""),"Storm")</f>
        <v>Storm</v>
      </c>
    </row>
    <row r="274">
      <c r="A274" s="16" t="str">
        <f>IFERROR(__xludf.DUMMYFUNCTION("""COMPUTED_VALUE"""),"Hurricane")</f>
        <v>Hurricane</v>
      </c>
      <c r="B274" s="16">
        <f>IFERROR(__xludf.DUMMYFUNCTION("""COMPUTED_VALUE"""),3.0)</f>
        <v>3</v>
      </c>
      <c r="C274" s="16" t="str">
        <f>IFERROR(__xludf.DUMMYFUNCTION("""COMPUTED_VALUE"""),"d12*20")</f>
        <v>d12*20</v>
      </c>
      <c r="D274" s="16"/>
      <c r="E274" s="16" t="str">
        <f>IFERROR(__xludf.DUMMYFUNCTION("""COMPUTED_VALUE"""),"The d12 roll times 500 is equal to the amount of Storm damage this spell does to all enemies. 25% chance to remove all enemies from battle.")</f>
        <v>The d12 roll times 500 is equal to the amount of Storm damage this spell does to all enemies. 25% chance to remove all enemies from battle.</v>
      </c>
      <c r="F274" s="16" t="str">
        <f>IFERROR(__xludf.DUMMYFUNCTION("""COMPUTED_VALUE"""),"Cannot Avoid")</f>
        <v>Cannot Avoid</v>
      </c>
      <c r="G274" s="16" t="str">
        <f>IFERROR(__xludf.DUMMYFUNCTION("""COMPUTED_VALUE"""),"All")</f>
        <v>All</v>
      </c>
      <c r="H274" s="16" t="str">
        <f>IFERROR(__xludf.DUMMYFUNCTION("""COMPUTED_VALUE"""),"Storm")</f>
        <v>Storm</v>
      </c>
    </row>
    <row r="275">
      <c r="A275" s="16" t="str">
        <f>IFERROR(__xludf.DUMMYFUNCTION("""COMPUTED_VALUE"""),"Lightning Strike")</f>
        <v>Lightning Strike</v>
      </c>
      <c r="B275" s="16">
        <f>IFERROR(__xludf.DUMMYFUNCTION("""COMPUTED_VALUE"""),1.0)</f>
        <v>1</v>
      </c>
      <c r="C275" s="16" t="str">
        <f>IFERROR(__xludf.DUMMYFUNCTION("""COMPUTED_VALUE"""),"X")</f>
        <v>X</v>
      </c>
      <c r="D275" s="16"/>
      <c r="E275" s="16" t="str">
        <f>IFERROR(__xludf.DUMMYFUNCTION("""COMPUTED_VALUE"""),"Deals X*100 Storm damage to a single enemy where X is equal to SP spent.")</f>
        <v>Deals X*100 Storm damage to a single enemy where X is equal to SP spent.</v>
      </c>
      <c r="F275" s="16" t="str">
        <f>IFERROR(__xludf.DUMMYFUNCTION("""COMPUTED_VALUE"""),"Hit/Miss")</f>
        <v>Hit/Miss</v>
      </c>
      <c r="G275" s="16">
        <f>IFERROR(__xludf.DUMMYFUNCTION("""COMPUTED_VALUE"""),1.0)</f>
        <v>1</v>
      </c>
      <c r="H275" s="16" t="str">
        <f>IFERROR(__xludf.DUMMYFUNCTION("""COMPUTED_VALUE"""),"Storm")</f>
        <v>Storm</v>
      </c>
    </row>
    <row r="276">
      <c r="A276" s="16" t="str">
        <f>IFERROR(__xludf.DUMMYFUNCTION("""COMPUTED_VALUE"""),"Mass Charge")</f>
        <v>Mass Charge</v>
      </c>
      <c r="B276" s="16">
        <f>IFERROR(__xludf.DUMMYFUNCTION("""COMPUTED_VALUE"""),6.0)</f>
        <v>6</v>
      </c>
      <c r="C276" s="16" t="str">
        <f>IFERROR(__xludf.DUMMYFUNCTION("""COMPUTED_VALUE"""),"X")</f>
        <v>X</v>
      </c>
      <c r="D276" s="16"/>
      <c r="E276" s="16" t="str">
        <f>IFERROR(__xludf.DUMMYFUNCTION("""COMPUTED_VALUE"""),"Deals X*10 Storm damage per round to all enemies for 3 rounds where X is equal to SP spent.")</f>
        <v>Deals X*10 Storm damage per round to all enemies for 3 rounds where X is equal to SP spent.</v>
      </c>
      <c r="F276" s="16" t="str">
        <f>IFERROR(__xludf.DUMMYFUNCTION("""COMPUTED_VALUE"""),"Cannot Avoid")</f>
        <v>Cannot Avoid</v>
      </c>
      <c r="G276" s="16" t="str">
        <f>IFERROR(__xludf.DUMMYFUNCTION("""COMPUTED_VALUE"""),"All")</f>
        <v>All</v>
      </c>
      <c r="H276" s="16" t="str">
        <f>IFERROR(__xludf.DUMMYFUNCTION("""COMPUTED_VALUE"""),"Storm")</f>
        <v>Storm</v>
      </c>
    </row>
    <row r="277">
      <c r="A277" s="16" t="str">
        <f>IFERROR(__xludf.DUMMYFUNCTION("""COMPUTED_VALUE"""),"Roaring Frost Winds")</f>
        <v>Roaring Frost Winds</v>
      </c>
      <c r="B277" s="16">
        <f>IFERROR(__xludf.DUMMYFUNCTION("""COMPUTED_VALUE"""),8.0)</f>
        <v>8</v>
      </c>
      <c r="C277" s="16">
        <f>IFERROR(__xludf.DUMMYFUNCTION("""COMPUTED_VALUE"""),560.0)</f>
        <v>560</v>
      </c>
      <c r="D277" s="16"/>
      <c r="E277" s="16" t="str">
        <f>IFERROR(__xludf.DUMMYFUNCTION("""COMPUTED_VALUE"""),"14,000 storm damage to all enemies, 50% chance to freeze all targets.")</f>
        <v>14,000 storm damage to all enemies, 50% chance to freeze all targets.</v>
      </c>
      <c r="F277" s="16" t="str">
        <f>IFERROR(__xludf.DUMMYFUNCTION("""COMPUTED_VALUE"""),"Cannot Avoid")</f>
        <v>Cannot Avoid</v>
      </c>
      <c r="G277" s="16"/>
      <c r="H277" s="16" t="str">
        <f>IFERROR(__xludf.DUMMYFUNCTION("""COMPUTED_VALUE"""),"Storm")</f>
        <v>Storm</v>
      </c>
    </row>
    <row r="278">
      <c r="A278" s="16" t="str">
        <f>IFERROR(__xludf.DUMMYFUNCTION("""COMPUTED_VALUE"""),"Shocking Strike")</f>
        <v>Shocking Strike</v>
      </c>
      <c r="B278" s="16">
        <f>IFERROR(__xludf.DUMMYFUNCTION("""COMPUTED_VALUE"""),6.0)</f>
        <v>6</v>
      </c>
      <c r="C278" s="16">
        <f>IFERROR(__xludf.DUMMYFUNCTION("""COMPUTED_VALUE"""),240.0)</f>
        <v>240</v>
      </c>
      <c r="D278" s="16"/>
      <c r="E278" s="16" t="str">
        <f>IFERROR(__xludf.DUMMYFUNCTION("""COMPUTED_VALUE"""),"6000 storm damage, Stun 3")</f>
        <v>6000 storm damage, Stun 3</v>
      </c>
      <c r="F278" s="16" t="str">
        <f>IFERROR(__xludf.DUMMYFUNCTION("""COMPUTED_VALUE"""),"Hit/Miss")</f>
        <v>Hit/Miss</v>
      </c>
      <c r="G278" s="16">
        <f>IFERROR(__xludf.DUMMYFUNCTION("""COMPUTED_VALUE"""),1.0)</f>
        <v>1</v>
      </c>
      <c r="H278" s="16" t="str">
        <f>IFERROR(__xludf.DUMMYFUNCTION("""COMPUTED_VALUE"""),"Storm")</f>
        <v>Storm</v>
      </c>
    </row>
    <row r="279">
      <c r="A279" s="16" t="str">
        <f>IFERROR(__xludf.DUMMYFUNCTION("""COMPUTED_VALUE"""),"Shocking Touch")</f>
        <v>Shocking Touch</v>
      </c>
      <c r="B279" s="16">
        <f>IFERROR(__xludf.DUMMYFUNCTION("""COMPUTED_VALUE"""),5.0)</f>
        <v>5</v>
      </c>
      <c r="C279" s="16" t="str">
        <f>IFERROR(__xludf.DUMMYFUNCTION("""COMPUTED_VALUE"""),"X")</f>
        <v>X</v>
      </c>
      <c r="D279" s="16"/>
      <c r="E279" s="16" t="str">
        <f>IFERROR(__xludf.DUMMYFUNCTION("""COMPUTED_VALUE"""),"Deals X*50 Storm damage per round for 3 rounds to a single target where X is equal to SP spent.")</f>
        <v>Deals X*50 Storm damage per round for 3 rounds to a single target where X is equal to SP spent.</v>
      </c>
      <c r="F279" s="16" t="str">
        <f>IFERROR(__xludf.DUMMYFUNCTION("""COMPUTED_VALUE"""),"Hit/Miss")</f>
        <v>Hit/Miss</v>
      </c>
      <c r="G279" s="16">
        <f>IFERROR(__xludf.DUMMYFUNCTION("""COMPUTED_VALUE"""),1.0)</f>
        <v>1</v>
      </c>
      <c r="H279" s="16" t="str">
        <f>IFERROR(__xludf.DUMMYFUNCTION("""COMPUTED_VALUE"""),"Storm")</f>
        <v>Storm</v>
      </c>
    </row>
    <row r="280">
      <c r="A280" s="16" t="str">
        <f>IFERROR(__xludf.DUMMYFUNCTION("""COMPUTED_VALUE"""),"Static Charge")</f>
        <v>Static Charge</v>
      </c>
      <c r="B280" s="16">
        <f>IFERROR(__xludf.DUMMYFUNCTION("""COMPUTED_VALUE"""),4.0)</f>
        <v>4</v>
      </c>
      <c r="C280" s="16" t="str">
        <f>IFERROR(__xludf.DUMMYFUNCTION("""COMPUTED_VALUE"""),"X")</f>
        <v>X</v>
      </c>
      <c r="D280" s="16"/>
      <c r="E280" s="16" t="str">
        <f>IFERROR(__xludf.DUMMYFUNCTION("""COMPUTED_VALUE"""),"Target gains X*4 Storm damage and X*4 Storm resistance, can’t be used on self.")</f>
        <v>Target gains X*4 Storm damage and X*4 Storm resistance, can’t be used on self.</v>
      </c>
      <c r="F280" s="16" t="str">
        <f>IFERROR(__xludf.DUMMYFUNCTION("""COMPUTED_VALUE"""),"Will Succeed")</f>
        <v>Will Succeed</v>
      </c>
      <c r="G280" s="16"/>
      <c r="H280" s="16" t="str">
        <f>IFERROR(__xludf.DUMMYFUNCTION("""COMPUTED_VALUE"""),"Storm")</f>
        <v>Storm</v>
      </c>
    </row>
    <row r="281">
      <c r="A281" s="16" t="str">
        <f>IFERROR(__xludf.DUMMYFUNCTION("""COMPUTED_VALUE"""),"Stun Negation")</f>
        <v>Stun Negation</v>
      </c>
      <c r="B281" s="16">
        <f>IFERROR(__xludf.DUMMYFUNCTION("""COMPUTED_VALUE"""),6.0)</f>
        <v>6</v>
      </c>
      <c r="C281" s="16">
        <f>IFERROR(__xludf.DUMMYFUNCTION("""COMPUTED_VALUE"""),60.0)</f>
        <v>60</v>
      </c>
      <c r="D281" s="16"/>
      <c r="E281" s="16" t="str">
        <f>IFERROR(__xludf.DUMMYFUNCTION("""COMPUTED_VALUE"""),"Negate the next 3 incoming stun attempts.")</f>
        <v>Negate the next 3 incoming stun attempts.</v>
      </c>
      <c r="F281" s="16" t="str">
        <f>IFERROR(__xludf.DUMMYFUNCTION("""COMPUTED_VALUE"""),"Fail/Succeed")</f>
        <v>Fail/Succeed</v>
      </c>
      <c r="G281" s="16"/>
      <c r="H281" s="16" t="str">
        <f>IFERROR(__xludf.DUMMYFUNCTION("""COMPUTED_VALUE"""),"Storm")</f>
        <v>Storm</v>
      </c>
    </row>
    <row r="282">
      <c r="A282" s="16" t="str">
        <f>IFERROR(__xludf.DUMMYFUNCTION("""COMPUTED_VALUE"""),"Stun Wave")</f>
        <v>Stun Wave</v>
      </c>
      <c r="B282" s="16">
        <f>IFERROR(__xludf.DUMMYFUNCTION("""COMPUTED_VALUE"""),1.0)</f>
        <v>1</v>
      </c>
      <c r="C282" s="16">
        <f>IFERROR(__xludf.DUMMYFUNCTION("""COMPUTED_VALUE"""),10.0)</f>
        <v>10</v>
      </c>
      <c r="D282" s="16"/>
      <c r="E282" s="16" t="str">
        <f>IFERROR(__xludf.DUMMYFUNCTION("""COMPUTED_VALUE"""),"Stun 3")</f>
        <v>Stun 3</v>
      </c>
      <c r="F282" s="16" t="str">
        <f>IFERROR(__xludf.DUMMYFUNCTION("""COMPUTED_VALUE"""),"Fail/Succeed")</f>
        <v>Fail/Succeed</v>
      </c>
      <c r="G282" s="16"/>
      <c r="H282" s="16" t="str">
        <f>IFERROR(__xludf.DUMMYFUNCTION("""COMPUTED_VALUE"""),"Storm")</f>
        <v>Storm</v>
      </c>
    </row>
    <row r="283">
      <c r="A283" s="16" t="str">
        <f>IFERROR(__xludf.DUMMYFUNCTION("""COMPUTED_VALUE"""),"Thunderstorm")</f>
        <v>Thunderstorm</v>
      </c>
      <c r="B283" s="16">
        <f>IFERROR(__xludf.DUMMYFUNCTION("""COMPUTED_VALUE"""),6.0)</f>
        <v>6</v>
      </c>
      <c r="C283" s="16">
        <f>IFERROR(__xludf.DUMMYFUNCTION("""COMPUTED_VALUE"""),60.0)</f>
        <v>60</v>
      </c>
      <c r="D283" s="16"/>
      <c r="E283" s="16" t="str">
        <f>IFERROR(__xludf.DUMMYFUNCTION("""COMPUTED_VALUE"""),"Changes the weather to Storming for 3 rounds, Self and allies deal an additional X2 Storm and Water damage for 3 rounds.")</f>
        <v>Changes the weather to Storming for 3 rounds, Self and allies deal an additional X2 Storm and Water damage for 3 rounds.</v>
      </c>
      <c r="F283" s="16" t="str">
        <f>IFERROR(__xludf.DUMMYFUNCTION("""COMPUTED_VALUE"""),"Will Succeed")</f>
        <v>Will Succeed</v>
      </c>
      <c r="G283" s="16"/>
      <c r="H283" s="16" t="str">
        <f>IFERROR(__xludf.DUMMYFUNCTION("""COMPUTED_VALUE"""),"Storm")</f>
        <v>Storm</v>
      </c>
    </row>
    <row r="284">
      <c r="A284" s="16" t="str">
        <f>IFERROR(__xludf.DUMMYFUNCTION("""COMPUTED_VALUE"""),"Tornado")</f>
        <v>Tornado</v>
      </c>
      <c r="B284" s="16">
        <f>IFERROR(__xludf.DUMMYFUNCTION("""COMPUTED_VALUE"""),3.0)</f>
        <v>3</v>
      </c>
      <c r="C284" s="16" t="str">
        <f>IFERROR(__xludf.DUMMYFUNCTION("""COMPUTED_VALUE"""),"d20*40")</f>
        <v>d20*40</v>
      </c>
      <c r="D284" s="16"/>
      <c r="E284" s="16" t="str">
        <f>IFERROR(__xludf.DUMMYFUNCTION("""COMPUTED_VALUE"""),"The d20 roll times 1000 is equal to the amount of Storm damage this spell does to all enemies. 25% chance to remove all enemies from battle.")</f>
        <v>The d20 roll times 1000 is equal to the amount of Storm damage this spell does to all enemies. 25% chance to remove all enemies from battle.</v>
      </c>
      <c r="F284" s="16" t="str">
        <f>IFERROR(__xludf.DUMMYFUNCTION("""COMPUTED_VALUE"""),"Cannot Avoid")</f>
        <v>Cannot Avoid</v>
      </c>
      <c r="G284" s="16" t="str">
        <f>IFERROR(__xludf.DUMMYFUNCTION("""COMPUTED_VALUE"""),"All")</f>
        <v>All</v>
      </c>
      <c r="H284" s="16" t="str">
        <f>IFERROR(__xludf.DUMMYFUNCTION("""COMPUTED_VALUE"""),"Storm")</f>
        <v>Storm</v>
      </c>
    </row>
    <row r="285">
      <c r="A285" s="16" t="str">
        <f>IFERROR(__xludf.DUMMYFUNCTION("""COMPUTED_VALUE"""),"Tower Of Storm")</f>
        <v>Tower Of Storm</v>
      </c>
      <c r="B285" s="16">
        <f>IFERROR(__xludf.DUMMYFUNCTION("""COMPUTED_VALUE"""),9.0)</f>
        <v>9</v>
      </c>
      <c r="C285" s="16">
        <f>IFERROR(__xludf.DUMMYFUNCTION("""COMPUTED_VALUE"""),300.0)</f>
        <v>300</v>
      </c>
      <c r="D285" s="16"/>
      <c r="E285" s="16" t="str">
        <f>IFERROR(__xludf.DUMMYFUNCTION("""COMPUTED_VALUE"""),"X4 additional storm damage for caster and allies. Plus Storm Immunity to caster only for 3 rounds.")</f>
        <v>X4 additional storm damage for caster and allies. Plus Storm Immunity to caster only for 3 rounds.</v>
      </c>
      <c r="F285" s="16" t="str">
        <f>IFERROR(__xludf.DUMMYFUNCTION("""COMPUTED_VALUE"""),"Fail/Succeed")</f>
        <v>Fail/Succeed</v>
      </c>
      <c r="G285" s="16"/>
      <c r="H285" s="16" t="str">
        <f>IFERROR(__xludf.DUMMYFUNCTION("""COMPUTED_VALUE"""),"Storm")</f>
        <v>Storm</v>
      </c>
    </row>
    <row r="286">
      <c r="A286" s="16" t="str">
        <f>IFERROR(__xludf.DUMMYFUNCTION("""COMPUTED_VALUE"""),"Danse Macabre")</f>
        <v>Danse Macabre</v>
      </c>
      <c r="B286" s="16">
        <f>IFERROR(__xludf.DUMMYFUNCTION("""COMPUTED_VALUE"""),6.0)</f>
        <v>6</v>
      </c>
      <c r="C286" s="16" t="str">
        <f>IFERROR(__xludf.DUMMYFUNCTION("""COMPUTED_VALUE"""),"X")</f>
        <v>X</v>
      </c>
      <c r="D286" s="16"/>
      <c r="E286" s="16" t="str">
        <f>IFERROR(__xludf.DUMMYFUNCTION("""COMPUTED_VALUE"""),"Deals X*5 Light and X*5 Dark damage per round to all enemies for 3 rounds where X is equal to SP spent.")</f>
        <v>Deals X*5 Light and X*5 Dark damage per round to all enemies for 3 rounds where X is equal to SP spent.</v>
      </c>
      <c r="F286" s="16" t="str">
        <f>IFERROR(__xludf.DUMMYFUNCTION("""COMPUTED_VALUE"""),"Cannot Avoid")</f>
        <v>Cannot Avoid</v>
      </c>
      <c r="G286" s="16" t="str">
        <f>IFERROR(__xludf.DUMMYFUNCTION("""COMPUTED_VALUE"""),"All")</f>
        <v>All</v>
      </c>
      <c r="H286" s="16" t="str">
        <f>IFERROR(__xludf.DUMMYFUNCTION("""COMPUTED_VALUE"""),"Twilight")</f>
        <v>Twilight</v>
      </c>
    </row>
    <row r="287">
      <c r="A287" s="16" t="str">
        <f>IFERROR(__xludf.DUMMYFUNCTION("""COMPUTED_VALUE"""),"Lash of Twilight")</f>
        <v>Lash of Twilight</v>
      </c>
      <c r="B287" s="16">
        <f>IFERROR(__xludf.DUMMYFUNCTION("""COMPUTED_VALUE"""),1.0)</f>
        <v>1</v>
      </c>
      <c r="C287" s="16" t="str">
        <f>IFERROR(__xludf.DUMMYFUNCTION("""COMPUTED_VALUE"""),"X")</f>
        <v>X</v>
      </c>
      <c r="D287" s="16"/>
      <c r="E287" s="16" t="str">
        <f>IFERROR(__xludf.DUMMYFUNCTION("""COMPUTED_VALUE"""),"Deals X*50 Light and X*50 Dark damage to a single enemy where X is equal to SP spent.")</f>
        <v>Deals X*50 Light and X*50 Dark damage to a single enemy where X is equal to SP spent.</v>
      </c>
      <c r="F287" s="16" t="str">
        <f>IFERROR(__xludf.DUMMYFUNCTION("""COMPUTED_VALUE"""),"Hit/Miss")</f>
        <v>Hit/Miss</v>
      </c>
      <c r="G287" s="16">
        <f>IFERROR(__xludf.DUMMYFUNCTION("""COMPUTED_VALUE"""),1.0)</f>
        <v>1</v>
      </c>
      <c r="H287" s="16" t="str">
        <f>IFERROR(__xludf.DUMMYFUNCTION("""COMPUTED_VALUE"""),"Twilight")</f>
        <v>Twilight</v>
      </c>
    </row>
    <row r="288">
      <c r="A288" s="16" t="str">
        <f>IFERROR(__xludf.DUMMYFUNCTION("""COMPUTED_VALUE"""),"Searing Twilight")</f>
        <v>Searing Twilight</v>
      </c>
      <c r="B288" s="16">
        <f>IFERROR(__xludf.DUMMYFUNCTION("""COMPUTED_VALUE"""),5.0)</f>
        <v>5</v>
      </c>
      <c r="C288" s="16" t="str">
        <f>IFERROR(__xludf.DUMMYFUNCTION("""COMPUTED_VALUE"""),"X")</f>
        <v>X</v>
      </c>
      <c r="D288" s="16"/>
      <c r="E288" s="16" t="str">
        <f>IFERROR(__xludf.DUMMYFUNCTION("""COMPUTED_VALUE"""),"Deals X*25 Light and X*25 Dark damage per round for 3 rounds to a single target where X is equal to SP spent.")</f>
        <v>Deals X*25 Light and X*25 Dark damage per round for 3 rounds to a single target where X is equal to SP spent.</v>
      </c>
      <c r="F288" s="16" t="str">
        <f>IFERROR(__xludf.DUMMYFUNCTION("""COMPUTED_VALUE"""),"Hit/Miss")</f>
        <v>Hit/Miss</v>
      </c>
      <c r="G288" s="16">
        <f>IFERROR(__xludf.DUMMYFUNCTION("""COMPUTED_VALUE"""),1.0)</f>
        <v>1</v>
      </c>
      <c r="H288" s="16" t="str">
        <f>IFERROR(__xludf.DUMMYFUNCTION("""COMPUTED_VALUE"""),"Twilight")</f>
        <v>Twilight</v>
      </c>
    </row>
    <row r="289">
      <c r="A289" s="16" t="str">
        <f>IFERROR(__xludf.DUMMYFUNCTION("""COMPUTED_VALUE"""),"The Setting Sun")</f>
        <v>The Setting Sun</v>
      </c>
      <c r="B289" s="16">
        <f>IFERROR(__xludf.DUMMYFUNCTION("""COMPUTED_VALUE"""),5.0)</f>
        <v>5</v>
      </c>
      <c r="C289" s="16" t="str">
        <f>IFERROR(__xludf.DUMMYFUNCTION("""COMPUTED_VALUE"""),"X")</f>
        <v>X</v>
      </c>
      <c r="D289" s="16"/>
      <c r="E289" s="16" t="str">
        <f>IFERROR(__xludf.DUMMYFUNCTION("""COMPUTED_VALUE"""),"Deals X*15 Light and X*15 Dark damage to all enemies where X is equal to SP spent.")</f>
        <v>Deals X*15 Light and X*15 Dark damage to all enemies where X is equal to SP spent.</v>
      </c>
      <c r="F289" s="16" t="str">
        <f>IFERROR(__xludf.DUMMYFUNCTION("""COMPUTED_VALUE"""),"Cannot Avoid")</f>
        <v>Cannot Avoid</v>
      </c>
      <c r="G289" s="16" t="str">
        <f>IFERROR(__xludf.DUMMYFUNCTION("""COMPUTED_VALUE"""),"All")</f>
        <v>All</v>
      </c>
      <c r="H289" s="16" t="str">
        <f>IFERROR(__xludf.DUMMYFUNCTION("""COMPUTED_VALUE"""),"Twilight")</f>
        <v>Twilight</v>
      </c>
    </row>
    <row r="290">
      <c r="A290" s="16" t="str">
        <f>IFERROR(__xludf.DUMMYFUNCTION("""COMPUTED_VALUE"""),"Twilight Masquerade")</f>
        <v>Twilight Masquerade</v>
      </c>
      <c r="B290" s="16">
        <f>IFERROR(__xludf.DUMMYFUNCTION("""COMPUTED_VALUE"""),9.0)</f>
        <v>9</v>
      </c>
      <c r="C290" s="16">
        <f>IFERROR(__xludf.DUMMYFUNCTION("""COMPUTED_VALUE"""),1000.0)</f>
        <v>1000</v>
      </c>
      <c r="D290" s="16"/>
      <c r="E290" s="16" t="str">
        <f>IFERROR(__xludf.DUMMYFUNCTION("""COMPUTED_VALUE"""),"Become Immune to attacks for 3 rounds.")</f>
        <v>Become Immune to attacks for 3 rounds.</v>
      </c>
      <c r="F290" s="16" t="str">
        <f>IFERROR(__xludf.DUMMYFUNCTION("""COMPUTED_VALUE"""),"Fail/Succeed")</f>
        <v>Fail/Succeed</v>
      </c>
      <c r="G290" s="16"/>
      <c r="H290" s="16" t="str">
        <f>IFERROR(__xludf.DUMMYFUNCTION("""COMPUTED_VALUE"""),"Twilight")</f>
        <v>Twilight</v>
      </c>
    </row>
    <row r="291">
      <c r="A291" s="16" t="str">
        <f>IFERROR(__xludf.DUMMYFUNCTION("""COMPUTED_VALUE"""),"Twilight Shield")</f>
        <v>Twilight Shield</v>
      </c>
      <c r="B291" s="16">
        <f>IFERROR(__xludf.DUMMYFUNCTION("""COMPUTED_VALUE"""),5.0)</f>
        <v>5</v>
      </c>
      <c r="C291" s="16">
        <f>IFERROR(__xludf.DUMMYFUNCTION("""COMPUTED_VALUE"""),50.0)</f>
        <v>50</v>
      </c>
      <c r="D291" s="16"/>
      <c r="E291" s="16" t="str">
        <f>IFERROR(__xludf.DUMMYFUNCTION("""COMPUTED_VALUE""")," X2 def, gives immunity to dark and light for self")</f>
        <v> X2 def, gives immunity to dark and light for self</v>
      </c>
      <c r="F291" s="16" t="str">
        <f>IFERROR(__xludf.DUMMYFUNCTION("""COMPUTED_VALUE"""),"Will Succeed")</f>
        <v>Will Succeed</v>
      </c>
      <c r="G291" s="16"/>
      <c r="H291" s="16" t="str">
        <f>IFERROR(__xludf.DUMMYFUNCTION("""COMPUTED_VALUE"""),"Twilight")</f>
        <v>Twilight</v>
      </c>
    </row>
    <row r="292">
      <c r="A292" s="16" t="str">
        <f>IFERROR(__xludf.DUMMYFUNCTION("""COMPUTED_VALUE"""),"Twilight Transformation")</f>
        <v>Twilight Transformation</v>
      </c>
      <c r="B292" s="16">
        <f>IFERROR(__xludf.DUMMYFUNCTION("""COMPUTED_VALUE"""),8.0)</f>
        <v>8</v>
      </c>
      <c r="C292" s="16">
        <f>IFERROR(__xludf.DUMMYFUNCTION("""COMPUTED_VALUE"""),200.0)</f>
        <v>200</v>
      </c>
      <c r="D292" s="16"/>
      <c r="E292" s="16" t="str">
        <f>IFERROR(__xludf.DUMMYFUNCTION("""COMPUTED_VALUE"""),"Grants X4 light and dark damage to twilight spells and weapons for the caster until end of battle.")</f>
        <v>Grants X4 light and dark damage to twilight spells and weapons for the caster until end of battle.</v>
      </c>
      <c r="F292" s="16" t="str">
        <f>IFERROR(__xludf.DUMMYFUNCTION("""COMPUTED_VALUE"""),"Will Succeed")</f>
        <v>Will Succeed</v>
      </c>
      <c r="G292" s="16"/>
      <c r="H292" s="16" t="str">
        <f>IFERROR(__xludf.DUMMYFUNCTION("""COMPUTED_VALUE"""),"Twilight")</f>
        <v>Twilight</v>
      </c>
    </row>
    <row r="293">
      <c r="A293" s="16" t="str">
        <f>IFERROR(__xludf.DUMMYFUNCTION("""COMPUTED_VALUE"""),"1000 Poisons Body")</f>
        <v>1000 Poisons Body</v>
      </c>
      <c r="B293" s="16">
        <f>IFERROR(__xludf.DUMMYFUNCTION("""COMPUTED_VALUE"""),8.0)</f>
        <v>8</v>
      </c>
      <c r="C293" s="16">
        <f>IFERROR(__xludf.DUMMYFUNCTION("""COMPUTED_VALUE"""),500.0)</f>
        <v>500</v>
      </c>
      <c r="D293" s="16"/>
      <c r="E293" s="16" t="str">
        <f>IFERROR(__xludf.DUMMYFUNCTION("""COMPUTED_VALUE"""),"Unleashes a torrent of diseases and poisons upon your body in an attempt to negate any effects invading your body roll a d20 without any roll bonuses, 1-10 you fail and the 1000 poisons begin to tear your body apart dealing 50,000 poison damage per turn u"&amp;"ntil you die. 11-20 the poisons balance in your body causing you to become temporarily immune to all status effects and possession for 3 turns")</f>
        <v>Unleashes a torrent of diseases and poisons upon your body in an attempt to negate any effects invading your body roll a d20 without any roll bonuses, 1-10 you fail and the 1000 poisons begin to tear your body apart dealing 50,000 poison damage per turn until you die. 11-20 the poisons balance in your body causing you to become temporarily immune to all status effects and possession for 3 turns</v>
      </c>
      <c r="F293" s="16" t="str">
        <f>IFERROR(__xludf.DUMMYFUNCTION("""COMPUTED_VALUE"""),"Will Succeed")</f>
        <v>Will Succeed</v>
      </c>
      <c r="G293" s="16" t="str">
        <f>IFERROR(__xludf.DUMMYFUNCTION("""COMPUTED_VALUE"""),"Self")</f>
        <v>Self</v>
      </c>
      <c r="H293" s="16" t="str">
        <f>IFERROR(__xludf.DUMMYFUNCTION("""COMPUTED_VALUE"""),"Voodoo")</f>
        <v>Voodoo</v>
      </c>
    </row>
    <row r="294">
      <c r="A294" s="16" t="str">
        <f>IFERROR(__xludf.DUMMYFUNCTION("""COMPUTED_VALUE"""),"Banish")</f>
        <v>Banish</v>
      </c>
      <c r="B294" s="16">
        <f>IFERROR(__xludf.DUMMYFUNCTION("""COMPUTED_VALUE"""),9.0)</f>
        <v>9</v>
      </c>
      <c r="C294" s="16">
        <f>IFERROR(__xludf.DUMMYFUNCTION("""COMPUTED_VALUE"""),2000.0)</f>
        <v>2000</v>
      </c>
      <c r="D294" s="16"/>
      <c r="E294" s="16" t="str">
        <f>IFERROR(__xludf.DUMMYFUNCTION("""COMPUTED_VALUE"""),"Banish 1 target.")</f>
        <v>Banish 1 target.</v>
      </c>
      <c r="F294" s="16" t="str">
        <f>IFERROR(__xludf.DUMMYFUNCTION("""COMPUTED_VALUE"""),"Fail/succeed")</f>
        <v>Fail/succeed</v>
      </c>
      <c r="G294" s="16"/>
      <c r="H294" s="16" t="str">
        <f>IFERROR(__xludf.DUMMYFUNCTION("""COMPUTED_VALUE"""),"Voodoo")</f>
        <v>Voodoo</v>
      </c>
    </row>
    <row r="295">
      <c r="A295" s="16" t="str">
        <f>IFERROR(__xludf.DUMMYFUNCTION("""COMPUTED_VALUE"""),"Blast of Despair")</f>
        <v>Blast of Despair</v>
      </c>
      <c r="B295" s="16">
        <f>IFERROR(__xludf.DUMMYFUNCTION("""COMPUTED_VALUE"""),6.0)</f>
        <v>6</v>
      </c>
      <c r="C295" s="16" t="str">
        <f>IFERROR(__xludf.DUMMYFUNCTION("""COMPUTED_VALUE"""),"X")</f>
        <v>X</v>
      </c>
      <c r="D295" s="16"/>
      <c r="E295" s="16" t="str">
        <f>IFERROR(__xludf.DUMMYFUNCTION("""COMPUTED_VALUE"""),"X*33 voodoo, X*33 dark, and X*33 chaos damage to one target where X is equal to SP spent knocks back an enemy 3 tiles away from you.")</f>
        <v>X*33 voodoo, X*33 dark, and X*33 chaos damage to one target where X is equal to SP spent knocks back an enemy 3 tiles away from you.</v>
      </c>
      <c r="F295" s="16" t="str">
        <f>IFERROR(__xludf.DUMMYFUNCTION("""COMPUTED_VALUE"""),"Hit/Miss")</f>
        <v>Hit/Miss</v>
      </c>
      <c r="G295" s="16">
        <f>IFERROR(__xludf.DUMMYFUNCTION("""COMPUTED_VALUE"""),1.0)</f>
        <v>1</v>
      </c>
      <c r="H295" s="16" t="str">
        <f>IFERROR(__xludf.DUMMYFUNCTION("""COMPUTED_VALUE"""),"Voodoo")</f>
        <v>Voodoo</v>
      </c>
    </row>
    <row r="296">
      <c r="A296" s="16" t="str">
        <f>IFERROR(__xludf.DUMMYFUNCTION("""COMPUTED_VALUE"""),"Contagion")</f>
        <v>Contagion</v>
      </c>
      <c r="B296" s="16">
        <f>IFERROR(__xludf.DUMMYFUNCTION("""COMPUTED_VALUE"""),5.0)</f>
        <v>5</v>
      </c>
      <c r="C296" s="16">
        <f>IFERROR(__xludf.DUMMYFUNCTION("""COMPUTED_VALUE"""),100.0)</f>
        <v>100</v>
      </c>
      <c r="D296" s="16"/>
      <c r="E296" s="16" t="str">
        <f>IFERROR(__xludf.DUMMYFUNCTION("""COMPUTED_VALUE"""),"Unleashes a Plague onto the Battlefield Infecting all enemies causing them to take Poison 5000 for 3 rounds")</f>
        <v>Unleashes a Plague onto the Battlefield Infecting all enemies causing them to take Poison 5000 for 3 rounds</v>
      </c>
      <c r="F296" s="16" t="str">
        <f>IFERROR(__xludf.DUMMYFUNCTION("""COMPUTED_VALUE"""),"Fail/Succeed")</f>
        <v>Fail/Succeed</v>
      </c>
      <c r="G296" s="16" t="str">
        <f>IFERROR(__xludf.DUMMYFUNCTION("""COMPUTED_VALUE"""),"All")</f>
        <v>All</v>
      </c>
      <c r="H296" s="16" t="str">
        <f>IFERROR(__xludf.DUMMYFUNCTION("""COMPUTED_VALUE"""),"Voodoo")</f>
        <v>Voodoo</v>
      </c>
    </row>
    <row r="297">
      <c r="A297" s="16" t="str">
        <f>IFERROR(__xludf.DUMMYFUNCTION("""COMPUTED_VALUE"""),"End The Voodoo Contract")</f>
        <v>End The Voodoo Contract</v>
      </c>
      <c r="B297" s="16">
        <f>IFERROR(__xludf.DUMMYFUNCTION("""COMPUTED_VALUE"""),9.0)</f>
        <v>9</v>
      </c>
      <c r="C297" s="16">
        <f>IFERROR(__xludf.DUMMYFUNCTION("""COMPUTED_VALUE"""),500.0)</f>
        <v>500</v>
      </c>
      <c r="D297" s="16"/>
      <c r="E297" s="16" t="str">
        <f>IFERROR(__xludf.DUMMYFUNCTION("""COMPUTED_VALUE"""),"Caster dies and the target dies too.")</f>
        <v>Caster dies and the target dies too.</v>
      </c>
      <c r="F297" s="16" t="str">
        <f>IFERROR(__xludf.DUMMYFUNCTION("""COMPUTED_VALUE"""),"Fail/Succeed")</f>
        <v>Fail/Succeed</v>
      </c>
      <c r="G297" s="16"/>
      <c r="H297" s="16" t="str">
        <f>IFERROR(__xludf.DUMMYFUNCTION("""COMPUTED_VALUE"""),"Voodoo")</f>
        <v>Voodoo</v>
      </c>
    </row>
    <row r="298">
      <c r="A298" s="16" t="str">
        <f>IFERROR(__xludf.DUMMYFUNCTION("""COMPUTED_VALUE"""),"Enrapture")</f>
        <v>Enrapture</v>
      </c>
      <c r="B298" s="16">
        <f>IFERROR(__xludf.DUMMYFUNCTION("""COMPUTED_VALUE"""),7.0)</f>
        <v>7</v>
      </c>
      <c r="C298" s="16">
        <f>IFERROR(__xludf.DUMMYFUNCTION("""COMPUTED_VALUE"""),300.0)</f>
        <v>300</v>
      </c>
      <c r="D298" s="16"/>
      <c r="E298" s="16" t="str">
        <f>IFERROR(__xludf.DUMMYFUNCTION("""COMPUTED_VALUE"""),"Turn 1 enemy undead and recruit them to the caster's side. Does not work against Undead, Spirits, and Constructs.")</f>
        <v>Turn 1 enemy undead and recruit them to the caster's side. Does not work against Undead, Spirits, and Constructs.</v>
      </c>
      <c r="F298" s="16" t="str">
        <f>IFERROR(__xludf.DUMMYFUNCTION("""COMPUTED_VALUE"""),"Fail/Succeed")</f>
        <v>Fail/Succeed</v>
      </c>
      <c r="G298" s="16"/>
      <c r="H298" s="16" t="str">
        <f>IFERROR(__xludf.DUMMYFUNCTION("""COMPUTED_VALUE"""),"Voodoo")</f>
        <v>Voodoo</v>
      </c>
    </row>
    <row r="299">
      <c r="A299" s="16" t="str">
        <f>IFERROR(__xludf.DUMMYFUNCTION("""COMPUTED_VALUE"""),"Good Fortune")</f>
        <v>Good Fortune</v>
      </c>
      <c r="B299" s="16">
        <f>IFERROR(__xludf.DUMMYFUNCTION("""COMPUTED_VALUE"""),5.0)</f>
        <v>5</v>
      </c>
      <c r="C299" s="16">
        <f>IFERROR(__xludf.DUMMYFUNCTION("""COMPUTED_VALUE"""),50.0)</f>
        <v>50</v>
      </c>
      <c r="D299" s="16"/>
      <c r="E299" s="16" t="str">
        <f>IFERROR(__xludf.DUMMYFUNCTION("""COMPUTED_VALUE"""),"25% chance to gain an extra loot roll. You must activate this effect before the end of battle.")</f>
        <v>25% chance to gain an extra loot roll. You must activate this effect before the end of battle.</v>
      </c>
      <c r="F299" s="16" t="str">
        <f>IFERROR(__xludf.DUMMYFUNCTION("""COMPUTED_VALUE"""),"Will Succeed")</f>
        <v>Will Succeed</v>
      </c>
      <c r="G299" s="16"/>
      <c r="H299" s="16" t="str">
        <f>IFERROR(__xludf.DUMMYFUNCTION("""COMPUTED_VALUE"""),"Voodoo")</f>
        <v>Voodoo</v>
      </c>
    </row>
    <row r="300">
      <c r="A300" s="16" t="str">
        <f>IFERROR(__xludf.DUMMYFUNCTION("""COMPUTED_VALUE"""),"Hex")</f>
        <v>Hex</v>
      </c>
      <c r="B300" s="16">
        <f>IFERROR(__xludf.DUMMYFUNCTION("""COMPUTED_VALUE"""),5.0)</f>
        <v>5</v>
      </c>
      <c r="C300" s="16" t="str">
        <f>IFERROR(__xludf.DUMMYFUNCTION("""COMPUTED_VALUE"""),"X")</f>
        <v>X</v>
      </c>
      <c r="D300" s="16"/>
      <c r="E300" s="16" t="str">
        <f>IFERROR(__xludf.DUMMYFUNCTION("""COMPUTED_VALUE"""),"Deals X*50 Voodoo damage per round for 3 rounds to a single target where X is equal to SP spent.")</f>
        <v>Deals X*50 Voodoo damage per round for 3 rounds to a single target where X is equal to SP spent.</v>
      </c>
      <c r="F300" s="16" t="str">
        <f>IFERROR(__xludf.DUMMYFUNCTION("""COMPUTED_VALUE"""),"Hit/Miss")</f>
        <v>Hit/Miss</v>
      </c>
      <c r="G300" s="16">
        <f>IFERROR(__xludf.DUMMYFUNCTION("""COMPUTED_VALUE"""),1.0)</f>
        <v>1</v>
      </c>
      <c r="H300" s="16" t="str">
        <f>IFERROR(__xludf.DUMMYFUNCTION("""COMPUTED_VALUE"""),"Voodoo")</f>
        <v>Voodoo</v>
      </c>
    </row>
    <row r="301">
      <c r="A301" s="16" t="str">
        <f>IFERROR(__xludf.DUMMYFUNCTION("""COMPUTED_VALUE"""),"Hex With Bad Luck")</f>
        <v>Hex With Bad Luck</v>
      </c>
      <c r="B301" s="16">
        <f>IFERROR(__xludf.DUMMYFUNCTION("""COMPUTED_VALUE"""),1.0)</f>
        <v>1</v>
      </c>
      <c r="C301" s="16">
        <f>IFERROR(__xludf.DUMMYFUNCTION("""COMPUTED_VALUE"""),10.0)</f>
        <v>10</v>
      </c>
      <c r="D301" s="16"/>
      <c r="E301" s="16" t="str">
        <f>IFERROR(__xludf.DUMMYFUNCTION("""COMPUTED_VALUE"""),"Target Halfs their d20 rolls for 3 rounds")</f>
        <v>Target Halfs their d20 rolls for 3 rounds</v>
      </c>
      <c r="F301" s="16" t="str">
        <f>IFERROR(__xludf.DUMMYFUNCTION("""COMPUTED_VALUE"""),"Fail/Succeed")</f>
        <v>Fail/Succeed</v>
      </c>
      <c r="G301" s="16"/>
      <c r="H301" s="16" t="str">
        <f>IFERROR(__xludf.DUMMYFUNCTION("""COMPUTED_VALUE"""),"Voodoo")</f>
        <v>Voodoo</v>
      </c>
    </row>
    <row r="302">
      <c r="A302" s="16" t="str">
        <f>IFERROR(__xludf.DUMMYFUNCTION("""COMPUTED_VALUE"""),"Last Chance")</f>
        <v>Last Chance</v>
      </c>
      <c r="B302" s="16">
        <f>IFERROR(__xludf.DUMMYFUNCTION("""COMPUTED_VALUE"""),5.0)</f>
        <v>5</v>
      </c>
      <c r="C302" s="16">
        <f>IFERROR(__xludf.DUMMYFUNCTION("""COMPUTED_VALUE"""),200.0)</f>
        <v>200</v>
      </c>
      <c r="D302" s="16"/>
      <c r="E302" s="16" t="str">
        <f>IFERROR(__xludf.DUMMYFUNCTION("""COMPUTED_VALUE"""),"1d2 enemies cannot use spells for 3 rounds.")</f>
        <v>1d2 enemies cannot use spells for 3 rounds.</v>
      </c>
      <c r="F302" s="16" t="str">
        <f>IFERROR(__xludf.DUMMYFUNCTION("""COMPUTED_VALUE"""),"Fail or Succeed")</f>
        <v>Fail or Succeed</v>
      </c>
      <c r="G302" s="16" t="str">
        <f>IFERROR(__xludf.DUMMYFUNCTION("""COMPUTED_VALUE"""),"1 or 2")</f>
        <v>1 or 2</v>
      </c>
      <c r="H302" s="16" t="str">
        <f>IFERROR(__xludf.DUMMYFUNCTION("""COMPUTED_VALUE"""),"Voodoo")</f>
        <v>Voodoo</v>
      </c>
    </row>
    <row r="303">
      <c r="A303" s="16" t="str">
        <f>IFERROR(__xludf.DUMMYFUNCTION("""COMPUTED_VALUE"""),"Last Gamble")</f>
        <v>Last Gamble</v>
      </c>
      <c r="B303" s="16">
        <f>IFERROR(__xludf.DUMMYFUNCTION("""COMPUTED_VALUE"""),9.0)</f>
        <v>9</v>
      </c>
      <c r="C303" s="16">
        <f>IFERROR(__xludf.DUMMYFUNCTION("""COMPUTED_VALUE"""),1000.0)</f>
        <v>1000</v>
      </c>
      <c r="D303" s="16"/>
      <c r="E303" s="16" t="str">
        <f>IFERROR(__xludf.DUMMYFUNCTION("""COMPUTED_VALUE"""),"All enemies Cannot use any spells for the rest of the battle.")</f>
        <v>All enemies Cannot use any spells for the rest of the battle.</v>
      </c>
      <c r="F303" s="16" t="str">
        <f>IFERROR(__xludf.DUMMYFUNCTION("""COMPUTED_VALUE"""),"Fail/Succeed")</f>
        <v>Fail/Succeed</v>
      </c>
      <c r="G303" s="16"/>
      <c r="H303" s="16" t="str">
        <f>IFERROR(__xludf.DUMMYFUNCTION("""COMPUTED_VALUE"""),"Voodoo")</f>
        <v>Voodoo</v>
      </c>
    </row>
    <row r="304">
      <c r="A304" s="16" t="str">
        <f>IFERROR(__xludf.DUMMYFUNCTION("""COMPUTED_VALUE"""),"Mass Hex")</f>
        <v>Mass Hex</v>
      </c>
      <c r="B304" s="16">
        <f>IFERROR(__xludf.DUMMYFUNCTION("""COMPUTED_VALUE"""),6.0)</f>
        <v>6</v>
      </c>
      <c r="C304" s="16" t="str">
        <f>IFERROR(__xludf.DUMMYFUNCTION("""COMPUTED_VALUE"""),"X")</f>
        <v>X</v>
      </c>
      <c r="D304" s="16"/>
      <c r="E304" s="16" t="str">
        <f>IFERROR(__xludf.DUMMYFUNCTION("""COMPUTED_VALUE"""),"Deals X*10 Voodoo damage per round to all enemies for 3 rounds where X is equal to SP spent.")</f>
        <v>Deals X*10 Voodoo damage per round to all enemies for 3 rounds where X is equal to SP spent.</v>
      </c>
      <c r="F304" s="16" t="str">
        <f>IFERROR(__xludf.DUMMYFUNCTION("""COMPUTED_VALUE"""),"Cannot Avoid")</f>
        <v>Cannot Avoid</v>
      </c>
      <c r="G304" s="16" t="str">
        <f>IFERROR(__xludf.DUMMYFUNCTION("""COMPUTED_VALUE"""),"All")</f>
        <v>All</v>
      </c>
      <c r="H304" s="16" t="str">
        <f>IFERROR(__xludf.DUMMYFUNCTION("""COMPUTED_VALUE"""),"Voodoo")</f>
        <v>Voodoo</v>
      </c>
    </row>
    <row r="305">
      <c r="A305" s="16" t="str">
        <f>IFERROR(__xludf.DUMMYFUNCTION("""COMPUTED_VALUE"""),"Multi Banishment")</f>
        <v>Multi Banishment</v>
      </c>
      <c r="B305" s="16">
        <f>IFERROR(__xludf.DUMMYFUNCTION("""COMPUTED_VALUE"""),9.0)</f>
        <v>9</v>
      </c>
      <c r="C305" s="16" t="str">
        <f>IFERROR(__xludf.DUMMYFUNCTION("""COMPUTED_VALUE"""),"X*2000")</f>
        <v>X*2000</v>
      </c>
      <c r="D305" s="16"/>
      <c r="E305" s="16" t="str">
        <f>IFERROR(__xludf.DUMMYFUNCTION("""COMPUTED_VALUE"""),"Banish up to 5 targets.")</f>
        <v>Banish up to 5 targets.</v>
      </c>
      <c r="F305" s="16" t="str">
        <f>IFERROR(__xludf.DUMMYFUNCTION("""COMPUTED_VALUE"""),"Fail/succeed")</f>
        <v>Fail/succeed</v>
      </c>
      <c r="G305" s="16"/>
      <c r="H305" s="16" t="str">
        <f>IFERROR(__xludf.DUMMYFUNCTION("""COMPUTED_VALUE"""),"Voodoo")</f>
        <v>Voodoo</v>
      </c>
    </row>
    <row r="306">
      <c r="A306" s="16" t="str">
        <f>IFERROR(__xludf.DUMMYFUNCTION("""COMPUTED_VALUE"""),"Mutagen")</f>
        <v>Mutagen</v>
      </c>
      <c r="B306" s="16">
        <f>IFERROR(__xludf.DUMMYFUNCTION("""COMPUTED_VALUE"""),6.0)</f>
        <v>6</v>
      </c>
      <c r="C306" s="16">
        <f>IFERROR(__xludf.DUMMYFUNCTION("""COMPUTED_VALUE"""),100.0)</f>
        <v>100</v>
      </c>
      <c r="D306" s="16"/>
      <c r="E306" s="16" t="str">
        <f>IFERROR(__xludf.DUMMYFUNCTION("""COMPUTED_VALUE"""),"Chug a phial of either Red, Blue, or Green liquid. RED: Convert all defense, accuracy, and health (except 500) into attack for 3 turns. BLUE: convert all attack, accuracy, and health (except 500) into defense for 3 turns. GREEN: convert all attack, defens"&amp;"e and health (except 500) into accuracy for 3 turns. roll a d3 to determine which mutagen you drink.")</f>
        <v>Chug a phial of either Red, Blue, or Green liquid. RED: Convert all defense, accuracy, and health (except 500) into attack for 3 turns. BLUE: convert all attack, accuracy, and health (except 500) into defense for 3 turns. GREEN: convert all attack, defense and health (except 500) into accuracy for 3 turns. roll a d3 to determine which mutagen you drink.</v>
      </c>
      <c r="F306" s="16" t="str">
        <f>IFERROR(__xludf.DUMMYFUNCTION("""COMPUTED_VALUE"""),"Will Succeed")</f>
        <v>Will Succeed</v>
      </c>
      <c r="G306" s="16" t="str">
        <f>IFERROR(__xludf.DUMMYFUNCTION("""COMPUTED_VALUE"""),"self")</f>
        <v>self</v>
      </c>
      <c r="H306" s="16" t="str">
        <f>IFERROR(__xludf.DUMMYFUNCTION("""COMPUTED_VALUE"""),"Voodoo")</f>
        <v>Voodoo</v>
      </c>
    </row>
    <row r="307">
      <c r="A307" s="16" t="str">
        <f>IFERROR(__xludf.DUMMYFUNCTION("""COMPUTED_VALUE"""),"Poison Flask")</f>
        <v>Poison Flask</v>
      </c>
      <c r="B307" s="16">
        <f>IFERROR(__xludf.DUMMYFUNCTION("""COMPUTED_VALUE"""),3.0)</f>
        <v>3</v>
      </c>
      <c r="C307" s="16">
        <f>IFERROR(__xludf.DUMMYFUNCTION("""COMPUTED_VALUE"""),50.0)</f>
        <v>50</v>
      </c>
      <c r="D307" s="16"/>
      <c r="E307" s="16" t="str">
        <f>IFERROR(__xludf.DUMMYFUNCTION("""COMPUTED_VALUE"""),"Throw a flask of viscous poison, Shattering it on your enemies and inflicting Poison 3000 for 3 rounds")</f>
        <v>Throw a flask of viscous poison, Shattering it on your enemies and inflicting Poison 3000 for 3 rounds</v>
      </c>
      <c r="F307" s="16" t="str">
        <f>IFERROR(__xludf.DUMMYFUNCTION("""COMPUTED_VALUE"""),"Hit/Miss")</f>
        <v>Hit/Miss</v>
      </c>
      <c r="G307" s="16">
        <f>IFERROR(__xludf.DUMMYFUNCTION("""COMPUTED_VALUE"""),1.0)</f>
        <v>1</v>
      </c>
      <c r="H307" s="16" t="str">
        <f>IFERROR(__xludf.DUMMYFUNCTION("""COMPUTED_VALUE"""),"Voodoo")</f>
        <v>Voodoo</v>
      </c>
    </row>
    <row r="308">
      <c r="A308" s="16" t="str">
        <f>IFERROR(__xludf.DUMMYFUNCTION("""COMPUTED_VALUE"""),"Rejuvenate")</f>
        <v>Rejuvenate</v>
      </c>
      <c r="B308" s="16">
        <f>IFERROR(__xludf.DUMMYFUNCTION("""COMPUTED_VALUE"""),2.0)</f>
        <v>2</v>
      </c>
      <c r="C308" s="16">
        <f>IFERROR(__xludf.DUMMYFUNCTION("""COMPUTED_VALUE"""),20.0)</f>
        <v>20</v>
      </c>
      <c r="D308" s="16"/>
      <c r="E308" s="16" t="str">
        <f>IFERROR(__xludf.DUMMYFUNCTION("""COMPUTED_VALUE"""),"Heal 2000 HP, 50% chance of contracting an Undead enemy. Max 1 Enemy.")</f>
        <v>Heal 2000 HP, 50% chance of contracting an Undead enemy. Max 1 Enemy.</v>
      </c>
      <c r="F308" s="16" t="str">
        <f>IFERROR(__xludf.DUMMYFUNCTION("""COMPUTED_VALUE"""),"Fail/Succeed")</f>
        <v>Fail/Succeed</v>
      </c>
      <c r="G308" s="16"/>
      <c r="H308" s="16" t="str">
        <f>IFERROR(__xludf.DUMMYFUNCTION("""COMPUTED_VALUE"""),"Voodoo")</f>
        <v>Voodoo</v>
      </c>
    </row>
    <row r="309">
      <c r="A309" s="16" t="str">
        <f>IFERROR(__xludf.DUMMYFUNCTION("""COMPUTED_VALUE"""),"Second Chance")</f>
        <v>Second Chance</v>
      </c>
      <c r="B309" s="16">
        <f>IFERROR(__xludf.DUMMYFUNCTION("""COMPUTED_VALUE"""),9.0)</f>
        <v>9</v>
      </c>
      <c r="C309" s="16">
        <f>IFERROR(__xludf.DUMMYFUNCTION("""COMPUTED_VALUE"""),1000.0)</f>
        <v>1000</v>
      </c>
      <c r="D309" s="16"/>
      <c r="E309" s="16" t="str">
        <f>IFERROR(__xludf.DUMMYFUNCTION("""COMPUTED_VALUE"""),"If you fail your roll while using a fail/succeed spell you may use another fail/succeed spell once more on the same turn.")</f>
        <v>If you fail your roll while using a fail/succeed spell you may use another fail/succeed spell once more on the same turn.</v>
      </c>
      <c r="F309" s="16" t="str">
        <f>IFERROR(__xludf.DUMMYFUNCTION("""COMPUTED_VALUE"""),"Will Succeed")</f>
        <v>Will Succeed</v>
      </c>
      <c r="G309" s="16"/>
      <c r="H309" s="16" t="str">
        <f>IFERROR(__xludf.DUMMYFUNCTION("""COMPUTED_VALUE"""),"Voodoo")</f>
        <v>Voodoo</v>
      </c>
    </row>
    <row r="310">
      <c r="A310" s="16" t="str">
        <f>IFERROR(__xludf.DUMMYFUNCTION("""COMPUTED_VALUE"""),"Stand in")</f>
        <v>Stand in</v>
      </c>
      <c r="B310" s="16">
        <f>IFERROR(__xludf.DUMMYFUNCTION("""COMPUTED_VALUE"""),9.0)</f>
        <v>9</v>
      </c>
      <c r="C310" s="16">
        <f>IFERROR(__xludf.DUMMYFUNCTION("""COMPUTED_VALUE"""),1000.0)</f>
        <v>1000</v>
      </c>
      <c r="D310" s="16"/>
      <c r="E310" s="16" t="str">
        <f>IFERROR(__xludf.DUMMYFUNCTION("""COMPUTED_VALUE"""),"Summon a level 6000 Voodoo Doll while you disappear from the battle for 3 rounds, when the Doll dies or after 3 rounds return to battle with a 50% chance of instant death (Cannot resist or be immune to this effect), Skip your turn order until you return t"&amp;"o battle.")</f>
        <v>Summon a level 6000 Voodoo Doll while you disappear from the battle for 3 rounds, when the Doll dies or after 3 rounds return to battle with a 50% chance of instant death (Cannot resist or be immune to this effect), Skip your turn order until you return to battle.</v>
      </c>
      <c r="F310" s="16" t="str">
        <f>IFERROR(__xludf.DUMMYFUNCTION("""COMPUTED_VALUE"""),"Fail/Succeed")</f>
        <v>Fail/Succeed</v>
      </c>
      <c r="G310" s="16"/>
      <c r="H310" s="16" t="str">
        <f>IFERROR(__xludf.DUMMYFUNCTION("""COMPUTED_VALUE"""),"Voodoo")</f>
        <v>Voodoo</v>
      </c>
    </row>
    <row r="311">
      <c r="A311" s="16" t="str">
        <f>IFERROR(__xludf.DUMMYFUNCTION("""COMPUTED_VALUE"""),"Tower Of Karma")</f>
        <v>Tower Of Karma</v>
      </c>
      <c r="B311" s="16">
        <f>IFERROR(__xludf.DUMMYFUNCTION("""COMPUTED_VALUE"""),8.0)</f>
        <v>8</v>
      </c>
      <c r="C311" s="16">
        <f>IFERROR(__xludf.DUMMYFUNCTION("""COMPUTED_VALUE"""),400.0)</f>
        <v>400</v>
      </c>
      <c r="D311" s="16"/>
      <c r="E311" s="16" t="str">
        <f>IFERROR(__xludf.DUMMYFUNCTION("""COMPUTED_VALUE"""),"Forms a tower that rises from beneath the ground and shoots a giant beam of voodoo energy from the tower's eye- 3000 voodoo strike dmg.")</f>
        <v>Forms a tower that rises from beneath the ground and shoots a giant beam of voodoo energy from the tower's eye- 3000 voodoo strike dmg.</v>
      </c>
      <c r="F311" s="16" t="str">
        <f>IFERROR(__xludf.DUMMYFUNCTION("""COMPUTED_VALUE"""),"Hit or Miss")</f>
        <v>Hit or Miss</v>
      </c>
      <c r="G311" s="16">
        <f>IFERROR(__xludf.DUMMYFUNCTION("""COMPUTED_VALUE"""),1.0)</f>
        <v>1</v>
      </c>
      <c r="H311" s="16" t="str">
        <f>IFERROR(__xludf.DUMMYFUNCTION("""COMPUTED_VALUE"""),"Voodoo")</f>
        <v>Voodoo</v>
      </c>
    </row>
    <row r="312">
      <c r="A312" s="16" t="str">
        <f>IFERROR(__xludf.DUMMYFUNCTION("""COMPUTED_VALUE"""),"Transfer")</f>
        <v>Transfer</v>
      </c>
      <c r="B312" s="16">
        <f>IFERROR(__xludf.DUMMYFUNCTION("""COMPUTED_VALUE"""),9.0)</f>
        <v>9</v>
      </c>
      <c r="C312" s="16">
        <f>IFERROR(__xludf.DUMMYFUNCTION("""COMPUTED_VALUE"""),500.0)</f>
        <v>500</v>
      </c>
      <c r="D312" s="16"/>
      <c r="E312" s="16" t="str">
        <f>IFERROR(__xludf.DUMMYFUNCTION("""COMPUTED_VALUE"""),"Allows the caster to transfer a curse from one target on to another target. Cannot be used on self.")</f>
        <v>Allows the caster to transfer a curse from one target on to another target. Cannot be used on self.</v>
      </c>
      <c r="F312" s="16" t="str">
        <f>IFERROR(__xludf.DUMMYFUNCTION("""COMPUTED_VALUE"""),"Fail/Succeed")</f>
        <v>Fail/Succeed</v>
      </c>
      <c r="G312" s="16"/>
      <c r="H312" s="16" t="str">
        <f>IFERROR(__xludf.DUMMYFUNCTION("""COMPUTED_VALUE"""),"Voodoo")</f>
        <v>Voodoo</v>
      </c>
    </row>
    <row r="313">
      <c r="A313" s="16" t="str">
        <f>IFERROR(__xludf.DUMMYFUNCTION("""COMPUTED_VALUE"""),"Transform Enemy Curse")</f>
        <v>Transform Enemy Curse</v>
      </c>
      <c r="B313" s="16">
        <f>IFERROR(__xludf.DUMMYFUNCTION("""COMPUTED_VALUE"""),3.0)</f>
        <v>3</v>
      </c>
      <c r="C313" s="16">
        <f>IFERROR(__xludf.DUMMYFUNCTION("""COMPUTED_VALUE"""),30.0)</f>
        <v>30</v>
      </c>
      <c r="D313" s="16"/>
      <c r="E313" s="16" t="str">
        <f>IFERROR(__xludf.DUMMYFUNCTION("""COMPUTED_VALUE"""),"Roll 20 d100’s, the total number rounded up to the nearest hundred is equal to the level of the creature that spawns. The creature becomes your ally until it is killed or the battle ends. (You can only have one creature under your control by this spell at"&amp;" a time).")</f>
        <v>Roll 20 d100’s, the total number rounded up to the nearest hundred is equal to the level of the creature that spawns. The creature becomes your ally until it is killed or the battle ends. (You can only have one creature under your control by this spell at a time).</v>
      </c>
      <c r="F313" s="16" t="str">
        <f>IFERROR(__xludf.DUMMYFUNCTION("""COMPUTED_VALUE"""),"Fail or Succeed")</f>
        <v>Fail or Succeed</v>
      </c>
      <c r="G313" s="16"/>
      <c r="H313" s="16" t="str">
        <f>IFERROR(__xludf.DUMMYFUNCTION("""COMPUTED_VALUE"""),"Voodoo")</f>
        <v>Voodoo</v>
      </c>
    </row>
    <row r="314">
      <c r="A314" s="16" t="str">
        <f>IFERROR(__xludf.DUMMYFUNCTION("""COMPUTED_VALUE"""),"Voodoo Meteor Shower")</f>
        <v>Voodoo Meteor Shower</v>
      </c>
      <c r="B314" s="16">
        <f>IFERROR(__xludf.DUMMYFUNCTION("""COMPUTED_VALUE"""),5.0)</f>
        <v>5</v>
      </c>
      <c r="C314" s="16" t="str">
        <f>IFERROR(__xludf.DUMMYFUNCTION("""COMPUTED_VALUE"""),"X")</f>
        <v>X</v>
      </c>
      <c r="D314" s="16"/>
      <c r="E314" s="16" t="str">
        <f>IFERROR(__xludf.DUMMYFUNCTION("""COMPUTED_VALUE"""),"Deals X*25 Voodoo damage to all enemies where X is equal to SP spent.")</f>
        <v>Deals X*25 Voodoo damage to all enemies where X is equal to SP spent.</v>
      </c>
      <c r="F314" s="16" t="str">
        <f>IFERROR(__xludf.DUMMYFUNCTION("""COMPUTED_VALUE"""),"Cannot Avoid")</f>
        <v>Cannot Avoid</v>
      </c>
      <c r="G314" s="16" t="str">
        <f>IFERROR(__xludf.DUMMYFUNCTION("""COMPUTED_VALUE"""),"All")</f>
        <v>All</v>
      </c>
      <c r="H314" s="16" t="str">
        <f>IFERROR(__xludf.DUMMYFUNCTION("""COMPUTED_VALUE"""),"Voodoo")</f>
        <v>Voodoo</v>
      </c>
    </row>
    <row r="315">
      <c r="A315" s="16" t="str">
        <f>IFERROR(__xludf.DUMMYFUNCTION("""COMPUTED_VALUE"""),"Voodoo Needle")</f>
        <v>Voodoo Needle</v>
      </c>
      <c r="B315" s="16">
        <f>IFERROR(__xludf.DUMMYFUNCTION("""COMPUTED_VALUE"""),1.0)</f>
        <v>1</v>
      </c>
      <c r="C315" s="16" t="str">
        <f>IFERROR(__xludf.DUMMYFUNCTION("""COMPUTED_VALUE"""),"X")</f>
        <v>X</v>
      </c>
      <c r="D315" s="16"/>
      <c r="E315" s="16" t="str">
        <f>IFERROR(__xludf.DUMMYFUNCTION("""COMPUTED_VALUE"""),"Deals X*100 Voodoo damage to a single enemy where X is equal to SP spent.")</f>
        <v>Deals X*100 Voodoo damage to a single enemy where X is equal to SP spent.</v>
      </c>
      <c r="F315" s="16" t="str">
        <f>IFERROR(__xludf.DUMMYFUNCTION("""COMPUTED_VALUE"""),"Hit/Miss")</f>
        <v>Hit/Miss</v>
      </c>
      <c r="G315" s="16">
        <f>IFERROR(__xludf.DUMMYFUNCTION("""COMPUTED_VALUE"""),1.0)</f>
        <v>1</v>
      </c>
      <c r="H315" s="16" t="str">
        <f>IFERROR(__xludf.DUMMYFUNCTION("""COMPUTED_VALUE"""),"Voodoo")</f>
        <v>Voodoo</v>
      </c>
    </row>
    <row r="316">
      <c r="A316" s="16" t="str">
        <f>IFERROR(__xludf.DUMMYFUNCTION("""COMPUTED_VALUE"""),"Voodoo Ritual of Raise The Dead")</f>
        <v>Voodoo Ritual of Raise The Dead</v>
      </c>
      <c r="B316" s="16">
        <f>IFERROR(__xludf.DUMMYFUNCTION("""COMPUTED_VALUE"""),6.0)</f>
        <v>6</v>
      </c>
      <c r="C316" s="16">
        <f>IFERROR(__xludf.DUMMYFUNCTION("""COMPUTED_VALUE"""),60.0)</f>
        <v>60</v>
      </c>
      <c r="D316" s="16"/>
      <c r="E316" s="16" t="str">
        <f>IFERROR(__xludf.DUMMYFUNCTION("""COMPUTED_VALUE"""),"Raise a dead enemy to fight by your side.")</f>
        <v>Raise a dead enemy to fight by your side.</v>
      </c>
      <c r="F316" s="16" t="str">
        <f>IFERROR(__xludf.DUMMYFUNCTION("""COMPUTED_VALUE"""),"Fail/succeed")</f>
        <v>Fail/succeed</v>
      </c>
      <c r="G316" s="16"/>
      <c r="H316" s="16" t="str">
        <f>IFERROR(__xludf.DUMMYFUNCTION("""COMPUTED_VALUE"""),"Voodoo")</f>
        <v>Voodoo</v>
      </c>
    </row>
    <row r="317">
      <c r="A317" s="16" t="str">
        <f>IFERROR(__xludf.DUMMYFUNCTION("""COMPUTED_VALUE"""),"Warcrimes")</f>
        <v>Warcrimes</v>
      </c>
      <c r="B317" s="16">
        <f>IFERROR(__xludf.DUMMYFUNCTION("""COMPUTED_VALUE"""),9.0)</f>
        <v>9</v>
      </c>
      <c r="C317" s="16">
        <f>IFERROR(__xludf.DUMMYFUNCTION("""COMPUTED_VALUE"""),200.0)</f>
        <v>200</v>
      </c>
      <c r="D317" s="16"/>
      <c r="E317" s="16" t="str">
        <f>IFERROR(__xludf.DUMMYFUNCTION("""COMPUTED_VALUE"""),"Toss a grenade into the center of the Battlefield, ally and enemy alike must roll a fail or succeed roll (Unaffected by roll bonuses) On success they are unaffected however of they fail they take 5000 fire damage and poison 5000 for the rest of battle.")</f>
        <v>Toss a grenade into the center of the Battlefield, ally and enemy alike must roll a fail or succeed roll (Unaffected by roll bonuses) On success they are unaffected however of they fail they take 5000 fire damage and poison 5000 for the rest of battle.</v>
      </c>
      <c r="F317" s="16" t="str">
        <f>IFERROR(__xludf.DUMMYFUNCTION("""COMPUTED_VALUE"""),"Will Succeed")</f>
        <v>Will Succeed</v>
      </c>
      <c r="G317" s="16" t="str">
        <f>IFERROR(__xludf.DUMMYFUNCTION("""COMPUTED_VALUE"""),"All")</f>
        <v>All</v>
      </c>
      <c r="H317" s="16" t="str">
        <f>IFERROR(__xludf.DUMMYFUNCTION("""COMPUTED_VALUE"""),"Voodoo")</f>
        <v>Voodoo</v>
      </c>
    </row>
    <row r="318">
      <c r="A318" s="16" t="str">
        <f>IFERROR(__xludf.DUMMYFUNCTION("""COMPUTED_VALUE"""),"Weight Shift")</f>
        <v>Weight Shift</v>
      </c>
      <c r="B318" s="16">
        <f>IFERROR(__xludf.DUMMYFUNCTION("""COMPUTED_VALUE"""),4.0)</f>
        <v>4</v>
      </c>
      <c r="C318" s="16">
        <f>IFERROR(__xludf.DUMMYFUNCTION("""COMPUTED_VALUE"""),40.0)</f>
        <v>40</v>
      </c>
      <c r="D318" s="16"/>
      <c r="E318" s="16" t="str">
        <f>IFERROR(__xludf.DUMMYFUNCTION("""COMPUTED_VALUE"""),"Shift the weight of your enemy for 3 rounds, lowers their evasion by 5.")</f>
        <v>Shift the weight of your enemy for 3 rounds, lowers their evasion by 5.</v>
      </c>
      <c r="F318" s="16" t="str">
        <f>IFERROR(__xludf.DUMMYFUNCTION("""COMPUTED_VALUE"""),"Fail/succeed")</f>
        <v>Fail/succeed</v>
      </c>
      <c r="G318" s="16"/>
      <c r="H318" s="16" t="str">
        <f>IFERROR(__xludf.DUMMYFUNCTION("""COMPUTED_VALUE"""),"Voodoo")</f>
        <v>Voodoo</v>
      </c>
    </row>
    <row r="319">
      <c r="A319" s="16" t="str">
        <f>IFERROR(__xludf.DUMMYFUNCTION("""COMPUTED_VALUE"""),"Ancient Monolith Of Water")</f>
        <v>Ancient Monolith Of Water</v>
      </c>
      <c r="B319" s="16">
        <f>IFERROR(__xludf.DUMMYFUNCTION("""COMPUTED_VALUE"""),9.0)</f>
        <v>9</v>
      </c>
      <c r="C319" s="16">
        <f>IFERROR(__xludf.DUMMYFUNCTION("""COMPUTED_VALUE"""),300.0)</f>
        <v>300</v>
      </c>
      <c r="D319" s="16"/>
      <c r="E319" s="16" t="str">
        <f>IFERROR(__xludf.DUMMYFUNCTION("""COMPUTED_VALUE"""),"X4 additional water damage for caster and allies, + fire immunity to caster only for 3 rounds.")</f>
        <v>X4 additional water damage for caster and allies, + fire immunity to caster only for 3 rounds.</v>
      </c>
      <c r="F319" s="16" t="str">
        <f>IFERROR(__xludf.DUMMYFUNCTION("""COMPUTED_VALUE"""),"Fail/Succeed")</f>
        <v>Fail/Succeed</v>
      </c>
      <c r="G319" s="16"/>
      <c r="H319" s="16" t="str">
        <f>IFERROR(__xludf.DUMMYFUNCTION("""COMPUTED_VALUE"""),"Water")</f>
        <v>Water</v>
      </c>
    </row>
    <row r="320">
      <c r="A320" s="16" t="str">
        <f>IFERROR(__xludf.DUMMYFUNCTION("""COMPUTED_VALUE"""),"Aquafie")</f>
        <v>Aquafie</v>
      </c>
      <c r="B320" s="16">
        <f>IFERROR(__xludf.DUMMYFUNCTION("""COMPUTED_VALUE"""),4.0)</f>
        <v>4</v>
      </c>
      <c r="C320" s="16" t="str">
        <f>IFERROR(__xludf.DUMMYFUNCTION("""COMPUTED_VALUE"""),"X*3")</f>
        <v>X*3</v>
      </c>
      <c r="D320" s="16"/>
      <c r="E320" s="16" t="str">
        <f>IFERROR(__xludf.DUMMYFUNCTION("""COMPUTED_VALUE"""),"Target gains X*4 Water damage and X*4 Water resistance, can’t be used on self.")</f>
        <v>Target gains X*4 Water damage and X*4 Water resistance, can’t be used on self.</v>
      </c>
      <c r="F320" s="16" t="str">
        <f>IFERROR(__xludf.DUMMYFUNCTION("""COMPUTED_VALUE"""),"Will Succeed")</f>
        <v>Will Succeed</v>
      </c>
      <c r="G320" s="16"/>
      <c r="H320" s="16" t="str">
        <f>IFERROR(__xludf.DUMMYFUNCTION("""COMPUTED_VALUE"""),"Water")</f>
        <v>Water</v>
      </c>
    </row>
    <row r="321">
      <c r="A321" s="16" t="str">
        <f>IFERROR(__xludf.DUMMYFUNCTION("""COMPUTED_VALUE"""),"Avalanche")</f>
        <v>Avalanche</v>
      </c>
      <c r="B321" s="16">
        <f>IFERROR(__xludf.DUMMYFUNCTION("""COMPUTED_VALUE"""),8.0)</f>
        <v>8</v>
      </c>
      <c r="C321" s="16" t="str">
        <f>IFERROR(__xludf.DUMMYFUNCTION("""COMPUTED_VALUE"""),"X")</f>
        <v>X</v>
      </c>
      <c r="D321" s="16"/>
      <c r="E321" s="16" t="str">
        <f>IFERROR(__xludf.DUMMYFUNCTION("""COMPUTED_VALUE"""),"X*20 water damage to all enemies, Where X is equal to SP spent, 50% instant death")</f>
        <v>X*20 water damage to all enemies, Where X is equal to SP spent, 50% instant death</v>
      </c>
      <c r="F321" s="16" t="str">
        <f>IFERROR(__xludf.DUMMYFUNCTION("""COMPUTED_VALUE"""),"Not Avoidable")</f>
        <v>Not Avoidable</v>
      </c>
      <c r="G321" s="16"/>
      <c r="H321" s="16" t="str">
        <f>IFERROR(__xludf.DUMMYFUNCTION("""COMPUTED_VALUE"""),"Water")</f>
        <v>Water</v>
      </c>
    </row>
    <row r="322">
      <c r="A322" s="16" t="str">
        <f>IFERROR(__xludf.DUMMYFUNCTION("""COMPUTED_VALUE"""),"Blizzard")</f>
        <v>Blizzard</v>
      </c>
      <c r="B322" s="16">
        <f>IFERROR(__xludf.DUMMYFUNCTION("""COMPUTED_VALUE"""),6.0)</f>
        <v>6</v>
      </c>
      <c r="C322" s="16">
        <f>IFERROR(__xludf.DUMMYFUNCTION("""COMPUTED_VALUE"""),240.0)</f>
        <v>240</v>
      </c>
      <c r="D322" s="16"/>
      <c r="E322" s="16" t="str">
        <f>IFERROR(__xludf.DUMMYFUNCTION("""COMPUTED_VALUE"""),"6000 water damage to all enemies; 50% chance to freeze 1d6 enemies.")</f>
        <v>6000 water damage to all enemies; 50% chance to freeze 1d6 enemies.</v>
      </c>
      <c r="F322" s="16" t="str">
        <f>IFERROR(__xludf.DUMMYFUNCTION("""COMPUTED_VALUE"""),"Cannot Avoid")</f>
        <v>Cannot Avoid</v>
      </c>
      <c r="G322" s="16" t="str">
        <f>IFERROR(__xludf.DUMMYFUNCTION("""COMPUTED_VALUE"""),"1d6")</f>
        <v>1d6</v>
      </c>
      <c r="H322" s="16" t="str">
        <f>IFERROR(__xludf.DUMMYFUNCTION("""COMPUTED_VALUE"""),"Water")</f>
        <v>Water</v>
      </c>
    </row>
    <row r="323">
      <c r="A323" s="16" t="str">
        <f>IFERROR(__xludf.DUMMYFUNCTION("""COMPUTED_VALUE"""),"Crashing Waves")</f>
        <v>Crashing Waves</v>
      </c>
      <c r="B323" s="16">
        <f>IFERROR(__xludf.DUMMYFUNCTION("""COMPUTED_VALUE"""),9.0)</f>
        <v>9</v>
      </c>
      <c r="C323" s="16">
        <f>IFERROR(__xludf.DUMMYFUNCTION("""COMPUTED_VALUE"""),800.0)</f>
        <v>800</v>
      </c>
      <c r="D323" s="16"/>
      <c r="E323" s="16" t="str">
        <f>IFERROR(__xludf.DUMMYFUNCTION("""COMPUTED_VALUE"""),"20,000 water damage to all enemies +75% chance of instant death.")</f>
        <v>20,000 water damage to all enemies +75% chance of instant death.</v>
      </c>
      <c r="F323" s="16" t="str">
        <f>IFERROR(__xludf.DUMMYFUNCTION("""COMPUTED_VALUE"""),"Not Avoidable")</f>
        <v>Not Avoidable</v>
      </c>
      <c r="G323" s="16"/>
      <c r="H323" s="16" t="str">
        <f>IFERROR(__xludf.DUMMYFUNCTION("""COMPUTED_VALUE"""),"Water")</f>
        <v>Water</v>
      </c>
    </row>
    <row r="324">
      <c r="A324" s="16" t="str">
        <f>IFERROR(__xludf.DUMMYFUNCTION("""COMPUTED_VALUE"""),"Deep Freeze")</f>
        <v>Deep Freeze</v>
      </c>
      <c r="B324" s="16">
        <f>IFERROR(__xludf.DUMMYFUNCTION("""COMPUTED_VALUE"""),6.0)</f>
        <v>6</v>
      </c>
      <c r="C324" s="16" t="str">
        <f>IFERROR(__xludf.DUMMYFUNCTION("""COMPUTED_VALUE"""),"X")</f>
        <v>X</v>
      </c>
      <c r="D324" s="16"/>
      <c r="E324" s="16" t="str">
        <f>IFERROR(__xludf.DUMMYFUNCTION("""COMPUTED_VALUE"""),"Deals X*10 Water damage per round to all enemies for 3 rounds where X is equal to SP spent.")</f>
        <v>Deals X*10 Water damage per round to all enemies for 3 rounds where X is equal to SP spent.</v>
      </c>
      <c r="F324" s="16" t="str">
        <f>IFERROR(__xludf.DUMMYFUNCTION("""COMPUTED_VALUE"""),"Cannot Avoid")</f>
        <v>Cannot Avoid</v>
      </c>
      <c r="G324" s="16" t="str">
        <f>IFERROR(__xludf.DUMMYFUNCTION("""COMPUTED_VALUE"""),"All")</f>
        <v>All</v>
      </c>
      <c r="H324" s="16" t="str">
        <f>IFERROR(__xludf.DUMMYFUNCTION("""COMPUTED_VALUE"""),"Water")</f>
        <v>Water</v>
      </c>
    </row>
    <row r="325">
      <c r="A325" s="16" t="str">
        <f>IFERROR(__xludf.DUMMYFUNCTION("""COMPUTED_VALUE"""),"Frostbite")</f>
        <v>Frostbite</v>
      </c>
      <c r="B325" s="16">
        <f>IFERROR(__xludf.DUMMYFUNCTION("""COMPUTED_VALUE"""),5.0)</f>
        <v>5</v>
      </c>
      <c r="C325" s="16" t="str">
        <f>IFERROR(__xludf.DUMMYFUNCTION("""COMPUTED_VALUE"""),"X")</f>
        <v>X</v>
      </c>
      <c r="D325" s="16"/>
      <c r="E325" s="16" t="str">
        <f>IFERROR(__xludf.DUMMYFUNCTION("""COMPUTED_VALUE"""),"Deals X*50 Water damage per round for 3 rounds to a single target where X is equal to SP spent.")</f>
        <v>Deals X*50 Water damage per round for 3 rounds to a single target where X is equal to SP spent.</v>
      </c>
      <c r="F325" s="16" t="str">
        <f>IFERROR(__xludf.DUMMYFUNCTION("""COMPUTED_VALUE"""),"Hit/Miss")</f>
        <v>Hit/Miss</v>
      </c>
      <c r="G325" s="16">
        <f>IFERROR(__xludf.DUMMYFUNCTION("""COMPUTED_VALUE"""),1.0)</f>
        <v>1</v>
      </c>
      <c r="H325" s="16" t="str">
        <f>IFERROR(__xludf.DUMMYFUNCTION("""COMPUTED_VALUE"""),"Water")</f>
        <v>Water</v>
      </c>
    </row>
    <row r="326">
      <c r="A326" s="16" t="str">
        <f>IFERROR(__xludf.DUMMYFUNCTION("""COMPUTED_VALUE"""),"Geyser")</f>
        <v>Geyser</v>
      </c>
      <c r="B326" s="16">
        <f>IFERROR(__xludf.DUMMYFUNCTION("""COMPUTED_VALUE"""),3.0)</f>
        <v>3</v>
      </c>
      <c r="C326" s="16">
        <f>IFERROR(__xludf.DUMMYFUNCTION("""COMPUTED_VALUE"""),30.0)</f>
        <v>30</v>
      </c>
      <c r="D326" s="16"/>
      <c r="E326" s="16" t="str">
        <f>IFERROR(__xludf.DUMMYFUNCTION("""COMPUTED_VALUE"""),"3000 Damage to a single target, 50% chance they lose their next turn.")</f>
        <v>3000 Damage to a single target, 50% chance they lose their next turn.</v>
      </c>
      <c r="F326" s="16" t="str">
        <f>IFERROR(__xludf.DUMMYFUNCTION("""COMPUTED_VALUE"""),"Fail/Succeed")</f>
        <v>Fail/Succeed</v>
      </c>
      <c r="G326" s="16"/>
      <c r="H326" s="16" t="str">
        <f>IFERROR(__xludf.DUMMYFUNCTION("""COMPUTED_VALUE"""),"Water")</f>
        <v>Water</v>
      </c>
    </row>
    <row r="327">
      <c r="A327" s="16" t="str">
        <f>IFERROR(__xludf.DUMMYFUNCTION("""COMPUTED_VALUE"""),"Ice Ball")</f>
        <v>Ice Ball</v>
      </c>
      <c r="B327" s="16">
        <f>IFERROR(__xludf.DUMMYFUNCTION("""COMPUTED_VALUE"""),1.0)</f>
        <v>1</v>
      </c>
      <c r="C327" s="16">
        <f>IFERROR(__xludf.DUMMYFUNCTION("""COMPUTED_VALUE"""),10.0)</f>
        <v>10</v>
      </c>
      <c r="D327" s="16"/>
      <c r="E327" s="16" t="str">
        <f>IFERROR(__xludf.DUMMYFUNCTION("""COMPUTED_VALUE"""),"1000 water damage, 20% chance to freeze target.")</f>
        <v>1000 water damage, 20% chance to freeze target.</v>
      </c>
      <c r="F327" s="16" t="str">
        <f>IFERROR(__xludf.DUMMYFUNCTION("""COMPUTED_VALUE"""),"Hit/Miss")</f>
        <v>Hit/Miss</v>
      </c>
      <c r="G327" s="16">
        <f>IFERROR(__xludf.DUMMYFUNCTION("""COMPUTED_VALUE"""),1.0)</f>
        <v>1</v>
      </c>
      <c r="H327" s="16" t="str">
        <f>IFERROR(__xludf.DUMMYFUNCTION("""COMPUTED_VALUE"""),"Water")</f>
        <v>Water</v>
      </c>
    </row>
    <row r="328">
      <c r="A328" s="16" t="str">
        <f>IFERROR(__xludf.DUMMYFUNCTION("""COMPUTED_VALUE"""),"Icicle Spear")</f>
        <v>Icicle Spear</v>
      </c>
      <c r="B328" s="16">
        <f>IFERROR(__xludf.DUMMYFUNCTION("""COMPUTED_VALUE"""),4.0)</f>
        <v>4</v>
      </c>
      <c r="C328" s="16">
        <f>IFERROR(__xludf.DUMMYFUNCTION("""COMPUTED_VALUE"""),40.0)</f>
        <v>40</v>
      </c>
      <c r="D328" s="16"/>
      <c r="E328" s="16" t="str">
        <f>IFERROR(__xludf.DUMMYFUNCTION("""COMPUTED_VALUE"""),"4000 water damage, 50% chance to freeze target.")</f>
        <v>4000 water damage, 50% chance to freeze target.</v>
      </c>
      <c r="F328" s="16" t="str">
        <f>IFERROR(__xludf.DUMMYFUNCTION("""COMPUTED_VALUE"""),"Hit/Miss")</f>
        <v>Hit/Miss</v>
      </c>
      <c r="G328" s="16">
        <f>IFERROR(__xludf.DUMMYFUNCTION("""COMPUTED_VALUE"""),1.0)</f>
        <v>1</v>
      </c>
      <c r="H328" s="16" t="str">
        <f>IFERROR(__xludf.DUMMYFUNCTION("""COMPUTED_VALUE"""),"Water")</f>
        <v>Water</v>
      </c>
    </row>
    <row r="329">
      <c r="A329" s="16" t="str">
        <f>IFERROR(__xludf.DUMMYFUNCTION("""COMPUTED_VALUE"""),"Quench")</f>
        <v>Quench</v>
      </c>
      <c r="B329" s="16">
        <f>IFERROR(__xludf.DUMMYFUNCTION("""COMPUTED_VALUE"""),2.0)</f>
        <v>2</v>
      </c>
      <c r="C329" s="16">
        <f>IFERROR(__xludf.DUMMYFUNCTION("""COMPUTED_VALUE"""),20.0)</f>
        <v>20</v>
      </c>
      <c r="D329" s="16"/>
      <c r="E329" s="16" t="str">
        <f>IFERROR(__xludf.DUMMYFUNCTION("""COMPUTED_VALUE"""),"Negate the next incoming fire spell.")</f>
        <v>Negate the next incoming fire spell.</v>
      </c>
      <c r="F329" s="16" t="str">
        <f>IFERROR(__xludf.DUMMYFUNCTION("""COMPUTED_VALUE"""),"Fail/Succeed")</f>
        <v>Fail/Succeed</v>
      </c>
      <c r="G329" s="16"/>
      <c r="H329" s="16" t="str">
        <f>IFERROR(__xludf.DUMMYFUNCTION("""COMPUTED_VALUE"""),"Water")</f>
        <v>Water</v>
      </c>
    </row>
    <row r="330">
      <c r="A330" s="16" t="str">
        <f>IFERROR(__xludf.DUMMYFUNCTION("""COMPUTED_VALUE"""),"Torrential Downpour")</f>
        <v>Torrential Downpour</v>
      </c>
      <c r="B330" s="16">
        <f>IFERROR(__xludf.DUMMYFUNCTION("""COMPUTED_VALUE"""),5.0)</f>
        <v>5</v>
      </c>
      <c r="C330" s="16" t="str">
        <f>IFERROR(__xludf.DUMMYFUNCTION("""COMPUTED_VALUE"""),"X")</f>
        <v>X</v>
      </c>
      <c r="D330" s="16"/>
      <c r="E330" s="16" t="str">
        <f>IFERROR(__xludf.DUMMYFUNCTION("""COMPUTED_VALUE"""),"Deals X*25 Water undefendable damage to all enemies where X is equal to SP spent.")</f>
        <v>Deals X*25 Water undefendable damage to all enemies where X is equal to SP spent.</v>
      </c>
      <c r="F330" s="16" t="str">
        <f>IFERROR(__xludf.DUMMYFUNCTION("""COMPUTED_VALUE"""),"Cannot Avoid")</f>
        <v>Cannot Avoid</v>
      </c>
      <c r="G330" s="16" t="str">
        <f>IFERROR(__xludf.DUMMYFUNCTION("""COMPUTED_VALUE"""),"All")</f>
        <v>All</v>
      </c>
      <c r="H330" s="16" t="str">
        <f>IFERROR(__xludf.DUMMYFUNCTION("""COMPUTED_VALUE"""),"Water")</f>
        <v>Water</v>
      </c>
    </row>
    <row r="331">
      <c r="A331" s="16" t="str">
        <f>IFERROR(__xludf.DUMMYFUNCTION("""COMPUTED_VALUE"""),"Tower Of Atlantis")</f>
        <v>Tower Of Atlantis</v>
      </c>
      <c r="B331" s="16">
        <f>IFERROR(__xludf.DUMMYFUNCTION("""COMPUTED_VALUE"""),9.0)</f>
        <v>9</v>
      </c>
      <c r="C331" s="16">
        <f>IFERROR(__xludf.DUMMYFUNCTION("""COMPUTED_VALUE"""),500.0)</f>
        <v>500</v>
      </c>
      <c r="D331" s="16"/>
      <c r="E331" s="16" t="str">
        <f>IFERROR(__xludf.DUMMYFUNCTION("""COMPUTED_VALUE"""),"Forms a tower that rises from beneath the ground or ocean and shoots a giant beam of water energy from the tower's eye and grants X6 Water damage for all allies- 30,000 Water damage.")</f>
        <v>Forms a tower that rises from beneath the ground or ocean and shoots a giant beam of water energy from the tower's eye and grants X6 Water damage for all allies- 30,000 Water damage.</v>
      </c>
      <c r="F331" s="16" t="str">
        <f>IFERROR(__xludf.DUMMYFUNCTION("""COMPUTED_VALUE"""),"Hit/Miss")</f>
        <v>Hit/Miss</v>
      </c>
      <c r="G331" s="16">
        <f>IFERROR(__xludf.DUMMYFUNCTION("""COMPUTED_VALUE"""),1.0)</f>
        <v>1</v>
      </c>
      <c r="H331" s="16" t="str">
        <f>IFERROR(__xludf.DUMMYFUNCTION("""COMPUTED_VALUE"""),"Water")</f>
        <v>Water</v>
      </c>
    </row>
    <row r="332">
      <c r="A332" s="16" t="str">
        <f>IFERROR(__xludf.DUMMYFUNCTION("""COMPUTED_VALUE"""),"Tsunami")</f>
        <v>Tsunami</v>
      </c>
      <c r="B332" s="16">
        <f>IFERROR(__xludf.DUMMYFUNCTION("""COMPUTED_VALUE"""),9.0)</f>
        <v>9</v>
      </c>
      <c r="C332" s="16" t="str">
        <f>IFERROR(__xludf.DUMMYFUNCTION("""COMPUTED_VALUE"""),"d20*40")</f>
        <v>d20*40</v>
      </c>
      <c r="D332" s="16"/>
      <c r="E332" s="16" t="str">
        <f>IFERROR(__xludf.DUMMYFUNCTION("""COMPUTED_VALUE"""),"The d20 roll times 1000 is equal to the amount of Water damage this spell does to all enemies. 50% chance to remove all enemies from battle.")</f>
        <v>The d20 roll times 1000 is equal to the amount of Water damage this spell does to all enemies. 50% chance to remove all enemies from battle.</v>
      </c>
      <c r="F332" s="16" t="str">
        <f>IFERROR(__xludf.DUMMYFUNCTION("""COMPUTED_VALUE"""),"Cannot Avoid")</f>
        <v>Cannot Avoid</v>
      </c>
      <c r="G332" s="16" t="str">
        <f>IFERROR(__xludf.DUMMYFUNCTION("""COMPUTED_VALUE"""),"All")</f>
        <v>All</v>
      </c>
      <c r="H332" s="16" t="str">
        <f>IFERROR(__xludf.DUMMYFUNCTION("""COMPUTED_VALUE"""),"Water")</f>
        <v>Water</v>
      </c>
    </row>
    <row r="333">
      <c r="A333" s="16" t="str">
        <f>IFERROR(__xludf.DUMMYFUNCTION("""COMPUTED_VALUE"""),"Water Beam")</f>
        <v>Water Beam</v>
      </c>
      <c r="B333" s="16">
        <f>IFERROR(__xludf.DUMMYFUNCTION("""COMPUTED_VALUE"""),1.0)</f>
        <v>1</v>
      </c>
      <c r="C333" s="16" t="str">
        <f>IFERROR(__xludf.DUMMYFUNCTION("""COMPUTED_VALUE"""),"X")</f>
        <v>X</v>
      </c>
      <c r="D333" s="16"/>
      <c r="E333" s="16" t="str">
        <f>IFERROR(__xludf.DUMMYFUNCTION("""COMPUTED_VALUE"""),"Deals X*100 Water undefendable damage to a single enemy where X is equal to SP spent.")</f>
        <v>Deals X*100 Water undefendable damage to a single enemy where X is equal to SP spent.</v>
      </c>
      <c r="F333" s="16" t="str">
        <f>IFERROR(__xludf.DUMMYFUNCTION("""COMPUTED_VALUE"""),"Hit/Miss")</f>
        <v>Hit/Miss</v>
      </c>
      <c r="G333" s="16">
        <f>IFERROR(__xludf.DUMMYFUNCTION("""COMPUTED_VALUE"""),1.0)</f>
        <v>1</v>
      </c>
      <c r="H333" s="16" t="str">
        <f>IFERROR(__xludf.DUMMYFUNCTION("""COMPUTED_VALUE"""),"Water")</f>
        <v>Water</v>
      </c>
    </row>
    <row r="334">
      <c r="A334" s="16" t="str">
        <f>IFERROR(__xludf.DUMMYFUNCTION("""COMPUTED_VALUE"""),"Waters of Tranquility")</f>
        <v>Waters of Tranquility</v>
      </c>
      <c r="B334" s="16">
        <f>IFERROR(__xludf.DUMMYFUNCTION("""COMPUTED_VALUE"""),7.0)</f>
        <v>7</v>
      </c>
      <c r="C334" s="16" t="str">
        <f>IFERROR(__xludf.DUMMYFUNCTION("""COMPUTED_VALUE"""),"X")</f>
        <v>X</v>
      </c>
      <c r="D334" s="16"/>
      <c r="E334" s="16" t="str">
        <f>IFERROR(__xludf.DUMMYFUNCTION("""COMPUTED_VALUE"""),"Negate X*4 water damage.")</f>
        <v>Negate X*4 water damage.</v>
      </c>
      <c r="F334" s="16" t="str">
        <f>IFERROR(__xludf.DUMMYFUNCTION("""COMPUTED_VALUE"""),"Fail/Succeed")</f>
        <v>Fail/Succeed</v>
      </c>
      <c r="G334" s="16"/>
      <c r="H334" s="16" t="str">
        <f>IFERROR(__xludf.DUMMYFUNCTION("""COMPUTED_VALUE"""),"Water")</f>
        <v>Water</v>
      </c>
    </row>
    <row r="335">
      <c r="A335" s="16"/>
      <c r="B335" s="16"/>
      <c r="C335" s="16"/>
      <c r="D335" s="16"/>
      <c r="E335" s="16"/>
      <c r="F335" s="16"/>
      <c r="G335" s="16"/>
      <c r="H335" s="16"/>
    </row>
  </sheetData>
  <conditionalFormatting sqref="J1">
    <cfRule type="expression" dxfId="0" priority="1">
      <formula>IF(COUNTA(J3:J50)&gt;K1,TRUE,FALSE)</formula>
    </cfRule>
  </conditionalFormatting>
  <conditionalFormatting sqref="J3:J50">
    <cfRule type="expression" dxfId="0" priority="2">
      <formula>IF(COUNTA($J$3:$J$50)&gt;$K$1,TRUE,FALSE)</formula>
    </cfRule>
  </conditionalFormatting>
  <conditionalFormatting sqref="J3:J50">
    <cfRule type="expression" dxfId="2" priority="3">
      <formula>COUNTIF($J$3:$J$50,J3)&gt;1</formula>
    </cfRule>
  </conditionalFormatting>
  <conditionalFormatting sqref="A2:A1001">
    <cfRule type="expression" dxfId="1" priority="4">
      <formula>COUNTIF($J$3:$J$50,A2)&gt;0</formula>
    </cfRule>
  </conditionalFormatting>
  <dataValidations>
    <dataValidation type="list" allowBlank="1" sqref="J3:J50">
      <formula1>SpellBook!$A$2:$A1001</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00FF"/>
    <outlinePr summaryBelow="0" summaryRight="0"/>
  </sheetPr>
  <sheetViews>
    <sheetView workbookViewId="0"/>
  </sheetViews>
  <sheetFormatPr customHeight="1" defaultColWidth="12.63" defaultRowHeight="15.75"/>
  <cols>
    <col customWidth="1" min="1" max="1" width="19.63"/>
    <col customWidth="1" min="2" max="2" width="21.63"/>
    <col customWidth="1" min="3" max="3" width="17.38"/>
    <col customWidth="1" min="6" max="6" width="15.5"/>
    <col customWidth="1" min="7" max="7" width="74.25"/>
    <col customWidth="1" min="8" max="8" width="15.0"/>
    <col hidden="1" min="15" max="28" width="12.63"/>
  </cols>
  <sheetData>
    <row r="1">
      <c r="A1" s="75"/>
      <c r="B1" s="96" t="s">
        <v>24</v>
      </c>
      <c r="P1" s="16">
        <f>Leveler!$B$13</f>
        <v>200</v>
      </c>
      <c r="U1" s="14" t="s">
        <v>24</v>
      </c>
      <c r="V1" s="97" t="s">
        <v>25</v>
      </c>
      <c r="W1" s="14" t="s">
        <v>26</v>
      </c>
      <c r="X1" s="97" t="s">
        <v>225</v>
      </c>
      <c r="Y1" s="97" t="s">
        <v>226</v>
      </c>
      <c r="Z1" s="97" t="s">
        <v>27</v>
      </c>
      <c r="AA1" s="97" t="s">
        <v>227</v>
      </c>
    </row>
    <row r="2">
      <c r="A2" s="75" t="s">
        <v>228</v>
      </c>
      <c r="B2" s="14" t="s">
        <v>229</v>
      </c>
      <c r="C2" s="38" t="s">
        <v>25</v>
      </c>
      <c r="D2" s="38" t="s">
        <v>26</v>
      </c>
      <c r="E2" s="38" t="s">
        <v>225</v>
      </c>
      <c r="F2" s="38" t="s">
        <v>226</v>
      </c>
      <c r="G2" s="38" t="s">
        <v>27</v>
      </c>
      <c r="H2" s="38" t="s">
        <v>227</v>
      </c>
      <c r="U2" s="37" t="str">
        <f>B2</f>
        <v>Blue Steel Sword</v>
      </c>
      <c r="V2" s="37" t="str">
        <f>IFERROR(VLOOKUP($B$2,ItemEquipCombine!$A$2:$AH1070,MATCH("Description",ItemEquipCombine!$A$1:$AH$1,0),FALSE),"")</f>
        <v/>
      </c>
      <c r="W2" s="37" t="str">
        <f>IFERROR(VLOOKUP($B$2,ItemEquipCombine!$A$2:$AH1070,MATCH("Type",ItemEquipCombine!$A$1:$AH$1,0),FALSE),"")</f>
        <v>Sword</v>
      </c>
      <c r="X2" s="37" t="str">
        <f>IFERROR(VLOOKUP($B$2,ItemEquipCombine!$A$2:$AH1070,MATCH("Slot",Equipconvert!$A$1:$AH$1,0),FALSE),"")</f>
        <v>Hand</v>
      </c>
      <c r="Y2" s="37">
        <f>IFERROR(VLOOKUP($B$2,ItemEquipCombine!$A$2:$AH1070,MATCH("Level Requirement",ItemEquipCombine!$A$1:$AH$1,0),FALSE),"")</f>
        <v>40</v>
      </c>
      <c r="Z2" s="37" t="str">
        <f>IFERROR(VLOOKUP($B$2,ItemEquipCombine!$A$2:$AH1070,MATCH("Abilities",ItemEquipCombine!$A$1:$AH$1,0),FALSE),"")</f>
        <v>DMG: +1000, Water DMG: +1000</v>
      </c>
      <c r="AA2" s="37">
        <f>IFERROR(VLOOKUP($B$2,ItemEquipCombine!$A$2:$AH1070,MATCH("Estimated Price",ItemEquipCombine!$A$1:$AH$1,0),FALSE),"")</f>
        <v>60000</v>
      </c>
    </row>
    <row r="3">
      <c r="A3" s="16" t="str">
        <f>IFERROR(__xludf.DUMMYFUNCTION("FILTER($T$2:$AA$2,1)"),"")</f>
        <v/>
      </c>
      <c r="B3" s="16" t="str">
        <f>IFERROR(__xludf.DUMMYFUNCTION("""COMPUTED_VALUE"""),"Blue Steel Sword")</f>
        <v>Blue Steel Sword</v>
      </c>
      <c r="C3" s="16"/>
      <c r="D3" s="16" t="str">
        <f>IFERROR(__xludf.DUMMYFUNCTION("""COMPUTED_VALUE"""),"Sword")</f>
        <v>Sword</v>
      </c>
      <c r="E3" s="16" t="str">
        <f>IFERROR(__xludf.DUMMYFUNCTION("""COMPUTED_VALUE"""),"Hand")</f>
        <v>Hand</v>
      </c>
      <c r="F3" s="16">
        <f>IFERROR(__xludf.DUMMYFUNCTION("""COMPUTED_VALUE"""),40.0)</f>
        <v>40</v>
      </c>
      <c r="G3" s="16" t="str">
        <f>IFERROR(__xludf.DUMMYFUNCTION("""COMPUTED_VALUE"""),"DMG: +1000, Water DMG: +1000")</f>
        <v>DMG: +1000, Water DMG: +1000</v>
      </c>
      <c r="H3" s="98">
        <f>IFERROR(__xludf.DUMMYFUNCTION("""COMPUTED_VALUE"""),60000.0)</f>
        <v>60000</v>
      </c>
    </row>
    <row r="7">
      <c r="B7" s="38" t="s">
        <v>230</v>
      </c>
    </row>
    <row r="8">
      <c r="A8" s="14" t="str">
        <f>"Storage: "&amp;counta(B10:B1070)&amp;"/"&amp;B8</f>
        <v>Storage: 6/70</v>
      </c>
      <c r="B8" s="14">
        <v>70.0</v>
      </c>
    </row>
    <row r="9">
      <c r="A9" s="38" t="s">
        <v>231</v>
      </c>
      <c r="B9" s="38" t="s">
        <v>24</v>
      </c>
      <c r="C9" s="38" t="s">
        <v>25</v>
      </c>
      <c r="D9" s="38" t="s">
        <v>26</v>
      </c>
      <c r="E9" s="38" t="s">
        <v>225</v>
      </c>
      <c r="F9" s="38" t="s">
        <v>226</v>
      </c>
      <c r="G9" s="38" t="s">
        <v>27</v>
      </c>
      <c r="H9" s="38" t="s">
        <v>227</v>
      </c>
      <c r="I9" s="38" t="s">
        <v>232</v>
      </c>
    </row>
    <row r="10">
      <c r="A10" s="63">
        <v>100.0</v>
      </c>
      <c r="B10" s="14" t="s">
        <v>233</v>
      </c>
      <c r="C10" s="14" t="s">
        <v>234</v>
      </c>
      <c r="D10" s="14" t="s">
        <v>235</v>
      </c>
      <c r="E10" s="37"/>
      <c r="F10" s="37"/>
      <c r="G10" s="37"/>
      <c r="H10" s="99"/>
      <c r="I10" s="37"/>
    </row>
    <row r="11">
      <c r="A11" s="63">
        <v>100.0</v>
      </c>
      <c r="B11" s="65" t="s">
        <v>236</v>
      </c>
      <c r="C11" s="100" t="s">
        <v>237</v>
      </c>
      <c r="D11" s="37"/>
      <c r="E11" s="37"/>
      <c r="F11" s="37"/>
      <c r="G11" s="37"/>
      <c r="H11" s="99"/>
      <c r="I11" s="37"/>
    </row>
    <row r="12">
      <c r="A12" s="63">
        <v>1.0</v>
      </c>
      <c r="B12" s="14" t="s">
        <v>229</v>
      </c>
      <c r="D12" s="14" t="s">
        <v>238</v>
      </c>
      <c r="E12" s="14" t="s">
        <v>42</v>
      </c>
      <c r="F12" s="97">
        <v>40.0</v>
      </c>
      <c r="G12" s="14" t="s">
        <v>239</v>
      </c>
      <c r="H12" s="101">
        <v>60000.0</v>
      </c>
      <c r="I12" s="37"/>
    </row>
    <row r="13">
      <c r="A13" s="102">
        <v>1.0</v>
      </c>
      <c r="B13" s="65" t="s">
        <v>37</v>
      </c>
      <c r="C13" s="37"/>
      <c r="D13" s="37"/>
      <c r="E13" s="65" t="s">
        <v>38</v>
      </c>
      <c r="F13" s="102">
        <v>20.0</v>
      </c>
      <c r="G13" s="65" t="s">
        <v>240</v>
      </c>
      <c r="H13" s="102">
        <v>1000.0</v>
      </c>
      <c r="I13" s="37"/>
    </row>
    <row r="14">
      <c r="A14" s="103">
        <v>1.0</v>
      </c>
      <c r="B14" s="100" t="s">
        <v>58</v>
      </c>
      <c r="C14" s="37"/>
      <c r="D14" s="37"/>
      <c r="E14" s="65" t="s">
        <v>59</v>
      </c>
      <c r="F14" s="103">
        <v>1.0</v>
      </c>
      <c r="G14" s="65" t="s">
        <v>241</v>
      </c>
      <c r="H14" s="104">
        <v>0.0</v>
      </c>
      <c r="I14" s="64"/>
    </row>
    <row r="15">
      <c r="A15" s="103">
        <v>1.0</v>
      </c>
      <c r="B15" s="100" t="s">
        <v>242</v>
      </c>
      <c r="C15" s="37"/>
      <c r="D15" s="65" t="s">
        <v>243</v>
      </c>
      <c r="E15" s="65" t="s">
        <v>42</v>
      </c>
      <c r="F15" s="103">
        <v>20.0</v>
      </c>
      <c r="G15" s="65" t="s">
        <v>244</v>
      </c>
      <c r="H15" s="105">
        <v>10000.0</v>
      </c>
      <c r="I15" s="64"/>
    </row>
    <row r="16">
      <c r="A16" s="64"/>
      <c r="B16" s="106"/>
      <c r="C16" s="37"/>
      <c r="D16" s="37"/>
      <c r="E16" s="37"/>
      <c r="F16" s="64"/>
      <c r="G16" s="37"/>
      <c r="H16" s="107"/>
      <c r="I16" s="37"/>
    </row>
    <row r="17">
      <c r="A17" s="64"/>
      <c r="B17" s="106"/>
      <c r="C17" s="37"/>
      <c r="D17" s="37"/>
      <c r="E17" s="37"/>
      <c r="F17" s="64"/>
      <c r="G17" s="37"/>
      <c r="H17" s="107"/>
      <c r="I17" s="37"/>
    </row>
    <row r="18">
      <c r="A18" s="64"/>
      <c r="B18" s="106"/>
      <c r="C18" s="37"/>
      <c r="D18" s="37"/>
      <c r="E18" s="37"/>
      <c r="F18" s="64"/>
      <c r="G18" s="37"/>
      <c r="H18" s="107"/>
      <c r="I18" s="37"/>
    </row>
    <row r="19">
      <c r="A19" s="64"/>
      <c r="B19" s="106"/>
      <c r="C19" s="37"/>
      <c r="D19" s="37"/>
      <c r="E19" s="37"/>
      <c r="F19" s="64"/>
      <c r="G19" s="37"/>
      <c r="H19" s="107"/>
      <c r="I19" s="37"/>
    </row>
    <row r="20">
      <c r="A20" s="64"/>
      <c r="B20" s="37"/>
      <c r="C20" s="37"/>
      <c r="D20" s="37"/>
      <c r="E20" s="37"/>
      <c r="F20" s="37"/>
      <c r="G20" s="37"/>
      <c r="H20" s="99"/>
      <c r="I20" s="37"/>
    </row>
    <row r="21">
      <c r="A21" s="64"/>
      <c r="B21" s="37"/>
      <c r="C21" s="106"/>
      <c r="D21" s="37"/>
      <c r="E21" s="37"/>
      <c r="F21" s="37"/>
      <c r="G21" s="37"/>
      <c r="H21" s="99"/>
      <c r="I21" s="37"/>
    </row>
    <row r="22">
      <c r="A22" s="64"/>
      <c r="B22" s="106"/>
      <c r="C22" s="37"/>
      <c r="D22" s="37"/>
      <c r="E22" s="37"/>
      <c r="F22" s="64"/>
      <c r="G22" s="106"/>
      <c r="H22" s="99"/>
      <c r="I22" s="37"/>
    </row>
    <row r="23">
      <c r="A23" s="64"/>
      <c r="B23" s="37"/>
      <c r="C23" s="37"/>
      <c r="D23" s="37"/>
      <c r="E23" s="37"/>
      <c r="F23" s="37"/>
      <c r="G23" s="37"/>
      <c r="H23" s="99"/>
      <c r="I23" s="37"/>
    </row>
    <row r="24">
      <c r="A24" s="64"/>
      <c r="B24" s="37"/>
      <c r="C24" s="106"/>
      <c r="D24" s="37"/>
      <c r="E24" s="37"/>
      <c r="F24" s="37"/>
      <c r="G24" s="37"/>
      <c r="H24" s="99"/>
      <c r="I24" s="37"/>
    </row>
    <row r="25">
      <c r="A25" s="64"/>
      <c r="B25" s="37"/>
      <c r="C25" s="106"/>
      <c r="D25" s="37"/>
      <c r="E25" s="37"/>
      <c r="F25" s="37"/>
      <c r="G25" s="37"/>
      <c r="H25" s="99"/>
      <c r="I25" s="37"/>
    </row>
    <row r="26">
      <c r="A26" s="64"/>
      <c r="B26" s="106"/>
      <c r="C26" s="37"/>
      <c r="D26" s="37"/>
      <c r="E26" s="37"/>
      <c r="F26" s="37"/>
      <c r="G26" s="37"/>
      <c r="H26" s="99"/>
      <c r="I26" s="37"/>
    </row>
    <row r="27">
      <c r="A27" s="64"/>
      <c r="B27" s="37"/>
      <c r="C27" s="37"/>
      <c r="D27" s="37"/>
      <c r="E27" s="37"/>
      <c r="F27" s="37"/>
      <c r="G27" s="37"/>
      <c r="H27" s="99"/>
      <c r="I27" s="37"/>
    </row>
    <row r="28">
      <c r="A28" s="64"/>
      <c r="B28" s="37"/>
      <c r="C28" s="106"/>
      <c r="D28" s="37"/>
      <c r="E28" s="37"/>
      <c r="F28" s="37"/>
      <c r="G28" s="37"/>
      <c r="H28" s="99"/>
      <c r="I28" s="37"/>
    </row>
    <row r="29">
      <c r="A29" s="64"/>
      <c r="B29" s="37"/>
      <c r="C29" s="106"/>
      <c r="D29" s="37"/>
      <c r="E29" s="37"/>
      <c r="F29" s="37"/>
      <c r="G29" s="37"/>
      <c r="H29" s="99"/>
      <c r="I29" s="37"/>
    </row>
    <row r="30">
      <c r="A30" s="64"/>
      <c r="B30" s="106"/>
      <c r="C30" s="37"/>
      <c r="D30" s="37"/>
      <c r="E30" s="37"/>
      <c r="F30" s="37"/>
      <c r="G30" s="37"/>
      <c r="H30" s="99"/>
      <c r="I30" s="37"/>
    </row>
    <row r="31">
      <c r="A31" s="64"/>
      <c r="B31" s="37"/>
      <c r="C31" s="37"/>
      <c r="D31" s="37"/>
      <c r="E31" s="37"/>
      <c r="F31" s="37"/>
      <c r="G31" s="37"/>
      <c r="H31" s="99"/>
      <c r="I31" s="37"/>
    </row>
    <row r="32">
      <c r="A32" s="64"/>
      <c r="B32" s="37"/>
      <c r="C32" s="106"/>
      <c r="D32" s="37"/>
      <c r="E32" s="37"/>
      <c r="F32" s="37"/>
      <c r="G32" s="37"/>
      <c r="H32" s="99"/>
      <c r="I32" s="37"/>
    </row>
    <row r="33">
      <c r="A33" s="64"/>
      <c r="B33" s="37"/>
      <c r="C33" s="106"/>
      <c r="D33" s="37"/>
      <c r="E33" s="37"/>
      <c r="F33" s="37"/>
      <c r="G33" s="37"/>
      <c r="H33" s="99"/>
      <c r="I33" s="37"/>
    </row>
    <row r="34">
      <c r="A34" s="64"/>
      <c r="B34" s="37"/>
      <c r="C34" s="106"/>
      <c r="D34" s="37"/>
      <c r="E34" s="37"/>
      <c r="F34" s="37"/>
      <c r="G34" s="37"/>
      <c r="H34" s="99"/>
      <c r="I34" s="37"/>
    </row>
    <row r="35">
      <c r="A35" s="64"/>
      <c r="B35" s="37"/>
      <c r="C35" s="106"/>
      <c r="D35" s="37"/>
      <c r="E35" s="37"/>
      <c r="F35" s="37"/>
      <c r="G35" s="37"/>
      <c r="H35" s="99"/>
      <c r="I35" s="37"/>
    </row>
    <row r="36">
      <c r="A36" s="64"/>
      <c r="B36" s="37"/>
      <c r="C36" s="37"/>
      <c r="D36" s="37"/>
      <c r="E36" s="37"/>
      <c r="F36" s="37"/>
      <c r="G36" s="37"/>
      <c r="H36" s="99"/>
      <c r="I36" s="37"/>
    </row>
    <row r="37">
      <c r="A37" s="64"/>
      <c r="B37" s="106"/>
      <c r="C37" s="37"/>
      <c r="D37" s="37"/>
      <c r="E37" s="37"/>
      <c r="F37" s="37"/>
      <c r="G37" s="37"/>
      <c r="H37" s="99"/>
      <c r="I37" s="37"/>
    </row>
    <row r="38">
      <c r="A38" s="64"/>
      <c r="B38" s="37"/>
      <c r="C38" s="37"/>
      <c r="D38" s="37"/>
      <c r="E38" s="37"/>
      <c r="F38" s="37"/>
      <c r="G38" s="37"/>
      <c r="H38" s="99"/>
      <c r="I38" s="37"/>
    </row>
    <row r="39">
      <c r="A39" s="64"/>
      <c r="B39" s="37"/>
      <c r="C39" s="37"/>
      <c r="D39" s="37"/>
      <c r="E39" s="37"/>
      <c r="F39" s="37"/>
      <c r="G39" s="37"/>
      <c r="H39" s="99"/>
      <c r="I39" s="37"/>
    </row>
    <row r="40">
      <c r="A40" s="64"/>
      <c r="B40" s="37"/>
      <c r="C40" s="37"/>
      <c r="D40" s="37"/>
      <c r="E40" s="37"/>
      <c r="F40" s="37"/>
      <c r="G40" s="37"/>
      <c r="H40" s="99"/>
      <c r="I40" s="37"/>
    </row>
    <row r="41">
      <c r="A41" s="64"/>
      <c r="B41" s="106"/>
      <c r="C41" s="37"/>
      <c r="D41" s="37"/>
      <c r="E41" s="37"/>
      <c r="F41" s="64"/>
      <c r="G41" s="37"/>
      <c r="H41" s="107"/>
      <c r="I41" s="37"/>
    </row>
    <row r="42">
      <c r="A42" s="64"/>
      <c r="B42" s="37"/>
      <c r="C42" s="37"/>
      <c r="D42" s="37"/>
      <c r="E42" s="37"/>
      <c r="F42" s="64"/>
      <c r="G42" s="37"/>
      <c r="H42" s="107"/>
      <c r="I42" s="37"/>
    </row>
    <row r="43">
      <c r="A43" s="64"/>
      <c r="B43" s="106"/>
      <c r="C43" s="37"/>
      <c r="D43" s="37"/>
      <c r="E43" s="37"/>
      <c r="F43" s="37"/>
      <c r="G43" s="37"/>
      <c r="H43" s="99"/>
      <c r="I43" s="37"/>
    </row>
    <row r="44">
      <c r="A44" s="64"/>
      <c r="B44" s="106"/>
      <c r="C44" s="37"/>
      <c r="D44" s="37"/>
      <c r="E44" s="37"/>
      <c r="F44" s="37"/>
      <c r="G44" s="37"/>
      <c r="H44" s="99"/>
      <c r="I44" s="37"/>
    </row>
    <row r="45">
      <c r="A45" s="64"/>
      <c r="B45" s="106"/>
      <c r="C45" s="37"/>
      <c r="D45" s="37"/>
      <c r="E45" s="37"/>
      <c r="F45" s="37"/>
      <c r="G45" s="37"/>
      <c r="H45" s="99"/>
      <c r="I45" s="37"/>
    </row>
    <row r="46">
      <c r="A46" s="64"/>
      <c r="B46" s="106"/>
      <c r="C46" s="37"/>
      <c r="D46" s="37"/>
      <c r="E46" s="37"/>
      <c r="F46" s="37"/>
      <c r="G46" s="37"/>
      <c r="H46" s="99"/>
      <c r="I46" s="37"/>
    </row>
    <row r="47">
      <c r="A47" s="64"/>
      <c r="B47" s="37"/>
      <c r="C47" s="37"/>
      <c r="D47" s="37"/>
      <c r="E47" s="37"/>
      <c r="F47" s="37"/>
      <c r="G47" s="37"/>
      <c r="H47" s="99"/>
      <c r="I47" s="37"/>
    </row>
    <row r="48">
      <c r="A48" s="64"/>
      <c r="B48" s="37"/>
      <c r="C48" s="37"/>
      <c r="D48" s="37"/>
      <c r="E48" s="37"/>
      <c r="F48" s="37"/>
      <c r="G48" s="37"/>
      <c r="H48" s="99"/>
      <c r="I48" s="37"/>
    </row>
    <row r="49">
      <c r="A49" s="64"/>
      <c r="B49" s="37"/>
      <c r="C49" s="37"/>
      <c r="D49" s="37"/>
      <c r="E49" s="37"/>
      <c r="F49" s="37"/>
      <c r="G49" s="37"/>
      <c r="H49" s="99"/>
      <c r="I49" s="37"/>
    </row>
    <row r="50">
      <c r="A50" s="64"/>
      <c r="B50" s="37"/>
      <c r="C50" s="37"/>
      <c r="D50" s="37"/>
      <c r="E50" s="37"/>
      <c r="F50" s="37"/>
      <c r="G50" s="37"/>
      <c r="H50" s="99"/>
      <c r="I50" s="37"/>
    </row>
    <row r="51">
      <c r="A51" s="64"/>
      <c r="B51" s="37"/>
      <c r="C51" s="37"/>
      <c r="D51" s="37"/>
      <c r="E51" s="37"/>
      <c r="F51" s="37"/>
      <c r="G51" s="37"/>
      <c r="H51" s="99"/>
      <c r="I51" s="37"/>
    </row>
    <row r="52">
      <c r="A52" s="64"/>
      <c r="B52" s="37"/>
      <c r="C52" s="106"/>
      <c r="D52" s="37"/>
      <c r="E52" s="37"/>
      <c r="F52" s="37"/>
      <c r="G52" s="37"/>
      <c r="H52" s="99"/>
      <c r="I52" s="37"/>
    </row>
    <row r="53">
      <c r="A53" s="64"/>
      <c r="B53" s="37"/>
      <c r="C53" s="37"/>
      <c r="D53" s="37"/>
      <c r="E53" s="37"/>
      <c r="F53" s="37"/>
      <c r="G53" s="37"/>
      <c r="H53" s="99"/>
      <c r="I53" s="37"/>
    </row>
    <row r="54">
      <c r="A54" s="64"/>
      <c r="B54" s="37"/>
      <c r="C54" s="106"/>
      <c r="D54" s="37"/>
      <c r="E54" s="37"/>
      <c r="F54" s="37"/>
      <c r="G54" s="37"/>
      <c r="H54" s="99"/>
      <c r="I54" s="37"/>
    </row>
    <row r="55">
      <c r="A55" s="64"/>
      <c r="B55" s="37"/>
      <c r="C55" s="106"/>
      <c r="D55" s="37"/>
      <c r="E55" s="37"/>
      <c r="F55" s="37"/>
      <c r="G55" s="37"/>
      <c r="H55" s="99"/>
      <c r="I55" s="37"/>
    </row>
    <row r="56">
      <c r="A56" s="64"/>
      <c r="B56" s="37"/>
      <c r="C56" s="106"/>
      <c r="D56" s="37"/>
      <c r="E56" s="37"/>
      <c r="F56" s="37"/>
      <c r="G56" s="37"/>
      <c r="H56" s="99"/>
      <c r="I56" s="37"/>
    </row>
    <row r="57">
      <c r="A57" s="64"/>
      <c r="B57" s="37"/>
      <c r="C57" s="106"/>
      <c r="D57" s="37"/>
      <c r="E57" s="37"/>
      <c r="F57" s="37"/>
      <c r="G57" s="37"/>
      <c r="H57" s="99"/>
      <c r="I57" s="37"/>
    </row>
    <row r="58">
      <c r="A58" s="64"/>
      <c r="B58" s="37"/>
      <c r="C58" s="106"/>
      <c r="D58" s="37"/>
      <c r="E58" s="37"/>
      <c r="F58" s="37"/>
      <c r="G58" s="37"/>
      <c r="H58" s="99"/>
      <c r="I58" s="37"/>
    </row>
    <row r="59">
      <c r="A59" s="64"/>
      <c r="B59" s="37"/>
      <c r="C59" s="106"/>
      <c r="D59" s="37"/>
      <c r="E59" s="37"/>
      <c r="F59" s="37"/>
      <c r="G59" s="37"/>
      <c r="H59" s="99"/>
      <c r="I59" s="37"/>
    </row>
    <row r="60">
      <c r="A60" s="64"/>
      <c r="B60" s="37"/>
      <c r="C60" s="106"/>
      <c r="D60" s="37"/>
      <c r="E60" s="37"/>
      <c r="F60" s="37"/>
      <c r="G60" s="37"/>
      <c r="H60" s="99"/>
      <c r="I60" s="37"/>
    </row>
    <row r="61">
      <c r="A61" s="64"/>
      <c r="B61" s="37"/>
      <c r="C61" s="106"/>
      <c r="D61" s="37"/>
      <c r="E61" s="37"/>
      <c r="F61" s="37"/>
      <c r="G61" s="37"/>
      <c r="H61" s="99"/>
      <c r="I61" s="37"/>
    </row>
    <row r="62">
      <c r="A62" s="64"/>
      <c r="B62" s="37"/>
      <c r="C62" s="106"/>
      <c r="D62" s="37"/>
      <c r="E62" s="37"/>
      <c r="F62" s="37"/>
      <c r="G62" s="37"/>
      <c r="H62" s="99"/>
      <c r="I62" s="37"/>
    </row>
    <row r="63">
      <c r="A63" s="64"/>
      <c r="B63" s="37"/>
      <c r="C63" s="106"/>
      <c r="D63" s="37"/>
      <c r="E63" s="37"/>
      <c r="F63" s="37"/>
      <c r="G63" s="37"/>
      <c r="H63" s="99"/>
      <c r="I63" s="37"/>
    </row>
    <row r="64">
      <c r="A64" s="64"/>
      <c r="B64" s="37"/>
      <c r="C64" s="106"/>
      <c r="D64" s="37"/>
      <c r="E64" s="37"/>
      <c r="F64" s="37"/>
      <c r="G64" s="37"/>
      <c r="H64" s="99"/>
      <c r="I64" s="37"/>
    </row>
    <row r="65">
      <c r="A65" s="64"/>
      <c r="B65" s="37"/>
      <c r="C65" s="106"/>
      <c r="D65" s="37"/>
      <c r="E65" s="37"/>
      <c r="F65" s="37"/>
      <c r="G65" s="37"/>
      <c r="H65" s="99"/>
      <c r="I65" s="37"/>
    </row>
    <row r="66">
      <c r="A66" s="64"/>
      <c r="B66" s="37"/>
      <c r="C66" s="106"/>
      <c r="D66" s="37"/>
      <c r="E66" s="37"/>
      <c r="F66" s="37"/>
      <c r="G66" s="37"/>
      <c r="H66" s="99"/>
      <c r="I66" s="37"/>
    </row>
    <row r="67">
      <c r="A67" s="64"/>
      <c r="B67" s="37"/>
      <c r="C67" s="106"/>
      <c r="D67" s="37"/>
      <c r="E67" s="37"/>
      <c r="F67" s="37"/>
      <c r="G67" s="37"/>
      <c r="H67" s="99"/>
      <c r="I67" s="37"/>
    </row>
    <row r="68">
      <c r="A68" s="64"/>
      <c r="B68" s="37"/>
      <c r="C68" s="106"/>
      <c r="D68" s="37"/>
      <c r="E68" s="37"/>
      <c r="F68" s="37"/>
      <c r="G68" s="37"/>
      <c r="H68" s="99"/>
      <c r="I68" s="37"/>
    </row>
    <row r="69">
      <c r="A69" s="64"/>
      <c r="B69" s="37"/>
      <c r="C69" s="106"/>
      <c r="D69" s="37"/>
      <c r="E69" s="37"/>
      <c r="F69" s="37"/>
      <c r="G69" s="37"/>
      <c r="H69" s="99"/>
      <c r="I69" s="37"/>
    </row>
    <row r="70">
      <c r="A70" s="64"/>
      <c r="B70" s="37"/>
      <c r="C70" s="106"/>
      <c r="D70" s="37"/>
      <c r="E70" s="37"/>
      <c r="F70" s="37"/>
      <c r="G70" s="37"/>
      <c r="H70" s="99"/>
      <c r="I70" s="37"/>
    </row>
    <row r="71">
      <c r="A71" s="64"/>
      <c r="B71" s="37"/>
      <c r="C71" s="106"/>
      <c r="D71" s="37"/>
      <c r="E71" s="37"/>
      <c r="F71" s="37"/>
      <c r="G71" s="37"/>
      <c r="H71" s="99"/>
      <c r="I71" s="37"/>
    </row>
    <row r="72">
      <c r="A72" s="64"/>
      <c r="B72" s="37"/>
      <c r="C72" s="106"/>
      <c r="D72" s="37"/>
      <c r="E72" s="37"/>
      <c r="F72" s="37"/>
      <c r="G72" s="37"/>
      <c r="H72" s="99"/>
      <c r="I72" s="37"/>
    </row>
    <row r="73">
      <c r="A73" s="64"/>
      <c r="B73" s="37"/>
      <c r="C73" s="106"/>
      <c r="D73" s="37"/>
      <c r="E73" s="37"/>
      <c r="F73" s="37"/>
      <c r="G73" s="37"/>
      <c r="H73" s="99"/>
      <c r="I73" s="37"/>
    </row>
    <row r="74">
      <c r="A74" s="64"/>
      <c r="B74" s="37"/>
      <c r="C74" s="106"/>
      <c r="D74" s="37"/>
      <c r="E74" s="37"/>
      <c r="F74" s="37"/>
      <c r="G74" s="37"/>
      <c r="H74" s="99"/>
      <c r="I74" s="37"/>
    </row>
    <row r="75">
      <c r="A75" s="64"/>
      <c r="B75" s="37"/>
      <c r="C75" s="106"/>
      <c r="D75" s="37"/>
      <c r="E75" s="37"/>
      <c r="F75" s="37"/>
      <c r="G75" s="37"/>
      <c r="H75" s="99"/>
      <c r="I75" s="37"/>
    </row>
    <row r="76">
      <c r="A76" s="64"/>
      <c r="B76" s="37"/>
      <c r="C76" s="106"/>
      <c r="D76" s="37"/>
      <c r="E76" s="37"/>
      <c r="F76" s="37"/>
      <c r="G76" s="37"/>
      <c r="H76" s="99"/>
      <c r="I76" s="37"/>
    </row>
    <row r="77">
      <c r="A77" s="64"/>
      <c r="B77" s="37"/>
      <c r="C77" s="106"/>
      <c r="D77" s="37"/>
      <c r="E77" s="37"/>
      <c r="F77" s="37"/>
      <c r="G77" s="37"/>
      <c r="H77" s="99"/>
      <c r="I77" s="37"/>
    </row>
    <row r="78">
      <c r="A78" s="64"/>
      <c r="B78" s="37"/>
      <c r="C78" s="106"/>
      <c r="D78" s="37"/>
      <c r="E78" s="37"/>
      <c r="F78" s="37"/>
      <c r="G78" s="37"/>
      <c r="H78" s="99"/>
      <c r="I78" s="37"/>
    </row>
    <row r="79">
      <c r="A79" s="64"/>
      <c r="B79" s="37"/>
      <c r="C79" s="106"/>
      <c r="D79" s="37"/>
      <c r="E79" s="37"/>
      <c r="F79" s="37"/>
      <c r="G79" s="37"/>
      <c r="H79" s="99"/>
      <c r="I79" s="37"/>
    </row>
    <row r="80">
      <c r="A80" s="64"/>
      <c r="B80" s="37"/>
      <c r="C80" s="106"/>
      <c r="D80" s="37"/>
      <c r="E80" s="37"/>
      <c r="F80" s="37"/>
      <c r="G80" s="37"/>
      <c r="H80" s="99"/>
      <c r="I80" s="37"/>
    </row>
    <row r="81">
      <c r="A81" s="64"/>
      <c r="B81" s="37"/>
      <c r="C81" s="106"/>
      <c r="D81" s="37"/>
      <c r="E81" s="37"/>
      <c r="F81" s="37"/>
      <c r="G81" s="37"/>
      <c r="H81" s="99"/>
      <c r="I81" s="37"/>
    </row>
    <row r="82">
      <c r="A82" s="64"/>
      <c r="B82" s="37"/>
      <c r="C82" s="106"/>
      <c r="D82" s="37"/>
      <c r="E82" s="37"/>
      <c r="F82" s="37"/>
      <c r="G82" s="37"/>
      <c r="H82" s="99"/>
      <c r="I82" s="37"/>
    </row>
    <row r="83">
      <c r="A83" s="64"/>
      <c r="B83" s="37"/>
      <c r="C83" s="106"/>
      <c r="D83" s="37"/>
      <c r="E83" s="37"/>
      <c r="F83" s="37"/>
      <c r="G83" s="37"/>
      <c r="H83" s="99"/>
      <c r="I83" s="37"/>
    </row>
    <row r="84">
      <c r="A84" s="64"/>
      <c r="B84" s="37"/>
      <c r="C84" s="106"/>
      <c r="D84" s="37"/>
      <c r="E84" s="37"/>
      <c r="F84" s="37"/>
      <c r="G84" s="37"/>
      <c r="H84" s="99"/>
      <c r="I84" s="37"/>
    </row>
    <row r="85">
      <c r="A85" s="64"/>
      <c r="B85" s="37"/>
      <c r="C85" s="106"/>
      <c r="D85" s="37"/>
      <c r="E85" s="37"/>
      <c r="F85" s="37"/>
      <c r="G85" s="37"/>
      <c r="H85" s="99"/>
      <c r="I85" s="37"/>
    </row>
    <row r="86">
      <c r="A86" s="64"/>
      <c r="B86" s="106"/>
      <c r="C86" s="37"/>
      <c r="D86" s="37"/>
      <c r="E86" s="37"/>
      <c r="F86" s="64"/>
      <c r="G86" s="37"/>
      <c r="H86" s="107"/>
      <c r="I86" s="37"/>
    </row>
    <row r="87">
      <c r="A87" s="64"/>
      <c r="B87" s="106"/>
      <c r="C87" s="37"/>
      <c r="D87" s="37"/>
      <c r="E87" s="37"/>
      <c r="F87" s="64"/>
      <c r="G87" s="37"/>
      <c r="H87" s="107"/>
      <c r="I87" s="37"/>
    </row>
    <row r="88">
      <c r="A88" s="64"/>
      <c r="B88" s="37"/>
      <c r="C88" s="37"/>
      <c r="D88" s="37"/>
      <c r="E88" s="37"/>
      <c r="F88" s="37"/>
      <c r="G88" s="37"/>
      <c r="H88" s="99"/>
      <c r="I88" s="37"/>
    </row>
    <row r="89">
      <c r="A89" s="64"/>
      <c r="B89" s="37"/>
      <c r="C89" s="106"/>
      <c r="D89" s="37"/>
      <c r="E89" s="37"/>
      <c r="F89" s="37"/>
      <c r="G89" s="37"/>
      <c r="H89" s="107"/>
      <c r="I89" s="37"/>
    </row>
    <row r="90">
      <c r="A90" s="64"/>
      <c r="B90" s="37"/>
      <c r="C90" s="37"/>
      <c r="D90" s="37"/>
      <c r="E90" s="37"/>
      <c r="F90" s="37"/>
      <c r="G90" s="37"/>
      <c r="H90" s="99"/>
      <c r="I90" s="37"/>
    </row>
    <row r="91">
      <c r="A91" s="64"/>
      <c r="B91" s="37"/>
      <c r="C91" s="37"/>
      <c r="D91" s="37"/>
      <c r="E91" s="37"/>
      <c r="F91" s="37"/>
      <c r="G91" s="37"/>
      <c r="H91" s="99"/>
      <c r="I91" s="37"/>
    </row>
    <row r="92">
      <c r="A92" s="64"/>
      <c r="B92" s="106"/>
      <c r="C92" s="37"/>
      <c r="D92" s="37"/>
      <c r="E92" s="37"/>
      <c r="F92" s="64"/>
      <c r="G92" s="37"/>
      <c r="H92" s="107"/>
      <c r="I92" s="37"/>
    </row>
    <row r="93">
      <c r="A93" s="64"/>
      <c r="B93" s="37"/>
      <c r="C93" s="37"/>
      <c r="D93" s="37"/>
      <c r="E93" s="37"/>
      <c r="F93" s="64"/>
      <c r="G93" s="37"/>
      <c r="H93" s="107"/>
      <c r="I93" s="37"/>
    </row>
    <row r="94">
      <c r="A94" s="64"/>
      <c r="B94" s="106"/>
      <c r="C94" s="37"/>
      <c r="D94" s="37"/>
      <c r="E94" s="37"/>
      <c r="F94" s="64"/>
      <c r="G94" s="37"/>
      <c r="H94" s="107"/>
      <c r="I94" s="37"/>
    </row>
    <row r="95">
      <c r="A95" s="64"/>
      <c r="B95" s="37"/>
      <c r="C95" s="106"/>
      <c r="D95" s="37"/>
      <c r="E95" s="37"/>
      <c r="F95" s="37"/>
      <c r="G95" s="37"/>
      <c r="H95" s="99"/>
      <c r="I95" s="37"/>
    </row>
    <row r="96">
      <c r="A96" s="64"/>
      <c r="B96" s="37"/>
      <c r="C96" s="106"/>
      <c r="D96" s="37"/>
      <c r="E96" s="37"/>
      <c r="F96" s="37"/>
      <c r="G96" s="37"/>
      <c r="H96" s="99"/>
      <c r="I96" s="37"/>
    </row>
    <row r="97">
      <c r="A97" s="64"/>
      <c r="B97" s="37"/>
      <c r="C97" s="106"/>
      <c r="D97" s="37"/>
      <c r="E97" s="37"/>
      <c r="F97" s="37"/>
      <c r="G97" s="37"/>
      <c r="H97" s="99"/>
      <c r="I97" s="37"/>
    </row>
    <row r="98">
      <c r="A98" s="64"/>
      <c r="B98" s="37"/>
      <c r="C98" s="106"/>
      <c r="D98" s="37"/>
      <c r="E98" s="37"/>
      <c r="F98" s="37"/>
      <c r="G98" s="37"/>
      <c r="H98" s="99"/>
      <c r="I98" s="37"/>
    </row>
    <row r="99">
      <c r="A99" s="64"/>
      <c r="B99" s="37"/>
      <c r="C99" s="106"/>
      <c r="D99" s="37"/>
      <c r="E99" s="37"/>
      <c r="F99" s="37"/>
      <c r="G99" s="37"/>
      <c r="H99" s="99"/>
      <c r="I99" s="37"/>
    </row>
    <row r="100">
      <c r="A100" s="64"/>
      <c r="B100" s="37"/>
      <c r="C100" s="37"/>
      <c r="D100" s="37"/>
      <c r="E100" s="37"/>
      <c r="F100" s="37"/>
      <c r="G100" s="37"/>
      <c r="H100" s="99"/>
      <c r="I100" s="37"/>
    </row>
    <row r="101">
      <c r="A101" s="64"/>
      <c r="B101" s="106"/>
      <c r="C101" s="37"/>
      <c r="D101" s="37"/>
      <c r="E101" s="37"/>
      <c r="F101" s="64"/>
      <c r="G101" s="37"/>
      <c r="H101" s="107"/>
      <c r="I101" s="37"/>
    </row>
    <row r="102">
      <c r="A102" s="64"/>
      <c r="B102" s="37"/>
      <c r="C102" s="106"/>
      <c r="D102" s="37"/>
      <c r="E102" s="37"/>
      <c r="F102" s="37"/>
      <c r="G102" s="37"/>
      <c r="H102" s="99"/>
      <c r="I102" s="37"/>
    </row>
    <row r="103">
      <c r="A103" s="64"/>
      <c r="B103" s="37"/>
      <c r="C103" s="106"/>
      <c r="D103" s="37"/>
      <c r="E103" s="37"/>
      <c r="F103" s="37"/>
      <c r="G103" s="37"/>
      <c r="H103" s="99"/>
      <c r="I103" s="37"/>
    </row>
    <row r="104">
      <c r="A104" s="64"/>
      <c r="B104" s="37"/>
      <c r="C104" s="106"/>
      <c r="D104" s="37"/>
      <c r="E104" s="37"/>
      <c r="F104" s="37"/>
      <c r="G104" s="37"/>
      <c r="H104" s="99"/>
      <c r="I104" s="37"/>
    </row>
    <row r="105">
      <c r="A105" s="64"/>
      <c r="B105" s="106"/>
      <c r="C105" s="37"/>
      <c r="D105" s="37"/>
      <c r="E105" s="37"/>
      <c r="F105" s="64"/>
      <c r="G105" s="37"/>
      <c r="H105" s="107"/>
      <c r="I105" s="37"/>
    </row>
    <row r="106">
      <c r="A106" s="64"/>
      <c r="B106" s="37"/>
      <c r="C106" s="106"/>
      <c r="D106" s="37"/>
      <c r="E106" s="37"/>
      <c r="F106" s="37"/>
      <c r="G106" s="37"/>
      <c r="H106" s="99"/>
      <c r="I106" s="37"/>
    </row>
    <row r="107">
      <c r="A107" s="64"/>
      <c r="B107" s="106"/>
      <c r="C107" s="37"/>
      <c r="D107" s="37"/>
      <c r="E107" s="37"/>
      <c r="F107" s="64"/>
      <c r="G107" s="37"/>
      <c r="H107" s="107"/>
      <c r="I107" s="37"/>
    </row>
    <row r="108">
      <c r="A108" s="64"/>
      <c r="B108" s="106"/>
      <c r="C108" s="37"/>
      <c r="D108" s="37"/>
      <c r="E108" s="37"/>
      <c r="F108" s="37"/>
      <c r="G108" s="37"/>
      <c r="H108" s="99"/>
      <c r="I108" s="37"/>
    </row>
    <row r="109">
      <c r="A109" s="64"/>
      <c r="B109" s="106"/>
      <c r="C109" s="37"/>
      <c r="D109" s="37"/>
      <c r="E109" s="37"/>
      <c r="F109" s="64"/>
      <c r="G109" s="37"/>
      <c r="H109" s="107"/>
      <c r="I109" s="37"/>
    </row>
    <row r="110">
      <c r="A110" s="64"/>
      <c r="B110" s="106"/>
      <c r="C110" s="37"/>
      <c r="D110" s="37"/>
      <c r="E110" s="37"/>
      <c r="F110" s="64"/>
      <c r="G110" s="37"/>
      <c r="H110" s="107"/>
      <c r="I110" s="37"/>
    </row>
    <row r="111">
      <c r="A111" s="64"/>
      <c r="B111" s="106"/>
      <c r="C111" s="37"/>
      <c r="D111" s="37"/>
      <c r="E111" s="37"/>
      <c r="F111" s="64"/>
      <c r="G111" s="37"/>
      <c r="H111" s="107"/>
      <c r="I111" s="37"/>
    </row>
    <row r="112">
      <c r="A112" s="37"/>
      <c r="B112" s="37"/>
      <c r="C112" s="106"/>
      <c r="D112" s="37"/>
      <c r="E112" s="37"/>
      <c r="F112" s="37"/>
      <c r="G112" s="37"/>
      <c r="H112" s="99"/>
      <c r="I112" s="37"/>
    </row>
    <row r="113">
      <c r="A113" s="64"/>
      <c r="B113" s="37"/>
      <c r="C113" s="37"/>
      <c r="D113" s="37"/>
      <c r="E113" s="37"/>
      <c r="F113" s="64"/>
      <c r="G113" s="37"/>
      <c r="H113" s="107"/>
      <c r="I113" s="37"/>
    </row>
    <row r="114">
      <c r="A114" s="64"/>
      <c r="B114" s="37"/>
      <c r="C114" s="37"/>
      <c r="D114" s="37"/>
      <c r="E114" s="37"/>
      <c r="F114" s="64"/>
      <c r="G114" s="37"/>
      <c r="H114" s="107"/>
      <c r="I114" s="37"/>
    </row>
    <row r="115">
      <c r="A115" s="64"/>
      <c r="B115" s="106"/>
      <c r="C115" s="37"/>
      <c r="D115" s="37"/>
      <c r="E115" s="37"/>
      <c r="F115" s="64"/>
      <c r="G115" s="37"/>
      <c r="H115" s="107"/>
      <c r="I115" s="37"/>
    </row>
    <row r="116">
      <c r="A116" s="64"/>
      <c r="B116" s="37"/>
      <c r="C116" s="106"/>
      <c r="D116" s="37"/>
      <c r="E116" s="37"/>
      <c r="F116" s="37"/>
      <c r="G116" s="37"/>
      <c r="H116" s="99"/>
      <c r="I116" s="37"/>
    </row>
    <row r="117">
      <c r="A117" s="64"/>
      <c r="B117" s="37"/>
      <c r="C117" s="106"/>
      <c r="D117" s="37"/>
      <c r="E117" s="37"/>
      <c r="F117" s="37"/>
      <c r="G117" s="37"/>
      <c r="H117" s="99"/>
      <c r="I117" s="37"/>
    </row>
    <row r="118">
      <c r="A118" s="64"/>
      <c r="B118" s="106"/>
      <c r="C118" s="37"/>
      <c r="D118" s="37"/>
      <c r="E118" s="37"/>
      <c r="F118" s="64"/>
      <c r="G118" s="37"/>
      <c r="H118" s="107"/>
      <c r="I118" s="64"/>
    </row>
    <row r="119">
      <c r="A119" s="64"/>
      <c r="B119" s="106"/>
      <c r="C119" s="37"/>
      <c r="D119" s="37"/>
      <c r="E119" s="37"/>
      <c r="F119" s="64"/>
      <c r="G119" s="37"/>
      <c r="H119" s="107"/>
      <c r="I119" s="64"/>
    </row>
    <row r="120">
      <c r="A120" s="64"/>
      <c r="B120" s="106"/>
      <c r="C120" s="37"/>
      <c r="D120" s="37"/>
      <c r="E120" s="37"/>
      <c r="F120" s="64"/>
      <c r="G120" s="37"/>
      <c r="H120" s="107"/>
      <c r="I120" s="37"/>
    </row>
    <row r="121">
      <c r="A121" s="64"/>
      <c r="B121" s="37"/>
      <c r="C121" s="37"/>
      <c r="D121" s="37"/>
      <c r="E121" s="37"/>
      <c r="F121" s="37"/>
      <c r="G121" s="37"/>
      <c r="H121" s="99"/>
      <c r="I121" s="37"/>
    </row>
    <row r="122">
      <c r="A122" s="64"/>
      <c r="B122" s="106"/>
      <c r="C122" s="37"/>
      <c r="D122" s="37"/>
      <c r="E122" s="37"/>
      <c r="F122" s="64"/>
      <c r="G122" s="37"/>
      <c r="H122" s="107"/>
      <c r="I122" s="37"/>
    </row>
    <row r="123">
      <c r="A123" s="64"/>
      <c r="B123" s="106"/>
      <c r="C123" s="37"/>
      <c r="D123" s="37"/>
      <c r="E123" s="37"/>
      <c r="F123" s="37"/>
      <c r="G123" s="37"/>
      <c r="H123" s="99"/>
      <c r="I123" s="37"/>
    </row>
    <row r="124">
      <c r="A124" s="64"/>
      <c r="B124" s="106"/>
      <c r="C124" s="37"/>
      <c r="D124" s="37"/>
      <c r="E124" s="37"/>
      <c r="F124" s="64"/>
      <c r="G124" s="37"/>
      <c r="H124" s="107"/>
      <c r="I124" s="37"/>
    </row>
    <row r="125">
      <c r="A125" s="64"/>
      <c r="B125" s="37"/>
      <c r="C125" s="106"/>
      <c r="D125" s="37"/>
      <c r="E125" s="37"/>
      <c r="F125" s="37"/>
      <c r="G125" s="37"/>
      <c r="H125" s="99"/>
      <c r="I125" s="37"/>
    </row>
    <row r="126">
      <c r="A126" s="64"/>
      <c r="B126" s="106"/>
      <c r="C126" s="37"/>
      <c r="D126" s="37"/>
      <c r="E126" s="37"/>
      <c r="F126" s="64"/>
      <c r="G126" s="37"/>
      <c r="H126" s="107"/>
      <c r="I126" s="37"/>
    </row>
    <row r="127">
      <c r="A127" s="64"/>
      <c r="B127" s="37"/>
      <c r="C127" s="106"/>
      <c r="D127" s="37"/>
      <c r="E127" s="37"/>
      <c r="F127" s="37"/>
      <c r="G127" s="37"/>
      <c r="H127" s="99"/>
      <c r="I127" s="37"/>
    </row>
    <row r="128">
      <c r="A128" s="64"/>
      <c r="B128" s="37"/>
      <c r="C128" s="106"/>
      <c r="H128" s="108"/>
    </row>
    <row r="129">
      <c r="A129" s="64"/>
      <c r="B129" s="37"/>
      <c r="C129" s="106"/>
      <c r="H129" s="108"/>
    </row>
    <row r="130">
      <c r="H130" s="108"/>
    </row>
    <row r="131">
      <c r="H131" s="108"/>
    </row>
    <row r="132">
      <c r="H132" s="108"/>
    </row>
    <row r="133">
      <c r="H133" s="108"/>
    </row>
    <row r="134">
      <c r="H134" s="108"/>
    </row>
    <row r="135">
      <c r="H135" s="108"/>
    </row>
    <row r="136">
      <c r="H136" s="108"/>
    </row>
    <row r="137">
      <c r="H137" s="108"/>
    </row>
    <row r="138">
      <c r="H138" s="108"/>
    </row>
    <row r="139">
      <c r="H139" s="108"/>
    </row>
    <row r="140">
      <c r="H140" s="108"/>
    </row>
    <row r="141">
      <c r="H141" s="108"/>
    </row>
    <row r="142">
      <c r="H142" s="108"/>
    </row>
    <row r="143">
      <c r="H143" s="108"/>
    </row>
    <row r="144">
      <c r="H144" s="108"/>
    </row>
    <row r="145">
      <c r="H145" s="108"/>
    </row>
    <row r="146">
      <c r="H146" s="108"/>
    </row>
    <row r="147">
      <c r="H147" s="108"/>
    </row>
    <row r="148">
      <c r="H148" s="108"/>
    </row>
    <row r="149">
      <c r="H149" s="108"/>
    </row>
    <row r="150">
      <c r="H150" s="108"/>
    </row>
    <row r="151">
      <c r="H151" s="108"/>
    </row>
    <row r="152">
      <c r="H152" s="108"/>
    </row>
    <row r="153">
      <c r="H153" s="108"/>
    </row>
    <row r="154">
      <c r="H154" s="108"/>
    </row>
    <row r="155">
      <c r="H155" s="108"/>
    </row>
    <row r="156">
      <c r="H156" s="108"/>
    </row>
    <row r="157">
      <c r="H157" s="108"/>
    </row>
    <row r="158">
      <c r="H158" s="108"/>
    </row>
    <row r="159">
      <c r="H159" s="108"/>
    </row>
    <row r="160">
      <c r="H160" s="108"/>
    </row>
    <row r="161">
      <c r="H161" s="108"/>
    </row>
    <row r="162">
      <c r="H162" s="108"/>
    </row>
    <row r="163">
      <c r="H163" s="108"/>
    </row>
    <row r="164">
      <c r="H164" s="108"/>
    </row>
    <row r="165">
      <c r="H165" s="108"/>
    </row>
    <row r="166">
      <c r="H166" s="108"/>
    </row>
    <row r="167">
      <c r="H167" s="108"/>
    </row>
    <row r="168">
      <c r="H168" s="108"/>
    </row>
    <row r="169">
      <c r="H169" s="108"/>
    </row>
    <row r="170">
      <c r="H170" s="108"/>
    </row>
    <row r="171">
      <c r="H171" s="108"/>
    </row>
    <row r="172">
      <c r="H172" s="108"/>
    </row>
    <row r="173">
      <c r="H173" s="108"/>
    </row>
    <row r="174">
      <c r="H174" s="108"/>
    </row>
    <row r="175">
      <c r="H175" s="108"/>
    </row>
  </sheetData>
  <conditionalFormatting sqref="F10:F11 F13:F999">
    <cfRule type="cellIs" dxfId="0" priority="1" operator="greaterThan">
      <formula>$P$1</formula>
    </cfRule>
  </conditionalFormatting>
  <conditionalFormatting sqref="B8">
    <cfRule type="cellIs" dxfId="0" priority="2" operator="lessThan">
      <formula>counta(B10:B1070)</formula>
    </cfRule>
  </conditionalFormatting>
  <dataValidations>
    <dataValidation type="list" allowBlank="1" sqref="B2">
      <formula1>ItemEquipCombine!$A$1:$A1070</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outlinePr summaryBelow="0" summaryRight="0"/>
  </sheetPr>
  <sheetViews>
    <sheetView workbookViewId="0"/>
  </sheetViews>
  <sheetFormatPr customHeight="1" defaultColWidth="12.63" defaultRowHeight="15.75"/>
  <cols>
    <col customWidth="1" min="1" max="1" width="17.75"/>
  </cols>
  <sheetData>
    <row r="1">
      <c r="C1" s="14" t="s">
        <v>245</v>
      </c>
    </row>
    <row r="2">
      <c r="B2" s="14" t="s">
        <v>246</v>
      </c>
      <c r="C2" s="76" t="s">
        <v>247</v>
      </c>
      <c r="D2" s="14" t="s">
        <v>246</v>
      </c>
    </row>
    <row r="3">
      <c r="B3" s="101">
        <v>100.0</v>
      </c>
      <c r="C3" s="76" t="s">
        <v>248</v>
      </c>
      <c r="D3" s="98">
        <f>(B3*(1/value(VLOOKUP(B2,MoneyRates!A:B,2,FALSE))))*value(VLOOKUP(D2,MoneyRates!A:B,2,FALSE))</f>
        <v>100</v>
      </c>
    </row>
    <row r="5">
      <c r="A5" s="38" t="s">
        <v>249</v>
      </c>
    </row>
    <row r="6">
      <c r="A6" s="14" t="s">
        <v>250</v>
      </c>
      <c r="B6" s="101">
        <v>100000.0</v>
      </c>
    </row>
    <row r="7">
      <c r="A7" s="14" t="s">
        <v>251</v>
      </c>
      <c r="B7" s="101">
        <v>0.0</v>
      </c>
    </row>
    <row r="8">
      <c r="A8" s="14" t="s">
        <v>252</v>
      </c>
      <c r="B8" s="101">
        <v>0.0</v>
      </c>
    </row>
    <row r="9">
      <c r="A9" s="14" t="s">
        <v>253</v>
      </c>
      <c r="B9" s="101">
        <v>0.0</v>
      </c>
    </row>
    <row r="10">
      <c r="A10" s="14" t="s">
        <v>254</v>
      </c>
      <c r="B10" s="101">
        <v>0.0</v>
      </c>
    </row>
    <row r="11">
      <c r="A11" s="14" t="s">
        <v>255</v>
      </c>
      <c r="B11" s="101">
        <v>0.0</v>
      </c>
    </row>
    <row r="12">
      <c r="B12" s="101"/>
    </row>
    <row r="13">
      <c r="B13" s="101"/>
    </row>
    <row r="14">
      <c r="B14" s="101"/>
    </row>
    <row r="15">
      <c r="B15" s="101"/>
    </row>
  </sheetData>
  <mergeCells count="1">
    <mergeCell ref="A5:B5"/>
  </mergeCells>
  <dataValidations>
    <dataValidation type="list" allowBlank="1" sqref="B2 D2">
      <formula1>MoneyRates!$A$1:$A$15</formula1>
    </dataValidation>
    <dataValidation type="decimal" operator="lessThanOrEqual" allowBlank="1" showDropDown="1" showInputMessage="1" showErrorMessage="1" prompt="You can only hold less than $900,000,000,000" sqref="B6:B15">
      <formula1>9.0E11</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A64D79"/>
    <outlinePr summaryBelow="0" summaryRight="0"/>
  </sheetPr>
  <sheetViews>
    <sheetView workbookViewId="0"/>
  </sheetViews>
  <sheetFormatPr customHeight="1" defaultColWidth="12.63" defaultRowHeight="15.75"/>
  <cols>
    <col customWidth="1" min="2" max="2" width="23.5"/>
    <col customWidth="1" min="3" max="3" width="20.38"/>
    <col customWidth="1" min="4" max="4" width="22.88"/>
    <col customWidth="1" min="5" max="5" width="21.63"/>
  </cols>
  <sheetData>
    <row r="5">
      <c r="B5" s="1" t="str">
        <f>Character!B5</f>
        <v>👤 Name: Archer of Swiftness (Change Name)</v>
      </c>
      <c r="C5" s="2"/>
      <c r="D5" s="109" t="str">
        <f>Character!D5</f>
        <v>📜 Titles:
</v>
      </c>
      <c r="E5" s="2"/>
    </row>
    <row r="6">
      <c r="B6" s="9" t="str">
        <f>Character!B7</f>
        <v>♀️♂️ Sex: 
🧓👵 Age:
📈 Height:
⚖️ Weight:</v>
      </c>
      <c r="C6" s="2"/>
      <c r="D6" s="10" t="str">
        <f>Character!D7</f>
        <v>🧧 Guild 1: 
Rank: 
Completed Quests: 
- 
🧧 Guild 2: 
Rank: 
Completed Quests: 
- 
🧧 Guild 3: 
Rank: 
Completed Quests: 
- </v>
      </c>
      <c r="E6" s="2"/>
    </row>
    <row r="7">
      <c r="B7" s="11" t="str">
        <f>Character!B8</f>
        <v>⭐ Level: 200</v>
      </c>
      <c r="C7" s="13" t="str">
        <f>"Total Perk Points: "&amp;Leveler!C13</f>
        <v>Total Perk Points: 100</v>
      </c>
      <c r="D7" s="6"/>
      <c r="E7" s="2"/>
    </row>
    <row r="8">
      <c r="B8" s="11" t="str">
        <f>Character!B9</f>
        <v>🤝 Loyalty Score: </v>
      </c>
      <c r="C8" s="13" t="str">
        <f>"🏰 Starter Town: "&amp;Leveler!F4</f>
        <v>🏰 Starter Town: </v>
      </c>
      <c r="D8" s="6"/>
      <c r="E8" s="2"/>
    </row>
    <row r="9">
      <c r="B9" s="13" t="str">
        <f>"🧞‍♂️ Race: "&amp;IF(Leveler!F2,Leveler!H1&amp;CHAR(10)&amp;"Half Race: "&amp;Leveler!H2,Leveler!H1)</f>
        <v>🧞‍♂️ Race: Halfling</v>
      </c>
      <c r="C9" s="2"/>
      <c r="D9" s="13" t="str">
        <f>"🏹 Class: "&amp;IF(Leveler!I2,Leveler!K1&amp;CHAR(10)&amp;"Half Class: "&amp;Leveler!K2,Leveler!K1)</f>
        <v>🏹 Class: Mage
Half Class: Archer</v>
      </c>
      <c r="E9" s="2"/>
    </row>
    <row r="10">
      <c r="B10" s="11" t="str">
        <f>"⚔️ Attack: "&amp;Leveler!B18+F12</f>
        <v>⚔️ Attack: 219</v>
      </c>
      <c r="C10" s="11" t="str">
        <f>"🛡️ Defense: "&amp;Leveler!C18+G12</f>
        <v>🛡️ Defense: 1019</v>
      </c>
      <c r="D10" s="11" t="str">
        <f>"🎯 Accuracy: "&amp;Leveler!D18+H12</f>
        <v>🎯 Accuracy: 219</v>
      </c>
      <c r="E10" s="11" t="str">
        <f>"😇[P] Charisma: "&amp;Leveler!E20+I12</f>
        <v>😇[P] Charisma: 5</v>
      </c>
    </row>
    <row r="11">
      <c r="B11" s="19" t="str">
        <f>"🤯[P] Wisdom: "&amp;Leveler!F20+F14</f>
        <v>🤯[P] Wisdom: 5</v>
      </c>
      <c r="C11" s="11" t="str">
        <f>"❤️[P] Constitution: "&amp;Leveler!G20+G14</f>
        <v>❤️[P] Constitution: 77</v>
      </c>
      <c r="D11" s="11" t="str">
        <f>"🏃‍♀️[P] Evasion: "&amp;Leveler!H20+H14</f>
        <v>🏃‍♀️[P] Evasion: 18</v>
      </c>
      <c r="E11" s="11" t="str">
        <f>"😈[P] Intimidation: "&amp;Leveler!I20+I14</f>
        <v>😈[P] Intimidation: 5</v>
      </c>
    </row>
    <row r="12">
      <c r="B12" s="13" t="str">
        <f>"💡 Intelligence: "&amp;Leveler!K18</f>
        <v>💡 Intelligence: </v>
      </c>
      <c r="C12" s="2"/>
      <c r="D12" s="13" t="str">
        <f>"🏊‍♀🏃‍♀️[P]  Mobility: "&amp;Leveler!J20</f>
        <v>🏊‍♀🏃‍♀️[P]  Mobility: 8</v>
      </c>
      <c r="E12" s="2"/>
    </row>
    <row r="13">
      <c r="B13" s="24" t="str">
        <f>"❤️ HP: "&amp;Leveler!B23-F10&amp;"/"&amp;Leveler!B23</f>
        <v>❤️ HP: 604/604</v>
      </c>
      <c r="C13" s="2"/>
      <c r="D13" s="24" t="str">
        <f>"🧪 SP: "&amp;Leveler!C23-G10&amp;"/"&amp;Leveler!C23</f>
        <v>🧪 SP: 604/604</v>
      </c>
      <c r="E13" s="2"/>
    </row>
    <row r="14">
      <c r="B14" s="13" t="str">
        <f>"🍗 Hunger: "&amp;Leveler!D23-H10&amp;"/"&amp;Leveler!D23</f>
        <v>🍗 Hunger: 219/219</v>
      </c>
      <c r="C14" s="2"/>
      <c r="D14" s="13" t="str">
        <f>"💧 Thirst: "&amp;Leveler!E23-I10&amp;"/"&amp;Leveler!E23</f>
        <v>💧 Thirst: 219/219</v>
      </c>
      <c r="E14" s="2"/>
    </row>
    <row r="15">
      <c r="B15" s="13" t="str">
        <f>"⚡ Energy: "&amp;Leveler!F23-J10&amp;"/"&amp;Leveler!F23</f>
        <v>⚡ Energy: 219/219</v>
      </c>
      <c r="C15" s="2"/>
      <c r="D15" s="13" t="str">
        <f>"🐟 Astrological Sign: "&amp;Leveler!I6</f>
        <v>🐟 Astrological Sign: Taurus</v>
      </c>
      <c r="E15" s="2"/>
    </row>
    <row r="16">
      <c r="B16" s="24" t="str">
        <f>Character!B17</f>
        <v>🎭 Alignment: </v>
      </c>
      <c r="C16" s="6"/>
      <c r="D16" s="6"/>
      <c r="E16" s="2"/>
    </row>
    <row r="17">
      <c r="B17" s="13" t="str">
        <f>"🧞‍♂️ Race Bonuses: "&amp;VLOOKUP(Leveler!$H$1,Races!$A$2:$R1000,MATCH("StatBonus",Races!$A$1:$R$1,0),FALSE)&amp;CHAR(10)&amp;IF(Leveler!$F$2,VLOOKUP(Leveler!$H$2,Races!$A$2:$R1000,MATCH("Ability",Races!$A$1:$R$1,0),FALSE),VLOOKUP(Leveler!$H$1,Races!$A$2:$R1000,MATCH("Ability",Races!$A$1:$R$1,0),FALSE))</f>
        <v>🧞‍♂️ Race Bonuses: +3 Mobility, +3 Evasion, +2 Constitution
Has a 20% chance of any attack missing them</v>
      </c>
      <c r="C17" s="6"/>
      <c r="D17" s="6"/>
      <c r="E17" s="2"/>
    </row>
    <row r="18">
      <c r="B18" s="13" t="str">
        <f>"Class Bonuses: "&amp;VLOOKUP(Leveler!$K$1,Classes!$A$2:$R1000,MATCH("SpellRank",Classes!$A$1:$R$1,0),FALSE)&amp;CHAR(10)&amp;IF(Leveler!$I$2,VLOOKUP(Leveler!$K$2,Classes!$A$2:$R1000,MATCH("Ability",Classes!$A$1:$R$1,0),FALSE),VLOOKUP(Leveler!$K$1,Classes!$A$2:$R1000,MATCH("Ability",Classes!$A$1:$R$1,0),FALSE))&amp;IF(Leveler!B13&gt;199,CHAR(10)&amp;CHAR(10)&amp;"Enhanced Class Bonuses: "&amp;VLOOKUP(Leveler!$K$3,EnhancedClasses!$B$2:$R1000,MATCH("SpellRank",EnhancedClasses!$B$1:$R$1,0),FALSE)&amp;CHAR(10)&amp;IF(Leveler!$I$2,VLOOKUP(Leveler!$K$4,EnhancedClasses!$B$2:$R1000,MATCH("Ability1",EnhancedClasses!$B$1:$R$1,0),FALSE)&amp;CHAR(10)&amp;VLOOKUP(Leveler!$K$4,EnhancedClasses!$B$2:$R1000,MATCH("Ability2",EnhancedClasses!$B$1:$R$1,0),FALSE)&amp;CHAR(10)&amp;VLOOKUP(Leveler!$K$4,EnhancedClasses!$B$2:$R1000,MATCH("Ability3",EnhancedClasses!$B$1:$R$1,0),FALSE)&amp;CHAR(10)&amp;VLOOKUP(Leveler!$K$4,EnhancedClasses!$B$2:$R1000,MATCH("Ability4",EnhancedClasses!$B$1:$R$1,0),FALSE),VLOOKUP(Leveler!$K$3,EnhancedClasses!$B$2:$R1000,MATCH("Ability1",EnhancedClasses!$B$1:$R$1,0),FALSE)&amp;CHAR(10)&amp;VLOOKUP(Leveler!$K$3,EnhancedClasses!$B$2:$R1000,MATCH("Ability2",EnhancedClasses!$B$1:$R$1,0),FALSE)&amp;CHAR(10)&amp;VLOOKUP(Leveler!$K$3,EnhancedClasses!$B$2:$R1000,MATCH("Ability3",EnhancedClasses!$B$1:$R$1,0),FALSE)&amp;CHAR(10)&amp;VLOOKUP(Leveler!$K$3,EnhancedClasses!$B$2:$R1000,MATCH("Ability4",EnhancedClasses!$B$1:$R$1,0),FALSE)),"")</f>
        <v>Class Bonuses: Rank 9 Select 1 of any element. (excluding Zen and Acoustic)
X6 damage with bows.
+5 evasion
Enhanced Class Bonuses: Rank 9 in all Elements (excluding Zen and Acoustic)
Add your mobility and evasion while evading.
X6 damage with bows.
Add mobilty when attacking with a bow.
</v>
      </c>
      <c r="C18" s="6"/>
      <c r="D18" s="6"/>
      <c r="E18" s="2"/>
    </row>
    <row r="19">
      <c r="B19" s="13" t="str">
        <f>Character!B20</f>
        <v>Other Bonuses: </v>
      </c>
      <c r="C19" s="6"/>
      <c r="D19" s="6"/>
      <c r="E19" s="2"/>
    </row>
    <row r="20">
      <c r="B20" s="13" t="str">
        <f>Character!B21</f>
        <v>Resistances: 
Vulnerabilities: </v>
      </c>
      <c r="C20" s="6"/>
      <c r="D20" s="6"/>
      <c r="E20" s="2"/>
    </row>
    <row r="21">
      <c r="B21" s="110" t="s">
        <v>256</v>
      </c>
      <c r="C21" s="6"/>
      <c r="D21" s="6"/>
      <c r="E21" s="2"/>
    </row>
    <row r="22">
      <c r="B22" s="111"/>
      <c r="E22" s="35"/>
    </row>
    <row r="23">
      <c r="B23" s="74"/>
      <c r="E23" s="35"/>
    </row>
    <row r="24">
      <c r="B24" s="74"/>
      <c r="E24" s="35"/>
    </row>
    <row r="25">
      <c r="B25" s="74"/>
      <c r="E25" s="35"/>
    </row>
    <row r="26">
      <c r="B26" s="74"/>
      <c r="E26" s="35"/>
    </row>
    <row r="27">
      <c r="B27" s="74"/>
      <c r="E27" s="35"/>
    </row>
    <row r="28">
      <c r="B28" s="74"/>
      <c r="E28" s="35"/>
    </row>
    <row r="29">
      <c r="B29" s="74"/>
      <c r="E29" s="35"/>
    </row>
    <row r="30">
      <c r="B30" s="74"/>
      <c r="E30" s="35"/>
    </row>
    <row r="31">
      <c r="B31" s="74"/>
      <c r="E31" s="35"/>
    </row>
    <row r="32">
      <c r="B32" s="74"/>
      <c r="E32" s="35"/>
    </row>
    <row r="33">
      <c r="B33" s="74"/>
      <c r="E33" s="35"/>
    </row>
    <row r="34">
      <c r="B34" s="74"/>
      <c r="E34" s="35"/>
    </row>
    <row r="35">
      <c r="B35" s="74"/>
      <c r="E35" s="35"/>
    </row>
    <row r="36">
      <c r="B36" s="74"/>
      <c r="E36" s="35"/>
    </row>
    <row r="37">
      <c r="B37" s="74"/>
      <c r="E37" s="35"/>
    </row>
    <row r="38">
      <c r="B38" s="74"/>
      <c r="E38" s="35"/>
    </row>
    <row r="39">
      <c r="B39" s="74"/>
      <c r="E39" s="35"/>
    </row>
    <row r="40">
      <c r="B40" s="74"/>
      <c r="E40" s="35"/>
    </row>
    <row r="41">
      <c r="B41" s="74"/>
      <c r="E41" s="35"/>
    </row>
    <row r="42">
      <c r="B42" s="74"/>
      <c r="E42" s="35"/>
    </row>
    <row r="43">
      <c r="B43" s="74"/>
      <c r="E43" s="35"/>
    </row>
    <row r="44">
      <c r="B44" s="74"/>
      <c r="E44" s="35"/>
    </row>
    <row r="45">
      <c r="B45" s="74"/>
      <c r="E45" s="35"/>
    </row>
    <row r="46">
      <c r="B46" s="74"/>
      <c r="E46" s="35"/>
    </row>
    <row r="47">
      <c r="B47" s="74"/>
      <c r="E47" s="35"/>
    </row>
    <row r="48">
      <c r="B48" s="74"/>
      <c r="E48" s="35"/>
    </row>
    <row r="49">
      <c r="B49" s="74"/>
      <c r="E49" s="35"/>
    </row>
    <row r="50">
      <c r="B50" s="74"/>
      <c r="E50" s="35"/>
    </row>
    <row r="51">
      <c r="B51" s="74"/>
      <c r="E51" s="35"/>
    </row>
    <row r="52">
      <c r="B52" s="74"/>
      <c r="E52" s="35"/>
    </row>
    <row r="53">
      <c r="B53" s="74"/>
      <c r="E53" s="35"/>
    </row>
    <row r="54">
      <c r="B54" s="74"/>
      <c r="E54" s="35"/>
    </row>
    <row r="55">
      <c r="B55" s="7"/>
      <c r="C55" s="88"/>
      <c r="D55" s="88"/>
      <c r="E55" s="8"/>
    </row>
  </sheetData>
  <mergeCells count="23">
    <mergeCell ref="B5:C5"/>
    <mergeCell ref="D5:E5"/>
    <mergeCell ref="B6:C6"/>
    <mergeCell ref="D6:E6"/>
    <mergeCell ref="C7:E7"/>
    <mergeCell ref="C8:E8"/>
    <mergeCell ref="D9:E9"/>
    <mergeCell ref="B9:C9"/>
    <mergeCell ref="B12:C12"/>
    <mergeCell ref="D12:E12"/>
    <mergeCell ref="B13:C13"/>
    <mergeCell ref="D13:E13"/>
    <mergeCell ref="B14:C14"/>
    <mergeCell ref="D14:E14"/>
    <mergeCell ref="B21:E21"/>
    <mergeCell ref="B22:E55"/>
    <mergeCell ref="B15:C15"/>
    <mergeCell ref="D15:E15"/>
    <mergeCell ref="B16:E16"/>
    <mergeCell ref="B17:E17"/>
    <mergeCell ref="B18:E18"/>
    <mergeCell ref="B19:E19"/>
    <mergeCell ref="B20:E20"/>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outlinePr summaryBelow="0" summaryRight="0"/>
  </sheetPr>
  <sheetViews>
    <sheetView workbookViewId="0"/>
  </sheetViews>
  <sheetFormatPr customHeight="1" defaultColWidth="12.63" defaultRowHeight="15.75"/>
  <cols>
    <col customWidth="1" min="1" max="1" width="27.0"/>
  </cols>
  <sheetData>
    <row r="1">
      <c r="A1" s="112" t="s">
        <v>257</v>
      </c>
      <c r="I1" s="91"/>
      <c r="J1" s="91"/>
    </row>
    <row r="2">
      <c r="A2" s="96"/>
      <c r="B2" s="96"/>
      <c r="C2" s="91"/>
      <c r="D2" s="91"/>
      <c r="E2" s="91"/>
      <c r="F2" s="91"/>
      <c r="G2" s="91"/>
      <c r="H2" s="91"/>
      <c r="I2" s="91"/>
      <c r="J2" s="91"/>
    </row>
    <row r="3">
      <c r="A3" s="96" t="s">
        <v>24</v>
      </c>
      <c r="B3" s="96" t="s">
        <v>183</v>
      </c>
      <c r="C3" s="91" t="s">
        <v>214</v>
      </c>
      <c r="D3" s="91" t="s">
        <v>215</v>
      </c>
      <c r="E3" s="91" t="s">
        <v>216</v>
      </c>
      <c r="F3" s="91" t="s">
        <v>26</v>
      </c>
      <c r="G3" s="91" t="s">
        <v>217</v>
      </c>
      <c r="H3" s="91" t="s">
        <v>181</v>
      </c>
      <c r="I3" s="91"/>
      <c r="J3" s="91"/>
    </row>
    <row r="4">
      <c r="A4" s="16"/>
      <c r="B4" s="16" t="str">
        <f>IFNA(VLOOKUP($A4,Spells!$A$2:$I1002,MATCH(B$3,Spells!$A$1:$I$1,0),FALSE))</f>
        <v/>
      </c>
      <c r="C4" s="16" t="str">
        <f>IFNA(VLOOKUP($A4,Spells!$A$2:$I1002,MATCH(C$3,Spells!$A$1:$I$1,0),FALSE))</f>
        <v/>
      </c>
      <c r="D4" s="16" t="str">
        <f>IFNA(VLOOKUP($A4,Spells!$A$2:$I1002,MATCH(D$3,Spells!$A$1:$I$1,0),FALSE))</f>
        <v/>
      </c>
      <c r="E4" s="16" t="str">
        <f>IFNA(VLOOKUP($A4,Spells!$A$2:$I1002,MATCH(E$3,Spells!$A$1:$I$1,0),FALSE))</f>
        <v/>
      </c>
      <c r="F4" s="16" t="str">
        <f>IFNA(VLOOKUP($A4,Spells!$A$2:$I1002,MATCH(F$3,Spells!$A$1:$I$1,0),FALSE))</f>
        <v/>
      </c>
      <c r="G4" s="16" t="str">
        <f>IFNA(VLOOKUP($A4,Spells!$A$2:$I1002,MATCH(G$3,Spells!$A$1:$I$1,0),FALSE))</f>
        <v/>
      </c>
      <c r="H4" s="16" t="str">
        <f>IFNA(VLOOKUP($A4,Spells!$A$2:$I1002,MATCH(H$3,Spells!$A$1:$I$1,0),FALSE))</f>
        <v/>
      </c>
    </row>
    <row r="5">
      <c r="A5" s="16"/>
      <c r="B5" s="16" t="str">
        <f>IFNA(VLOOKUP($A5,Spells!$A$2:$I1002,MATCH(B$3,Spells!$A$1:$I$1,0),FALSE))</f>
        <v/>
      </c>
      <c r="C5" s="16" t="str">
        <f>IFNA(VLOOKUP($A5,Spells!$A$2:$I1002,MATCH(C$3,Spells!$A$1:$I$1,0),FALSE))</f>
        <v/>
      </c>
      <c r="D5" s="16" t="str">
        <f>IFNA(VLOOKUP($A5,Spells!$A$2:$I1002,MATCH(D$3,Spells!$A$1:$I$1,0),FALSE))</f>
        <v/>
      </c>
      <c r="E5" s="16" t="str">
        <f>IFNA(VLOOKUP($A5,Spells!$A$2:$I1002,MATCH(E$3,Spells!$A$1:$I$1,0),FALSE))</f>
        <v/>
      </c>
      <c r="F5" s="16" t="str">
        <f>IFNA(VLOOKUP($A5,Spells!$A$2:$I1002,MATCH(F$3,Spells!$A$1:$I$1,0),FALSE))</f>
        <v/>
      </c>
      <c r="G5" s="16" t="str">
        <f>IFNA(VLOOKUP($A5,Spells!$A$2:$I1002,MATCH(G$3,Spells!$A$1:$I$1,0),FALSE))</f>
        <v/>
      </c>
      <c r="H5" s="16" t="str">
        <f>IFNA(VLOOKUP($A5,Spells!$A$2:$I1002,MATCH(H$3,Spells!$A$1:$I$1,0),FALSE))</f>
        <v/>
      </c>
    </row>
    <row r="6">
      <c r="A6" s="16"/>
      <c r="B6" s="16" t="str">
        <f>IFNA(VLOOKUP($A6,Spells!$A$2:$I1002,MATCH(B$3,Spells!$A$1:$I$1,0),FALSE))</f>
        <v/>
      </c>
      <c r="C6" s="16" t="str">
        <f>IFNA(VLOOKUP($A6,Spells!$A$2:$I1002,MATCH(C$3,Spells!$A$1:$I$1,0),FALSE))</f>
        <v/>
      </c>
      <c r="D6" s="16" t="str">
        <f>IFNA(VLOOKUP($A6,Spells!$A$2:$I1002,MATCH(D$3,Spells!$A$1:$I$1,0),FALSE))</f>
        <v/>
      </c>
      <c r="E6" s="16" t="str">
        <f>IFNA(VLOOKUP($A6,Spells!$A$2:$I1002,MATCH(E$3,Spells!$A$1:$I$1,0),FALSE))</f>
        <v/>
      </c>
      <c r="F6" s="16" t="str">
        <f>IFNA(VLOOKUP($A6,Spells!$A$2:$I1002,MATCH(F$3,Spells!$A$1:$I$1,0),FALSE))</f>
        <v/>
      </c>
      <c r="G6" s="16" t="str">
        <f>IFNA(VLOOKUP($A6,Spells!$A$2:$I1002,MATCH(G$3,Spells!$A$1:$I$1,0),FALSE))</f>
        <v/>
      </c>
      <c r="H6" s="16" t="str">
        <f>IFNA(VLOOKUP($A6,Spells!$A$2:$I1002,MATCH(H$3,Spells!$A$1:$I$1,0),FALSE))</f>
        <v/>
      </c>
    </row>
    <row r="7">
      <c r="A7" s="16"/>
      <c r="B7" s="16" t="str">
        <f>IFNA(VLOOKUP($A7,Spells!$A$2:$I1002,MATCH(B$3,Spells!$A$1:$I$1,0),FALSE))</f>
        <v/>
      </c>
      <c r="C7" s="16" t="str">
        <f>IFNA(VLOOKUP($A7,Spells!$A$2:$I1002,MATCH(C$3,Spells!$A$1:$I$1,0),FALSE))</f>
        <v/>
      </c>
      <c r="D7" s="16" t="str">
        <f>IFNA(VLOOKUP($A7,Spells!$A$2:$I1002,MATCH(D$3,Spells!$A$1:$I$1,0),FALSE))</f>
        <v/>
      </c>
      <c r="E7" s="16" t="str">
        <f>IFNA(VLOOKUP($A7,Spells!$A$2:$I1002,MATCH(E$3,Spells!$A$1:$I$1,0),FALSE))</f>
        <v/>
      </c>
      <c r="F7" s="16" t="str">
        <f>IFNA(VLOOKUP($A7,Spells!$A$2:$I1002,MATCH(F$3,Spells!$A$1:$I$1,0),FALSE))</f>
        <v/>
      </c>
      <c r="G7" s="16" t="str">
        <f>IFNA(VLOOKUP($A7,Spells!$A$2:$I1002,MATCH(G$3,Spells!$A$1:$I$1,0),FALSE))</f>
        <v/>
      </c>
      <c r="H7" s="16" t="str">
        <f>IFNA(VLOOKUP($A7,Spells!$A$2:$I1002,MATCH(H$3,Spells!$A$1:$I$1,0),FALSE))</f>
        <v/>
      </c>
    </row>
    <row r="8">
      <c r="A8" s="16"/>
      <c r="B8" s="16" t="str">
        <f>IFNA(VLOOKUP($A8,Spells!$A$2:$I1002,MATCH(B$3,Spells!$A$1:$I$1,0),FALSE))</f>
        <v/>
      </c>
      <c r="C8" s="16" t="str">
        <f>IFNA(VLOOKUP($A8,Spells!$A$2:$I1002,MATCH(C$3,Spells!$A$1:$I$1,0),FALSE))</f>
        <v/>
      </c>
      <c r="D8" s="16" t="str">
        <f>IFNA(VLOOKUP($A8,Spells!$A$2:$I1002,MATCH(D$3,Spells!$A$1:$I$1,0),FALSE))</f>
        <v/>
      </c>
      <c r="E8" s="16" t="str">
        <f>IFNA(VLOOKUP($A8,Spells!$A$2:$I1002,MATCH(E$3,Spells!$A$1:$I$1,0),FALSE))</f>
        <v/>
      </c>
      <c r="F8" s="16" t="str">
        <f>IFNA(VLOOKUP($A8,Spells!$A$2:$I1002,MATCH(F$3,Spells!$A$1:$I$1,0),FALSE))</f>
        <v/>
      </c>
      <c r="G8" s="16" t="str">
        <f>IFNA(VLOOKUP($A8,Spells!$A$2:$I1002,MATCH(G$3,Spells!$A$1:$I$1,0),FALSE))</f>
        <v/>
      </c>
      <c r="H8" s="16" t="str">
        <f>IFNA(VLOOKUP($A8,Spells!$A$2:$I1002,MATCH(H$3,Spells!$A$1:$I$1,0),FALSE))</f>
        <v/>
      </c>
    </row>
    <row r="9">
      <c r="A9" s="16"/>
      <c r="B9" s="16" t="str">
        <f>IFNA(VLOOKUP($A9,Spells!$A$2:$I1002,MATCH(B$3,Spells!$A$1:$I$1,0),FALSE))</f>
        <v/>
      </c>
      <c r="C9" s="16" t="str">
        <f>IFNA(VLOOKUP($A9,Spells!$A$2:$I1002,MATCH(C$3,Spells!$A$1:$I$1,0),FALSE))</f>
        <v/>
      </c>
      <c r="D9" s="16" t="str">
        <f>IFNA(VLOOKUP($A9,Spells!$A$2:$I1002,MATCH(D$3,Spells!$A$1:$I$1,0),FALSE))</f>
        <v/>
      </c>
      <c r="E9" s="16" t="str">
        <f>IFNA(VLOOKUP($A9,Spells!$A$2:$I1002,MATCH(E$3,Spells!$A$1:$I$1,0),FALSE))</f>
        <v/>
      </c>
      <c r="F9" s="16" t="str">
        <f>IFNA(VLOOKUP($A9,Spells!$A$2:$I1002,MATCH(F$3,Spells!$A$1:$I$1,0),FALSE))</f>
        <v/>
      </c>
      <c r="G9" s="16" t="str">
        <f>IFNA(VLOOKUP($A9,Spells!$A$2:$I1002,MATCH(G$3,Spells!$A$1:$I$1,0),FALSE))</f>
        <v/>
      </c>
      <c r="H9" s="16" t="str">
        <f>IFNA(VLOOKUP($A9,Spells!$A$2:$I1002,MATCH(H$3,Spells!$A$1:$I$1,0),FALSE))</f>
        <v/>
      </c>
    </row>
    <row r="10">
      <c r="A10" s="16"/>
      <c r="B10" s="16" t="str">
        <f>IFNA(VLOOKUP($A10,Spells!$A$2:$I1002,MATCH(B$3,Spells!$A$1:$I$1,0),FALSE))</f>
        <v/>
      </c>
      <c r="C10" s="16" t="str">
        <f>IFNA(VLOOKUP($A10,Spells!$A$2:$I1002,MATCH(C$3,Spells!$A$1:$I$1,0),FALSE))</f>
        <v/>
      </c>
      <c r="D10" s="16" t="str">
        <f>IFNA(VLOOKUP($A10,Spells!$A$2:$I1002,MATCH(D$3,Spells!$A$1:$I$1,0),FALSE))</f>
        <v/>
      </c>
      <c r="E10" s="16" t="str">
        <f>IFNA(VLOOKUP($A10,Spells!$A$2:$I1002,MATCH(E$3,Spells!$A$1:$I$1,0),FALSE))</f>
        <v/>
      </c>
      <c r="F10" s="16" t="str">
        <f>IFNA(VLOOKUP($A10,Spells!$A$2:$I1002,MATCH(F$3,Spells!$A$1:$I$1,0),FALSE))</f>
        <v/>
      </c>
      <c r="G10" s="16" t="str">
        <f>IFNA(VLOOKUP($A10,Spells!$A$2:$I1002,MATCH(G$3,Spells!$A$1:$I$1,0),FALSE))</f>
        <v/>
      </c>
      <c r="H10" s="16" t="str">
        <f>IFNA(VLOOKUP($A10,Spells!$A$2:$I1002,MATCH(H$3,Spells!$A$1:$I$1,0),FALSE))</f>
        <v/>
      </c>
    </row>
    <row r="11">
      <c r="A11" s="16"/>
      <c r="B11" s="16" t="str">
        <f>IFNA(VLOOKUP($A11,Spells!$A$2:$I1002,MATCH(B$3,Spells!$A$1:$I$1,0),FALSE))</f>
        <v/>
      </c>
      <c r="C11" s="16" t="str">
        <f>IFNA(VLOOKUP($A11,Spells!$A$2:$I1002,MATCH(C$3,Spells!$A$1:$I$1,0),FALSE))</f>
        <v/>
      </c>
      <c r="D11" s="16" t="str">
        <f>IFNA(VLOOKUP($A11,Spells!$A$2:$I1002,MATCH(D$3,Spells!$A$1:$I$1,0),FALSE))</f>
        <v/>
      </c>
      <c r="E11" s="16" t="str">
        <f>IFNA(VLOOKUP($A11,Spells!$A$2:$I1002,MATCH(E$3,Spells!$A$1:$I$1,0),FALSE))</f>
        <v/>
      </c>
      <c r="F11" s="16" t="str">
        <f>IFNA(VLOOKUP($A11,Spells!$A$2:$I1002,MATCH(F$3,Spells!$A$1:$I$1,0),FALSE))</f>
        <v/>
      </c>
      <c r="G11" s="16" t="str">
        <f>IFNA(VLOOKUP($A11,Spells!$A$2:$I1002,MATCH(G$3,Spells!$A$1:$I$1,0),FALSE))</f>
        <v/>
      </c>
      <c r="H11" s="16" t="str">
        <f>IFNA(VLOOKUP($A11,Spells!$A$2:$I1002,MATCH(H$3,Spells!$A$1:$I$1,0),FALSE))</f>
        <v/>
      </c>
    </row>
    <row r="12">
      <c r="A12" s="16"/>
      <c r="B12" s="16" t="str">
        <f>IFNA(VLOOKUP($A12,Spells!$A$2:$I1002,MATCH(B$3,Spells!$A$1:$I$1,0),FALSE))</f>
        <v/>
      </c>
      <c r="C12" s="16" t="str">
        <f>IFNA(VLOOKUP($A12,Spells!$A$2:$I1002,MATCH(C$3,Spells!$A$1:$I$1,0),FALSE))</f>
        <v/>
      </c>
      <c r="D12" s="16" t="str">
        <f>IFNA(VLOOKUP($A12,Spells!$A$2:$I1002,MATCH(D$3,Spells!$A$1:$I$1,0),FALSE))</f>
        <v/>
      </c>
      <c r="E12" s="16" t="str">
        <f>IFNA(VLOOKUP($A12,Spells!$A$2:$I1002,MATCH(E$3,Spells!$A$1:$I$1,0),FALSE))</f>
        <v/>
      </c>
      <c r="F12" s="16" t="str">
        <f>IFNA(VLOOKUP($A12,Spells!$A$2:$I1002,MATCH(F$3,Spells!$A$1:$I$1,0),FALSE))</f>
        <v/>
      </c>
      <c r="G12" s="16" t="str">
        <f>IFNA(VLOOKUP($A12,Spells!$A$2:$I1002,MATCH(G$3,Spells!$A$1:$I$1,0),FALSE))</f>
        <v/>
      </c>
      <c r="H12" s="16" t="str">
        <f>IFNA(VLOOKUP($A12,Spells!$A$2:$I1002,MATCH(H$3,Spells!$A$1:$I$1,0),FALSE))</f>
        <v/>
      </c>
    </row>
    <row r="13">
      <c r="A13" s="16"/>
      <c r="B13" s="16" t="str">
        <f>IFNA(VLOOKUP($A13,Spells!$A$2:$I1002,MATCH(B$3,Spells!$A$1:$I$1,0),FALSE))</f>
        <v/>
      </c>
      <c r="C13" s="16" t="str">
        <f>IFNA(VLOOKUP($A13,Spells!$A$2:$I1002,MATCH(C$3,Spells!$A$1:$I$1,0),FALSE))</f>
        <v/>
      </c>
      <c r="D13" s="16" t="str">
        <f>IFNA(VLOOKUP($A13,Spells!$A$2:$I1002,MATCH(D$3,Spells!$A$1:$I$1,0),FALSE))</f>
        <v/>
      </c>
      <c r="E13" s="16" t="str">
        <f>IFNA(VLOOKUP($A13,Spells!$A$2:$I1002,MATCH(E$3,Spells!$A$1:$I$1,0),FALSE))</f>
        <v/>
      </c>
      <c r="F13" s="16" t="str">
        <f>IFNA(VLOOKUP($A13,Spells!$A$2:$I1002,MATCH(F$3,Spells!$A$1:$I$1,0),FALSE))</f>
        <v/>
      </c>
      <c r="G13" s="16" t="str">
        <f>IFNA(VLOOKUP($A13,Spells!$A$2:$I1002,MATCH(G$3,Spells!$A$1:$I$1,0),FALSE))</f>
        <v/>
      </c>
      <c r="H13" s="16" t="str">
        <f>IFNA(VLOOKUP($A13,Spells!$A$2:$I1002,MATCH(H$3,Spells!$A$1:$I$1,0),FALSE))</f>
        <v/>
      </c>
    </row>
    <row r="14">
      <c r="A14" s="16"/>
      <c r="B14" s="16" t="str">
        <f>IFNA(VLOOKUP($A14,Spells!$A$2:$I1002,MATCH(B$3,Spells!$A$1:$I$1,0),FALSE))</f>
        <v/>
      </c>
      <c r="C14" s="16" t="str">
        <f>IFNA(VLOOKUP($A14,Spells!$A$2:$I1002,MATCH(C$3,Spells!$A$1:$I$1,0),FALSE))</f>
        <v/>
      </c>
      <c r="D14" s="16" t="str">
        <f>IFNA(VLOOKUP($A14,Spells!$A$2:$I1002,MATCH(D$3,Spells!$A$1:$I$1,0),FALSE))</f>
        <v/>
      </c>
      <c r="E14" s="16" t="str">
        <f>IFNA(VLOOKUP($A14,Spells!$A$2:$I1002,MATCH(E$3,Spells!$A$1:$I$1,0),FALSE))</f>
        <v/>
      </c>
      <c r="F14" s="16" t="str">
        <f>IFNA(VLOOKUP($A14,Spells!$A$2:$I1002,MATCH(F$3,Spells!$A$1:$I$1,0),FALSE))</f>
        <v/>
      </c>
      <c r="G14" s="16" t="str">
        <f>IFNA(VLOOKUP($A14,Spells!$A$2:$I1002,MATCH(G$3,Spells!$A$1:$I$1,0),FALSE))</f>
        <v/>
      </c>
      <c r="H14" s="16" t="str">
        <f>IFNA(VLOOKUP($A14,Spells!$A$2:$I1002,MATCH(H$3,Spells!$A$1:$I$1,0),FALSE))</f>
        <v/>
      </c>
    </row>
    <row r="15">
      <c r="A15" s="16"/>
      <c r="B15" s="16" t="str">
        <f>IFNA(VLOOKUP($A15,Spells!$A$2:$I1002,MATCH(B$3,Spells!$A$1:$I$1,0),FALSE))</f>
        <v/>
      </c>
      <c r="C15" s="16" t="str">
        <f>IFNA(VLOOKUP($A15,Spells!$A$2:$I1002,MATCH(C$3,Spells!$A$1:$I$1,0),FALSE))</f>
        <v/>
      </c>
      <c r="D15" s="16" t="str">
        <f>IFNA(VLOOKUP($A15,Spells!$A$2:$I1002,MATCH(D$3,Spells!$A$1:$I$1,0),FALSE))</f>
        <v/>
      </c>
      <c r="E15" s="16" t="str">
        <f>IFNA(VLOOKUP($A15,Spells!$A$2:$I1002,MATCH(E$3,Spells!$A$1:$I$1,0),FALSE))</f>
        <v/>
      </c>
      <c r="F15" s="16" t="str">
        <f>IFNA(VLOOKUP($A15,Spells!$A$2:$I1002,MATCH(F$3,Spells!$A$1:$I$1,0),FALSE))</f>
        <v/>
      </c>
      <c r="G15" s="16" t="str">
        <f>IFNA(VLOOKUP($A15,Spells!$A$2:$I1002,MATCH(G$3,Spells!$A$1:$I$1,0),FALSE))</f>
        <v/>
      </c>
      <c r="H15" s="16" t="str">
        <f>IFNA(VLOOKUP($A15,Spells!$A$2:$I1002,MATCH(H$3,Spells!$A$1:$I$1,0),FALSE))</f>
        <v/>
      </c>
    </row>
    <row r="16">
      <c r="A16" s="16"/>
      <c r="B16" s="16" t="str">
        <f>IFNA(VLOOKUP($A16,Spells!$A$2:$I1002,MATCH(B$3,Spells!$A$1:$I$1,0),FALSE))</f>
        <v/>
      </c>
      <c r="C16" s="16" t="str">
        <f>IFNA(VLOOKUP($A16,Spells!$A$2:$I1002,MATCH(C$3,Spells!$A$1:$I$1,0),FALSE))</f>
        <v/>
      </c>
      <c r="D16" s="16" t="str">
        <f>IFNA(VLOOKUP($A16,Spells!$A$2:$I1002,MATCH(D$3,Spells!$A$1:$I$1,0),FALSE))</f>
        <v/>
      </c>
      <c r="E16" s="16" t="str">
        <f>IFNA(VLOOKUP($A16,Spells!$A$2:$I1002,MATCH(E$3,Spells!$A$1:$I$1,0),FALSE))</f>
        <v/>
      </c>
      <c r="F16" s="16" t="str">
        <f>IFNA(VLOOKUP($A16,Spells!$A$2:$I1002,MATCH(F$3,Spells!$A$1:$I$1,0),FALSE))</f>
        <v/>
      </c>
      <c r="G16" s="16" t="str">
        <f>IFNA(VLOOKUP($A16,Spells!$A$2:$I1002,MATCH(G$3,Spells!$A$1:$I$1,0),FALSE))</f>
        <v/>
      </c>
      <c r="H16" s="16" t="str">
        <f>IFNA(VLOOKUP($A16,Spells!$A$2:$I1002,MATCH(H$3,Spells!$A$1:$I$1,0),FALSE))</f>
        <v/>
      </c>
    </row>
    <row r="17">
      <c r="A17" s="16"/>
      <c r="B17" s="16" t="str">
        <f>IFNA(VLOOKUP($A17,Spells!$A$2:$I1002,MATCH(B$3,Spells!$A$1:$I$1,0),FALSE))</f>
        <v/>
      </c>
      <c r="C17" s="16" t="str">
        <f>IFNA(VLOOKUP($A17,Spells!$A$2:$I1002,MATCH(C$3,Spells!$A$1:$I$1,0),FALSE))</f>
        <v/>
      </c>
      <c r="D17" s="16" t="str">
        <f>IFNA(VLOOKUP($A17,Spells!$A$2:$I1002,MATCH(D$3,Spells!$A$1:$I$1,0),FALSE))</f>
        <v/>
      </c>
      <c r="E17" s="16" t="str">
        <f>IFNA(VLOOKUP($A17,Spells!$A$2:$I1002,MATCH(E$3,Spells!$A$1:$I$1,0),FALSE))</f>
        <v/>
      </c>
      <c r="F17" s="16" t="str">
        <f>IFNA(VLOOKUP($A17,Spells!$A$2:$I1002,MATCH(F$3,Spells!$A$1:$I$1,0),FALSE))</f>
        <v/>
      </c>
      <c r="G17" s="16" t="str">
        <f>IFNA(VLOOKUP($A17,Spells!$A$2:$I1002,MATCH(G$3,Spells!$A$1:$I$1,0),FALSE))</f>
        <v/>
      </c>
      <c r="H17" s="16" t="str">
        <f>IFNA(VLOOKUP($A17,Spells!$A$2:$I1002,MATCH(H$3,Spells!$A$1:$I$1,0),FALSE))</f>
        <v/>
      </c>
    </row>
    <row r="18">
      <c r="A18" s="16"/>
      <c r="B18" s="16" t="str">
        <f>IFNA(VLOOKUP($A18,Spells!$A$2:$I1002,MATCH(B$3,Spells!$A$1:$I$1,0),FALSE))</f>
        <v/>
      </c>
      <c r="C18" s="16" t="str">
        <f>IFNA(VLOOKUP($A18,Spells!$A$2:$I1002,MATCH(C$3,Spells!$A$1:$I$1,0),FALSE))</f>
        <v/>
      </c>
      <c r="D18" s="16" t="str">
        <f>IFNA(VLOOKUP($A18,Spells!$A$2:$I1002,MATCH(D$3,Spells!$A$1:$I$1,0),FALSE))</f>
        <v/>
      </c>
      <c r="E18" s="16" t="str">
        <f>IFNA(VLOOKUP($A18,Spells!$A$2:$I1002,MATCH(E$3,Spells!$A$1:$I$1,0),FALSE))</f>
        <v/>
      </c>
      <c r="F18" s="16" t="str">
        <f>IFNA(VLOOKUP($A18,Spells!$A$2:$I1002,MATCH(F$3,Spells!$A$1:$I$1,0),FALSE))</f>
        <v/>
      </c>
      <c r="G18" s="16" t="str">
        <f>IFNA(VLOOKUP($A18,Spells!$A$2:$I1002,MATCH(G$3,Spells!$A$1:$I$1,0),FALSE))</f>
        <v/>
      </c>
      <c r="H18" s="16" t="str">
        <f>IFNA(VLOOKUP($A18,Spells!$A$2:$I1002,MATCH(H$3,Spells!$A$1:$I$1,0),FALSE))</f>
        <v/>
      </c>
    </row>
    <row r="19">
      <c r="A19" s="16"/>
      <c r="B19" s="16" t="str">
        <f>IFNA(VLOOKUP($A19,Spells!$A$2:$I1002,MATCH(B$3,Spells!$A$1:$I$1,0),FALSE))</f>
        <v/>
      </c>
      <c r="C19" s="16" t="str">
        <f>IFNA(VLOOKUP($A19,Spells!$A$2:$I1002,MATCH(C$3,Spells!$A$1:$I$1,0),FALSE))</f>
        <v/>
      </c>
      <c r="D19" s="16" t="str">
        <f>IFNA(VLOOKUP($A19,Spells!$A$2:$I1002,MATCH(D$3,Spells!$A$1:$I$1,0),FALSE))</f>
        <v/>
      </c>
      <c r="E19" s="16" t="str">
        <f>IFNA(VLOOKUP($A19,Spells!$A$2:$I1002,MATCH(E$3,Spells!$A$1:$I$1,0),FALSE))</f>
        <v/>
      </c>
      <c r="F19" s="16" t="str">
        <f>IFNA(VLOOKUP($A19,Spells!$A$2:$I1002,MATCH(F$3,Spells!$A$1:$I$1,0),FALSE))</f>
        <v/>
      </c>
      <c r="G19" s="16" t="str">
        <f>IFNA(VLOOKUP($A19,Spells!$A$2:$I1002,MATCH(G$3,Spells!$A$1:$I$1,0),FALSE))</f>
        <v/>
      </c>
      <c r="H19" s="16" t="str">
        <f>IFNA(VLOOKUP($A19,Spells!$A$2:$I1002,MATCH(H$3,Spells!$A$1:$I$1,0),FALSE))</f>
        <v/>
      </c>
    </row>
    <row r="20">
      <c r="A20" s="16"/>
      <c r="B20" s="16" t="str">
        <f>IFNA(VLOOKUP($A20,Spells!$A$2:$I1002,MATCH(B$3,Spells!$A$1:$I$1,0),FALSE))</f>
        <v/>
      </c>
      <c r="C20" s="16" t="str">
        <f>IFNA(VLOOKUP($A20,Spells!$A$2:$I1002,MATCH(C$3,Spells!$A$1:$I$1,0),FALSE))</f>
        <v/>
      </c>
      <c r="D20" s="16" t="str">
        <f>IFNA(VLOOKUP($A20,Spells!$A$2:$I1002,MATCH(D$3,Spells!$A$1:$I$1,0),FALSE))</f>
        <v/>
      </c>
      <c r="E20" s="16" t="str">
        <f>IFNA(VLOOKUP($A20,Spells!$A$2:$I1002,MATCH(E$3,Spells!$A$1:$I$1,0),FALSE))</f>
        <v/>
      </c>
      <c r="F20" s="16" t="str">
        <f>IFNA(VLOOKUP($A20,Spells!$A$2:$I1002,MATCH(F$3,Spells!$A$1:$I$1,0),FALSE))</f>
        <v/>
      </c>
      <c r="G20" s="16" t="str">
        <f>IFNA(VLOOKUP($A20,Spells!$A$2:$I1002,MATCH(G$3,Spells!$A$1:$I$1,0),FALSE))</f>
        <v/>
      </c>
      <c r="H20" s="16" t="str">
        <f>IFNA(VLOOKUP($A20,Spells!$A$2:$I1002,MATCH(H$3,Spells!$A$1:$I$1,0),FALSE))</f>
        <v/>
      </c>
    </row>
    <row r="21">
      <c r="A21" s="16"/>
      <c r="B21" s="16" t="str">
        <f>IFNA(VLOOKUP($A21,Spells!$A$2:$I1002,MATCH(B$3,Spells!$A$1:$I$1,0),FALSE))</f>
        <v/>
      </c>
      <c r="C21" s="16" t="str">
        <f>IFNA(VLOOKUP($A21,Spells!$A$2:$I1002,MATCH(C$3,Spells!$A$1:$I$1,0),FALSE))</f>
        <v/>
      </c>
      <c r="D21" s="16" t="str">
        <f>IFNA(VLOOKUP($A21,Spells!$A$2:$I1002,MATCH(D$3,Spells!$A$1:$I$1,0),FALSE))</f>
        <v/>
      </c>
      <c r="E21" s="16" t="str">
        <f>IFNA(VLOOKUP($A21,Spells!$A$2:$I1002,MATCH(E$3,Spells!$A$1:$I$1,0),FALSE))</f>
        <v/>
      </c>
      <c r="F21" s="16" t="str">
        <f>IFNA(VLOOKUP($A21,Spells!$A$2:$I1002,MATCH(F$3,Spells!$A$1:$I$1,0),FALSE))</f>
        <v/>
      </c>
      <c r="G21" s="16" t="str">
        <f>IFNA(VLOOKUP($A21,Spells!$A$2:$I1002,MATCH(G$3,Spells!$A$1:$I$1,0),FALSE))</f>
        <v/>
      </c>
      <c r="H21" s="16" t="str">
        <f>IFNA(VLOOKUP($A21,Spells!$A$2:$I1002,MATCH(H$3,Spells!$A$1:$I$1,0),FALSE))</f>
        <v/>
      </c>
    </row>
    <row r="22">
      <c r="A22" s="16"/>
      <c r="B22" s="16" t="str">
        <f>IFNA(VLOOKUP($A22,Spells!$A$2:$I1002,MATCH(B$3,Spells!$A$1:$I$1,0),FALSE))</f>
        <v/>
      </c>
      <c r="C22" s="16" t="str">
        <f>IFNA(VLOOKUP($A22,Spells!$A$2:$I1002,MATCH(C$3,Spells!$A$1:$I$1,0),FALSE))</f>
        <v/>
      </c>
      <c r="D22" s="16" t="str">
        <f>IFNA(VLOOKUP($A22,Spells!$A$2:$I1002,MATCH(D$3,Spells!$A$1:$I$1,0),FALSE))</f>
        <v/>
      </c>
      <c r="E22" s="16" t="str">
        <f>IFNA(VLOOKUP($A22,Spells!$A$2:$I1002,MATCH(E$3,Spells!$A$1:$I$1,0),FALSE))</f>
        <v/>
      </c>
      <c r="F22" s="16" t="str">
        <f>IFNA(VLOOKUP($A22,Spells!$A$2:$I1002,MATCH(F$3,Spells!$A$1:$I$1,0),FALSE))</f>
        <v/>
      </c>
      <c r="G22" s="16" t="str">
        <f>IFNA(VLOOKUP($A22,Spells!$A$2:$I1002,MATCH(G$3,Spells!$A$1:$I$1,0),FALSE))</f>
        <v/>
      </c>
      <c r="H22" s="16" t="str">
        <f>IFNA(VLOOKUP($A22,Spells!$A$2:$I1002,MATCH(H$3,Spells!$A$1:$I$1,0),FALSE))</f>
        <v/>
      </c>
    </row>
    <row r="23">
      <c r="A23" s="16"/>
      <c r="B23" s="16" t="str">
        <f>IFNA(VLOOKUP($A23,Spells!$A$2:$I1002,MATCH(B$3,Spells!$A$1:$I$1,0),FALSE))</f>
        <v/>
      </c>
      <c r="C23" s="16" t="str">
        <f>IFNA(VLOOKUP($A23,Spells!$A$2:$I1002,MATCH(C$3,Spells!$A$1:$I$1,0),FALSE))</f>
        <v/>
      </c>
      <c r="D23" s="16" t="str">
        <f>IFNA(VLOOKUP($A23,Spells!$A$2:$I1002,MATCH(D$3,Spells!$A$1:$I$1,0),FALSE))</f>
        <v/>
      </c>
      <c r="E23" s="16" t="str">
        <f>IFNA(VLOOKUP($A23,Spells!$A$2:$I1002,MATCH(E$3,Spells!$A$1:$I$1,0),FALSE))</f>
        <v/>
      </c>
      <c r="F23" s="16" t="str">
        <f>IFNA(VLOOKUP($A23,Spells!$A$2:$I1002,MATCH(F$3,Spells!$A$1:$I$1,0),FALSE))</f>
        <v/>
      </c>
      <c r="G23" s="16" t="str">
        <f>IFNA(VLOOKUP($A23,Spells!$A$2:$I1002,MATCH(G$3,Spells!$A$1:$I$1,0),FALSE))</f>
        <v/>
      </c>
      <c r="H23" s="16" t="str">
        <f>IFNA(VLOOKUP($A23,Spells!$A$2:$I1002,MATCH(H$3,Spells!$A$1:$I$1,0),FALSE))</f>
        <v/>
      </c>
    </row>
    <row r="24">
      <c r="A24" s="16"/>
      <c r="B24" s="16" t="str">
        <f>IFNA(VLOOKUP($A24,Spells!$A$2:$I1002,MATCH(B$3,Spells!$A$1:$I$1,0),FALSE))</f>
        <v/>
      </c>
      <c r="C24" s="16" t="str">
        <f>IFNA(VLOOKUP($A24,Spells!$A$2:$I1002,MATCH(C$3,Spells!$A$1:$I$1,0),FALSE))</f>
        <v/>
      </c>
      <c r="D24" s="16" t="str">
        <f>IFNA(VLOOKUP($A24,Spells!$A$2:$I1002,MATCH(D$3,Spells!$A$1:$I$1,0),FALSE))</f>
        <v/>
      </c>
      <c r="E24" s="16" t="str">
        <f>IFNA(VLOOKUP($A24,Spells!$A$2:$I1002,MATCH(E$3,Spells!$A$1:$I$1,0),FALSE))</f>
        <v/>
      </c>
      <c r="F24" s="16" t="str">
        <f>IFNA(VLOOKUP($A24,Spells!$A$2:$I1002,MATCH(F$3,Spells!$A$1:$I$1,0),FALSE))</f>
        <v/>
      </c>
      <c r="G24" s="16" t="str">
        <f>IFNA(VLOOKUP($A24,Spells!$A$2:$I1002,MATCH(G$3,Spells!$A$1:$I$1,0),FALSE))</f>
        <v/>
      </c>
      <c r="H24" s="16" t="str">
        <f>IFNA(VLOOKUP($A24,Spells!$A$2:$I1002,MATCH(H$3,Spells!$A$1:$I$1,0),FALSE))</f>
        <v/>
      </c>
    </row>
    <row r="25">
      <c r="A25" s="16"/>
      <c r="B25" s="16" t="str">
        <f>IFNA(VLOOKUP($A25,Spells!$A$2:$I1002,MATCH(B$3,Spells!$A$1:$I$1,0),FALSE))</f>
        <v/>
      </c>
      <c r="C25" s="16" t="str">
        <f>IFNA(VLOOKUP($A25,Spells!$A$2:$I1002,MATCH(C$3,Spells!$A$1:$I$1,0),FALSE))</f>
        <v/>
      </c>
      <c r="D25" s="16" t="str">
        <f>IFNA(VLOOKUP($A25,Spells!$A$2:$I1002,MATCH(D$3,Spells!$A$1:$I$1,0),FALSE))</f>
        <v/>
      </c>
      <c r="E25" s="16" t="str">
        <f>IFNA(VLOOKUP($A25,Spells!$A$2:$I1002,MATCH(E$3,Spells!$A$1:$I$1,0),FALSE))</f>
        <v/>
      </c>
      <c r="F25" s="16" t="str">
        <f>IFNA(VLOOKUP($A25,Spells!$A$2:$I1002,MATCH(F$3,Spells!$A$1:$I$1,0),FALSE))</f>
        <v/>
      </c>
      <c r="G25" s="16" t="str">
        <f>IFNA(VLOOKUP($A25,Spells!$A$2:$I1002,MATCH(G$3,Spells!$A$1:$I$1,0),FALSE))</f>
        <v/>
      </c>
      <c r="H25" s="16" t="str">
        <f>IFNA(VLOOKUP($A25,Spells!$A$2:$I1002,MATCH(H$3,Spells!$A$1:$I$1,0),FALSE))</f>
        <v/>
      </c>
    </row>
    <row r="26">
      <c r="A26" s="16"/>
      <c r="B26" s="16" t="str">
        <f>IFNA(VLOOKUP($A26,Spells!$A$2:$I1002,MATCH(B$3,Spells!$A$1:$I$1,0),FALSE))</f>
        <v/>
      </c>
      <c r="C26" s="16" t="str">
        <f>IFNA(VLOOKUP($A26,Spells!$A$2:$I1002,MATCH(C$3,Spells!$A$1:$I$1,0),FALSE))</f>
        <v/>
      </c>
      <c r="D26" s="16" t="str">
        <f>IFNA(VLOOKUP($A26,Spells!$A$2:$I1002,MATCH(D$3,Spells!$A$1:$I$1,0),FALSE))</f>
        <v/>
      </c>
      <c r="E26" s="16" t="str">
        <f>IFNA(VLOOKUP($A26,Spells!$A$2:$I1002,MATCH(E$3,Spells!$A$1:$I$1,0),FALSE))</f>
        <v/>
      </c>
      <c r="F26" s="16" t="str">
        <f>IFNA(VLOOKUP($A26,Spells!$A$2:$I1002,MATCH(F$3,Spells!$A$1:$I$1,0),FALSE))</f>
        <v/>
      </c>
      <c r="G26" s="16" t="str">
        <f>IFNA(VLOOKUP($A26,Spells!$A$2:$I1002,MATCH(G$3,Spells!$A$1:$I$1,0),FALSE))</f>
        <v/>
      </c>
      <c r="H26" s="16" t="str">
        <f>IFNA(VLOOKUP($A26,Spells!$A$2:$I1002,MATCH(H$3,Spells!$A$1:$I$1,0),FALSE))</f>
        <v/>
      </c>
    </row>
    <row r="27">
      <c r="A27" s="16"/>
      <c r="B27" s="16" t="str">
        <f>IFNA(VLOOKUP($A27,Spells!$A$2:$I1002,MATCH(B$3,Spells!$A$1:$I$1,0),FALSE))</f>
        <v/>
      </c>
      <c r="C27" s="16" t="str">
        <f>IFNA(VLOOKUP($A27,Spells!$A$2:$I1002,MATCH(C$3,Spells!$A$1:$I$1,0),FALSE))</f>
        <v/>
      </c>
      <c r="D27" s="16" t="str">
        <f>IFNA(VLOOKUP($A27,Spells!$A$2:$I1002,MATCH(D$3,Spells!$A$1:$I$1,0),FALSE))</f>
        <v/>
      </c>
      <c r="E27" s="16" t="str">
        <f>IFNA(VLOOKUP($A27,Spells!$A$2:$I1002,MATCH(E$3,Spells!$A$1:$I$1,0),FALSE))</f>
        <v/>
      </c>
      <c r="F27" s="16" t="str">
        <f>IFNA(VLOOKUP($A27,Spells!$A$2:$I1002,MATCH(F$3,Spells!$A$1:$I$1,0),FALSE))</f>
        <v/>
      </c>
      <c r="G27" s="16" t="str">
        <f>IFNA(VLOOKUP($A27,Spells!$A$2:$I1002,MATCH(G$3,Spells!$A$1:$I$1,0),FALSE))</f>
        <v/>
      </c>
      <c r="H27" s="16" t="str">
        <f>IFNA(VLOOKUP($A27,Spells!$A$2:$I1002,MATCH(H$3,Spells!$A$1:$I$1,0),FALSE))</f>
        <v/>
      </c>
    </row>
    <row r="28">
      <c r="A28" s="16"/>
      <c r="B28" s="16" t="str">
        <f>IFNA(VLOOKUP($A28,Spells!$A$2:$I1002,MATCH(B$3,Spells!$A$1:$I$1,0),FALSE))</f>
        <v/>
      </c>
      <c r="C28" s="16" t="str">
        <f>IFNA(VLOOKUP($A28,Spells!$A$2:$I1002,MATCH(C$3,Spells!$A$1:$I$1,0),FALSE))</f>
        <v/>
      </c>
      <c r="D28" s="16" t="str">
        <f>IFNA(VLOOKUP($A28,Spells!$A$2:$I1002,MATCH(D$3,Spells!$A$1:$I$1,0),FALSE))</f>
        <v/>
      </c>
      <c r="E28" s="16" t="str">
        <f>IFNA(VLOOKUP($A28,Spells!$A$2:$I1002,MATCH(E$3,Spells!$A$1:$I$1,0),FALSE))</f>
        <v/>
      </c>
      <c r="F28" s="16" t="str">
        <f>IFNA(VLOOKUP($A28,Spells!$A$2:$I1002,MATCH(F$3,Spells!$A$1:$I$1,0),FALSE))</f>
        <v/>
      </c>
      <c r="G28" s="16" t="str">
        <f>IFNA(VLOOKUP($A28,Spells!$A$2:$I1002,MATCH(G$3,Spells!$A$1:$I$1,0),FALSE))</f>
        <v/>
      </c>
      <c r="H28" s="16" t="str">
        <f>IFNA(VLOOKUP($A28,Spells!$A$2:$I1002,MATCH(H$3,Spells!$A$1:$I$1,0),FALSE))</f>
        <v/>
      </c>
    </row>
    <row r="29">
      <c r="A29" s="16"/>
      <c r="B29" s="16" t="str">
        <f>IFNA(VLOOKUP($A29,Spells!$A$2:$I1002,MATCH(B$3,Spells!$A$1:$I$1,0),FALSE))</f>
        <v/>
      </c>
      <c r="C29" s="16" t="str">
        <f>IFNA(VLOOKUP($A29,Spells!$A$2:$I1002,MATCH(C$3,Spells!$A$1:$I$1,0),FALSE))</f>
        <v/>
      </c>
      <c r="D29" s="16" t="str">
        <f>IFNA(VLOOKUP($A29,Spells!$A$2:$I1002,MATCH(D$3,Spells!$A$1:$I$1,0),FALSE))</f>
        <v/>
      </c>
      <c r="E29" s="16" t="str">
        <f>IFNA(VLOOKUP($A29,Spells!$A$2:$I1002,MATCH(E$3,Spells!$A$1:$I$1,0),FALSE))</f>
        <v/>
      </c>
      <c r="F29" s="16" t="str">
        <f>IFNA(VLOOKUP($A29,Spells!$A$2:$I1002,MATCH(F$3,Spells!$A$1:$I$1,0),FALSE))</f>
        <v/>
      </c>
      <c r="G29" s="16" t="str">
        <f>IFNA(VLOOKUP($A29,Spells!$A$2:$I1002,MATCH(G$3,Spells!$A$1:$I$1,0),FALSE))</f>
        <v/>
      </c>
      <c r="H29" s="16" t="str">
        <f>IFNA(VLOOKUP($A29,Spells!$A$2:$I1002,MATCH(H$3,Spells!$A$1:$I$1,0),FALSE))</f>
        <v/>
      </c>
    </row>
    <row r="30">
      <c r="A30" s="16"/>
      <c r="B30" s="16" t="str">
        <f>IFNA(VLOOKUP($A30,Spells!$A$2:$I1002,MATCH(B$3,Spells!$A$1:$I$1,0),FALSE))</f>
        <v/>
      </c>
      <c r="C30" s="16" t="str">
        <f>IFNA(VLOOKUP($A30,Spells!$A$2:$I1002,MATCH(C$3,Spells!$A$1:$I$1,0),FALSE))</f>
        <v/>
      </c>
      <c r="D30" s="16" t="str">
        <f>IFNA(VLOOKUP($A30,Spells!$A$2:$I1002,MATCH(D$3,Spells!$A$1:$I$1,0),FALSE))</f>
        <v/>
      </c>
      <c r="E30" s="16" t="str">
        <f>IFNA(VLOOKUP($A30,Spells!$A$2:$I1002,MATCH(E$3,Spells!$A$1:$I$1,0),FALSE))</f>
        <v/>
      </c>
      <c r="F30" s="16" t="str">
        <f>IFNA(VLOOKUP($A30,Spells!$A$2:$I1002,MATCH(F$3,Spells!$A$1:$I$1,0),FALSE))</f>
        <v/>
      </c>
      <c r="G30" s="16" t="str">
        <f>IFNA(VLOOKUP($A30,Spells!$A$2:$I1002,MATCH(G$3,Spells!$A$1:$I$1,0),FALSE))</f>
        <v/>
      </c>
      <c r="H30" s="16" t="str">
        <f>IFNA(VLOOKUP($A30,Spells!$A$2:$I1002,MATCH(H$3,Spells!$A$1:$I$1,0),FALSE))</f>
        <v/>
      </c>
    </row>
    <row r="31">
      <c r="A31" s="16"/>
      <c r="B31" s="16" t="str">
        <f>IFNA(VLOOKUP($A31,Spells!$A$2:$I1002,MATCH(B$3,Spells!$A$1:$I$1,0),FALSE))</f>
        <v/>
      </c>
      <c r="C31" s="16" t="str">
        <f>IFNA(VLOOKUP($A31,Spells!$A$2:$I1002,MATCH(C$3,Spells!$A$1:$I$1,0),FALSE))</f>
        <v/>
      </c>
      <c r="D31" s="16" t="str">
        <f>IFNA(VLOOKUP($A31,Spells!$A$2:$I1002,MATCH(D$3,Spells!$A$1:$I$1,0),FALSE))</f>
        <v/>
      </c>
      <c r="E31" s="16" t="str">
        <f>IFNA(VLOOKUP($A31,Spells!$A$2:$I1002,MATCH(E$3,Spells!$A$1:$I$1,0),FALSE))</f>
        <v/>
      </c>
      <c r="F31" s="16" t="str">
        <f>IFNA(VLOOKUP($A31,Spells!$A$2:$I1002,MATCH(F$3,Spells!$A$1:$I$1,0),FALSE))</f>
        <v/>
      </c>
      <c r="G31" s="16" t="str">
        <f>IFNA(VLOOKUP($A31,Spells!$A$2:$I1002,MATCH(G$3,Spells!$A$1:$I$1,0),FALSE))</f>
        <v/>
      </c>
      <c r="H31" s="16" t="str">
        <f>IFNA(VLOOKUP($A31,Spells!$A$2:$I1002,MATCH(H$3,Spells!$A$1:$I$1,0),FALSE))</f>
        <v/>
      </c>
    </row>
    <row r="32">
      <c r="A32" s="16"/>
      <c r="B32" s="16" t="str">
        <f>IFNA(VLOOKUP($A32,Spells!$A$2:$I1002,MATCH(B$3,Spells!$A$1:$I$1,0),FALSE))</f>
        <v/>
      </c>
      <c r="C32" s="16" t="str">
        <f>IFNA(VLOOKUP($A32,Spells!$A$2:$I1002,MATCH(C$3,Spells!$A$1:$I$1,0),FALSE))</f>
        <v/>
      </c>
      <c r="D32" s="16" t="str">
        <f>IFNA(VLOOKUP($A32,Spells!$A$2:$I1002,MATCH(D$3,Spells!$A$1:$I$1,0),FALSE))</f>
        <v/>
      </c>
      <c r="E32" s="16" t="str">
        <f>IFNA(VLOOKUP($A32,Spells!$A$2:$I1002,MATCH(E$3,Spells!$A$1:$I$1,0),FALSE))</f>
        <v/>
      </c>
      <c r="F32" s="16" t="str">
        <f>IFNA(VLOOKUP($A32,Spells!$A$2:$I1002,MATCH(F$3,Spells!$A$1:$I$1,0),FALSE))</f>
        <v/>
      </c>
      <c r="G32" s="16" t="str">
        <f>IFNA(VLOOKUP($A32,Spells!$A$2:$I1002,MATCH(G$3,Spells!$A$1:$I$1,0),FALSE))</f>
        <v/>
      </c>
      <c r="H32" s="16" t="str">
        <f>IFNA(VLOOKUP($A32,Spells!$A$2:$I1002,MATCH(H$3,Spells!$A$1:$I$1,0),FALSE))</f>
        <v/>
      </c>
    </row>
    <row r="33">
      <c r="A33" s="16"/>
      <c r="B33" s="16" t="str">
        <f>IFNA(VLOOKUP($A33,Spells!$A$2:$I1002,MATCH(B$3,Spells!$A$1:$I$1,0),FALSE))</f>
        <v/>
      </c>
      <c r="C33" s="16" t="str">
        <f>IFNA(VLOOKUP($A33,Spells!$A$2:$I1002,MATCH(C$3,Spells!$A$1:$I$1,0),FALSE))</f>
        <v/>
      </c>
      <c r="D33" s="16" t="str">
        <f>IFNA(VLOOKUP($A33,Spells!$A$2:$I1002,MATCH(D$3,Spells!$A$1:$I$1,0),FALSE))</f>
        <v/>
      </c>
      <c r="E33" s="16" t="str">
        <f>IFNA(VLOOKUP($A33,Spells!$A$2:$I1002,MATCH(E$3,Spells!$A$1:$I$1,0),FALSE))</f>
        <v/>
      </c>
      <c r="F33" s="16" t="str">
        <f>IFNA(VLOOKUP($A33,Spells!$A$2:$I1002,MATCH(F$3,Spells!$A$1:$I$1,0),FALSE))</f>
        <v/>
      </c>
      <c r="G33" s="16" t="str">
        <f>IFNA(VLOOKUP($A33,Spells!$A$2:$I1002,MATCH(G$3,Spells!$A$1:$I$1,0),FALSE))</f>
        <v/>
      </c>
      <c r="H33" s="16" t="str">
        <f>IFNA(VLOOKUP($A33,Spells!$A$2:$I1002,MATCH(H$3,Spells!$A$1:$I$1,0),FALSE))</f>
        <v/>
      </c>
    </row>
    <row r="34">
      <c r="A34" s="16"/>
      <c r="B34" s="16" t="str">
        <f>IFNA(VLOOKUP($A34,Spells!$A$2:$I1002,MATCH(B$3,Spells!$A$1:$I$1,0),FALSE))</f>
        <v/>
      </c>
      <c r="C34" s="16" t="str">
        <f>IFNA(VLOOKUP($A34,Spells!$A$2:$I1002,MATCH(C$3,Spells!$A$1:$I$1,0),FALSE))</f>
        <v/>
      </c>
      <c r="D34" s="16" t="str">
        <f>IFNA(VLOOKUP($A34,Spells!$A$2:$I1002,MATCH(D$3,Spells!$A$1:$I$1,0),FALSE))</f>
        <v/>
      </c>
      <c r="E34" s="16" t="str">
        <f>IFNA(VLOOKUP($A34,Spells!$A$2:$I1002,MATCH(E$3,Spells!$A$1:$I$1,0),FALSE))</f>
        <v/>
      </c>
      <c r="F34" s="16" t="str">
        <f>IFNA(VLOOKUP($A34,Spells!$A$2:$I1002,MATCH(F$3,Spells!$A$1:$I$1,0),FALSE))</f>
        <v/>
      </c>
      <c r="G34" s="16" t="str">
        <f>IFNA(VLOOKUP($A34,Spells!$A$2:$I1002,MATCH(G$3,Spells!$A$1:$I$1,0),FALSE))</f>
        <v/>
      </c>
      <c r="H34" s="16" t="str">
        <f>IFNA(VLOOKUP($A34,Spells!$A$2:$I1002,MATCH(H$3,Spells!$A$1:$I$1,0),FALSE))</f>
        <v/>
      </c>
    </row>
    <row r="35">
      <c r="A35" s="16"/>
      <c r="B35" s="16" t="str">
        <f>IFNA(VLOOKUP($A35,Spells!$A$2:$I1002,MATCH(B$3,Spells!$A$1:$I$1,0),FALSE))</f>
        <v/>
      </c>
      <c r="C35" s="16" t="str">
        <f>IFNA(VLOOKUP($A35,Spells!$A$2:$I1002,MATCH(C$3,Spells!$A$1:$I$1,0),FALSE))</f>
        <v/>
      </c>
      <c r="D35" s="16" t="str">
        <f>IFNA(VLOOKUP($A35,Spells!$A$2:$I1002,MATCH(D$3,Spells!$A$1:$I$1,0),FALSE))</f>
        <v/>
      </c>
      <c r="E35" s="16" t="str">
        <f>IFNA(VLOOKUP($A35,Spells!$A$2:$I1002,MATCH(E$3,Spells!$A$1:$I$1,0),FALSE))</f>
        <v/>
      </c>
      <c r="F35" s="16" t="str">
        <f>IFNA(VLOOKUP($A35,Spells!$A$2:$I1002,MATCH(F$3,Spells!$A$1:$I$1,0),FALSE))</f>
        <v/>
      </c>
      <c r="G35" s="16" t="str">
        <f>IFNA(VLOOKUP($A35,Spells!$A$2:$I1002,MATCH(G$3,Spells!$A$1:$I$1,0),FALSE))</f>
        <v/>
      </c>
      <c r="H35" s="16" t="str">
        <f>IFNA(VLOOKUP($A35,Spells!$A$2:$I1002,MATCH(H$3,Spells!$A$1:$I$1,0),FALSE))</f>
        <v/>
      </c>
    </row>
    <row r="36">
      <c r="A36" s="16"/>
      <c r="B36" s="16" t="str">
        <f>IFNA(VLOOKUP($A36,Spells!$A$2:$I1002,MATCH(B$3,Spells!$A$1:$I$1,0),FALSE))</f>
        <v/>
      </c>
      <c r="C36" s="16" t="str">
        <f>IFNA(VLOOKUP($A36,Spells!$A$2:$I1002,MATCH(C$3,Spells!$A$1:$I$1,0),FALSE))</f>
        <v/>
      </c>
      <c r="D36" s="16" t="str">
        <f>IFNA(VLOOKUP($A36,Spells!$A$2:$I1002,MATCH(D$3,Spells!$A$1:$I$1,0),FALSE))</f>
        <v/>
      </c>
      <c r="E36" s="16" t="str">
        <f>IFNA(VLOOKUP($A36,Spells!$A$2:$I1002,MATCH(E$3,Spells!$A$1:$I$1,0),FALSE))</f>
        <v/>
      </c>
      <c r="F36" s="16" t="str">
        <f>IFNA(VLOOKUP($A36,Spells!$A$2:$I1002,MATCH(F$3,Spells!$A$1:$I$1,0),FALSE))</f>
        <v/>
      </c>
      <c r="G36" s="16" t="str">
        <f>IFNA(VLOOKUP($A36,Spells!$A$2:$I1002,MATCH(G$3,Spells!$A$1:$I$1,0),FALSE))</f>
        <v/>
      </c>
      <c r="H36" s="16" t="str">
        <f>IFNA(VLOOKUP($A36,Spells!$A$2:$I1002,MATCH(H$3,Spells!$A$1:$I$1,0),FALSE))</f>
        <v/>
      </c>
    </row>
    <row r="37">
      <c r="A37" s="16"/>
      <c r="B37" s="16" t="str">
        <f>IFNA(VLOOKUP($A37,Spells!$A$2:$I1002,MATCH(B$3,Spells!$A$1:$I$1,0),FALSE))</f>
        <v/>
      </c>
      <c r="C37" s="16" t="str">
        <f>IFNA(VLOOKUP($A37,Spells!$A$2:$I1002,MATCH(C$3,Spells!$A$1:$I$1,0),FALSE))</f>
        <v/>
      </c>
      <c r="D37" s="16" t="str">
        <f>IFNA(VLOOKUP($A37,Spells!$A$2:$I1002,MATCH(D$3,Spells!$A$1:$I$1,0),FALSE))</f>
        <v/>
      </c>
      <c r="E37" s="16" t="str">
        <f>IFNA(VLOOKUP($A37,Spells!$A$2:$I1002,MATCH(E$3,Spells!$A$1:$I$1,0),FALSE))</f>
        <v/>
      </c>
      <c r="F37" s="16" t="str">
        <f>IFNA(VLOOKUP($A37,Spells!$A$2:$I1002,MATCH(F$3,Spells!$A$1:$I$1,0),FALSE))</f>
        <v/>
      </c>
      <c r="G37" s="16" t="str">
        <f>IFNA(VLOOKUP($A37,Spells!$A$2:$I1002,MATCH(G$3,Spells!$A$1:$I$1,0),FALSE))</f>
        <v/>
      </c>
      <c r="H37" s="16" t="str">
        <f>IFNA(VLOOKUP($A37,Spells!$A$2:$I1002,MATCH(H$3,Spells!$A$1:$I$1,0),FALSE))</f>
        <v/>
      </c>
    </row>
    <row r="38">
      <c r="A38" s="16"/>
      <c r="B38" s="16" t="str">
        <f>IFNA(VLOOKUP($A38,Spells!$A$2:$I1002,MATCH(B$3,Spells!$A$1:$I$1,0),FALSE))</f>
        <v/>
      </c>
      <c r="C38" s="16" t="str">
        <f>IFNA(VLOOKUP($A38,Spells!$A$2:$I1002,MATCH(C$3,Spells!$A$1:$I$1,0),FALSE))</f>
        <v/>
      </c>
      <c r="D38" s="16" t="str">
        <f>IFNA(VLOOKUP($A38,Spells!$A$2:$I1002,MATCH(D$3,Spells!$A$1:$I$1,0),FALSE))</f>
        <v/>
      </c>
      <c r="E38" s="16" t="str">
        <f>IFNA(VLOOKUP($A38,Spells!$A$2:$I1002,MATCH(E$3,Spells!$A$1:$I$1,0),FALSE))</f>
        <v/>
      </c>
      <c r="F38" s="16" t="str">
        <f>IFNA(VLOOKUP($A38,Spells!$A$2:$I1002,MATCH(F$3,Spells!$A$1:$I$1,0),FALSE))</f>
        <v/>
      </c>
      <c r="G38" s="16" t="str">
        <f>IFNA(VLOOKUP($A38,Spells!$A$2:$I1002,MATCH(G$3,Spells!$A$1:$I$1,0),FALSE))</f>
        <v/>
      </c>
      <c r="H38" s="16" t="str">
        <f>IFNA(VLOOKUP($A38,Spells!$A$2:$I1002,MATCH(H$3,Spells!$A$1:$I$1,0),FALSE))</f>
        <v/>
      </c>
    </row>
    <row r="39">
      <c r="A39" s="16"/>
      <c r="B39" s="16" t="str">
        <f>IFNA(VLOOKUP($A39,Spells!$A$2:$I1002,MATCH(B$3,Spells!$A$1:$I$1,0),FALSE))</f>
        <v/>
      </c>
      <c r="C39" s="16" t="str">
        <f>IFNA(VLOOKUP($A39,Spells!$A$2:$I1002,MATCH(C$3,Spells!$A$1:$I$1,0),FALSE))</f>
        <v/>
      </c>
      <c r="D39" s="16" t="str">
        <f>IFNA(VLOOKUP($A39,Spells!$A$2:$I1002,MATCH(D$3,Spells!$A$1:$I$1,0),FALSE))</f>
        <v/>
      </c>
      <c r="E39" s="16" t="str">
        <f>IFNA(VLOOKUP($A39,Spells!$A$2:$I1002,MATCH(E$3,Spells!$A$1:$I$1,0),FALSE))</f>
        <v/>
      </c>
      <c r="F39" s="16" t="str">
        <f>IFNA(VLOOKUP($A39,Spells!$A$2:$I1002,MATCH(F$3,Spells!$A$1:$I$1,0),FALSE))</f>
        <v/>
      </c>
      <c r="G39" s="16" t="str">
        <f>IFNA(VLOOKUP($A39,Spells!$A$2:$I1002,MATCH(G$3,Spells!$A$1:$I$1,0),FALSE))</f>
        <v/>
      </c>
      <c r="H39" s="16" t="str">
        <f>IFNA(VLOOKUP($A39,Spells!$A$2:$I1002,MATCH(H$3,Spells!$A$1:$I$1,0),FALSE))</f>
        <v/>
      </c>
    </row>
    <row r="40">
      <c r="A40" s="16"/>
      <c r="B40" s="16" t="str">
        <f>IFNA(VLOOKUP($A40,Spells!$A$2:$I1002,MATCH(B$3,Spells!$A$1:$I$1,0),FALSE))</f>
        <v/>
      </c>
      <c r="C40" s="16" t="str">
        <f>IFNA(VLOOKUP($A40,Spells!$A$2:$I1002,MATCH(C$3,Spells!$A$1:$I$1,0),FALSE))</f>
        <v/>
      </c>
      <c r="D40" s="16" t="str">
        <f>IFNA(VLOOKUP($A40,Spells!$A$2:$I1002,MATCH(D$3,Spells!$A$1:$I$1,0),FALSE))</f>
        <v/>
      </c>
      <c r="E40" s="16" t="str">
        <f>IFNA(VLOOKUP($A40,Spells!$A$2:$I1002,MATCH(E$3,Spells!$A$1:$I$1,0),FALSE))</f>
        <v/>
      </c>
      <c r="F40" s="16" t="str">
        <f>IFNA(VLOOKUP($A40,Spells!$A$2:$I1002,MATCH(F$3,Spells!$A$1:$I$1,0),FALSE))</f>
        <v/>
      </c>
      <c r="G40" s="16" t="str">
        <f>IFNA(VLOOKUP($A40,Spells!$A$2:$I1002,MATCH(G$3,Spells!$A$1:$I$1,0),FALSE))</f>
        <v/>
      </c>
      <c r="H40" s="16" t="str">
        <f>IFNA(VLOOKUP($A40,Spells!$A$2:$I1002,MATCH(H$3,Spells!$A$1:$I$1,0),FALSE))</f>
        <v/>
      </c>
    </row>
    <row r="41">
      <c r="A41" s="16"/>
      <c r="B41" s="16" t="str">
        <f>IFNA(VLOOKUP($A41,Spells!$A$2:$I1002,MATCH(B$3,Spells!$A$1:$I$1,0),FALSE))</f>
        <v/>
      </c>
      <c r="C41" s="16" t="str">
        <f>IFNA(VLOOKUP($A41,Spells!$A$2:$I1002,MATCH(C$3,Spells!$A$1:$I$1,0),FALSE))</f>
        <v/>
      </c>
      <c r="D41" s="16" t="str">
        <f>IFNA(VLOOKUP($A41,Spells!$A$2:$I1002,MATCH(D$3,Spells!$A$1:$I$1,0),FALSE))</f>
        <v/>
      </c>
      <c r="E41" s="16" t="str">
        <f>IFNA(VLOOKUP($A41,Spells!$A$2:$I1002,MATCH(E$3,Spells!$A$1:$I$1,0),FALSE))</f>
        <v/>
      </c>
      <c r="F41" s="16" t="str">
        <f>IFNA(VLOOKUP($A41,Spells!$A$2:$I1002,MATCH(F$3,Spells!$A$1:$I$1,0),FALSE))</f>
        <v/>
      </c>
      <c r="G41" s="16" t="str">
        <f>IFNA(VLOOKUP($A41,Spells!$A$2:$I1002,MATCH(G$3,Spells!$A$1:$I$1,0),FALSE))</f>
        <v/>
      </c>
      <c r="H41" s="16" t="str">
        <f>IFNA(VLOOKUP($A41,Spells!$A$2:$I1002,MATCH(H$3,Spells!$A$1:$I$1,0),FALSE))</f>
        <v/>
      </c>
    </row>
    <row r="42">
      <c r="A42" s="16"/>
      <c r="B42" s="16" t="str">
        <f>IFNA(VLOOKUP($A42,Spells!$A$2:$I1002,MATCH(B$3,Spells!$A$1:$I$1,0),FALSE))</f>
        <v/>
      </c>
      <c r="C42" s="16" t="str">
        <f>IFNA(VLOOKUP($A42,Spells!$A$2:$I1002,MATCH(C$3,Spells!$A$1:$I$1,0),FALSE))</f>
        <v/>
      </c>
      <c r="D42" s="16" t="str">
        <f>IFNA(VLOOKUP($A42,Spells!$A$2:$I1002,MATCH(D$3,Spells!$A$1:$I$1,0),FALSE))</f>
        <v/>
      </c>
      <c r="E42" s="16" t="str">
        <f>IFNA(VLOOKUP($A42,Spells!$A$2:$I1002,MATCH(E$3,Spells!$A$1:$I$1,0),FALSE))</f>
        <v/>
      </c>
      <c r="F42" s="16" t="str">
        <f>IFNA(VLOOKUP($A42,Spells!$A$2:$I1002,MATCH(F$3,Spells!$A$1:$I$1,0),FALSE))</f>
        <v/>
      </c>
      <c r="G42" s="16" t="str">
        <f>IFNA(VLOOKUP($A42,Spells!$A$2:$I1002,MATCH(G$3,Spells!$A$1:$I$1,0),FALSE))</f>
        <v/>
      </c>
      <c r="H42" s="16" t="str">
        <f>IFNA(VLOOKUP($A42,Spells!$A$2:$I1002,MATCH(H$3,Spells!$A$1:$I$1,0),FALSE))</f>
        <v/>
      </c>
    </row>
    <row r="43">
      <c r="A43" s="16"/>
      <c r="B43" s="16" t="str">
        <f>IFNA(VLOOKUP($A43,Spells!$A$2:$I1002,MATCH(B$3,Spells!$A$1:$I$1,0),FALSE))</f>
        <v/>
      </c>
      <c r="C43" s="16" t="str">
        <f>IFNA(VLOOKUP($A43,Spells!$A$2:$I1002,MATCH(C$3,Spells!$A$1:$I$1,0),FALSE))</f>
        <v/>
      </c>
      <c r="D43" s="16" t="str">
        <f>IFNA(VLOOKUP($A43,Spells!$A$2:$I1002,MATCH(D$3,Spells!$A$1:$I$1,0),FALSE))</f>
        <v/>
      </c>
      <c r="E43" s="16" t="str">
        <f>IFNA(VLOOKUP($A43,Spells!$A$2:$I1002,MATCH(E$3,Spells!$A$1:$I$1,0),FALSE))</f>
        <v/>
      </c>
      <c r="F43" s="16" t="str">
        <f>IFNA(VLOOKUP($A43,Spells!$A$2:$I1002,MATCH(F$3,Spells!$A$1:$I$1,0),FALSE))</f>
        <v/>
      </c>
      <c r="G43" s="16" t="str">
        <f>IFNA(VLOOKUP($A43,Spells!$A$2:$I1002,MATCH(G$3,Spells!$A$1:$I$1,0),FALSE))</f>
        <v/>
      </c>
      <c r="H43" s="16" t="str">
        <f>IFNA(VLOOKUP($A43,Spells!$A$2:$I1002,MATCH(H$3,Spells!$A$1:$I$1,0),FALSE))</f>
        <v/>
      </c>
    </row>
    <row r="44">
      <c r="A44" s="16"/>
      <c r="B44" s="16" t="str">
        <f>IFNA(VLOOKUP($A44,Spells!$A$2:$I1002,MATCH(B$3,Spells!$A$1:$I$1,0),FALSE))</f>
        <v/>
      </c>
      <c r="C44" s="16" t="str">
        <f>IFNA(VLOOKUP($A44,Spells!$A$2:$I1002,MATCH(C$3,Spells!$A$1:$I$1,0),FALSE))</f>
        <v/>
      </c>
      <c r="D44" s="16" t="str">
        <f>IFNA(VLOOKUP($A44,Spells!$A$2:$I1002,MATCH(D$3,Spells!$A$1:$I$1,0),FALSE))</f>
        <v/>
      </c>
      <c r="E44" s="16" t="str">
        <f>IFNA(VLOOKUP($A44,Spells!$A$2:$I1002,MATCH(E$3,Spells!$A$1:$I$1,0),FALSE))</f>
        <v/>
      </c>
      <c r="F44" s="16" t="str">
        <f>IFNA(VLOOKUP($A44,Spells!$A$2:$I1002,MATCH(F$3,Spells!$A$1:$I$1,0),FALSE))</f>
        <v/>
      </c>
      <c r="G44" s="16" t="str">
        <f>IFNA(VLOOKUP($A44,Spells!$A$2:$I1002,MATCH(G$3,Spells!$A$1:$I$1,0),FALSE))</f>
        <v/>
      </c>
      <c r="H44" s="16" t="str">
        <f>IFNA(VLOOKUP($A44,Spells!$A$2:$I1002,MATCH(H$3,Spells!$A$1:$I$1,0),FALSE))</f>
        <v/>
      </c>
    </row>
    <row r="45">
      <c r="A45" s="16"/>
      <c r="B45" s="16" t="str">
        <f>IFNA(VLOOKUP($A45,Spells!$A$2:$I1002,MATCH(B$3,Spells!$A$1:$I$1,0),FALSE))</f>
        <v/>
      </c>
      <c r="C45" s="16" t="str">
        <f>IFNA(VLOOKUP($A45,Spells!$A$2:$I1002,MATCH(C$3,Spells!$A$1:$I$1,0),FALSE))</f>
        <v/>
      </c>
      <c r="D45" s="16" t="str">
        <f>IFNA(VLOOKUP($A45,Spells!$A$2:$I1002,MATCH(D$3,Spells!$A$1:$I$1,0),FALSE))</f>
        <v/>
      </c>
      <c r="E45" s="16" t="str">
        <f>IFNA(VLOOKUP($A45,Spells!$A$2:$I1002,MATCH(E$3,Spells!$A$1:$I$1,0),FALSE))</f>
        <v/>
      </c>
      <c r="F45" s="16" t="str">
        <f>IFNA(VLOOKUP($A45,Spells!$A$2:$I1002,MATCH(F$3,Spells!$A$1:$I$1,0),FALSE))</f>
        <v/>
      </c>
      <c r="G45" s="16" t="str">
        <f>IFNA(VLOOKUP($A45,Spells!$A$2:$I1002,MATCH(G$3,Spells!$A$1:$I$1,0),FALSE))</f>
        <v/>
      </c>
      <c r="H45" s="16" t="str">
        <f>IFNA(VLOOKUP($A45,Spells!$A$2:$I1002,MATCH(H$3,Spells!$A$1:$I$1,0),FALSE))</f>
        <v/>
      </c>
    </row>
    <row r="46">
      <c r="A46" s="16"/>
      <c r="B46" s="16" t="str">
        <f>IFNA(VLOOKUP($A46,Spells!$A$2:$I1002,MATCH(B$3,Spells!$A$1:$I$1,0),FALSE))</f>
        <v/>
      </c>
      <c r="C46" s="16" t="str">
        <f>IFNA(VLOOKUP($A46,Spells!$A$2:$I1002,MATCH(C$3,Spells!$A$1:$I$1,0),FALSE))</f>
        <v/>
      </c>
      <c r="D46" s="16" t="str">
        <f>IFNA(VLOOKUP($A46,Spells!$A$2:$I1002,MATCH(D$3,Spells!$A$1:$I$1,0),FALSE))</f>
        <v/>
      </c>
      <c r="E46" s="16" t="str">
        <f>IFNA(VLOOKUP($A46,Spells!$A$2:$I1002,MATCH(E$3,Spells!$A$1:$I$1,0),FALSE))</f>
        <v/>
      </c>
      <c r="F46" s="16" t="str">
        <f>IFNA(VLOOKUP($A46,Spells!$A$2:$I1002,MATCH(F$3,Spells!$A$1:$I$1,0),FALSE))</f>
        <v/>
      </c>
      <c r="G46" s="16" t="str">
        <f>IFNA(VLOOKUP($A46,Spells!$A$2:$I1002,MATCH(G$3,Spells!$A$1:$I$1,0),FALSE))</f>
        <v/>
      </c>
      <c r="H46" s="16" t="str">
        <f>IFNA(VLOOKUP($A46,Spells!$A$2:$I1002,MATCH(H$3,Spells!$A$1:$I$1,0),FALSE))</f>
        <v/>
      </c>
    </row>
    <row r="47">
      <c r="A47" s="16"/>
      <c r="B47" s="16" t="str">
        <f>IFNA(VLOOKUP($A47,Spells!$A$2:$I1002,MATCH(B$3,Spells!$A$1:$I$1,0),FALSE))</f>
        <v/>
      </c>
      <c r="C47" s="16" t="str">
        <f>IFNA(VLOOKUP($A47,Spells!$A$2:$I1002,MATCH(C$3,Spells!$A$1:$I$1,0),FALSE))</f>
        <v/>
      </c>
      <c r="D47" s="16" t="str">
        <f>IFNA(VLOOKUP($A47,Spells!$A$2:$I1002,MATCH(D$3,Spells!$A$1:$I$1,0),FALSE))</f>
        <v/>
      </c>
      <c r="E47" s="16" t="str">
        <f>IFNA(VLOOKUP($A47,Spells!$A$2:$I1002,MATCH(E$3,Spells!$A$1:$I$1,0),FALSE))</f>
        <v/>
      </c>
      <c r="F47" s="16" t="str">
        <f>IFNA(VLOOKUP($A47,Spells!$A$2:$I1002,MATCH(F$3,Spells!$A$1:$I$1,0),FALSE))</f>
        <v/>
      </c>
      <c r="G47" s="16" t="str">
        <f>IFNA(VLOOKUP($A47,Spells!$A$2:$I1002,MATCH(G$3,Spells!$A$1:$I$1,0),FALSE))</f>
        <v/>
      </c>
      <c r="H47" s="16" t="str">
        <f>IFNA(VLOOKUP($A47,Spells!$A$2:$I1002,MATCH(H$3,Spells!$A$1:$I$1,0),FALSE))</f>
        <v/>
      </c>
    </row>
    <row r="48">
      <c r="A48" s="16"/>
      <c r="B48" s="16" t="str">
        <f>IFNA(VLOOKUP($A48,Spells!$A$2:$I1002,MATCH(B$3,Spells!$A$1:$I$1,0),FALSE))</f>
        <v/>
      </c>
      <c r="C48" s="16" t="str">
        <f>IFNA(VLOOKUP($A48,Spells!$A$2:$I1002,MATCH(C$3,Spells!$A$1:$I$1,0),FALSE))</f>
        <v/>
      </c>
      <c r="D48" s="16" t="str">
        <f>IFNA(VLOOKUP($A48,Spells!$A$2:$I1002,MATCH(D$3,Spells!$A$1:$I$1,0),FALSE))</f>
        <v/>
      </c>
      <c r="E48" s="16" t="str">
        <f>IFNA(VLOOKUP($A48,Spells!$A$2:$I1002,MATCH(E$3,Spells!$A$1:$I$1,0),FALSE))</f>
        <v/>
      </c>
      <c r="F48" s="16" t="str">
        <f>IFNA(VLOOKUP($A48,Spells!$A$2:$I1002,MATCH(F$3,Spells!$A$1:$I$1,0),FALSE))</f>
        <v/>
      </c>
      <c r="G48" s="16" t="str">
        <f>IFNA(VLOOKUP($A48,Spells!$A$2:$I1002,MATCH(G$3,Spells!$A$1:$I$1,0),FALSE))</f>
        <v/>
      </c>
      <c r="H48" s="16" t="str">
        <f>IFNA(VLOOKUP($A48,Spells!$A$2:$I1002,MATCH(H$3,Spells!$A$1:$I$1,0),FALSE))</f>
        <v/>
      </c>
    </row>
    <row r="49">
      <c r="A49" s="16"/>
      <c r="B49" s="16" t="str">
        <f>IFNA(VLOOKUP($A49,Spells!$A$2:$I1002,MATCH(B$3,Spells!$A$1:$I$1,0),FALSE))</f>
        <v/>
      </c>
      <c r="C49" s="16" t="str">
        <f>IFNA(VLOOKUP($A49,Spells!$A$2:$I1002,MATCH(C$3,Spells!$A$1:$I$1,0),FALSE))</f>
        <v/>
      </c>
      <c r="D49" s="16" t="str">
        <f>IFNA(VLOOKUP($A49,Spells!$A$2:$I1002,MATCH(D$3,Spells!$A$1:$I$1,0),FALSE))</f>
        <v/>
      </c>
      <c r="E49" s="16" t="str">
        <f>IFNA(VLOOKUP($A49,Spells!$A$2:$I1002,MATCH(E$3,Spells!$A$1:$I$1,0),FALSE))</f>
        <v/>
      </c>
      <c r="F49" s="16" t="str">
        <f>IFNA(VLOOKUP($A49,Spells!$A$2:$I1002,MATCH(F$3,Spells!$A$1:$I$1,0),FALSE))</f>
        <v/>
      </c>
      <c r="G49" s="16" t="str">
        <f>IFNA(VLOOKUP($A49,Spells!$A$2:$I1002,MATCH(G$3,Spells!$A$1:$I$1,0),FALSE))</f>
        <v/>
      </c>
      <c r="H49" s="16" t="str">
        <f>IFNA(VLOOKUP($A49,Spells!$A$2:$I1002,MATCH(H$3,Spells!$A$1:$I$1,0),FALSE))</f>
        <v/>
      </c>
    </row>
    <row r="50">
      <c r="A50" s="16"/>
      <c r="B50" s="16" t="str">
        <f>IFNA(VLOOKUP($A50,Spells!$A$2:$I1002,MATCH(B$3,Spells!$A$1:$I$1,0),FALSE))</f>
        <v/>
      </c>
      <c r="C50" s="16" t="str">
        <f>IFNA(VLOOKUP($A50,Spells!$A$2:$I1002,MATCH(C$3,Spells!$A$1:$I$1,0),FALSE))</f>
        <v/>
      </c>
      <c r="D50" s="16" t="str">
        <f>IFNA(VLOOKUP($A50,Spells!$A$2:$I1002,MATCH(D$3,Spells!$A$1:$I$1,0),FALSE))</f>
        <v/>
      </c>
      <c r="E50" s="16" t="str">
        <f>IFNA(VLOOKUP($A50,Spells!$A$2:$I1002,MATCH(E$3,Spells!$A$1:$I$1,0),FALSE))</f>
        <v/>
      </c>
      <c r="F50" s="16" t="str">
        <f>IFNA(VLOOKUP($A50,Spells!$A$2:$I1002,MATCH(F$3,Spells!$A$1:$I$1,0),FALSE))</f>
        <v/>
      </c>
      <c r="G50" s="16" t="str">
        <f>IFNA(VLOOKUP($A50,Spells!$A$2:$I1002,MATCH(G$3,Spells!$A$1:$I$1,0),FALSE))</f>
        <v/>
      </c>
      <c r="H50" s="16" t="str">
        <f>IFNA(VLOOKUP($A50,Spells!$A$2:$I1002,MATCH(H$3,Spells!$A$1:$I$1,0),FALSE))</f>
        <v/>
      </c>
    </row>
    <row r="51">
      <c r="A51" s="16"/>
      <c r="B51" s="16" t="str">
        <f>IFNA(VLOOKUP($A51,Spells!$A$2:$I1002,MATCH(B$3,Spells!$A$1:$I$1,0),FALSE))</f>
        <v/>
      </c>
      <c r="C51" s="16" t="str">
        <f>IFNA(VLOOKUP($A51,Spells!$A$2:$I1002,MATCH(C$3,Spells!$A$1:$I$1,0),FALSE))</f>
        <v/>
      </c>
      <c r="D51" s="16" t="str">
        <f>IFNA(VLOOKUP($A51,Spells!$A$2:$I1002,MATCH(D$3,Spells!$A$1:$I$1,0),FALSE))</f>
        <v/>
      </c>
      <c r="E51" s="16" t="str">
        <f>IFNA(VLOOKUP($A51,Spells!$A$2:$I1002,MATCH(E$3,Spells!$A$1:$I$1,0),FALSE))</f>
        <v/>
      </c>
      <c r="F51" s="16" t="str">
        <f>IFNA(VLOOKUP($A51,Spells!$A$2:$I1002,MATCH(F$3,Spells!$A$1:$I$1,0),FALSE))</f>
        <v/>
      </c>
      <c r="G51" s="16" t="str">
        <f>IFNA(VLOOKUP($A51,Spells!$A$2:$I1002,MATCH(G$3,Spells!$A$1:$I$1,0),FALSE))</f>
        <v/>
      </c>
      <c r="H51" s="16" t="str">
        <f>IFNA(VLOOKUP($A51,Spells!$A$2:$I1002,MATCH(H$3,Spells!$A$1:$I$1,0),FALSE))</f>
        <v/>
      </c>
    </row>
    <row r="52">
      <c r="A52" s="16"/>
      <c r="B52" s="16" t="str">
        <f>IFNA(VLOOKUP($A52,Spells!$A$2:$I1002,MATCH(B$3,Spells!$A$1:$I$1,0),FALSE))</f>
        <v/>
      </c>
      <c r="C52" s="16" t="str">
        <f>IFNA(VLOOKUP($A52,Spells!$A$2:$I1002,MATCH(C$3,Spells!$A$1:$I$1,0),FALSE))</f>
        <v/>
      </c>
      <c r="D52" s="16" t="str">
        <f>IFNA(VLOOKUP($A52,Spells!$A$2:$I1002,MATCH(D$3,Spells!$A$1:$I$1,0),FALSE))</f>
        <v/>
      </c>
      <c r="E52" s="16" t="str">
        <f>IFNA(VLOOKUP($A52,Spells!$A$2:$I1002,MATCH(E$3,Spells!$A$1:$I$1,0),FALSE))</f>
        <v/>
      </c>
      <c r="F52" s="16" t="str">
        <f>IFNA(VLOOKUP($A52,Spells!$A$2:$I1002,MATCH(F$3,Spells!$A$1:$I$1,0),FALSE))</f>
        <v/>
      </c>
      <c r="G52" s="16" t="str">
        <f>IFNA(VLOOKUP($A52,Spells!$A$2:$I1002,MATCH(G$3,Spells!$A$1:$I$1,0),FALSE))</f>
        <v/>
      </c>
      <c r="H52" s="16" t="str">
        <f>IFNA(VLOOKUP($A52,Spells!$A$2:$I1002,MATCH(H$3,Spells!$A$1:$I$1,0),FALSE))</f>
        <v/>
      </c>
    </row>
    <row r="53">
      <c r="A53" s="16"/>
      <c r="B53" s="16" t="str">
        <f>IFNA(VLOOKUP($A53,Spells!$A$2:$I1002,MATCH(B$3,Spells!$A$1:$I$1,0),FALSE))</f>
        <v/>
      </c>
      <c r="C53" s="16" t="str">
        <f>IFNA(VLOOKUP($A53,Spells!$A$2:$I1002,MATCH(C$3,Spells!$A$1:$I$1,0),FALSE))</f>
        <v/>
      </c>
      <c r="D53" s="16" t="str">
        <f>IFNA(VLOOKUP($A53,Spells!$A$2:$I1002,MATCH(D$3,Spells!$A$1:$I$1,0),FALSE))</f>
        <v/>
      </c>
      <c r="E53" s="16" t="str">
        <f>IFNA(VLOOKUP($A53,Spells!$A$2:$I1002,MATCH(E$3,Spells!$A$1:$I$1,0),FALSE))</f>
        <v/>
      </c>
      <c r="F53" s="16" t="str">
        <f>IFNA(VLOOKUP($A53,Spells!$A$2:$I1002,MATCH(F$3,Spells!$A$1:$I$1,0),FALSE))</f>
        <v/>
      </c>
      <c r="G53" s="16" t="str">
        <f>IFNA(VLOOKUP($A53,Spells!$A$2:$I1002,MATCH(G$3,Spells!$A$1:$I$1,0),FALSE))</f>
        <v/>
      </c>
      <c r="H53" s="16" t="str">
        <f>IFNA(VLOOKUP($A53,Spells!$A$2:$I1002,MATCH(H$3,Spells!$A$1:$I$1,0),FALSE))</f>
        <v/>
      </c>
    </row>
    <row r="54">
      <c r="A54" s="16"/>
      <c r="B54" s="16" t="str">
        <f>IFNA(VLOOKUP($A54,Spells!$A$2:$I1002,MATCH(B$3,Spells!$A$1:$I$1,0),FALSE))</f>
        <v/>
      </c>
      <c r="C54" s="16" t="str">
        <f>IFNA(VLOOKUP($A54,Spells!$A$2:$I1002,MATCH(C$3,Spells!$A$1:$I$1,0),FALSE))</f>
        <v/>
      </c>
      <c r="D54" s="16" t="str">
        <f>IFNA(VLOOKUP($A54,Spells!$A$2:$I1002,MATCH(D$3,Spells!$A$1:$I$1,0),FALSE))</f>
        <v/>
      </c>
      <c r="E54" s="16" t="str">
        <f>IFNA(VLOOKUP($A54,Spells!$A$2:$I1002,MATCH(E$3,Spells!$A$1:$I$1,0),FALSE))</f>
        <v/>
      </c>
      <c r="F54" s="16" t="str">
        <f>IFNA(VLOOKUP($A54,Spells!$A$2:$I1002,MATCH(F$3,Spells!$A$1:$I$1,0),FALSE))</f>
        <v/>
      </c>
      <c r="G54" s="16" t="str">
        <f>IFNA(VLOOKUP($A54,Spells!$A$2:$I1002,MATCH(G$3,Spells!$A$1:$I$1,0),FALSE))</f>
        <v/>
      </c>
      <c r="H54" s="16" t="str">
        <f>IFNA(VLOOKUP($A54,Spells!$A$2:$I1002,MATCH(H$3,Spells!$A$1:$I$1,0),FALSE))</f>
        <v/>
      </c>
    </row>
    <row r="55">
      <c r="A55" s="16"/>
      <c r="B55" s="16" t="str">
        <f>IFNA(VLOOKUP($A55,Spells!$A$2:$I1002,MATCH(B$3,Spells!$A$1:$I$1,0),FALSE))</f>
        <v/>
      </c>
      <c r="C55" s="16" t="str">
        <f>IFNA(VLOOKUP($A55,Spells!$A$2:$I1002,MATCH(C$3,Spells!$A$1:$I$1,0),FALSE))</f>
        <v/>
      </c>
      <c r="D55" s="16" t="str">
        <f>IFNA(VLOOKUP($A55,Spells!$A$2:$I1002,MATCH(D$3,Spells!$A$1:$I$1,0),FALSE))</f>
        <v/>
      </c>
      <c r="E55" s="16" t="str">
        <f>IFNA(VLOOKUP($A55,Spells!$A$2:$I1002,MATCH(E$3,Spells!$A$1:$I$1,0),FALSE))</f>
        <v/>
      </c>
      <c r="F55" s="16" t="str">
        <f>IFNA(VLOOKUP($A55,Spells!$A$2:$I1002,MATCH(F$3,Spells!$A$1:$I$1,0),FALSE))</f>
        <v/>
      </c>
      <c r="G55" s="16" t="str">
        <f>IFNA(VLOOKUP($A55,Spells!$A$2:$I1002,MATCH(G$3,Spells!$A$1:$I$1,0),FALSE))</f>
        <v/>
      </c>
      <c r="H55" s="16" t="str">
        <f>IFNA(VLOOKUP($A55,Spells!$A$2:$I1002,MATCH(H$3,Spells!$A$1:$I$1,0),FALSE))</f>
        <v/>
      </c>
    </row>
    <row r="56">
      <c r="A56" s="16"/>
      <c r="B56" s="16" t="str">
        <f>IFNA(VLOOKUP($A56,Spells!$A$2:$I1002,MATCH(B$3,Spells!$A$1:$I$1,0),FALSE))</f>
        <v/>
      </c>
      <c r="C56" s="16" t="str">
        <f>IFNA(VLOOKUP($A56,Spells!$A$2:$I1002,MATCH(C$3,Spells!$A$1:$I$1,0),FALSE))</f>
        <v/>
      </c>
      <c r="D56" s="16" t="str">
        <f>IFNA(VLOOKUP($A56,Spells!$A$2:$I1002,MATCH(D$3,Spells!$A$1:$I$1,0),FALSE))</f>
        <v/>
      </c>
      <c r="E56" s="16" t="str">
        <f>IFNA(VLOOKUP($A56,Spells!$A$2:$I1002,MATCH(E$3,Spells!$A$1:$I$1,0),FALSE))</f>
        <v/>
      </c>
      <c r="F56" s="16" t="str">
        <f>IFNA(VLOOKUP($A56,Spells!$A$2:$I1002,MATCH(F$3,Spells!$A$1:$I$1,0),FALSE))</f>
        <v/>
      </c>
      <c r="G56" s="16" t="str">
        <f>IFNA(VLOOKUP($A56,Spells!$A$2:$I1002,MATCH(G$3,Spells!$A$1:$I$1,0),FALSE))</f>
        <v/>
      </c>
      <c r="H56" s="16" t="str">
        <f>IFNA(VLOOKUP($A56,Spells!$A$2:$I1002,MATCH(H$3,Spells!$A$1:$I$1,0),FALSE))</f>
        <v/>
      </c>
    </row>
    <row r="57">
      <c r="A57" s="16"/>
      <c r="B57" s="16" t="str">
        <f>IFNA(VLOOKUP($A57,Spells!$A$2:$I1002,MATCH(B$3,Spells!$A$1:$I$1,0),FALSE))</f>
        <v/>
      </c>
      <c r="C57" s="16" t="str">
        <f>IFNA(VLOOKUP($A57,Spells!$A$2:$I1002,MATCH(C$3,Spells!$A$1:$I$1,0),FALSE))</f>
        <v/>
      </c>
      <c r="D57" s="16" t="str">
        <f>IFNA(VLOOKUP($A57,Spells!$A$2:$I1002,MATCH(D$3,Spells!$A$1:$I$1,0),FALSE))</f>
        <v/>
      </c>
      <c r="E57" s="16" t="str">
        <f>IFNA(VLOOKUP($A57,Spells!$A$2:$I1002,MATCH(E$3,Spells!$A$1:$I$1,0),FALSE))</f>
        <v/>
      </c>
      <c r="F57" s="16" t="str">
        <f>IFNA(VLOOKUP($A57,Spells!$A$2:$I1002,MATCH(F$3,Spells!$A$1:$I$1,0),FALSE))</f>
        <v/>
      </c>
      <c r="G57" s="16" t="str">
        <f>IFNA(VLOOKUP($A57,Spells!$A$2:$I1002,MATCH(G$3,Spells!$A$1:$I$1,0),FALSE))</f>
        <v/>
      </c>
      <c r="H57" s="16" t="str">
        <f>IFNA(VLOOKUP($A57,Spells!$A$2:$I1002,MATCH(H$3,Spells!$A$1:$I$1,0),FALSE))</f>
        <v/>
      </c>
    </row>
    <row r="58">
      <c r="A58" s="16"/>
      <c r="B58" s="16" t="str">
        <f>IFNA(VLOOKUP($A58,Spells!$A$2:$I1002,MATCH(B$3,Spells!$A$1:$I$1,0),FALSE))</f>
        <v/>
      </c>
      <c r="C58" s="16" t="str">
        <f>IFNA(VLOOKUP($A58,Spells!$A$2:$I1002,MATCH(C$3,Spells!$A$1:$I$1,0),FALSE))</f>
        <v/>
      </c>
      <c r="D58" s="16" t="str">
        <f>IFNA(VLOOKUP($A58,Spells!$A$2:$I1002,MATCH(D$3,Spells!$A$1:$I$1,0),FALSE))</f>
        <v/>
      </c>
      <c r="E58" s="16" t="str">
        <f>IFNA(VLOOKUP($A58,Spells!$A$2:$I1002,MATCH(E$3,Spells!$A$1:$I$1,0),FALSE))</f>
        <v/>
      </c>
      <c r="F58" s="16" t="str">
        <f>IFNA(VLOOKUP($A58,Spells!$A$2:$I1002,MATCH(F$3,Spells!$A$1:$I$1,0),FALSE))</f>
        <v/>
      </c>
      <c r="G58" s="16" t="str">
        <f>IFNA(VLOOKUP($A58,Spells!$A$2:$I1002,MATCH(G$3,Spells!$A$1:$I$1,0),FALSE))</f>
        <v/>
      </c>
      <c r="H58" s="16" t="str">
        <f>IFNA(VLOOKUP($A58,Spells!$A$2:$I1002,MATCH(H$3,Spells!$A$1:$I$1,0),FALSE))</f>
        <v/>
      </c>
    </row>
    <row r="59">
      <c r="A59" s="16"/>
      <c r="B59" s="16" t="str">
        <f>IFNA(VLOOKUP($A59,Spells!$A$2:$I1002,MATCH(B$3,Spells!$A$1:$I$1,0),FALSE))</f>
        <v/>
      </c>
      <c r="C59" s="16" t="str">
        <f>IFNA(VLOOKUP($A59,Spells!$A$2:$I1002,MATCH(C$3,Spells!$A$1:$I$1,0),FALSE))</f>
        <v/>
      </c>
      <c r="D59" s="16" t="str">
        <f>IFNA(VLOOKUP($A59,Spells!$A$2:$I1002,MATCH(D$3,Spells!$A$1:$I$1,0),FALSE))</f>
        <v/>
      </c>
      <c r="E59" s="16" t="str">
        <f>IFNA(VLOOKUP($A59,Spells!$A$2:$I1002,MATCH(E$3,Spells!$A$1:$I$1,0),FALSE))</f>
        <v/>
      </c>
      <c r="F59" s="16" t="str">
        <f>IFNA(VLOOKUP($A59,Spells!$A$2:$I1002,MATCH(F$3,Spells!$A$1:$I$1,0),FALSE))</f>
        <v/>
      </c>
      <c r="G59" s="16" t="str">
        <f>IFNA(VLOOKUP($A59,Spells!$A$2:$I1002,MATCH(G$3,Spells!$A$1:$I$1,0),FALSE))</f>
        <v/>
      </c>
      <c r="H59" s="16" t="str">
        <f>IFNA(VLOOKUP($A59,Spells!$A$2:$I1002,MATCH(H$3,Spells!$A$1:$I$1,0),FALSE))</f>
        <v/>
      </c>
    </row>
    <row r="60">
      <c r="A60" s="16"/>
      <c r="B60" s="16" t="str">
        <f>IFNA(VLOOKUP($A60,Spells!$A$2:$I1002,MATCH(B$3,Spells!$A$1:$I$1,0),FALSE))</f>
        <v/>
      </c>
      <c r="C60" s="16" t="str">
        <f>IFNA(VLOOKUP($A60,Spells!$A$2:$I1002,MATCH(C$3,Spells!$A$1:$I$1,0),FALSE))</f>
        <v/>
      </c>
      <c r="D60" s="16" t="str">
        <f>IFNA(VLOOKUP($A60,Spells!$A$2:$I1002,MATCH(D$3,Spells!$A$1:$I$1,0),FALSE))</f>
        <v/>
      </c>
      <c r="E60" s="16" t="str">
        <f>IFNA(VLOOKUP($A60,Spells!$A$2:$I1002,MATCH(E$3,Spells!$A$1:$I$1,0),FALSE))</f>
        <v/>
      </c>
      <c r="F60" s="16" t="str">
        <f>IFNA(VLOOKUP($A60,Spells!$A$2:$I1002,MATCH(F$3,Spells!$A$1:$I$1,0),FALSE))</f>
        <v/>
      </c>
      <c r="G60" s="16" t="str">
        <f>IFNA(VLOOKUP($A60,Spells!$A$2:$I1002,MATCH(G$3,Spells!$A$1:$I$1,0),FALSE))</f>
        <v/>
      </c>
      <c r="H60" s="16" t="str">
        <f>IFNA(VLOOKUP($A60,Spells!$A$2:$I1002,MATCH(H$3,Spells!$A$1:$I$1,0),FALSE))</f>
        <v/>
      </c>
    </row>
    <row r="61">
      <c r="A61" s="16"/>
      <c r="B61" s="16" t="str">
        <f>IFNA(VLOOKUP($A61,Spells!$A$2:$I1002,MATCH(B$3,Spells!$A$1:$I$1,0),FALSE))</f>
        <v/>
      </c>
      <c r="C61" s="16" t="str">
        <f>IFNA(VLOOKUP($A61,Spells!$A$2:$I1002,MATCH(C$3,Spells!$A$1:$I$1,0),FALSE))</f>
        <v/>
      </c>
      <c r="D61" s="16" t="str">
        <f>IFNA(VLOOKUP($A61,Spells!$A$2:$I1002,MATCH(D$3,Spells!$A$1:$I$1,0),FALSE))</f>
        <v/>
      </c>
      <c r="E61" s="16" t="str">
        <f>IFNA(VLOOKUP($A61,Spells!$A$2:$I1002,MATCH(E$3,Spells!$A$1:$I$1,0),FALSE))</f>
        <v/>
      </c>
      <c r="F61" s="16" t="str">
        <f>IFNA(VLOOKUP($A61,Spells!$A$2:$I1002,MATCH(F$3,Spells!$A$1:$I$1,0),FALSE))</f>
        <v/>
      </c>
      <c r="G61" s="16" t="str">
        <f>IFNA(VLOOKUP($A61,Spells!$A$2:$I1002,MATCH(G$3,Spells!$A$1:$I$1,0),FALSE))</f>
        <v/>
      </c>
      <c r="H61" s="16" t="str">
        <f>IFNA(VLOOKUP($A61,Spells!$A$2:$I1002,MATCH(H$3,Spells!$A$1:$I$1,0),FALSE))</f>
        <v/>
      </c>
    </row>
    <row r="62">
      <c r="A62" s="16"/>
      <c r="B62" s="16" t="str">
        <f>IFNA(VLOOKUP($A62,Spells!$A$2:$I1002,MATCH(B$3,Spells!$A$1:$I$1,0),FALSE))</f>
        <v/>
      </c>
      <c r="C62" s="16" t="str">
        <f>IFNA(VLOOKUP($A62,Spells!$A$2:$I1002,MATCH(C$3,Spells!$A$1:$I$1,0),FALSE))</f>
        <v/>
      </c>
      <c r="D62" s="16" t="str">
        <f>IFNA(VLOOKUP($A62,Spells!$A$2:$I1002,MATCH(D$3,Spells!$A$1:$I$1,0),FALSE))</f>
        <v/>
      </c>
      <c r="E62" s="16" t="str">
        <f>IFNA(VLOOKUP($A62,Spells!$A$2:$I1002,MATCH(E$3,Spells!$A$1:$I$1,0),FALSE))</f>
        <v/>
      </c>
      <c r="F62" s="16" t="str">
        <f>IFNA(VLOOKUP($A62,Spells!$A$2:$I1002,MATCH(F$3,Spells!$A$1:$I$1,0),FALSE))</f>
        <v/>
      </c>
      <c r="G62" s="16" t="str">
        <f>IFNA(VLOOKUP($A62,Spells!$A$2:$I1002,MATCH(G$3,Spells!$A$1:$I$1,0),FALSE))</f>
        <v/>
      </c>
      <c r="H62" s="16" t="str">
        <f>IFNA(VLOOKUP($A62,Spells!$A$2:$I1002,MATCH(H$3,Spells!$A$1:$I$1,0),FALSE))</f>
        <v/>
      </c>
    </row>
    <row r="63">
      <c r="A63" s="16"/>
      <c r="B63" s="16" t="str">
        <f>IFNA(VLOOKUP($A63,Spells!$A$2:$I1002,MATCH(B$3,Spells!$A$1:$I$1,0),FALSE))</f>
        <v/>
      </c>
      <c r="C63" s="16" t="str">
        <f>IFNA(VLOOKUP($A63,Spells!$A$2:$I1002,MATCH(C$3,Spells!$A$1:$I$1,0),FALSE))</f>
        <v/>
      </c>
      <c r="D63" s="16" t="str">
        <f>IFNA(VLOOKUP($A63,Spells!$A$2:$I1002,MATCH(D$3,Spells!$A$1:$I$1,0),FALSE))</f>
        <v/>
      </c>
      <c r="E63" s="16" t="str">
        <f>IFNA(VLOOKUP($A63,Spells!$A$2:$I1002,MATCH(E$3,Spells!$A$1:$I$1,0),FALSE))</f>
        <v/>
      </c>
      <c r="F63" s="16" t="str">
        <f>IFNA(VLOOKUP($A63,Spells!$A$2:$I1002,MATCH(F$3,Spells!$A$1:$I$1,0),FALSE))</f>
        <v/>
      </c>
      <c r="G63" s="16" t="str">
        <f>IFNA(VLOOKUP($A63,Spells!$A$2:$I1002,MATCH(G$3,Spells!$A$1:$I$1,0),FALSE))</f>
        <v/>
      </c>
      <c r="H63" s="16" t="str">
        <f>IFNA(VLOOKUP($A63,Spells!$A$2:$I1002,MATCH(H$3,Spells!$A$1:$I$1,0),FALSE))</f>
        <v/>
      </c>
    </row>
    <row r="64">
      <c r="A64" s="16"/>
      <c r="B64" s="16" t="str">
        <f>IFNA(VLOOKUP($A64,Spells!$A$2:$I1002,MATCH(B$3,Spells!$A$1:$I$1,0),FALSE))</f>
        <v/>
      </c>
      <c r="C64" s="16" t="str">
        <f>IFNA(VLOOKUP($A64,Spells!$A$2:$I1002,MATCH(C$3,Spells!$A$1:$I$1,0),FALSE))</f>
        <v/>
      </c>
      <c r="D64" s="16" t="str">
        <f>IFNA(VLOOKUP($A64,Spells!$A$2:$I1002,MATCH(D$3,Spells!$A$1:$I$1,0),FALSE))</f>
        <v/>
      </c>
      <c r="E64" s="16" t="str">
        <f>IFNA(VLOOKUP($A64,Spells!$A$2:$I1002,MATCH(E$3,Spells!$A$1:$I$1,0),FALSE))</f>
        <v/>
      </c>
      <c r="F64" s="16" t="str">
        <f>IFNA(VLOOKUP($A64,Spells!$A$2:$I1002,MATCH(F$3,Spells!$A$1:$I$1,0),FALSE))</f>
        <v/>
      </c>
      <c r="G64" s="16" t="str">
        <f>IFNA(VLOOKUP($A64,Spells!$A$2:$I1002,MATCH(G$3,Spells!$A$1:$I$1,0),FALSE))</f>
        <v/>
      </c>
      <c r="H64" s="16" t="str">
        <f>IFNA(VLOOKUP($A64,Spells!$A$2:$I1002,MATCH(H$3,Spells!$A$1:$I$1,0),FALSE))</f>
        <v/>
      </c>
    </row>
    <row r="65">
      <c r="A65" s="16"/>
      <c r="B65" s="16" t="str">
        <f>IFNA(VLOOKUP($A65,Spells!$A$2:$I1002,MATCH(B$3,Spells!$A$1:$I$1,0),FALSE))</f>
        <v/>
      </c>
      <c r="C65" s="16" t="str">
        <f>IFNA(VLOOKUP($A65,Spells!$A$2:$I1002,MATCH(C$3,Spells!$A$1:$I$1,0),FALSE))</f>
        <v/>
      </c>
      <c r="D65" s="16" t="str">
        <f>IFNA(VLOOKUP($A65,Spells!$A$2:$I1002,MATCH(D$3,Spells!$A$1:$I$1,0),FALSE))</f>
        <v/>
      </c>
      <c r="E65" s="16" t="str">
        <f>IFNA(VLOOKUP($A65,Spells!$A$2:$I1002,MATCH(E$3,Spells!$A$1:$I$1,0),FALSE))</f>
        <v/>
      </c>
      <c r="F65" s="16" t="str">
        <f>IFNA(VLOOKUP($A65,Spells!$A$2:$I1002,MATCH(F$3,Spells!$A$1:$I$1,0),FALSE))</f>
        <v/>
      </c>
      <c r="G65" s="16" t="str">
        <f>IFNA(VLOOKUP($A65,Spells!$A$2:$I1002,MATCH(G$3,Spells!$A$1:$I$1,0),FALSE))</f>
        <v/>
      </c>
      <c r="H65" s="16" t="str">
        <f>IFNA(VLOOKUP($A65,Spells!$A$2:$I1002,MATCH(H$3,Spells!$A$1:$I$1,0),FALSE))</f>
        <v/>
      </c>
    </row>
    <row r="66">
      <c r="A66" s="16"/>
      <c r="B66" s="16" t="str">
        <f>IFNA(VLOOKUP($A66,Spells!$A$2:$I1002,MATCH(B$3,Spells!$A$1:$I$1,0),FALSE))</f>
        <v/>
      </c>
      <c r="C66" s="16" t="str">
        <f>IFNA(VLOOKUP($A66,Spells!$A$2:$I1002,MATCH(C$3,Spells!$A$1:$I$1,0),FALSE))</f>
        <v/>
      </c>
      <c r="D66" s="16" t="str">
        <f>IFNA(VLOOKUP($A66,Spells!$A$2:$I1002,MATCH(D$3,Spells!$A$1:$I$1,0),FALSE))</f>
        <v/>
      </c>
      <c r="E66" s="16" t="str">
        <f>IFNA(VLOOKUP($A66,Spells!$A$2:$I1002,MATCH(E$3,Spells!$A$1:$I$1,0),FALSE))</f>
        <v/>
      </c>
      <c r="F66" s="16" t="str">
        <f>IFNA(VLOOKUP($A66,Spells!$A$2:$I1002,MATCH(F$3,Spells!$A$1:$I$1,0),FALSE))</f>
        <v/>
      </c>
      <c r="G66" s="16" t="str">
        <f>IFNA(VLOOKUP($A66,Spells!$A$2:$I1002,MATCH(G$3,Spells!$A$1:$I$1,0),FALSE))</f>
        <v/>
      </c>
      <c r="H66" s="16" t="str">
        <f>IFNA(VLOOKUP($A66,Spells!$A$2:$I1002,MATCH(H$3,Spells!$A$1:$I$1,0),FALSE))</f>
        <v/>
      </c>
    </row>
    <row r="67">
      <c r="A67" s="16"/>
      <c r="B67" s="16" t="str">
        <f>IFNA(VLOOKUP($A67,Spells!$A$2:$I1002,MATCH(B$3,Spells!$A$1:$I$1,0),FALSE))</f>
        <v/>
      </c>
      <c r="C67" s="16" t="str">
        <f>IFNA(VLOOKUP($A67,Spells!$A$2:$I1002,MATCH(C$3,Spells!$A$1:$I$1,0),FALSE))</f>
        <v/>
      </c>
      <c r="D67" s="16" t="str">
        <f>IFNA(VLOOKUP($A67,Spells!$A$2:$I1002,MATCH(D$3,Spells!$A$1:$I$1,0),FALSE))</f>
        <v/>
      </c>
      <c r="E67" s="16" t="str">
        <f>IFNA(VLOOKUP($A67,Spells!$A$2:$I1002,MATCH(E$3,Spells!$A$1:$I$1,0),FALSE))</f>
        <v/>
      </c>
      <c r="F67" s="16" t="str">
        <f>IFNA(VLOOKUP($A67,Spells!$A$2:$I1002,MATCH(F$3,Spells!$A$1:$I$1,0),FALSE))</f>
        <v/>
      </c>
      <c r="G67" s="16" t="str">
        <f>IFNA(VLOOKUP($A67,Spells!$A$2:$I1002,MATCH(G$3,Spells!$A$1:$I$1,0),FALSE))</f>
        <v/>
      </c>
      <c r="H67" s="16" t="str">
        <f>IFNA(VLOOKUP($A67,Spells!$A$2:$I1002,MATCH(H$3,Spells!$A$1:$I$1,0),FALSE))</f>
        <v/>
      </c>
    </row>
    <row r="68">
      <c r="A68" s="16"/>
      <c r="B68" s="16" t="str">
        <f>IFNA(VLOOKUP($A68,Spells!$A$2:$I1002,MATCH(B$3,Spells!$A$1:$I$1,0),FALSE))</f>
        <v/>
      </c>
      <c r="C68" s="16" t="str">
        <f>IFNA(VLOOKUP($A68,Spells!$A$2:$I1002,MATCH(C$3,Spells!$A$1:$I$1,0),FALSE))</f>
        <v/>
      </c>
      <c r="D68" s="16" t="str">
        <f>IFNA(VLOOKUP($A68,Spells!$A$2:$I1002,MATCH(D$3,Spells!$A$1:$I$1,0),FALSE))</f>
        <v/>
      </c>
      <c r="E68" s="16" t="str">
        <f>IFNA(VLOOKUP($A68,Spells!$A$2:$I1002,MATCH(E$3,Spells!$A$1:$I$1,0),FALSE))</f>
        <v/>
      </c>
      <c r="F68" s="16" t="str">
        <f>IFNA(VLOOKUP($A68,Spells!$A$2:$I1002,MATCH(F$3,Spells!$A$1:$I$1,0),FALSE))</f>
        <v/>
      </c>
      <c r="G68" s="16" t="str">
        <f>IFNA(VLOOKUP($A68,Spells!$A$2:$I1002,MATCH(G$3,Spells!$A$1:$I$1,0),FALSE))</f>
        <v/>
      </c>
      <c r="H68" s="16" t="str">
        <f>IFNA(VLOOKUP($A68,Spells!$A$2:$I1002,MATCH(H$3,Spells!$A$1:$I$1,0),FALSE))</f>
        <v/>
      </c>
    </row>
    <row r="69">
      <c r="A69" s="16"/>
      <c r="B69" s="16" t="str">
        <f>IFNA(VLOOKUP($A69,Spells!$A$2:$I1002,MATCH(B$3,Spells!$A$1:$I$1,0),FALSE))</f>
        <v/>
      </c>
      <c r="C69" s="16" t="str">
        <f>IFNA(VLOOKUP($A69,Spells!$A$2:$I1002,MATCH(C$3,Spells!$A$1:$I$1,0),FALSE))</f>
        <v/>
      </c>
      <c r="D69" s="16" t="str">
        <f>IFNA(VLOOKUP($A69,Spells!$A$2:$I1002,MATCH(D$3,Spells!$A$1:$I$1,0),FALSE))</f>
        <v/>
      </c>
      <c r="E69" s="16" t="str">
        <f>IFNA(VLOOKUP($A69,Spells!$A$2:$I1002,MATCH(E$3,Spells!$A$1:$I$1,0),FALSE))</f>
        <v/>
      </c>
      <c r="F69" s="16" t="str">
        <f>IFNA(VLOOKUP($A69,Spells!$A$2:$I1002,MATCH(F$3,Spells!$A$1:$I$1,0),FALSE))</f>
        <v/>
      </c>
      <c r="G69" s="16" t="str">
        <f>IFNA(VLOOKUP($A69,Spells!$A$2:$I1002,MATCH(G$3,Spells!$A$1:$I$1,0),FALSE))</f>
        <v/>
      </c>
      <c r="H69" s="16" t="str">
        <f>IFNA(VLOOKUP($A69,Spells!$A$2:$I1002,MATCH(H$3,Spells!$A$1:$I$1,0),FALSE))</f>
        <v/>
      </c>
    </row>
    <row r="70">
      <c r="A70" s="16"/>
      <c r="B70" s="16" t="str">
        <f>IFNA(VLOOKUP($A70,Spells!$A$2:$I1002,MATCH(B$3,Spells!$A$1:$I$1,0),FALSE))</f>
        <v/>
      </c>
      <c r="C70" s="16" t="str">
        <f>IFNA(VLOOKUP($A70,Spells!$A$2:$I1002,MATCH(C$3,Spells!$A$1:$I$1,0),FALSE))</f>
        <v/>
      </c>
      <c r="D70" s="16" t="str">
        <f>IFNA(VLOOKUP($A70,Spells!$A$2:$I1002,MATCH(D$3,Spells!$A$1:$I$1,0),FALSE))</f>
        <v/>
      </c>
      <c r="E70" s="16" t="str">
        <f>IFNA(VLOOKUP($A70,Spells!$A$2:$I1002,MATCH(E$3,Spells!$A$1:$I$1,0),FALSE))</f>
        <v/>
      </c>
      <c r="F70" s="16" t="str">
        <f>IFNA(VLOOKUP($A70,Spells!$A$2:$I1002,MATCH(F$3,Spells!$A$1:$I$1,0),FALSE))</f>
        <v/>
      </c>
      <c r="G70" s="16" t="str">
        <f>IFNA(VLOOKUP($A70,Spells!$A$2:$I1002,MATCH(G$3,Spells!$A$1:$I$1,0),FALSE))</f>
        <v/>
      </c>
      <c r="H70" s="16" t="str">
        <f>IFNA(VLOOKUP($A70,Spells!$A$2:$I1002,MATCH(H$3,Spells!$A$1:$I$1,0),FALSE))</f>
        <v/>
      </c>
    </row>
    <row r="71">
      <c r="A71" s="16"/>
      <c r="B71" s="16" t="str">
        <f>IFNA(VLOOKUP($A71,Spells!$A$2:$I1002,MATCH(B$3,Spells!$A$1:$I$1,0),FALSE))</f>
        <v/>
      </c>
      <c r="C71" s="16" t="str">
        <f>IFNA(VLOOKUP($A71,Spells!$A$2:$I1002,MATCH(C$3,Spells!$A$1:$I$1,0),FALSE))</f>
        <v/>
      </c>
      <c r="D71" s="16" t="str">
        <f>IFNA(VLOOKUP($A71,Spells!$A$2:$I1002,MATCH(D$3,Spells!$A$1:$I$1,0),FALSE))</f>
        <v/>
      </c>
      <c r="E71" s="16" t="str">
        <f>IFNA(VLOOKUP($A71,Spells!$A$2:$I1002,MATCH(E$3,Spells!$A$1:$I$1,0),FALSE))</f>
        <v/>
      </c>
      <c r="F71" s="16" t="str">
        <f>IFNA(VLOOKUP($A71,Spells!$A$2:$I1002,MATCH(F$3,Spells!$A$1:$I$1,0),FALSE))</f>
        <v/>
      </c>
      <c r="G71" s="16" t="str">
        <f>IFNA(VLOOKUP($A71,Spells!$A$2:$I1002,MATCH(G$3,Spells!$A$1:$I$1,0),FALSE))</f>
        <v/>
      </c>
      <c r="H71" s="16" t="str">
        <f>IFNA(VLOOKUP($A71,Spells!$A$2:$I1002,MATCH(H$3,Spells!$A$1:$I$1,0),FALSE))</f>
        <v/>
      </c>
    </row>
    <row r="72">
      <c r="A72" s="16"/>
      <c r="B72" s="16" t="str">
        <f>IFNA(VLOOKUP($A72,Spells!$A$2:$I1002,MATCH(B$3,Spells!$A$1:$I$1,0),FALSE))</f>
        <v/>
      </c>
      <c r="C72" s="16" t="str">
        <f>IFNA(VLOOKUP($A72,Spells!$A$2:$I1002,MATCH(C$3,Spells!$A$1:$I$1,0),FALSE))</f>
        <v/>
      </c>
      <c r="D72" s="16" t="str">
        <f>IFNA(VLOOKUP($A72,Spells!$A$2:$I1002,MATCH(D$3,Spells!$A$1:$I$1,0),FALSE))</f>
        <v/>
      </c>
      <c r="E72" s="16" t="str">
        <f>IFNA(VLOOKUP($A72,Spells!$A$2:$I1002,MATCH(E$3,Spells!$A$1:$I$1,0),FALSE))</f>
        <v/>
      </c>
      <c r="F72" s="16" t="str">
        <f>IFNA(VLOOKUP($A72,Spells!$A$2:$I1002,MATCH(F$3,Spells!$A$1:$I$1,0),FALSE))</f>
        <v/>
      </c>
      <c r="G72" s="16" t="str">
        <f>IFNA(VLOOKUP($A72,Spells!$A$2:$I1002,MATCH(G$3,Spells!$A$1:$I$1,0),FALSE))</f>
        <v/>
      </c>
      <c r="H72" s="16" t="str">
        <f>IFNA(VLOOKUP($A72,Spells!$A$2:$I1002,MATCH(H$3,Spells!$A$1:$I$1,0),FALSE))</f>
        <v/>
      </c>
    </row>
    <row r="73">
      <c r="A73" s="16"/>
      <c r="B73" s="16" t="str">
        <f>IFNA(VLOOKUP($A73,Spells!$A$2:$I1002,MATCH(B$3,Spells!$A$1:$I$1,0),FALSE))</f>
        <v/>
      </c>
      <c r="C73" s="16" t="str">
        <f>IFNA(VLOOKUP($A73,Spells!$A$2:$I1002,MATCH(C$3,Spells!$A$1:$I$1,0),FALSE))</f>
        <v/>
      </c>
      <c r="D73" s="16" t="str">
        <f>IFNA(VLOOKUP($A73,Spells!$A$2:$I1002,MATCH(D$3,Spells!$A$1:$I$1,0),FALSE))</f>
        <v/>
      </c>
      <c r="E73" s="16" t="str">
        <f>IFNA(VLOOKUP($A73,Spells!$A$2:$I1002,MATCH(E$3,Spells!$A$1:$I$1,0),FALSE))</f>
        <v/>
      </c>
      <c r="F73" s="16" t="str">
        <f>IFNA(VLOOKUP($A73,Spells!$A$2:$I1002,MATCH(F$3,Spells!$A$1:$I$1,0),FALSE))</f>
        <v/>
      </c>
      <c r="G73" s="16" t="str">
        <f>IFNA(VLOOKUP($A73,Spells!$A$2:$I1002,MATCH(G$3,Spells!$A$1:$I$1,0),FALSE))</f>
        <v/>
      </c>
      <c r="H73" s="16" t="str">
        <f>IFNA(VLOOKUP($A73,Spells!$A$2:$I1002,MATCH(H$3,Spells!$A$1:$I$1,0),FALSE))</f>
        <v/>
      </c>
    </row>
    <row r="74">
      <c r="A74" s="16"/>
      <c r="B74" s="16" t="str">
        <f>IFNA(VLOOKUP($A74,Spells!$A$2:$I1002,MATCH(B$3,Spells!$A$1:$I$1,0),FALSE))</f>
        <v/>
      </c>
      <c r="C74" s="16" t="str">
        <f>IFNA(VLOOKUP($A74,Spells!$A$2:$I1002,MATCH(C$3,Spells!$A$1:$I$1,0),FALSE))</f>
        <v/>
      </c>
      <c r="D74" s="16" t="str">
        <f>IFNA(VLOOKUP($A74,Spells!$A$2:$I1002,MATCH(D$3,Spells!$A$1:$I$1,0),FALSE))</f>
        <v/>
      </c>
      <c r="E74" s="16" t="str">
        <f>IFNA(VLOOKUP($A74,Spells!$A$2:$I1002,MATCH(E$3,Spells!$A$1:$I$1,0),FALSE))</f>
        <v/>
      </c>
      <c r="F74" s="16" t="str">
        <f>IFNA(VLOOKUP($A74,Spells!$A$2:$I1002,MATCH(F$3,Spells!$A$1:$I$1,0),FALSE))</f>
        <v/>
      </c>
      <c r="G74" s="16" t="str">
        <f>IFNA(VLOOKUP($A74,Spells!$A$2:$I1002,MATCH(G$3,Spells!$A$1:$I$1,0),FALSE))</f>
        <v/>
      </c>
      <c r="H74" s="16" t="str">
        <f>IFNA(VLOOKUP($A74,Spells!$A$2:$I1002,MATCH(H$3,Spells!$A$1:$I$1,0),FALSE))</f>
        <v/>
      </c>
    </row>
    <row r="75">
      <c r="A75" s="16"/>
      <c r="B75" s="16" t="str">
        <f>IFNA(VLOOKUP($A75,Spells!$A$2:$I1002,MATCH(B$3,Spells!$A$1:$I$1,0),FALSE))</f>
        <v/>
      </c>
      <c r="C75" s="16" t="str">
        <f>IFNA(VLOOKUP($A75,Spells!$A$2:$I1002,MATCH(C$3,Spells!$A$1:$I$1,0),FALSE))</f>
        <v/>
      </c>
      <c r="D75" s="16" t="str">
        <f>IFNA(VLOOKUP($A75,Spells!$A$2:$I1002,MATCH(D$3,Spells!$A$1:$I$1,0),FALSE))</f>
        <v/>
      </c>
      <c r="E75" s="16" t="str">
        <f>IFNA(VLOOKUP($A75,Spells!$A$2:$I1002,MATCH(E$3,Spells!$A$1:$I$1,0),FALSE))</f>
        <v/>
      </c>
      <c r="F75" s="16" t="str">
        <f>IFNA(VLOOKUP($A75,Spells!$A$2:$I1002,MATCH(F$3,Spells!$A$1:$I$1,0),FALSE))</f>
        <v/>
      </c>
      <c r="G75" s="16" t="str">
        <f>IFNA(VLOOKUP($A75,Spells!$A$2:$I1002,MATCH(G$3,Spells!$A$1:$I$1,0),FALSE))</f>
        <v/>
      </c>
      <c r="H75" s="16" t="str">
        <f>IFNA(VLOOKUP($A75,Spells!$A$2:$I1002,MATCH(H$3,Spells!$A$1:$I$1,0),FALSE))</f>
        <v/>
      </c>
    </row>
    <row r="76">
      <c r="A76" s="16"/>
      <c r="B76" s="16" t="str">
        <f>IFNA(VLOOKUP($A76,Spells!$A$2:$I1002,MATCH(B$3,Spells!$A$1:$I$1,0),FALSE))</f>
        <v/>
      </c>
      <c r="C76" s="16" t="str">
        <f>IFNA(VLOOKUP($A76,Spells!$A$2:$I1002,MATCH(C$3,Spells!$A$1:$I$1,0),FALSE))</f>
        <v/>
      </c>
      <c r="D76" s="16" t="str">
        <f>IFNA(VLOOKUP($A76,Spells!$A$2:$I1002,MATCH(D$3,Spells!$A$1:$I$1,0),FALSE))</f>
        <v/>
      </c>
      <c r="E76" s="16" t="str">
        <f>IFNA(VLOOKUP($A76,Spells!$A$2:$I1002,MATCH(E$3,Spells!$A$1:$I$1,0),FALSE))</f>
        <v/>
      </c>
      <c r="F76" s="16" t="str">
        <f>IFNA(VLOOKUP($A76,Spells!$A$2:$I1002,MATCH(F$3,Spells!$A$1:$I$1,0),FALSE))</f>
        <v/>
      </c>
      <c r="G76" s="16" t="str">
        <f>IFNA(VLOOKUP($A76,Spells!$A$2:$I1002,MATCH(G$3,Spells!$A$1:$I$1,0),FALSE))</f>
        <v/>
      </c>
      <c r="H76" s="16" t="str">
        <f>IFNA(VLOOKUP($A76,Spells!$A$2:$I1002,MATCH(H$3,Spells!$A$1:$I$1,0),FALSE))</f>
        <v/>
      </c>
    </row>
    <row r="77">
      <c r="A77" s="16"/>
      <c r="B77" s="16" t="str">
        <f>IFNA(VLOOKUP($A77,Spells!$A$2:$I1002,MATCH(B$3,Spells!$A$1:$I$1,0),FALSE))</f>
        <v/>
      </c>
      <c r="C77" s="16" t="str">
        <f>IFNA(VLOOKUP($A77,Spells!$A$2:$I1002,MATCH(C$3,Spells!$A$1:$I$1,0),FALSE))</f>
        <v/>
      </c>
      <c r="D77" s="16" t="str">
        <f>IFNA(VLOOKUP($A77,Spells!$A$2:$I1002,MATCH(D$3,Spells!$A$1:$I$1,0),FALSE))</f>
        <v/>
      </c>
      <c r="E77" s="16" t="str">
        <f>IFNA(VLOOKUP($A77,Spells!$A$2:$I1002,MATCH(E$3,Spells!$A$1:$I$1,0),FALSE))</f>
        <v/>
      </c>
      <c r="F77" s="16" t="str">
        <f>IFNA(VLOOKUP($A77,Spells!$A$2:$I1002,MATCH(F$3,Spells!$A$1:$I$1,0),FALSE))</f>
        <v/>
      </c>
      <c r="G77" s="16" t="str">
        <f>IFNA(VLOOKUP($A77,Spells!$A$2:$I1002,MATCH(G$3,Spells!$A$1:$I$1,0),FALSE))</f>
        <v/>
      </c>
      <c r="H77" s="16" t="str">
        <f>IFNA(VLOOKUP($A77,Spells!$A$2:$I1002,MATCH(H$3,Spells!$A$1:$I$1,0),FALSE))</f>
        <v/>
      </c>
    </row>
    <row r="78">
      <c r="A78" s="16"/>
      <c r="B78" s="16" t="str">
        <f>IFNA(VLOOKUP($A78,Spells!$A$2:$I1002,MATCH(B$3,Spells!$A$1:$I$1,0),FALSE))</f>
        <v/>
      </c>
      <c r="C78" s="16" t="str">
        <f>IFNA(VLOOKUP($A78,Spells!$A$2:$I1002,MATCH(C$3,Spells!$A$1:$I$1,0),FALSE))</f>
        <v/>
      </c>
      <c r="D78" s="16" t="str">
        <f>IFNA(VLOOKUP($A78,Spells!$A$2:$I1002,MATCH(D$3,Spells!$A$1:$I$1,0),FALSE))</f>
        <v/>
      </c>
      <c r="E78" s="16" t="str">
        <f>IFNA(VLOOKUP($A78,Spells!$A$2:$I1002,MATCH(E$3,Spells!$A$1:$I$1,0),FALSE))</f>
        <v/>
      </c>
      <c r="F78" s="16" t="str">
        <f>IFNA(VLOOKUP($A78,Spells!$A$2:$I1002,MATCH(F$3,Spells!$A$1:$I$1,0),FALSE))</f>
        <v/>
      </c>
      <c r="G78" s="16" t="str">
        <f>IFNA(VLOOKUP($A78,Spells!$A$2:$I1002,MATCH(G$3,Spells!$A$1:$I$1,0),FALSE))</f>
        <v/>
      </c>
      <c r="H78" s="16" t="str">
        <f>IFNA(VLOOKUP($A78,Spells!$A$2:$I1002,MATCH(H$3,Spells!$A$1:$I$1,0),FALSE))</f>
        <v/>
      </c>
    </row>
    <row r="79">
      <c r="A79" s="16"/>
      <c r="B79" s="16" t="str">
        <f>IFNA(VLOOKUP($A79,Spells!$A$2:$I1002,MATCH(B$3,Spells!$A$1:$I$1,0),FALSE))</f>
        <v/>
      </c>
      <c r="C79" s="16" t="str">
        <f>IFNA(VLOOKUP($A79,Spells!$A$2:$I1002,MATCH(C$3,Spells!$A$1:$I$1,0),FALSE))</f>
        <v/>
      </c>
      <c r="D79" s="16" t="str">
        <f>IFNA(VLOOKUP($A79,Spells!$A$2:$I1002,MATCH(D$3,Spells!$A$1:$I$1,0),FALSE))</f>
        <v/>
      </c>
      <c r="E79" s="16" t="str">
        <f>IFNA(VLOOKUP($A79,Spells!$A$2:$I1002,MATCH(E$3,Spells!$A$1:$I$1,0),FALSE))</f>
        <v/>
      </c>
      <c r="F79" s="16" t="str">
        <f>IFNA(VLOOKUP($A79,Spells!$A$2:$I1002,MATCH(F$3,Spells!$A$1:$I$1,0),FALSE))</f>
        <v/>
      </c>
      <c r="G79" s="16" t="str">
        <f>IFNA(VLOOKUP($A79,Spells!$A$2:$I1002,MATCH(G$3,Spells!$A$1:$I$1,0),FALSE))</f>
        <v/>
      </c>
      <c r="H79" s="16" t="str">
        <f>IFNA(VLOOKUP($A79,Spells!$A$2:$I1002,MATCH(H$3,Spells!$A$1:$I$1,0),FALSE))</f>
        <v/>
      </c>
    </row>
    <row r="80">
      <c r="A80" s="16"/>
      <c r="B80" s="16" t="str">
        <f>IFNA(VLOOKUP($A80,Spells!$A$2:$I1002,MATCH(B$3,Spells!$A$1:$I$1,0),FALSE))</f>
        <v/>
      </c>
      <c r="C80" s="16" t="str">
        <f>IFNA(VLOOKUP($A80,Spells!$A$2:$I1002,MATCH(C$3,Spells!$A$1:$I$1,0),FALSE))</f>
        <v/>
      </c>
      <c r="D80" s="16" t="str">
        <f>IFNA(VLOOKUP($A80,Spells!$A$2:$I1002,MATCH(D$3,Spells!$A$1:$I$1,0),FALSE))</f>
        <v/>
      </c>
      <c r="E80" s="16" t="str">
        <f>IFNA(VLOOKUP($A80,Spells!$A$2:$I1002,MATCH(E$3,Spells!$A$1:$I$1,0),FALSE))</f>
        <v/>
      </c>
      <c r="F80" s="16" t="str">
        <f>IFNA(VLOOKUP($A80,Spells!$A$2:$I1002,MATCH(F$3,Spells!$A$1:$I$1,0),FALSE))</f>
        <v/>
      </c>
      <c r="G80" s="16" t="str">
        <f>IFNA(VLOOKUP($A80,Spells!$A$2:$I1002,MATCH(G$3,Spells!$A$1:$I$1,0),FALSE))</f>
        <v/>
      </c>
      <c r="H80" s="16" t="str">
        <f>IFNA(VLOOKUP($A80,Spells!$A$2:$I1002,MATCH(H$3,Spells!$A$1:$I$1,0),FALSE))</f>
        <v/>
      </c>
    </row>
    <row r="81">
      <c r="A81" s="16"/>
      <c r="B81" s="16" t="str">
        <f>IFNA(VLOOKUP($A81,Spells!$A$2:$I1002,MATCH(B$3,Spells!$A$1:$I$1,0),FALSE))</f>
        <v/>
      </c>
      <c r="C81" s="16" t="str">
        <f>IFNA(VLOOKUP($A81,Spells!$A$2:$I1002,MATCH(C$3,Spells!$A$1:$I$1,0),FALSE))</f>
        <v/>
      </c>
      <c r="D81" s="16" t="str">
        <f>IFNA(VLOOKUP($A81,Spells!$A$2:$I1002,MATCH(D$3,Spells!$A$1:$I$1,0),FALSE))</f>
        <v/>
      </c>
      <c r="E81" s="16" t="str">
        <f>IFNA(VLOOKUP($A81,Spells!$A$2:$I1002,MATCH(E$3,Spells!$A$1:$I$1,0),FALSE))</f>
        <v/>
      </c>
      <c r="F81" s="16" t="str">
        <f>IFNA(VLOOKUP($A81,Spells!$A$2:$I1002,MATCH(F$3,Spells!$A$1:$I$1,0),FALSE))</f>
        <v/>
      </c>
      <c r="G81" s="16" t="str">
        <f>IFNA(VLOOKUP($A81,Spells!$A$2:$I1002,MATCH(G$3,Spells!$A$1:$I$1,0),FALSE))</f>
        <v/>
      </c>
      <c r="H81" s="16" t="str">
        <f>IFNA(VLOOKUP($A81,Spells!$A$2:$I1002,MATCH(H$3,Spells!$A$1:$I$1,0),FALSE))</f>
        <v/>
      </c>
    </row>
    <row r="82">
      <c r="A82" s="16"/>
      <c r="B82" s="16" t="str">
        <f>IFNA(VLOOKUP($A82,Spells!$A$2:$I1002,MATCH(B$3,Spells!$A$1:$I$1,0),FALSE))</f>
        <v/>
      </c>
      <c r="C82" s="16" t="str">
        <f>IFNA(VLOOKUP($A82,Spells!$A$2:$I1002,MATCH(C$3,Spells!$A$1:$I$1,0),FALSE))</f>
        <v/>
      </c>
      <c r="D82" s="16" t="str">
        <f>IFNA(VLOOKUP($A82,Spells!$A$2:$I1002,MATCH(D$3,Spells!$A$1:$I$1,0),FALSE))</f>
        <v/>
      </c>
      <c r="E82" s="16" t="str">
        <f>IFNA(VLOOKUP($A82,Spells!$A$2:$I1002,MATCH(E$3,Spells!$A$1:$I$1,0),FALSE))</f>
        <v/>
      </c>
      <c r="F82" s="16" t="str">
        <f>IFNA(VLOOKUP($A82,Spells!$A$2:$I1002,MATCH(F$3,Spells!$A$1:$I$1,0),FALSE))</f>
        <v/>
      </c>
      <c r="G82" s="16" t="str">
        <f>IFNA(VLOOKUP($A82,Spells!$A$2:$I1002,MATCH(G$3,Spells!$A$1:$I$1,0),FALSE))</f>
        <v/>
      </c>
      <c r="H82" s="16" t="str">
        <f>IFNA(VLOOKUP($A82,Spells!$A$2:$I1002,MATCH(H$3,Spells!$A$1:$I$1,0),FALSE))</f>
        <v/>
      </c>
    </row>
    <row r="83">
      <c r="A83" s="16"/>
      <c r="B83" s="16" t="str">
        <f>IFNA(VLOOKUP($A83,Spells!$A$2:$I1002,MATCH(B$3,Spells!$A$1:$I$1,0),FALSE))</f>
        <v/>
      </c>
      <c r="C83" s="16" t="str">
        <f>IFNA(VLOOKUP($A83,Spells!$A$2:$I1002,MATCH(C$3,Spells!$A$1:$I$1,0),FALSE))</f>
        <v/>
      </c>
      <c r="D83" s="16" t="str">
        <f>IFNA(VLOOKUP($A83,Spells!$A$2:$I1002,MATCH(D$3,Spells!$A$1:$I$1,0),FALSE))</f>
        <v/>
      </c>
      <c r="E83" s="16" t="str">
        <f>IFNA(VLOOKUP($A83,Spells!$A$2:$I1002,MATCH(E$3,Spells!$A$1:$I$1,0),FALSE))</f>
        <v/>
      </c>
      <c r="F83" s="16" t="str">
        <f>IFNA(VLOOKUP($A83,Spells!$A$2:$I1002,MATCH(F$3,Spells!$A$1:$I$1,0),FALSE))</f>
        <v/>
      </c>
      <c r="G83" s="16" t="str">
        <f>IFNA(VLOOKUP($A83,Spells!$A$2:$I1002,MATCH(G$3,Spells!$A$1:$I$1,0),FALSE))</f>
        <v/>
      </c>
      <c r="H83" s="16" t="str">
        <f>IFNA(VLOOKUP($A83,Spells!$A$2:$I1002,MATCH(H$3,Spells!$A$1:$I$1,0),FALSE))</f>
        <v/>
      </c>
    </row>
    <row r="84">
      <c r="A84" s="16"/>
      <c r="B84" s="16" t="str">
        <f>IFNA(VLOOKUP($A84,Spells!$A$2:$I1002,MATCH(B$3,Spells!$A$1:$I$1,0),FALSE))</f>
        <v/>
      </c>
      <c r="C84" s="16" t="str">
        <f>IFNA(VLOOKUP($A84,Spells!$A$2:$I1002,MATCH(C$3,Spells!$A$1:$I$1,0),FALSE))</f>
        <v/>
      </c>
      <c r="D84" s="16" t="str">
        <f>IFNA(VLOOKUP($A84,Spells!$A$2:$I1002,MATCH(D$3,Spells!$A$1:$I$1,0),FALSE))</f>
        <v/>
      </c>
      <c r="E84" s="16" t="str">
        <f>IFNA(VLOOKUP($A84,Spells!$A$2:$I1002,MATCH(E$3,Spells!$A$1:$I$1,0),FALSE))</f>
        <v/>
      </c>
      <c r="F84" s="16" t="str">
        <f>IFNA(VLOOKUP($A84,Spells!$A$2:$I1002,MATCH(F$3,Spells!$A$1:$I$1,0),FALSE))</f>
        <v/>
      </c>
      <c r="G84" s="16" t="str">
        <f>IFNA(VLOOKUP($A84,Spells!$A$2:$I1002,MATCH(G$3,Spells!$A$1:$I$1,0),FALSE))</f>
        <v/>
      </c>
      <c r="H84" s="16" t="str">
        <f>IFNA(VLOOKUP($A84,Spells!$A$2:$I1002,MATCH(H$3,Spells!$A$1:$I$1,0),FALSE))</f>
        <v/>
      </c>
    </row>
    <row r="85">
      <c r="A85" s="16"/>
      <c r="B85" s="16" t="str">
        <f>IFNA(VLOOKUP($A85,Spells!$A$2:$I1002,MATCH(B$3,Spells!$A$1:$I$1,0),FALSE))</f>
        <v/>
      </c>
      <c r="C85" s="16" t="str">
        <f>IFNA(VLOOKUP($A85,Spells!$A$2:$I1002,MATCH(C$3,Spells!$A$1:$I$1,0),FALSE))</f>
        <v/>
      </c>
      <c r="D85" s="16" t="str">
        <f>IFNA(VLOOKUP($A85,Spells!$A$2:$I1002,MATCH(D$3,Spells!$A$1:$I$1,0),FALSE))</f>
        <v/>
      </c>
      <c r="E85" s="16" t="str">
        <f>IFNA(VLOOKUP($A85,Spells!$A$2:$I1002,MATCH(E$3,Spells!$A$1:$I$1,0),FALSE))</f>
        <v/>
      </c>
      <c r="F85" s="16" t="str">
        <f>IFNA(VLOOKUP($A85,Spells!$A$2:$I1002,MATCH(F$3,Spells!$A$1:$I$1,0),FALSE))</f>
        <v/>
      </c>
      <c r="G85" s="16" t="str">
        <f>IFNA(VLOOKUP($A85,Spells!$A$2:$I1002,MATCH(G$3,Spells!$A$1:$I$1,0),FALSE))</f>
        <v/>
      </c>
      <c r="H85" s="16" t="str">
        <f>IFNA(VLOOKUP($A85,Spells!$A$2:$I1002,MATCH(H$3,Spells!$A$1:$I$1,0),FALSE))</f>
        <v/>
      </c>
    </row>
    <row r="86">
      <c r="A86" s="16"/>
      <c r="B86" s="16" t="str">
        <f>IFNA(VLOOKUP($A86,Spells!$A$2:$I1002,MATCH(B$3,Spells!$A$1:$I$1,0),FALSE))</f>
        <v/>
      </c>
      <c r="C86" s="16" t="str">
        <f>IFNA(VLOOKUP($A86,Spells!$A$2:$I1002,MATCH(C$3,Spells!$A$1:$I$1,0),FALSE))</f>
        <v/>
      </c>
      <c r="D86" s="16" t="str">
        <f>IFNA(VLOOKUP($A86,Spells!$A$2:$I1002,MATCH(D$3,Spells!$A$1:$I$1,0),FALSE))</f>
        <v/>
      </c>
      <c r="E86" s="16" t="str">
        <f>IFNA(VLOOKUP($A86,Spells!$A$2:$I1002,MATCH(E$3,Spells!$A$1:$I$1,0),FALSE))</f>
        <v/>
      </c>
      <c r="F86" s="16" t="str">
        <f>IFNA(VLOOKUP($A86,Spells!$A$2:$I1002,MATCH(F$3,Spells!$A$1:$I$1,0),FALSE))</f>
        <v/>
      </c>
      <c r="G86" s="16" t="str">
        <f>IFNA(VLOOKUP($A86,Spells!$A$2:$I1002,MATCH(G$3,Spells!$A$1:$I$1,0),FALSE))</f>
        <v/>
      </c>
      <c r="H86" s="16" t="str">
        <f>IFNA(VLOOKUP($A86,Spells!$A$2:$I1002,MATCH(H$3,Spells!$A$1:$I$1,0),FALSE))</f>
        <v/>
      </c>
    </row>
    <row r="87">
      <c r="A87" s="16"/>
      <c r="B87" s="16" t="str">
        <f>IFNA(VLOOKUP($A87,Spells!$A$2:$I1002,MATCH(B$3,Spells!$A$1:$I$1,0),FALSE))</f>
        <v/>
      </c>
      <c r="C87" s="16" t="str">
        <f>IFNA(VLOOKUP($A87,Spells!$A$2:$I1002,MATCH(C$3,Spells!$A$1:$I$1,0),FALSE))</f>
        <v/>
      </c>
      <c r="D87" s="16" t="str">
        <f>IFNA(VLOOKUP($A87,Spells!$A$2:$I1002,MATCH(D$3,Spells!$A$1:$I$1,0),FALSE))</f>
        <v/>
      </c>
      <c r="E87" s="16" t="str">
        <f>IFNA(VLOOKUP($A87,Spells!$A$2:$I1002,MATCH(E$3,Spells!$A$1:$I$1,0),FALSE))</f>
        <v/>
      </c>
      <c r="F87" s="16" t="str">
        <f>IFNA(VLOOKUP($A87,Spells!$A$2:$I1002,MATCH(F$3,Spells!$A$1:$I$1,0),FALSE))</f>
        <v/>
      </c>
      <c r="G87" s="16" t="str">
        <f>IFNA(VLOOKUP($A87,Spells!$A$2:$I1002,MATCH(G$3,Spells!$A$1:$I$1,0),FALSE))</f>
        <v/>
      </c>
      <c r="H87" s="16" t="str">
        <f>IFNA(VLOOKUP($A87,Spells!$A$2:$I1002,MATCH(H$3,Spells!$A$1:$I$1,0),FALSE))</f>
        <v/>
      </c>
    </row>
    <row r="88">
      <c r="A88" s="16"/>
      <c r="B88" s="16" t="str">
        <f>IFNA(VLOOKUP($A88,Spells!$A$2:$I1002,MATCH(B$3,Spells!$A$1:$I$1,0),FALSE))</f>
        <v/>
      </c>
      <c r="C88" s="16" t="str">
        <f>IFNA(VLOOKUP($A88,Spells!$A$2:$I1002,MATCH(C$3,Spells!$A$1:$I$1,0),FALSE))</f>
        <v/>
      </c>
      <c r="D88" s="16" t="str">
        <f>IFNA(VLOOKUP($A88,Spells!$A$2:$I1002,MATCH(D$3,Spells!$A$1:$I$1,0),FALSE))</f>
        <v/>
      </c>
      <c r="E88" s="16" t="str">
        <f>IFNA(VLOOKUP($A88,Spells!$A$2:$I1002,MATCH(E$3,Spells!$A$1:$I$1,0),FALSE))</f>
        <v/>
      </c>
      <c r="F88" s="16" t="str">
        <f>IFNA(VLOOKUP($A88,Spells!$A$2:$I1002,MATCH(F$3,Spells!$A$1:$I$1,0),FALSE))</f>
        <v/>
      </c>
      <c r="G88" s="16" t="str">
        <f>IFNA(VLOOKUP($A88,Spells!$A$2:$I1002,MATCH(G$3,Spells!$A$1:$I$1,0),FALSE))</f>
        <v/>
      </c>
      <c r="H88" s="16" t="str">
        <f>IFNA(VLOOKUP($A88,Spells!$A$2:$I1002,MATCH(H$3,Spells!$A$1:$I$1,0),FALSE))</f>
        <v/>
      </c>
    </row>
    <row r="89">
      <c r="A89" s="16"/>
      <c r="B89" s="16" t="str">
        <f>IFNA(VLOOKUP($A89,Spells!$A$2:$I1002,MATCH(B$3,Spells!$A$1:$I$1,0),FALSE))</f>
        <v/>
      </c>
      <c r="C89" s="16" t="str">
        <f>IFNA(VLOOKUP($A89,Spells!$A$2:$I1002,MATCH(C$3,Spells!$A$1:$I$1,0),FALSE))</f>
        <v/>
      </c>
      <c r="D89" s="16" t="str">
        <f>IFNA(VLOOKUP($A89,Spells!$A$2:$I1002,MATCH(D$3,Spells!$A$1:$I$1,0),FALSE))</f>
        <v/>
      </c>
      <c r="E89" s="16" t="str">
        <f>IFNA(VLOOKUP($A89,Spells!$A$2:$I1002,MATCH(E$3,Spells!$A$1:$I$1,0),FALSE))</f>
        <v/>
      </c>
      <c r="F89" s="16" t="str">
        <f>IFNA(VLOOKUP($A89,Spells!$A$2:$I1002,MATCH(F$3,Spells!$A$1:$I$1,0),FALSE))</f>
        <v/>
      </c>
      <c r="G89" s="16" t="str">
        <f>IFNA(VLOOKUP($A89,Spells!$A$2:$I1002,MATCH(G$3,Spells!$A$1:$I$1,0),FALSE))</f>
        <v/>
      </c>
      <c r="H89" s="16" t="str">
        <f>IFNA(VLOOKUP($A89,Spells!$A$2:$I1002,MATCH(H$3,Spells!$A$1:$I$1,0),FALSE))</f>
        <v/>
      </c>
    </row>
    <row r="90">
      <c r="A90" s="16"/>
      <c r="B90" s="16" t="str">
        <f>IFNA(VLOOKUP($A90,Spells!$A$2:$I1002,MATCH(B$3,Spells!$A$1:$I$1,0),FALSE))</f>
        <v/>
      </c>
      <c r="C90" s="16" t="str">
        <f>IFNA(VLOOKUP($A90,Spells!$A$2:$I1002,MATCH(C$3,Spells!$A$1:$I$1,0),FALSE))</f>
        <v/>
      </c>
      <c r="D90" s="16" t="str">
        <f>IFNA(VLOOKUP($A90,Spells!$A$2:$I1002,MATCH(D$3,Spells!$A$1:$I$1,0),FALSE))</f>
        <v/>
      </c>
      <c r="E90" s="16" t="str">
        <f>IFNA(VLOOKUP($A90,Spells!$A$2:$I1002,MATCH(E$3,Spells!$A$1:$I$1,0),FALSE))</f>
        <v/>
      </c>
      <c r="F90" s="16" t="str">
        <f>IFNA(VLOOKUP($A90,Spells!$A$2:$I1002,MATCH(F$3,Spells!$A$1:$I$1,0),FALSE))</f>
        <v/>
      </c>
      <c r="G90" s="16" t="str">
        <f>IFNA(VLOOKUP($A90,Spells!$A$2:$I1002,MATCH(G$3,Spells!$A$1:$I$1,0),FALSE))</f>
        <v/>
      </c>
      <c r="H90" s="16" t="str">
        <f>IFNA(VLOOKUP($A90,Spells!$A$2:$I1002,MATCH(H$3,Spells!$A$1:$I$1,0),FALSE))</f>
        <v/>
      </c>
    </row>
    <row r="91">
      <c r="A91" s="16"/>
      <c r="B91" s="16" t="str">
        <f>IFNA(VLOOKUP($A91,Spells!$A$2:$I1002,MATCH(B$3,Spells!$A$1:$I$1,0),FALSE))</f>
        <v/>
      </c>
      <c r="C91" s="16" t="str">
        <f>IFNA(VLOOKUP($A91,Spells!$A$2:$I1002,MATCH(C$3,Spells!$A$1:$I$1,0),FALSE))</f>
        <v/>
      </c>
      <c r="D91" s="16" t="str">
        <f>IFNA(VLOOKUP($A91,Spells!$A$2:$I1002,MATCH(D$3,Spells!$A$1:$I$1,0),FALSE))</f>
        <v/>
      </c>
      <c r="E91" s="16" t="str">
        <f>IFNA(VLOOKUP($A91,Spells!$A$2:$I1002,MATCH(E$3,Spells!$A$1:$I$1,0),FALSE))</f>
        <v/>
      </c>
      <c r="F91" s="16" t="str">
        <f>IFNA(VLOOKUP($A91,Spells!$A$2:$I1002,MATCH(F$3,Spells!$A$1:$I$1,0),FALSE))</f>
        <v/>
      </c>
      <c r="G91" s="16" t="str">
        <f>IFNA(VLOOKUP($A91,Spells!$A$2:$I1002,MATCH(G$3,Spells!$A$1:$I$1,0),FALSE))</f>
        <v/>
      </c>
      <c r="H91" s="16" t="str">
        <f>IFNA(VLOOKUP($A91,Spells!$A$2:$I1002,MATCH(H$3,Spells!$A$1:$I$1,0),FALSE))</f>
        <v/>
      </c>
    </row>
    <row r="92">
      <c r="A92" s="16"/>
      <c r="B92" s="16" t="str">
        <f>IFNA(VLOOKUP($A92,Spells!$A$2:$I1002,MATCH(B$3,Spells!$A$1:$I$1,0),FALSE))</f>
        <v/>
      </c>
      <c r="C92" s="16" t="str">
        <f>IFNA(VLOOKUP($A92,Spells!$A$2:$I1002,MATCH(C$3,Spells!$A$1:$I$1,0),FALSE))</f>
        <v/>
      </c>
      <c r="D92" s="16" t="str">
        <f>IFNA(VLOOKUP($A92,Spells!$A$2:$I1002,MATCH(D$3,Spells!$A$1:$I$1,0),FALSE))</f>
        <v/>
      </c>
      <c r="E92" s="16" t="str">
        <f>IFNA(VLOOKUP($A92,Spells!$A$2:$I1002,MATCH(E$3,Spells!$A$1:$I$1,0),FALSE))</f>
        <v/>
      </c>
      <c r="F92" s="16" t="str">
        <f>IFNA(VLOOKUP($A92,Spells!$A$2:$I1002,MATCH(F$3,Spells!$A$1:$I$1,0),FALSE))</f>
        <v/>
      </c>
      <c r="G92" s="16" t="str">
        <f>IFNA(VLOOKUP($A92,Spells!$A$2:$I1002,MATCH(G$3,Spells!$A$1:$I$1,0),FALSE))</f>
        <v/>
      </c>
      <c r="H92" s="16" t="str">
        <f>IFNA(VLOOKUP($A92,Spells!$A$2:$I1002,MATCH(H$3,Spells!$A$1:$I$1,0),FALSE))</f>
        <v/>
      </c>
    </row>
    <row r="93">
      <c r="A93" s="16"/>
      <c r="B93" s="16" t="str">
        <f>IFNA(VLOOKUP($A93,Spells!$A$2:$I1002,MATCH(B$3,Spells!$A$1:$I$1,0),FALSE))</f>
        <v/>
      </c>
      <c r="C93" s="16" t="str">
        <f>IFNA(VLOOKUP($A93,Spells!$A$2:$I1002,MATCH(C$3,Spells!$A$1:$I$1,0),FALSE))</f>
        <v/>
      </c>
      <c r="D93" s="16" t="str">
        <f>IFNA(VLOOKUP($A93,Spells!$A$2:$I1002,MATCH(D$3,Spells!$A$1:$I$1,0),FALSE))</f>
        <v/>
      </c>
      <c r="E93" s="16" t="str">
        <f>IFNA(VLOOKUP($A93,Spells!$A$2:$I1002,MATCH(E$3,Spells!$A$1:$I$1,0),FALSE))</f>
        <v/>
      </c>
      <c r="F93" s="16" t="str">
        <f>IFNA(VLOOKUP($A93,Spells!$A$2:$I1002,MATCH(F$3,Spells!$A$1:$I$1,0),FALSE))</f>
        <v/>
      </c>
      <c r="G93" s="16" t="str">
        <f>IFNA(VLOOKUP($A93,Spells!$A$2:$I1002,MATCH(G$3,Spells!$A$1:$I$1,0),FALSE))</f>
        <v/>
      </c>
      <c r="H93" s="16" t="str">
        <f>IFNA(VLOOKUP($A93,Spells!$A$2:$I1002,MATCH(H$3,Spells!$A$1:$I$1,0),FALSE))</f>
        <v/>
      </c>
    </row>
    <row r="94">
      <c r="A94" s="16"/>
      <c r="B94" s="16" t="str">
        <f>IFNA(VLOOKUP($A94,Spells!$A$2:$I1002,MATCH(B$3,Spells!$A$1:$I$1,0),FALSE))</f>
        <v/>
      </c>
      <c r="C94" s="16" t="str">
        <f>IFNA(VLOOKUP($A94,Spells!$A$2:$I1002,MATCH(C$3,Spells!$A$1:$I$1,0),FALSE))</f>
        <v/>
      </c>
      <c r="D94" s="16" t="str">
        <f>IFNA(VLOOKUP($A94,Spells!$A$2:$I1002,MATCH(D$3,Spells!$A$1:$I$1,0),FALSE))</f>
        <v/>
      </c>
      <c r="E94" s="16" t="str">
        <f>IFNA(VLOOKUP($A94,Spells!$A$2:$I1002,MATCH(E$3,Spells!$A$1:$I$1,0),FALSE))</f>
        <v/>
      </c>
      <c r="F94" s="16" t="str">
        <f>IFNA(VLOOKUP($A94,Spells!$A$2:$I1002,MATCH(F$3,Spells!$A$1:$I$1,0),FALSE))</f>
        <v/>
      </c>
      <c r="G94" s="16" t="str">
        <f>IFNA(VLOOKUP($A94,Spells!$A$2:$I1002,MATCH(G$3,Spells!$A$1:$I$1,0),FALSE))</f>
        <v/>
      </c>
      <c r="H94" s="16" t="str">
        <f>IFNA(VLOOKUP($A94,Spells!$A$2:$I1002,MATCH(H$3,Spells!$A$1:$I$1,0),FALSE))</f>
        <v/>
      </c>
    </row>
    <row r="95">
      <c r="A95" s="16"/>
      <c r="B95" s="16" t="str">
        <f>IFNA(VLOOKUP($A95,Spells!$A$2:$I1002,MATCH(B$3,Spells!$A$1:$I$1,0),FALSE))</f>
        <v/>
      </c>
      <c r="C95" s="16" t="str">
        <f>IFNA(VLOOKUP($A95,Spells!$A$2:$I1002,MATCH(C$3,Spells!$A$1:$I$1,0),FALSE))</f>
        <v/>
      </c>
      <c r="D95" s="16" t="str">
        <f>IFNA(VLOOKUP($A95,Spells!$A$2:$I1002,MATCH(D$3,Spells!$A$1:$I$1,0),FALSE))</f>
        <v/>
      </c>
      <c r="E95" s="16" t="str">
        <f>IFNA(VLOOKUP($A95,Spells!$A$2:$I1002,MATCH(E$3,Spells!$A$1:$I$1,0),FALSE))</f>
        <v/>
      </c>
      <c r="F95" s="16" t="str">
        <f>IFNA(VLOOKUP($A95,Spells!$A$2:$I1002,MATCH(F$3,Spells!$A$1:$I$1,0),FALSE))</f>
        <v/>
      </c>
      <c r="G95" s="16" t="str">
        <f>IFNA(VLOOKUP($A95,Spells!$A$2:$I1002,MATCH(G$3,Spells!$A$1:$I$1,0),FALSE))</f>
        <v/>
      </c>
      <c r="H95" s="16" t="str">
        <f>IFNA(VLOOKUP($A95,Spells!$A$2:$I1002,MATCH(H$3,Spells!$A$1:$I$1,0),FALSE))</f>
        <v/>
      </c>
    </row>
    <row r="96">
      <c r="A96" s="16"/>
      <c r="B96" s="16" t="str">
        <f>IFNA(VLOOKUP($A96,Spells!$A$2:$I1002,MATCH(B$3,Spells!$A$1:$I$1,0),FALSE))</f>
        <v/>
      </c>
      <c r="C96" s="16" t="str">
        <f>IFNA(VLOOKUP($A96,Spells!$A$2:$I1002,MATCH(C$3,Spells!$A$1:$I$1,0),FALSE))</f>
        <v/>
      </c>
      <c r="D96" s="16" t="str">
        <f>IFNA(VLOOKUP($A96,Spells!$A$2:$I1002,MATCH(D$3,Spells!$A$1:$I$1,0),FALSE))</f>
        <v/>
      </c>
      <c r="E96" s="16" t="str">
        <f>IFNA(VLOOKUP($A96,Spells!$A$2:$I1002,MATCH(E$3,Spells!$A$1:$I$1,0),FALSE))</f>
        <v/>
      </c>
      <c r="F96" s="16" t="str">
        <f>IFNA(VLOOKUP($A96,Spells!$A$2:$I1002,MATCH(F$3,Spells!$A$1:$I$1,0),FALSE))</f>
        <v/>
      </c>
      <c r="G96" s="16" t="str">
        <f>IFNA(VLOOKUP($A96,Spells!$A$2:$I1002,MATCH(G$3,Spells!$A$1:$I$1,0),FALSE))</f>
        <v/>
      </c>
      <c r="H96" s="16" t="str">
        <f>IFNA(VLOOKUP($A96,Spells!$A$2:$I1002,MATCH(H$3,Spells!$A$1:$I$1,0),FALSE))</f>
        <v/>
      </c>
    </row>
    <row r="97">
      <c r="A97" s="16"/>
      <c r="B97" s="16" t="str">
        <f>IFNA(VLOOKUP($A97,Spells!$A$2:$I1002,MATCH(B$3,Spells!$A$1:$I$1,0),FALSE))</f>
        <v/>
      </c>
      <c r="C97" s="16" t="str">
        <f>IFNA(VLOOKUP($A97,Spells!$A$2:$I1002,MATCH(C$3,Spells!$A$1:$I$1,0),FALSE))</f>
        <v/>
      </c>
      <c r="D97" s="16" t="str">
        <f>IFNA(VLOOKUP($A97,Spells!$A$2:$I1002,MATCH(D$3,Spells!$A$1:$I$1,0),FALSE))</f>
        <v/>
      </c>
      <c r="E97" s="16" t="str">
        <f>IFNA(VLOOKUP($A97,Spells!$A$2:$I1002,MATCH(E$3,Spells!$A$1:$I$1,0),FALSE))</f>
        <v/>
      </c>
      <c r="F97" s="16" t="str">
        <f>IFNA(VLOOKUP($A97,Spells!$A$2:$I1002,MATCH(F$3,Spells!$A$1:$I$1,0),FALSE))</f>
        <v/>
      </c>
      <c r="G97" s="16" t="str">
        <f>IFNA(VLOOKUP($A97,Spells!$A$2:$I1002,MATCH(G$3,Spells!$A$1:$I$1,0),FALSE))</f>
        <v/>
      </c>
      <c r="H97" s="16" t="str">
        <f>IFNA(VLOOKUP($A97,Spells!$A$2:$I1002,MATCH(H$3,Spells!$A$1:$I$1,0),FALSE))</f>
        <v/>
      </c>
    </row>
    <row r="98">
      <c r="A98" s="16"/>
      <c r="B98" s="16" t="str">
        <f>IFNA(VLOOKUP($A98,Spells!$A$2:$I1002,MATCH(B$3,Spells!$A$1:$I$1,0),FALSE))</f>
        <v/>
      </c>
      <c r="C98" s="16" t="str">
        <f>IFNA(VLOOKUP($A98,Spells!$A$2:$I1002,MATCH(C$3,Spells!$A$1:$I$1,0),FALSE))</f>
        <v/>
      </c>
      <c r="D98" s="16" t="str">
        <f>IFNA(VLOOKUP($A98,Spells!$A$2:$I1002,MATCH(D$3,Spells!$A$1:$I$1,0),FALSE))</f>
        <v/>
      </c>
      <c r="E98" s="16" t="str">
        <f>IFNA(VLOOKUP($A98,Spells!$A$2:$I1002,MATCH(E$3,Spells!$A$1:$I$1,0),FALSE))</f>
        <v/>
      </c>
      <c r="F98" s="16" t="str">
        <f>IFNA(VLOOKUP($A98,Spells!$A$2:$I1002,MATCH(F$3,Spells!$A$1:$I$1,0),FALSE))</f>
        <v/>
      </c>
      <c r="G98" s="16" t="str">
        <f>IFNA(VLOOKUP($A98,Spells!$A$2:$I1002,MATCH(G$3,Spells!$A$1:$I$1,0),FALSE))</f>
        <v/>
      </c>
      <c r="H98" s="16" t="str">
        <f>IFNA(VLOOKUP($A98,Spells!$A$2:$I1002,MATCH(H$3,Spells!$A$1:$I$1,0),FALSE))</f>
        <v/>
      </c>
    </row>
    <row r="99">
      <c r="A99" s="16"/>
      <c r="B99" s="16" t="str">
        <f>IFNA(VLOOKUP($A99,Spells!$A$2:$I1002,MATCH(B$3,Spells!$A$1:$I$1,0),FALSE))</f>
        <v/>
      </c>
      <c r="C99" s="16" t="str">
        <f>IFNA(VLOOKUP($A99,Spells!$A$2:$I1002,MATCH(C$3,Spells!$A$1:$I$1,0),FALSE))</f>
        <v/>
      </c>
      <c r="D99" s="16" t="str">
        <f>IFNA(VLOOKUP($A99,Spells!$A$2:$I1002,MATCH(D$3,Spells!$A$1:$I$1,0),FALSE))</f>
        <v/>
      </c>
      <c r="E99" s="16" t="str">
        <f>IFNA(VLOOKUP($A99,Spells!$A$2:$I1002,MATCH(E$3,Spells!$A$1:$I$1,0),FALSE))</f>
        <v/>
      </c>
      <c r="F99" s="16" t="str">
        <f>IFNA(VLOOKUP($A99,Spells!$A$2:$I1002,MATCH(F$3,Spells!$A$1:$I$1,0),FALSE))</f>
        <v/>
      </c>
      <c r="G99" s="16" t="str">
        <f>IFNA(VLOOKUP($A99,Spells!$A$2:$I1002,MATCH(G$3,Spells!$A$1:$I$1,0),FALSE))</f>
        <v/>
      </c>
      <c r="H99" s="16" t="str">
        <f>IFNA(VLOOKUP($A99,Spells!$A$2:$I1002,MATCH(H$3,Spells!$A$1:$I$1,0),FALSE))</f>
        <v/>
      </c>
    </row>
    <row r="100">
      <c r="A100" s="16"/>
      <c r="B100" s="16" t="str">
        <f>IFNA(VLOOKUP($A100,Spells!$A$2:$I1002,MATCH(B$3,Spells!$A$1:$I$1,0),FALSE))</f>
        <v/>
      </c>
      <c r="C100" s="16" t="str">
        <f>IFNA(VLOOKUP($A100,Spells!$A$2:$I1002,MATCH(C$3,Spells!$A$1:$I$1,0),FALSE))</f>
        <v/>
      </c>
      <c r="D100" s="16" t="str">
        <f>IFNA(VLOOKUP($A100,Spells!$A$2:$I1002,MATCH(D$3,Spells!$A$1:$I$1,0),FALSE))</f>
        <v/>
      </c>
      <c r="E100" s="16" t="str">
        <f>IFNA(VLOOKUP($A100,Spells!$A$2:$I1002,MATCH(E$3,Spells!$A$1:$I$1,0),FALSE))</f>
        <v/>
      </c>
      <c r="F100" s="16" t="str">
        <f>IFNA(VLOOKUP($A100,Spells!$A$2:$I1002,MATCH(F$3,Spells!$A$1:$I$1,0),FALSE))</f>
        <v/>
      </c>
      <c r="G100" s="16" t="str">
        <f>IFNA(VLOOKUP($A100,Spells!$A$2:$I1002,MATCH(G$3,Spells!$A$1:$I$1,0),FALSE))</f>
        <v/>
      </c>
      <c r="H100" s="16" t="str">
        <f>IFNA(VLOOKUP($A100,Spells!$A$2:$I1002,MATCH(H$3,Spells!$A$1:$I$1,0),FALSE))</f>
        <v/>
      </c>
    </row>
    <row r="101">
      <c r="A101" s="16"/>
      <c r="B101" s="16" t="str">
        <f>IFNA(VLOOKUP($A101,Spells!$A$2:$I1002,MATCH(B$3,Spells!$A$1:$I$1,0),FALSE))</f>
        <v/>
      </c>
      <c r="C101" s="16" t="str">
        <f>IFNA(VLOOKUP($A101,Spells!$A$2:$I1002,MATCH(C$3,Spells!$A$1:$I$1,0),FALSE))</f>
        <v/>
      </c>
      <c r="D101" s="16" t="str">
        <f>IFNA(VLOOKUP($A101,Spells!$A$2:$I1002,MATCH(D$3,Spells!$A$1:$I$1,0),FALSE))</f>
        <v/>
      </c>
      <c r="E101" s="16" t="str">
        <f>IFNA(VLOOKUP($A101,Spells!$A$2:$I1002,MATCH(E$3,Spells!$A$1:$I$1,0),FALSE))</f>
        <v/>
      </c>
      <c r="F101" s="16" t="str">
        <f>IFNA(VLOOKUP($A101,Spells!$A$2:$I1002,MATCH(F$3,Spells!$A$1:$I$1,0),FALSE))</f>
        <v/>
      </c>
      <c r="G101" s="16" t="str">
        <f>IFNA(VLOOKUP($A101,Spells!$A$2:$I1002,MATCH(G$3,Spells!$A$1:$I$1,0),FALSE))</f>
        <v/>
      </c>
      <c r="H101" s="16" t="str">
        <f>IFNA(VLOOKUP($A101,Spells!$A$2:$I1002,MATCH(H$3,Spells!$A$1:$I$1,0),FALSE))</f>
        <v/>
      </c>
    </row>
    <row r="102">
      <c r="A102" s="16"/>
      <c r="B102" s="16" t="str">
        <f>IFNA(VLOOKUP($A102,Spells!$A$2:$I1002,MATCH(B$3,Spells!$A$1:$I$1,0),FALSE))</f>
        <v/>
      </c>
      <c r="C102" s="16" t="str">
        <f>IFNA(VLOOKUP($A102,Spells!$A$2:$I1002,MATCH(C$3,Spells!$A$1:$I$1,0),FALSE))</f>
        <v/>
      </c>
      <c r="D102" s="16" t="str">
        <f>IFNA(VLOOKUP($A102,Spells!$A$2:$I1002,MATCH(D$3,Spells!$A$1:$I$1,0),FALSE))</f>
        <v/>
      </c>
      <c r="E102" s="16" t="str">
        <f>IFNA(VLOOKUP($A102,Spells!$A$2:$I1002,MATCH(E$3,Spells!$A$1:$I$1,0),FALSE))</f>
        <v/>
      </c>
      <c r="F102" s="16" t="str">
        <f>IFNA(VLOOKUP($A102,Spells!$A$2:$I1002,MATCH(F$3,Spells!$A$1:$I$1,0),FALSE))</f>
        <v/>
      </c>
      <c r="G102" s="16" t="str">
        <f>IFNA(VLOOKUP($A102,Spells!$A$2:$I1002,MATCH(G$3,Spells!$A$1:$I$1,0),FALSE))</f>
        <v/>
      </c>
      <c r="H102" s="16" t="str">
        <f>IFNA(VLOOKUP($A102,Spells!$A$2:$I1002,MATCH(H$3,Spells!$A$1:$I$1,0),FALSE))</f>
        <v/>
      </c>
    </row>
    <row r="103">
      <c r="A103" s="16"/>
      <c r="B103" s="16" t="str">
        <f>IFNA(VLOOKUP($A103,Spells!$A$2:$I1002,MATCH(B$3,Spells!$A$1:$I$1,0),FALSE))</f>
        <v/>
      </c>
      <c r="C103" s="16" t="str">
        <f>IFNA(VLOOKUP($A103,Spells!$A$2:$I1002,MATCH(C$3,Spells!$A$1:$I$1,0),FALSE))</f>
        <v/>
      </c>
      <c r="D103" s="16" t="str">
        <f>IFNA(VLOOKUP($A103,Spells!$A$2:$I1002,MATCH(D$3,Spells!$A$1:$I$1,0),FALSE))</f>
        <v/>
      </c>
      <c r="E103" s="16" t="str">
        <f>IFNA(VLOOKUP($A103,Spells!$A$2:$I1002,MATCH(E$3,Spells!$A$1:$I$1,0),FALSE))</f>
        <v/>
      </c>
      <c r="F103" s="16" t="str">
        <f>IFNA(VLOOKUP($A103,Spells!$A$2:$I1002,MATCH(F$3,Spells!$A$1:$I$1,0),FALSE))</f>
        <v/>
      </c>
      <c r="G103" s="16" t="str">
        <f>IFNA(VLOOKUP($A103,Spells!$A$2:$I1002,MATCH(G$3,Spells!$A$1:$I$1,0),FALSE))</f>
        <v/>
      </c>
      <c r="H103" s="16" t="str">
        <f>IFNA(VLOOKUP($A103,Spells!$A$2:$I1002,MATCH(H$3,Spells!$A$1:$I$1,0),FALSE))</f>
        <v/>
      </c>
    </row>
    <row r="104">
      <c r="A104" s="16"/>
      <c r="B104" s="16" t="str">
        <f>IFNA(VLOOKUP($A104,Spells!$A$2:$I1002,MATCH(B$3,Spells!$A$1:$I$1,0),FALSE))</f>
        <v/>
      </c>
      <c r="C104" s="16" t="str">
        <f>IFNA(VLOOKUP($A104,Spells!$A$2:$I1002,MATCH(C$3,Spells!$A$1:$I$1,0),FALSE))</f>
        <v/>
      </c>
      <c r="D104" s="16" t="str">
        <f>IFNA(VLOOKUP($A104,Spells!$A$2:$I1002,MATCH(D$3,Spells!$A$1:$I$1,0),FALSE))</f>
        <v/>
      </c>
      <c r="E104" s="16" t="str">
        <f>IFNA(VLOOKUP($A104,Spells!$A$2:$I1002,MATCH(E$3,Spells!$A$1:$I$1,0),FALSE))</f>
        <v/>
      </c>
      <c r="F104" s="16" t="str">
        <f>IFNA(VLOOKUP($A104,Spells!$A$2:$I1002,MATCH(F$3,Spells!$A$1:$I$1,0),FALSE))</f>
        <v/>
      </c>
      <c r="G104" s="16" t="str">
        <f>IFNA(VLOOKUP($A104,Spells!$A$2:$I1002,MATCH(G$3,Spells!$A$1:$I$1,0),FALSE))</f>
        <v/>
      </c>
      <c r="H104" s="16" t="str">
        <f>IFNA(VLOOKUP($A104,Spells!$A$2:$I1002,MATCH(H$3,Spells!$A$1:$I$1,0),FALSE))</f>
        <v/>
      </c>
    </row>
    <row r="105">
      <c r="A105" s="16"/>
      <c r="B105" s="16" t="str">
        <f>IFNA(VLOOKUP($A105,Spells!$A$2:$I1002,MATCH(B$3,Spells!$A$1:$I$1,0),FALSE))</f>
        <v/>
      </c>
      <c r="C105" s="16" t="str">
        <f>IFNA(VLOOKUP($A105,Spells!$A$2:$I1002,MATCH(C$3,Spells!$A$1:$I$1,0),FALSE))</f>
        <v/>
      </c>
      <c r="D105" s="16" t="str">
        <f>IFNA(VLOOKUP($A105,Spells!$A$2:$I1002,MATCH(D$3,Spells!$A$1:$I$1,0),FALSE))</f>
        <v/>
      </c>
      <c r="E105" s="16" t="str">
        <f>IFNA(VLOOKUP($A105,Spells!$A$2:$I1002,MATCH(E$3,Spells!$A$1:$I$1,0),FALSE))</f>
        <v/>
      </c>
      <c r="F105" s="16" t="str">
        <f>IFNA(VLOOKUP($A105,Spells!$A$2:$I1002,MATCH(F$3,Spells!$A$1:$I$1,0),FALSE))</f>
        <v/>
      </c>
      <c r="G105" s="16" t="str">
        <f>IFNA(VLOOKUP($A105,Spells!$A$2:$I1002,MATCH(G$3,Spells!$A$1:$I$1,0),FALSE))</f>
        <v/>
      </c>
      <c r="H105" s="16" t="str">
        <f>IFNA(VLOOKUP($A105,Spells!$A$2:$I1002,MATCH(H$3,Spells!$A$1:$I$1,0),FALSE))</f>
        <v/>
      </c>
    </row>
    <row r="106">
      <c r="A106" s="16"/>
      <c r="B106" s="16" t="str">
        <f>IFNA(VLOOKUP($A106,Spells!$A$2:$I1002,MATCH(B$3,Spells!$A$1:$I$1,0),FALSE))</f>
        <v/>
      </c>
      <c r="C106" s="16" t="str">
        <f>IFNA(VLOOKUP($A106,Spells!$A$2:$I1002,MATCH(C$3,Spells!$A$1:$I$1,0),FALSE))</f>
        <v/>
      </c>
      <c r="D106" s="16" t="str">
        <f>IFNA(VLOOKUP($A106,Spells!$A$2:$I1002,MATCH(D$3,Spells!$A$1:$I$1,0),FALSE))</f>
        <v/>
      </c>
      <c r="E106" s="16" t="str">
        <f>IFNA(VLOOKUP($A106,Spells!$A$2:$I1002,MATCH(E$3,Spells!$A$1:$I$1,0),FALSE))</f>
        <v/>
      </c>
      <c r="F106" s="16" t="str">
        <f>IFNA(VLOOKUP($A106,Spells!$A$2:$I1002,MATCH(F$3,Spells!$A$1:$I$1,0),FALSE))</f>
        <v/>
      </c>
      <c r="G106" s="16" t="str">
        <f>IFNA(VLOOKUP($A106,Spells!$A$2:$I1002,MATCH(G$3,Spells!$A$1:$I$1,0),FALSE))</f>
        <v/>
      </c>
      <c r="H106" s="16" t="str">
        <f>IFNA(VLOOKUP($A106,Spells!$A$2:$I1002,MATCH(H$3,Spells!$A$1:$I$1,0),FALSE))</f>
        <v/>
      </c>
    </row>
    <row r="107">
      <c r="A107" s="16"/>
      <c r="B107" s="16" t="str">
        <f>IFNA(VLOOKUP($A107,Spells!$A$2:$I1002,MATCH(B$3,Spells!$A$1:$I$1,0),FALSE))</f>
        <v/>
      </c>
      <c r="C107" s="16" t="str">
        <f>IFNA(VLOOKUP($A107,Spells!$A$2:$I1002,MATCH(C$3,Spells!$A$1:$I$1,0),FALSE))</f>
        <v/>
      </c>
      <c r="D107" s="16" t="str">
        <f>IFNA(VLOOKUP($A107,Spells!$A$2:$I1002,MATCH(D$3,Spells!$A$1:$I$1,0),FALSE))</f>
        <v/>
      </c>
      <c r="E107" s="16" t="str">
        <f>IFNA(VLOOKUP($A107,Spells!$A$2:$I1002,MATCH(E$3,Spells!$A$1:$I$1,0),FALSE))</f>
        <v/>
      </c>
      <c r="F107" s="16" t="str">
        <f>IFNA(VLOOKUP($A107,Spells!$A$2:$I1002,MATCH(F$3,Spells!$A$1:$I$1,0),FALSE))</f>
        <v/>
      </c>
      <c r="G107" s="16" t="str">
        <f>IFNA(VLOOKUP($A107,Spells!$A$2:$I1002,MATCH(G$3,Spells!$A$1:$I$1,0),FALSE))</f>
        <v/>
      </c>
      <c r="H107" s="16" t="str">
        <f>IFNA(VLOOKUP($A107,Spells!$A$2:$I1002,MATCH(H$3,Spells!$A$1:$I$1,0),FALSE))</f>
        <v/>
      </c>
    </row>
    <row r="108">
      <c r="A108" s="16"/>
      <c r="B108" s="16" t="str">
        <f>IFNA(VLOOKUP($A108,Spells!$A$2:$I1002,MATCH(B$3,Spells!$A$1:$I$1,0),FALSE))</f>
        <v/>
      </c>
      <c r="C108" s="16" t="str">
        <f>IFNA(VLOOKUP($A108,Spells!$A$2:$I1002,MATCH(C$3,Spells!$A$1:$I$1,0),FALSE))</f>
        <v/>
      </c>
      <c r="D108" s="16" t="str">
        <f>IFNA(VLOOKUP($A108,Spells!$A$2:$I1002,MATCH(D$3,Spells!$A$1:$I$1,0),FALSE))</f>
        <v/>
      </c>
      <c r="E108" s="16" t="str">
        <f>IFNA(VLOOKUP($A108,Spells!$A$2:$I1002,MATCH(E$3,Spells!$A$1:$I$1,0),FALSE))</f>
        <v/>
      </c>
      <c r="F108" s="16" t="str">
        <f>IFNA(VLOOKUP($A108,Spells!$A$2:$I1002,MATCH(F$3,Spells!$A$1:$I$1,0),FALSE))</f>
        <v/>
      </c>
      <c r="G108" s="16" t="str">
        <f>IFNA(VLOOKUP($A108,Spells!$A$2:$I1002,MATCH(G$3,Spells!$A$1:$I$1,0),FALSE))</f>
        <v/>
      </c>
      <c r="H108" s="16" t="str">
        <f>IFNA(VLOOKUP($A108,Spells!$A$2:$I1002,MATCH(H$3,Spells!$A$1:$I$1,0),FALSE))</f>
        <v/>
      </c>
    </row>
    <row r="109">
      <c r="A109" s="16"/>
      <c r="B109" s="16" t="str">
        <f>IFNA(VLOOKUP($A109,Spells!$A$2:$I1002,MATCH(B$3,Spells!$A$1:$I$1,0),FALSE))</f>
        <v/>
      </c>
      <c r="C109" s="16" t="str">
        <f>IFNA(VLOOKUP($A109,Spells!$A$2:$I1002,MATCH(C$3,Spells!$A$1:$I$1,0),FALSE))</f>
        <v/>
      </c>
      <c r="D109" s="16" t="str">
        <f>IFNA(VLOOKUP($A109,Spells!$A$2:$I1002,MATCH(D$3,Spells!$A$1:$I$1,0),FALSE))</f>
        <v/>
      </c>
      <c r="E109" s="16" t="str">
        <f>IFNA(VLOOKUP($A109,Spells!$A$2:$I1002,MATCH(E$3,Spells!$A$1:$I$1,0),FALSE))</f>
        <v/>
      </c>
      <c r="F109" s="16" t="str">
        <f>IFNA(VLOOKUP($A109,Spells!$A$2:$I1002,MATCH(F$3,Spells!$A$1:$I$1,0),FALSE))</f>
        <v/>
      </c>
      <c r="G109" s="16" t="str">
        <f>IFNA(VLOOKUP($A109,Spells!$A$2:$I1002,MATCH(G$3,Spells!$A$1:$I$1,0),FALSE))</f>
        <v/>
      </c>
      <c r="H109" s="16" t="str">
        <f>IFNA(VLOOKUP($A109,Spells!$A$2:$I1002,MATCH(H$3,Spells!$A$1:$I$1,0),FALSE))</f>
        <v/>
      </c>
    </row>
    <row r="110">
      <c r="A110" s="16"/>
      <c r="B110" s="16" t="str">
        <f>IFNA(VLOOKUP($A110,Spells!$A$2:$I1002,MATCH(B$3,Spells!$A$1:$I$1,0),FALSE))</f>
        <v/>
      </c>
      <c r="C110" s="16" t="str">
        <f>IFNA(VLOOKUP($A110,Spells!$A$2:$I1002,MATCH(C$3,Spells!$A$1:$I$1,0),FALSE))</f>
        <v/>
      </c>
      <c r="D110" s="16" t="str">
        <f>IFNA(VLOOKUP($A110,Spells!$A$2:$I1002,MATCH(D$3,Spells!$A$1:$I$1,0),FALSE))</f>
        <v/>
      </c>
      <c r="E110" s="16" t="str">
        <f>IFNA(VLOOKUP($A110,Spells!$A$2:$I1002,MATCH(E$3,Spells!$A$1:$I$1,0),FALSE))</f>
        <v/>
      </c>
      <c r="F110" s="16" t="str">
        <f>IFNA(VLOOKUP($A110,Spells!$A$2:$I1002,MATCH(F$3,Spells!$A$1:$I$1,0),FALSE))</f>
        <v/>
      </c>
      <c r="G110" s="16" t="str">
        <f>IFNA(VLOOKUP($A110,Spells!$A$2:$I1002,MATCH(G$3,Spells!$A$1:$I$1,0),FALSE))</f>
        <v/>
      </c>
      <c r="H110" s="16" t="str">
        <f>IFNA(VLOOKUP($A110,Spells!$A$2:$I1002,MATCH(H$3,Spells!$A$1:$I$1,0),FALSE))</f>
        <v/>
      </c>
    </row>
    <row r="111">
      <c r="A111" s="16"/>
      <c r="B111" s="16" t="str">
        <f>IFNA(VLOOKUP($A111,Spells!$A$2:$I1002,MATCH(B$3,Spells!$A$1:$I$1,0),FALSE))</f>
        <v/>
      </c>
      <c r="C111" s="16" t="str">
        <f>IFNA(VLOOKUP($A111,Spells!$A$2:$I1002,MATCH(C$3,Spells!$A$1:$I$1,0),FALSE))</f>
        <v/>
      </c>
      <c r="D111" s="16" t="str">
        <f>IFNA(VLOOKUP($A111,Spells!$A$2:$I1002,MATCH(D$3,Spells!$A$1:$I$1,0),FALSE))</f>
        <v/>
      </c>
      <c r="E111" s="16" t="str">
        <f>IFNA(VLOOKUP($A111,Spells!$A$2:$I1002,MATCH(E$3,Spells!$A$1:$I$1,0),FALSE))</f>
        <v/>
      </c>
      <c r="F111" s="16" t="str">
        <f>IFNA(VLOOKUP($A111,Spells!$A$2:$I1002,MATCH(F$3,Spells!$A$1:$I$1,0),FALSE))</f>
        <v/>
      </c>
      <c r="G111" s="16" t="str">
        <f>IFNA(VLOOKUP($A111,Spells!$A$2:$I1002,MATCH(G$3,Spells!$A$1:$I$1,0),FALSE))</f>
        <v/>
      </c>
      <c r="H111" s="16" t="str">
        <f>IFNA(VLOOKUP($A111,Spells!$A$2:$I1002,MATCH(H$3,Spells!$A$1:$I$1,0),FALSE))</f>
        <v/>
      </c>
    </row>
    <row r="112">
      <c r="A112" s="16"/>
      <c r="B112" s="16" t="str">
        <f>IFNA(VLOOKUP($A112,Spells!$A$2:$I1002,MATCH(B$3,Spells!$A$1:$I$1,0),FALSE))</f>
        <v/>
      </c>
      <c r="C112" s="16" t="str">
        <f>IFNA(VLOOKUP($A112,Spells!$A$2:$I1002,MATCH(C$3,Spells!$A$1:$I$1,0),FALSE))</f>
        <v/>
      </c>
      <c r="D112" s="16" t="str">
        <f>IFNA(VLOOKUP($A112,Spells!$A$2:$I1002,MATCH(D$3,Spells!$A$1:$I$1,0),FALSE))</f>
        <v/>
      </c>
      <c r="E112" s="16" t="str">
        <f>IFNA(VLOOKUP($A112,Spells!$A$2:$I1002,MATCH(E$3,Spells!$A$1:$I$1,0),FALSE))</f>
        <v/>
      </c>
      <c r="F112" s="16" t="str">
        <f>IFNA(VLOOKUP($A112,Spells!$A$2:$I1002,MATCH(F$3,Spells!$A$1:$I$1,0),FALSE))</f>
        <v/>
      </c>
      <c r="G112" s="16" t="str">
        <f>IFNA(VLOOKUP($A112,Spells!$A$2:$I1002,MATCH(G$3,Spells!$A$1:$I$1,0),FALSE))</f>
        <v/>
      </c>
      <c r="H112" s="16" t="str">
        <f>IFNA(VLOOKUP($A112,Spells!$A$2:$I1002,MATCH(H$3,Spells!$A$1:$I$1,0),FALSE))</f>
        <v/>
      </c>
    </row>
    <row r="113">
      <c r="A113" s="16"/>
      <c r="B113" s="16" t="str">
        <f>IFNA(VLOOKUP($A113,Spells!$A$2:$I1002,MATCH(B$3,Spells!$A$1:$I$1,0),FALSE))</f>
        <v/>
      </c>
      <c r="C113" s="16" t="str">
        <f>IFNA(VLOOKUP($A113,Spells!$A$2:$I1002,MATCH(C$3,Spells!$A$1:$I$1,0),FALSE))</f>
        <v/>
      </c>
      <c r="D113" s="16" t="str">
        <f>IFNA(VLOOKUP($A113,Spells!$A$2:$I1002,MATCH(D$3,Spells!$A$1:$I$1,0),FALSE))</f>
        <v/>
      </c>
      <c r="E113" s="16" t="str">
        <f>IFNA(VLOOKUP($A113,Spells!$A$2:$I1002,MATCH(E$3,Spells!$A$1:$I$1,0),FALSE))</f>
        <v/>
      </c>
      <c r="F113" s="16" t="str">
        <f>IFNA(VLOOKUP($A113,Spells!$A$2:$I1002,MATCH(F$3,Spells!$A$1:$I$1,0),FALSE))</f>
        <v/>
      </c>
      <c r="G113" s="16" t="str">
        <f>IFNA(VLOOKUP($A113,Spells!$A$2:$I1002,MATCH(G$3,Spells!$A$1:$I$1,0),FALSE))</f>
        <v/>
      </c>
      <c r="H113" s="16" t="str">
        <f>IFNA(VLOOKUP($A113,Spells!$A$2:$I1002,MATCH(H$3,Spells!$A$1:$I$1,0),FALSE))</f>
        <v/>
      </c>
    </row>
    <row r="114">
      <c r="A114" s="16"/>
      <c r="B114" s="16" t="str">
        <f>IFNA(VLOOKUP($A114,Spells!$A$2:$I1002,MATCH(B$3,Spells!$A$1:$I$1,0),FALSE))</f>
        <v/>
      </c>
      <c r="C114" s="16" t="str">
        <f>IFNA(VLOOKUP($A114,Spells!$A$2:$I1002,MATCH(C$3,Spells!$A$1:$I$1,0),FALSE))</f>
        <v/>
      </c>
      <c r="D114" s="16" t="str">
        <f>IFNA(VLOOKUP($A114,Spells!$A$2:$I1002,MATCH(D$3,Spells!$A$1:$I$1,0),FALSE))</f>
        <v/>
      </c>
      <c r="E114" s="16" t="str">
        <f>IFNA(VLOOKUP($A114,Spells!$A$2:$I1002,MATCH(E$3,Spells!$A$1:$I$1,0),FALSE))</f>
        <v/>
      </c>
      <c r="F114" s="16" t="str">
        <f>IFNA(VLOOKUP($A114,Spells!$A$2:$I1002,MATCH(F$3,Spells!$A$1:$I$1,0),FALSE))</f>
        <v/>
      </c>
      <c r="G114" s="16" t="str">
        <f>IFNA(VLOOKUP($A114,Spells!$A$2:$I1002,MATCH(G$3,Spells!$A$1:$I$1,0),FALSE))</f>
        <v/>
      </c>
      <c r="H114" s="16" t="str">
        <f>IFNA(VLOOKUP($A114,Spells!$A$2:$I1002,MATCH(H$3,Spells!$A$1:$I$1,0),FALSE))</f>
        <v/>
      </c>
    </row>
    <row r="115">
      <c r="A115" s="16"/>
      <c r="B115" s="16" t="str">
        <f>IFNA(VLOOKUP($A115,Spells!$A$2:$I1002,MATCH(B$3,Spells!$A$1:$I$1,0),FALSE))</f>
        <v/>
      </c>
      <c r="C115" s="16" t="str">
        <f>IFNA(VLOOKUP($A115,Spells!$A$2:$I1002,MATCH(C$3,Spells!$A$1:$I$1,0),FALSE))</f>
        <v/>
      </c>
      <c r="D115" s="16" t="str">
        <f>IFNA(VLOOKUP($A115,Spells!$A$2:$I1002,MATCH(D$3,Spells!$A$1:$I$1,0),FALSE))</f>
        <v/>
      </c>
      <c r="E115" s="16" t="str">
        <f>IFNA(VLOOKUP($A115,Spells!$A$2:$I1002,MATCH(E$3,Spells!$A$1:$I$1,0),FALSE))</f>
        <v/>
      </c>
      <c r="F115" s="16" t="str">
        <f>IFNA(VLOOKUP($A115,Spells!$A$2:$I1002,MATCH(F$3,Spells!$A$1:$I$1,0),FALSE))</f>
        <v/>
      </c>
      <c r="G115" s="16" t="str">
        <f>IFNA(VLOOKUP($A115,Spells!$A$2:$I1002,MATCH(G$3,Spells!$A$1:$I$1,0),FALSE))</f>
        <v/>
      </c>
      <c r="H115" s="16" t="str">
        <f>IFNA(VLOOKUP($A115,Spells!$A$2:$I1002,MATCH(H$3,Spells!$A$1:$I$1,0),FALSE))</f>
        <v/>
      </c>
    </row>
    <row r="116">
      <c r="A116" s="16"/>
      <c r="B116" s="16" t="str">
        <f>IFNA(VLOOKUP($A116,Spells!$A$2:$I1002,MATCH(B$3,Spells!$A$1:$I$1,0),FALSE))</f>
        <v/>
      </c>
      <c r="C116" s="16" t="str">
        <f>IFNA(VLOOKUP($A116,Spells!$A$2:$I1002,MATCH(C$3,Spells!$A$1:$I$1,0),FALSE))</f>
        <v/>
      </c>
      <c r="D116" s="16" t="str">
        <f>IFNA(VLOOKUP($A116,Spells!$A$2:$I1002,MATCH(D$3,Spells!$A$1:$I$1,0),FALSE))</f>
        <v/>
      </c>
      <c r="E116" s="16" t="str">
        <f>IFNA(VLOOKUP($A116,Spells!$A$2:$I1002,MATCH(E$3,Spells!$A$1:$I$1,0),FALSE))</f>
        <v/>
      </c>
      <c r="F116" s="16" t="str">
        <f>IFNA(VLOOKUP($A116,Spells!$A$2:$I1002,MATCH(F$3,Spells!$A$1:$I$1,0),FALSE))</f>
        <v/>
      </c>
      <c r="G116" s="16" t="str">
        <f>IFNA(VLOOKUP($A116,Spells!$A$2:$I1002,MATCH(G$3,Spells!$A$1:$I$1,0),FALSE))</f>
        <v/>
      </c>
      <c r="H116" s="16" t="str">
        <f>IFNA(VLOOKUP($A116,Spells!$A$2:$I1002,MATCH(H$3,Spells!$A$1:$I$1,0),FALSE))</f>
        <v/>
      </c>
    </row>
    <row r="117">
      <c r="A117" s="16"/>
      <c r="B117" s="16" t="str">
        <f>IFNA(VLOOKUP($A117,Spells!$A$2:$I1002,MATCH(B$3,Spells!$A$1:$I$1,0),FALSE))</f>
        <v/>
      </c>
      <c r="C117" s="16" t="str">
        <f>IFNA(VLOOKUP($A117,Spells!$A$2:$I1002,MATCH(C$3,Spells!$A$1:$I$1,0),FALSE))</f>
        <v/>
      </c>
      <c r="D117" s="16" t="str">
        <f>IFNA(VLOOKUP($A117,Spells!$A$2:$I1002,MATCH(D$3,Spells!$A$1:$I$1,0),FALSE))</f>
        <v/>
      </c>
      <c r="E117" s="16" t="str">
        <f>IFNA(VLOOKUP($A117,Spells!$A$2:$I1002,MATCH(E$3,Spells!$A$1:$I$1,0),FALSE))</f>
        <v/>
      </c>
      <c r="F117" s="16" t="str">
        <f>IFNA(VLOOKUP($A117,Spells!$A$2:$I1002,MATCH(F$3,Spells!$A$1:$I$1,0),FALSE))</f>
        <v/>
      </c>
      <c r="G117" s="16" t="str">
        <f>IFNA(VLOOKUP($A117,Spells!$A$2:$I1002,MATCH(G$3,Spells!$A$1:$I$1,0),FALSE))</f>
        <v/>
      </c>
      <c r="H117" s="16" t="str">
        <f>IFNA(VLOOKUP($A117,Spells!$A$2:$I1002,MATCH(H$3,Spells!$A$1:$I$1,0),FALSE))</f>
        <v/>
      </c>
    </row>
    <row r="118">
      <c r="A118" s="16"/>
      <c r="B118" s="16" t="str">
        <f>IFNA(VLOOKUP($A118,Spells!$A$2:$I1002,MATCH(B$3,Spells!$A$1:$I$1,0),FALSE))</f>
        <v/>
      </c>
      <c r="C118" s="16" t="str">
        <f>IFNA(VLOOKUP($A118,Spells!$A$2:$I1002,MATCH(C$3,Spells!$A$1:$I$1,0),FALSE))</f>
        <v/>
      </c>
      <c r="D118" s="16" t="str">
        <f>IFNA(VLOOKUP($A118,Spells!$A$2:$I1002,MATCH(D$3,Spells!$A$1:$I$1,0),FALSE))</f>
        <v/>
      </c>
      <c r="E118" s="16" t="str">
        <f>IFNA(VLOOKUP($A118,Spells!$A$2:$I1002,MATCH(E$3,Spells!$A$1:$I$1,0),FALSE))</f>
        <v/>
      </c>
      <c r="F118" s="16" t="str">
        <f>IFNA(VLOOKUP($A118,Spells!$A$2:$I1002,MATCH(F$3,Spells!$A$1:$I$1,0),FALSE))</f>
        <v/>
      </c>
      <c r="G118" s="16" t="str">
        <f>IFNA(VLOOKUP($A118,Spells!$A$2:$I1002,MATCH(G$3,Spells!$A$1:$I$1,0),FALSE))</f>
        <v/>
      </c>
      <c r="H118" s="16" t="str">
        <f>IFNA(VLOOKUP($A118,Spells!$A$2:$I1002,MATCH(H$3,Spells!$A$1:$I$1,0),FALSE))</f>
        <v/>
      </c>
    </row>
    <row r="119">
      <c r="A119" s="16"/>
      <c r="B119" s="16" t="str">
        <f>IFNA(VLOOKUP($A119,Spells!$A$2:$I1002,MATCH(B$3,Spells!$A$1:$I$1,0),FALSE))</f>
        <v/>
      </c>
      <c r="C119" s="16" t="str">
        <f>IFNA(VLOOKUP($A119,Spells!$A$2:$I1002,MATCH(C$3,Spells!$A$1:$I$1,0),FALSE))</f>
        <v/>
      </c>
      <c r="D119" s="16" t="str">
        <f>IFNA(VLOOKUP($A119,Spells!$A$2:$I1002,MATCH(D$3,Spells!$A$1:$I$1,0),FALSE))</f>
        <v/>
      </c>
      <c r="E119" s="16" t="str">
        <f>IFNA(VLOOKUP($A119,Spells!$A$2:$I1002,MATCH(E$3,Spells!$A$1:$I$1,0),FALSE))</f>
        <v/>
      </c>
      <c r="F119" s="16" t="str">
        <f>IFNA(VLOOKUP($A119,Spells!$A$2:$I1002,MATCH(F$3,Spells!$A$1:$I$1,0),FALSE))</f>
        <v/>
      </c>
      <c r="G119" s="16" t="str">
        <f>IFNA(VLOOKUP($A119,Spells!$A$2:$I1002,MATCH(G$3,Spells!$A$1:$I$1,0),FALSE))</f>
        <v/>
      </c>
      <c r="H119" s="16" t="str">
        <f>IFNA(VLOOKUP($A119,Spells!$A$2:$I1002,MATCH(H$3,Spells!$A$1:$I$1,0),FALSE))</f>
        <v/>
      </c>
    </row>
    <row r="120">
      <c r="A120" s="16"/>
      <c r="B120" s="16" t="str">
        <f>IFNA(VLOOKUP($A120,Spells!$A$2:$I1002,MATCH(B$3,Spells!$A$1:$I$1,0),FALSE))</f>
        <v/>
      </c>
      <c r="C120" s="16" t="str">
        <f>IFNA(VLOOKUP($A120,Spells!$A$2:$I1002,MATCH(C$3,Spells!$A$1:$I$1,0),FALSE))</f>
        <v/>
      </c>
      <c r="D120" s="16" t="str">
        <f>IFNA(VLOOKUP($A120,Spells!$A$2:$I1002,MATCH(D$3,Spells!$A$1:$I$1,0),FALSE))</f>
        <v/>
      </c>
      <c r="E120" s="16" t="str">
        <f>IFNA(VLOOKUP($A120,Spells!$A$2:$I1002,MATCH(E$3,Spells!$A$1:$I$1,0),FALSE))</f>
        <v/>
      </c>
      <c r="F120" s="16" t="str">
        <f>IFNA(VLOOKUP($A120,Spells!$A$2:$I1002,MATCH(F$3,Spells!$A$1:$I$1,0),FALSE))</f>
        <v/>
      </c>
      <c r="G120" s="16" t="str">
        <f>IFNA(VLOOKUP($A120,Spells!$A$2:$I1002,MATCH(G$3,Spells!$A$1:$I$1,0),FALSE))</f>
        <v/>
      </c>
      <c r="H120" s="16" t="str">
        <f>IFNA(VLOOKUP($A120,Spells!$A$2:$I1002,MATCH(H$3,Spells!$A$1:$I$1,0),FALSE))</f>
        <v/>
      </c>
    </row>
    <row r="121">
      <c r="A121" s="16"/>
      <c r="B121" s="16" t="str">
        <f>IFNA(VLOOKUP($A121,Spells!$A$2:$I1002,MATCH(B$3,Spells!$A$1:$I$1,0),FALSE))</f>
        <v/>
      </c>
      <c r="C121" s="16" t="str">
        <f>IFNA(VLOOKUP($A121,Spells!$A$2:$I1002,MATCH(C$3,Spells!$A$1:$I$1,0),FALSE))</f>
        <v/>
      </c>
      <c r="D121" s="16" t="str">
        <f>IFNA(VLOOKUP($A121,Spells!$A$2:$I1002,MATCH(D$3,Spells!$A$1:$I$1,0),FALSE))</f>
        <v/>
      </c>
      <c r="E121" s="16" t="str">
        <f>IFNA(VLOOKUP($A121,Spells!$A$2:$I1002,MATCH(E$3,Spells!$A$1:$I$1,0),FALSE))</f>
        <v/>
      </c>
      <c r="F121" s="16" t="str">
        <f>IFNA(VLOOKUP($A121,Spells!$A$2:$I1002,MATCH(F$3,Spells!$A$1:$I$1,0),FALSE))</f>
        <v/>
      </c>
      <c r="G121" s="16" t="str">
        <f>IFNA(VLOOKUP($A121,Spells!$A$2:$I1002,MATCH(G$3,Spells!$A$1:$I$1,0),FALSE))</f>
        <v/>
      </c>
      <c r="H121" s="16" t="str">
        <f>IFNA(VLOOKUP($A121,Spells!$A$2:$I1002,MATCH(H$3,Spells!$A$1:$I$1,0),FALSE))</f>
        <v/>
      </c>
    </row>
    <row r="122">
      <c r="A122" s="16"/>
      <c r="B122" s="16" t="str">
        <f>IFNA(VLOOKUP($A122,Spells!$A$2:$I1002,MATCH(B$3,Spells!$A$1:$I$1,0),FALSE))</f>
        <v/>
      </c>
      <c r="C122" s="16" t="str">
        <f>IFNA(VLOOKUP($A122,Spells!$A$2:$I1002,MATCH(C$3,Spells!$A$1:$I$1,0),FALSE))</f>
        <v/>
      </c>
      <c r="D122" s="16" t="str">
        <f>IFNA(VLOOKUP($A122,Spells!$A$2:$I1002,MATCH(D$3,Spells!$A$1:$I$1,0),FALSE))</f>
        <v/>
      </c>
      <c r="E122" s="16" t="str">
        <f>IFNA(VLOOKUP($A122,Spells!$A$2:$I1002,MATCH(E$3,Spells!$A$1:$I$1,0),FALSE))</f>
        <v/>
      </c>
      <c r="F122" s="16" t="str">
        <f>IFNA(VLOOKUP($A122,Spells!$A$2:$I1002,MATCH(F$3,Spells!$A$1:$I$1,0),FALSE))</f>
        <v/>
      </c>
      <c r="G122" s="16" t="str">
        <f>IFNA(VLOOKUP($A122,Spells!$A$2:$I1002,MATCH(G$3,Spells!$A$1:$I$1,0),FALSE))</f>
        <v/>
      </c>
      <c r="H122" s="16" t="str">
        <f>IFNA(VLOOKUP($A122,Spells!$A$2:$I1002,MATCH(H$3,Spells!$A$1:$I$1,0),FALSE))</f>
        <v/>
      </c>
    </row>
    <row r="123">
      <c r="A123" s="16"/>
      <c r="B123" s="16" t="str">
        <f>IFNA(VLOOKUP($A123,Spells!$A$2:$I1002,MATCH(B$3,Spells!$A$1:$I$1,0),FALSE))</f>
        <v/>
      </c>
      <c r="C123" s="16" t="str">
        <f>IFNA(VLOOKUP($A123,Spells!$A$2:$I1002,MATCH(C$3,Spells!$A$1:$I$1,0),FALSE))</f>
        <v/>
      </c>
      <c r="D123" s="16" t="str">
        <f>IFNA(VLOOKUP($A123,Spells!$A$2:$I1002,MATCH(D$3,Spells!$A$1:$I$1,0),FALSE))</f>
        <v/>
      </c>
      <c r="E123" s="16" t="str">
        <f>IFNA(VLOOKUP($A123,Spells!$A$2:$I1002,MATCH(E$3,Spells!$A$1:$I$1,0),FALSE))</f>
        <v/>
      </c>
      <c r="F123" s="16" t="str">
        <f>IFNA(VLOOKUP($A123,Spells!$A$2:$I1002,MATCH(F$3,Spells!$A$1:$I$1,0),FALSE))</f>
        <v/>
      </c>
      <c r="G123" s="16" t="str">
        <f>IFNA(VLOOKUP($A123,Spells!$A$2:$I1002,MATCH(G$3,Spells!$A$1:$I$1,0),FALSE))</f>
        <v/>
      </c>
      <c r="H123" s="16" t="str">
        <f>IFNA(VLOOKUP($A123,Spells!$A$2:$I1002,MATCH(H$3,Spells!$A$1:$I$1,0),FALSE))</f>
        <v/>
      </c>
    </row>
    <row r="124">
      <c r="A124" s="16"/>
      <c r="B124" s="16" t="str">
        <f>IFNA(VLOOKUP($A124,Spells!$A$2:$I1002,MATCH(B$3,Spells!$A$1:$I$1,0),FALSE))</f>
        <v/>
      </c>
      <c r="C124" s="16" t="str">
        <f>IFNA(VLOOKUP($A124,Spells!$A$2:$I1002,MATCH(C$3,Spells!$A$1:$I$1,0),FALSE))</f>
        <v/>
      </c>
      <c r="D124" s="16" t="str">
        <f>IFNA(VLOOKUP($A124,Spells!$A$2:$I1002,MATCH(D$3,Spells!$A$1:$I$1,0),FALSE))</f>
        <v/>
      </c>
      <c r="E124" s="16" t="str">
        <f>IFNA(VLOOKUP($A124,Spells!$A$2:$I1002,MATCH(E$3,Spells!$A$1:$I$1,0),FALSE))</f>
        <v/>
      </c>
      <c r="F124" s="16" t="str">
        <f>IFNA(VLOOKUP($A124,Spells!$A$2:$I1002,MATCH(F$3,Spells!$A$1:$I$1,0),FALSE))</f>
        <v/>
      </c>
      <c r="G124" s="16" t="str">
        <f>IFNA(VLOOKUP($A124,Spells!$A$2:$I1002,MATCH(G$3,Spells!$A$1:$I$1,0),FALSE))</f>
        <v/>
      </c>
      <c r="H124" s="16" t="str">
        <f>IFNA(VLOOKUP($A124,Spells!$A$2:$I1002,MATCH(H$3,Spells!$A$1:$I$1,0),FALSE))</f>
        <v/>
      </c>
    </row>
    <row r="125">
      <c r="A125" s="16"/>
      <c r="B125" s="16" t="str">
        <f>IFNA(VLOOKUP($A125,Spells!$A$2:$I1002,MATCH(B$3,Spells!$A$1:$I$1,0),FALSE))</f>
        <v/>
      </c>
      <c r="C125" s="16" t="str">
        <f>IFNA(VLOOKUP($A125,Spells!$A$2:$I1002,MATCH(C$3,Spells!$A$1:$I$1,0),FALSE))</f>
        <v/>
      </c>
      <c r="D125" s="16" t="str">
        <f>IFNA(VLOOKUP($A125,Spells!$A$2:$I1002,MATCH(D$3,Spells!$A$1:$I$1,0),FALSE))</f>
        <v/>
      </c>
      <c r="E125" s="16" t="str">
        <f>IFNA(VLOOKUP($A125,Spells!$A$2:$I1002,MATCH(E$3,Spells!$A$1:$I$1,0),FALSE))</f>
        <v/>
      </c>
      <c r="F125" s="16" t="str">
        <f>IFNA(VLOOKUP($A125,Spells!$A$2:$I1002,MATCH(F$3,Spells!$A$1:$I$1,0),FALSE))</f>
        <v/>
      </c>
      <c r="G125" s="16" t="str">
        <f>IFNA(VLOOKUP($A125,Spells!$A$2:$I1002,MATCH(G$3,Spells!$A$1:$I$1,0),FALSE))</f>
        <v/>
      </c>
      <c r="H125" s="16" t="str">
        <f>IFNA(VLOOKUP($A125,Spells!$A$2:$I1002,MATCH(H$3,Spells!$A$1:$I$1,0),FALSE))</f>
        <v/>
      </c>
    </row>
    <row r="126">
      <c r="A126" s="16"/>
      <c r="B126" s="16" t="str">
        <f>IFNA(VLOOKUP($A126,Spells!$A$2:$I1002,MATCH(B$3,Spells!$A$1:$I$1,0),FALSE))</f>
        <v/>
      </c>
      <c r="C126" s="16" t="str">
        <f>IFNA(VLOOKUP($A126,Spells!$A$2:$I1002,MATCH(C$3,Spells!$A$1:$I$1,0),FALSE))</f>
        <v/>
      </c>
      <c r="D126" s="16" t="str">
        <f>IFNA(VLOOKUP($A126,Spells!$A$2:$I1002,MATCH(D$3,Spells!$A$1:$I$1,0),FALSE))</f>
        <v/>
      </c>
      <c r="E126" s="16" t="str">
        <f>IFNA(VLOOKUP($A126,Spells!$A$2:$I1002,MATCH(E$3,Spells!$A$1:$I$1,0),FALSE))</f>
        <v/>
      </c>
      <c r="F126" s="16" t="str">
        <f>IFNA(VLOOKUP($A126,Spells!$A$2:$I1002,MATCH(F$3,Spells!$A$1:$I$1,0),FALSE))</f>
        <v/>
      </c>
      <c r="G126" s="16" t="str">
        <f>IFNA(VLOOKUP($A126,Spells!$A$2:$I1002,MATCH(G$3,Spells!$A$1:$I$1,0),FALSE))</f>
        <v/>
      </c>
      <c r="H126" s="16" t="str">
        <f>IFNA(VLOOKUP($A126,Spells!$A$2:$I1002,MATCH(H$3,Spells!$A$1:$I$1,0),FALSE))</f>
        <v/>
      </c>
    </row>
    <row r="127">
      <c r="A127" s="16"/>
      <c r="B127" s="16" t="str">
        <f>IFNA(VLOOKUP($A127,Spells!$A$2:$I1002,MATCH(B$3,Spells!$A$1:$I$1,0),FALSE))</f>
        <v/>
      </c>
      <c r="C127" s="16" t="str">
        <f>IFNA(VLOOKUP($A127,Spells!$A$2:$I1002,MATCH(C$3,Spells!$A$1:$I$1,0),FALSE))</f>
        <v/>
      </c>
      <c r="D127" s="16" t="str">
        <f>IFNA(VLOOKUP($A127,Spells!$A$2:$I1002,MATCH(D$3,Spells!$A$1:$I$1,0),FALSE))</f>
        <v/>
      </c>
      <c r="E127" s="16" t="str">
        <f>IFNA(VLOOKUP($A127,Spells!$A$2:$I1002,MATCH(E$3,Spells!$A$1:$I$1,0),FALSE))</f>
        <v/>
      </c>
      <c r="F127" s="16" t="str">
        <f>IFNA(VLOOKUP($A127,Spells!$A$2:$I1002,MATCH(F$3,Spells!$A$1:$I$1,0),FALSE))</f>
        <v/>
      </c>
      <c r="G127" s="16" t="str">
        <f>IFNA(VLOOKUP($A127,Spells!$A$2:$I1002,MATCH(G$3,Spells!$A$1:$I$1,0),FALSE))</f>
        <v/>
      </c>
      <c r="H127" s="16" t="str">
        <f>IFNA(VLOOKUP($A127,Spells!$A$2:$I1002,MATCH(H$3,Spells!$A$1:$I$1,0),FALSE))</f>
        <v/>
      </c>
    </row>
    <row r="128">
      <c r="A128" s="16"/>
      <c r="B128" s="16" t="str">
        <f>IFNA(VLOOKUP($A128,Spells!$A$2:$I1002,MATCH(B$3,Spells!$A$1:$I$1,0),FALSE))</f>
        <v/>
      </c>
      <c r="C128" s="16" t="str">
        <f>IFNA(VLOOKUP($A128,Spells!$A$2:$I1002,MATCH(C$3,Spells!$A$1:$I$1,0),FALSE))</f>
        <v/>
      </c>
      <c r="D128" s="16" t="str">
        <f>IFNA(VLOOKUP($A128,Spells!$A$2:$I1002,MATCH(D$3,Spells!$A$1:$I$1,0),FALSE))</f>
        <v/>
      </c>
      <c r="E128" s="16" t="str">
        <f>IFNA(VLOOKUP($A128,Spells!$A$2:$I1002,MATCH(E$3,Spells!$A$1:$I$1,0),FALSE))</f>
        <v/>
      </c>
      <c r="F128" s="16" t="str">
        <f>IFNA(VLOOKUP($A128,Spells!$A$2:$I1002,MATCH(F$3,Spells!$A$1:$I$1,0),FALSE))</f>
        <v/>
      </c>
      <c r="G128" s="16" t="str">
        <f>IFNA(VLOOKUP($A128,Spells!$A$2:$I1002,MATCH(G$3,Spells!$A$1:$I$1,0),FALSE))</f>
        <v/>
      </c>
      <c r="H128" s="16" t="str">
        <f>IFNA(VLOOKUP($A128,Spells!$A$2:$I1002,MATCH(H$3,Spells!$A$1:$I$1,0),FALSE))</f>
        <v/>
      </c>
    </row>
    <row r="129">
      <c r="A129" s="16"/>
      <c r="B129" s="16" t="str">
        <f>IFNA(VLOOKUP($A129,Spells!$A$2:$I1002,MATCH(B$3,Spells!$A$1:$I$1,0),FALSE))</f>
        <v/>
      </c>
      <c r="C129" s="16" t="str">
        <f>IFNA(VLOOKUP($A129,Spells!$A$2:$I1002,MATCH(C$3,Spells!$A$1:$I$1,0),FALSE))</f>
        <v/>
      </c>
      <c r="D129" s="16" t="str">
        <f>IFNA(VLOOKUP($A129,Spells!$A$2:$I1002,MATCH(D$3,Spells!$A$1:$I$1,0),FALSE))</f>
        <v/>
      </c>
      <c r="E129" s="16" t="str">
        <f>IFNA(VLOOKUP($A129,Spells!$A$2:$I1002,MATCH(E$3,Spells!$A$1:$I$1,0),FALSE))</f>
        <v/>
      </c>
      <c r="F129" s="16" t="str">
        <f>IFNA(VLOOKUP($A129,Spells!$A$2:$I1002,MATCH(F$3,Spells!$A$1:$I$1,0),FALSE))</f>
        <v/>
      </c>
      <c r="G129" s="16" t="str">
        <f>IFNA(VLOOKUP($A129,Spells!$A$2:$I1002,MATCH(G$3,Spells!$A$1:$I$1,0),FALSE))</f>
        <v/>
      </c>
      <c r="H129" s="16" t="str">
        <f>IFNA(VLOOKUP($A129,Spells!$A$2:$I1002,MATCH(H$3,Spells!$A$1:$I$1,0),FALSE))</f>
        <v/>
      </c>
    </row>
    <row r="130">
      <c r="A130" s="16"/>
      <c r="B130" s="16" t="str">
        <f>IFNA(VLOOKUP($A130,Spells!$A$2:$I1002,MATCH(B$3,Spells!$A$1:$I$1,0),FALSE))</f>
        <v/>
      </c>
      <c r="C130" s="16" t="str">
        <f>IFNA(VLOOKUP($A130,Spells!$A$2:$I1002,MATCH(C$3,Spells!$A$1:$I$1,0),FALSE))</f>
        <v/>
      </c>
      <c r="D130" s="16" t="str">
        <f>IFNA(VLOOKUP($A130,Spells!$A$2:$I1002,MATCH(D$3,Spells!$A$1:$I$1,0),FALSE))</f>
        <v/>
      </c>
      <c r="E130" s="16" t="str">
        <f>IFNA(VLOOKUP($A130,Spells!$A$2:$I1002,MATCH(E$3,Spells!$A$1:$I$1,0),FALSE))</f>
        <v/>
      </c>
      <c r="F130" s="16" t="str">
        <f>IFNA(VLOOKUP($A130,Spells!$A$2:$I1002,MATCH(F$3,Spells!$A$1:$I$1,0),FALSE))</f>
        <v/>
      </c>
      <c r="G130" s="16" t="str">
        <f>IFNA(VLOOKUP($A130,Spells!$A$2:$I1002,MATCH(G$3,Spells!$A$1:$I$1,0),FALSE))</f>
        <v/>
      </c>
      <c r="H130" s="16" t="str">
        <f>IFNA(VLOOKUP($A130,Spells!$A$2:$I1002,MATCH(H$3,Spells!$A$1:$I$1,0),FALSE))</f>
        <v/>
      </c>
    </row>
    <row r="131">
      <c r="A131" s="16"/>
      <c r="B131" s="16" t="str">
        <f>IFNA(VLOOKUP($A131,Spells!$A$2:$I1002,MATCH(B$3,Spells!$A$1:$I$1,0),FALSE))</f>
        <v/>
      </c>
      <c r="C131" s="16" t="str">
        <f>IFNA(VLOOKUP($A131,Spells!$A$2:$I1002,MATCH(C$3,Spells!$A$1:$I$1,0),FALSE))</f>
        <v/>
      </c>
      <c r="D131" s="16" t="str">
        <f>IFNA(VLOOKUP($A131,Spells!$A$2:$I1002,MATCH(D$3,Spells!$A$1:$I$1,0),FALSE))</f>
        <v/>
      </c>
      <c r="E131" s="16" t="str">
        <f>IFNA(VLOOKUP($A131,Spells!$A$2:$I1002,MATCH(E$3,Spells!$A$1:$I$1,0),FALSE))</f>
        <v/>
      </c>
      <c r="F131" s="16" t="str">
        <f>IFNA(VLOOKUP($A131,Spells!$A$2:$I1002,MATCH(F$3,Spells!$A$1:$I$1,0),FALSE))</f>
        <v/>
      </c>
      <c r="G131" s="16" t="str">
        <f>IFNA(VLOOKUP($A131,Spells!$A$2:$I1002,MATCH(G$3,Spells!$A$1:$I$1,0),FALSE))</f>
        <v/>
      </c>
      <c r="H131" s="16" t="str">
        <f>IFNA(VLOOKUP($A131,Spells!$A$2:$I1002,MATCH(H$3,Spells!$A$1:$I$1,0),FALSE))</f>
        <v/>
      </c>
    </row>
    <row r="132">
      <c r="A132" s="16"/>
      <c r="B132" s="16" t="str">
        <f>IFNA(VLOOKUP($A132,Spells!$A$2:$I1002,MATCH(B$3,Spells!$A$1:$I$1,0),FALSE))</f>
        <v/>
      </c>
      <c r="C132" s="16" t="str">
        <f>IFNA(VLOOKUP($A132,Spells!$A$2:$I1002,MATCH(C$3,Spells!$A$1:$I$1,0),FALSE))</f>
        <v/>
      </c>
      <c r="D132" s="16" t="str">
        <f>IFNA(VLOOKUP($A132,Spells!$A$2:$I1002,MATCH(D$3,Spells!$A$1:$I$1,0),FALSE))</f>
        <v/>
      </c>
      <c r="E132" s="16" t="str">
        <f>IFNA(VLOOKUP($A132,Spells!$A$2:$I1002,MATCH(E$3,Spells!$A$1:$I$1,0),FALSE))</f>
        <v/>
      </c>
      <c r="F132" s="16" t="str">
        <f>IFNA(VLOOKUP($A132,Spells!$A$2:$I1002,MATCH(F$3,Spells!$A$1:$I$1,0),FALSE))</f>
        <v/>
      </c>
      <c r="G132" s="16" t="str">
        <f>IFNA(VLOOKUP($A132,Spells!$A$2:$I1002,MATCH(G$3,Spells!$A$1:$I$1,0),FALSE))</f>
        <v/>
      </c>
      <c r="H132" s="16" t="str">
        <f>IFNA(VLOOKUP($A132,Spells!$A$2:$I1002,MATCH(H$3,Spells!$A$1:$I$1,0),FALSE))</f>
        <v/>
      </c>
    </row>
    <row r="133">
      <c r="A133" s="16"/>
      <c r="B133" s="16" t="str">
        <f>IFNA(VLOOKUP($A133,Spells!$A$2:$I1002,MATCH(B$3,Spells!$A$1:$I$1,0),FALSE))</f>
        <v/>
      </c>
      <c r="C133" s="16" t="str">
        <f>IFNA(VLOOKUP($A133,Spells!$A$2:$I1002,MATCH(C$3,Spells!$A$1:$I$1,0),FALSE))</f>
        <v/>
      </c>
      <c r="D133" s="16" t="str">
        <f>IFNA(VLOOKUP($A133,Spells!$A$2:$I1002,MATCH(D$3,Spells!$A$1:$I$1,0),FALSE))</f>
        <v/>
      </c>
      <c r="E133" s="16" t="str">
        <f>IFNA(VLOOKUP($A133,Spells!$A$2:$I1002,MATCH(E$3,Spells!$A$1:$I$1,0),FALSE))</f>
        <v/>
      </c>
      <c r="F133" s="16" t="str">
        <f>IFNA(VLOOKUP($A133,Spells!$A$2:$I1002,MATCH(F$3,Spells!$A$1:$I$1,0),FALSE))</f>
        <v/>
      </c>
      <c r="G133" s="16" t="str">
        <f>IFNA(VLOOKUP($A133,Spells!$A$2:$I1002,MATCH(G$3,Spells!$A$1:$I$1,0),FALSE))</f>
        <v/>
      </c>
      <c r="H133" s="16" t="str">
        <f>IFNA(VLOOKUP($A133,Spells!$A$2:$I1002,MATCH(H$3,Spells!$A$1:$I$1,0),FALSE))</f>
        <v/>
      </c>
    </row>
    <row r="134">
      <c r="A134" s="16"/>
      <c r="B134" s="16" t="str">
        <f>IFNA(VLOOKUP($A134,Spells!$A$2:$I1002,MATCH(B$3,Spells!$A$1:$I$1,0),FALSE))</f>
        <v/>
      </c>
      <c r="C134" s="16" t="str">
        <f>IFNA(VLOOKUP($A134,Spells!$A$2:$I1002,MATCH(C$3,Spells!$A$1:$I$1,0),FALSE))</f>
        <v/>
      </c>
      <c r="D134" s="16" t="str">
        <f>IFNA(VLOOKUP($A134,Spells!$A$2:$I1002,MATCH(D$3,Spells!$A$1:$I$1,0),FALSE))</f>
        <v/>
      </c>
      <c r="E134" s="16" t="str">
        <f>IFNA(VLOOKUP($A134,Spells!$A$2:$I1002,MATCH(E$3,Spells!$A$1:$I$1,0),FALSE))</f>
        <v/>
      </c>
      <c r="F134" s="16" t="str">
        <f>IFNA(VLOOKUP($A134,Spells!$A$2:$I1002,MATCH(F$3,Spells!$A$1:$I$1,0),FALSE))</f>
        <v/>
      </c>
      <c r="G134" s="16" t="str">
        <f>IFNA(VLOOKUP($A134,Spells!$A$2:$I1002,MATCH(G$3,Spells!$A$1:$I$1,0),FALSE))</f>
        <v/>
      </c>
      <c r="H134" s="16" t="str">
        <f>IFNA(VLOOKUP($A134,Spells!$A$2:$I1002,MATCH(H$3,Spells!$A$1:$I$1,0),FALSE))</f>
        <v/>
      </c>
    </row>
    <row r="135">
      <c r="A135" s="16"/>
      <c r="B135" s="16" t="str">
        <f>IFNA(VLOOKUP($A135,Spells!$A$2:$I1002,MATCH(B$3,Spells!$A$1:$I$1,0),FALSE))</f>
        <v/>
      </c>
      <c r="C135" s="16" t="str">
        <f>IFNA(VLOOKUP($A135,Spells!$A$2:$I1002,MATCH(C$3,Spells!$A$1:$I$1,0),FALSE))</f>
        <v/>
      </c>
      <c r="D135" s="16" t="str">
        <f>IFNA(VLOOKUP($A135,Spells!$A$2:$I1002,MATCH(D$3,Spells!$A$1:$I$1,0),FALSE))</f>
        <v/>
      </c>
      <c r="E135" s="16" t="str">
        <f>IFNA(VLOOKUP($A135,Spells!$A$2:$I1002,MATCH(E$3,Spells!$A$1:$I$1,0),FALSE))</f>
        <v/>
      </c>
      <c r="F135" s="16" t="str">
        <f>IFNA(VLOOKUP($A135,Spells!$A$2:$I1002,MATCH(F$3,Spells!$A$1:$I$1,0),FALSE))</f>
        <v/>
      </c>
      <c r="G135" s="16" t="str">
        <f>IFNA(VLOOKUP($A135,Spells!$A$2:$I1002,MATCH(G$3,Spells!$A$1:$I$1,0),FALSE))</f>
        <v/>
      </c>
      <c r="H135" s="16" t="str">
        <f>IFNA(VLOOKUP($A135,Spells!$A$2:$I1002,MATCH(H$3,Spells!$A$1:$I$1,0),FALSE))</f>
        <v/>
      </c>
    </row>
    <row r="136">
      <c r="A136" s="16"/>
      <c r="B136" s="16" t="str">
        <f>IFNA(VLOOKUP($A136,Spells!$A$2:$I1002,MATCH(B$3,Spells!$A$1:$I$1,0),FALSE))</f>
        <v/>
      </c>
      <c r="C136" s="16" t="str">
        <f>IFNA(VLOOKUP($A136,Spells!$A$2:$I1002,MATCH(C$3,Spells!$A$1:$I$1,0),FALSE))</f>
        <v/>
      </c>
      <c r="D136" s="16" t="str">
        <f>IFNA(VLOOKUP($A136,Spells!$A$2:$I1002,MATCH(D$3,Spells!$A$1:$I$1,0),FALSE))</f>
        <v/>
      </c>
      <c r="E136" s="16" t="str">
        <f>IFNA(VLOOKUP($A136,Spells!$A$2:$I1002,MATCH(E$3,Spells!$A$1:$I$1,0),FALSE))</f>
        <v/>
      </c>
      <c r="F136" s="16" t="str">
        <f>IFNA(VLOOKUP($A136,Spells!$A$2:$I1002,MATCH(F$3,Spells!$A$1:$I$1,0),FALSE))</f>
        <v/>
      </c>
      <c r="G136" s="16" t="str">
        <f>IFNA(VLOOKUP($A136,Spells!$A$2:$I1002,MATCH(G$3,Spells!$A$1:$I$1,0),FALSE))</f>
        <v/>
      </c>
      <c r="H136" s="16" t="str">
        <f>IFNA(VLOOKUP($A136,Spells!$A$2:$I1002,MATCH(H$3,Spells!$A$1:$I$1,0),FALSE))</f>
        <v/>
      </c>
    </row>
    <row r="137">
      <c r="A137" s="16"/>
      <c r="B137" s="16" t="str">
        <f>IFNA(VLOOKUP($A137,Spells!$A$2:$I1002,MATCH(B$3,Spells!$A$1:$I$1,0),FALSE))</f>
        <v/>
      </c>
      <c r="C137" s="16" t="str">
        <f>IFNA(VLOOKUP($A137,Spells!$A$2:$I1002,MATCH(C$3,Spells!$A$1:$I$1,0),FALSE))</f>
        <v/>
      </c>
      <c r="D137" s="16" t="str">
        <f>IFNA(VLOOKUP($A137,Spells!$A$2:$I1002,MATCH(D$3,Spells!$A$1:$I$1,0),FALSE))</f>
        <v/>
      </c>
      <c r="E137" s="16" t="str">
        <f>IFNA(VLOOKUP($A137,Spells!$A$2:$I1002,MATCH(E$3,Spells!$A$1:$I$1,0),FALSE))</f>
        <v/>
      </c>
      <c r="F137" s="16" t="str">
        <f>IFNA(VLOOKUP($A137,Spells!$A$2:$I1002,MATCH(F$3,Spells!$A$1:$I$1,0),FALSE))</f>
        <v/>
      </c>
      <c r="G137" s="16" t="str">
        <f>IFNA(VLOOKUP($A137,Spells!$A$2:$I1002,MATCH(G$3,Spells!$A$1:$I$1,0),FALSE))</f>
        <v/>
      </c>
      <c r="H137" s="16" t="str">
        <f>IFNA(VLOOKUP($A137,Spells!$A$2:$I1002,MATCH(H$3,Spells!$A$1:$I$1,0),FALSE))</f>
        <v/>
      </c>
    </row>
    <row r="138">
      <c r="A138" s="16"/>
      <c r="B138" s="16" t="str">
        <f>IFNA(VLOOKUP($A138,Spells!$A$2:$I1002,MATCH(B$3,Spells!$A$1:$I$1,0),FALSE))</f>
        <v/>
      </c>
      <c r="C138" s="16" t="str">
        <f>IFNA(VLOOKUP($A138,Spells!$A$2:$I1002,MATCH(C$3,Spells!$A$1:$I$1,0),FALSE))</f>
        <v/>
      </c>
      <c r="D138" s="16" t="str">
        <f>IFNA(VLOOKUP($A138,Spells!$A$2:$I1002,MATCH(D$3,Spells!$A$1:$I$1,0),FALSE))</f>
        <v/>
      </c>
      <c r="E138" s="16" t="str">
        <f>IFNA(VLOOKUP($A138,Spells!$A$2:$I1002,MATCH(E$3,Spells!$A$1:$I$1,0),FALSE))</f>
        <v/>
      </c>
      <c r="F138" s="16" t="str">
        <f>IFNA(VLOOKUP($A138,Spells!$A$2:$I1002,MATCH(F$3,Spells!$A$1:$I$1,0),FALSE))</f>
        <v/>
      </c>
      <c r="G138" s="16" t="str">
        <f>IFNA(VLOOKUP($A138,Spells!$A$2:$I1002,MATCH(G$3,Spells!$A$1:$I$1,0),FALSE))</f>
        <v/>
      </c>
      <c r="H138" s="16" t="str">
        <f>IFNA(VLOOKUP($A138,Spells!$A$2:$I1002,MATCH(H$3,Spells!$A$1:$I$1,0),FALSE))</f>
        <v/>
      </c>
    </row>
    <row r="139">
      <c r="A139" s="16"/>
      <c r="B139" s="16" t="str">
        <f>IFNA(VLOOKUP($A139,Spells!$A$2:$I1002,MATCH(B$3,Spells!$A$1:$I$1,0),FALSE))</f>
        <v/>
      </c>
      <c r="C139" s="16" t="str">
        <f>IFNA(VLOOKUP($A139,Spells!$A$2:$I1002,MATCH(C$3,Spells!$A$1:$I$1,0),FALSE))</f>
        <v/>
      </c>
      <c r="D139" s="16" t="str">
        <f>IFNA(VLOOKUP($A139,Spells!$A$2:$I1002,MATCH(D$3,Spells!$A$1:$I$1,0),FALSE))</f>
        <v/>
      </c>
      <c r="E139" s="16" t="str">
        <f>IFNA(VLOOKUP($A139,Spells!$A$2:$I1002,MATCH(E$3,Spells!$A$1:$I$1,0),FALSE))</f>
        <v/>
      </c>
      <c r="F139" s="16" t="str">
        <f>IFNA(VLOOKUP($A139,Spells!$A$2:$I1002,MATCH(F$3,Spells!$A$1:$I$1,0),FALSE))</f>
        <v/>
      </c>
      <c r="G139" s="16" t="str">
        <f>IFNA(VLOOKUP($A139,Spells!$A$2:$I1002,MATCH(G$3,Spells!$A$1:$I$1,0),FALSE))</f>
        <v/>
      </c>
      <c r="H139" s="16" t="str">
        <f>IFNA(VLOOKUP($A139,Spells!$A$2:$I1002,MATCH(H$3,Spells!$A$1:$I$1,0),FALSE))</f>
        <v/>
      </c>
    </row>
    <row r="140">
      <c r="A140" s="16"/>
      <c r="B140" s="16" t="str">
        <f>IFNA(VLOOKUP($A140,Spells!$A$2:$I1002,MATCH(B$3,Spells!$A$1:$I$1,0),FALSE))</f>
        <v/>
      </c>
      <c r="C140" s="16" t="str">
        <f>IFNA(VLOOKUP($A140,Spells!$A$2:$I1002,MATCH(C$3,Spells!$A$1:$I$1,0),FALSE))</f>
        <v/>
      </c>
      <c r="D140" s="16" t="str">
        <f>IFNA(VLOOKUP($A140,Spells!$A$2:$I1002,MATCH(D$3,Spells!$A$1:$I$1,0),FALSE))</f>
        <v/>
      </c>
      <c r="E140" s="16" t="str">
        <f>IFNA(VLOOKUP($A140,Spells!$A$2:$I1002,MATCH(E$3,Spells!$A$1:$I$1,0),FALSE))</f>
        <v/>
      </c>
      <c r="F140" s="16" t="str">
        <f>IFNA(VLOOKUP($A140,Spells!$A$2:$I1002,MATCH(F$3,Spells!$A$1:$I$1,0),FALSE))</f>
        <v/>
      </c>
      <c r="G140" s="16" t="str">
        <f>IFNA(VLOOKUP($A140,Spells!$A$2:$I1002,MATCH(G$3,Spells!$A$1:$I$1,0),FALSE))</f>
        <v/>
      </c>
      <c r="H140" s="16" t="str">
        <f>IFNA(VLOOKUP($A140,Spells!$A$2:$I1002,MATCH(H$3,Spells!$A$1:$I$1,0),FALSE))</f>
        <v/>
      </c>
    </row>
    <row r="141">
      <c r="A141" s="16"/>
      <c r="B141" s="16" t="str">
        <f>IFNA(VLOOKUP($A141,Spells!$A$2:$I1002,MATCH(B$3,Spells!$A$1:$I$1,0),FALSE))</f>
        <v/>
      </c>
      <c r="C141" s="16" t="str">
        <f>IFNA(VLOOKUP($A141,Spells!$A$2:$I1002,MATCH(C$3,Spells!$A$1:$I$1,0),FALSE))</f>
        <v/>
      </c>
      <c r="D141" s="16" t="str">
        <f>IFNA(VLOOKUP($A141,Spells!$A$2:$I1002,MATCH(D$3,Spells!$A$1:$I$1,0),FALSE))</f>
        <v/>
      </c>
      <c r="E141" s="16" t="str">
        <f>IFNA(VLOOKUP($A141,Spells!$A$2:$I1002,MATCH(E$3,Spells!$A$1:$I$1,0),FALSE))</f>
        <v/>
      </c>
      <c r="F141" s="16" t="str">
        <f>IFNA(VLOOKUP($A141,Spells!$A$2:$I1002,MATCH(F$3,Spells!$A$1:$I$1,0),FALSE))</f>
        <v/>
      </c>
      <c r="G141" s="16" t="str">
        <f>IFNA(VLOOKUP($A141,Spells!$A$2:$I1002,MATCH(G$3,Spells!$A$1:$I$1,0),FALSE))</f>
        <v/>
      </c>
      <c r="H141" s="16" t="str">
        <f>IFNA(VLOOKUP($A141,Spells!$A$2:$I1002,MATCH(H$3,Spells!$A$1:$I$1,0),FALSE))</f>
        <v/>
      </c>
    </row>
    <row r="142">
      <c r="A142" s="16"/>
      <c r="B142" s="16" t="str">
        <f>IFNA(VLOOKUP($A142,Spells!$A$2:$I1002,MATCH(B$3,Spells!$A$1:$I$1,0),FALSE))</f>
        <v/>
      </c>
      <c r="C142" s="16" t="str">
        <f>IFNA(VLOOKUP($A142,Spells!$A$2:$I1002,MATCH(C$3,Spells!$A$1:$I$1,0),FALSE))</f>
        <v/>
      </c>
      <c r="D142" s="16" t="str">
        <f>IFNA(VLOOKUP($A142,Spells!$A$2:$I1002,MATCH(D$3,Spells!$A$1:$I$1,0),FALSE))</f>
        <v/>
      </c>
      <c r="E142" s="16" t="str">
        <f>IFNA(VLOOKUP($A142,Spells!$A$2:$I1002,MATCH(E$3,Spells!$A$1:$I$1,0),FALSE))</f>
        <v/>
      </c>
      <c r="F142" s="16" t="str">
        <f>IFNA(VLOOKUP($A142,Spells!$A$2:$I1002,MATCH(F$3,Spells!$A$1:$I$1,0),FALSE))</f>
        <v/>
      </c>
      <c r="G142" s="16" t="str">
        <f>IFNA(VLOOKUP($A142,Spells!$A$2:$I1002,MATCH(G$3,Spells!$A$1:$I$1,0),FALSE))</f>
        <v/>
      </c>
      <c r="H142" s="16" t="str">
        <f>IFNA(VLOOKUP($A142,Spells!$A$2:$I1002,MATCH(H$3,Spells!$A$1:$I$1,0),FALSE))</f>
        <v/>
      </c>
    </row>
    <row r="143">
      <c r="A143" s="16"/>
      <c r="B143" s="16" t="str">
        <f>IFNA(VLOOKUP($A143,Spells!$A$2:$I1002,MATCH(B$3,Spells!$A$1:$I$1,0),FALSE))</f>
        <v/>
      </c>
      <c r="C143" s="16" t="str">
        <f>IFNA(VLOOKUP($A143,Spells!$A$2:$I1002,MATCH(C$3,Spells!$A$1:$I$1,0),FALSE))</f>
        <v/>
      </c>
      <c r="D143" s="16" t="str">
        <f>IFNA(VLOOKUP($A143,Spells!$A$2:$I1002,MATCH(D$3,Spells!$A$1:$I$1,0),FALSE))</f>
        <v/>
      </c>
      <c r="E143" s="16" t="str">
        <f>IFNA(VLOOKUP($A143,Spells!$A$2:$I1002,MATCH(E$3,Spells!$A$1:$I$1,0),FALSE))</f>
        <v/>
      </c>
      <c r="F143" s="16" t="str">
        <f>IFNA(VLOOKUP($A143,Spells!$A$2:$I1002,MATCH(F$3,Spells!$A$1:$I$1,0),FALSE))</f>
        <v/>
      </c>
      <c r="G143" s="16" t="str">
        <f>IFNA(VLOOKUP($A143,Spells!$A$2:$I1002,MATCH(G$3,Spells!$A$1:$I$1,0),FALSE))</f>
        <v/>
      </c>
      <c r="H143" s="16" t="str">
        <f>IFNA(VLOOKUP($A143,Spells!$A$2:$I1002,MATCH(H$3,Spells!$A$1:$I$1,0),FALSE))</f>
        <v/>
      </c>
    </row>
    <row r="144">
      <c r="A144" s="16"/>
      <c r="B144" s="16" t="str">
        <f>IFNA(VLOOKUP($A144,Spells!$A$2:$I1002,MATCH(B$3,Spells!$A$1:$I$1,0),FALSE))</f>
        <v/>
      </c>
      <c r="C144" s="16" t="str">
        <f>IFNA(VLOOKUP($A144,Spells!$A$2:$I1002,MATCH(C$3,Spells!$A$1:$I$1,0),FALSE))</f>
        <v/>
      </c>
      <c r="D144" s="16" t="str">
        <f>IFNA(VLOOKUP($A144,Spells!$A$2:$I1002,MATCH(D$3,Spells!$A$1:$I$1,0),FALSE))</f>
        <v/>
      </c>
      <c r="E144" s="16" t="str">
        <f>IFNA(VLOOKUP($A144,Spells!$A$2:$I1002,MATCH(E$3,Spells!$A$1:$I$1,0),FALSE))</f>
        <v/>
      </c>
      <c r="F144" s="16" t="str">
        <f>IFNA(VLOOKUP($A144,Spells!$A$2:$I1002,MATCH(F$3,Spells!$A$1:$I$1,0),FALSE))</f>
        <v/>
      </c>
      <c r="G144" s="16" t="str">
        <f>IFNA(VLOOKUP($A144,Spells!$A$2:$I1002,MATCH(G$3,Spells!$A$1:$I$1,0),FALSE))</f>
        <v/>
      </c>
      <c r="H144" s="16" t="str">
        <f>IFNA(VLOOKUP($A144,Spells!$A$2:$I1002,MATCH(H$3,Spells!$A$1:$I$1,0),FALSE))</f>
        <v/>
      </c>
    </row>
    <row r="145">
      <c r="A145" s="16"/>
      <c r="B145" s="16" t="str">
        <f>IFNA(VLOOKUP($A145,Spells!$A$2:$I1002,MATCH(B$3,Spells!$A$1:$I$1,0),FALSE))</f>
        <v/>
      </c>
      <c r="C145" s="16" t="str">
        <f>IFNA(VLOOKUP($A145,Spells!$A$2:$I1002,MATCH(C$3,Spells!$A$1:$I$1,0),FALSE))</f>
        <v/>
      </c>
      <c r="D145" s="16" t="str">
        <f>IFNA(VLOOKUP($A145,Spells!$A$2:$I1002,MATCH(D$3,Spells!$A$1:$I$1,0),FALSE))</f>
        <v/>
      </c>
      <c r="E145" s="16" t="str">
        <f>IFNA(VLOOKUP($A145,Spells!$A$2:$I1002,MATCH(E$3,Spells!$A$1:$I$1,0),FALSE))</f>
        <v/>
      </c>
      <c r="F145" s="16" t="str">
        <f>IFNA(VLOOKUP($A145,Spells!$A$2:$I1002,MATCH(F$3,Spells!$A$1:$I$1,0),FALSE))</f>
        <v/>
      </c>
      <c r="G145" s="16" t="str">
        <f>IFNA(VLOOKUP($A145,Spells!$A$2:$I1002,MATCH(G$3,Spells!$A$1:$I$1,0),FALSE))</f>
        <v/>
      </c>
      <c r="H145" s="16" t="str">
        <f>IFNA(VLOOKUP($A145,Spells!$A$2:$I1002,MATCH(H$3,Spells!$A$1:$I$1,0),FALSE))</f>
        <v/>
      </c>
    </row>
    <row r="146">
      <c r="A146" s="16"/>
      <c r="B146" s="16" t="str">
        <f>IFNA(VLOOKUP($A146,Spells!$A$2:$I1002,MATCH(B$3,Spells!$A$1:$I$1,0),FALSE))</f>
        <v/>
      </c>
      <c r="C146" s="16" t="str">
        <f>IFNA(VLOOKUP($A146,Spells!$A$2:$I1002,MATCH(C$3,Spells!$A$1:$I$1,0),FALSE))</f>
        <v/>
      </c>
      <c r="D146" s="16" t="str">
        <f>IFNA(VLOOKUP($A146,Spells!$A$2:$I1002,MATCH(D$3,Spells!$A$1:$I$1,0),FALSE))</f>
        <v/>
      </c>
      <c r="E146" s="16" t="str">
        <f>IFNA(VLOOKUP($A146,Spells!$A$2:$I1002,MATCH(E$3,Spells!$A$1:$I$1,0),FALSE))</f>
        <v/>
      </c>
      <c r="F146" s="16" t="str">
        <f>IFNA(VLOOKUP($A146,Spells!$A$2:$I1002,MATCH(F$3,Spells!$A$1:$I$1,0),FALSE))</f>
        <v/>
      </c>
      <c r="G146" s="16" t="str">
        <f>IFNA(VLOOKUP($A146,Spells!$A$2:$I1002,MATCH(G$3,Spells!$A$1:$I$1,0),FALSE))</f>
        <v/>
      </c>
      <c r="H146" s="16" t="str">
        <f>IFNA(VLOOKUP($A146,Spells!$A$2:$I1002,MATCH(H$3,Spells!$A$1:$I$1,0),FALSE))</f>
        <v/>
      </c>
    </row>
    <row r="147">
      <c r="A147" s="16"/>
      <c r="B147" s="16" t="str">
        <f>IFNA(VLOOKUP($A147,Spells!$A$2:$I1002,MATCH(B$3,Spells!$A$1:$I$1,0),FALSE))</f>
        <v/>
      </c>
      <c r="C147" s="16" t="str">
        <f>IFNA(VLOOKUP($A147,Spells!$A$2:$I1002,MATCH(C$3,Spells!$A$1:$I$1,0),FALSE))</f>
        <v/>
      </c>
      <c r="D147" s="16" t="str">
        <f>IFNA(VLOOKUP($A147,Spells!$A$2:$I1002,MATCH(D$3,Spells!$A$1:$I$1,0),FALSE))</f>
        <v/>
      </c>
      <c r="E147" s="16" t="str">
        <f>IFNA(VLOOKUP($A147,Spells!$A$2:$I1002,MATCH(E$3,Spells!$A$1:$I$1,0),FALSE))</f>
        <v/>
      </c>
      <c r="F147" s="16" t="str">
        <f>IFNA(VLOOKUP($A147,Spells!$A$2:$I1002,MATCH(F$3,Spells!$A$1:$I$1,0),FALSE))</f>
        <v/>
      </c>
      <c r="G147" s="16" t="str">
        <f>IFNA(VLOOKUP($A147,Spells!$A$2:$I1002,MATCH(G$3,Spells!$A$1:$I$1,0),FALSE))</f>
        <v/>
      </c>
      <c r="H147" s="16" t="str">
        <f>IFNA(VLOOKUP($A147,Spells!$A$2:$I1002,MATCH(H$3,Spells!$A$1:$I$1,0),FALSE))</f>
        <v/>
      </c>
    </row>
    <row r="148">
      <c r="A148" s="16"/>
      <c r="B148" s="16" t="str">
        <f>IFNA(VLOOKUP($A148,Spells!$A$2:$I1002,MATCH(B$3,Spells!$A$1:$I$1,0),FALSE))</f>
        <v/>
      </c>
      <c r="C148" s="16" t="str">
        <f>IFNA(VLOOKUP($A148,Spells!$A$2:$I1002,MATCH(C$3,Spells!$A$1:$I$1,0),FALSE))</f>
        <v/>
      </c>
      <c r="D148" s="16" t="str">
        <f>IFNA(VLOOKUP($A148,Spells!$A$2:$I1002,MATCH(D$3,Spells!$A$1:$I$1,0),FALSE))</f>
        <v/>
      </c>
      <c r="E148" s="16" t="str">
        <f>IFNA(VLOOKUP($A148,Spells!$A$2:$I1002,MATCH(E$3,Spells!$A$1:$I$1,0),FALSE))</f>
        <v/>
      </c>
      <c r="F148" s="16" t="str">
        <f>IFNA(VLOOKUP($A148,Spells!$A$2:$I1002,MATCH(F$3,Spells!$A$1:$I$1,0),FALSE))</f>
        <v/>
      </c>
      <c r="G148" s="16" t="str">
        <f>IFNA(VLOOKUP($A148,Spells!$A$2:$I1002,MATCH(G$3,Spells!$A$1:$I$1,0),FALSE))</f>
        <v/>
      </c>
      <c r="H148" s="16" t="str">
        <f>IFNA(VLOOKUP($A148,Spells!$A$2:$I1002,MATCH(H$3,Spells!$A$1:$I$1,0),FALSE))</f>
        <v/>
      </c>
    </row>
    <row r="149">
      <c r="A149" s="16"/>
      <c r="B149" s="16" t="str">
        <f>IFNA(VLOOKUP($A149,Spells!$A$2:$I1002,MATCH(B$3,Spells!$A$1:$I$1,0),FALSE))</f>
        <v/>
      </c>
      <c r="C149" s="16" t="str">
        <f>IFNA(VLOOKUP($A149,Spells!$A$2:$I1002,MATCH(C$3,Spells!$A$1:$I$1,0),FALSE))</f>
        <v/>
      </c>
      <c r="D149" s="16" t="str">
        <f>IFNA(VLOOKUP($A149,Spells!$A$2:$I1002,MATCH(D$3,Spells!$A$1:$I$1,0),FALSE))</f>
        <v/>
      </c>
      <c r="E149" s="16" t="str">
        <f>IFNA(VLOOKUP($A149,Spells!$A$2:$I1002,MATCH(E$3,Spells!$A$1:$I$1,0),FALSE))</f>
        <v/>
      </c>
      <c r="F149" s="16" t="str">
        <f>IFNA(VLOOKUP($A149,Spells!$A$2:$I1002,MATCH(F$3,Spells!$A$1:$I$1,0),FALSE))</f>
        <v/>
      </c>
      <c r="G149" s="16" t="str">
        <f>IFNA(VLOOKUP($A149,Spells!$A$2:$I1002,MATCH(G$3,Spells!$A$1:$I$1,0),FALSE))</f>
        <v/>
      </c>
      <c r="H149" s="16" t="str">
        <f>IFNA(VLOOKUP($A149,Spells!$A$2:$I1002,MATCH(H$3,Spells!$A$1:$I$1,0),FALSE))</f>
        <v/>
      </c>
    </row>
    <row r="150">
      <c r="A150" s="16"/>
      <c r="B150" s="16" t="str">
        <f>IFNA(VLOOKUP($A150,Spells!$A$2:$I1002,MATCH(B$3,Spells!$A$1:$I$1,0),FALSE))</f>
        <v/>
      </c>
      <c r="C150" s="16" t="str">
        <f>IFNA(VLOOKUP($A150,Spells!$A$2:$I1002,MATCH(C$3,Spells!$A$1:$I$1,0),FALSE))</f>
        <v/>
      </c>
      <c r="D150" s="16" t="str">
        <f>IFNA(VLOOKUP($A150,Spells!$A$2:$I1002,MATCH(D$3,Spells!$A$1:$I$1,0),FALSE))</f>
        <v/>
      </c>
      <c r="E150" s="16" t="str">
        <f>IFNA(VLOOKUP($A150,Spells!$A$2:$I1002,MATCH(E$3,Spells!$A$1:$I$1,0),FALSE))</f>
        <v/>
      </c>
      <c r="F150" s="16" t="str">
        <f>IFNA(VLOOKUP($A150,Spells!$A$2:$I1002,MATCH(F$3,Spells!$A$1:$I$1,0),FALSE))</f>
        <v/>
      </c>
      <c r="G150" s="16" t="str">
        <f>IFNA(VLOOKUP($A150,Spells!$A$2:$I1002,MATCH(G$3,Spells!$A$1:$I$1,0),FALSE))</f>
        <v/>
      </c>
      <c r="H150" s="16" t="str">
        <f>IFNA(VLOOKUP($A150,Spells!$A$2:$I1002,MATCH(H$3,Spells!$A$1:$I$1,0),FALSE))</f>
        <v/>
      </c>
    </row>
    <row r="151">
      <c r="A151" s="16"/>
      <c r="B151" s="16" t="str">
        <f>IFNA(VLOOKUP($A151,Spells!$A$2:$I1002,MATCH(B$3,Spells!$A$1:$I$1,0),FALSE))</f>
        <v/>
      </c>
      <c r="C151" s="16" t="str">
        <f>IFNA(VLOOKUP($A151,Spells!$A$2:$I1002,MATCH(C$3,Spells!$A$1:$I$1,0),FALSE))</f>
        <v/>
      </c>
      <c r="D151" s="16" t="str">
        <f>IFNA(VLOOKUP($A151,Spells!$A$2:$I1002,MATCH(D$3,Spells!$A$1:$I$1,0),FALSE))</f>
        <v/>
      </c>
      <c r="E151" s="16" t="str">
        <f>IFNA(VLOOKUP($A151,Spells!$A$2:$I1002,MATCH(E$3,Spells!$A$1:$I$1,0),FALSE))</f>
        <v/>
      </c>
      <c r="F151" s="16" t="str">
        <f>IFNA(VLOOKUP($A151,Spells!$A$2:$I1002,MATCH(F$3,Spells!$A$1:$I$1,0),FALSE))</f>
        <v/>
      </c>
      <c r="G151" s="16" t="str">
        <f>IFNA(VLOOKUP($A151,Spells!$A$2:$I1002,MATCH(G$3,Spells!$A$1:$I$1,0),FALSE))</f>
        <v/>
      </c>
      <c r="H151" s="16" t="str">
        <f>IFNA(VLOOKUP($A151,Spells!$A$2:$I1002,MATCH(H$3,Spells!$A$1:$I$1,0),FALSE))</f>
        <v/>
      </c>
    </row>
    <row r="152">
      <c r="A152" s="16"/>
      <c r="B152" s="16" t="str">
        <f>IFNA(VLOOKUP($A152,Spells!$A$2:$I1002,MATCH(B$3,Spells!$A$1:$I$1,0),FALSE))</f>
        <v/>
      </c>
      <c r="C152" s="16" t="str">
        <f>IFNA(VLOOKUP($A152,Spells!$A$2:$I1002,MATCH(C$3,Spells!$A$1:$I$1,0),FALSE))</f>
        <v/>
      </c>
      <c r="D152" s="16" t="str">
        <f>IFNA(VLOOKUP($A152,Spells!$A$2:$I1002,MATCH(D$3,Spells!$A$1:$I$1,0),FALSE))</f>
        <v/>
      </c>
      <c r="E152" s="16" t="str">
        <f>IFNA(VLOOKUP($A152,Spells!$A$2:$I1002,MATCH(E$3,Spells!$A$1:$I$1,0),FALSE))</f>
        <v/>
      </c>
      <c r="F152" s="16" t="str">
        <f>IFNA(VLOOKUP($A152,Spells!$A$2:$I1002,MATCH(F$3,Spells!$A$1:$I$1,0),FALSE))</f>
        <v/>
      </c>
      <c r="G152" s="16" t="str">
        <f>IFNA(VLOOKUP($A152,Spells!$A$2:$I1002,MATCH(G$3,Spells!$A$1:$I$1,0),FALSE))</f>
        <v/>
      </c>
      <c r="H152" s="16" t="str">
        <f>IFNA(VLOOKUP($A152,Spells!$A$2:$I1002,MATCH(H$3,Spells!$A$1:$I$1,0),FALSE))</f>
        <v/>
      </c>
    </row>
    <row r="153">
      <c r="A153" s="16"/>
      <c r="B153" s="16" t="str">
        <f>IFNA(VLOOKUP($A153,Spells!$A$2:$I1002,MATCH(B$3,Spells!$A$1:$I$1,0),FALSE))</f>
        <v/>
      </c>
      <c r="C153" s="16" t="str">
        <f>IFNA(VLOOKUP($A153,Spells!$A$2:$I1002,MATCH(C$3,Spells!$A$1:$I$1,0),FALSE))</f>
        <v/>
      </c>
      <c r="D153" s="16" t="str">
        <f>IFNA(VLOOKUP($A153,Spells!$A$2:$I1002,MATCH(D$3,Spells!$A$1:$I$1,0),FALSE))</f>
        <v/>
      </c>
      <c r="E153" s="16" t="str">
        <f>IFNA(VLOOKUP($A153,Spells!$A$2:$I1002,MATCH(E$3,Spells!$A$1:$I$1,0),FALSE))</f>
        <v/>
      </c>
      <c r="F153" s="16" t="str">
        <f>IFNA(VLOOKUP($A153,Spells!$A$2:$I1002,MATCH(F$3,Spells!$A$1:$I$1,0),FALSE))</f>
        <v/>
      </c>
      <c r="G153" s="16" t="str">
        <f>IFNA(VLOOKUP($A153,Spells!$A$2:$I1002,MATCH(G$3,Spells!$A$1:$I$1,0),FALSE))</f>
        <v/>
      </c>
      <c r="H153" s="16" t="str">
        <f>IFNA(VLOOKUP($A153,Spells!$A$2:$I1002,MATCH(H$3,Spells!$A$1:$I$1,0),FALSE))</f>
        <v/>
      </c>
    </row>
    <row r="154">
      <c r="A154" s="16"/>
      <c r="B154" s="16" t="str">
        <f>IFNA(VLOOKUP($A154,Spells!$A$2:$I1002,MATCH(B$3,Spells!$A$1:$I$1,0),FALSE))</f>
        <v/>
      </c>
      <c r="C154" s="16" t="str">
        <f>IFNA(VLOOKUP($A154,Spells!$A$2:$I1002,MATCH(C$3,Spells!$A$1:$I$1,0),FALSE))</f>
        <v/>
      </c>
      <c r="D154" s="16" t="str">
        <f>IFNA(VLOOKUP($A154,Spells!$A$2:$I1002,MATCH(D$3,Spells!$A$1:$I$1,0),FALSE))</f>
        <v/>
      </c>
      <c r="E154" s="16" t="str">
        <f>IFNA(VLOOKUP($A154,Spells!$A$2:$I1002,MATCH(E$3,Spells!$A$1:$I$1,0),FALSE))</f>
        <v/>
      </c>
      <c r="F154" s="16" t="str">
        <f>IFNA(VLOOKUP($A154,Spells!$A$2:$I1002,MATCH(F$3,Spells!$A$1:$I$1,0),FALSE))</f>
        <v/>
      </c>
      <c r="G154" s="16" t="str">
        <f>IFNA(VLOOKUP($A154,Spells!$A$2:$I1002,MATCH(G$3,Spells!$A$1:$I$1,0),FALSE))</f>
        <v/>
      </c>
      <c r="H154" s="16" t="str">
        <f>IFNA(VLOOKUP($A154,Spells!$A$2:$I1002,MATCH(H$3,Spells!$A$1:$I$1,0),FALSE))</f>
        <v/>
      </c>
    </row>
    <row r="155">
      <c r="A155" s="16"/>
      <c r="B155" s="16" t="str">
        <f>IFNA(VLOOKUP($A155,Spells!$A$2:$I1002,MATCH(B$3,Spells!$A$1:$I$1,0),FALSE))</f>
        <v/>
      </c>
      <c r="C155" s="16" t="str">
        <f>IFNA(VLOOKUP($A155,Spells!$A$2:$I1002,MATCH(C$3,Spells!$A$1:$I$1,0),FALSE))</f>
        <v/>
      </c>
      <c r="D155" s="16" t="str">
        <f>IFNA(VLOOKUP($A155,Spells!$A$2:$I1002,MATCH(D$3,Spells!$A$1:$I$1,0),FALSE))</f>
        <v/>
      </c>
      <c r="E155" s="16" t="str">
        <f>IFNA(VLOOKUP($A155,Spells!$A$2:$I1002,MATCH(E$3,Spells!$A$1:$I$1,0),FALSE))</f>
        <v/>
      </c>
      <c r="F155" s="16" t="str">
        <f>IFNA(VLOOKUP($A155,Spells!$A$2:$I1002,MATCH(F$3,Spells!$A$1:$I$1,0),FALSE))</f>
        <v/>
      </c>
      <c r="G155" s="16" t="str">
        <f>IFNA(VLOOKUP($A155,Spells!$A$2:$I1002,MATCH(G$3,Spells!$A$1:$I$1,0),FALSE))</f>
        <v/>
      </c>
      <c r="H155" s="16" t="str">
        <f>IFNA(VLOOKUP($A155,Spells!$A$2:$I1002,MATCH(H$3,Spells!$A$1:$I$1,0),FALSE))</f>
        <v/>
      </c>
    </row>
    <row r="156">
      <c r="A156" s="16"/>
      <c r="B156" s="16" t="str">
        <f>IFNA(VLOOKUP($A156,Spells!$A$2:$I1002,MATCH(B$3,Spells!$A$1:$I$1,0),FALSE))</f>
        <v/>
      </c>
      <c r="C156" s="16" t="str">
        <f>IFNA(VLOOKUP($A156,Spells!$A$2:$I1002,MATCH(C$3,Spells!$A$1:$I$1,0),FALSE))</f>
        <v/>
      </c>
      <c r="D156" s="16" t="str">
        <f>IFNA(VLOOKUP($A156,Spells!$A$2:$I1002,MATCH(D$3,Spells!$A$1:$I$1,0),FALSE))</f>
        <v/>
      </c>
      <c r="E156" s="16" t="str">
        <f>IFNA(VLOOKUP($A156,Spells!$A$2:$I1002,MATCH(E$3,Spells!$A$1:$I$1,0),FALSE))</f>
        <v/>
      </c>
      <c r="F156" s="16" t="str">
        <f>IFNA(VLOOKUP($A156,Spells!$A$2:$I1002,MATCH(F$3,Spells!$A$1:$I$1,0),FALSE))</f>
        <v/>
      </c>
      <c r="G156" s="16" t="str">
        <f>IFNA(VLOOKUP($A156,Spells!$A$2:$I1002,MATCH(G$3,Spells!$A$1:$I$1,0),FALSE))</f>
        <v/>
      </c>
      <c r="H156" s="16" t="str">
        <f>IFNA(VLOOKUP($A156,Spells!$A$2:$I1002,MATCH(H$3,Spells!$A$1:$I$1,0),FALSE))</f>
        <v/>
      </c>
    </row>
    <row r="157">
      <c r="A157" s="16"/>
      <c r="B157" s="16" t="str">
        <f>IFNA(VLOOKUP($A157,Spells!$A$2:$I1002,MATCH(B$3,Spells!$A$1:$I$1,0),FALSE))</f>
        <v/>
      </c>
      <c r="C157" s="16" t="str">
        <f>IFNA(VLOOKUP($A157,Spells!$A$2:$I1002,MATCH(C$3,Spells!$A$1:$I$1,0),FALSE))</f>
        <v/>
      </c>
      <c r="D157" s="16" t="str">
        <f>IFNA(VLOOKUP($A157,Spells!$A$2:$I1002,MATCH(D$3,Spells!$A$1:$I$1,0),FALSE))</f>
        <v/>
      </c>
      <c r="E157" s="16" t="str">
        <f>IFNA(VLOOKUP($A157,Spells!$A$2:$I1002,MATCH(E$3,Spells!$A$1:$I$1,0),FALSE))</f>
        <v/>
      </c>
      <c r="F157" s="16" t="str">
        <f>IFNA(VLOOKUP($A157,Spells!$A$2:$I1002,MATCH(F$3,Spells!$A$1:$I$1,0),FALSE))</f>
        <v/>
      </c>
      <c r="G157" s="16" t="str">
        <f>IFNA(VLOOKUP($A157,Spells!$A$2:$I1002,MATCH(G$3,Spells!$A$1:$I$1,0),FALSE))</f>
        <v/>
      </c>
      <c r="H157" s="16" t="str">
        <f>IFNA(VLOOKUP($A157,Spells!$A$2:$I1002,MATCH(H$3,Spells!$A$1:$I$1,0),FALSE))</f>
        <v/>
      </c>
    </row>
    <row r="158">
      <c r="A158" s="16"/>
      <c r="B158" s="16" t="str">
        <f>IFNA(VLOOKUP($A158,Spells!$A$2:$I1002,MATCH(B$3,Spells!$A$1:$I$1,0),FALSE))</f>
        <v/>
      </c>
      <c r="C158" s="16" t="str">
        <f>IFNA(VLOOKUP($A158,Spells!$A$2:$I1002,MATCH(C$3,Spells!$A$1:$I$1,0),FALSE))</f>
        <v/>
      </c>
      <c r="D158" s="16" t="str">
        <f>IFNA(VLOOKUP($A158,Spells!$A$2:$I1002,MATCH(D$3,Spells!$A$1:$I$1,0),FALSE))</f>
        <v/>
      </c>
      <c r="E158" s="16" t="str">
        <f>IFNA(VLOOKUP($A158,Spells!$A$2:$I1002,MATCH(E$3,Spells!$A$1:$I$1,0),FALSE))</f>
        <v/>
      </c>
      <c r="F158" s="16" t="str">
        <f>IFNA(VLOOKUP($A158,Spells!$A$2:$I1002,MATCH(F$3,Spells!$A$1:$I$1,0),FALSE))</f>
        <v/>
      </c>
      <c r="G158" s="16" t="str">
        <f>IFNA(VLOOKUP($A158,Spells!$A$2:$I1002,MATCH(G$3,Spells!$A$1:$I$1,0),FALSE))</f>
        <v/>
      </c>
      <c r="H158" s="16" t="str">
        <f>IFNA(VLOOKUP($A158,Spells!$A$2:$I1002,MATCH(H$3,Spells!$A$1:$I$1,0),FALSE))</f>
        <v/>
      </c>
    </row>
    <row r="159">
      <c r="A159" s="16"/>
      <c r="B159" s="16" t="str">
        <f>IFNA(VLOOKUP($A159,Spells!$A$2:$I1002,MATCH(B$3,Spells!$A$1:$I$1,0),FALSE))</f>
        <v/>
      </c>
      <c r="C159" s="16" t="str">
        <f>IFNA(VLOOKUP($A159,Spells!$A$2:$I1002,MATCH(C$3,Spells!$A$1:$I$1,0),FALSE))</f>
        <v/>
      </c>
      <c r="D159" s="16" t="str">
        <f>IFNA(VLOOKUP($A159,Spells!$A$2:$I1002,MATCH(D$3,Spells!$A$1:$I$1,0),FALSE))</f>
        <v/>
      </c>
      <c r="E159" s="16" t="str">
        <f>IFNA(VLOOKUP($A159,Spells!$A$2:$I1002,MATCH(E$3,Spells!$A$1:$I$1,0),FALSE))</f>
        <v/>
      </c>
      <c r="F159" s="16" t="str">
        <f>IFNA(VLOOKUP($A159,Spells!$A$2:$I1002,MATCH(F$3,Spells!$A$1:$I$1,0),FALSE))</f>
        <v/>
      </c>
      <c r="G159" s="16" t="str">
        <f>IFNA(VLOOKUP($A159,Spells!$A$2:$I1002,MATCH(G$3,Spells!$A$1:$I$1,0),FALSE))</f>
        <v/>
      </c>
      <c r="H159" s="16" t="str">
        <f>IFNA(VLOOKUP($A159,Spells!$A$2:$I1002,MATCH(H$3,Spells!$A$1:$I$1,0),FALSE))</f>
        <v/>
      </c>
    </row>
    <row r="160">
      <c r="A160" s="16"/>
      <c r="B160" s="16" t="str">
        <f>IFNA(VLOOKUP($A160,Spells!$A$2:$I1002,MATCH(B$3,Spells!$A$1:$I$1,0),FALSE))</f>
        <v/>
      </c>
      <c r="C160" s="16" t="str">
        <f>IFNA(VLOOKUP($A160,Spells!$A$2:$I1002,MATCH(C$3,Spells!$A$1:$I$1,0),FALSE))</f>
        <v/>
      </c>
      <c r="D160" s="16" t="str">
        <f>IFNA(VLOOKUP($A160,Spells!$A$2:$I1002,MATCH(D$3,Spells!$A$1:$I$1,0),FALSE))</f>
        <v/>
      </c>
      <c r="E160" s="16" t="str">
        <f>IFNA(VLOOKUP($A160,Spells!$A$2:$I1002,MATCH(E$3,Spells!$A$1:$I$1,0),FALSE))</f>
        <v/>
      </c>
      <c r="F160" s="16" t="str">
        <f>IFNA(VLOOKUP($A160,Spells!$A$2:$I1002,MATCH(F$3,Spells!$A$1:$I$1,0),FALSE))</f>
        <v/>
      </c>
      <c r="G160" s="16" t="str">
        <f>IFNA(VLOOKUP($A160,Spells!$A$2:$I1002,MATCH(G$3,Spells!$A$1:$I$1,0),FALSE))</f>
        <v/>
      </c>
      <c r="H160" s="16" t="str">
        <f>IFNA(VLOOKUP($A160,Spells!$A$2:$I1002,MATCH(H$3,Spells!$A$1:$I$1,0),FALSE))</f>
        <v/>
      </c>
    </row>
    <row r="161">
      <c r="A161" s="16"/>
      <c r="B161" s="16" t="str">
        <f>IFNA(VLOOKUP($A161,Spells!$A$2:$I1002,MATCH(B$3,Spells!$A$1:$I$1,0),FALSE))</f>
        <v/>
      </c>
      <c r="C161" s="16" t="str">
        <f>IFNA(VLOOKUP($A161,Spells!$A$2:$I1002,MATCH(C$3,Spells!$A$1:$I$1,0),FALSE))</f>
        <v/>
      </c>
      <c r="D161" s="16" t="str">
        <f>IFNA(VLOOKUP($A161,Spells!$A$2:$I1002,MATCH(D$3,Spells!$A$1:$I$1,0),FALSE))</f>
        <v/>
      </c>
      <c r="E161" s="16" t="str">
        <f>IFNA(VLOOKUP($A161,Spells!$A$2:$I1002,MATCH(E$3,Spells!$A$1:$I$1,0),FALSE))</f>
        <v/>
      </c>
      <c r="F161" s="16" t="str">
        <f>IFNA(VLOOKUP($A161,Spells!$A$2:$I1002,MATCH(F$3,Spells!$A$1:$I$1,0),FALSE))</f>
        <v/>
      </c>
      <c r="G161" s="16" t="str">
        <f>IFNA(VLOOKUP($A161,Spells!$A$2:$I1002,MATCH(G$3,Spells!$A$1:$I$1,0),FALSE))</f>
        <v/>
      </c>
      <c r="H161" s="16" t="str">
        <f>IFNA(VLOOKUP($A161,Spells!$A$2:$I1002,MATCH(H$3,Spells!$A$1:$I$1,0),FALSE))</f>
        <v/>
      </c>
    </row>
    <row r="162">
      <c r="A162" s="16"/>
      <c r="B162" s="16" t="str">
        <f>IFNA(VLOOKUP($A162,Spells!$A$2:$I1002,MATCH(B$3,Spells!$A$1:$I$1,0),FALSE))</f>
        <v/>
      </c>
      <c r="C162" s="16" t="str">
        <f>IFNA(VLOOKUP($A162,Spells!$A$2:$I1002,MATCH(C$3,Spells!$A$1:$I$1,0),FALSE))</f>
        <v/>
      </c>
      <c r="D162" s="16" t="str">
        <f>IFNA(VLOOKUP($A162,Spells!$A$2:$I1002,MATCH(D$3,Spells!$A$1:$I$1,0),FALSE))</f>
        <v/>
      </c>
      <c r="E162" s="16" t="str">
        <f>IFNA(VLOOKUP($A162,Spells!$A$2:$I1002,MATCH(E$3,Spells!$A$1:$I$1,0),FALSE))</f>
        <v/>
      </c>
      <c r="F162" s="16" t="str">
        <f>IFNA(VLOOKUP($A162,Spells!$A$2:$I1002,MATCH(F$3,Spells!$A$1:$I$1,0),FALSE))</f>
        <v/>
      </c>
      <c r="G162" s="16" t="str">
        <f>IFNA(VLOOKUP($A162,Spells!$A$2:$I1002,MATCH(G$3,Spells!$A$1:$I$1,0),FALSE))</f>
        <v/>
      </c>
      <c r="H162" s="16" t="str">
        <f>IFNA(VLOOKUP($A162,Spells!$A$2:$I1002,MATCH(H$3,Spells!$A$1:$I$1,0),FALSE))</f>
        <v/>
      </c>
    </row>
    <row r="163">
      <c r="A163" s="16"/>
      <c r="B163" s="16" t="str">
        <f>IFNA(VLOOKUP($A163,Spells!$A$2:$I1002,MATCH(B$3,Spells!$A$1:$I$1,0),FALSE))</f>
        <v/>
      </c>
      <c r="C163" s="16" t="str">
        <f>IFNA(VLOOKUP($A163,Spells!$A$2:$I1002,MATCH(C$3,Spells!$A$1:$I$1,0),FALSE))</f>
        <v/>
      </c>
      <c r="D163" s="16" t="str">
        <f>IFNA(VLOOKUP($A163,Spells!$A$2:$I1002,MATCH(D$3,Spells!$A$1:$I$1,0),FALSE))</f>
        <v/>
      </c>
      <c r="E163" s="16" t="str">
        <f>IFNA(VLOOKUP($A163,Spells!$A$2:$I1002,MATCH(E$3,Spells!$A$1:$I$1,0),FALSE))</f>
        <v/>
      </c>
      <c r="F163" s="16" t="str">
        <f>IFNA(VLOOKUP($A163,Spells!$A$2:$I1002,MATCH(F$3,Spells!$A$1:$I$1,0),FALSE))</f>
        <v/>
      </c>
      <c r="G163" s="16" t="str">
        <f>IFNA(VLOOKUP($A163,Spells!$A$2:$I1002,MATCH(G$3,Spells!$A$1:$I$1,0),FALSE))</f>
        <v/>
      </c>
      <c r="H163" s="16" t="str">
        <f>IFNA(VLOOKUP($A163,Spells!$A$2:$I1002,MATCH(H$3,Spells!$A$1:$I$1,0),FALSE))</f>
        <v/>
      </c>
    </row>
    <row r="164">
      <c r="A164" s="16"/>
      <c r="B164" s="16" t="str">
        <f>IFNA(VLOOKUP($A164,Spells!$A$2:$I1002,MATCH(B$3,Spells!$A$1:$I$1,0),FALSE))</f>
        <v/>
      </c>
      <c r="C164" s="16" t="str">
        <f>IFNA(VLOOKUP($A164,Spells!$A$2:$I1002,MATCH(C$3,Spells!$A$1:$I$1,0),FALSE))</f>
        <v/>
      </c>
      <c r="D164" s="16" t="str">
        <f>IFNA(VLOOKUP($A164,Spells!$A$2:$I1002,MATCH(D$3,Spells!$A$1:$I$1,0),FALSE))</f>
        <v/>
      </c>
      <c r="E164" s="16" t="str">
        <f>IFNA(VLOOKUP($A164,Spells!$A$2:$I1002,MATCH(E$3,Spells!$A$1:$I$1,0),FALSE))</f>
        <v/>
      </c>
      <c r="F164" s="16" t="str">
        <f>IFNA(VLOOKUP($A164,Spells!$A$2:$I1002,MATCH(F$3,Spells!$A$1:$I$1,0),FALSE))</f>
        <v/>
      </c>
      <c r="G164" s="16" t="str">
        <f>IFNA(VLOOKUP($A164,Spells!$A$2:$I1002,MATCH(G$3,Spells!$A$1:$I$1,0),FALSE))</f>
        <v/>
      </c>
      <c r="H164" s="16" t="str">
        <f>IFNA(VLOOKUP($A164,Spells!$A$2:$I1002,MATCH(H$3,Spells!$A$1:$I$1,0),FALSE))</f>
        <v/>
      </c>
    </row>
    <row r="165">
      <c r="A165" s="16"/>
      <c r="B165" s="16" t="str">
        <f>IFNA(VLOOKUP($A165,Spells!$A$2:$I1002,MATCH(B$3,Spells!$A$1:$I$1,0),FALSE))</f>
        <v/>
      </c>
      <c r="C165" s="16" t="str">
        <f>IFNA(VLOOKUP($A165,Spells!$A$2:$I1002,MATCH(C$3,Spells!$A$1:$I$1,0),FALSE))</f>
        <v/>
      </c>
      <c r="D165" s="16" t="str">
        <f>IFNA(VLOOKUP($A165,Spells!$A$2:$I1002,MATCH(D$3,Spells!$A$1:$I$1,0),FALSE))</f>
        <v/>
      </c>
      <c r="E165" s="16" t="str">
        <f>IFNA(VLOOKUP($A165,Spells!$A$2:$I1002,MATCH(E$3,Spells!$A$1:$I$1,0),FALSE))</f>
        <v/>
      </c>
      <c r="F165" s="16" t="str">
        <f>IFNA(VLOOKUP($A165,Spells!$A$2:$I1002,MATCH(F$3,Spells!$A$1:$I$1,0),FALSE))</f>
        <v/>
      </c>
      <c r="G165" s="16" t="str">
        <f>IFNA(VLOOKUP($A165,Spells!$A$2:$I1002,MATCH(G$3,Spells!$A$1:$I$1,0),FALSE))</f>
        <v/>
      </c>
      <c r="H165" s="16" t="str">
        <f>IFNA(VLOOKUP($A165,Spells!$A$2:$I1002,MATCH(H$3,Spells!$A$1:$I$1,0),FALSE))</f>
        <v/>
      </c>
    </row>
    <row r="166">
      <c r="A166" s="16"/>
      <c r="B166" s="16" t="str">
        <f>IFNA(VLOOKUP($A166,Spells!$A$2:$I1002,MATCH(B$3,Spells!$A$1:$I$1,0),FALSE))</f>
        <v/>
      </c>
      <c r="C166" s="16" t="str">
        <f>IFNA(VLOOKUP($A166,Spells!$A$2:$I1002,MATCH(C$3,Spells!$A$1:$I$1,0),FALSE))</f>
        <v/>
      </c>
      <c r="D166" s="16" t="str">
        <f>IFNA(VLOOKUP($A166,Spells!$A$2:$I1002,MATCH(D$3,Spells!$A$1:$I$1,0),FALSE))</f>
        <v/>
      </c>
      <c r="E166" s="16" t="str">
        <f>IFNA(VLOOKUP($A166,Spells!$A$2:$I1002,MATCH(E$3,Spells!$A$1:$I$1,0),FALSE))</f>
        <v/>
      </c>
      <c r="F166" s="16" t="str">
        <f>IFNA(VLOOKUP($A166,Spells!$A$2:$I1002,MATCH(F$3,Spells!$A$1:$I$1,0),FALSE))</f>
        <v/>
      </c>
      <c r="G166" s="16" t="str">
        <f>IFNA(VLOOKUP($A166,Spells!$A$2:$I1002,MATCH(G$3,Spells!$A$1:$I$1,0),FALSE))</f>
        <v/>
      </c>
      <c r="H166" s="16" t="str">
        <f>IFNA(VLOOKUP($A166,Spells!$A$2:$I1002,MATCH(H$3,Spells!$A$1:$I$1,0),FALSE))</f>
        <v/>
      </c>
    </row>
    <row r="167">
      <c r="A167" s="16"/>
      <c r="B167" s="16" t="str">
        <f>IFNA(VLOOKUP($A167,Spells!$A$2:$I1002,MATCH(B$3,Spells!$A$1:$I$1,0),FALSE))</f>
        <v/>
      </c>
      <c r="C167" s="16" t="str">
        <f>IFNA(VLOOKUP($A167,Spells!$A$2:$I1002,MATCH(C$3,Spells!$A$1:$I$1,0),FALSE))</f>
        <v/>
      </c>
      <c r="D167" s="16" t="str">
        <f>IFNA(VLOOKUP($A167,Spells!$A$2:$I1002,MATCH(D$3,Spells!$A$1:$I$1,0),FALSE))</f>
        <v/>
      </c>
      <c r="E167" s="16" t="str">
        <f>IFNA(VLOOKUP($A167,Spells!$A$2:$I1002,MATCH(E$3,Spells!$A$1:$I$1,0),FALSE))</f>
        <v/>
      </c>
      <c r="F167" s="16" t="str">
        <f>IFNA(VLOOKUP($A167,Spells!$A$2:$I1002,MATCH(F$3,Spells!$A$1:$I$1,0),FALSE))</f>
        <v/>
      </c>
      <c r="G167" s="16" t="str">
        <f>IFNA(VLOOKUP($A167,Spells!$A$2:$I1002,MATCH(G$3,Spells!$A$1:$I$1,0),FALSE))</f>
        <v/>
      </c>
      <c r="H167" s="16" t="str">
        <f>IFNA(VLOOKUP($A167,Spells!$A$2:$I1002,MATCH(H$3,Spells!$A$1:$I$1,0),FALSE))</f>
        <v/>
      </c>
    </row>
    <row r="168">
      <c r="A168" s="16"/>
      <c r="B168" s="16" t="str">
        <f>IFNA(VLOOKUP($A168,Spells!$A$2:$I1002,MATCH(B$3,Spells!$A$1:$I$1,0),FALSE))</f>
        <v/>
      </c>
      <c r="C168" s="16" t="str">
        <f>IFNA(VLOOKUP($A168,Spells!$A$2:$I1002,MATCH(C$3,Spells!$A$1:$I$1,0),FALSE))</f>
        <v/>
      </c>
      <c r="D168" s="16" t="str">
        <f>IFNA(VLOOKUP($A168,Spells!$A$2:$I1002,MATCH(D$3,Spells!$A$1:$I$1,0),FALSE))</f>
        <v/>
      </c>
      <c r="E168" s="16" t="str">
        <f>IFNA(VLOOKUP($A168,Spells!$A$2:$I1002,MATCH(E$3,Spells!$A$1:$I$1,0),FALSE))</f>
        <v/>
      </c>
      <c r="F168" s="16" t="str">
        <f>IFNA(VLOOKUP($A168,Spells!$A$2:$I1002,MATCH(F$3,Spells!$A$1:$I$1,0),FALSE))</f>
        <v/>
      </c>
      <c r="G168" s="16" t="str">
        <f>IFNA(VLOOKUP($A168,Spells!$A$2:$I1002,MATCH(G$3,Spells!$A$1:$I$1,0),FALSE))</f>
        <v/>
      </c>
      <c r="H168" s="16" t="str">
        <f>IFNA(VLOOKUP($A168,Spells!$A$2:$I1002,MATCH(H$3,Spells!$A$1:$I$1,0),FALSE))</f>
        <v/>
      </c>
    </row>
    <row r="169">
      <c r="A169" s="16"/>
      <c r="B169" s="16" t="str">
        <f>IFNA(VLOOKUP($A169,Spells!$A$2:$I1002,MATCH(B$3,Spells!$A$1:$I$1,0),FALSE))</f>
        <v/>
      </c>
      <c r="C169" s="16" t="str">
        <f>IFNA(VLOOKUP($A169,Spells!$A$2:$I1002,MATCH(C$3,Spells!$A$1:$I$1,0),FALSE))</f>
        <v/>
      </c>
      <c r="D169" s="16" t="str">
        <f>IFNA(VLOOKUP($A169,Spells!$A$2:$I1002,MATCH(D$3,Spells!$A$1:$I$1,0),FALSE))</f>
        <v/>
      </c>
      <c r="E169" s="16" t="str">
        <f>IFNA(VLOOKUP($A169,Spells!$A$2:$I1002,MATCH(E$3,Spells!$A$1:$I$1,0),FALSE))</f>
        <v/>
      </c>
      <c r="F169" s="16" t="str">
        <f>IFNA(VLOOKUP($A169,Spells!$A$2:$I1002,MATCH(F$3,Spells!$A$1:$I$1,0),FALSE))</f>
        <v/>
      </c>
      <c r="G169" s="16" t="str">
        <f>IFNA(VLOOKUP($A169,Spells!$A$2:$I1002,MATCH(G$3,Spells!$A$1:$I$1,0),FALSE))</f>
        <v/>
      </c>
      <c r="H169" s="16" t="str">
        <f>IFNA(VLOOKUP($A169,Spells!$A$2:$I1002,MATCH(H$3,Spells!$A$1:$I$1,0),FALSE))</f>
        <v/>
      </c>
    </row>
    <row r="170">
      <c r="A170" s="16"/>
      <c r="B170" s="16" t="str">
        <f>IFNA(VLOOKUP($A170,Spells!$A$2:$I1002,MATCH(B$3,Spells!$A$1:$I$1,0),FALSE))</f>
        <v/>
      </c>
      <c r="C170" s="16" t="str">
        <f>IFNA(VLOOKUP($A170,Spells!$A$2:$I1002,MATCH(C$3,Spells!$A$1:$I$1,0),FALSE))</f>
        <v/>
      </c>
      <c r="D170" s="16" t="str">
        <f>IFNA(VLOOKUP($A170,Spells!$A$2:$I1002,MATCH(D$3,Spells!$A$1:$I$1,0),FALSE))</f>
        <v/>
      </c>
      <c r="E170" s="16" t="str">
        <f>IFNA(VLOOKUP($A170,Spells!$A$2:$I1002,MATCH(E$3,Spells!$A$1:$I$1,0),FALSE))</f>
        <v/>
      </c>
      <c r="F170" s="16" t="str">
        <f>IFNA(VLOOKUP($A170,Spells!$A$2:$I1002,MATCH(F$3,Spells!$A$1:$I$1,0),FALSE))</f>
        <v/>
      </c>
      <c r="G170" s="16" t="str">
        <f>IFNA(VLOOKUP($A170,Spells!$A$2:$I1002,MATCH(G$3,Spells!$A$1:$I$1,0),FALSE))</f>
        <v/>
      </c>
      <c r="H170" s="16" t="str">
        <f>IFNA(VLOOKUP($A170,Spells!$A$2:$I1002,MATCH(H$3,Spells!$A$1:$I$1,0),FALSE))</f>
        <v/>
      </c>
    </row>
    <row r="171">
      <c r="A171" s="16"/>
      <c r="B171" s="16" t="str">
        <f>IFNA(VLOOKUP($A171,Spells!$A$2:$I1002,MATCH(B$3,Spells!$A$1:$I$1,0),FALSE))</f>
        <v/>
      </c>
      <c r="C171" s="16" t="str">
        <f>IFNA(VLOOKUP($A171,Spells!$A$2:$I1002,MATCH(C$3,Spells!$A$1:$I$1,0),FALSE))</f>
        <v/>
      </c>
      <c r="D171" s="16" t="str">
        <f>IFNA(VLOOKUP($A171,Spells!$A$2:$I1002,MATCH(D$3,Spells!$A$1:$I$1,0),FALSE))</f>
        <v/>
      </c>
      <c r="E171" s="16" t="str">
        <f>IFNA(VLOOKUP($A171,Spells!$A$2:$I1002,MATCH(E$3,Spells!$A$1:$I$1,0),FALSE))</f>
        <v/>
      </c>
      <c r="F171" s="16" t="str">
        <f>IFNA(VLOOKUP($A171,Spells!$A$2:$I1002,MATCH(F$3,Spells!$A$1:$I$1,0),FALSE))</f>
        <v/>
      </c>
      <c r="G171" s="16" t="str">
        <f>IFNA(VLOOKUP($A171,Spells!$A$2:$I1002,MATCH(G$3,Spells!$A$1:$I$1,0),FALSE))</f>
        <v/>
      </c>
      <c r="H171" s="16" t="str">
        <f>IFNA(VLOOKUP($A171,Spells!$A$2:$I1002,MATCH(H$3,Spells!$A$1:$I$1,0),FALSE))</f>
        <v/>
      </c>
    </row>
    <row r="172">
      <c r="A172" s="16"/>
      <c r="B172" s="16" t="str">
        <f>IFNA(VLOOKUP($A172,Spells!$A$2:$I1002,MATCH(B$3,Spells!$A$1:$I$1,0),FALSE))</f>
        <v/>
      </c>
      <c r="C172" s="16" t="str">
        <f>IFNA(VLOOKUP($A172,Spells!$A$2:$I1002,MATCH(C$3,Spells!$A$1:$I$1,0),FALSE))</f>
        <v/>
      </c>
      <c r="D172" s="16" t="str">
        <f>IFNA(VLOOKUP($A172,Spells!$A$2:$I1002,MATCH(D$3,Spells!$A$1:$I$1,0),FALSE))</f>
        <v/>
      </c>
      <c r="E172" s="16" t="str">
        <f>IFNA(VLOOKUP($A172,Spells!$A$2:$I1002,MATCH(E$3,Spells!$A$1:$I$1,0),FALSE))</f>
        <v/>
      </c>
      <c r="F172" s="16" t="str">
        <f>IFNA(VLOOKUP($A172,Spells!$A$2:$I1002,MATCH(F$3,Spells!$A$1:$I$1,0),FALSE))</f>
        <v/>
      </c>
      <c r="G172" s="16" t="str">
        <f>IFNA(VLOOKUP($A172,Spells!$A$2:$I1002,MATCH(G$3,Spells!$A$1:$I$1,0),FALSE))</f>
        <v/>
      </c>
      <c r="H172" s="16" t="str">
        <f>IFNA(VLOOKUP($A172,Spells!$A$2:$I1002,MATCH(H$3,Spells!$A$1:$I$1,0),FALSE))</f>
        <v/>
      </c>
    </row>
    <row r="173">
      <c r="A173" s="16"/>
      <c r="B173" s="16" t="str">
        <f>IFNA(VLOOKUP($A173,Spells!$A$2:$I1002,MATCH(B$3,Spells!$A$1:$I$1,0),FALSE))</f>
        <v/>
      </c>
      <c r="C173" s="16" t="str">
        <f>IFNA(VLOOKUP($A173,Spells!$A$2:$I1002,MATCH(C$3,Spells!$A$1:$I$1,0),FALSE))</f>
        <v/>
      </c>
      <c r="D173" s="16" t="str">
        <f>IFNA(VLOOKUP($A173,Spells!$A$2:$I1002,MATCH(D$3,Spells!$A$1:$I$1,0),FALSE))</f>
        <v/>
      </c>
      <c r="E173" s="16" t="str">
        <f>IFNA(VLOOKUP($A173,Spells!$A$2:$I1002,MATCH(E$3,Spells!$A$1:$I$1,0),FALSE))</f>
        <v/>
      </c>
      <c r="F173" s="16" t="str">
        <f>IFNA(VLOOKUP($A173,Spells!$A$2:$I1002,MATCH(F$3,Spells!$A$1:$I$1,0),FALSE))</f>
        <v/>
      </c>
      <c r="G173" s="16" t="str">
        <f>IFNA(VLOOKUP($A173,Spells!$A$2:$I1002,MATCH(G$3,Spells!$A$1:$I$1,0),FALSE))</f>
        <v/>
      </c>
      <c r="H173" s="16" t="str">
        <f>IFNA(VLOOKUP($A173,Spells!$A$2:$I1002,MATCH(H$3,Spells!$A$1:$I$1,0),FALSE))</f>
        <v/>
      </c>
    </row>
    <row r="174">
      <c r="A174" s="16"/>
      <c r="B174" s="16" t="str">
        <f>IFNA(VLOOKUP($A174,Spells!$A$2:$I1002,MATCH(B$3,Spells!$A$1:$I$1,0),FALSE))</f>
        <v/>
      </c>
      <c r="C174" s="16" t="str">
        <f>IFNA(VLOOKUP($A174,Spells!$A$2:$I1002,MATCH(C$3,Spells!$A$1:$I$1,0),FALSE))</f>
        <v/>
      </c>
      <c r="D174" s="16" t="str">
        <f>IFNA(VLOOKUP($A174,Spells!$A$2:$I1002,MATCH(D$3,Spells!$A$1:$I$1,0),FALSE))</f>
        <v/>
      </c>
      <c r="E174" s="16" t="str">
        <f>IFNA(VLOOKUP($A174,Spells!$A$2:$I1002,MATCH(E$3,Spells!$A$1:$I$1,0),FALSE))</f>
        <v/>
      </c>
      <c r="F174" s="16" t="str">
        <f>IFNA(VLOOKUP($A174,Spells!$A$2:$I1002,MATCH(F$3,Spells!$A$1:$I$1,0),FALSE))</f>
        <v/>
      </c>
      <c r="G174" s="16" t="str">
        <f>IFNA(VLOOKUP($A174,Spells!$A$2:$I1002,MATCH(G$3,Spells!$A$1:$I$1,0),FALSE))</f>
        <v/>
      </c>
      <c r="H174" s="16" t="str">
        <f>IFNA(VLOOKUP($A174,Spells!$A$2:$I1002,MATCH(H$3,Spells!$A$1:$I$1,0),FALSE))</f>
        <v/>
      </c>
    </row>
    <row r="175">
      <c r="A175" s="16"/>
      <c r="B175" s="16" t="str">
        <f>IFNA(VLOOKUP($A175,Spells!$A$2:$I1002,MATCH(B$3,Spells!$A$1:$I$1,0),FALSE))</f>
        <v/>
      </c>
      <c r="C175" s="16" t="str">
        <f>IFNA(VLOOKUP($A175,Spells!$A$2:$I1002,MATCH(C$3,Spells!$A$1:$I$1,0),FALSE))</f>
        <v/>
      </c>
      <c r="D175" s="16" t="str">
        <f>IFNA(VLOOKUP($A175,Spells!$A$2:$I1002,MATCH(D$3,Spells!$A$1:$I$1,0),FALSE))</f>
        <v/>
      </c>
      <c r="E175" s="16" t="str">
        <f>IFNA(VLOOKUP($A175,Spells!$A$2:$I1002,MATCH(E$3,Spells!$A$1:$I$1,0),FALSE))</f>
        <v/>
      </c>
      <c r="F175" s="16" t="str">
        <f>IFNA(VLOOKUP($A175,Spells!$A$2:$I1002,MATCH(F$3,Spells!$A$1:$I$1,0),FALSE))</f>
        <v/>
      </c>
      <c r="G175" s="16" t="str">
        <f>IFNA(VLOOKUP($A175,Spells!$A$2:$I1002,MATCH(G$3,Spells!$A$1:$I$1,0),FALSE))</f>
        <v/>
      </c>
      <c r="H175" s="16" t="str">
        <f>IFNA(VLOOKUP($A175,Spells!$A$2:$I1002,MATCH(H$3,Spells!$A$1:$I$1,0),FALSE))</f>
        <v/>
      </c>
    </row>
    <row r="176">
      <c r="A176" s="16"/>
      <c r="B176" s="16" t="str">
        <f>IFNA(VLOOKUP($A176,Spells!$A$2:$I1002,MATCH(B$3,Spells!$A$1:$I$1,0),FALSE))</f>
        <v/>
      </c>
      <c r="C176" s="16" t="str">
        <f>IFNA(VLOOKUP($A176,Spells!$A$2:$I1002,MATCH(C$3,Spells!$A$1:$I$1,0),FALSE))</f>
        <v/>
      </c>
      <c r="D176" s="16" t="str">
        <f>IFNA(VLOOKUP($A176,Spells!$A$2:$I1002,MATCH(D$3,Spells!$A$1:$I$1,0),FALSE))</f>
        <v/>
      </c>
      <c r="E176" s="16" t="str">
        <f>IFNA(VLOOKUP($A176,Spells!$A$2:$I1002,MATCH(E$3,Spells!$A$1:$I$1,0),FALSE))</f>
        <v/>
      </c>
      <c r="F176" s="16" t="str">
        <f>IFNA(VLOOKUP($A176,Spells!$A$2:$I1002,MATCH(F$3,Spells!$A$1:$I$1,0),FALSE))</f>
        <v/>
      </c>
      <c r="G176" s="16" t="str">
        <f>IFNA(VLOOKUP($A176,Spells!$A$2:$I1002,MATCH(G$3,Spells!$A$1:$I$1,0),FALSE))</f>
        <v/>
      </c>
      <c r="H176" s="16" t="str">
        <f>IFNA(VLOOKUP($A176,Spells!$A$2:$I1002,MATCH(H$3,Spells!$A$1:$I$1,0),FALSE))</f>
        <v/>
      </c>
    </row>
    <row r="177">
      <c r="A177" s="16"/>
      <c r="B177" s="16" t="str">
        <f>IFNA(VLOOKUP($A177,Spells!$A$2:$I1002,MATCH(B$3,Spells!$A$1:$I$1,0),FALSE))</f>
        <v/>
      </c>
      <c r="C177" s="16" t="str">
        <f>IFNA(VLOOKUP($A177,Spells!$A$2:$I1002,MATCH(C$3,Spells!$A$1:$I$1,0),FALSE))</f>
        <v/>
      </c>
      <c r="D177" s="16" t="str">
        <f>IFNA(VLOOKUP($A177,Spells!$A$2:$I1002,MATCH(D$3,Spells!$A$1:$I$1,0),FALSE))</f>
        <v/>
      </c>
      <c r="E177" s="16" t="str">
        <f>IFNA(VLOOKUP($A177,Spells!$A$2:$I1002,MATCH(E$3,Spells!$A$1:$I$1,0),FALSE))</f>
        <v/>
      </c>
      <c r="F177" s="16" t="str">
        <f>IFNA(VLOOKUP($A177,Spells!$A$2:$I1002,MATCH(F$3,Spells!$A$1:$I$1,0),FALSE))</f>
        <v/>
      </c>
      <c r="G177" s="16" t="str">
        <f>IFNA(VLOOKUP($A177,Spells!$A$2:$I1002,MATCH(G$3,Spells!$A$1:$I$1,0),FALSE))</f>
        <v/>
      </c>
      <c r="H177" s="16" t="str">
        <f>IFNA(VLOOKUP($A177,Spells!$A$2:$I1002,MATCH(H$3,Spells!$A$1:$I$1,0),FALSE))</f>
        <v/>
      </c>
    </row>
    <row r="178">
      <c r="A178" s="16"/>
      <c r="B178" s="16" t="str">
        <f>IFNA(VLOOKUP($A178,Spells!$A$2:$I1002,MATCH(B$3,Spells!$A$1:$I$1,0),FALSE))</f>
        <v/>
      </c>
      <c r="C178" s="16" t="str">
        <f>IFNA(VLOOKUP($A178,Spells!$A$2:$I1002,MATCH(C$3,Spells!$A$1:$I$1,0),FALSE))</f>
        <v/>
      </c>
      <c r="D178" s="16" t="str">
        <f>IFNA(VLOOKUP($A178,Spells!$A$2:$I1002,MATCH(D$3,Spells!$A$1:$I$1,0),FALSE))</f>
        <v/>
      </c>
      <c r="E178" s="16" t="str">
        <f>IFNA(VLOOKUP($A178,Spells!$A$2:$I1002,MATCH(E$3,Spells!$A$1:$I$1,0),FALSE))</f>
        <v/>
      </c>
      <c r="F178" s="16" t="str">
        <f>IFNA(VLOOKUP($A178,Spells!$A$2:$I1002,MATCH(F$3,Spells!$A$1:$I$1,0),FALSE))</f>
        <v/>
      </c>
      <c r="G178" s="16" t="str">
        <f>IFNA(VLOOKUP($A178,Spells!$A$2:$I1002,MATCH(G$3,Spells!$A$1:$I$1,0),FALSE))</f>
        <v/>
      </c>
      <c r="H178" s="16" t="str">
        <f>IFNA(VLOOKUP($A178,Spells!$A$2:$I1002,MATCH(H$3,Spells!$A$1:$I$1,0),FALSE))</f>
        <v/>
      </c>
    </row>
    <row r="179">
      <c r="A179" s="16"/>
      <c r="B179" s="16" t="str">
        <f>IFNA(VLOOKUP($A179,Spells!$A$2:$I1002,MATCH(B$3,Spells!$A$1:$I$1,0),FALSE))</f>
        <v/>
      </c>
      <c r="C179" s="16" t="str">
        <f>IFNA(VLOOKUP($A179,Spells!$A$2:$I1002,MATCH(C$3,Spells!$A$1:$I$1,0),FALSE))</f>
        <v/>
      </c>
      <c r="D179" s="16" t="str">
        <f>IFNA(VLOOKUP($A179,Spells!$A$2:$I1002,MATCH(D$3,Spells!$A$1:$I$1,0),FALSE))</f>
        <v/>
      </c>
      <c r="E179" s="16" t="str">
        <f>IFNA(VLOOKUP($A179,Spells!$A$2:$I1002,MATCH(E$3,Spells!$A$1:$I$1,0),FALSE))</f>
        <v/>
      </c>
      <c r="F179" s="16" t="str">
        <f>IFNA(VLOOKUP($A179,Spells!$A$2:$I1002,MATCH(F$3,Spells!$A$1:$I$1,0),FALSE))</f>
        <v/>
      </c>
      <c r="G179" s="16" t="str">
        <f>IFNA(VLOOKUP($A179,Spells!$A$2:$I1002,MATCH(G$3,Spells!$A$1:$I$1,0),FALSE))</f>
        <v/>
      </c>
      <c r="H179" s="16" t="str">
        <f>IFNA(VLOOKUP($A179,Spells!$A$2:$I1002,MATCH(H$3,Spells!$A$1:$I$1,0),FALSE))</f>
        <v/>
      </c>
    </row>
    <row r="180">
      <c r="A180" s="16"/>
      <c r="B180" s="16" t="str">
        <f>IFNA(VLOOKUP($A180,Spells!$A$2:$I1002,MATCH(B$3,Spells!$A$1:$I$1,0),FALSE))</f>
        <v/>
      </c>
      <c r="C180" s="16" t="str">
        <f>IFNA(VLOOKUP($A180,Spells!$A$2:$I1002,MATCH(C$3,Spells!$A$1:$I$1,0),FALSE))</f>
        <v/>
      </c>
      <c r="D180" s="16" t="str">
        <f>IFNA(VLOOKUP($A180,Spells!$A$2:$I1002,MATCH(D$3,Spells!$A$1:$I$1,0),FALSE))</f>
        <v/>
      </c>
      <c r="E180" s="16" t="str">
        <f>IFNA(VLOOKUP($A180,Spells!$A$2:$I1002,MATCH(E$3,Spells!$A$1:$I$1,0),FALSE))</f>
        <v/>
      </c>
      <c r="F180" s="16" t="str">
        <f>IFNA(VLOOKUP($A180,Spells!$A$2:$I1002,MATCH(F$3,Spells!$A$1:$I$1,0),FALSE))</f>
        <v/>
      </c>
      <c r="G180" s="16" t="str">
        <f>IFNA(VLOOKUP($A180,Spells!$A$2:$I1002,MATCH(G$3,Spells!$A$1:$I$1,0),FALSE))</f>
        <v/>
      </c>
      <c r="H180" s="16" t="str">
        <f>IFNA(VLOOKUP($A180,Spells!$A$2:$I1002,MATCH(H$3,Spells!$A$1:$I$1,0),FALSE))</f>
        <v/>
      </c>
    </row>
    <row r="181">
      <c r="A181" s="16"/>
      <c r="B181" s="16" t="str">
        <f>IFNA(VLOOKUP($A181,Spells!$A$2:$I1002,MATCH(B$3,Spells!$A$1:$I$1,0),FALSE))</f>
        <v/>
      </c>
      <c r="C181" s="16" t="str">
        <f>IFNA(VLOOKUP($A181,Spells!$A$2:$I1002,MATCH(C$3,Spells!$A$1:$I$1,0),FALSE))</f>
        <v/>
      </c>
      <c r="D181" s="16" t="str">
        <f>IFNA(VLOOKUP($A181,Spells!$A$2:$I1002,MATCH(D$3,Spells!$A$1:$I$1,0),FALSE))</f>
        <v/>
      </c>
      <c r="E181" s="16" t="str">
        <f>IFNA(VLOOKUP($A181,Spells!$A$2:$I1002,MATCH(E$3,Spells!$A$1:$I$1,0),FALSE))</f>
        <v/>
      </c>
      <c r="F181" s="16" t="str">
        <f>IFNA(VLOOKUP($A181,Spells!$A$2:$I1002,MATCH(F$3,Spells!$A$1:$I$1,0),FALSE))</f>
        <v/>
      </c>
      <c r="G181" s="16" t="str">
        <f>IFNA(VLOOKUP($A181,Spells!$A$2:$I1002,MATCH(G$3,Spells!$A$1:$I$1,0),FALSE))</f>
        <v/>
      </c>
      <c r="H181" s="16" t="str">
        <f>IFNA(VLOOKUP($A181,Spells!$A$2:$I1002,MATCH(H$3,Spells!$A$1:$I$1,0),FALSE))</f>
        <v/>
      </c>
    </row>
    <row r="182">
      <c r="A182" s="16"/>
      <c r="B182" s="16" t="str">
        <f>IFNA(VLOOKUP($A182,Spells!$A$2:$I1002,MATCH(B$3,Spells!$A$1:$I$1,0),FALSE))</f>
        <v/>
      </c>
      <c r="C182" s="16" t="str">
        <f>IFNA(VLOOKUP($A182,Spells!$A$2:$I1002,MATCH(C$3,Spells!$A$1:$I$1,0),FALSE))</f>
        <v/>
      </c>
      <c r="D182" s="16" t="str">
        <f>IFNA(VLOOKUP($A182,Spells!$A$2:$I1002,MATCH(D$3,Spells!$A$1:$I$1,0),FALSE))</f>
        <v/>
      </c>
      <c r="E182" s="16" t="str">
        <f>IFNA(VLOOKUP($A182,Spells!$A$2:$I1002,MATCH(E$3,Spells!$A$1:$I$1,0),FALSE))</f>
        <v/>
      </c>
      <c r="F182" s="16" t="str">
        <f>IFNA(VLOOKUP($A182,Spells!$A$2:$I1002,MATCH(F$3,Spells!$A$1:$I$1,0),FALSE))</f>
        <v/>
      </c>
      <c r="G182" s="16" t="str">
        <f>IFNA(VLOOKUP($A182,Spells!$A$2:$I1002,MATCH(G$3,Spells!$A$1:$I$1,0),FALSE))</f>
        <v/>
      </c>
      <c r="H182" s="16" t="str">
        <f>IFNA(VLOOKUP($A182,Spells!$A$2:$I1002,MATCH(H$3,Spells!$A$1:$I$1,0),FALSE))</f>
        <v/>
      </c>
    </row>
    <row r="183">
      <c r="A183" s="16"/>
      <c r="B183" s="16" t="str">
        <f>IFNA(VLOOKUP($A183,Spells!$A$2:$I1002,MATCH(B$3,Spells!$A$1:$I$1,0),FALSE))</f>
        <v/>
      </c>
      <c r="C183" s="16" t="str">
        <f>IFNA(VLOOKUP($A183,Spells!$A$2:$I1002,MATCH(C$3,Spells!$A$1:$I$1,0),FALSE))</f>
        <v/>
      </c>
      <c r="D183" s="16" t="str">
        <f>IFNA(VLOOKUP($A183,Spells!$A$2:$I1002,MATCH(D$3,Spells!$A$1:$I$1,0),FALSE))</f>
        <v/>
      </c>
      <c r="E183" s="16" t="str">
        <f>IFNA(VLOOKUP($A183,Spells!$A$2:$I1002,MATCH(E$3,Spells!$A$1:$I$1,0),FALSE))</f>
        <v/>
      </c>
      <c r="F183" s="16" t="str">
        <f>IFNA(VLOOKUP($A183,Spells!$A$2:$I1002,MATCH(F$3,Spells!$A$1:$I$1,0),FALSE))</f>
        <v/>
      </c>
      <c r="G183" s="16" t="str">
        <f>IFNA(VLOOKUP($A183,Spells!$A$2:$I1002,MATCH(G$3,Spells!$A$1:$I$1,0),FALSE))</f>
        <v/>
      </c>
      <c r="H183" s="16" t="str">
        <f>IFNA(VLOOKUP($A183,Spells!$A$2:$I1002,MATCH(H$3,Spells!$A$1:$I$1,0),FALSE))</f>
        <v/>
      </c>
    </row>
    <row r="184">
      <c r="A184" s="16"/>
      <c r="B184" s="16" t="str">
        <f>IFNA(VLOOKUP($A184,Spells!$A$2:$I1002,MATCH(B$3,Spells!$A$1:$I$1,0),FALSE))</f>
        <v/>
      </c>
      <c r="C184" s="16" t="str">
        <f>IFNA(VLOOKUP($A184,Spells!$A$2:$I1002,MATCH(C$3,Spells!$A$1:$I$1,0),FALSE))</f>
        <v/>
      </c>
      <c r="D184" s="16" t="str">
        <f>IFNA(VLOOKUP($A184,Spells!$A$2:$I1002,MATCH(D$3,Spells!$A$1:$I$1,0),FALSE))</f>
        <v/>
      </c>
      <c r="E184" s="16" t="str">
        <f>IFNA(VLOOKUP($A184,Spells!$A$2:$I1002,MATCH(E$3,Spells!$A$1:$I$1,0),FALSE))</f>
        <v/>
      </c>
      <c r="F184" s="16" t="str">
        <f>IFNA(VLOOKUP($A184,Spells!$A$2:$I1002,MATCH(F$3,Spells!$A$1:$I$1,0),FALSE))</f>
        <v/>
      </c>
      <c r="G184" s="16" t="str">
        <f>IFNA(VLOOKUP($A184,Spells!$A$2:$I1002,MATCH(G$3,Spells!$A$1:$I$1,0),FALSE))</f>
        <v/>
      </c>
      <c r="H184" s="16" t="str">
        <f>IFNA(VLOOKUP($A184,Spells!$A$2:$I1002,MATCH(H$3,Spells!$A$1:$I$1,0),FALSE))</f>
        <v/>
      </c>
    </row>
    <row r="185">
      <c r="A185" s="16"/>
      <c r="B185" s="16" t="str">
        <f>IFNA(VLOOKUP($A185,Spells!$A$2:$I1002,MATCH(B$3,Spells!$A$1:$I$1,0),FALSE))</f>
        <v/>
      </c>
      <c r="C185" s="16" t="str">
        <f>IFNA(VLOOKUP($A185,Spells!$A$2:$I1002,MATCH(C$3,Spells!$A$1:$I$1,0),FALSE))</f>
        <v/>
      </c>
      <c r="D185" s="16" t="str">
        <f>IFNA(VLOOKUP($A185,Spells!$A$2:$I1002,MATCH(D$3,Spells!$A$1:$I$1,0),FALSE))</f>
        <v/>
      </c>
      <c r="E185" s="16" t="str">
        <f>IFNA(VLOOKUP($A185,Spells!$A$2:$I1002,MATCH(E$3,Spells!$A$1:$I$1,0),FALSE))</f>
        <v/>
      </c>
      <c r="F185" s="16" t="str">
        <f>IFNA(VLOOKUP($A185,Spells!$A$2:$I1002,MATCH(F$3,Spells!$A$1:$I$1,0),FALSE))</f>
        <v/>
      </c>
      <c r="G185" s="16" t="str">
        <f>IFNA(VLOOKUP($A185,Spells!$A$2:$I1002,MATCH(G$3,Spells!$A$1:$I$1,0),FALSE))</f>
        <v/>
      </c>
      <c r="H185" s="16" t="str">
        <f>IFNA(VLOOKUP($A185,Spells!$A$2:$I1002,MATCH(H$3,Spells!$A$1:$I$1,0),FALSE))</f>
        <v/>
      </c>
    </row>
    <row r="186">
      <c r="A186" s="16"/>
      <c r="B186" s="16" t="str">
        <f>IFNA(VLOOKUP($A186,Spells!$A$2:$I1002,MATCH(B$3,Spells!$A$1:$I$1,0),FALSE))</f>
        <v/>
      </c>
      <c r="C186" s="16" t="str">
        <f>IFNA(VLOOKUP($A186,Spells!$A$2:$I1002,MATCH(C$3,Spells!$A$1:$I$1,0),FALSE))</f>
        <v/>
      </c>
      <c r="D186" s="16" t="str">
        <f>IFNA(VLOOKUP($A186,Spells!$A$2:$I1002,MATCH(D$3,Spells!$A$1:$I$1,0),FALSE))</f>
        <v/>
      </c>
      <c r="E186" s="16" t="str">
        <f>IFNA(VLOOKUP($A186,Spells!$A$2:$I1002,MATCH(E$3,Spells!$A$1:$I$1,0),FALSE))</f>
        <v/>
      </c>
      <c r="F186" s="16" t="str">
        <f>IFNA(VLOOKUP($A186,Spells!$A$2:$I1002,MATCH(F$3,Spells!$A$1:$I$1,0),FALSE))</f>
        <v/>
      </c>
      <c r="G186" s="16" t="str">
        <f>IFNA(VLOOKUP($A186,Spells!$A$2:$I1002,MATCH(G$3,Spells!$A$1:$I$1,0),FALSE))</f>
        <v/>
      </c>
      <c r="H186" s="16" t="str">
        <f>IFNA(VLOOKUP($A186,Spells!$A$2:$I1002,MATCH(H$3,Spells!$A$1:$I$1,0),FALSE))</f>
        <v/>
      </c>
    </row>
    <row r="187">
      <c r="A187" s="16"/>
      <c r="B187" s="16" t="str">
        <f>IFNA(VLOOKUP($A187,Spells!$A$2:$I1002,MATCH(B$3,Spells!$A$1:$I$1,0),FALSE))</f>
        <v/>
      </c>
      <c r="C187" s="16" t="str">
        <f>IFNA(VLOOKUP($A187,Spells!$A$2:$I1002,MATCH(C$3,Spells!$A$1:$I$1,0),FALSE))</f>
        <v/>
      </c>
      <c r="D187" s="16" t="str">
        <f>IFNA(VLOOKUP($A187,Spells!$A$2:$I1002,MATCH(D$3,Spells!$A$1:$I$1,0),FALSE))</f>
        <v/>
      </c>
      <c r="E187" s="16" t="str">
        <f>IFNA(VLOOKUP($A187,Spells!$A$2:$I1002,MATCH(E$3,Spells!$A$1:$I$1,0),FALSE))</f>
        <v/>
      </c>
      <c r="F187" s="16" t="str">
        <f>IFNA(VLOOKUP($A187,Spells!$A$2:$I1002,MATCH(F$3,Spells!$A$1:$I$1,0),FALSE))</f>
        <v/>
      </c>
      <c r="G187" s="16" t="str">
        <f>IFNA(VLOOKUP($A187,Spells!$A$2:$I1002,MATCH(G$3,Spells!$A$1:$I$1,0),FALSE))</f>
        <v/>
      </c>
      <c r="H187" s="16" t="str">
        <f>IFNA(VLOOKUP($A187,Spells!$A$2:$I1002,MATCH(H$3,Spells!$A$1:$I$1,0),FALSE))</f>
        <v/>
      </c>
    </row>
    <row r="188">
      <c r="A188" s="16"/>
      <c r="B188" s="16" t="str">
        <f>IFNA(VLOOKUP($A188,Spells!$A$2:$I1002,MATCH(B$3,Spells!$A$1:$I$1,0),FALSE))</f>
        <v/>
      </c>
      <c r="C188" s="16" t="str">
        <f>IFNA(VLOOKUP($A188,Spells!$A$2:$I1002,MATCH(C$3,Spells!$A$1:$I$1,0),FALSE))</f>
        <v/>
      </c>
      <c r="D188" s="16" t="str">
        <f>IFNA(VLOOKUP($A188,Spells!$A$2:$I1002,MATCH(D$3,Spells!$A$1:$I$1,0),FALSE))</f>
        <v/>
      </c>
      <c r="E188" s="16" t="str">
        <f>IFNA(VLOOKUP($A188,Spells!$A$2:$I1002,MATCH(E$3,Spells!$A$1:$I$1,0),FALSE))</f>
        <v/>
      </c>
      <c r="F188" s="16" t="str">
        <f>IFNA(VLOOKUP($A188,Spells!$A$2:$I1002,MATCH(F$3,Spells!$A$1:$I$1,0),FALSE))</f>
        <v/>
      </c>
      <c r="G188" s="16" t="str">
        <f>IFNA(VLOOKUP($A188,Spells!$A$2:$I1002,MATCH(G$3,Spells!$A$1:$I$1,0),FALSE))</f>
        <v/>
      </c>
      <c r="H188" s="16" t="str">
        <f>IFNA(VLOOKUP($A188,Spells!$A$2:$I1002,MATCH(H$3,Spells!$A$1:$I$1,0),FALSE))</f>
        <v/>
      </c>
    </row>
    <row r="189">
      <c r="A189" s="16"/>
      <c r="B189" s="16" t="str">
        <f>IFNA(VLOOKUP($A189,Spells!$A$2:$I1002,MATCH(B$3,Spells!$A$1:$I$1,0),FALSE))</f>
        <v/>
      </c>
      <c r="C189" s="16" t="str">
        <f>IFNA(VLOOKUP($A189,Spells!$A$2:$I1002,MATCH(C$3,Spells!$A$1:$I$1,0),FALSE))</f>
        <v/>
      </c>
      <c r="D189" s="16" t="str">
        <f>IFNA(VLOOKUP($A189,Spells!$A$2:$I1002,MATCH(D$3,Spells!$A$1:$I$1,0),FALSE))</f>
        <v/>
      </c>
      <c r="E189" s="16" t="str">
        <f>IFNA(VLOOKUP($A189,Spells!$A$2:$I1002,MATCH(E$3,Spells!$A$1:$I$1,0),FALSE))</f>
        <v/>
      </c>
      <c r="F189" s="16" t="str">
        <f>IFNA(VLOOKUP($A189,Spells!$A$2:$I1002,MATCH(F$3,Spells!$A$1:$I$1,0),FALSE))</f>
        <v/>
      </c>
      <c r="G189" s="16" t="str">
        <f>IFNA(VLOOKUP($A189,Spells!$A$2:$I1002,MATCH(G$3,Spells!$A$1:$I$1,0),FALSE))</f>
        <v/>
      </c>
      <c r="H189" s="16" t="str">
        <f>IFNA(VLOOKUP($A189,Spells!$A$2:$I1002,MATCH(H$3,Spells!$A$1:$I$1,0),FALSE))</f>
        <v/>
      </c>
    </row>
    <row r="190">
      <c r="A190" s="16"/>
      <c r="B190" s="16" t="str">
        <f>IFNA(VLOOKUP($A190,Spells!$A$2:$I1002,MATCH(B$3,Spells!$A$1:$I$1,0),FALSE))</f>
        <v/>
      </c>
      <c r="C190" s="16" t="str">
        <f>IFNA(VLOOKUP($A190,Spells!$A$2:$I1002,MATCH(C$3,Spells!$A$1:$I$1,0),FALSE))</f>
        <v/>
      </c>
      <c r="D190" s="16" t="str">
        <f>IFNA(VLOOKUP($A190,Spells!$A$2:$I1002,MATCH(D$3,Spells!$A$1:$I$1,0),FALSE))</f>
        <v/>
      </c>
      <c r="E190" s="16" t="str">
        <f>IFNA(VLOOKUP($A190,Spells!$A$2:$I1002,MATCH(E$3,Spells!$A$1:$I$1,0),FALSE))</f>
        <v/>
      </c>
      <c r="F190" s="16" t="str">
        <f>IFNA(VLOOKUP($A190,Spells!$A$2:$I1002,MATCH(F$3,Spells!$A$1:$I$1,0),FALSE))</f>
        <v/>
      </c>
      <c r="G190" s="16" t="str">
        <f>IFNA(VLOOKUP($A190,Spells!$A$2:$I1002,MATCH(G$3,Spells!$A$1:$I$1,0),FALSE))</f>
        <v/>
      </c>
      <c r="H190" s="16" t="str">
        <f>IFNA(VLOOKUP($A190,Spells!$A$2:$I1002,MATCH(H$3,Spells!$A$1:$I$1,0),FALSE))</f>
        <v/>
      </c>
    </row>
    <row r="191">
      <c r="A191" s="16"/>
      <c r="B191" s="16" t="str">
        <f>IFNA(VLOOKUP($A191,Spells!$A$2:$I1002,MATCH(B$3,Spells!$A$1:$I$1,0),FALSE))</f>
        <v/>
      </c>
      <c r="C191" s="16" t="str">
        <f>IFNA(VLOOKUP($A191,Spells!$A$2:$I1002,MATCH(C$3,Spells!$A$1:$I$1,0),FALSE))</f>
        <v/>
      </c>
      <c r="D191" s="16" t="str">
        <f>IFNA(VLOOKUP($A191,Spells!$A$2:$I1002,MATCH(D$3,Spells!$A$1:$I$1,0),FALSE))</f>
        <v/>
      </c>
      <c r="E191" s="16" t="str">
        <f>IFNA(VLOOKUP($A191,Spells!$A$2:$I1002,MATCH(E$3,Spells!$A$1:$I$1,0),FALSE))</f>
        <v/>
      </c>
      <c r="F191" s="16" t="str">
        <f>IFNA(VLOOKUP($A191,Spells!$A$2:$I1002,MATCH(F$3,Spells!$A$1:$I$1,0),FALSE))</f>
        <v/>
      </c>
      <c r="G191" s="16" t="str">
        <f>IFNA(VLOOKUP($A191,Spells!$A$2:$I1002,MATCH(G$3,Spells!$A$1:$I$1,0),FALSE))</f>
        <v/>
      </c>
      <c r="H191" s="16" t="str">
        <f>IFNA(VLOOKUP($A191,Spells!$A$2:$I1002,MATCH(H$3,Spells!$A$1:$I$1,0),FALSE))</f>
        <v/>
      </c>
    </row>
    <row r="192">
      <c r="A192" s="16"/>
      <c r="B192" s="16" t="str">
        <f>IFNA(VLOOKUP($A192,Spells!$A$2:$I1002,MATCH(B$3,Spells!$A$1:$I$1,0),FALSE))</f>
        <v/>
      </c>
      <c r="C192" s="16" t="str">
        <f>IFNA(VLOOKUP($A192,Spells!$A$2:$I1002,MATCH(C$3,Spells!$A$1:$I$1,0),FALSE))</f>
        <v/>
      </c>
      <c r="D192" s="16" t="str">
        <f>IFNA(VLOOKUP($A192,Spells!$A$2:$I1002,MATCH(D$3,Spells!$A$1:$I$1,0),FALSE))</f>
        <v/>
      </c>
      <c r="E192" s="16" t="str">
        <f>IFNA(VLOOKUP($A192,Spells!$A$2:$I1002,MATCH(E$3,Spells!$A$1:$I$1,0),FALSE))</f>
        <v/>
      </c>
      <c r="F192" s="16" t="str">
        <f>IFNA(VLOOKUP($A192,Spells!$A$2:$I1002,MATCH(F$3,Spells!$A$1:$I$1,0),FALSE))</f>
        <v/>
      </c>
      <c r="G192" s="16" t="str">
        <f>IFNA(VLOOKUP($A192,Spells!$A$2:$I1002,MATCH(G$3,Spells!$A$1:$I$1,0),FALSE))</f>
        <v/>
      </c>
      <c r="H192" s="16" t="str">
        <f>IFNA(VLOOKUP($A192,Spells!$A$2:$I1002,MATCH(H$3,Spells!$A$1:$I$1,0),FALSE))</f>
        <v/>
      </c>
    </row>
    <row r="193">
      <c r="A193" s="16"/>
      <c r="B193" s="16" t="str">
        <f>IFNA(VLOOKUP($A193,Spells!$A$2:$I1002,MATCH(B$3,Spells!$A$1:$I$1,0),FALSE))</f>
        <v/>
      </c>
      <c r="C193" s="16" t="str">
        <f>IFNA(VLOOKUP($A193,Spells!$A$2:$I1002,MATCH(C$3,Spells!$A$1:$I$1,0),FALSE))</f>
        <v/>
      </c>
      <c r="D193" s="16" t="str">
        <f>IFNA(VLOOKUP($A193,Spells!$A$2:$I1002,MATCH(D$3,Spells!$A$1:$I$1,0),FALSE))</f>
        <v/>
      </c>
      <c r="E193" s="16" t="str">
        <f>IFNA(VLOOKUP($A193,Spells!$A$2:$I1002,MATCH(E$3,Spells!$A$1:$I$1,0),FALSE))</f>
        <v/>
      </c>
      <c r="F193" s="16" t="str">
        <f>IFNA(VLOOKUP($A193,Spells!$A$2:$I1002,MATCH(F$3,Spells!$A$1:$I$1,0),FALSE))</f>
        <v/>
      </c>
      <c r="G193" s="16" t="str">
        <f>IFNA(VLOOKUP($A193,Spells!$A$2:$I1002,MATCH(G$3,Spells!$A$1:$I$1,0),FALSE))</f>
        <v/>
      </c>
      <c r="H193" s="16" t="str">
        <f>IFNA(VLOOKUP($A193,Spells!$A$2:$I1002,MATCH(H$3,Spells!$A$1:$I$1,0),FALSE))</f>
        <v/>
      </c>
    </row>
    <row r="194">
      <c r="A194" s="16"/>
      <c r="B194" s="16" t="str">
        <f>IFNA(VLOOKUP($A194,Spells!$A$2:$I1002,MATCH(B$3,Spells!$A$1:$I$1,0),FALSE))</f>
        <v/>
      </c>
      <c r="C194" s="16" t="str">
        <f>IFNA(VLOOKUP($A194,Spells!$A$2:$I1002,MATCH(C$3,Spells!$A$1:$I$1,0),FALSE))</f>
        <v/>
      </c>
      <c r="D194" s="16" t="str">
        <f>IFNA(VLOOKUP($A194,Spells!$A$2:$I1002,MATCH(D$3,Spells!$A$1:$I$1,0),FALSE))</f>
        <v/>
      </c>
      <c r="E194" s="16" t="str">
        <f>IFNA(VLOOKUP($A194,Spells!$A$2:$I1002,MATCH(E$3,Spells!$A$1:$I$1,0),FALSE))</f>
        <v/>
      </c>
      <c r="F194" s="16" t="str">
        <f>IFNA(VLOOKUP($A194,Spells!$A$2:$I1002,MATCH(F$3,Spells!$A$1:$I$1,0),FALSE))</f>
        <v/>
      </c>
      <c r="G194" s="16" t="str">
        <f>IFNA(VLOOKUP($A194,Spells!$A$2:$I1002,MATCH(G$3,Spells!$A$1:$I$1,0),FALSE))</f>
        <v/>
      </c>
      <c r="H194" s="16" t="str">
        <f>IFNA(VLOOKUP($A194,Spells!$A$2:$I1002,MATCH(H$3,Spells!$A$1:$I$1,0),FALSE))</f>
        <v/>
      </c>
    </row>
    <row r="195">
      <c r="A195" s="16"/>
      <c r="B195" s="16" t="str">
        <f>IFNA(VLOOKUP($A195,Spells!$A$2:$I1002,MATCH(B$3,Spells!$A$1:$I$1,0),FALSE))</f>
        <v/>
      </c>
      <c r="C195" s="16" t="str">
        <f>IFNA(VLOOKUP($A195,Spells!$A$2:$I1002,MATCH(C$3,Spells!$A$1:$I$1,0),FALSE))</f>
        <v/>
      </c>
      <c r="D195" s="16" t="str">
        <f>IFNA(VLOOKUP($A195,Spells!$A$2:$I1002,MATCH(D$3,Spells!$A$1:$I$1,0),FALSE))</f>
        <v/>
      </c>
      <c r="E195" s="16" t="str">
        <f>IFNA(VLOOKUP($A195,Spells!$A$2:$I1002,MATCH(E$3,Spells!$A$1:$I$1,0),FALSE))</f>
        <v/>
      </c>
      <c r="F195" s="16" t="str">
        <f>IFNA(VLOOKUP($A195,Spells!$A$2:$I1002,MATCH(F$3,Spells!$A$1:$I$1,0),FALSE))</f>
        <v/>
      </c>
      <c r="G195" s="16" t="str">
        <f>IFNA(VLOOKUP($A195,Spells!$A$2:$I1002,MATCH(G$3,Spells!$A$1:$I$1,0),FALSE))</f>
        <v/>
      </c>
      <c r="H195" s="16" t="str">
        <f>IFNA(VLOOKUP($A195,Spells!$A$2:$I1002,MATCH(H$3,Spells!$A$1:$I$1,0),FALSE))</f>
        <v/>
      </c>
    </row>
    <row r="196">
      <c r="A196" s="16"/>
      <c r="B196" s="16" t="str">
        <f>IFNA(VLOOKUP($A196,Spells!$A$2:$I1002,MATCH(B$3,Spells!$A$1:$I$1,0),FALSE))</f>
        <v/>
      </c>
      <c r="C196" s="16" t="str">
        <f>IFNA(VLOOKUP($A196,Spells!$A$2:$I1002,MATCH(C$3,Spells!$A$1:$I$1,0),FALSE))</f>
        <v/>
      </c>
      <c r="D196" s="16" t="str">
        <f>IFNA(VLOOKUP($A196,Spells!$A$2:$I1002,MATCH(D$3,Spells!$A$1:$I$1,0),FALSE))</f>
        <v/>
      </c>
      <c r="E196" s="16" t="str">
        <f>IFNA(VLOOKUP($A196,Spells!$A$2:$I1002,MATCH(E$3,Spells!$A$1:$I$1,0),FALSE))</f>
        <v/>
      </c>
      <c r="F196" s="16" t="str">
        <f>IFNA(VLOOKUP($A196,Spells!$A$2:$I1002,MATCH(F$3,Spells!$A$1:$I$1,0),FALSE))</f>
        <v/>
      </c>
      <c r="G196" s="16" t="str">
        <f>IFNA(VLOOKUP($A196,Spells!$A$2:$I1002,MATCH(G$3,Spells!$A$1:$I$1,0),FALSE))</f>
        <v/>
      </c>
      <c r="H196" s="16" t="str">
        <f>IFNA(VLOOKUP($A196,Spells!$A$2:$I1002,MATCH(H$3,Spells!$A$1:$I$1,0),FALSE))</f>
        <v/>
      </c>
    </row>
    <row r="197">
      <c r="A197" s="16"/>
      <c r="B197" s="16" t="str">
        <f>IFNA(VLOOKUP($A197,Spells!$A$2:$I1002,MATCH(B$3,Spells!$A$1:$I$1,0),FALSE))</f>
        <v/>
      </c>
      <c r="C197" s="16" t="str">
        <f>IFNA(VLOOKUP($A197,Spells!$A$2:$I1002,MATCH(C$3,Spells!$A$1:$I$1,0),FALSE))</f>
        <v/>
      </c>
      <c r="D197" s="16" t="str">
        <f>IFNA(VLOOKUP($A197,Spells!$A$2:$I1002,MATCH(D$3,Spells!$A$1:$I$1,0),FALSE))</f>
        <v/>
      </c>
      <c r="E197" s="16" t="str">
        <f>IFNA(VLOOKUP($A197,Spells!$A$2:$I1002,MATCH(E$3,Spells!$A$1:$I$1,0),FALSE))</f>
        <v/>
      </c>
      <c r="F197" s="16" t="str">
        <f>IFNA(VLOOKUP($A197,Spells!$A$2:$I1002,MATCH(F$3,Spells!$A$1:$I$1,0),FALSE))</f>
        <v/>
      </c>
      <c r="G197" s="16" t="str">
        <f>IFNA(VLOOKUP($A197,Spells!$A$2:$I1002,MATCH(G$3,Spells!$A$1:$I$1,0),FALSE))</f>
        <v/>
      </c>
      <c r="H197" s="16" t="str">
        <f>IFNA(VLOOKUP($A197,Spells!$A$2:$I1002,MATCH(H$3,Spells!$A$1:$I$1,0),FALSE))</f>
        <v/>
      </c>
    </row>
    <row r="198">
      <c r="A198" s="16"/>
      <c r="B198" s="16" t="str">
        <f>IFNA(VLOOKUP($A198,Spells!$A$2:$I1002,MATCH(B$3,Spells!$A$1:$I$1,0),FALSE))</f>
        <v/>
      </c>
      <c r="C198" s="16" t="str">
        <f>IFNA(VLOOKUP($A198,Spells!$A$2:$I1002,MATCH(C$3,Spells!$A$1:$I$1,0),FALSE))</f>
        <v/>
      </c>
      <c r="D198" s="16" t="str">
        <f>IFNA(VLOOKUP($A198,Spells!$A$2:$I1002,MATCH(D$3,Spells!$A$1:$I$1,0),FALSE))</f>
        <v/>
      </c>
      <c r="E198" s="16" t="str">
        <f>IFNA(VLOOKUP($A198,Spells!$A$2:$I1002,MATCH(E$3,Spells!$A$1:$I$1,0),FALSE))</f>
        <v/>
      </c>
      <c r="F198" s="16" t="str">
        <f>IFNA(VLOOKUP($A198,Spells!$A$2:$I1002,MATCH(F$3,Spells!$A$1:$I$1,0),FALSE))</f>
        <v/>
      </c>
      <c r="G198" s="16" t="str">
        <f>IFNA(VLOOKUP($A198,Spells!$A$2:$I1002,MATCH(G$3,Spells!$A$1:$I$1,0),FALSE))</f>
        <v/>
      </c>
      <c r="H198" s="16" t="str">
        <f>IFNA(VLOOKUP($A198,Spells!$A$2:$I1002,MATCH(H$3,Spells!$A$1:$I$1,0),FALSE))</f>
        <v/>
      </c>
    </row>
    <row r="199">
      <c r="A199" s="16"/>
      <c r="B199" s="16" t="str">
        <f>IFNA(VLOOKUP($A199,Spells!$A$2:$I1002,MATCH(B$3,Spells!$A$1:$I$1,0),FALSE))</f>
        <v/>
      </c>
      <c r="C199" s="16" t="str">
        <f>IFNA(VLOOKUP($A199,Spells!$A$2:$I1002,MATCH(C$3,Spells!$A$1:$I$1,0),FALSE))</f>
        <v/>
      </c>
      <c r="D199" s="16" t="str">
        <f>IFNA(VLOOKUP($A199,Spells!$A$2:$I1002,MATCH(D$3,Spells!$A$1:$I$1,0),FALSE))</f>
        <v/>
      </c>
      <c r="E199" s="16" t="str">
        <f>IFNA(VLOOKUP($A199,Spells!$A$2:$I1002,MATCH(E$3,Spells!$A$1:$I$1,0),FALSE))</f>
        <v/>
      </c>
      <c r="F199" s="16" t="str">
        <f>IFNA(VLOOKUP($A199,Spells!$A$2:$I1002,MATCH(F$3,Spells!$A$1:$I$1,0),FALSE))</f>
        <v/>
      </c>
      <c r="G199" s="16" t="str">
        <f>IFNA(VLOOKUP($A199,Spells!$A$2:$I1002,MATCH(G$3,Spells!$A$1:$I$1,0),FALSE))</f>
        <v/>
      </c>
      <c r="H199" s="16" t="str">
        <f>IFNA(VLOOKUP($A199,Spells!$A$2:$I1002,MATCH(H$3,Spells!$A$1:$I$1,0),FALSE))</f>
        <v/>
      </c>
    </row>
    <row r="200">
      <c r="A200" s="16"/>
      <c r="B200" s="16" t="str">
        <f>IFNA(VLOOKUP($A200,Spells!$A$2:$I1002,MATCH(B$3,Spells!$A$1:$I$1,0),FALSE))</f>
        <v/>
      </c>
      <c r="C200" s="16" t="str">
        <f>IFNA(VLOOKUP($A200,Spells!$A$2:$I1002,MATCH(C$3,Spells!$A$1:$I$1,0),FALSE))</f>
        <v/>
      </c>
      <c r="D200" s="16" t="str">
        <f>IFNA(VLOOKUP($A200,Spells!$A$2:$I1002,MATCH(D$3,Spells!$A$1:$I$1,0),FALSE))</f>
        <v/>
      </c>
      <c r="E200" s="16" t="str">
        <f>IFNA(VLOOKUP($A200,Spells!$A$2:$I1002,MATCH(E$3,Spells!$A$1:$I$1,0),FALSE))</f>
        <v/>
      </c>
      <c r="F200" s="16" t="str">
        <f>IFNA(VLOOKUP($A200,Spells!$A$2:$I1002,MATCH(F$3,Spells!$A$1:$I$1,0),FALSE))</f>
        <v/>
      </c>
      <c r="G200" s="16" t="str">
        <f>IFNA(VLOOKUP($A200,Spells!$A$2:$I1002,MATCH(G$3,Spells!$A$1:$I$1,0),FALSE))</f>
        <v/>
      </c>
      <c r="H200" s="16" t="str">
        <f>IFNA(VLOOKUP($A200,Spells!$A$2:$I1002,MATCH(H$3,Spells!$A$1:$I$1,0),FALSE))</f>
        <v/>
      </c>
    </row>
    <row r="201">
      <c r="A201" s="16"/>
      <c r="B201" s="16" t="str">
        <f>IFNA(VLOOKUP($A201,Spells!$A$2:$I1002,MATCH(B$3,Spells!$A$1:$I$1,0),FALSE))</f>
        <v/>
      </c>
      <c r="C201" s="16" t="str">
        <f>IFNA(VLOOKUP($A201,Spells!$A$2:$I1002,MATCH(C$3,Spells!$A$1:$I$1,0),FALSE))</f>
        <v/>
      </c>
      <c r="D201" s="16" t="str">
        <f>IFNA(VLOOKUP($A201,Spells!$A$2:$I1002,MATCH(D$3,Spells!$A$1:$I$1,0),FALSE))</f>
        <v/>
      </c>
      <c r="E201" s="16" t="str">
        <f>IFNA(VLOOKUP($A201,Spells!$A$2:$I1002,MATCH(E$3,Spells!$A$1:$I$1,0),FALSE))</f>
        <v/>
      </c>
      <c r="F201" s="16" t="str">
        <f>IFNA(VLOOKUP($A201,Spells!$A$2:$I1002,MATCH(F$3,Spells!$A$1:$I$1,0),FALSE))</f>
        <v/>
      </c>
      <c r="G201" s="16" t="str">
        <f>IFNA(VLOOKUP($A201,Spells!$A$2:$I1002,MATCH(G$3,Spells!$A$1:$I$1,0),FALSE))</f>
        <v/>
      </c>
      <c r="H201" s="16" t="str">
        <f>IFNA(VLOOKUP($A201,Spells!$A$2:$I1002,MATCH(H$3,Spells!$A$1:$I$1,0),FALSE))</f>
        <v/>
      </c>
    </row>
    <row r="202">
      <c r="A202" s="16"/>
      <c r="B202" s="16" t="str">
        <f>IFNA(VLOOKUP($A202,Spells!$A$2:$I1002,MATCH(B$3,Spells!$A$1:$I$1,0),FALSE))</f>
        <v/>
      </c>
      <c r="C202" s="16" t="str">
        <f>IFNA(VLOOKUP($A202,Spells!$A$2:$I1002,MATCH(C$3,Spells!$A$1:$I$1,0),FALSE))</f>
        <v/>
      </c>
      <c r="D202" s="16" t="str">
        <f>IFNA(VLOOKUP($A202,Spells!$A$2:$I1002,MATCH(D$3,Spells!$A$1:$I$1,0),FALSE))</f>
        <v/>
      </c>
      <c r="E202" s="16" t="str">
        <f>IFNA(VLOOKUP($A202,Spells!$A$2:$I1002,MATCH(E$3,Spells!$A$1:$I$1,0),FALSE))</f>
        <v/>
      </c>
      <c r="F202" s="16" t="str">
        <f>IFNA(VLOOKUP($A202,Spells!$A$2:$I1002,MATCH(F$3,Spells!$A$1:$I$1,0),FALSE))</f>
        <v/>
      </c>
      <c r="G202" s="16" t="str">
        <f>IFNA(VLOOKUP($A202,Spells!$A$2:$I1002,MATCH(G$3,Spells!$A$1:$I$1,0),FALSE))</f>
        <v/>
      </c>
      <c r="H202" s="16" t="str">
        <f>IFNA(VLOOKUP($A202,Spells!$A$2:$I1002,MATCH(H$3,Spells!$A$1:$I$1,0),FALSE))</f>
        <v/>
      </c>
    </row>
    <row r="203">
      <c r="A203" s="16"/>
      <c r="B203" s="16" t="str">
        <f>IFNA(VLOOKUP($A203,Spells!$A$2:$I1002,MATCH(B$3,Spells!$A$1:$I$1,0),FALSE))</f>
        <v/>
      </c>
      <c r="C203" s="16" t="str">
        <f>IFNA(VLOOKUP($A203,Spells!$A$2:$I1002,MATCH(C$3,Spells!$A$1:$I$1,0),FALSE))</f>
        <v/>
      </c>
      <c r="D203" s="16" t="str">
        <f>IFNA(VLOOKUP($A203,Spells!$A$2:$I1002,MATCH(D$3,Spells!$A$1:$I$1,0),FALSE))</f>
        <v/>
      </c>
      <c r="E203" s="16" t="str">
        <f>IFNA(VLOOKUP($A203,Spells!$A$2:$I1002,MATCH(E$3,Spells!$A$1:$I$1,0),FALSE))</f>
        <v/>
      </c>
      <c r="F203" s="16" t="str">
        <f>IFNA(VLOOKUP($A203,Spells!$A$2:$I1002,MATCH(F$3,Spells!$A$1:$I$1,0),FALSE))</f>
        <v/>
      </c>
      <c r="G203" s="16" t="str">
        <f>IFNA(VLOOKUP($A203,Spells!$A$2:$I1002,MATCH(G$3,Spells!$A$1:$I$1,0),FALSE))</f>
        <v/>
      </c>
      <c r="H203" s="16" t="str">
        <f>IFNA(VLOOKUP($A203,Spells!$A$2:$I1002,MATCH(H$3,Spells!$A$1:$I$1,0),FALSE))</f>
        <v/>
      </c>
    </row>
    <row r="204">
      <c r="A204" s="16"/>
      <c r="B204" s="16" t="str">
        <f>IFNA(VLOOKUP($A204,Spells!$A$2:$I1002,MATCH(B$3,Spells!$A$1:$I$1,0),FALSE))</f>
        <v/>
      </c>
      <c r="C204" s="16" t="str">
        <f>IFNA(VLOOKUP($A204,Spells!$A$2:$I1002,MATCH(C$3,Spells!$A$1:$I$1,0),FALSE))</f>
        <v/>
      </c>
      <c r="D204" s="16" t="str">
        <f>IFNA(VLOOKUP($A204,Spells!$A$2:$I1002,MATCH(D$3,Spells!$A$1:$I$1,0),FALSE))</f>
        <v/>
      </c>
      <c r="E204" s="16" t="str">
        <f>IFNA(VLOOKUP($A204,Spells!$A$2:$I1002,MATCH(E$3,Spells!$A$1:$I$1,0),FALSE))</f>
        <v/>
      </c>
      <c r="F204" s="16" t="str">
        <f>IFNA(VLOOKUP($A204,Spells!$A$2:$I1002,MATCH(F$3,Spells!$A$1:$I$1,0),FALSE))</f>
        <v/>
      </c>
      <c r="G204" s="16" t="str">
        <f>IFNA(VLOOKUP($A204,Spells!$A$2:$I1002,MATCH(G$3,Spells!$A$1:$I$1,0),FALSE))</f>
        <v/>
      </c>
      <c r="H204" s="16" t="str">
        <f>IFNA(VLOOKUP($A204,Spells!$A$2:$I1002,MATCH(H$3,Spells!$A$1:$I$1,0),FALSE))</f>
        <v/>
      </c>
    </row>
    <row r="205">
      <c r="A205" s="16"/>
      <c r="B205" s="16" t="str">
        <f>IFNA(VLOOKUP($A205,Spells!$A$2:$I1002,MATCH(B$3,Spells!$A$1:$I$1,0),FALSE))</f>
        <v/>
      </c>
      <c r="C205" s="16" t="str">
        <f>IFNA(VLOOKUP($A205,Spells!$A$2:$I1002,MATCH(C$3,Spells!$A$1:$I$1,0),FALSE))</f>
        <v/>
      </c>
      <c r="D205" s="16" t="str">
        <f>IFNA(VLOOKUP($A205,Spells!$A$2:$I1002,MATCH(D$3,Spells!$A$1:$I$1,0),FALSE))</f>
        <v/>
      </c>
      <c r="E205" s="16" t="str">
        <f>IFNA(VLOOKUP($A205,Spells!$A$2:$I1002,MATCH(E$3,Spells!$A$1:$I$1,0),FALSE))</f>
        <v/>
      </c>
      <c r="F205" s="16" t="str">
        <f>IFNA(VLOOKUP($A205,Spells!$A$2:$I1002,MATCH(F$3,Spells!$A$1:$I$1,0),FALSE))</f>
        <v/>
      </c>
      <c r="G205" s="16" t="str">
        <f>IFNA(VLOOKUP($A205,Spells!$A$2:$I1002,MATCH(G$3,Spells!$A$1:$I$1,0),FALSE))</f>
        <v/>
      </c>
      <c r="H205" s="16" t="str">
        <f>IFNA(VLOOKUP($A205,Spells!$A$2:$I1002,MATCH(H$3,Spells!$A$1:$I$1,0),FALSE))</f>
        <v/>
      </c>
    </row>
    <row r="206">
      <c r="A206" s="16"/>
      <c r="B206" s="16" t="str">
        <f>IFNA(VLOOKUP($A206,Spells!$A$2:$I1002,MATCH(B$3,Spells!$A$1:$I$1,0),FALSE))</f>
        <v/>
      </c>
      <c r="C206" s="16" t="str">
        <f>IFNA(VLOOKUP($A206,Spells!$A$2:$I1002,MATCH(C$3,Spells!$A$1:$I$1,0),FALSE))</f>
        <v/>
      </c>
      <c r="D206" s="16" t="str">
        <f>IFNA(VLOOKUP($A206,Spells!$A$2:$I1002,MATCH(D$3,Spells!$A$1:$I$1,0),FALSE))</f>
        <v/>
      </c>
      <c r="E206" s="16" t="str">
        <f>IFNA(VLOOKUP($A206,Spells!$A$2:$I1002,MATCH(E$3,Spells!$A$1:$I$1,0),FALSE))</f>
        <v/>
      </c>
      <c r="F206" s="16" t="str">
        <f>IFNA(VLOOKUP($A206,Spells!$A$2:$I1002,MATCH(F$3,Spells!$A$1:$I$1,0),FALSE))</f>
        <v/>
      </c>
      <c r="G206" s="16" t="str">
        <f>IFNA(VLOOKUP($A206,Spells!$A$2:$I1002,MATCH(G$3,Spells!$A$1:$I$1,0),FALSE))</f>
        <v/>
      </c>
      <c r="H206" s="16" t="str">
        <f>IFNA(VLOOKUP($A206,Spells!$A$2:$I1002,MATCH(H$3,Spells!$A$1:$I$1,0),FALSE))</f>
        <v/>
      </c>
    </row>
    <row r="207">
      <c r="A207" s="16"/>
      <c r="B207" s="16" t="str">
        <f>IFNA(VLOOKUP($A207,Spells!$A$2:$I1002,MATCH(B$3,Spells!$A$1:$I$1,0),FALSE))</f>
        <v/>
      </c>
      <c r="C207" s="16" t="str">
        <f>IFNA(VLOOKUP($A207,Spells!$A$2:$I1002,MATCH(C$3,Spells!$A$1:$I$1,0),FALSE))</f>
        <v/>
      </c>
      <c r="D207" s="16" t="str">
        <f>IFNA(VLOOKUP($A207,Spells!$A$2:$I1002,MATCH(D$3,Spells!$A$1:$I$1,0),FALSE))</f>
        <v/>
      </c>
      <c r="E207" s="16" t="str">
        <f>IFNA(VLOOKUP($A207,Spells!$A$2:$I1002,MATCH(E$3,Spells!$A$1:$I$1,0),FALSE))</f>
        <v/>
      </c>
      <c r="F207" s="16" t="str">
        <f>IFNA(VLOOKUP($A207,Spells!$A$2:$I1002,MATCH(F$3,Spells!$A$1:$I$1,0),FALSE))</f>
        <v/>
      </c>
      <c r="G207" s="16" t="str">
        <f>IFNA(VLOOKUP($A207,Spells!$A$2:$I1002,MATCH(G$3,Spells!$A$1:$I$1,0),FALSE))</f>
        <v/>
      </c>
      <c r="H207" s="16" t="str">
        <f>IFNA(VLOOKUP($A207,Spells!$A$2:$I1002,MATCH(H$3,Spells!$A$1:$I$1,0),FALSE))</f>
        <v/>
      </c>
    </row>
    <row r="208">
      <c r="A208" s="16"/>
      <c r="B208" s="16" t="str">
        <f>IFNA(VLOOKUP($A208,Spells!$A$2:$I1002,MATCH(B$3,Spells!$A$1:$I$1,0),FALSE))</f>
        <v/>
      </c>
      <c r="C208" s="16" t="str">
        <f>IFNA(VLOOKUP($A208,Spells!$A$2:$I1002,MATCH(C$3,Spells!$A$1:$I$1,0),FALSE))</f>
        <v/>
      </c>
      <c r="D208" s="16" t="str">
        <f>IFNA(VLOOKUP($A208,Spells!$A$2:$I1002,MATCH(D$3,Spells!$A$1:$I$1,0),FALSE))</f>
        <v/>
      </c>
      <c r="E208" s="16" t="str">
        <f>IFNA(VLOOKUP($A208,Spells!$A$2:$I1002,MATCH(E$3,Spells!$A$1:$I$1,0),FALSE))</f>
        <v/>
      </c>
      <c r="F208" s="16" t="str">
        <f>IFNA(VLOOKUP($A208,Spells!$A$2:$I1002,MATCH(F$3,Spells!$A$1:$I$1,0),FALSE))</f>
        <v/>
      </c>
      <c r="G208" s="16" t="str">
        <f>IFNA(VLOOKUP($A208,Spells!$A$2:$I1002,MATCH(G$3,Spells!$A$1:$I$1,0),FALSE))</f>
        <v/>
      </c>
      <c r="H208" s="16" t="str">
        <f>IFNA(VLOOKUP($A208,Spells!$A$2:$I1002,MATCH(H$3,Spells!$A$1:$I$1,0),FALSE))</f>
        <v/>
      </c>
    </row>
    <row r="209">
      <c r="A209" s="16"/>
      <c r="B209" s="16" t="str">
        <f>IFNA(VLOOKUP($A209,Spells!$A$2:$I1002,MATCH(B$3,Spells!$A$1:$I$1,0),FALSE))</f>
        <v/>
      </c>
      <c r="C209" s="16" t="str">
        <f>IFNA(VLOOKUP($A209,Spells!$A$2:$I1002,MATCH(C$3,Spells!$A$1:$I$1,0),FALSE))</f>
        <v/>
      </c>
      <c r="D209" s="16" t="str">
        <f>IFNA(VLOOKUP($A209,Spells!$A$2:$I1002,MATCH(D$3,Spells!$A$1:$I$1,0),FALSE))</f>
        <v/>
      </c>
      <c r="E209" s="16" t="str">
        <f>IFNA(VLOOKUP($A209,Spells!$A$2:$I1002,MATCH(E$3,Spells!$A$1:$I$1,0),FALSE))</f>
        <v/>
      </c>
      <c r="F209" s="16" t="str">
        <f>IFNA(VLOOKUP($A209,Spells!$A$2:$I1002,MATCH(F$3,Spells!$A$1:$I$1,0),FALSE))</f>
        <v/>
      </c>
      <c r="G209" s="16" t="str">
        <f>IFNA(VLOOKUP($A209,Spells!$A$2:$I1002,MATCH(G$3,Spells!$A$1:$I$1,0),FALSE))</f>
        <v/>
      </c>
      <c r="H209" s="16" t="str">
        <f>IFNA(VLOOKUP($A209,Spells!$A$2:$I1002,MATCH(H$3,Spells!$A$1:$I$1,0),FALSE))</f>
        <v/>
      </c>
    </row>
    <row r="210">
      <c r="A210" s="16"/>
      <c r="B210" s="16" t="str">
        <f>IFNA(VLOOKUP($A210,Spells!$A$2:$I1002,MATCH(B$3,Spells!$A$1:$I$1,0),FALSE))</f>
        <v/>
      </c>
      <c r="C210" s="16" t="str">
        <f>IFNA(VLOOKUP($A210,Spells!$A$2:$I1002,MATCH(C$3,Spells!$A$1:$I$1,0),FALSE))</f>
        <v/>
      </c>
      <c r="D210" s="16" t="str">
        <f>IFNA(VLOOKUP($A210,Spells!$A$2:$I1002,MATCH(D$3,Spells!$A$1:$I$1,0),FALSE))</f>
        <v/>
      </c>
      <c r="E210" s="16" t="str">
        <f>IFNA(VLOOKUP($A210,Spells!$A$2:$I1002,MATCH(E$3,Spells!$A$1:$I$1,0),FALSE))</f>
        <v/>
      </c>
      <c r="F210" s="16" t="str">
        <f>IFNA(VLOOKUP($A210,Spells!$A$2:$I1002,MATCH(F$3,Spells!$A$1:$I$1,0),FALSE))</f>
        <v/>
      </c>
      <c r="G210" s="16" t="str">
        <f>IFNA(VLOOKUP($A210,Spells!$A$2:$I1002,MATCH(G$3,Spells!$A$1:$I$1,0),FALSE))</f>
        <v/>
      </c>
      <c r="H210" s="16" t="str">
        <f>IFNA(VLOOKUP($A210,Spells!$A$2:$I1002,MATCH(H$3,Spells!$A$1:$I$1,0),FALSE))</f>
        <v/>
      </c>
    </row>
    <row r="211">
      <c r="A211" s="16"/>
      <c r="B211" s="16" t="str">
        <f>IFNA(VLOOKUP($A211,Spells!$A$2:$I1002,MATCH(B$3,Spells!$A$1:$I$1,0),FALSE))</f>
        <v/>
      </c>
      <c r="C211" s="16" t="str">
        <f>IFNA(VLOOKUP($A211,Spells!$A$2:$I1002,MATCH(C$3,Spells!$A$1:$I$1,0),FALSE))</f>
        <v/>
      </c>
      <c r="D211" s="16" t="str">
        <f>IFNA(VLOOKUP($A211,Spells!$A$2:$I1002,MATCH(D$3,Spells!$A$1:$I$1,0),FALSE))</f>
        <v/>
      </c>
      <c r="E211" s="16" t="str">
        <f>IFNA(VLOOKUP($A211,Spells!$A$2:$I1002,MATCH(E$3,Spells!$A$1:$I$1,0),FALSE))</f>
        <v/>
      </c>
      <c r="F211" s="16" t="str">
        <f>IFNA(VLOOKUP($A211,Spells!$A$2:$I1002,MATCH(F$3,Spells!$A$1:$I$1,0),FALSE))</f>
        <v/>
      </c>
      <c r="G211" s="16" t="str">
        <f>IFNA(VLOOKUP($A211,Spells!$A$2:$I1002,MATCH(G$3,Spells!$A$1:$I$1,0),FALSE))</f>
        <v/>
      </c>
      <c r="H211" s="16" t="str">
        <f>IFNA(VLOOKUP($A211,Spells!$A$2:$I1002,MATCH(H$3,Spells!$A$1:$I$1,0),FALSE))</f>
        <v/>
      </c>
    </row>
    <row r="212">
      <c r="A212" s="16"/>
      <c r="B212" s="16" t="str">
        <f>IFNA(VLOOKUP($A212,Spells!$A$2:$I1002,MATCH(B$3,Spells!$A$1:$I$1,0),FALSE))</f>
        <v/>
      </c>
      <c r="C212" s="16" t="str">
        <f>IFNA(VLOOKUP($A212,Spells!$A$2:$I1002,MATCH(C$3,Spells!$A$1:$I$1,0),FALSE))</f>
        <v/>
      </c>
      <c r="D212" s="16" t="str">
        <f>IFNA(VLOOKUP($A212,Spells!$A$2:$I1002,MATCH(D$3,Spells!$A$1:$I$1,0),FALSE))</f>
        <v/>
      </c>
      <c r="E212" s="16" t="str">
        <f>IFNA(VLOOKUP($A212,Spells!$A$2:$I1002,MATCH(E$3,Spells!$A$1:$I$1,0),FALSE))</f>
        <v/>
      </c>
      <c r="F212" s="16" t="str">
        <f>IFNA(VLOOKUP($A212,Spells!$A$2:$I1002,MATCH(F$3,Spells!$A$1:$I$1,0),FALSE))</f>
        <v/>
      </c>
      <c r="G212" s="16" t="str">
        <f>IFNA(VLOOKUP($A212,Spells!$A$2:$I1002,MATCH(G$3,Spells!$A$1:$I$1,0),FALSE))</f>
        <v/>
      </c>
      <c r="H212" s="16" t="str">
        <f>IFNA(VLOOKUP($A212,Spells!$A$2:$I1002,MATCH(H$3,Spells!$A$1:$I$1,0),FALSE))</f>
        <v/>
      </c>
    </row>
    <row r="213">
      <c r="A213" s="16"/>
      <c r="B213" s="16" t="str">
        <f>IFNA(VLOOKUP($A213,Spells!$A$2:$I1002,MATCH(B$3,Spells!$A$1:$I$1,0),FALSE))</f>
        <v/>
      </c>
      <c r="C213" s="16" t="str">
        <f>IFNA(VLOOKUP($A213,Spells!$A$2:$I1002,MATCH(C$3,Spells!$A$1:$I$1,0),FALSE))</f>
        <v/>
      </c>
      <c r="D213" s="16" t="str">
        <f>IFNA(VLOOKUP($A213,Spells!$A$2:$I1002,MATCH(D$3,Spells!$A$1:$I$1,0),FALSE))</f>
        <v/>
      </c>
      <c r="E213" s="16" t="str">
        <f>IFNA(VLOOKUP($A213,Spells!$A$2:$I1002,MATCH(E$3,Spells!$A$1:$I$1,0),FALSE))</f>
        <v/>
      </c>
      <c r="F213" s="16" t="str">
        <f>IFNA(VLOOKUP($A213,Spells!$A$2:$I1002,MATCH(F$3,Spells!$A$1:$I$1,0),FALSE))</f>
        <v/>
      </c>
      <c r="G213" s="16" t="str">
        <f>IFNA(VLOOKUP($A213,Spells!$A$2:$I1002,MATCH(G$3,Spells!$A$1:$I$1,0),FALSE))</f>
        <v/>
      </c>
      <c r="H213" s="16" t="str">
        <f>IFNA(VLOOKUP($A213,Spells!$A$2:$I1002,MATCH(H$3,Spells!$A$1:$I$1,0),FALSE))</f>
        <v/>
      </c>
    </row>
    <row r="214">
      <c r="A214" s="16"/>
      <c r="B214" s="16" t="str">
        <f>IFNA(VLOOKUP($A214,Spells!$A$2:$I1002,MATCH(B$3,Spells!$A$1:$I$1,0),FALSE))</f>
        <v/>
      </c>
      <c r="C214" s="16" t="str">
        <f>IFNA(VLOOKUP($A214,Spells!$A$2:$I1002,MATCH(C$3,Spells!$A$1:$I$1,0),FALSE))</f>
        <v/>
      </c>
      <c r="D214" s="16" t="str">
        <f>IFNA(VLOOKUP($A214,Spells!$A$2:$I1002,MATCH(D$3,Spells!$A$1:$I$1,0),FALSE))</f>
        <v/>
      </c>
      <c r="E214" s="16" t="str">
        <f>IFNA(VLOOKUP($A214,Spells!$A$2:$I1002,MATCH(E$3,Spells!$A$1:$I$1,0),FALSE))</f>
        <v/>
      </c>
      <c r="F214" s="16" t="str">
        <f>IFNA(VLOOKUP($A214,Spells!$A$2:$I1002,MATCH(F$3,Spells!$A$1:$I$1,0),FALSE))</f>
        <v/>
      </c>
      <c r="G214" s="16" t="str">
        <f>IFNA(VLOOKUP($A214,Spells!$A$2:$I1002,MATCH(G$3,Spells!$A$1:$I$1,0),FALSE))</f>
        <v/>
      </c>
      <c r="H214" s="16" t="str">
        <f>IFNA(VLOOKUP($A214,Spells!$A$2:$I1002,MATCH(H$3,Spells!$A$1:$I$1,0),FALSE))</f>
        <v/>
      </c>
    </row>
    <row r="215">
      <c r="A215" s="16"/>
      <c r="B215" s="16" t="str">
        <f>IFNA(VLOOKUP($A215,Spells!$A$2:$I1002,MATCH(B$3,Spells!$A$1:$I$1,0),FALSE))</f>
        <v/>
      </c>
      <c r="C215" s="16" t="str">
        <f>IFNA(VLOOKUP($A215,Spells!$A$2:$I1002,MATCH(C$3,Spells!$A$1:$I$1,0),FALSE))</f>
        <v/>
      </c>
      <c r="D215" s="16" t="str">
        <f>IFNA(VLOOKUP($A215,Spells!$A$2:$I1002,MATCH(D$3,Spells!$A$1:$I$1,0),FALSE))</f>
        <v/>
      </c>
      <c r="E215" s="16" t="str">
        <f>IFNA(VLOOKUP($A215,Spells!$A$2:$I1002,MATCH(E$3,Spells!$A$1:$I$1,0),FALSE))</f>
        <v/>
      </c>
      <c r="F215" s="16" t="str">
        <f>IFNA(VLOOKUP($A215,Spells!$A$2:$I1002,MATCH(F$3,Spells!$A$1:$I$1,0),FALSE))</f>
        <v/>
      </c>
      <c r="G215" s="16" t="str">
        <f>IFNA(VLOOKUP($A215,Spells!$A$2:$I1002,MATCH(G$3,Spells!$A$1:$I$1,0),FALSE))</f>
        <v/>
      </c>
      <c r="H215" s="16" t="str">
        <f>IFNA(VLOOKUP($A215,Spells!$A$2:$I1002,MATCH(H$3,Spells!$A$1:$I$1,0),FALSE))</f>
        <v/>
      </c>
    </row>
    <row r="216">
      <c r="A216" s="16"/>
      <c r="B216" s="16" t="str">
        <f>IFNA(VLOOKUP($A216,Spells!$A$2:$I1002,MATCH(B$3,Spells!$A$1:$I$1,0),FALSE))</f>
        <v/>
      </c>
      <c r="C216" s="16" t="str">
        <f>IFNA(VLOOKUP($A216,Spells!$A$2:$I1002,MATCH(C$3,Spells!$A$1:$I$1,0),FALSE))</f>
        <v/>
      </c>
      <c r="D216" s="16" t="str">
        <f>IFNA(VLOOKUP($A216,Spells!$A$2:$I1002,MATCH(D$3,Spells!$A$1:$I$1,0),FALSE))</f>
        <v/>
      </c>
      <c r="E216" s="16" t="str">
        <f>IFNA(VLOOKUP($A216,Spells!$A$2:$I1002,MATCH(E$3,Spells!$A$1:$I$1,0),FALSE))</f>
        <v/>
      </c>
      <c r="F216" s="16" t="str">
        <f>IFNA(VLOOKUP($A216,Spells!$A$2:$I1002,MATCH(F$3,Spells!$A$1:$I$1,0),FALSE))</f>
        <v/>
      </c>
      <c r="G216" s="16" t="str">
        <f>IFNA(VLOOKUP($A216,Spells!$A$2:$I1002,MATCH(G$3,Spells!$A$1:$I$1,0),FALSE))</f>
        <v/>
      </c>
      <c r="H216" s="16" t="str">
        <f>IFNA(VLOOKUP($A216,Spells!$A$2:$I1002,MATCH(H$3,Spells!$A$1:$I$1,0),FALSE))</f>
        <v/>
      </c>
    </row>
    <row r="217">
      <c r="A217" s="16"/>
      <c r="B217" s="16" t="str">
        <f>IFNA(VLOOKUP($A217,Spells!$A$2:$I1002,MATCH(B$3,Spells!$A$1:$I$1,0),FALSE))</f>
        <v/>
      </c>
      <c r="C217" s="16" t="str">
        <f>IFNA(VLOOKUP($A217,Spells!$A$2:$I1002,MATCH(C$3,Spells!$A$1:$I$1,0),FALSE))</f>
        <v/>
      </c>
      <c r="D217" s="16" t="str">
        <f>IFNA(VLOOKUP($A217,Spells!$A$2:$I1002,MATCH(D$3,Spells!$A$1:$I$1,0),FALSE))</f>
        <v/>
      </c>
      <c r="E217" s="16" t="str">
        <f>IFNA(VLOOKUP($A217,Spells!$A$2:$I1002,MATCH(E$3,Spells!$A$1:$I$1,0),FALSE))</f>
        <v/>
      </c>
      <c r="F217" s="16" t="str">
        <f>IFNA(VLOOKUP($A217,Spells!$A$2:$I1002,MATCH(F$3,Spells!$A$1:$I$1,0),FALSE))</f>
        <v/>
      </c>
      <c r="G217" s="16" t="str">
        <f>IFNA(VLOOKUP($A217,Spells!$A$2:$I1002,MATCH(G$3,Spells!$A$1:$I$1,0),FALSE))</f>
        <v/>
      </c>
      <c r="H217" s="16" t="str">
        <f>IFNA(VLOOKUP($A217,Spells!$A$2:$I1002,MATCH(H$3,Spells!$A$1:$I$1,0),FALSE))</f>
        <v/>
      </c>
    </row>
    <row r="218">
      <c r="A218" s="16"/>
      <c r="B218" s="16" t="str">
        <f>IFNA(VLOOKUP($A218,Spells!$A$2:$I1002,MATCH(B$3,Spells!$A$1:$I$1,0),FALSE))</f>
        <v/>
      </c>
      <c r="C218" s="16" t="str">
        <f>IFNA(VLOOKUP($A218,Spells!$A$2:$I1002,MATCH(C$3,Spells!$A$1:$I$1,0),FALSE))</f>
        <v/>
      </c>
      <c r="D218" s="16" t="str">
        <f>IFNA(VLOOKUP($A218,Spells!$A$2:$I1002,MATCH(D$3,Spells!$A$1:$I$1,0),FALSE))</f>
        <v/>
      </c>
      <c r="E218" s="16" t="str">
        <f>IFNA(VLOOKUP($A218,Spells!$A$2:$I1002,MATCH(E$3,Spells!$A$1:$I$1,0),FALSE))</f>
        <v/>
      </c>
      <c r="F218" s="16" t="str">
        <f>IFNA(VLOOKUP($A218,Spells!$A$2:$I1002,MATCH(F$3,Spells!$A$1:$I$1,0),FALSE))</f>
        <v/>
      </c>
      <c r="G218" s="16" t="str">
        <f>IFNA(VLOOKUP($A218,Spells!$A$2:$I1002,MATCH(G$3,Spells!$A$1:$I$1,0),FALSE))</f>
        <v/>
      </c>
      <c r="H218" s="16" t="str">
        <f>IFNA(VLOOKUP($A218,Spells!$A$2:$I1002,MATCH(H$3,Spells!$A$1:$I$1,0),FALSE))</f>
        <v/>
      </c>
    </row>
    <row r="219">
      <c r="A219" s="16"/>
      <c r="B219" s="16" t="str">
        <f>IFNA(VLOOKUP($A219,Spells!$A$2:$I1002,MATCH(B$3,Spells!$A$1:$I$1,0),FALSE))</f>
        <v/>
      </c>
      <c r="C219" s="16" t="str">
        <f>IFNA(VLOOKUP($A219,Spells!$A$2:$I1002,MATCH(C$3,Spells!$A$1:$I$1,0),FALSE))</f>
        <v/>
      </c>
      <c r="D219" s="16" t="str">
        <f>IFNA(VLOOKUP($A219,Spells!$A$2:$I1002,MATCH(D$3,Spells!$A$1:$I$1,0),FALSE))</f>
        <v/>
      </c>
      <c r="E219" s="16" t="str">
        <f>IFNA(VLOOKUP($A219,Spells!$A$2:$I1002,MATCH(E$3,Spells!$A$1:$I$1,0),FALSE))</f>
        <v/>
      </c>
      <c r="F219" s="16" t="str">
        <f>IFNA(VLOOKUP($A219,Spells!$A$2:$I1002,MATCH(F$3,Spells!$A$1:$I$1,0),FALSE))</f>
        <v/>
      </c>
      <c r="G219" s="16" t="str">
        <f>IFNA(VLOOKUP($A219,Spells!$A$2:$I1002,MATCH(G$3,Spells!$A$1:$I$1,0),FALSE))</f>
        <v/>
      </c>
      <c r="H219" s="16" t="str">
        <f>IFNA(VLOOKUP($A219,Spells!$A$2:$I1002,MATCH(H$3,Spells!$A$1:$I$1,0),FALSE))</f>
        <v/>
      </c>
    </row>
    <row r="220">
      <c r="A220" s="16"/>
      <c r="B220" s="16" t="str">
        <f>IFNA(VLOOKUP($A220,Spells!$A$2:$I1002,MATCH(B$3,Spells!$A$1:$I$1,0),FALSE))</f>
        <v/>
      </c>
      <c r="C220" s="16" t="str">
        <f>IFNA(VLOOKUP($A220,Spells!$A$2:$I1002,MATCH(C$3,Spells!$A$1:$I$1,0),FALSE))</f>
        <v/>
      </c>
      <c r="D220" s="16" t="str">
        <f>IFNA(VLOOKUP($A220,Spells!$A$2:$I1002,MATCH(D$3,Spells!$A$1:$I$1,0),FALSE))</f>
        <v/>
      </c>
      <c r="E220" s="16" t="str">
        <f>IFNA(VLOOKUP($A220,Spells!$A$2:$I1002,MATCH(E$3,Spells!$A$1:$I$1,0),FALSE))</f>
        <v/>
      </c>
      <c r="F220" s="16" t="str">
        <f>IFNA(VLOOKUP($A220,Spells!$A$2:$I1002,MATCH(F$3,Spells!$A$1:$I$1,0),FALSE))</f>
        <v/>
      </c>
      <c r="G220" s="16" t="str">
        <f>IFNA(VLOOKUP($A220,Spells!$A$2:$I1002,MATCH(G$3,Spells!$A$1:$I$1,0),FALSE))</f>
        <v/>
      </c>
      <c r="H220" s="16" t="str">
        <f>IFNA(VLOOKUP($A220,Spells!$A$2:$I1002,MATCH(H$3,Spells!$A$1:$I$1,0),FALSE))</f>
        <v/>
      </c>
    </row>
    <row r="221">
      <c r="A221" s="16"/>
      <c r="B221" s="16" t="str">
        <f>IFNA(VLOOKUP($A221,Spells!$A$2:$I1002,MATCH(B$3,Spells!$A$1:$I$1,0),FALSE))</f>
        <v/>
      </c>
      <c r="C221" s="16" t="str">
        <f>IFNA(VLOOKUP($A221,Spells!$A$2:$I1002,MATCH(C$3,Spells!$A$1:$I$1,0),FALSE))</f>
        <v/>
      </c>
      <c r="D221" s="16" t="str">
        <f>IFNA(VLOOKUP($A221,Spells!$A$2:$I1002,MATCH(D$3,Spells!$A$1:$I$1,0),FALSE))</f>
        <v/>
      </c>
      <c r="E221" s="16" t="str">
        <f>IFNA(VLOOKUP($A221,Spells!$A$2:$I1002,MATCH(E$3,Spells!$A$1:$I$1,0),FALSE))</f>
        <v/>
      </c>
      <c r="F221" s="16" t="str">
        <f>IFNA(VLOOKUP($A221,Spells!$A$2:$I1002,MATCH(F$3,Spells!$A$1:$I$1,0),FALSE))</f>
        <v/>
      </c>
      <c r="G221" s="16" t="str">
        <f>IFNA(VLOOKUP($A221,Spells!$A$2:$I1002,MATCH(G$3,Spells!$A$1:$I$1,0),FALSE))</f>
        <v/>
      </c>
      <c r="H221" s="16" t="str">
        <f>IFNA(VLOOKUP($A221,Spells!$A$2:$I1002,MATCH(H$3,Spells!$A$1:$I$1,0),FALSE))</f>
        <v/>
      </c>
    </row>
    <row r="222">
      <c r="A222" s="16"/>
      <c r="B222" s="16" t="str">
        <f>IFNA(VLOOKUP($A222,Spells!$A$2:$I1002,MATCH(B$3,Spells!$A$1:$I$1,0),FALSE))</f>
        <v/>
      </c>
      <c r="C222" s="16" t="str">
        <f>IFNA(VLOOKUP($A222,Spells!$A$2:$I1002,MATCH(C$3,Spells!$A$1:$I$1,0),FALSE))</f>
        <v/>
      </c>
      <c r="D222" s="16" t="str">
        <f>IFNA(VLOOKUP($A222,Spells!$A$2:$I1002,MATCH(D$3,Spells!$A$1:$I$1,0),FALSE))</f>
        <v/>
      </c>
      <c r="E222" s="16" t="str">
        <f>IFNA(VLOOKUP($A222,Spells!$A$2:$I1002,MATCH(E$3,Spells!$A$1:$I$1,0),FALSE))</f>
        <v/>
      </c>
      <c r="F222" s="16" t="str">
        <f>IFNA(VLOOKUP($A222,Spells!$A$2:$I1002,MATCH(F$3,Spells!$A$1:$I$1,0),FALSE))</f>
        <v/>
      </c>
      <c r="G222" s="16" t="str">
        <f>IFNA(VLOOKUP($A222,Spells!$A$2:$I1002,MATCH(G$3,Spells!$A$1:$I$1,0),FALSE))</f>
        <v/>
      </c>
      <c r="H222" s="16" t="str">
        <f>IFNA(VLOOKUP($A222,Spells!$A$2:$I1002,MATCH(H$3,Spells!$A$1:$I$1,0),FALSE))</f>
        <v/>
      </c>
    </row>
    <row r="223">
      <c r="A223" s="16"/>
      <c r="B223" s="16" t="str">
        <f>IFNA(VLOOKUP($A223,Spells!$A$2:$I1002,MATCH(B$3,Spells!$A$1:$I$1,0),FALSE))</f>
        <v/>
      </c>
      <c r="C223" s="16" t="str">
        <f>IFNA(VLOOKUP($A223,Spells!$A$2:$I1002,MATCH(C$3,Spells!$A$1:$I$1,0),FALSE))</f>
        <v/>
      </c>
      <c r="D223" s="16" t="str">
        <f>IFNA(VLOOKUP($A223,Spells!$A$2:$I1002,MATCH(D$3,Spells!$A$1:$I$1,0),FALSE))</f>
        <v/>
      </c>
      <c r="E223" s="16" t="str">
        <f>IFNA(VLOOKUP($A223,Spells!$A$2:$I1002,MATCH(E$3,Spells!$A$1:$I$1,0),FALSE))</f>
        <v/>
      </c>
      <c r="F223" s="16" t="str">
        <f>IFNA(VLOOKUP($A223,Spells!$A$2:$I1002,MATCH(F$3,Spells!$A$1:$I$1,0),FALSE))</f>
        <v/>
      </c>
      <c r="G223" s="16" t="str">
        <f>IFNA(VLOOKUP($A223,Spells!$A$2:$I1002,MATCH(G$3,Spells!$A$1:$I$1,0),FALSE))</f>
        <v/>
      </c>
      <c r="H223" s="16" t="str">
        <f>IFNA(VLOOKUP($A223,Spells!$A$2:$I1002,MATCH(H$3,Spells!$A$1:$I$1,0),FALSE))</f>
        <v/>
      </c>
    </row>
    <row r="224">
      <c r="A224" s="16"/>
      <c r="B224" s="16" t="str">
        <f>IFNA(VLOOKUP($A224,Spells!$A$2:$I1002,MATCH(B$3,Spells!$A$1:$I$1,0),FALSE))</f>
        <v/>
      </c>
      <c r="C224" s="16" t="str">
        <f>IFNA(VLOOKUP($A224,Spells!$A$2:$I1002,MATCH(C$3,Spells!$A$1:$I$1,0),FALSE))</f>
        <v/>
      </c>
      <c r="D224" s="16" t="str">
        <f>IFNA(VLOOKUP($A224,Spells!$A$2:$I1002,MATCH(D$3,Spells!$A$1:$I$1,0),FALSE))</f>
        <v/>
      </c>
      <c r="E224" s="16" t="str">
        <f>IFNA(VLOOKUP($A224,Spells!$A$2:$I1002,MATCH(E$3,Spells!$A$1:$I$1,0),FALSE))</f>
        <v/>
      </c>
      <c r="F224" s="16" t="str">
        <f>IFNA(VLOOKUP($A224,Spells!$A$2:$I1002,MATCH(F$3,Spells!$A$1:$I$1,0),FALSE))</f>
        <v/>
      </c>
      <c r="G224" s="16" t="str">
        <f>IFNA(VLOOKUP($A224,Spells!$A$2:$I1002,MATCH(G$3,Spells!$A$1:$I$1,0),FALSE))</f>
        <v/>
      </c>
      <c r="H224" s="16" t="str">
        <f>IFNA(VLOOKUP($A224,Spells!$A$2:$I1002,MATCH(H$3,Spells!$A$1:$I$1,0),FALSE))</f>
        <v/>
      </c>
    </row>
    <row r="225">
      <c r="A225" s="16"/>
      <c r="B225" s="16" t="str">
        <f>IFNA(VLOOKUP($A225,Spells!$A$2:$I1002,MATCH(B$3,Spells!$A$1:$I$1,0),FALSE))</f>
        <v/>
      </c>
      <c r="C225" s="16" t="str">
        <f>IFNA(VLOOKUP($A225,Spells!$A$2:$I1002,MATCH(C$3,Spells!$A$1:$I$1,0),FALSE))</f>
        <v/>
      </c>
      <c r="D225" s="16" t="str">
        <f>IFNA(VLOOKUP($A225,Spells!$A$2:$I1002,MATCH(D$3,Spells!$A$1:$I$1,0),FALSE))</f>
        <v/>
      </c>
      <c r="E225" s="16" t="str">
        <f>IFNA(VLOOKUP($A225,Spells!$A$2:$I1002,MATCH(E$3,Spells!$A$1:$I$1,0),FALSE))</f>
        <v/>
      </c>
      <c r="F225" s="16" t="str">
        <f>IFNA(VLOOKUP($A225,Spells!$A$2:$I1002,MATCH(F$3,Spells!$A$1:$I$1,0),FALSE))</f>
        <v/>
      </c>
      <c r="G225" s="16" t="str">
        <f>IFNA(VLOOKUP($A225,Spells!$A$2:$I1002,MATCH(G$3,Spells!$A$1:$I$1,0),FALSE))</f>
        <v/>
      </c>
      <c r="H225" s="16" t="str">
        <f>IFNA(VLOOKUP($A225,Spells!$A$2:$I1002,MATCH(H$3,Spells!$A$1:$I$1,0),FALSE))</f>
        <v/>
      </c>
    </row>
    <row r="226">
      <c r="A226" s="16"/>
      <c r="B226" s="16" t="str">
        <f>IFNA(VLOOKUP($A226,Spells!$A$2:$I1002,MATCH(B$3,Spells!$A$1:$I$1,0),FALSE))</f>
        <v/>
      </c>
      <c r="C226" s="16" t="str">
        <f>IFNA(VLOOKUP($A226,Spells!$A$2:$I1002,MATCH(C$3,Spells!$A$1:$I$1,0),FALSE))</f>
        <v/>
      </c>
      <c r="D226" s="16" t="str">
        <f>IFNA(VLOOKUP($A226,Spells!$A$2:$I1002,MATCH(D$3,Spells!$A$1:$I$1,0),FALSE))</f>
        <v/>
      </c>
      <c r="E226" s="16" t="str">
        <f>IFNA(VLOOKUP($A226,Spells!$A$2:$I1002,MATCH(E$3,Spells!$A$1:$I$1,0),FALSE))</f>
        <v/>
      </c>
      <c r="F226" s="16" t="str">
        <f>IFNA(VLOOKUP($A226,Spells!$A$2:$I1002,MATCH(F$3,Spells!$A$1:$I$1,0),FALSE))</f>
        <v/>
      </c>
      <c r="G226" s="16" t="str">
        <f>IFNA(VLOOKUP($A226,Spells!$A$2:$I1002,MATCH(G$3,Spells!$A$1:$I$1,0),FALSE))</f>
        <v/>
      </c>
      <c r="H226" s="16" t="str">
        <f>IFNA(VLOOKUP($A226,Spells!$A$2:$I1002,MATCH(H$3,Spells!$A$1:$I$1,0),FALSE))</f>
        <v/>
      </c>
    </row>
    <row r="227">
      <c r="A227" s="16"/>
      <c r="B227" s="16" t="str">
        <f>IFNA(VLOOKUP($A227,Spells!$A$2:$I1002,MATCH(B$3,Spells!$A$1:$I$1,0),FALSE))</f>
        <v/>
      </c>
      <c r="C227" s="16" t="str">
        <f>IFNA(VLOOKUP($A227,Spells!$A$2:$I1002,MATCH(C$3,Spells!$A$1:$I$1,0),FALSE))</f>
        <v/>
      </c>
      <c r="D227" s="16" t="str">
        <f>IFNA(VLOOKUP($A227,Spells!$A$2:$I1002,MATCH(D$3,Spells!$A$1:$I$1,0),FALSE))</f>
        <v/>
      </c>
      <c r="E227" s="16" t="str">
        <f>IFNA(VLOOKUP($A227,Spells!$A$2:$I1002,MATCH(E$3,Spells!$A$1:$I$1,0),FALSE))</f>
        <v/>
      </c>
      <c r="F227" s="16" t="str">
        <f>IFNA(VLOOKUP($A227,Spells!$A$2:$I1002,MATCH(F$3,Spells!$A$1:$I$1,0),FALSE))</f>
        <v/>
      </c>
      <c r="G227" s="16" t="str">
        <f>IFNA(VLOOKUP($A227,Spells!$A$2:$I1002,MATCH(G$3,Spells!$A$1:$I$1,0),FALSE))</f>
        <v/>
      </c>
      <c r="H227" s="16" t="str">
        <f>IFNA(VLOOKUP($A227,Spells!$A$2:$I1002,MATCH(H$3,Spells!$A$1:$I$1,0),FALSE))</f>
        <v/>
      </c>
    </row>
    <row r="228">
      <c r="A228" s="16"/>
      <c r="B228" s="16" t="str">
        <f>IFNA(VLOOKUP($A228,Spells!$A$2:$I1002,MATCH(B$3,Spells!$A$1:$I$1,0),FALSE))</f>
        <v/>
      </c>
      <c r="C228" s="16" t="str">
        <f>IFNA(VLOOKUP($A228,Spells!$A$2:$I1002,MATCH(C$3,Spells!$A$1:$I$1,0),FALSE))</f>
        <v/>
      </c>
      <c r="D228" s="16" t="str">
        <f>IFNA(VLOOKUP($A228,Spells!$A$2:$I1002,MATCH(D$3,Spells!$A$1:$I$1,0),FALSE))</f>
        <v/>
      </c>
      <c r="E228" s="16" t="str">
        <f>IFNA(VLOOKUP($A228,Spells!$A$2:$I1002,MATCH(E$3,Spells!$A$1:$I$1,0),FALSE))</f>
        <v/>
      </c>
      <c r="F228" s="16" t="str">
        <f>IFNA(VLOOKUP($A228,Spells!$A$2:$I1002,MATCH(F$3,Spells!$A$1:$I$1,0),FALSE))</f>
        <v/>
      </c>
      <c r="G228" s="16" t="str">
        <f>IFNA(VLOOKUP($A228,Spells!$A$2:$I1002,MATCH(G$3,Spells!$A$1:$I$1,0),FALSE))</f>
        <v/>
      </c>
      <c r="H228" s="16" t="str">
        <f>IFNA(VLOOKUP($A228,Spells!$A$2:$I1002,MATCH(H$3,Spells!$A$1:$I$1,0),FALSE))</f>
        <v/>
      </c>
    </row>
    <row r="229">
      <c r="A229" s="16"/>
      <c r="B229" s="16" t="str">
        <f>IFNA(VLOOKUP($A229,Spells!$A$2:$I1002,MATCH(B$3,Spells!$A$1:$I$1,0),FALSE))</f>
        <v/>
      </c>
      <c r="C229" s="16" t="str">
        <f>IFNA(VLOOKUP($A229,Spells!$A$2:$I1002,MATCH(C$3,Spells!$A$1:$I$1,0),FALSE))</f>
        <v/>
      </c>
      <c r="D229" s="16" t="str">
        <f>IFNA(VLOOKUP($A229,Spells!$A$2:$I1002,MATCH(D$3,Spells!$A$1:$I$1,0),FALSE))</f>
        <v/>
      </c>
      <c r="E229" s="16" t="str">
        <f>IFNA(VLOOKUP($A229,Spells!$A$2:$I1002,MATCH(E$3,Spells!$A$1:$I$1,0),FALSE))</f>
        <v/>
      </c>
      <c r="F229" s="16" t="str">
        <f>IFNA(VLOOKUP($A229,Spells!$A$2:$I1002,MATCH(F$3,Spells!$A$1:$I$1,0),FALSE))</f>
        <v/>
      </c>
      <c r="G229" s="16" t="str">
        <f>IFNA(VLOOKUP($A229,Spells!$A$2:$I1002,MATCH(G$3,Spells!$A$1:$I$1,0),FALSE))</f>
        <v/>
      </c>
      <c r="H229" s="16" t="str">
        <f>IFNA(VLOOKUP($A229,Spells!$A$2:$I1002,MATCH(H$3,Spells!$A$1:$I$1,0),FALSE))</f>
        <v/>
      </c>
    </row>
    <row r="230">
      <c r="A230" s="16"/>
      <c r="B230" s="16" t="str">
        <f>IFNA(VLOOKUP($A230,Spells!$A$2:$I1002,MATCH(B$3,Spells!$A$1:$I$1,0),FALSE))</f>
        <v/>
      </c>
      <c r="C230" s="16" t="str">
        <f>IFNA(VLOOKUP($A230,Spells!$A$2:$I1002,MATCH(C$3,Spells!$A$1:$I$1,0),FALSE))</f>
        <v/>
      </c>
      <c r="D230" s="16" t="str">
        <f>IFNA(VLOOKUP($A230,Spells!$A$2:$I1002,MATCH(D$3,Spells!$A$1:$I$1,0),FALSE))</f>
        <v/>
      </c>
      <c r="E230" s="16" t="str">
        <f>IFNA(VLOOKUP($A230,Spells!$A$2:$I1002,MATCH(E$3,Spells!$A$1:$I$1,0),FALSE))</f>
        <v/>
      </c>
      <c r="F230" s="16" t="str">
        <f>IFNA(VLOOKUP($A230,Spells!$A$2:$I1002,MATCH(F$3,Spells!$A$1:$I$1,0),FALSE))</f>
        <v/>
      </c>
      <c r="G230" s="16" t="str">
        <f>IFNA(VLOOKUP($A230,Spells!$A$2:$I1002,MATCH(G$3,Spells!$A$1:$I$1,0),FALSE))</f>
        <v/>
      </c>
      <c r="H230" s="16" t="str">
        <f>IFNA(VLOOKUP($A230,Spells!$A$2:$I1002,MATCH(H$3,Spells!$A$1:$I$1,0),FALSE))</f>
        <v/>
      </c>
    </row>
    <row r="231">
      <c r="A231" s="16"/>
      <c r="B231" s="16" t="str">
        <f>IFNA(VLOOKUP($A231,Spells!$A$2:$I1002,MATCH(B$3,Spells!$A$1:$I$1,0),FALSE))</f>
        <v/>
      </c>
      <c r="C231" s="16" t="str">
        <f>IFNA(VLOOKUP($A231,Spells!$A$2:$I1002,MATCH(C$3,Spells!$A$1:$I$1,0),FALSE))</f>
        <v/>
      </c>
      <c r="D231" s="16" t="str">
        <f>IFNA(VLOOKUP($A231,Spells!$A$2:$I1002,MATCH(D$3,Spells!$A$1:$I$1,0),FALSE))</f>
        <v/>
      </c>
      <c r="E231" s="16" t="str">
        <f>IFNA(VLOOKUP($A231,Spells!$A$2:$I1002,MATCH(E$3,Spells!$A$1:$I$1,0),FALSE))</f>
        <v/>
      </c>
      <c r="F231" s="16" t="str">
        <f>IFNA(VLOOKUP($A231,Spells!$A$2:$I1002,MATCH(F$3,Spells!$A$1:$I$1,0),FALSE))</f>
        <v/>
      </c>
      <c r="G231" s="16" t="str">
        <f>IFNA(VLOOKUP($A231,Spells!$A$2:$I1002,MATCH(G$3,Spells!$A$1:$I$1,0),FALSE))</f>
        <v/>
      </c>
      <c r="H231" s="16" t="str">
        <f>IFNA(VLOOKUP($A231,Spells!$A$2:$I1002,MATCH(H$3,Spells!$A$1:$I$1,0),FALSE))</f>
        <v/>
      </c>
    </row>
    <row r="232">
      <c r="A232" s="16"/>
      <c r="B232" s="16" t="str">
        <f>IFNA(VLOOKUP($A232,Spells!$A$2:$I1002,MATCH(B$3,Spells!$A$1:$I$1,0),FALSE))</f>
        <v/>
      </c>
      <c r="C232" s="16" t="str">
        <f>IFNA(VLOOKUP($A232,Spells!$A$2:$I1002,MATCH(C$3,Spells!$A$1:$I$1,0),FALSE))</f>
        <v/>
      </c>
      <c r="D232" s="16" t="str">
        <f>IFNA(VLOOKUP($A232,Spells!$A$2:$I1002,MATCH(D$3,Spells!$A$1:$I$1,0),FALSE))</f>
        <v/>
      </c>
      <c r="E232" s="16" t="str">
        <f>IFNA(VLOOKUP($A232,Spells!$A$2:$I1002,MATCH(E$3,Spells!$A$1:$I$1,0),FALSE))</f>
        <v/>
      </c>
      <c r="F232" s="16" t="str">
        <f>IFNA(VLOOKUP($A232,Spells!$A$2:$I1002,MATCH(F$3,Spells!$A$1:$I$1,0),FALSE))</f>
        <v/>
      </c>
      <c r="G232" s="16" t="str">
        <f>IFNA(VLOOKUP($A232,Spells!$A$2:$I1002,MATCH(G$3,Spells!$A$1:$I$1,0),FALSE))</f>
        <v/>
      </c>
      <c r="H232" s="16" t="str">
        <f>IFNA(VLOOKUP($A232,Spells!$A$2:$I1002,MATCH(H$3,Spells!$A$1:$I$1,0),FALSE))</f>
        <v/>
      </c>
    </row>
    <row r="233">
      <c r="A233" s="16"/>
      <c r="B233" s="16" t="str">
        <f>IFNA(VLOOKUP($A233,Spells!$A$2:$I1002,MATCH(B$3,Spells!$A$1:$I$1,0),FALSE))</f>
        <v/>
      </c>
      <c r="C233" s="16" t="str">
        <f>IFNA(VLOOKUP($A233,Spells!$A$2:$I1002,MATCH(C$3,Spells!$A$1:$I$1,0),FALSE))</f>
        <v/>
      </c>
      <c r="D233" s="16" t="str">
        <f>IFNA(VLOOKUP($A233,Spells!$A$2:$I1002,MATCH(D$3,Spells!$A$1:$I$1,0),FALSE))</f>
        <v/>
      </c>
      <c r="E233" s="16" t="str">
        <f>IFNA(VLOOKUP($A233,Spells!$A$2:$I1002,MATCH(E$3,Spells!$A$1:$I$1,0),FALSE))</f>
        <v/>
      </c>
      <c r="F233" s="16" t="str">
        <f>IFNA(VLOOKUP($A233,Spells!$A$2:$I1002,MATCH(F$3,Spells!$A$1:$I$1,0),FALSE))</f>
        <v/>
      </c>
      <c r="G233" s="16" t="str">
        <f>IFNA(VLOOKUP($A233,Spells!$A$2:$I1002,MATCH(G$3,Spells!$A$1:$I$1,0),FALSE))</f>
        <v/>
      </c>
      <c r="H233" s="16" t="str">
        <f>IFNA(VLOOKUP($A233,Spells!$A$2:$I1002,MATCH(H$3,Spells!$A$1:$I$1,0),FALSE))</f>
        <v/>
      </c>
    </row>
    <row r="234">
      <c r="A234" s="16"/>
      <c r="B234" s="16" t="str">
        <f>IFNA(VLOOKUP($A234,Spells!$A$2:$I1002,MATCH(B$3,Spells!$A$1:$I$1,0),FALSE))</f>
        <v/>
      </c>
      <c r="C234" s="16" t="str">
        <f>IFNA(VLOOKUP($A234,Spells!$A$2:$I1002,MATCH(C$3,Spells!$A$1:$I$1,0),FALSE))</f>
        <v/>
      </c>
      <c r="D234" s="16" t="str">
        <f>IFNA(VLOOKUP($A234,Spells!$A$2:$I1002,MATCH(D$3,Spells!$A$1:$I$1,0),FALSE))</f>
        <v/>
      </c>
      <c r="E234" s="16" t="str">
        <f>IFNA(VLOOKUP($A234,Spells!$A$2:$I1002,MATCH(E$3,Spells!$A$1:$I$1,0),FALSE))</f>
        <v/>
      </c>
      <c r="F234" s="16" t="str">
        <f>IFNA(VLOOKUP($A234,Spells!$A$2:$I1002,MATCH(F$3,Spells!$A$1:$I$1,0),FALSE))</f>
        <v/>
      </c>
      <c r="G234" s="16" t="str">
        <f>IFNA(VLOOKUP($A234,Spells!$A$2:$I1002,MATCH(G$3,Spells!$A$1:$I$1,0),FALSE))</f>
        <v/>
      </c>
      <c r="H234" s="16" t="str">
        <f>IFNA(VLOOKUP($A234,Spells!$A$2:$I1002,MATCH(H$3,Spells!$A$1:$I$1,0),FALSE))</f>
        <v/>
      </c>
    </row>
    <row r="235">
      <c r="A235" s="16"/>
      <c r="B235" s="16" t="str">
        <f>IFNA(VLOOKUP($A235,Spells!$A$2:$I1002,MATCH(B$3,Spells!$A$1:$I$1,0),FALSE))</f>
        <v/>
      </c>
      <c r="C235" s="16" t="str">
        <f>IFNA(VLOOKUP($A235,Spells!$A$2:$I1002,MATCH(C$3,Spells!$A$1:$I$1,0),FALSE))</f>
        <v/>
      </c>
      <c r="D235" s="16" t="str">
        <f>IFNA(VLOOKUP($A235,Spells!$A$2:$I1002,MATCH(D$3,Spells!$A$1:$I$1,0),FALSE))</f>
        <v/>
      </c>
      <c r="E235" s="16" t="str">
        <f>IFNA(VLOOKUP($A235,Spells!$A$2:$I1002,MATCH(E$3,Spells!$A$1:$I$1,0),FALSE))</f>
        <v/>
      </c>
      <c r="F235" s="16" t="str">
        <f>IFNA(VLOOKUP($A235,Spells!$A$2:$I1002,MATCH(F$3,Spells!$A$1:$I$1,0),FALSE))</f>
        <v/>
      </c>
      <c r="G235" s="16" t="str">
        <f>IFNA(VLOOKUP($A235,Spells!$A$2:$I1002,MATCH(G$3,Spells!$A$1:$I$1,0),FALSE))</f>
        <v/>
      </c>
      <c r="H235" s="16" t="str">
        <f>IFNA(VLOOKUP($A235,Spells!$A$2:$I1002,MATCH(H$3,Spells!$A$1:$I$1,0),FALSE))</f>
        <v/>
      </c>
    </row>
    <row r="236">
      <c r="A236" s="16"/>
      <c r="B236" s="16" t="str">
        <f>IFNA(VLOOKUP($A236,Spells!$A$2:$I1002,MATCH(B$3,Spells!$A$1:$I$1,0),FALSE))</f>
        <v/>
      </c>
      <c r="C236" s="16" t="str">
        <f>IFNA(VLOOKUP($A236,Spells!$A$2:$I1002,MATCH(C$3,Spells!$A$1:$I$1,0),FALSE))</f>
        <v/>
      </c>
      <c r="D236" s="16" t="str">
        <f>IFNA(VLOOKUP($A236,Spells!$A$2:$I1002,MATCH(D$3,Spells!$A$1:$I$1,0),FALSE))</f>
        <v/>
      </c>
      <c r="E236" s="16" t="str">
        <f>IFNA(VLOOKUP($A236,Spells!$A$2:$I1002,MATCH(E$3,Spells!$A$1:$I$1,0),FALSE))</f>
        <v/>
      </c>
      <c r="F236" s="16" t="str">
        <f>IFNA(VLOOKUP($A236,Spells!$A$2:$I1002,MATCH(F$3,Spells!$A$1:$I$1,0),FALSE))</f>
        <v/>
      </c>
      <c r="G236" s="16" t="str">
        <f>IFNA(VLOOKUP($A236,Spells!$A$2:$I1002,MATCH(G$3,Spells!$A$1:$I$1,0),FALSE))</f>
        <v/>
      </c>
      <c r="H236" s="16" t="str">
        <f>IFNA(VLOOKUP($A236,Spells!$A$2:$I1002,MATCH(H$3,Spells!$A$1:$I$1,0),FALSE))</f>
        <v/>
      </c>
    </row>
    <row r="237">
      <c r="A237" s="16"/>
      <c r="B237" s="16" t="str">
        <f>IFNA(VLOOKUP($A237,Spells!$A$2:$I1002,MATCH(B$3,Spells!$A$1:$I$1,0),FALSE))</f>
        <v/>
      </c>
      <c r="C237" s="16" t="str">
        <f>IFNA(VLOOKUP($A237,Spells!$A$2:$I1002,MATCH(C$3,Spells!$A$1:$I$1,0),FALSE))</f>
        <v/>
      </c>
      <c r="D237" s="16" t="str">
        <f>IFNA(VLOOKUP($A237,Spells!$A$2:$I1002,MATCH(D$3,Spells!$A$1:$I$1,0),FALSE))</f>
        <v/>
      </c>
      <c r="E237" s="16" t="str">
        <f>IFNA(VLOOKUP($A237,Spells!$A$2:$I1002,MATCH(E$3,Spells!$A$1:$I$1,0),FALSE))</f>
        <v/>
      </c>
      <c r="F237" s="16" t="str">
        <f>IFNA(VLOOKUP($A237,Spells!$A$2:$I1002,MATCH(F$3,Spells!$A$1:$I$1,0),FALSE))</f>
        <v/>
      </c>
      <c r="G237" s="16" t="str">
        <f>IFNA(VLOOKUP($A237,Spells!$A$2:$I1002,MATCH(G$3,Spells!$A$1:$I$1,0),FALSE))</f>
        <v/>
      </c>
      <c r="H237" s="16" t="str">
        <f>IFNA(VLOOKUP($A237,Spells!$A$2:$I1002,MATCH(H$3,Spells!$A$1:$I$1,0),FALSE))</f>
        <v/>
      </c>
    </row>
    <row r="238">
      <c r="A238" s="16"/>
      <c r="B238" s="16" t="str">
        <f>IFNA(VLOOKUP($A238,Spells!$A$2:$I1002,MATCH(B$3,Spells!$A$1:$I$1,0),FALSE))</f>
        <v/>
      </c>
      <c r="C238" s="16" t="str">
        <f>IFNA(VLOOKUP($A238,Spells!$A$2:$I1002,MATCH(C$3,Spells!$A$1:$I$1,0),FALSE))</f>
        <v/>
      </c>
      <c r="D238" s="16" t="str">
        <f>IFNA(VLOOKUP($A238,Spells!$A$2:$I1002,MATCH(D$3,Spells!$A$1:$I$1,0),FALSE))</f>
        <v/>
      </c>
      <c r="E238" s="16" t="str">
        <f>IFNA(VLOOKUP($A238,Spells!$A$2:$I1002,MATCH(E$3,Spells!$A$1:$I$1,0),FALSE))</f>
        <v/>
      </c>
      <c r="F238" s="16" t="str">
        <f>IFNA(VLOOKUP($A238,Spells!$A$2:$I1002,MATCH(F$3,Spells!$A$1:$I$1,0),FALSE))</f>
        <v/>
      </c>
      <c r="G238" s="16" t="str">
        <f>IFNA(VLOOKUP($A238,Spells!$A$2:$I1002,MATCH(G$3,Spells!$A$1:$I$1,0),FALSE))</f>
        <v/>
      </c>
      <c r="H238" s="16" t="str">
        <f>IFNA(VLOOKUP($A238,Spells!$A$2:$I1002,MATCH(H$3,Spells!$A$1:$I$1,0),FALSE))</f>
        <v/>
      </c>
    </row>
    <row r="239">
      <c r="A239" s="16"/>
      <c r="B239" s="16" t="str">
        <f>IFNA(VLOOKUP($A239,Spells!$A$2:$I1002,MATCH(B$3,Spells!$A$1:$I$1,0),FALSE))</f>
        <v/>
      </c>
      <c r="C239" s="16" t="str">
        <f>IFNA(VLOOKUP($A239,Spells!$A$2:$I1002,MATCH(C$3,Spells!$A$1:$I$1,0),FALSE))</f>
        <v/>
      </c>
      <c r="D239" s="16" t="str">
        <f>IFNA(VLOOKUP($A239,Spells!$A$2:$I1002,MATCH(D$3,Spells!$A$1:$I$1,0),FALSE))</f>
        <v/>
      </c>
      <c r="E239" s="16" t="str">
        <f>IFNA(VLOOKUP($A239,Spells!$A$2:$I1002,MATCH(E$3,Spells!$A$1:$I$1,0),FALSE))</f>
        <v/>
      </c>
      <c r="F239" s="16" t="str">
        <f>IFNA(VLOOKUP($A239,Spells!$A$2:$I1002,MATCH(F$3,Spells!$A$1:$I$1,0),FALSE))</f>
        <v/>
      </c>
      <c r="G239" s="16" t="str">
        <f>IFNA(VLOOKUP($A239,Spells!$A$2:$I1002,MATCH(G$3,Spells!$A$1:$I$1,0),FALSE))</f>
        <v/>
      </c>
      <c r="H239" s="16" t="str">
        <f>IFNA(VLOOKUP($A239,Spells!$A$2:$I1002,MATCH(H$3,Spells!$A$1:$I$1,0),FALSE))</f>
        <v/>
      </c>
    </row>
    <row r="240">
      <c r="A240" s="16"/>
      <c r="B240" s="16" t="str">
        <f>IFNA(VLOOKUP($A240,Spells!$A$2:$I1002,MATCH(B$3,Spells!$A$1:$I$1,0),FALSE))</f>
        <v/>
      </c>
      <c r="C240" s="16" t="str">
        <f>IFNA(VLOOKUP($A240,Spells!$A$2:$I1002,MATCH(C$3,Spells!$A$1:$I$1,0),FALSE))</f>
        <v/>
      </c>
      <c r="D240" s="16" t="str">
        <f>IFNA(VLOOKUP($A240,Spells!$A$2:$I1002,MATCH(D$3,Spells!$A$1:$I$1,0),FALSE))</f>
        <v/>
      </c>
      <c r="E240" s="16" t="str">
        <f>IFNA(VLOOKUP($A240,Spells!$A$2:$I1002,MATCH(E$3,Spells!$A$1:$I$1,0),FALSE))</f>
        <v/>
      </c>
      <c r="F240" s="16" t="str">
        <f>IFNA(VLOOKUP($A240,Spells!$A$2:$I1002,MATCH(F$3,Spells!$A$1:$I$1,0),FALSE))</f>
        <v/>
      </c>
      <c r="G240" s="16" t="str">
        <f>IFNA(VLOOKUP($A240,Spells!$A$2:$I1002,MATCH(G$3,Spells!$A$1:$I$1,0),FALSE))</f>
        <v/>
      </c>
      <c r="H240" s="16" t="str">
        <f>IFNA(VLOOKUP($A240,Spells!$A$2:$I1002,MATCH(H$3,Spells!$A$1:$I$1,0),FALSE))</f>
        <v/>
      </c>
    </row>
    <row r="241">
      <c r="A241" s="16"/>
      <c r="B241" s="16" t="str">
        <f>IFNA(VLOOKUP($A241,Spells!$A$2:$I1002,MATCH(B$3,Spells!$A$1:$I$1,0),FALSE))</f>
        <v/>
      </c>
      <c r="C241" s="16" t="str">
        <f>IFNA(VLOOKUP($A241,Spells!$A$2:$I1002,MATCH(C$3,Spells!$A$1:$I$1,0),FALSE))</f>
        <v/>
      </c>
      <c r="D241" s="16" t="str">
        <f>IFNA(VLOOKUP($A241,Spells!$A$2:$I1002,MATCH(D$3,Spells!$A$1:$I$1,0),FALSE))</f>
        <v/>
      </c>
      <c r="E241" s="16" t="str">
        <f>IFNA(VLOOKUP($A241,Spells!$A$2:$I1002,MATCH(E$3,Spells!$A$1:$I$1,0),FALSE))</f>
        <v/>
      </c>
      <c r="F241" s="16" t="str">
        <f>IFNA(VLOOKUP($A241,Spells!$A$2:$I1002,MATCH(F$3,Spells!$A$1:$I$1,0),FALSE))</f>
        <v/>
      </c>
      <c r="G241" s="16" t="str">
        <f>IFNA(VLOOKUP($A241,Spells!$A$2:$I1002,MATCH(G$3,Spells!$A$1:$I$1,0),FALSE))</f>
        <v/>
      </c>
      <c r="H241" s="16" t="str">
        <f>IFNA(VLOOKUP($A241,Spells!$A$2:$I1002,MATCH(H$3,Spells!$A$1:$I$1,0),FALSE))</f>
        <v/>
      </c>
    </row>
    <row r="242">
      <c r="A242" s="16"/>
      <c r="B242" s="16" t="str">
        <f>IFNA(VLOOKUP($A242,Spells!$A$2:$I1002,MATCH(B$3,Spells!$A$1:$I$1,0),FALSE))</f>
        <v/>
      </c>
      <c r="C242" s="16" t="str">
        <f>IFNA(VLOOKUP($A242,Spells!$A$2:$I1002,MATCH(C$3,Spells!$A$1:$I$1,0),FALSE))</f>
        <v/>
      </c>
      <c r="D242" s="16" t="str">
        <f>IFNA(VLOOKUP($A242,Spells!$A$2:$I1002,MATCH(D$3,Spells!$A$1:$I$1,0),FALSE))</f>
        <v/>
      </c>
      <c r="E242" s="16" t="str">
        <f>IFNA(VLOOKUP($A242,Spells!$A$2:$I1002,MATCH(E$3,Spells!$A$1:$I$1,0),FALSE))</f>
        <v/>
      </c>
      <c r="F242" s="16" t="str">
        <f>IFNA(VLOOKUP($A242,Spells!$A$2:$I1002,MATCH(F$3,Spells!$A$1:$I$1,0),FALSE))</f>
        <v/>
      </c>
      <c r="G242" s="16" t="str">
        <f>IFNA(VLOOKUP($A242,Spells!$A$2:$I1002,MATCH(G$3,Spells!$A$1:$I$1,0),FALSE))</f>
        <v/>
      </c>
      <c r="H242" s="16" t="str">
        <f>IFNA(VLOOKUP($A242,Spells!$A$2:$I1002,MATCH(H$3,Spells!$A$1:$I$1,0),FALSE))</f>
        <v/>
      </c>
    </row>
    <row r="243">
      <c r="A243" s="16"/>
      <c r="B243" s="16" t="str">
        <f>IFNA(VLOOKUP($A243,Spells!$A$2:$I1002,MATCH(B$3,Spells!$A$1:$I$1,0),FALSE))</f>
        <v/>
      </c>
      <c r="C243" s="16" t="str">
        <f>IFNA(VLOOKUP($A243,Spells!$A$2:$I1002,MATCH(C$3,Spells!$A$1:$I$1,0),FALSE))</f>
        <v/>
      </c>
      <c r="D243" s="16" t="str">
        <f>IFNA(VLOOKUP($A243,Spells!$A$2:$I1002,MATCH(D$3,Spells!$A$1:$I$1,0),FALSE))</f>
        <v/>
      </c>
      <c r="E243" s="16" t="str">
        <f>IFNA(VLOOKUP($A243,Spells!$A$2:$I1002,MATCH(E$3,Spells!$A$1:$I$1,0),FALSE))</f>
        <v/>
      </c>
      <c r="F243" s="16" t="str">
        <f>IFNA(VLOOKUP($A243,Spells!$A$2:$I1002,MATCH(F$3,Spells!$A$1:$I$1,0),FALSE))</f>
        <v/>
      </c>
      <c r="G243" s="16" t="str">
        <f>IFNA(VLOOKUP($A243,Spells!$A$2:$I1002,MATCH(G$3,Spells!$A$1:$I$1,0),FALSE))</f>
        <v/>
      </c>
      <c r="H243" s="16" t="str">
        <f>IFNA(VLOOKUP($A243,Spells!$A$2:$I1002,MATCH(H$3,Spells!$A$1:$I$1,0),FALSE))</f>
        <v/>
      </c>
    </row>
    <row r="244">
      <c r="A244" s="16"/>
      <c r="B244" s="16" t="str">
        <f>IFNA(VLOOKUP($A244,Spells!$A$2:$I1002,MATCH(B$3,Spells!$A$1:$I$1,0),FALSE))</f>
        <v/>
      </c>
      <c r="C244" s="16" t="str">
        <f>IFNA(VLOOKUP($A244,Spells!$A$2:$I1002,MATCH(C$3,Spells!$A$1:$I$1,0),FALSE))</f>
        <v/>
      </c>
      <c r="D244" s="16" t="str">
        <f>IFNA(VLOOKUP($A244,Spells!$A$2:$I1002,MATCH(D$3,Spells!$A$1:$I$1,0),FALSE))</f>
        <v/>
      </c>
      <c r="E244" s="16" t="str">
        <f>IFNA(VLOOKUP($A244,Spells!$A$2:$I1002,MATCH(E$3,Spells!$A$1:$I$1,0),FALSE))</f>
        <v/>
      </c>
      <c r="F244" s="16" t="str">
        <f>IFNA(VLOOKUP($A244,Spells!$A$2:$I1002,MATCH(F$3,Spells!$A$1:$I$1,0),FALSE))</f>
        <v/>
      </c>
      <c r="G244" s="16" t="str">
        <f>IFNA(VLOOKUP($A244,Spells!$A$2:$I1002,MATCH(G$3,Spells!$A$1:$I$1,0),FALSE))</f>
        <v/>
      </c>
      <c r="H244" s="16" t="str">
        <f>IFNA(VLOOKUP($A244,Spells!$A$2:$I1002,MATCH(H$3,Spells!$A$1:$I$1,0),FALSE))</f>
        <v/>
      </c>
    </row>
    <row r="245">
      <c r="A245" s="16"/>
      <c r="B245" s="16" t="str">
        <f>IFNA(VLOOKUP($A245,Spells!$A$2:$I1002,MATCH(B$3,Spells!$A$1:$I$1,0),FALSE))</f>
        <v/>
      </c>
      <c r="C245" s="16" t="str">
        <f>IFNA(VLOOKUP($A245,Spells!$A$2:$I1002,MATCH(C$3,Spells!$A$1:$I$1,0),FALSE))</f>
        <v/>
      </c>
      <c r="D245" s="16" t="str">
        <f>IFNA(VLOOKUP($A245,Spells!$A$2:$I1002,MATCH(D$3,Spells!$A$1:$I$1,0),FALSE))</f>
        <v/>
      </c>
      <c r="E245" s="16" t="str">
        <f>IFNA(VLOOKUP($A245,Spells!$A$2:$I1002,MATCH(E$3,Spells!$A$1:$I$1,0),FALSE))</f>
        <v/>
      </c>
      <c r="F245" s="16" t="str">
        <f>IFNA(VLOOKUP($A245,Spells!$A$2:$I1002,MATCH(F$3,Spells!$A$1:$I$1,0),FALSE))</f>
        <v/>
      </c>
      <c r="G245" s="16" t="str">
        <f>IFNA(VLOOKUP($A245,Spells!$A$2:$I1002,MATCH(G$3,Spells!$A$1:$I$1,0),FALSE))</f>
        <v/>
      </c>
      <c r="H245" s="16" t="str">
        <f>IFNA(VLOOKUP($A245,Spells!$A$2:$I1002,MATCH(H$3,Spells!$A$1:$I$1,0),FALSE))</f>
        <v/>
      </c>
    </row>
    <row r="246">
      <c r="A246" s="16"/>
      <c r="B246" s="16" t="str">
        <f>IFNA(VLOOKUP($A246,Spells!$A$2:$I1002,MATCH(B$3,Spells!$A$1:$I$1,0),FALSE))</f>
        <v/>
      </c>
      <c r="C246" s="16" t="str">
        <f>IFNA(VLOOKUP($A246,Spells!$A$2:$I1002,MATCH(C$3,Spells!$A$1:$I$1,0),FALSE))</f>
        <v/>
      </c>
      <c r="D246" s="16" t="str">
        <f>IFNA(VLOOKUP($A246,Spells!$A$2:$I1002,MATCH(D$3,Spells!$A$1:$I$1,0),FALSE))</f>
        <v/>
      </c>
      <c r="E246" s="16" t="str">
        <f>IFNA(VLOOKUP($A246,Spells!$A$2:$I1002,MATCH(E$3,Spells!$A$1:$I$1,0),FALSE))</f>
        <v/>
      </c>
      <c r="F246" s="16" t="str">
        <f>IFNA(VLOOKUP($A246,Spells!$A$2:$I1002,MATCH(F$3,Spells!$A$1:$I$1,0),FALSE))</f>
        <v/>
      </c>
      <c r="G246" s="16" t="str">
        <f>IFNA(VLOOKUP($A246,Spells!$A$2:$I1002,MATCH(G$3,Spells!$A$1:$I$1,0),FALSE))</f>
        <v/>
      </c>
      <c r="H246" s="16" t="str">
        <f>IFNA(VLOOKUP($A246,Spells!$A$2:$I1002,MATCH(H$3,Spells!$A$1:$I$1,0),FALSE))</f>
        <v/>
      </c>
    </row>
    <row r="247">
      <c r="A247" s="16"/>
      <c r="B247" s="16" t="str">
        <f>IFNA(VLOOKUP($A247,Spells!$A$2:$I1002,MATCH(B$3,Spells!$A$1:$I$1,0),FALSE))</f>
        <v/>
      </c>
      <c r="C247" s="16" t="str">
        <f>IFNA(VLOOKUP($A247,Spells!$A$2:$I1002,MATCH(C$3,Spells!$A$1:$I$1,0),FALSE))</f>
        <v/>
      </c>
      <c r="D247" s="16" t="str">
        <f>IFNA(VLOOKUP($A247,Spells!$A$2:$I1002,MATCH(D$3,Spells!$A$1:$I$1,0),FALSE))</f>
        <v/>
      </c>
      <c r="E247" s="16" t="str">
        <f>IFNA(VLOOKUP($A247,Spells!$A$2:$I1002,MATCH(E$3,Spells!$A$1:$I$1,0),FALSE))</f>
        <v/>
      </c>
      <c r="F247" s="16" t="str">
        <f>IFNA(VLOOKUP($A247,Spells!$A$2:$I1002,MATCH(F$3,Spells!$A$1:$I$1,0),FALSE))</f>
        <v/>
      </c>
      <c r="G247" s="16" t="str">
        <f>IFNA(VLOOKUP($A247,Spells!$A$2:$I1002,MATCH(G$3,Spells!$A$1:$I$1,0),FALSE))</f>
        <v/>
      </c>
      <c r="H247" s="16" t="str">
        <f>IFNA(VLOOKUP($A247,Spells!$A$2:$I1002,MATCH(H$3,Spells!$A$1:$I$1,0),FALSE))</f>
        <v/>
      </c>
    </row>
    <row r="248">
      <c r="A248" s="16"/>
      <c r="B248" s="16" t="str">
        <f>IFNA(VLOOKUP($A248,Spells!$A$2:$I1002,MATCH(B$3,Spells!$A$1:$I$1,0),FALSE))</f>
        <v/>
      </c>
      <c r="C248" s="16" t="str">
        <f>IFNA(VLOOKUP($A248,Spells!$A$2:$I1002,MATCH(C$3,Spells!$A$1:$I$1,0),FALSE))</f>
        <v/>
      </c>
      <c r="D248" s="16" t="str">
        <f>IFNA(VLOOKUP($A248,Spells!$A$2:$I1002,MATCH(D$3,Spells!$A$1:$I$1,0),FALSE))</f>
        <v/>
      </c>
      <c r="E248" s="16" t="str">
        <f>IFNA(VLOOKUP($A248,Spells!$A$2:$I1002,MATCH(E$3,Spells!$A$1:$I$1,0),FALSE))</f>
        <v/>
      </c>
      <c r="F248" s="16" t="str">
        <f>IFNA(VLOOKUP($A248,Spells!$A$2:$I1002,MATCH(F$3,Spells!$A$1:$I$1,0),FALSE))</f>
        <v/>
      </c>
      <c r="G248" s="16" t="str">
        <f>IFNA(VLOOKUP($A248,Spells!$A$2:$I1002,MATCH(G$3,Spells!$A$1:$I$1,0),FALSE))</f>
        <v/>
      </c>
      <c r="H248" s="16" t="str">
        <f>IFNA(VLOOKUP($A248,Spells!$A$2:$I1002,MATCH(H$3,Spells!$A$1:$I$1,0),FALSE))</f>
        <v/>
      </c>
    </row>
    <row r="249">
      <c r="A249" s="16"/>
      <c r="B249" s="16" t="str">
        <f>IFNA(VLOOKUP($A249,Spells!$A$2:$I1002,MATCH(B$3,Spells!$A$1:$I$1,0),FALSE))</f>
        <v/>
      </c>
      <c r="C249" s="16" t="str">
        <f>IFNA(VLOOKUP($A249,Spells!$A$2:$I1002,MATCH(C$3,Spells!$A$1:$I$1,0),FALSE))</f>
        <v/>
      </c>
      <c r="D249" s="16" t="str">
        <f>IFNA(VLOOKUP($A249,Spells!$A$2:$I1002,MATCH(D$3,Spells!$A$1:$I$1,0),FALSE))</f>
        <v/>
      </c>
      <c r="E249" s="16" t="str">
        <f>IFNA(VLOOKUP($A249,Spells!$A$2:$I1002,MATCH(E$3,Spells!$A$1:$I$1,0),FALSE))</f>
        <v/>
      </c>
      <c r="F249" s="16" t="str">
        <f>IFNA(VLOOKUP($A249,Spells!$A$2:$I1002,MATCH(F$3,Spells!$A$1:$I$1,0),FALSE))</f>
        <v/>
      </c>
      <c r="G249" s="16" t="str">
        <f>IFNA(VLOOKUP($A249,Spells!$A$2:$I1002,MATCH(G$3,Spells!$A$1:$I$1,0),FALSE))</f>
        <v/>
      </c>
      <c r="H249" s="16" t="str">
        <f>IFNA(VLOOKUP($A249,Spells!$A$2:$I1002,MATCH(H$3,Spells!$A$1:$I$1,0),FALSE))</f>
        <v/>
      </c>
    </row>
    <row r="250">
      <c r="A250" s="16"/>
      <c r="B250" s="16" t="str">
        <f>IFNA(VLOOKUP($A250,Spells!$A$2:$I1002,MATCH(B$3,Spells!$A$1:$I$1,0),FALSE))</f>
        <v/>
      </c>
      <c r="C250" s="16" t="str">
        <f>IFNA(VLOOKUP($A250,Spells!$A$2:$I1002,MATCH(C$3,Spells!$A$1:$I$1,0),FALSE))</f>
        <v/>
      </c>
      <c r="D250" s="16" t="str">
        <f>IFNA(VLOOKUP($A250,Spells!$A$2:$I1002,MATCH(D$3,Spells!$A$1:$I$1,0),FALSE))</f>
        <v/>
      </c>
      <c r="E250" s="16" t="str">
        <f>IFNA(VLOOKUP($A250,Spells!$A$2:$I1002,MATCH(E$3,Spells!$A$1:$I$1,0),FALSE))</f>
        <v/>
      </c>
      <c r="F250" s="16" t="str">
        <f>IFNA(VLOOKUP($A250,Spells!$A$2:$I1002,MATCH(F$3,Spells!$A$1:$I$1,0),FALSE))</f>
        <v/>
      </c>
      <c r="G250" s="16" t="str">
        <f>IFNA(VLOOKUP($A250,Spells!$A$2:$I1002,MATCH(G$3,Spells!$A$1:$I$1,0),FALSE))</f>
        <v/>
      </c>
      <c r="H250" s="16" t="str">
        <f>IFNA(VLOOKUP($A250,Spells!$A$2:$I1002,MATCH(H$3,Spells!$A$1:$I$1,0),FALSE))</f>
        <v/>
      </c>
    </row>
    <row r="251">
      <c r="A251" s="16"/>
      <c r="B251" s="16" t="str">
        <f>IFNA(VLOOKUP($A251,Spells!$A$2:$I1002,MATCH(B$3,Spells!$A$1:$I$1,0),FALSE))</f>
        <v/>
      </c>
      <c r="C251" s="16" t="str">
        <f>IFNA(VLOOKUP($A251,Spells!$A$2:$I1002,MATCH(C$3,Spells!$A$1:$I$1,0),FALSE))</f>
        <v/>
      </c>
      <c r="D251" s="16" t="str">
        <f>IFNA(VLOOKUP($A251,Spells!$A$2:$I1002,MATCH(D$3,Spells!$A$1:$I$1,0),FALSE))</f>
        <v/>
      </c>
      <c r="E251" s="16" t="str">
        <f>IFNA(VLOOKUP($A251,Spells!$A$2:$I1002,MATCH(E$3,Spells!$A$1:$I$1,0),FALSE))</f>
        <v/>
      </c>
      <c r="F251" s="16" t="str">
        <f>IFNA(VLOOKUP($A251,Spells!$A$2:$I1002,MATCH(F$3,Spells!$A$1:$I$1,0),FALSE))</f>
        <v/>
      </c>
      <c r="G251" s="16" t="str">
        <f>IFNA(VLOOKUP($A251,Spells!$A$2:$I1002,MATCH(G$3,Spells!$A$1:$I$1,0),FALSE))</f>
        <v/>
      </c>
      <c r="H251" s="16" t="str">
        <f>IFNA(VLOOKUP($A251,Spells!$A$2:$I1002,MATCH(H$3,Spells!$A$1:$I$1,0),FALSE))</f>
        <v/>
      </c>
    </row>
    <row r="252">
      <c r="A252" s="16"/>
      <c r="B252" s="16" t="str">
        <f>IFNA(VLOOKUP($A252,Spells!$A$2:$I1002,MATCH(B$3,Spells!$A$1:$I$1,0),FALSE))</f>
        <v/>
      </c>
      <c r="C252" s="16" t="str">
        <f>IFNA(VLOOKUP($A252,Spells!$A$2:$I1002,MATCH(C$3,Spells!$A$1:$I$1,0),FALSE))</f>
        <v/>
      </c>
      <c r="D252" s="16" t="str">
        <f>IFNA(VLOOKUP($A252,Spells!$A$2:$I1002,MATCH(D$3,Spells!$A$1:$I$1,0),FALSE))</f>
        <v/>
      </c>
      <c r="E252" s="16" t="str">
        <f>IFNA(VLOOKUP($A252,Spells!$A$2:$I1002,MATCH(E$3,Spells!$A$1:$I$1,0),FALSE))</f>
        <v/>
      </c>
      <c r="F252" s="16" t="str">
        <f>IFNA(VLOOKUP($A252,Spells!$A$2:$I1002,MATCH(F$3,Spells!$A$1:$I$1,0),FALSE))</f>
        <v/>
      </c>
      <c r="G252" s="16" t="str">
        <f>IFNA(VLOOKUP($A252,Spells!$A$2:$I1002,MATCH(G$3,Spells!$A$1:$I$1,0),FALSE))</f>
        <v/>
      </c>
      <c r="H252" s="16" t="str">
        <f>IFNA(VLOOKUP($A252,Spells!$A$2:$I1002,MATCH(H$3,Spells!$A$1:$I$1,0),FALSE))</f>
        <v/>
      </c>
    </row>
    <row r="253">
      <c r="A253" s="16"/>
      <c r="B253" s="16" t="str">
        <f>IFNA(VLOOKUP($A253,Spells!$A$2:$I1002,MATCH(B$3,Spells!$A$1:$I$1,0),FALSE))</f>
        <v/>
      </c>
      <c r="C253" s="16" t="str">
        <f>IFNA(VLOOKUP($A253,Spells!$A$2:$I1002,MATCH(C$3,Spells!$A$1:$I$1,0),FALSE))</f>
        <v/>
      </c>
      <c r="D253" s="16" t="str">
        <f>IFNA(VLOOKUP($A253,Spells!$A$2:$I1002,MATCH(D$3,Spells!$A$1:$I$1,0),FALSE))</f>
        <v/>
      </c>
      <c r="E253" s="16" t="str">
        <f>IFNA(VLOOKUP($A253,Spells!$A$2:$I1002,MATCH(E$3,Spells!$A$1:$I$1,0),FALSE))</f>
        <v/>
      </c>
      <c r="F253" s="16" t="str">
        <f>IFNA(VLOOKUP($A253,Spells!$A$2:$I1002,MATCH(F$3,Spells!$A$1:$I$1,0),FALSE))</f>
        <v/>
      </c>
      <c r="G253" s="16" t="str">
        <f>IFNA(VLOOKUP($A253,Spells!$A$2:$I1002,MATCH(G$3,Spells!$A$1:$I$1,0),FALSE))</f>
        <v/>
      </c>
      <c r="H253" s="16" t="str">
        <f>IFNA(VLOOKUP($A253,Spells!$A$2:$I1002,MATCH(H$3,Spells!$A$1:$I$1,0),FALSE))</f>
        <v/>
      </c>
    </row>
    <row r="254">
      <c r="A254" s="16"/>
      <c r="B254" s="16" t="str">
        <f>IFNA(VLOOKUP($A254,Spells!$A$2:$I1002,MATCH(B$3,Spells!$A$1:$I$1,0),FALSE))</f>
        <v/>
      </c>
      <c r="C254" s="16" t="str">
        <f>IFNA(VLOOKUP($A254,Spells!$A$2:$I1002,MATCH(C$3,Spells!$A$1:$I$1,0),FALSE))</f>
        <v/>
      </c>
      <c r="D254" s="16" t="str">
        <f>IFNA(VLOOKUP($A254,Spells!$A$2:$I1002,MATCH(D$3,Spells!$A$1:$I$1,0),FALSE))</f>
        <v/>
      </c>
      <c r="E254" s="16" t="str">
        <f>IFNA(VLOOKUP($A254,Spells!$A$2:$I1002,MATCH(E$3,Spells!$A$1:$I$1,0),FALSE))</f>
        <v/>
      </c>
      <c r="F254" s="16" t="str">
        <f>IFNA(VLOOKUP($A254,Spells!$A$2:$I1002,MATCH(F$3,Spells!$A$1:$I$1,0),FALSE))</f>
        <v/>
      </c>
      <c r="G254" s="16" t="str">
        <f>IFNA(VLOOKUP($A254,Spells!$A$2:$I1002,MATCH(G$3,Spells!$A$1:$I$1,0),FALSE))</f>
        <v/>
      </c>
      <c r="H254" s="16" t="str">
        <f>IFNA(VLOOKUP($A254,Spells!$A$2:$I1002,MATCH(H$3,Spells!$A$1:$I$1,0),FALSE))</f>
        <v/>
      </c>
    </row>
    <row r="255">
      <c r="A255" s="16"/>
      <c r="B255" s="16" t="str">
        <f>IFNA(VLOOKUP($A255,Spells!$A$2:$I1002,MATCH(B$3,Spells!$A$1:$I$1,0),FALSE))</f>
        <v/>
      </c>
      <c r="C255" s="16" t="str">
        <f>IFNA(VLOOKUP($A255,Spells!$A$2:$I1002,MATCH(C$3,Spells!$A$1:$I$1,0),FALSE))</f>
        <v/>
      </c>
      <c r="D255" s="16" t="str">
        <f>IFNA(VLOOKUP($A255,Spells!$A$2:$I1002,MATCH(D$3,Spells!$A$1:$I$1,0),FALSE))</f>
        <v/>
      </c>
      <c r="E255" s="16" t="str">
        <f>IFNA(VLOOKUP($A255,Spells!$A$2:$I1002,MATCH(E$3,Spells!$A$1:$I$1,0),FALSE))</f>
        <v/>
      </c>
      <c r="F255" s="16" t="str">
        <f>IFNA(VLOOKUP($A255,Spells!$A$2:$I1002,MATCH(F$3,Spells!$A$1:$I$1,0),FALSE))</f>
        <v/>
      </c>
      <c r="G255" s="16" t="str">
        <f>IFNA(VLOOKUP($A255,Spells!$A$2:$I1002,MATCH(G$3,Spells!$A$1:$I$1,0),FALSE))</f>
        <v/>
      </c>
      <c r="H255" s="16" t="str">
        <f>IFNA(VLOOKUP($A255,Spells!$A$2:$I1002,MATCH(H$3,Spells!$A$1:$I$1,0),FALSE))</f>
        <v/>
      </c>
    </row>
    <row r="256">
      <c r="A256" s="16"/>
      <c r="B256" s="16" t="str">
        <f>IFNA(VLOOKUP($A256,Spells!$A$2:$I1002,MATCH(B$3,Spells!$A$1:$I$1,0),FALSE))</f>
        <v/>
      </c>
      <c r="C256" s="16" t="str">
        <f>IFNA(VLOOKUP($A256,Spells!$A$2:$I1002,MATCH(C$3,Spells!$A$1:$I$1,0),FALSE))</f>
        <v/>
      </c>
      <c r="D256" s="16" t="str">
        <f>IFNA(VLOOKUP($A256,Spells!$A$2:$I1002,MATCH(D$3,Spells!$A$1:$I$1,0),FALSE))</f>
        <v/>
      </c>
      <c r="E256" s="16" t="str">
        <f>IFNA(VLOOKUP($A256,Spells!$A$2:$I1002,MATCH(E$3,Spells!$A$1:$I$1,0),FALSE))</f>
        <v/>
      </c>
      <c r="F256" s="16" t="str">
        <f>IFNA(VLOOKUP($A256,Spells!$A$2:$I1002,MATCH(F$3,Spells!$A$1:$I$1,0),FALSE))</f>
        <v/>
      </c>
      <c r="G256" s="16" t="str">
        <f>IFNA(VLOOKUP($A256,Spells!$A$2:$I1002,MATCH(G$3,Spells!$A$1:$I$1,0),FALSE))</f>
        <v/>
      </c>
      <c r="H256" s="16" t="str">
        <f>IFNA(VLOOKUP($A256,Spells!$A$2:$I1002,MATCH(H$3,Spells!$A$1:$I$1,0),FALSE))</f>
        <v/>
      </c>
    </row>
    <row r="257">
      <c r="A257" s="16"/>
      <c r="B257" s="16" t="str">
        <f>IFNA(VLOOKUP($A257,Spells!$A$2:$I1002,MATCH(B$3,Spells!$A$1:$I$1,0),FALSE))</f>
        <v/>
      </c>
      <c r="C257" s="16" t="str">
        <f>IFNA(VLOOKUP($A257,Spells!$A$2:$I1002,MATCH(C$3,Spells!$A$1:$I$1,0),FALSE))</f>
        <v/>
      </c>
      <c r="D257" s="16" t="str">
        <f>IFNA(VLOOKUP($A257,Spells!$A$2:$I1002,MATCH(D$3,Spells!$A$1:$I$1,0),FALSE))</f>
        <v/>
      </c>
      <c r="E257" s="16" t="str">
        <f>IFNA(VLOOKUP($A257,Spells!$A$2:$I1002,MATCH(E$3,Spells!$A$1:$I$1,0),FALSE))</f>
        <v/>
      </c>
      <c r="F257" s="16" t="str">
        <f>IFNA(VLOOKUP($A257,Spells!$A$2:$I1002,MATCH(F$3,Spells!$A$1:$I$1,0),FALSE))</f>
        <v/>
      </c>
      <c r="G257" s="16" t="str">
        <f>IFNA(VLOOKUP($A257,Spells!$A$2:$I1002,MATCH(G$3,Spells!$A$1:$I$1,0),FALSE))</f>
        <v/>
      </c>
      <c r="H257" s="16" t="str">
        <f>IFNA(VLOOKUP($A257,Spells!$A$2:$I1002,MATCH(H$3,Spells!$A$1:$I$1,0),FALSE))</f>
        <v/>
      </c>
    </row>
    <row r="258">
      <c r="A258" s="16"/>
      <c r="B258" s="16" t="str">
        <f>IFNA(VLOOKUP($A258,Spells!$A$2:$I1002,MATCH(B$3,Spells!$A$1:$I$1,0),FALSE))</f>
        <v/>
      </c>
      <c r="C258" s="16" t="str">
        <f>IFNA(VLOOKUP($A258,Spells!$A$2:$I1002,MATCH(C$3,Spells!$A$1:$I$1,0),FALSE))</f>
        <v/>
      </c>
      <c r="D258" s="16" t="str">
        <f>IFNA(VLOOKUP($A258,Spells!$A$2:$I1002,MATCH(D$3,Spells!$A$1:$I$1,0),FALSE))</f>
        <v/>
      </c>
      <c r="E258" s="16" t="str">
        <f>IFNA(VLOOKUP($A258,Spells!$A$2:$I1002,MATCH(E$3,Spells!$A$1:$I$1,0),FALSE))</f>
        <v/>
      </c>
      <c r="F258" s="16" t="str">
        <f>IFNA(VLOOKUP($A258,Spells!$A$2:$I1002,MATCH(F$3,Spells!$A$1:$I$1,0),FALSE))</f>
        <v/>
      </c>
      <c r="G258" s="16" t="str">
        <f>IFNA(VLOOKUP($A258,Spells!$A$2:$I1002,MATCH(G$3,Spells!$A$1:$I$1,0),FALSE))</f>
        <v/>
      </c>
      <c r="H258" s="16" t="str">
        <f>IFNA(VLOOKUP($A258,Spells!$A$2:$I1002,MATCH(H$3,Spells!$A$1:$I$1,0),FALSE))</f>
        <v/>
      </c>
    </row>
    <row r="259">
      <c r="A259" s="16"/>
      <c r="B259" s="16" t="str">
        <f>IFNA(VLOOKUP($A259,Spells!$A$2:$I1002,MATCH(B$3,Spells!$A$1:$I$1,0),FALSE))</f>
        <v/>
      </c>
      <c r="C259" s="16" t="str">
        <f>IFNA(VLOOKUP($A259,Spells!$A$2:$I1002,MATCH(C$3,Spells!$A$1:$I$1,0),FALSE))</f>
        <v/>
      </c>
      <c r="D259" s="16" t="str">
        <f>IFNA(VLOOKUP($A259,Spells!$A$2:$I1002,MATCH(D$3,Spells!$A$1:$I$1,0),FALSE))</f>
        <v/>
      </c>
      <c r="E259" s="16" t="str">
        <f>IFNA(VLOOKUP($A259,Spells!$A$2:$I1002,MATCH(E$3,Spells!$A$1:$I$1,0),FALSE))</f>
        <v/>
      </c>
      <c r="F259" s="16" t="str">
        <f>IFNA(VLOOKUP($A259,Spells!$A$2:$I1002,MATCH(F$3,Spells!$A$1:$I$1,0),FALSE))</f>
        <v/>
      </c>
      <c r="G259" s="16" t="str">
        <f>IFNA(VLOOKUP($A259,Spells!$A$2:$I1002,MATCH(G$3,Spells!$A$1:$I$1,0),FALSE))</f>
        <v/>
      </c>
      <c r="H259" s="16" t="str">
        <f>IFNA(VLOOKUP($A259,Spells!$A$2:$I1002,MATCH(H$3,Spells!$A$1:$I$1,0),FALSE))</f>
        <v/>
      </c>
    </row>
    <row r="260">
      <c r="A260" s="16"/>
      <c r="B260" s="16" t="str">
        <f>IFNA(VLOOKUP($A260,Spells!$A$2:$I1002,MATCH(B$3,Spells!$A$1:$I$1,0),FALSE))</f>
        <v/>
      </c>
      <c r="C260" s="16" t="str">
        <f>IFNA(VLOOKUP($A260,Spells!$A$2:$I1002,MATCH(C$3,Spells!$A$1:$I$1,0),FALSE))</f>
        <v/>
      </c>
      <c r="D260" s="16" t="str">
        <f>IFNA(VLOOKUP($A260,Spells!$A$2:$I1002,MATCH(D$3,Spells!$A$1:$I$1,0),FALSE))</f>
        <v/>
      </c>
      <c r="E260" s="16" t="str">
        <f>IFNA(VLOOKUP($A260,Spells!$A$2:$I1002,MATCH(E$3,Spells!$A$1:$I$1,0),FALSE))</f>
        <v/>
      </c>
      <c r="F260" s="16" t="str">
        <f>IFNA(VLOOKUP($A260,Spells!$A$2:$I1002,MATCH(F$3,Spells!$A$1:$I$1,0),FALSE))</f>
        <v/>
      </c>
      <c r="G260" s="16" t="str">
        <f>IFNA(VLOOKUP($A260,Spells!$A$2:$I1002,MATCH(G$3,Spells!$A$1:$I$1,0),FALSE))</f>
        <v/>
      </c>
      <c r="H260" s="16" t="str">
        <f>IFNA(VLOOKUP($A260,Spells!$A$2:$I1002,MATCH(H$3,Spells!$A$1:$I$1,0),FALSE))</f>
        <v/>
      </c>
    </row>
    <row r="261">
      <c r="A261" s="16"/>
      <c r="B261" s="16" t="str">
        <f>IFNA(VLOOKUP($A261,Spells!$A$2:$I1002,MATCH(B$3,Spells!$A$1:$I$1,0),FALSE))</f>
        <v/>
      </c>
      <c r="C261" s="16" t="str">
        <f>IFNA(VLOOKUP($A261,Spells!$A$2:$I1002,MATCH(C$3,Spells!$A$1:$I$1,0),FALSE))</f>
        <v/>
      </c>
      <c r="D261" s="16" t="str">
        <f>IFNA(VLOOKUP($A261,Spells!$A$2:$I1002,MATCH(D$3,Spells!$A$1:$I$1,0),FALSE))</f>
        <v/>
      </c>
      <c r="E261" s="16" t="str">
        <f>IFNA(VLOOKUP($A261,Spells!$A$2:$I1002,MATCH(E$3,Spells!$A$1:$I$1,0),FALSE))</f>
        <v/>
      </c>
      <c r="F261" s="16" t="str">
        <f>IFNA(VLOOKUP($A261,Spells!$A$2:$I1002,MATCH(F$3,Spells!$A$1:$I$1,0),FALSE))</f>
        <v/>
      </c>
      <c r="G261" s="16" t="str">
        <f>IFNA(VLOOKUP($A261,Spells!$A$2:$I1002,MATCH(G$3,Spells!$A$1:$I$1,0),FALSE))</f>
        <v/>
      </c>
      <c r="H261" s="16" t="str">
        <f>IFNA(VLOOKUP($A261,Spells!$A$2:$I1002,MATCH(H$3,Spells!$A$1:$I$1,0),FALSE))</f>
        <v/>
      </c>
    </row>
    <row r="262">
      <c r="A262" s="16"/>
      <c r="B262" s="16" t="str">
        <f>IFNA(VLOOKUP($A262,Spells!$A$2:$I1002,MATCH(B$3,Spells!$A$1:$I$1,0),FALSE))</f>
        <v/>
      </c>
      <c r="C262" s="16" t="str">
        <f>IFNA(VLOOKUP($A262,Spells!$A$2:$I1002,MATCH(C$3,Spells!$A$1:$I$1,0),FALSE))</f>
        <v/>
      </c>
      <c r="D262" s="16" t="str">
        <f>IFNA(VLOOKUP($A262,Spells!$A$2:$I1002,MATCH(D$3,Spells!$A$1:$I$1,0),FALSE))</f>
        <v/>
      </c>
      <c r="E262" s="16" t="str">
        <f>IFNA(VLOOKUP($A262,Spells!$A$2:$I1002,MATCH(E$3,Spells!$A$1:$I$1,0),FALSE))</f>
        <v/>
      </c>
      <c r="F262" s="16" t="str">
        <f>IFNA(VLOOKUP($A262,Spells!$A$2:$I1002,MATCH(F$3,Spells!$A$1:$I$1,0),FALSE))</f>
        <v/>
      </c>
      <c r="G262" s="16" t="str">
        <f>IFNA(VLOOKUP($A262,Spells!$A$2:$I1002,MATCH(G$3,Spells!$A$1:$I$1,0),FALSE))</f>
        <v/>
      </c>
      <c r="H262" s="16" t="str">
        <f>IFNA(VLOOKUP($A262,Spells!$A$2:$I1002,MATCH(H$3,Spells!$A$1:$I$1,0),FALSE))</f>
        <v/>
      </c>
    </row>
    <row r="263">
      <c r="A263" s="16"/>
      <c r="B263" s="16" t="str">
        <f>IFNA(VLOOKUP($A263,Spells!$A$2:$I1002,MATCH(B$3,Spells!$A$1:$I$1,0),FALSE))</f>
        <v/>
      </c>
      <c r="C263" s="16" t="str">
        <f>IFNA(VLOOKUP($A263,Spells!$A$2:$I1002,MATCH(C$3,Spells!$A$1:$I$1,0),FALSE))</f>
        <v/>
      </c>
      <c r="D263" s="16" t="str">
        <f>IFNA(VLOOKUP($A263,Spells!$A$2:$I1002,MATCH(D$3,Spells!$A$1:$I$1,0),FALSE))</f>
        <v/>
      </c>
      <c r="E263" s="16" t="str">
        <f>IFNA(VLOOKUP($A263,Spells!$A$2:$I1002,MATCH(E$3,Spells!$A$1:$I$1,0),FALSE))</f>
        <v/>
      </c>
      <c r="F263" s="16" t="str">
        <f>IFNA(VLOOKUP($A263,Spells!$A$2:$I1002,MATCH(F$3,Spells!$A$1:$I$1,0),FALSE))</f>
        <v/>
      </c>
      <c r="G263" s="16" t="str">
        <f>IFNA(VLOOKUP($A263,Spells!$A$2:$I1002,MATCH(G$3,Spells!$A$1:$I$1,0),FALSE))</f>
        <v/>
      </c>
      <c r="H263" s="16" t="str">
        <f>IFNA(VLOOKUP($A263,Spells!$A$2:$I1002,MATCH(H$3,Spells!$A$1:$I$1,0),FALSE))</f>
        <v/>
      </c>
    </row>
    <row r="264">
      <c r="A264" s="16"/>
      <c r="B264" s="16" t="str">
        <f>IFNA(VLOOKUP($A264,Spells!$A$2:$I1002,MATCH(B$3,Spells!$A$1:$I$1,0),FALSE))</f>
        <v/>
      </c>
      <c r="C264" s="16" t="str">
        <f>IFNA(VLOOKUP($A264,Spells!$A$2:$I1002,MATCH(C$3,Spells!$A$1:$I$1,0),FALSE))</f>
        <v/>
      </c>
      <c r="D264" s="16" t="str">
        <f>IFNA(VLOOKUP($A264,Spells!$A$2:$I1002,MATCH(D$3,Spells!$A$1:$I$1,0),FALSE))</f>
        <v/>
      </c>
      <c r="E264" s="16" t="str">
        <f>IFNA(VLOOKUP($A264,Spells!$A$2:$I1002,MATCH(E$3,Spells!$A$1:$I$1,0),FALSE))</f>
        <v/>
      </c>
      <c r="F264" s="16" t="str">
        <f>IFNA(VLOOKUP($A264,Spells!$A$2:$I1002,MATCH(F$3,Spells!$A$1:$I$1,0),FALSE))</f>
        <v/>
      </c>
      <c r="G264" s="16" t="str">
        <f>IFNA(VLOOKUP($A264,Spells!$A$2:$I1002,MATCH(G$3,Spells!$A$1:$I$1,0),FALSE))</f>
        <v/>
      </c>
      <c r="H264" s="16" t="str">
        <f>IFNA(VLOOKUP($A264,Spells!$A$2:$I1002,MATCH(H$3,Spells!$A$1:$I$1,0),FALSE))</f>
        <v/>
      </c>
    </row>
    <row r="265">
      <c r="A265" s="16"/>
      <c r="B265" s="16" t="str">
        <f>IFNA(VLOOKUP($A265,Spells!$A$2:$I1002,MATCH(B$3,Spells!$A$1:$I$1,0),FALSE))</f>
        <v/>
      </c>
      <c r="C265" s="16" t="str">
        <f>IFNA(VLOOKUP($A265,Spells!$A$2:$I1002,MATCH(C$3,Spells!$A$1:$I$1,0),FALSE))</f>
        <v/>
      </c>
      <c r="D265" s="16" t="str">
        <f>IFNA(VLOOKUP($A265,Spells!$A$2:$I1002,MATCH(D$3,Spells!$A$1:$I$1,0),FALSE))</f>
        <v/>
      </c>
      <c r="E265" s="16" t="str">
        <f>IFNA(VLOOKUP($A265,Spells!$A$2:$I1002,MATCH(E$3,Spells!$A$1:$I$1,0),FALSE))</f>
        <v/>
      </c>
      <c r="F265" s="16" t="str">
        <f>IFNA(VLOOKUP($A265,Spells!$A$2:$I1002,MATCH(F$3,Spells!$A$1:$I$1,0),FALSE))</f>
        <v/>
      </c>
      <c r="G265" s="16" t="str">
        <f>IFNA(VLOOKUP($A265,Spells!$A$2:$I1002,MATCH(G$3,Spells!$A$1:$I$1,0),FALSE))</f>
        <v/>
      </c>
      <c r="H265" s="16" t="str">
        <f>IFNA(VLOOKUP($A265,Spells!$A$2:$I1002,MATCH(H$3,Spells!$A$1:$I$1,0),FALSE))</f>
        <v/>
      </c>
    </row>
    <row r="266">
      <c r="A266" s="16"/>
      <c r="B266" s="16" t="str">
        <f>IFNA(VLOOKUP($A266,Spells!$A$2:$I1002,MATCH(B$3,Spells!$A$1:$I$1,0),FALSE))</f>
        <v/>
      </c>
      <c r="C266" s="16" t="str">
        <f>IFNA(VLOOKUP($A266,Spells!$A$2:$I1002,MATCH(C$3,Spells!$A$1:$I$1,0),FALSE))</f>
        <v/>
      </c>
      <c r="D266" s="16" t="str">
        <f>IFNA(VLOOKUP($A266,Spells!$A$2:$I1002,MATCH(D$3,Spells!$A$1:$I$1,0),FALSE))</f>
        <v/>
      </c>
      <c r="E266" s="16" t="str">
        <f>IFNA(VLOOKUP($A266,Spells!$A$2:$I1002,MATCH(E$3,Spells!$A$1:$I$1,0),FALSE))</f>
        <v/>
      </c>
      <c r="F266" s="16" t="str">
        <f>IFNA(VLOOKUP($A266,Spells!$A$2:$I1002,MATCH(F$3,Spells!$A$1:$I$1,0),FALSE))</f>
        <v/>
      </c>
      <c r="G266" s="16" t="str">
        <f>IFNA(VLOOKUP($A266,Spells!$A$2:$I1002,MATCH(G$3,Spells!$A$1:$I$1,0),FALSE))</f>
        <v/>
      </c>
      <c r="H266" s="16" t="str">
        <f>IFNA(VLOOKUP($A266,Spells!$A$2:$I1002,MATCH(H$3,Spells!$A$1:$I$1,0),FALSE))</f>
        <v/>
      </c>
    </row>
    <row r="267">
      <c r="A267" s="16"/>
      <c r="B267" s="16" t="str">
        <f>IFNA(VLOOKUP($A267,Spells!$A$2:$I1002,MATCH(B$3,Spells!$A$1:$I$1,0),FALSE))</f>
        <v/>
      </c>
      <c r="C267" s="16" t="str">
        <f>IFNA(VLOOKUP($A267,Spells!$A$2:$I1002,MATCH(C$3,Spells!$A$1:$I$1,0),FALSE))</f>
        <v/>
      </c>
      <c r="D267" s="16" t="str">
        <f>IFNA(VLOOKUP($A267,Spells!$A$2:$I1002,MATCH(D$3,Spells!$A$1:$I$1,0),FALSE))</f>
        <v/>
      </c>
      <c r="E267" s="16" t="str">
        <f>IFNA(VLOOKUP($A267,Spells!$A$2:$I1002,MATCH(E$3,Spells!$A$1:$I$1,0),FALSE))</f>
        <v/>
      </c>
      <c r="F267" s="16" t="str">
        <f>IFNA(VLOOKUP($A267,Spells!$A$2:$I1002,MATCH(F$3,Spells!$A$1:$I$1,0),FALSE))</f>
        <v/>
      </c>
      <c r="G267" s="16" t="str">
        <f>IFNA(VLOOKUP($A267,Spells!$A$2:$I1002,MATCH(G$3,Spells!$A$1:$I$1,0),FALSE))</f>
        <v/>
      </c>
      <c r="H267" s="16" t="str">
        <f>IFNA(VLOOKUP($A267,Spells!$A$2:$I1002,MATCH(H$3,Spells!$A$1:$I$1,0),FALSE))</f>
        <v/>
      </c>
    </row>
    <row r="268">
      <c r="A268" s="16"/>
      <c r="B268" s="16" t="str">
        <f>IFNA(VLOOKUP($A268,Spells!$A$2:$I1002,MATCH(B$3,Spells!$A$1:$I$1,0),FALSE))</f>
        <v/>
      </c>
      <c r="C268" s="16" t="str">
        <f>IFNA(VLOOKUP($A268,Spells!$A$2:$I1002,MATCH(C$3,Spells!$A$1:$I$1,0),FALSE))</f>
        <v/>
      </c>
      <c r="D268" s="16" t="str">
        <f>IFNA(VLOOKUP($A268,Spells!$A$2:$I1002,MATCH(D$3,Spells!$A$1:$I$1,0),FALSE))</f>
        <v/>
      </c>
      <c r="E268" s="16" t="str">
        <f>IFNA(VLOOKUP($A268,Spells!$A$2:$I1002,MATCH(E$3,Spells!$A$1:$I$1,0),FALSE))</f>
        <v/>
      </c>
      <c r="F268" s="16" t="str">
        <f>IFNA(VLOOKUP($A268,Spells!$A$2:$I1002,MATCH(F$3,Spells!$A$1:$I$1,0),FALSE))</f>
        <v/>
      </c>
      <c r="G268" s="16" t="str">
        <f>IFNA(VLOOKUP($A268,Spells!$A$2:$I1002,MATCH(G$3,Spells!$A$1:$I$1,0),FALSE))</f>
        <v/>
      </c>
      <c r="H268" s="16" t="str">
        <f>IFNA(VLOOKUP($A268,Spells!$A$2:$I1002,MATCH(H$3,Spells!$A$1:$I$1,0),FALSE))</f>
        <v/>
      </c>
    </row>
    <row r="269">
      <c r="A269" s="16"/>
      <c r="B269" s="16" t="str">
        <f>IFNA(VLOOKUP($A269,Spells!$A$2:$I1002,MATCH(B$3,Spells!$A$1:$I$1,0),FALSE))</f>
        <v/>
      </c>
      <c r="C269" s="16" t="str">
        <f>IFNA(VLOOKUP($A269,Spells!$A$2:$I1002,MATCH(C$3,Spells!$A$1:$I$1,0),FALSE))</f>
        <v/>
      </c>
      <c r="D269" s="16" t="str">
        <f>IFNA(VLOOKUP($A269,Spells!$A$2:$I1002,MATCH(D$3,Spells!$A$1:$I$1,0),FALSE))</f>
        <v/>
      </c>
      <c r="E269" s="16" t="str">
        <f>IFNA(VLOOKUP($A269,Spells!$A$2:$I1002,MATCH(E$3,Spells!$A$1:$I$1,0),FALSE))</f>
        <v/>
      </c>
      <c r="F269" s="16" t="str">
        <f>IFNA(VLOOKUP($A269,Spells!$A$2:$I1002,MATCH(F$3,Spells!$A$1:$I$1,0),FALSE))</f>
        <v/>
      </c>
      <c r="G269" s="16" t="str">
        <f>IFNA(VLOOKUP($A269,Spells!$A$2:$I1002,MATCH(G$3,Spells!$A$1:$I$1,0),FALSE))</f>
        <v/>
      </c>
      <c r="H269" s="16" t="str">
        <f>IFNA(VLOOKUP($A269,Spells!$A$2:$I1002,MATCH(H$3,Spells!$A$1:$I$1,0),FALSE))</f>
        <v/>
      </c>
    </row>
    <row r="270">
      <c r="A270" s="16"/>
      <c r="B270" s="16" t="str">
        <f>IFNA(VLOOKUP($A270,Spells!$A$2:$I1002,MATCH(B$3,Spells!$A$1:$I$1,0),FALSE))</f>
        <v/>
      </c>
      <c r="C270" s="16" t="str">
        <f>IFNA(VLOOKUP($A270,Spells!$A$2:$I1002,MATCH(C$3,Spells!$A$1:$I$1,0),FALSE))</f>
        <v/>
      </c>
      <c r="D270" s="16" t="str">
        <f>IFNA(VLOOKUP($A270,Spells!$A$2:$I1002,MATCH(D$3,Spells!$A$1:$I$1,0),FALSE))</f>
        <v/>
      </c>
      <c r="E270" s="16" t="str">
        <f>IFNA(VLOOKUP($A270,Spells!$A$2:$I1002,MATCH(E$3,Spells!$A$1:$I$1,0),FALSE))</f>
        <v/>
      </c>
      <c r="F270" s="16" t="str">
        <f>IFNA(VLOOKUP($A270,Spells!$A$2:$I1002,MATCH(F$3,Spells!$A$1:$I$1,0),FALSE))</f>
        <v/>
      </c>
      <c r="G270" s="16" t="str">
        <f>IFNA(VLOOKUP($A270,Spells!$A$2:$I1002,MATCH(G$3,Spells!$A$1:$I$1,0),FALSE))</f>
        <v/>
      </c>
      <c r="H270" s="16" t="str">
        <f>IFNA(VLOOKUP($A270,Spells!$A$2:$I1002,MATCH(H$3,Spells!$A$1:$I$1,0),FALSE))</f>
        <v/>
      </c>
    </row>
    <row r="271">
      <c r="A271" s="16"/>
      <c r="B271" s="16" t="str">
        <f>IFNA(VLOOKUP($A271,Spells!$A$2:$I1002,MATCH(B$3,Spells!$A$1:$I$1,0),FALSE))</f>
        <v/>
      </c>
      <c r="C271" s="16" t="str">
        <f>IFNA(VLOOKUP($A271,Spells!$A$2:$I1002,MATCH(C$3,Spells!$A$1:$I$1,0),FALSE))</f>
        <v/>
      </c>
      <c r="D271" s="16" t="str">
        <f>IFNA(VLOOKUP($A271,Spells!$A$2:$I1002,MATCH(D$3,Spells!$A$1:$I$1,0),FALSE))</f>
        <v/>
      </c>
      <c r="E271" s="16" t="str">
        <f>IFNA(VLOOKUP($A271,Spells!$A$2:$I1002,MATCH(E$3,Spells!$A$1:$I$1,0),FALSE))</f>
        <v/>
      </c>
      <c r="F271" s="16" t="str">
        <f>IFNA(VLOOKUP($A271,Spells!$A$2:$I1002,MATCH(F$3,Spells!$A$1:$I$1,0),FALSE))</f>
        <v/>
      </c>
      <c r="G271" s="16" t="str">
        <f>IFNA(VLOOKUP($A271,Spells!$A$2:$I1002,MATCH(G$3,Spells!$A$1:$I$1,0),FALSE))</f>
        <v/>
      </c>
      <c r="H271" s="16" t="str">
        <f>IFNA(VLOOKUP($A271,Spells!$A$2:$I1002,MATCH(H$3,Spells!$A$1:$I$1,0),FALSE))</f>
        <v/>
      </c>
    </row>
    <row r="272">
      <c r="A272" s="16"/>
      <c r="B272" s="16" t="str">
        <f>IFNA(VLOOKUP($A272,Spells!$A$2:$I1002,MATCH(B$3,Spells!$A$1:$I$1,0),FALSE))</f>
        <v/>
      </c>
      <c r="C272" s="16" t="str">
        <f>IFNA(VLOOKUP($A272,Spells!$A$2:$I1002,MATCH(C$3,Spells!$A$1:$I$1,0),FALSE))</f>
        <v/>
      </c>
      <c r="D272" s="16" t="str">
        <f>IFNA(VLOOKUP($A272,Spells!$A$2:$I1002,MATCH(D$3,Spells!$A$1:$I$1,0),FALSE))</f>
        <v/>
      </c>
      <c r="E272" s="16" t="str">
        <f>IFNA(VLOOKUP($A272,Spells!$A$2:$I1002,MATCH(E$3,Spells!$A$1:$I$1,0),FALSE))</f>
        <v/>
      </c>
      <c r="F272" s="16" t="str">
        <f>IFNA(VLOOKUP($A272,Spells!$A$2:$I1002,MATCH(F$3,Spells!$A$1:$I$1,0),FALSE))</f>
        <v/>
      </c>
      <c r="G272" s="16" t="str">
        <f>IFNA(VLOOKUP($A272,Spells!$A$2:$I1002,MATCH(G$3,Spells!$A$1:$I$1,0),FALSE))</f>
        <v/>
      </c>
      <c r="H272" s="16" t="str">
        <f>IFNA(VLOOKUP($A272,Spells!$A$2:$I1002,MATCH(H$3,Spells!$A$1:$I$1,0),FALSE))</f>
        <v/>
      </c>
    </row>
    <row r="273">
      <c r="A273" s="16"/>
      <c r="B273" s="16" t="str">
        <f>IFNA(VLOOKUP($A273,Spells!$A$2:$I1002,MATCH(B$3,Spells!$A$1:$I$1,0),FALSE))</f>
        <v/>
      </c>
      <c r="C273" s="16" t="str">
        <f>IFNA(VLOOKUP($A273,Spells!$A$2:$I1002,MATCH(C$3,Spells!$A$1:$I$1,0),FALSE))</f>
        <v/>
      </c>
      <c r="D273" s="16" t="str">
        <f>IFNA(VLOOKUP($A273,Spells!$A$2:$I1002,MATCH(D$3,Spells!$A$1:$I$1,0),FALSE))</f>
        <v/>
      </c>
      <c r="E273" s="16" t="str">
        <f>IFNA(VLOOKUP($A273,Spells!$A$2:$I1002,MATCH(E$3,Spells!$A$1:$I$1,0),FALSE))</f>
        <v/>
      </c>
      <c r="F273" s="16" t="str">
        <f>IFNA(VLOOKUP($A273,Spells!$A$2:$I1002,MATCH(F$3,Spells!$A$1:$I$1,0),FALSE))</f>
        <v/>
      </c>
      <c r="G273" s="16" t="str">
        <f>IFNA(VLOOKUP($A273,Spells!$A$2:$I1002,MATCH(G$3,Spells!$A$1:$I$1,0),FALSE))</f>
        <v/>
      </c>
      <c r="H273" s="16" t="str">
        <f>IFNA(VLOOKUP($A273,Spells!$A$2:$I1002,MATCH(H$3,Spells!$A$1:$I$1,0),FALSE))</f>
        <v/>
      </c>
    </row>
    <row r="274">
      <c r="A274" s="16"/>
      <c r="B274" s="16" t="str">
        <f>IFNA(VLOOKUP($A274,Spells!$A$2:$I1002,MATCH(B$3,Spells!$A$1:$I$1,0),FALSE))</f>
        <v/>
      </c>
      <c r="C274" s="16" t="str">
        <f>IFNA(VLOOKUP($A274,Spells!$A$2:$I1002,MATCH(C$3,Spells!$A$1:$I$1,0),FALSE))</f>
        <v/>
      </c>
      <c r="D274" s="16" t="str">
        <f>IFNA(VLOOKUP($A274,Spells!$A$2:$I1002,MATCH(D$3,Spells!$A$1:$I$1,0),FALSE))</f>
        <v/>
      </c>
      <c r="E274" s="16" t="str">
        <f>IFNA(VLOOKUP($A274,Spells!$A$2:$I1002,MATCH(E$3,Spells!$A$1:$I$1,0),FALSE))</f>
        <v/>
      </c>
      <c r="F274" s="16" t="str">
        <f>IFNA(VLOOKUP($A274,Spells!$A$2:$I1002,MATCH(F$3,Spells!$A$1:$I$1,0),FALSE))</f>
        <v/>
      </c>
      <c r="G274" s="16" t="str">
        <f>IFNA(VLOOKUP($A274,Spells!$A$2:$I1002,MATCH(G$3,Spells!$A$1:$I$1,0),FALSE))</f>
        <v/>
      </c>
      <c r="H274" s="16" t="str">
        <f>IFNA(VLOOKUP($A274,Spells!$A$2:$I1002,MATCH(H$3,Spells!$A$1:$I$1,0),FALSE))</f>
        <v/>
      </c>
    </row>
    <row r="275">
      <c r="A275" s="16"/>
      <c r="B275" s="16" t="str">
        <f>IFNA(VLOOKUP($A275,Spells!$A$2:$I1002,MATCH(B$3,Spells!$A$1:$I$1,0),FALSE))</f>
        <v/>
      </c>
      <c r="C275" s="16" t="str">
        <f>IFNA(VLOOKUP($A275,Spells!$A$2:$I1002,MATCH(C$3,Spells!$A$1:$I$1,0),FALSE))</f>
        <v/>
      </c>
      <c r="D275" s="16" t="str">
        <f>IFNA(VLOOKUP($A275,Spells!$A$2:$I1002,MATCH(D$3,Spells!$A$1:$I$1,0),FALSE))</f>
        <v/>
      </c>
      <c r="E275" s="16" t="str">
        <f>IFNA(VLOOKUP($A275,Spells!$A$2:$I1002,MATCH(E$3,Spells!$A$1:$I$1,0),FALSE))</f>
        <v/>
      </c>
      <c r="F275" s="16" t="str">
        <f>IFNA(VLOOKUP($A275,Spells!$A$2:$I1002,MATCH(F$3,Spells!$A$1:$I$1,0),FALSE))</f>
        <v/>
      </c>
      <c r="G275" s="16" t="str">
        <f>IFNA(VLOOKUP($A275,Spells!$A$2:$I1002,MATCH(G$3,Spells!$A$1:$I$1,0),FALSE))</f>
        <v/>
      </c>
      <c r="H275" s="16" t="str">
        <f>IFNA(VLOOKUP($A275,Spells!$A$2:$I1002,MATCH(H$3,Spells!$A$1:$I$1,0),FALSE))</f>
        <v/>
      </c>
    </row>
    <row r="276">
      <c r="A276" s="16"/>
      <c r="B276" s="16" t="str">
        <f>IFNA(VLOOKUP($A276,Spells!$A$2:$I1002,MATCH(B$3,Spells!$A$1:$I$1,0),FALSE))</f>
        <v/>
      </c>
      <c r="C276" s="16" t="str">
        <f>IFNA(VLOOKUP($A276,Spells!$A$2:$I1002,MATCH(C$3,Spells!$A$1:$I$1,0),FALSE))</f>
        <v/>
      </c>
      <c r="D276" s="16" t="str">
        <f>IFNA(VLOOKUP($A276,Spells!$A$2:$I1002,MATCH(D$3,Spells!$A$1:$I$1,0),FALSE))</f>
        <v/>
      </c>
      <c r="E276" s="16" t="str">
        <f>IFNA(VLOOKUP($A276,Spells!$A$2:$I1002,MATCH(E$3,Spells!$A$1:$I$1,0),FALSE))</f>
        <v/>
      </c>
      <c r="F276" s="16" t="str">
        <f>IFNA(VLOOKUP($A276,Spells!$A$2:$I1002,MATCH(F$3,Spells!$A$1:$I$1,0),FALSE))</f>
        <v/>
      </c>
      <c r="G276" s="16" t="str">
        <f>IFNA(VLOOKUP($A276,Spells!$A$2:$I1002,MATCH(G$3,Spells!$A$1:$I$1,0),FALSE))</f>
        <v/>
      </c>
      <c r="H276" s="16" t="str">
        <f>IFNA(VLOOKUP($A276,Spells!$A$2:$I1002,MATCH(H$3,Spells!$A$1:$I$1,0),FALSE))</f>
        <v/>
      </c>
    </row>
    <row r="277">
      <c r="A277" s="16"/>
      <c r="B277" s="16" t="str">
        <f>IFNA(VLOOKUP($A277,Spells!$A$2:$I1002,MATCH(B$3,Spells!$A$1:$I$1,0),FALSE))</f>
        <v/>
      </c>
      <c r="C277" s="16" t="str">
        <f>IFNA(VLOOKUP($A277,Spells!$A$2:$I1002,MATCH(C$3,Spells!$A$1:$I$1,0),FALSE))</f>
        <v/>
      </c>
      <c r="D277" s="16" t="str">
        <f>IFNA(VLOOKUP($A277,Spells!$A$2:$I1002,MATCH(D$3,Spells!$A$1:$I$1,0),FALSE))</f>
        <v/>
      </c>
      <c r="E277" s="16" t="str">
        <f>IFNA(VLOOKUP($A277,Spells!$A$2:$I1002,MATCH(E$3,Spells!$A$1:$I$1,0),FALSE))</f>
        <v/>
      </c>
      <c r="F277" s="16" t="str">
        <f>IFNA(VLOOKUP($A277,Spells!$A$2:$I1002,MATCH(F$3,Spells!$A$1:$I$1,0),FALSE))</f>
        <v/>
      </c>
      <c r="G277" s="16" t="str">
        <f>IFNA(VLOOKUP($A277,Spells!$A$2:$I1002,MATCH(G$3,Spells!$A$1:$I$1,0),FALSE))</f>
        <v/>
      </c>
      <c r="H277" s="16" t="str">
        <f>IFNA(VLOOKUP($A277,Spells!$A$2:$I1002,MATCH(H$3,Spells!$A$1:$I$1,0),FALSE))</f>
        <v/>
      </c>
    </row>
    <row r="278">
      <c r="A278" s="16"/>
      <c r="B278" s="16" t="str">
        <f>IFNA(VLOOKUP($A278,Spells!$A$2:$I1002,MATCH(B$3,Spells!$A$1:$I$1,0),FALSE))</f>
        <v/>
      </c>
      <c r="C278" s="16" t="str">
        <f>IFNA(VLOOKUP($A278,Spells!$A$2:$I1002,MATCH(C$3,Spells!$A$1:$I$1,0),FALSE))</f>
        <v/>
      </c>
      <c r="D278" s="16" t="str">
        <f>IFNA(VLOOKUP($A278,Spells!$A$2:$I1002,MATCH(D$3,Spells!$A$1:$I$1,0),FALSE))</f>
        <v/>
      </c>
      <c r="E278" s="16" t="str">
        <f>IFNA(VLOOKUP($A278,Spells!$A$2:$I1002,MATCH(E$3,Spells!$A$1:$I$1,0),FALSE))</f>
        <v/>
      </c>
      <c r="F278" s="16" t="str">
        <f>IFNA(VLOOKUP($A278,Spells!$A$2:$I1002,MATCH(F$3,Spells!$A$1:$I$1,0),FALSE))</f>
        <v/>
      </c>
      <c r="G278" s="16" t="str">
        <f>IFNA(VLOOKUP($A278,Spells!$A$2:$I1002,MATCH(G$3,Spells!$A$1:$I$1,0),FALSE))</f>
        <v/>
      </c>
      <c r="H278" s="16" t="str">
        <f>IFNA(VLOOKUP($A278,Spells!$A$2:$I1002,MATCH(H$3,Spells!$A$1:$I$1,0),FALSE))</f>
        <v/>
      </c>
    </row>
    <row r="279">
      <c r="A279" s="16"/>
      <c r="B279" s="16" t="str">
        <f>IFNA(VLOOKUP($A279,Spells!$A$2:$I1002,MATCH(B$3,Spells!$A$1:$I$1,0),FALSE))</f>
        <v/>
      </c>
      <c r="C279" s="16" t="str">
        <f>IFNA(VLOOKUP($A279,Spells!$A$2:$I1002,MATCH(C$3,Spells!$A$1:$I$1,0),FALSE))</f>
        <v/>
      </c>
      <c r="D279" s="16" t="str">
        <f>IFNA(VLOOKUP($A279,Spells!$A$2:$I1002,MATCH(D$3,Spells!$A$1:$I$1,0),FALSE))</f>
        <v/>
      </c>
      <c r="E279" s="16" t="str">
        <f>IFNA(VLOOKUP($A279,Spells!$A$2:$I1002,MATCH(E$3,Spells!$A$1:$I$1,0),FALSE))</f>
        <v/>
      </c>
      <c r="F279" s="16" t="str">
        <f>IFNA(VLOOKUP($A279,Spells!$A$2:$I1002,MATCH(F$3,Spells!$A$1:$I$1,0),FALSE))</f>
        <v/>
      </c>
      <c r="G279" s="16" t="str">
        <f>IFNA(VLOOKUP($A279,Spells!$A$2:$I1002,MATCH(G$3,Spells!$A$1:$I$1,0),FALSE))</f>
        <v/>
      </c>
      <c r="H279" s="16" t="str">
        <f>IFNA(VLOOKUP($A279,Spells!$A$2:$I1002,MATCH(H$3,Spells!$A$1:$I$1,0),FALSE))</f>
        <v/>
      </c>
    </row>
    <row r="280">
      <c r="A280" s="16"/>
      <c r="B280" s="16" t="str">
        <f>IFNA(VLOOKUP($A280,Spells!$A$2:$I1002,MATCH(B$3,Spells!$A$1:$I$1,0),FALSE))</f>
        <v/>
      </c>
      <c r="C280" s="16" t="str">
        <f>IFNA(VLOOKUP($A280,Spells!$A$2:$I1002,MATCH(C$3,Spells!$A$1:$I$1,0),FALSE))</f>
        <v/>
      </c>
      <c r="D280" s="16" t="str">
        <f>IFNA(VLOOKUP($A280,Spells!$A$2:$I1002,MATCH(D$3,Spells!$A$1:$I$1,0),FALSE))</f>
        <v/>
      </c>
      <c r="E280" s="16" t="str">
        <f>IFNA(VLOOKUP($A280,Spells!$A$2:$I1002,MATCH(E$3,Spells!$A$1:$I$1,0),FALSE))</f>
        <v/>
      </c>
      <c r="F280" s="16" t="str">
        <f>IFNA(VLOOKUP($A280,Spells!$A$2:$I1002,MATCH(F$3,Spells!$A$1:$I$1,0),FALSE))</f>
        <v/>
      </c>
      <c r="G280" s="16" t="str">
        <f>IFNA(VLOOKUP($A280,Spells!$A$2:$I1002,MATCH(G$3,Spells!$A$1:$I$1,0),FALSE))</f>
        <v/>
      </c>
      <c r="H280" s="16" t="str">
        <f>IFNA(VLOOKUP($A280,Spells!$A$2:$I1002,MATCH(H$3,Spells!$A$1:$I$1,0),FALSE))</f>
        <v/>
      </c>
    </row>
    <row r="281">
      <c r="A281" s="16"/>
      <c r="B281" s="16" t="str">
        <f>IFNA(VLOOKUP($A281,Spells!$A$2:$I1002,MATCH(B$3,Spells!$A$1:$I$1,0),FALSE))</f>
        <v/>
      </c>
      <c r="C281" s="16" t="str">
        <f>IFNA(VLOOKUP($A281,Spells!$A$2:$I1002,MATCH(C$3,Spells!$A$1:$I$1,0),FALSE))</f>
        <v/>
      </c>
      <c r="D281" s="16" t="str">
        <f>IFNA(VLOOKUP($A281,Spells!$A$2:$I1002,MATCH(D$3,Spells!$A$1:$I$1,0),FALSE))</f>
        <v/>
      </c>
      <c r="E281" s="16" t="str">
        <f>IFNA(VLOOKUP($A281,Spells!$A$2:$I1002,MATCH(E$3,Spells!$A$1:$I$1,0),FALSE))</f>
        <v/>
      </c>
      <c r="F281" s="16" t="str">
        <f>IFNA(VLOOKUP($A281,Spells!$A$2:$I1002,MATCH(F$3,Spells!$A$1:$I$1,0),FALSE))</f>
        <v/>
      </c>
      <c r="G281" s="16" t="str">
        <f>IFNA(VLOOKUP($A281,Spells!$A$2:$I1002,MATCH(G$3,Spells!$A$1:$I$1,0),FALSE))</f>
        <v/>
      </c>
      <c r="H281" s="16" t="str">
        <f>IFNA(VLOOKUP($A281,Spells!$A$2:$I1002,MATCH(H$3,Spells!$A$1:$I$1,0),FALSE))</f>
        <v/>
      </c>
    </row>
    <row r="282">
      <c r="A282" s="16"/>
      <c r="B282" s="16" t="str">
        <f>IFNA(VLOOKUP($A282,Spells!$A$2:$I1002,MATCH(B$3,Spells!$A$1:$I$1,0),FALSE))</f>
        <v/>
      </c>
      <c r="C282" s="16" t="str">
        <f>IFNA(VLOOKUP($A282,Spells!$A$2:$I1002,MATCH(C$3,Spells!$A$1:$I$1,0),FALSE))</f>
        <v/>
      </c>
      <c r="D282" s="16" t="str">
        <f>IFNA(VLOOKUP($A282,Spells!$A$2:$I1002,MATCH(D$3,Spells!$A$1:$I$1,0),FALSE))</f>
        <v/>
      </c>
      <c r="E282" s="16" t="str">
        <f>IFNA(VLOOKUP($A282,Spells!$A$2:$I1002,MATCH(E$3,Spells!$A$1:$I$1,0),FALSE))</f>
        <v/>
      </c>
      <c r="F282" s="16" t="str">
        <f>IFNA(VLOOKUP($A282,Spells!$A$2:$I1002,MATCH(F$3,Spells!$A$1:$I$1,0),FALSE))</f>
        <v/>
      </c>
      <c r="G282" s="16" t="str">
        <f>IFNA(VLOOKUP($A282,Spells!$A$2:$I1002,MATCH(G$3,Spells!$A$1:$I$1,0),FALSE))</f>
        <v/>
      </c>
      <c r="H282" s="16" t="str">
        <f>IFNA(VLOOKUP($A282,Spells!$A$2:$I1002,MATCH(H$3,Spells!$A$1:$I$1,0),FALSE))</f>
        <v/>
      </c>
    </row>
    <row r="283">
      <c r="A283" s="16"/>
      <c r="B283" s="16" t="str">
        <f>IFNA(VLOOKUP($A283,Spells!$A$2:$I1002,MATCH(B$3,Spells!$A$1:$I$1,0),FALSE))</f>
        <v/>
      </c>
      <c r="C283" s="16" t="str">
        <f>IFNA(VLOOKUP($A283,Spells!$A$2:$I1002,MATCH(C$3,Spells!$A$1:$I$1,0),FALSE))</f>
        <v/>
      </c>
      <c r="D283" s="16" t="str">
        <f>IFNA(VLOOKUP($A283,Spells!$A$2:$I1002,MATCH(D$3,Spells!$A$1:$I$1,0),FALSE))</f>
        <v/>
      </c>
      <c r="E283" s="16" t="str">
        <f>IFNA(VLOOKUP($A283,Spells!$A$2:$I1002,MATCH(E$3,Spells!$A$1:$I$1,0),FALSE))</f>
        <v/>
      </c>
      <c r="F283" s="16" t="str">
        <f>IFNA(VLOOKUP($A283,Spells!$A$2:$I1002,MATCH(F$3,Spells!$A$1:$I$1,0),FALSE))</f>
        <v/>
      </c>
      <c r="G283" s="16" t="str">
        <f>IFNA(VLOOKUP($A283,Spells!$A$2:$I1002,MATCH(G$3,Spells!$A$1:$I$1,0),FALSE))</f>
        <v/>
      </c>
      <c r="H283" s="16" t="str">
        <f>IFNA(VLOOKUP($A283,Spells!$A$2:$I1002,MATCH(H$3,Spells!$A$1:$I$1,0),FALSE))</f>
        <v/>
      </c>
    </row>
    <row r="284">
      <c r="A284" s="16"/>
      <c r="B284" s="16" t="str">
        <f>IFNA(VLOOKUP($A284,Spells!$A$2:$I1002,MATCH(B$3,Spells!$A$1:$I$1,0),FALSE))</f>
        <v/>
      </c>
      <c r="C284" s="16" t="str">
        <f>IFNA(VLOOKUP($A284,Spells!$A$2:$I1002,MATCH(C$3,Spells!$A$1:$I$1,0),FALSE))</f>
        <v/>
      </c>
      <c r="D284" s="16" t="str">
        <f>IFNA(VLOOKUP($A284,Spells!$A$2:$I1002,MATCH(D$3,Spells!$A$1:$I$1,0),FALSE))</f>
        <v/>
      </c>
      <c r="E284" s="16" t="str">
        <f>IFNA(VLOOKUP($A284,Spells!$A$2:$I1002,MATCH(E$3,Spells!$A$1:$I$1,0),FALSE))</f>
        <v/>
      </c>
      <c r="F284" s="16" t="str">
        <f>IFNA(VLOOKUP($A284,Spells!$A$2:$I1002,MATCH(F$3,Spells!$A$1:$I$1,0),FALSE))</f>
        <v/>
      </c>
      <c r="G284" s="16" t="str">
        <f>IFNA(VLOOKUP($A284,Spells!$A$2:$I1002,MATCH(G$3,Spells!$A$1:$I$1,0),FALSE))</f>
        <v/>
      </c>
      <c r="H284" s="16" t="str">
        <f>IFNA(VLOOKUP($A284,Spells!$A$2:$I1002,MATCH(H$3,Spells!$A$1:$I$1,0),FALSE))</f>
        <v/>
      </c>
    </row>
    <row r="285">
      <c r="A285" s="16"/>
      <c r="B285" s="16" t="str">
        <f>IFNA(VLOOKUP($A285,Spells!$A$2:$I1002,MATCH(B$3,Spells!$A$1:$I$1,0),FALSE))</f>
        <v/>
      </c>
      <c r="C285" s="16" t="str">
        <f>IFNA(VLOOKUP($A285,Spells!$A$2:$I1002,MATCH(C$3,Spells!$A$1:$I$1,0),FALSE))</f>
        <v/>
      </c>
      <c r="D285" s="16" t="str">
        <f>IFNA(VLOOKUP($A285,Spells!$A$2:$I1002,MATCH(D$3,Spells!$A$1:$I$1,0),FALSE))</f>
        <v/>
      </c>
      <c r="E285" s="16" t="str">
        <f>IFNA(VLOOKUP($A285,Spells!$A$2:$I1002,MATCH(E$3,Spells!$A$1:$I$1,0),FALSE))</f>
        <v/>
      </c>
      <c r="F285" s="16" t="str">
        <f>IFNA(VLOOKUP($A285,Spells!$A$2:$I1002,MATCH(F$3,Spells!$A$1:$I$1,0),FALSE))</f>
        <v/>
      </c>
      <c r="G285" s="16" t="str">
        <f>IFNA(VLOOKUP($A285,Spells!$A$2:$I1002,MATCH(G$3,Spells!$A$1:$I$1,0),FALSE))</f>
        <v/>
      </c>
      <c r="H285" s="16" t="str">
        <f>IFNA(VLOOKUP($A285,Spells!$A$2:$I1002,MATCH(H$3,Spells!$A$1:$I$1,0),FALSE))</f>
        <v/>
      </c>
    </row>
    <row r="286">
      <c r="A286" s="16"/>
      <c r="B286" s="16" t="str">
        <f>IFNA(VLOOKUP($A286,Spells!$A$2:$I1002,MATCH(B$3,Spells!$A$1:$I$1,0),FALSE))</f>
        <v/>
      </c>
      <c r="C286" s="16" t="str">
        <f>IFNA(VLOOKUP($A286,Spells!$A$2:$I1002,MATCH(C$3,Spells!$A$1:$I$1,0),FALSE))</f>
        <v/>
      </c>
      <c r="D286" s="16" t="str">
        <f>IFNA(VLOOKUP($A286,Spells!$A$2:$I1002,MATCH(D$3,Spells!$A$1:$I$1,0),FALSE))</f>
        <v/>
      </c>
      <c r="E286" s="16" t="str">
        <f>IFNA(VLOOKUP($A286,Spells!$A$2:$I1002,MATCH(E$3,Spells!$A$1:$I$1,0),FALSE))</f>
        <v/>
      </c>
      <c r="F286" s="16" t="str">
        <f>IFNA(VLOOKUP($A286,Spells!$A$2:$I1002,MATCH(F$3,Spells!$A$1:$I$1,0),FALSE))</f>
        <v/>
      </c>
      <c r="G286" s="16" t="str">
        <f>IFNA(VLOOKUP($A286,Spells!$A$2:$I1002,MATCH(G$3,Spells!$A$1:$I$1,0),FALSE))</f>
        <v/>
      </c>
      <c r="H286" s="16" t="str">
        <f>IFNA(VLOOKUP($A286,Spells!$A$2:$I1002,MATCH(H$3,Spells!$A$1:$I$1,0),FALSE))</f>
        <v/>
      </c>
    </row>
    <row r="287">
      <c r="A287" s="16"/>
      <c r="B287" s="16" t="str">
        <f>IFNA(VLOOKUP($A287,Spells!$A$2:$I1002,MATCH(B$3,Spells!$A$1:$I$1,0),FALSE))</f>
        <v/>
      </c>
      <c r="C287" s="16" t="str">
        <f>IFNA(VLOOKUP($A287,Spells!$A$2:$I1002,MATCH(C$3,Spells!$A$1:$I$1,0),FALSE))</f>
        <v/>
      </c>
      <c r="D287" s="16" t="str">
        <f>IFNA(VLOOKUP($A287,Spells!$A$2:$I1002,MATCH(D$3,Spells!$A$1:$I$1,0),FALSE))</f>
        <v/>
      </c>
      <c r="E287" s="16" t="str">
        <f>IFNA(VLOOKUP($A287,Spells!$A$2:$I1002,MATCH(E$3,Spells!$A$1:$I$1,0),FALSE))</f>
        <v/>
      </c>
      <c r="F287" s="16" t="str">
        <f>IFNA(VLOOKUP($A287,Spells!$A$2:$I1002,MATCH(F$3,Spells!$A$1:$I$1,0),FALSE))</f>
        <v/>
      </c>
      <c r="G287" s="16" t="str">
        <f>IFNA(VLOOKUP($A287,Spells!$A$2:$I1002,MATCH(G$3,Spells!$A$1:$I$1,0),FALSE))</f>
        <v/>
      </c>
      <c r="H287" s="16" t="str">
        <f>IFNA(VLOOKUP($A287,Spells!$A$2:$I1002,MATCH(H$3,Spells!$A$1:$I$1,0),FALSE))</f>
        <v/>
      </c>
    </row>
    <row r="288">
      <c r="A288" s="16"/>
      <c r="B288" s="16" t="str">
        <f>IFNA(VLOOKUP($A288,Spells!$A$2:$I1002,MATCH(B$3,Spells!$A$1:$I$1,0),FALSE))</f>
        <v/>
      </c>
      <c r="C288" s="16" t="str">
        <f>IFNA(VLOOKUP($A288,Spells!$A$2:$I1002,MATCH(C$3,Spells!$A$1:$I$1,0),FALSE))</f>
        <v/>
      </c>
      <c r="D288" s="16" t="str">
        <f>IFNA(VLOOKUP($A288,Spells!$A$2:$I1002,MATCH(D$3,Spells!$A$1:$I$1,0),FALSE))</f>
        <v/>
      </c>
      <c r="E288" s="16" t="str">
        <f>IFNA(VLOOKUP($A288,Spells!$A$2:$I1002,MATCH(E$3,Spells!$A$1:$I$1,0),FALSE))</f>
        <v/>
      </c>
      <c r="F288" s="16" t="str">
        <f>IFNA(VLOOKUP($A288,Spells!$A$2:$I1002,MATCH(F$3,Spells!$A$1:$I$1,0),FALSE))</f>
        <v/>
      </c>
      <c r="G288" s="16" t="str">
        <f>IFNA(VLOOKUP($A288,Spells!$A$2:$I1002,MATCH(G$3,Spells!$A$1:$I$1,0),FALSE))</f>
        <v/>
      </c>
      <c r="H288" s="16" t="str">
        <f>IFNA(VLOOKUP($A288,Spells!$A$2:$I1002,MATCH(H$3,Spells!$A$1:$I$1,0),FALSE))</f>
        <v/>
      </c>
    </row>
    <row r="289">
      <c r="A289" s="16"/>
      <c r="B289" s="16" t="str">
        <f>IFNA(VLOOKUP($A289,Spells!$A$2:$I1002,MATCH(B$3,Spells!$A$1:$I$1,0),FALSE))</f>
        <v/>
      </c>
      <c r="C289" s="16" t="str">
        <f>IFNA(VLOOKUP($A289,Spells!$A$2:$I1002,MATCH(C$3,Spells!$A$1:$I$1,0),FALSE))</f>
        <v/>
      </c>
      <c r="D289" s="16" t="str">
        <f>IFNA(VLOOKUP($A289,Spells!$A$2:$I1002,MATCH(D$3,Spells!$A$1:$I$1,0),FALSE))</f>
        <v/>
      </c>
      <c r="E289" s="16" t="str">
        <f>IFNA(VLOOKUP($A289,Spells!$A$2:$I1002,MATCH(E$3,Spells!$A$1:$I$1,0),FALSE))</f>
        <v/>
      </c>
      <c r="F289" s="16" t="str">
        <f>IFNA(VLOOKUP($A289,Spells!$A$2:$I1002,MATCH(F$3,Spells!$A$1:$I$1,0),FALSE))</f>
        <v/>
      </c>
      <c r="G289" s="16" t="str">
        <f>IFNA(VLOOKUP($A289,Spells!$A$2:$I1002,MATCH(G$3,Spells!$A$1:$I$1,0),FALSE))</f>
        <v/>
      </c>
      <c r="H289" s="16" t="str">
        <f>IFNA(VLOOKUP($A289,Spells!$A$2:$I1002,MATCH(H$3,Spells!$A$1:$I$1,0),FALSE))</f>
        <v/>
      </c>
    </row>
    <row r="290">
      <c r="A290" s="16"/>
      <c r="B290" s="16" t="str">
        <f>IFNA(VLOOKUP($A290,Spells!$A$2:$I1002,MATCH(B$3,Spells!$A$1:$I$1,0),FALSE))</f>
        <v/>
      </c>
      <c r="C290" s="16" t="str">
        <f>IFNA(VLOOKUP($A290,Spells!$A$2:$I1002,MATCH(C$3,Spells!$A$1:$I$1,0),FALSE))</f>
        <v/>
      </c>
      <c r="D290" s="16" t="str">
        <f>IFNA(VLOOKUP($A290,Spells!$A$2:$I1002,MATCH(D$3,Spells!$A$1:$I$1,0),FALSE))</f>
        <v/>
      </c>
      <c r="E290" s="16" t="str">
        <f>IFNA(VLOOKUP($A290,Spells!$A$2:$I1002,MATCH(E$3,Spells!$A$1:$I$1,0),FALSE))</f>
        <v/>
      </c>
      <c r="F290" s="16" t="str">
        <f>IFNA(VLOOKUP($A290,Spells!$A$2:$I1002,MATCH(F$3,Spells!$A$1:$I$1,0),FALSE))</f>
        <v/>
      </c>
      <c r="G290" s="16" t="str">
        <f>IFNA(VLOOKUP($A290,Spells!$A$2:$I1002,MATCH(G$3,Spells!$A$1:$I$1,0),FALSE))</f>
        <v/>
      </c>
      <c r="H290" s="16" t="str">
        <f>IFNA(VLOOKUP($A290,Spells!$A$2:$I1002,MATCH(H$3,Spells!$A$1:$I$1,0),FALSE))</f>
        <v/>
      </c>
    </row>
    <row r="291">
      <c r="A291" s="16"/>
      <c r="B291" s="16" t="str">
        <f>IFNA(VLOOKUP($A291,Spells!$A$2:$I1002,MATCH(B$3,Spells!$A$1:$I$1,0),FALSE))</f>
        <v/>
      </c>
      <c r="C291" s="16" t="str">
        <f>IFNA(VLOOKUP($A291,Spells!$A$2:$I1002,MATCH(C$3,Spells!$A$1:$I$1,0),FALSE))</f>
        <v/>
      </c>
      <c r="D291" s="16" t="str">
        <f>IFNA(VLOOKUP($A291,Spells!$A$2:$I1002,MATCH(D$3,Spells!$A$1:$I$1,0),FALSE))</f>
        <v/>
      </c>
      <c r="E291" s="16" t="str">
        <f>IFNA(VLOOKUP($A291,Spells!$A$2:$I1002,MATCH(E$3,Spells!$A$1:$I$1,0),FALSE))</f>
        <v/>
      </c>
      <c r="F291" s="16" t="str">
        <f>IFNA(VLOOKUP($A291,Spells!$A$2:$I1002,MATCH(F$3,Spells!$A$1:$I$1,0),FALSE))</f>
        <v/>
      </c>
      <c r="G291" s="16" t="str">
        <f>IFNA(VLOOKUP($A291,Spells!$A$2:$I1002,MATCH(G$3,Spells!$A$1:$I$1,0),FALSE))</f>
        <v/>
      </c>
      <c r="H291" s="16" t="str">
        <f>IFNA(VLOOKUP($A291,Spells!$A$2:$I1002,MATCH(H$3,Spells!$A$1:$I$1,0),FALSE))</f>
        <v/>
      </c>
    </row>
    <row r="292">
      <c r="A292" s="16"/>
      <c r="B292" s="16" t="str">
        <f>IFNA(VLOOKUP($A292,Spells!$A$2:$I1002,MATCH(B$3,Spells!$A$1:$I$1,0),FALSE))</f>
        <v/>
      </c>
      <c r="C292" s="16" t="str">
        <f>IFNA(VLOOKUP($A292,Spells!$A$2:$I1002,MATCH(C$3,Spells!$A$1:$I$1,0),FALSE))</f>
        <v/>
      </c>
      <c r="D292" s="16" t="str">
        <f>IFNA(VLOOKUP($A292,Spells!$A$2:$I1002,MATCH(D$3,Spells!$A$1:$I$1,0),FALSE))</f>
        <v/>
      </c>
      <c r="E292" s="16" t="str">
        <f>IFNA(VLOOKUP($A292,Spells!$A$2:$I1002,MATCH(E$3,Spells!$A$1:$I$1,0),FALSE))</f>
        <v/>
      </c>
      <c r="F292" s="16" t="str">
        <f>IFNA(VLOOKUP($A292,Spells!$A$2:$I1002,MATCH(F$3,Spells!$A$1:$I$1,0),FALSE))</f>
        <v/>
      </c>
      <c r="G292" s="16" t="str">
        <f>IFNA(VLOOKUP($A292,Spells!$A$2:$I1002,MATCH(G$3,Spells!$A$1:$I$1,0),FALSE))</f>
        <v/>
      </c>
      <c r="H292" s="16" t="str">
        <f>IFNA(VLOOKUP($A292,Spells!$A$2:$I1002,MATCH(H$3,Spells!$A$1:$I$1,0),FALSE))</f>
        <v/>
      </c>
    </row>
    <row r="293">
      <c r="A293" s="16"/>
      <c r="B293" s="16" t="str">
        <f>IFNA(VLOOKUP($A293,Spells!$A$2:$I1002,MATCH(B$3,Spells!$A$1:$I$1,0),FALSE))</f>
        <v/>
      </c>
      <c r="C293" s="16" t="str">
        <f>IFNA(VLOOKUP($A293,Spells!$A$2:$I1002,MATCH(C$3,Spells!$A$1:$I$1,0),FALSE))</f>
        <v/>
      </c>
      <c r="D293" s="16" t="str">
        <f>IFNA(VLOOKUP($A293,Spells!$A$2:$I1002,MATCH(D$3,Spells!$A$1:$I$1,0),FALSE))</f>
        <v/>
      </c>
      <c r="E293" s="16" t="str">
        <f>IFNA(VLOOKUP($A293,Spells!$A$2:$I1002,MATCH(E$3,Spells!$A$1:$I$1,0),FALSE))</f>
        <v/>
      </c>
      <c r="F293" s="16" t="str">
        <f>IFNA(VLOOKUP($A293,Spells!$A$2:$I1002,MATCH(F$3,Spells!$A$1:$I$1,0),FALSE))</f>
        <v/>
      </c>
      <c r="G293" s="16" t="str">
        <f>IFNA(VLOOKUP($A293,Spells!$A$2:$I1002,MATCH(G$3,Spells!$A$1:$I$1,0),FALSE))</f>
        <v/>
      </c>
      <c r="H293" s="16" t="str">
        <f>IFNA(VLOOKUP($A293,Spells!$A$2:$I1002,MATCH(H$3,Spells!$A$1:$I$1,0),FALSE))</f>
        <v/>
      </c>
    </row>
    <row r="294">
      <c r="A294" s="16"/>
      <c r="B294" s="16" t="str">
        <f>IFNA(VLOOKUP($A294,Spells!$A$2:$I1002,MATCH(B$3,Spells!$A$1:$I$1,0),FALSE))</f>
        <v/>
      </c>
      <c r="C294" s="16" t="str">
        <f>IFNA(VLOOKUP($A294,Spells!$A$2:$I1002,MATCH(C$3,Spells!$A$1:$I$1,0),FALSE))</f>
        <v/>
      </c>
      <c r="D294" s="16" t="str">
        <f>IFNA(VLOOKUP($A294,Spells!$A$2:$I1002,MATCH(D$3,Spells!$A$1:$I$1,0),FALSE))</f>
        <v/>
      </c>
      <c r="E294" s="16" t="str">
        <f>IFNA(VLOOKUP($A294,Spells!$A$2:$I1002,MATCH(E$3,Spells!$A$1:$I$1,0),FALSE))</f>
        <v/>
      </c>
      <c r="F294" s="16" t="str">
        <f>IFNA(VLOOKUP($A294,Spells!$A$2:$I1002,MATCH(F$3,Spells!$A$1:$I$1,0),FALSE))</f>
        <v/>
      </c>
      <c r="G294" s="16" t="str">
        <f>IFNA(VLOOKUP($A294,Spells!$A$2:$I1002,MATCH(G$3,Spells!$A$1:$I$1,0),FALSE))</f>
        <v/>
      </c>
      <c r="H294" s="16" t="str">
        <f>IFNA(VLOOKUP($A294,Spells!$A$2:$I1002,MATCH(H$3,Spells!$A$1:$I$1,0),FALSE))</f>
        <v/>
      </c>
    </row>
    <row r="295">
      <c r="A295" s="16"/>
      <c r="B295" s="16" t="str">
        <f>IFNA(VLOOKUP($A295,Spells!$A$2:$I1002,MATCH(B$3,Spells!$A$1:$I$1,0),FALSE))</f>
        <v/>
      </c>
      <c r="C295" s="16" t="str">
        <f>IFNA(VLOOKUP($A295,Spells!$A$2:$I1002,MATCH(C$3,Spells!$A$1:$I$1,0),FALSE))</f>
        <v/>
      </c>
      <c r="D295" s="16" t="str">
        <f>IFNA(VLOOKUP($A295,Spells!$A$2:$I1002,MATCH(D$3,Spells!$A$1:$I$1,0),FALSE))</f>
        <v/>
      </c>
      <c r="E295" s="16" t="str">
        <f>IFNA(VLOOKUP($A295,Spells!$A$2:$I1002,MATCH(E$3,Spells!$A$1:$I$1,0),FALSE))</f>
        <v/>
      </c>
      <c r="F295" s="16" t="str">
        <f>IFNA(VLOOKUP($A295,Spells!$A$2:$I1002,MATCH(F$3,Spells!$A$1:$I$1,0),FALSE))</f>
        <v/>
      </c>
      <c r="G295" s="16" t="str">
        <f>IFNA(VLOOKUP($A295,Spells!$A$2:$I1002,MATCH(G$3,Spells!$A$1:$I$1,0),FALSE))</f>
        <v/>
      </c>
      <c r="H295" s="16" t="str">
        <f>IFNA(VLOOKUP($A295,Spells!$A$2:$I1002,MATCH(H$3,Spells!$A$1:$I$1,0),FALSE))</f>
        <v/>
      </c>
    </row>
    <row r="296">
      <c r="A296" s="16"/>
      <c r="B296" s="16" t="str">
        <f>IFNA(VLOOKUP($A296,Spells!$A$2:$I1002,MATCH(B$3,Spells!$A$1:$I$1,0),FALSE))</f>
        <v/>
      </c>
      <c r="C296" s="16" t="str">
        <f>IFNA(VLOOKUP($A296,Spells!$A$2:$I1002,MATCH(C$3,Spells!$A$1:$I$1,0),FALSE))</f>
        <v/>
      </c>
      <c r="D296" s="16" t="str">
        <f>IFNA(VLOOKUP($A296,Spells!$A$2:$I1002,MATCH(D$3,Spells!$A$1:$I$1,0),FALSE))</f>
        <v/>
      </c>
      <c r="E296" s="16" t="str">
        <f>IFNA(VLOOKUP($A296,Spells!$A$2:$I1002,MATCH(E$3,Spells!$A$1:$I$1,0),FALSE))</f>
        <v/>
      </c>
      <c r="F296" s="16" t="str">
        <f>IFNA(VLOOKUP($A296,Spells!$A$2:$I1002,MATCH(F$3,Spells!$A$1:$I$1,0),FALSE))</f>
        <v/>
      </c>
      <c r="G296" s="16" t="str">
        <f>IFNA(VLOOKUP($A296,Spells!$A$2:$I1002,MATCH(G$3,Spells!$A$1:$I$1,0),FALSE))</f>
        <v/>
      </c>
      <c r="H296" s="16" t="str">
        <f>IFNA(VLOOKUP($A296,Spells!$A$2:$I1002,MATCH(H$3,Spells!$A$1:$I$1,0),FALSE))</f>
        <v/>
      </c>
    </row>
    <row r="297">
      <c r="A297" s="16"/>
      <c r="B297" s="16" t="str">
        <f>IFNA(VLOOKUP($A297,Spells!$A$2:$I1002,MATCH(B$3,Spells!$A$1:$I$1,0),FALSE))</f>
        <v/>
      </c>
      <c r="C297" s="16" t="str">
        <f>IFNA(VLOOKUP($A297,Spells!$A$2:$I1002,MATCH(C$3,Spells!$A$1:$I$1,0),FALSE))</f>
        <v/>
      </c>
      <c r="D297" s="16" t="str">
        <f>IFNA(VLOOKUP($A297,Spells!$A$2:$I1002,MATCH(D$3,Spells!$A$1:$I$1,0),FALSE))</f>
        <v/>
      </c>
      <c r="E297" s="16" t="str">
        <f>IFNA(VLOOKUP($A297,Spells!$A$2:$I1002,MATCH(E$3,Spells!$A$1:$I$1,0),FALSE))</f>
        <v/>
      </c>
      <c r="F297" s="16" t="str">
        <f>IFNA(VLOOKUP($A297,Spells!$A$2:$I1002,MATCH(F$3,Spells!$A$1:$I$1,0),FALSE))</f>
        <v/>
      </c>
      <c r="G297" s="16" t="str">
        <f>IFNA(VLOOKUP($A297,Spells!$A$2:$I1002,MATCH(G$3,Spells!$A$1:$I$1,0),FALSE))</f>
        <v/>
      </c>
      <c r="H297" s="16" t="str">
        <f>IFNA(VLOOKUP($A297,Spells!$A$2:$I1002,MATCH(H$3,Spells!$A$1:$I$1,0),FALSE))</f>
        <v/>
      </c>
    </row>
    <row r="298">
      <c r="A298" s="16"/>
      <c r="B298" s="16" t="str">
        <f>IFNA(VLOOKUP($A298,Spells!$A$2:$I1002,MATCH(B$3,Spells!$A$1:$I$1,0),FALSE))</f>
        <v/>
      </c>
      <c r="C298" s="16" t="str">
        <f>IFNA(VLOOKUP($A298,Spells!$A$2:$I1002,MATCH(C$3,Spells!$A$1:$I$1,0),FALSE))</f>
        <v/>
      </c>
      <c r="D298" s="16" t="str">
        <f>IFNA(VLOOKUP($A298,Spells!$A$2:$I1002,MATCH(D$3,Spells!$A$1:$I$1,0),FALSE))</f>
        <v/>
      </c>
      <c r="E298" s="16" t="str">
        <f>IFNA(VLOOKUP($A298,Spells!$A$2:$I1002,MATCH(E$3,Spells!$A$1:$I$1,0),FALSE))</f>
        <v/>
      </c>
      <c r="F298" s="16" t="str">
        <f>IFNA(VLOOKUP($A298,Spells!$A$2:$I1002,MATCH(F$3,Spells!$A$1:$I$1,0),FALSE))</f>
        <v/>
      </c>
      <c r="G298" s="16" t="str">
        <f>IFNA(VLOOKUP($A298,Spells!$A$2:$I1002,MATCH(G$3,Spells!$A$1:$I$1,0),FALSE))</f>
        <v/>
      </c>
      <c r="H298" s="16" t="str">
        <f>IFNA(VLOOKUP($A298,Spells!$A$2:$I1002,MATCH(H$3,Spells!$A$1:$I$1,0),FALSE))</f>
        <v/>
      </c>
    </row>
    <row r="299">
      <c r="A299" s="16"/>
      <c r="B299" s="16" t="str">
        <f>IFNA(VLOOKUP($A299,Spells!$A$2:$I1002,MATCH(B$3,Spells!$A$1:$I$1,0),FALSE))</f>
        <v/>
      </c>
      <c r="C299" s="16" t="str">
        <f>IFNA(VLOOKUP($A299,Spells!$A$2:$I1002,MATCH(C$3,Spells!$A$1:$I$1,0),FALSE))</f>
        <v/>
      </c>
      <c r="D299" s="16" t="str">
        <f>IFNA(VLOOKUP($A299,Spells!$A$2:$I1002,MATCH(D$3,Spells!$A$1:$I$1,0),FALSE))</f>
        <v/>
      </c>
      <c r="E299" s="16" t="str">
        <f>IFNA(VLOOKUP($A299,Spells!$A$2:$I1002,MATCH(E$3,Spells!$A$1:$I$1,0),FALSE))</f>
        <v/>
      </c>
      <c r="F299" s="16" t="str">
        <f>IFNA(VLOOKUP($A299,Spells!$A$2:$I1002,MATCH(F$3,Spells!$A$1:$I$1,0),FALSE))</f>
        <v/>
      </c>
      <c r="G299" s="16" t="str">
        <f>IFNA(VLOOKUP($A299,Spells!$A$2:$I1002,MATCH(G$3,Spells!$A$1:$I$1,0),FALSE))</f>
        <v/>
      </c>
      <c r="H299" s="16" t="str">
        <f>IFNA(VLOOKUP($A299,Spells!$A$2:$I1002,MATCH(H$3,Spells!$A$1:$I$1,0),FALSE))</f>
        <v/>
      </c>
    </row>
    <row r="300">
      <c r="A300" s="16"/>
      <c r="B300" s="16" t="str">
        <f>IFNA(VLOOKUP($A300,Spells!$A$2:$I1002,MATCH(B$3,Spells!$A$1:$I$1,0),FALSE))</f>
        <v/>
      </c>
      <c r="C300" s="16" t="str">
        <f>IFNA(VLOOKUP($A300,Spells!$A$2:$I1002,MATCH(C$3,Spells!$A$1:$I$1,0),FALSE))</f>
        <v/>
      </c>
      <c r="D300" s="16" t="str">
        <f>IFNA(VLOOKUP($A300,Spells!$A$2:$I1002,MATCH(D$3,Spells!$A$1:$I$1,0),FALSE))</f>
        <v/>
      </c>
      <c r="E300" s="16" t="str">
        <f>IFNA(VLOOKUP($A300,Spells!$A$2:$I1002,MATCH(E$3,Spells!$A$1:$I$1,0),FALSE))</f>
        <v/>
      </c>
      <c r="F300" s="16" t="str">
        <f>IFNA(VLOOKUP($A300,Spells!$A$2:$I1002,MATCH(F$3,Spells!$A$1:$I$1,0),FALSE))</f>
        <v/>
      </c>
      <c r="G300" s="16" t="str">
        <f>IFNA(VLOOKUP($A300,Spells!$A$2:$I1002,MATCH(G$3,Spells!$A$1:$I$1,0),FALSE))</f>
        <v/>
      </c>
      <c r="H300" s="16" t="str">
        <f>IFNA(VLOOKUP($A300,Spells!$A$2:$I1002,MATCH(H$3,Spells!$A$1:$I$1,0),FALSE))</f>
        <v/>
      </c>
    </row>
    <row r="301">
      <c r="A301" s="16"/>
      <c r="B301" s="16" t="str">
        <f>IFNA(VLOOKUP($A301,Spells!$A$2:$I1002,MATCH(B$3,Spells!$A$1:$I$1,0),FALSE))</f>
        <v/>
      </c>
      <c r="C301" s="16" t="str">
        <f>IFNA(VLOOKUP($A301,Spells!$A$2:$I1002,MATCH(C$3,Spells!$A$1:$I$1,0),FALSE))</f>
        <v/>
      </c>
      <c r="D301" s="16" t="str">
        <f>IFNA(VLOOKUP($A301,Spells!$A$2:$I1002,MATCH(D$3,Spells!$A$1:$I$1,0),FALSE))</f>
        <v/>
      </c>
      <c r="E301" s="16" t="str">
        <f>IFNA(VLOOKUP($A301,Spells!$A$2:$I1002,MATCH(E$3,Spells!$A$1:$I$1,0),FALSE))</f>
        <v/>
      </c>
      <c r="F301" s="16" t="str">
        <f>IFNA(VLOOKUP($A301,Spells!$A$2:$I1002,MATCH(F$3,Spells!$A$1:$I$1,0),FALSE))</f>
        <v/>
      </c>
      <c r="G301" s="16" t="str">
        <f>IFNA(VLOOKUP($A301,Spells!$A$2:$I1002,MATCH(G$3,Spells!$A$1:$I$1,0),FALSE))</f>
        <v/>
      </c>
      <c r="H301" s="16" t="str">
        <f>IFNA(VLOOKUP($A301,Spells!$A$2:$I1002,MATCH(H$3,Spells!$A$1:$I$1,0),FALSE))</f>
        <v/>
      </c>
    </row>
    <row r="302">
      <c r="A302" s="16"/>
      <c r="B302" s="16" t="str">
        <f>IFNA(VLOOKUP($A302,Spells!$A$2:$I1002,MATCH(B$3,Spells!$A$1:$I$1,0),FALSE))</f>
        <v/>
      </c>
      <c r="C302" s="16" t="str">
        <f>IFNA(VLOOKUP($A302,Spells!$A$2:$I1002,MATCH(C$3,Spells!$A$1:$I$1,0),FALSE))</f>
        <v/>
      </c>
      <c r="D302" s="16" t="str">
        <f>IFNA(VLOOKUP($A302,Spells!$A$2:$I1002,MATCH(D$3,Spells!$A$1:$I$1,0),FALSE))</f>
        <v/>
      </c>
      <c r="E302" s="16" t="str">
        <f>IFNA(VLOOKUP($A302,Spells!$A$2:$I1002,MATCH(E$3,Spells!$A$1:$I$1,0),FALSE))</f>
        <v/>
      </c>
      <c r="F302" s="16" t="str">
        <f>IFNA(VLOOKUP($A302,Spells!$A$2:$I1002,MATCH(F$3,Spells!$A$1:$I$1,0),FALSE))</f>
        <v/>
      </c>
      <c r="G302" s="16" t="str">
        <f>IFNA(VLOOKUP($A302,Spells!$A$2:$I1002,MATCH(G$3,Spells!$A$1:$I$1,0),FALSE))</f>
        <v/>
      </c>
      <c r="H302" s="16" t="str">
        <f>IFNA(VLOOKUP($A302,Spells!$A$2:$I1002,MATCH(H$3,Spells!$A$1:$I$1,0),FALSE))</f>
        <v/>
      </c>
    </row>
    <row r="303">
      <c r="A303" s="16"/>
      <c r="B303" s="16" t="str">
        <f>IFNA(VLOOKUP($A303,Spells!$A$2:$I1002,MATCH(B$3,Spells!$A$1:$I$1,0),FALSE))</f>
        <v/>
      </c>
      <c r="C303" s="16" t="str">
        <f>IFNA(VLOOKUP($A303,Spells!$A$2:$I1002,MATCH(C$3,Spells!$A$1:$I$1,0),FALSE))</f>
        <v/>
      </c>
      <c r="D303" s="16" t="str">
        <f>IFNA(VLOOKUP($A303,Spells!$A$2:$I1002,MATCH(D$3,Spells!$A$1:$I$1,0),FALSE))</f>
        <v/>
      </c>
      <c r="E303" s="16" t="str">
        <f>IFNA(VLOOKUP($A303,Spells!$A$2:$I1002,MATCH(E$3,Spells!$A$1:$I$1,0),FALSE))</f>
        <v/>
      </c>
      <c r="F303" s="16" t="str">
        <f>IFNA(VLOOKUP($A303,Spells!$A$2:$I1002,MATCH(F$3,Spells!$A$1:$I$1,0),FALSE))</f>
        <v/>
      </c>
      <c r="G303" s="16" t="str">
        <f>IFNA(VLOOKUP($A303,Spells!$A$2:$I1002,MATCH(G$3,Spells!$A$1:$I$1,0),FALSE))</f>
        <v/>
      </c>
      <c r="H303" s="16" t="str">
        <f>IFNA(VLOOKUP($A303,Spells!$A$2:$I1002,MATCH(H$3,Spells!$A$1:$I$1,0),FALSE))</f>
        <v/>
      </c>
    </row>
    <row r="304">
      <c r="A304" s="16"/>
      <c r="B304" s="16" t="str">
        <f>IFNA(VLOOKUP($A304,Spells!$A$2:$I1002,MATCH(B$3,Spells!$A$1:$I$1,0),FALSE))</f>
        <v/>
      </c>
      <c r="C304" s="16" t="str">
        <f>IFNA(VLOOKUP($A304,Spells!$A$2:$I1002,MATCH(C$3,Spells!$A$1:$I$1,0),FALSE))</f>
        <v/>
      </c>
      <c r="D304" s="16" t="str">
        <f>IFNA(VLOOKUP($A304,Spells!$A$2:$I1002,MATCH(D$3,Spells!$A$1:$I$1,0),FALSE))</f>
        <v/>
      </c>
      <c r="E304" s="16" t="str">
        <f>IFNA(VLOOKUP($A304,Spells!$A$2:$I1002,MATCH(E$3,Spells!$A$1:$I$1,0),FALSE))</f>
        <v/>
      </c>
      <c r="F304" s="16" t="str">
        <f>IFNA(VLOOKUP($A304,Spells!$A$2:$I1002,MATCH(F$3,Spells!$A$1:$I$1,0),FALSE))</f>
        <v/>
      </c>
      <c r="G304" s="16" t="str">
        <f>IFNA(VLOOKUP($A304,Spells!$A$2:$I1002,MATCH(G$3,Spells!$A$1:$I$1,0),FALSE))</f>
        <v/>
      </c>
      <c r="H304" s="16" t="str">
        <f>IFNA(VLOOKUP($A304,Spells!$A$2:$I1002,MATCH(H$3,Spells!$A$1:$I$1,0),FALSE))</f>
        <v/>
      </c>
    </row>
    <row r="305">
      <c r="A305" s="16"/>
      <c r="B305" s="16" t="str">
        <f>IFNA(VLOOKUP($A305,Spells!$A$2:$I1002,MATCH(B$3,Spells!$A$1:$I$1,0),FALSE))</f>
        <v/>
      </c>
      <c r="C305" s="16" t="str">
        <f>IFNA(VLOOKUP($A305,Spells!$A$2:$I1002,MATCH(C$3,Spells!$A$1:$I$1,0),FALSE))</f>
        <v/>
      </c>
      <c r="D305" s="16" t="str">
        <f>IFNA(VLOOKUP($A305,Spells!$A$2:$I1002,MATCH(D$3,Spells!$A$1:$I$1,0),FALSE))</f>
        <v/>
      </c>
      <c r="E305" s="16" t="str">
        <f>IFNA(VLOOKUP($A305,Spells!$A$2:$I1002,MATCH(E$3,Spells!$A$1:$I$1,0),FALSE))</f>
        <v/>
      </c>
      <c r="F305" s="16" t="str">
        <f>IFNA(VLOOKUP($A305,Spells!$A$2:$I1002,MATCH(F$3,Spells!$A$1:$I$1,0),FALSE))</f>
        <v/>
      </c>
      <c r="G305" s="16" t="str">
        <f>IFNA(VLOOKUP($A305,Spells!$A$2:$I1002,MATCH(G$3,Spells!$A$1:$I$1,0),FALSE))</f>
        <v/>
      </c>
      <c r="H305" s="16" t="str">
        <f>IFNA(VLOOKUP($A305,Spells!$A$2:$I1002,MATCH(H$3,Spells!$A$1:$I$1,0),FALSE))</f>
        <v/>
      </c>
    </row>
    <row r="306">
      <c r="A306" s="16"/>
      <c r="B306" s="16" t="str">
        <f>IFNA(VLOOKUP($A306,Spells!$A$2:$I1002,MATCH(B$3,Spells!$A$1:$I$1,0),FALSE))</f>
        <v/>
      </c>
      <c r="C306" s="16" t="str">
        <f>IFNA(VLOOKUP($A306,Spells!$A$2:$I1002,MATCH(C$3,Spells!$A$1:$I$1,0),FALSE))</f>
        <v/>
      </c>
      <c r="D306" s="16" t="str">
        <f>IFNA(VLOOKUP($A306,Spells!$A$2:$I1002,MATCH(D$3,Spells!$A$1:$I$1,0),FALSE))</f>
        <v/>
      </c>
      <c r="E306" s="16" t="str">
        <f>IFNA(VLOOKUP($A306,Spells!$A$2:$I1002,MATCH(E$3,Spells!$A$1:$I$1,0),FALSE))</f>
        <v/>
      </c>
      <c r="F306" s="16" t="str">
        <f>IFNA(VLOOKUP($A306,Spells!$A$2:$I1002,MATCH(F$3,Spells!$A$1:$I$1,0),FALSE))</f>
        <v/>
      </c>
      <c r="G306" s="16" t="str">
        <f>IFNA(VLOOKUP($A306,Spells!$A$2:$I1002,MATCH(G$3,Spells!$A$1:$I$1,0),FALSE))</f>
        <v/>
      </c>
      <c r="H306" s="16" t="str">
        <f>IFNA(VLOOKUP($A306,Spells!$A$2:$I1002,MATCH(H$3,Spells!$A$1:$I$1,0),FALSE))</f>
        <v/>
      </c>
    </row>
    <row r="307">
      <c r="A307" s="16"/>
      <c r="B307" s="16" t="str">
        <f>IFNA(VLOOKUP($A307,Spells!$A$2:$I1002,MATCH(B$3,Spells!$A$1:$I$1,0),FALSE))</f>
        <v/>
      </c>
      <c r="C307" s="16" t="str">
        <f>IFNA(VLOOKUP($A307,Spells!$A$2:$I1002,MATCH(C$3,Spells!$A$1:$I$1,0),FALSE))</f>
        <v/>
      </c>
      <c r="D307" s="16" t="str">
        <f>IFNA(VLOOKUP($A307,Spells!$A$2:$I1002,MATCH(D$3,Spells!$A$1:$I$1,0),FALSE))</f>
        <v/>
      </c>
      <c r="E307" s="16" t="str">
        <f>IFNA(VLOOKUP($A307,Spells!$A$2:$I1002,MATCH(E$3,Spells!$A$1:$I$1,0),FALSE))</f>
        <v/>
      </c>
      <c r="F307" s="16" t="str">
        <f>IFNA(VLOOKUP($A307,Spells!$A$2:$I1002,MATCH(F$3,Spells!$A$1:$I$1,0),FALSE))</f>
        <v/>
      </c>
      <c r="G307" s="16" t="str">
        <f>IFNA(VLOOKUP($A307,Spells!$A$2:$I1002,MATCH(G$3,Spells!$A$1:$I$1,0),FALSE))</f>
        <v/>
      </c>
      <c r="H307" s="16" t="str">
        <f>IFNA(VLOOKUP($A307,Spells!$A$2:$I1002,MATCH(H$3,Spells!$A$1:$I$1,0),FALSE))</f>
        <v/>
      </c>
    </row>
    <row r="308">
      <c r="A308" s="16"/>
      <c r="B308" s="16" t="str">
        <f>IFNA(VLOOKUP($A308,Spells!$A$2:$I1002,MATCH(B$3,Spells!$A$1:$I$1,0),FALSE))</f>
        <v/>
      </c>
      <c r="C308" s="16" t="str">
        <f>IFNA(VLOOKUP($A308,Spells!$A$2:$I1002,MATCH(C$3,Spells!$A$1:$I$1,0),FALSE))</f>
        <v/>
      </c>
      <c r="D308" s="16" t="str">
        <f>IFNA(VLOOKUP($A308,Spells!$A$2:$I1002,MATCH(D$3,Spells!$A$1:$I$1,0),FALSE))</f>
        <v/>
      </c>
      <c r="E308" s="16" t="str">
        <f>IFNA(VLOOKUP($A308,Spells!$A$2:$I1002,MATCH(E$3,Spells!$A$1:$I$1,0),FALSE))</f>
        <v/>
      </c>
      <c r="F308" s="16" t="str">
        <f>IFNA(VLOOKUP($A308,Spells!$A$2:$I1002,MATCH(F$3,Spells!$A$1:$I$1,0),FALSE))</f>
        <v/>
      </c>
      <c r="G308" s="16" t="str">
        <f>IFNA(VLOOKUP($A308,Spells!$A$2:$I1002,MATCH(G$3,Spells!$A$1:$I$1,0),FALSE))</f>
        <v/>
      </c>
      <c r="H308" s="16" t="str">
        <f>IFNA(VLOOKUP($A308,Spells!$A$2:$I1002,MATCH(H$3,Spells!$A$1:$I$1,0),FALSE))</f>
        <v/>
      </c>
    </row>
    <row r="309">
      <c r="A309" s="16"/>
      <c r="B309" s="16" t="str">
        <f>IFNA(VLOOKUP($A309,Spells!$A$2:$I1002,MATCH(B$3,Spells!$A$1:$I$1,0),FALSE))</f>
        <v/>
      </c>
      <c r="C309" s="16" t="str">
        <f>IFNA(VLOOKUP($A309,Spells!$A$2:$I1002,MATCH(C$3,Spells!$A$1:$I$1,0),FALSE))</f>
        <v/>
      </c>
      <c r="D309" s="16" t="str">
        <f>IFNA(VLOOKUP($A309,Spells!$A$2:$I1002,MATCH(D$3,Spells!$A$1:$I$1,0),FALSE))</f>
        <v/>
      </c>
      <c r="E309" s="16" t="str">
        <f>IFNA(VLOOKUP($A309,Spells!$A$2:$I1002,MATCH(E$3,Spells!$A$1:$I$1,0),FALSE))</f>
        <v/>
      </c>
      <c r="F309" s="16" t="str">
        <f>IFNA(VLOOKUP($A309,Spells!$A$2:$I1002,MATCH(F$3,Spells!$A$1:$I$1,0),FALSE))</f>
        <v/>
      </c>
      <c r="G309" s="16" t="str">
        <f>IFNA(VLOOKUP($A309,Spells!$A$2:$I1002,MATCH(G$3,Spells!$A$1:$I$1,0),FALSE))</f>
        <v/>
      </c>
      <c r="H309" s="16" t="str">
        <f>IFNA(VLOOKUP($A309,Spells!$A$2:$I1002,MATCH(H$3,Spells!$A$1:$I$1,0),FALSE))</f>
        <v/>
      </c>
    </row>
    <row r="310">
      <c r="A310" s="16"/>
      <c r="B310" s="16" t="str">
        <f>IFNA(VLOOKUP($A310,Spells!$A$2:$I1002,MATCH(B$3,Spells!$A$1:$I$1,0),FALSE))</f>
        <v/>
      </c>
      <c r="C310" s="16" t="str">
        <f>IFNA(VLOOKUP($A310,Spells!$A$2:$I1002,MATCH(C$3,Spells!$A$1:$I$1,0),FALSE))</f>
        <v/>
      </c>
      <c r="D310" s="16" t="str">
        <f>IFNA(VLOOKUP($A310,Spells!$A$2:$I1002,MATCH(D$3,Spells!$A$1:$I$1,0),FALSE))</f>
        <v/>
      </c>
      <c r="E310" s="16" t="str">
        <f>IFNA(VLOOKUP($A310,Spells!$A$2:$I1002,MATCH(E$3,Spells!$A$1:$I$1,0),FALSE))</f>
        <v/>
      </c>
      <c r="F310" s="16" t="str">
        <f>IFNA(VLOOKUP($A310,Spells!$A$2:$I1002,MATCH(F$3,Spells!$A$1:$I$1,0),FALSE))</f>
        <v/>
      </c>
      <c r="G310" s="16" t="str">
        <f>IFNA(VLOOKUP($A310,Spells!$A$2:$I1002,MATCH(G$3,Spells!$A$1:$I$1,0),FALSE))</f>
        <v/>
      </c>
      <c r="H310" s="16" t="str">
        <f>IFNA(VLOOKUP($A310,Spells!$A$2:$I1002,MATCH(H$3,Spells!$A$1:$I$1,0),FALSE))</f>
        <v/>
      </c>
    </row>
    <row r="311">
      <c r="A311" s="16"/>
      <c r="B311" s="16" t="str">
        <f>IFNA(VLOOKUP($A311,Spells!$A$2:$I1002,MATCH(B$3,Spells!$A$1:$I$1,0),FALSE))</f>
        <v/>
      </c>
      <c r="C311" s="16" t="str">
        <f>IFNA(VLOOKUP($A311,Spells!$A$2:$I1002,MATCH(C$3,Spells!$A$1:$I$1,0),FALSE))</f>
        <v/>
      </c>
      <c r="D311" s="16" t="str">
        <f>IFNA(VLOOKUP($A311,Spells!$A$2:$I1002,MATCH(D$3,Spells!$A$1:$I$1,0),FALSE))</f>
        <v/>
      </c>
      <c r="E311" s="16" t="str">
        <f>IFNA(VLOOKUP($A311,Spells!$A$2:$I1002,MATCH(E$3,Spells!$A$1:$I$1,0),FALSE))</f>
        <v/>
      </c>
      <c r="F311" s="16" t="str">
        <f>IFNA(VLOOKUP($A311,Spells!$A$2:$I1002,MATCH(F$3,Spells!$A$1:$I$1,0),FALSE))</f>
        <v/>
      </c>
      <c r="G311" s="16" t="str">
        <f>IFNA(VLOOKUP($A311,Spells!$A$2:$I1002,MATCH(G$3,Spells!$A$1:$I$1,0),FALSE))</f>
        <v/>
      </c>
      <c r="H311" s="16" t="str">
        <f>IFNA(VLOOKUP($A311,Spells!$A$2:$I1002,MATCH(H$3,Spells!$A$1:$I$1,0),FALSE))</f>
        <v/>
      </c>
    </row>
    <row r="312">
      <c r="A312" s="16"/>
      <c r="B312" s="16" t="str">
        <f>IFNA(VLOOKUP($A312,Spells!$A$2:$I1002,MATCH(B$3,Spells!$A$1:$I$1,0),FALSE))</f>
        <v/>
      </c>
      <c r="C312" s="16" t="str">
        <f>IFNA(VLOOKUP($A312,Spells!$A$2:$I1002,MATCH(C$3,Spells!$A$1:$I$1,0),FALSE))</f>
        <v/>
      </c>
      <c r="D312" s="16" t="str">
        <f>IFNA(VLOOKUP($A312,Spells!$A$2:$I1002,MATCH(D$3,Spells!$A$1:$I$1,0),FALSE))</f>
        <v/>
      </c>
      <c r="E312" s="16" t="str">
        <f>IFNA(VLOOKUP($A312,Spells!$A$2:$I1002,MATCH(E$3,Spells!$A$1:$I$1,0),FALSE))</f>
        <v/>
      </c>
      <c r="F312" s="16" t="str">
        <f>IFNA(VLOOKUP($A312,Spells!$A$2:$I1002,MATCH(F$3,Spells!$A$1:$I$1,0),FALSE))</f>
        <v/>
      </c>
      <c r="G312" s="16" t="str">
        <f>IFNA(VLOOKUP($A312,Spells!$A$2:$I1002,MATCH(G$3,Spells!$A$1:$I$1,0),FALSE))</f>
        <v/>
      </c>
      <c r="H312" s="16" t="str">
        <f>IFNA(VLOOKUP($A312,Spells!$A$2:$I1002,MATCH(H$3,Spells!$A$1:$I$1,0),FALSE))</f>
        <v/>
      </c>
    </row>
    <row r="313">
      <c r="A313" s="16"/>
      <c r="B313" s="16" t="str">
        <f>IFNA(VLOOKUP($A313,Spells!$A$2:$I1002,MATCH(B$3,Spells!$A$1:$I$1,0),FALSE))</f>
        <v/>
      </c>
      <c r="C313" s="16" t="str">
        <f>IFNA(VLOOKUP($A313,Spells!$A$2:$I1002,MATCH(C$3,Spells!$A$1:$I$1,0),FALSE))</f>
        <v/>
      </c>
      <c r="D313" s="16" t="str">
        <f>IFNA(VLOOKUP($A313,Spells!$A$2:$I1002,MATCH(D$3,Spells!$A$1:$I$1,0),FALSE))</f>
        <v/>
      </c>
      <c r="E313" s="16" t="str">
        <f>IFNA(VLOOKUP($A313,Spells!$A$2:$I1002,MATCH(E$3,Spells!$A$1:$I$1,0),FALSE))</f>
        <v/>
      </c>
      <c r="F313" s="16" t="str">
        <f>IFNA(VLOOKUP($A313,Spells!$A$2:$I1002,MATCH(F$3,Spells!$A$1:$I$1,0),FALSE))</f>
        <v/>
      </c>
      <c r="G313" s="16" t="str">
        <f>IFNA(VLOOKUP($A313,Spells!$A$2:$I1002,MATCH(G$3,Spells!$A$1:$I$1,0),FALSE))</f>
        <v/>
      </c>
      <c r="H313" s="16" t="str">
        <f>IFNA(VLOOKUP($A313,Spells!$A$2:$I1002,MATCH(H$3,Spells!$A$1:$I$1,0),FALSE))</f>
        <v/>
      </c>
    </row>
    <row r="314">
      <c r="A314" s="16"/>
      <c r="B314" s="16" t="str">
        <f>IFNA(VLOOKUP($A314,Spells!$A$2:$I1002,MATCH(B$3,Spells!$A$1:$I$1,0),FALSE))</f>
        <v/>
      </c>
      <c r="C314" s="16" t="str">
        <f>IFNA(VLOOKUP($A314,Spells!$A$2:$I1002,MATCH(C$3,Spells!$A$1:$I$1,0),FALSE))</f>
        <v/>
      </c>
      <c r="D314" s="16" t="str">
        <f>IFNA(VLOOKUP($A314,Spells!$A$2:$I1002,MATCH(D$3,Spells!$A$1:$I$1,0),FALSE))</f>
        <v/>
      </c>
      <c r="E314" s="16" t="str">
        <f>IFNA(VLOOKUP($A314,Spells!$A$2:$I1002,MATCH(E$3,Spells!$A$1:$I$1,0),FALSE))</f>
        <v/>
      </c>
      <c r="F314" s="16" t="str">
        <f>IFNA(VLOOKUP($A314,Spells!$A$2:$I1002,MATCH(F$3,Spells!$A$1:$I$1,0),FALSE))</f>
        <v/>
      </c>
      <c r="G314" s="16" t="str">
        <f>IFNA(VLOOKUP($A314,Spells!$A$2:$I1002,MATCH(G$3,Spells!$A$1:$I$1,0),FALSE))</f>
        <v/>
      </c>
      <c r="H314" s="16" t="str">
        <f>IFNA(VLOOKUP($A314,Spells!$A$2:$I1002,MATCH(H$3,Spells!$A$1:$I$1,0),FALSE))</f>
        <v/>
      </c>
    </row>
    <row r="315">
      <c r="A315" s="16"/>
      <c r="B315" s="16" t="str">
        <f>IFNA(VLOOKUP($A315,Spells!$A$2:$I1002,MATCH(B$3,Spells!$A$1:$I$1,0),FALSE))</f>
        <v/>
      </c>
      <c r="C315" s="16" t="str">
        <f>IFNA(VLOOKUP($A315,Spells!$A$2:$I1002,MATCH(C$3,Spells!$A$1:$I$1,0),FALSE))</f>
        <v/>
      </c>
      <c r="D315" s="16" t="str">
        <f>IFNA(VLOOKUP($A315,Spells!$A$2:$I1002,MATCH(D$3,Spells!$A$1:$I$1,0),FALSE))</f>
        <v/>
      </c>
      <c r="E315" s="16" t="str">
        <f>IFNA(VLOOKUP($A315,Spells!$A$2:$I1002,MATCH(E$3,Spells!$A$1:$I$1,0),FALSE))</f>
        <v/>
      </c>
      <c r="F315" s="16" t="str">
        <f>IFNA(VLOOKUP($A315,Spells!$A$2:$I1002,MATCH(F$3,Spells!$A$1:$I$1,0),FALSE))</f>
        <v/>
      </c>
      <c r="G315" s="16" t="str">
        <f>IFNA(VLOOKUP($A315,Spells!$A$2:$I1002,MATCH(G$3,Spells!$A$1:$I$1,0),FALSE))</f>
        <v/>
      </c>
      <c r="H315" s="16" t="str">
        <f>IFNA(VLOOKUP($A315,Spells!$A$2:$I1002,MATCH(H$3,Spells!$A$1:$I$1,0),FALSE))</f>
        <v/>
      </c>
    </row>
    <row r="316">
      <c r="A316" s="16"/>
      <c r="B316" s="16" t="str">
        <f>IFNA(VLOOKUP($A316,Spells!$A$2:$I1002,MATCH(B$3,Spells!$A$1:$I$1,0),FALSE))</f>
        <v/>
      </c>
      <c r="C316" s="16" t="str">
        <f>IFNA(VLOOKUP($A316,Spells!$A$2:$I1002,MATCH(C$3,Spells!$A$1:$I$1,0),FALSE))</f>
        <v/>
      </c>
      <c r="D316" s="16" t="str">
        <f>IFNA(VLOOKUP($A316,Spells!$A$2:$I1002,MATCH(D$3,Spells!$A$1:$I$1,0),FALSE))</f>
        <v/>
      </c>
      <c r="E316" s="16" t="str">
        <f>IFNA(VLOOKUP($A316,Spells!$A$2:$I1002,MATCH(E$3,Spells!$A$1:$I$1,0),FALSE))</f>
        <v/>
      </c>
      <c r="F316" s="16" t="str">
        <f>IFNA(VLOOKUP($A316,Spells!$A$2:$I1002,MATCH(F$3,Spells!$A$1:$I$1,0),FALSE))</f>
        <v/>
      </c>
      <c r="G316" s="16" t="str">
        <f>IFNA(VLOOKUP($A316,Spells!$A$2:$I1002,MATCH(G$3,Spells!$A$1:$I$1,0),FALSE))</f>
        <v/>
      </c>
      <c r="H316" s="16" t="str">
        <f>IFNA(VLOOKUP($A316,Spells!$A$2:$I1002,MATCH(H$3,Spells!$A$1:$I$1,0),FALSE))</f>
        <v/>
      </c>
    </row>
    <row r="317">
      <c r="A317" s="16"/>
      <c r="B317" s="16" t="str">
        <f>IFNA(VLOOKUP($A317,Spells!$A$2:$I1002,MATCH(B$3,Spells!$A$1:$I$1,0),FALSE))</f>
        <v/>
      </c>
      <c r="C317" s="16" t="str">
        <f>IFNA(VLOOKUP($A317,Spells!$A$2:$I1002,MATCH(C$3,Spells!$A$1:$I$1,0),FALSE))</f>
        <v/>
      </c>
      <c r="D317" s="16" t="str">
        <f>IFNA(VLOOKUP($A317,Spells!$A$2:$I1002,MATCH(D$3,Spells!$A$1:$I$1,0),FALSE))</f>
        <v/>
      </c>
      <c r="E317" s="16" t="str">
        <f>IFNA(VLOOKUP($A317,Spells!$A$2:$I1002,MATCH(E$3,Spells!$A$1:$I$1,0),FALSE))</f>
        <v/>
      </c>
      <c r="F317" s="16" t="str">
        <f>IFNA(VLOOKUP($A317,Spells!$A$2:$I1002,MATCH(F$3,Spells!$A$1:$I$1,0),FALSE))</f>
        <v/>
      </c>
      <c r="G317" s="16" t="str">
        <f>IFNA(VLOOKUP($A317,Spells!$A$2:$I1002,MATCH(G$3,Spells!$A$1:$I$1,0),FALSE))</f>
        <v/>
      </c>
      <c r="H317" s="16" t="str">
        <f>IFNA(VLOOKUP($A317,Spells!$A$2:$I1002,MATCH(H$3,Spells!$A$1:$I$1,0),FALSE))</f>
        <v/>
      </c>
    </row>
    <row r="318">
      <c r="A318" s="16"/>
      <c r="B318" s="16" t="str">
        <f>IFNA(VLOOKUP($A318,Spells!$A$2:$I1002,MATCH(B$3,Spells!$A$1:$I$1,0),FALSE))</f>
        <v/>
      </c>
      <c r="C318" s="16" t="str">
        <f>IFNA(VLOOKUP($A318,Spells!$A$2:$I1002,MATCH(C$3,Spells!$A$1:$I$1,0),FALSE))</f>
        <v/>
      </c>
      <c r="D318" s="16" t="str">
        <f>IFNA(VLOOKUP($A318,Spells!$A$2:$I1002,MATCH(D$3,Spells!$A$1:$I$1,0),FALSE))</f>
        <v/>
      </c>
      <c r="E318" s="16" t="str">
        <f>IFNA(VLOOKUP($A318,Spells!$A$2:$I1002,MATCH(E$3,Spells!$A$1:$I$1,0),FALSE))</f>
        <v/>
      </c>
      <c r="F318" s="16" t="str">
        <f>IFNA(VLOOKUP($A318,Spells!$A$2:$I1002,MATCH(F$3,Spells!$A$1:$I$1,0),FALSE))</f>
        <v/>
      </c>
      <c r="G318" s="16" t="str">
        <f>IFNA(VLOOKUP($A318,Spells!$A$2:$I1002,MATCH(G$3,Spells!$A$1:$I$1,0),FALSE))</f>
        <v/>
      </c>
      <c r="H318" s="16" t="str">
        <f>IFNA(VLOOKUP($A318,Spells!$A$2:$I1002,MATCH(H$3,Spells!$A$1:$I$1,0),FALSE))</f>
        <v/>
      </c>
    </row>
    <row r="319">
      <c r="A319" s="16"/>
      <c r="B319" s="16" t="str">
        <f>IFNA(VLOOKUP($A319,Spells!$A$2:$I1002,MATCH(B$3,Spells!$A$1:$I$1,0),FALSE))</f>
        <v/>
      </c>
      <c r="C319" s="16" t="str">
        <f>IFNA(VLOOKUP($A319,Spells!$A$2:$I1002,MATCH(C$3,Spells!$A$1:$I$1,0),FALSE))</f>
        <v/>
      </c>
      <c r="D319" s="16" t="str">
        <f>IFNA(VLOOKUP($A319,Spells!$A$2:$I1002,MATCH(D$3,Spells!$A$1:$I$1,0),FALSE))</f>
        <v/>
      </c>
      <c r="E319" s="16" t="str">
        <f>IFNA(VLOOKUP($A319,Spells!$A$2:$I1002,MATCH(E$3,Spells!$A$1:$I$1,0),FALSE))</f>
        <v/>
      </c>
      <c r="F319" s="16" t="str">
        <f>IFNA(VLOOKUP($A319,Spells!$A$2:$I1002,MATCH(F$3,Spells!$A$1:$I$1,0),FALSE))</f>
        <v/>
      </c>
      <c r="G319" s="16" t="str">
        <f>IFNA(VLOOKUP($A319,Spells!$A$2:$I1002,MATCH(G$3,Spells!$A$1:$I$1,0),FALSE))</f>
        <v/>
      </c>
      <c r="H319" s="16" t="str">
        <f>IFNA(VLOOKUP($A319,Spells!$A$2:$I1002,MATCH(H$3,Spells!$A$1:$I$1,0),FALSE))</f>
        <v/>
      </c>
    </row>
    <row r="320">
      <c r="A320" s="16"/>
      <c r="B320" s="16" t="str">
        <f>IFNA(VLOOKUP($A320,Spells!$A$2:$I1002,MATCH(B$3,Spells!$A$1:$I$1,0),FALSE))</f>
        <v/>
      </c>
      <c r="C320" s="16" t="str">
        <f>IFNA(VLOOKUP($A320,Spells!$A$2:$I1002,MATCH(C$3,Spells!$A$1:$I$1,0),FALSE))</f>
        <v/>
      </c>
      <c r="D320" s="16" t="str">
        <f>IFNA(VLOOKUP($A320,Spells!$A$2:$I1002,MATCH(D$3,Spells!$A$1:$I$1,0),FALSE))</f>
        <v/>
      </c>
      <c r="E320" s="16" t="str">
        <f>IFNA(VLOOKUP($A320,Spells!$A$2:$I1002,MATCH(E$3,Spells!$A$1:$I$1,0),FALSE))</f>
        <v/>
      </c>
      <c r="F320" s="16" t="str">
        <f>IFNA(VLOOKUP($A320,Spells!$A$2:$I1002,MATCH(F$3,Spells!$A$1:$I$1,0),FALSE))</f>
        <v/>
      </c>
      <c r="G320" s="16" t="str">
        <f>IFNA(VLOOKUP($A320,Spells!$A$2:$I1002,MATCH(G$3,Spells!$A$1:$I$1,0),FALSE))</f>
        <v/>
      </c>
      <c r="H320" s="16" t="str">
        <f>IFNA(VLOOKUP($A320,Spells!$A$2:$I1002,MATCH(H$3,Spells!$A$1:$I$1,0),FALSE))</f>
        <v/>
      </c>
    </row>
    <row r="321">
      <c r="A321" s="16"/>
      <c r="B321" s="16" t="str">
        <f>IFNA(VLOOKUP($A321,Spells!$A$2:$I1002,MATCH(B$3,Spells!$A$1:$I$1,0),FALSE))</f>
        <v/>
      </c>
      <c r="C321" s="16" t="str">
        <f>IFNA(VLOOKUP($A321,Spells!$A$2:$I1002,MATCH(C$3,Spells!$A$1:$I$1,0),FALSE))</f>
        <v/>
      </c>
      <c r="D321" s="16" t="str">
        <f>IFNA(VLOOKUP($A321,Spells!$A$2:$I1002,MATCH(D$3,Spells!$A$1:$I$1,0),FALSE))</f>
        <v/>
      </c>
      <c r="E321" s="16" t="str">
        <f>IFNA(VLOOKUP($A321,Spells!$A$2:$I1002,MATCH(E$3,Spells!$A$1:$I$1,0),FALSE))</f>
        <v/>
      </c>
      <c r="F321" s="16" t="str">
        <f>IFNA(VLOOKUP($A321,Spells!$A$2:$I1002,MATCH(F$3,Spells!$A$1:$I$1,0),FALSE))</f>
        <v/>
      </c>
      <c r="G321" s="16" t="str">
        <f>IFNA(VLOOKUP($A321,Spells!$A$2:$I1002,MATCH(G$3,Spells!$A$1:$I$1,0),FALSE))</f>
        <v/>
      </c>
      <c r="H321" s="16" t="str">
        <f>IFNA(VLOOKUP($A321,Spells!$A$2:$I1002,MATCH(H$3,Spells!$A$1:$I$1,0),FALSE))</f>
        <v/>
      </c>
    </row>
    <row r="322">
      <c r="A322" s="16"/>
      <c r="B322" s="16" t="str">
        <f>IFNA(VLOOKUP($A322,Spells!$A$2:$I1002,MATCH(B$3,Spells!$A$1:$I$1,0),FALSE))</f>
        <v/>
      </c>
      <c r="C322" s="16" t="str">
        <f>IFNA(VLOOKUP($A322,Spells!$A$2:$I1002,MATCH(C$3,Spells!$A$1:$I$1,0),FALSE))</f>
        <v/>
      </c>
      <c r="D322" s="16" t="str">
        <f>IFNA(VLOOKUP($A322,Spells!$A$2:$I1002,MATCH(D$3,Spells!$A$1:$I$1,0),FALSE))</f>
        <v/>
      </c>
      <c r="E322" s="16" t="str">
        <f>IFNA(VLOOKUP($A322,Spells!$A$2:$I1002,MATCH(E$3,Spells!$A$1:$I$1,0),FALSE))</f>
        <v/>
      </c>
      <c r="F322" s="16" t="str">
        <f>IFNA(VLOOKUP($A322,Spells!$A$2:$I1002,MATCH(F$3,Spells!$A$1:$I$1,0),FALSE))</f>
        <v/>
      </c>
      <c r="G322" s="16" t="str">
        <f>IFNA(VLOOKUP($A322,Spells!$A$2:$I1002,MATCH(G$3,Spells!$A$1:$I$1,0),FALSE))</f>
        <v/>
      </c>
      <c r="H322" s="16" t="str">
        <f>IFNA(VLOOKUP($A322,Spells!$A$2:$I1002,MATCH(H$3,Spells!$A$1:$I$1,0),FALSE))</f>
        <v/>
      </c>
    </row>
    <row r="323">
      <c r="A323" s="16"/>
      <c r="B323" s="16" t="str">
        <f>IFNA(VLOOKUP($A323,Spells!$A$2:$I1002,MATCH(B$3,Spells!$A$1:$I$1,0),FALSE))</f>
        <v/>
      </c>
      <c r="C323" s="16" t="str">
        <f>IFNA(VLOOKUP($A323,Spells!$A$2:$I1002,MATCH(C$3,Spells!$A$1:$I$1,0),FALSE))</f>
        <v/>
      </c>
      <c r="D323" s="16" t="str">
        <f>IFNA(VLOOKUP($A323,Spells!$A$2:$I1002,MATCH(D$3,Spells!$A$1:$I$1,0),FALSE))</f>
        <v/>
      </c>
      <c r="E323" s="16" t="str">
        <f>IFNA(VLOOKUP($A323,Spells!$A$2:$I1002,MATCH(E$3,Spells!$A$1:$I$1,0),FALSE))</f>
        <v/>
      </c>
      <c r="F323" s="16" t="str">
        <f>IFNA(VLOOKUP($A323,Spells!$A$2:$I1002,MATCH(F$3,Spells!$A$1:$I$1,0),FALSE))</f>
        <v/>
      </c>
      <c r="G323" s="16" t="str">
        <f>IFNA(VLOOKUP($A323,Spells!$A$2:$I1002,MATCH(G$3,Spells!$A$1:$I$1,0),FALSE))</f>
        <v/>
      </c>
      <c r="H323" s="16" t="str">
        <f>IFNA(VLOOKUP($A323,Spells!$A$2:$I1002,MATCH(H$3,Spells!$A$1:$I$1,0),FALSE))</f>
        <v/>
      </c>
    </row>
    <row r="324">
      <c r="A324" s="16"/>
      <c r="B324" s="16" t="str">
        <f>IFNA(VLOOKUP($A324,Spells!$A$2:$I1002,MATCH(B$3,Spells!$A$1:$I$1,0),FALSE))</f>
        <v/>
      </c>
      <c r="C324" s="16" t="str">
        <f>IFNA(VLOOKUP($A324,Spells!$A$2:$I1002,MATCH(C$3,Spells!$A$1:$I$1,0),FALSE))</f>
        <v/>
      </c>
      <c r="D324" s="16" t="str">
        <f>IFNA(VLOOKUP($A324,Spells!$A$2:$I1002,MATCH(D$3,Spells!$A$1:$I$1,0),FALSE))</f>
        <v/>
      </c>
      <c r="E324" s="16" t="str">
        <f>IFNA(VLOOKUP($A324,Spells!$A$2:$I1002,MATCH(E$3,Spells!$A$1:$I$1,0),FALSE))</f>
        <v/>
      </c>
      <c r="F324" s="16" t="str">
        <f>IFNA(VLOOKUP($A324,Spells!$A$2:$I1002,MATCH(F$3,Spells!$A$1:$I$1,0),FALSE))</f>
        <v/>
      </c>
      <c r="G324" s="16" t="str">
        <f>IFNA(VLOOKUP($A324,Spells!$A$2:$I1002,MATCH(G$3,Spells!$A$1:$I$1,0),FALSE))</f>
        <v/>
      </c>
      <c r="H324" s="16" t="str">
        <f>IFNA(VLOOKUP($A324,Spells!$A$2:$I1002,MATCH(H$3,Spells!$A$1:$I$1,0),FALSE))</f>
        <v/>
      </c>
    </row>
    <row r="325">
      <c r="A325" s="16"/>
      <c r="B325" s="16" t="str">
        <f>IFNA(VLOOKUP($A325,Spells!$A$2:$I1002,MATCH(B$3,Spells!$A$1:$I$1,0),FALSE))</f>
        <v/>
      </c>
      <c r="C325" s="16" t="str">
        <f>IFNA(VLOOKUP($A325,Spells!$A$2:$I1002,MATCH(C$3,Spells!$A$1:$I$1,0),FALSE))</f>
        <v/>
      </c>
      <c r="D325" s="16" t="str">
        <f>IFNA(VLOOKUP($A325,Spells!$A$2:$I1002,MATCH(D$3,Spells!$A$1:$I$1,0),FALSE))</f>
        <v/>
      </c>
      <c r="E325" s="16" t="str">
        <f>IFNA(VLOOKUP($A325,Spells!$A$2:$I1002,MATCH(E$3,Spells!$A$1:$I$1,0),FALSE))</f>
        <v/>
      </c>
      <c r="F325" s="16" t="str">
        <f>IFNA(VLOOKUP($A325,Spells!$A$2:$I1002,MATCH(F$3,Spells!$A$1:$I$1,0),FALSE))</f>
        <v/>
      </c>
      <c r="G325" s="16" t="str">
        <f>IFNA(VLOOKUP($A325,Spells!$A$2:$I1002,MATCH(G$3,Spells!$A$1:$I$1,0),FALSE))</f>
        <v/>
      </c>
      <c r="H325" s="16" t="str">
        <f>IFNA(VLOOKUP($A325,Spells!$A$2:$I1002,MATCH(H$3,Spells!$A$1:$I$1,0),FALSE))</f>
        <v/>
      </c>
    </row>
    <row r="326">
      <c r="A326" s="16"/>
      <c r="B326" s="16" t="str">
        <f>IFNA(VLOOKUP($A326,Spells!$A$2:$I1002,MATCH(B$3,Spells!$A$1:$I$1,0),FALSE))</f>
        <v/>
      </c>
      <c r="C326" s="16" t="str">
        <f>IFNA(VLOOKUP($A326,Spells!$A$2:$I1002,MATCH(C$3,Spells!$A$1:$I$1,0),FALSE))</f>
        <v/>
      </c>
      <c r="D326" s="16" t="str">
        <f>IFNA(VLOOKUP($A326,Spells!$A$2:$I1002,MATCH(D$3,Spells!$A$1:$I$1,0),FALSE))</f>
        <v/>
      </c>
      <c r="E326" s="16" t="str">
        <f>IFNA(VLOOKUP($A326,Spells!$A$2:$I1002,MATCH(E$3,Spells!$A$1:$I$1,0),FALSE))</f>
        <v/>
      </c>
      <c r="F326" s="16" t="str">
        <f>IFNA(VLOOKUP($A326,Spells!$A$2:$I1002,MATCH(F$3,Spells!$A$1:$I$1,0),FALSE))</f>
        <v/>
      </c>
      <c r="G326" s="16" t="str">
        <f>IFNA(VLOOKUP($A326,Spells!$A$2:$I1002,MATCH(G$3,Spells!$A$1:$I$1,0),FALSE))</f>
        <v/>
      </c>
      <c r="H326" s="16" t="str">
        <f>IFNA(VLOOKUP($A326,Spells!$A$2:$I1002,MATCH(H$3,Spells!$A$1:$I$1,0),FALSE))</f>
        <v/>
      </c>
    </row>
    <row r="327">
      <c r="A327" s="16"/>
      <c r="B327" s="16" t="str">
        <f>IFNA(VLOOKUP($A327,Spells!$A$2:$I1002,MATCH(B$3,Spells!$A$1:$I$1,0),FALSE))</f>
        <v/>
      </c>
      <c r="C327" s="16" t="str">
        <f>IFNA(VLOOKUP($A327,Spells!$A$2:$I1002,MATCH(C$3,Spells!$A$1:$I$1,0),FALSE))</f>
        <v/>
      </c>
      <c r="D327" s="16" t="str">
        <f>IFNA(VLOOKUP($A327,Spells!$A$2:$I1002,MATCH(D$3,Spells!$A$1:$I$1,0),FALSE))</f>
        <v/>
      </c>
      <c r="E327" s="16" t="str">
        <f>IFNA(VLOOKUP($A327,Spells!$A$2:$I1002,MATCH(E$3,Spells!$A$1:$I$1,0),FALSE))</f>
        <v/>
      </c>
      <c r="F327" s="16" t="str">
        <f>IFNA(VLOOKUP($A327,Spells!$A$2:$I1002,MATCH(F$3,Spells!$A$1:$I$1,0),FALSE))</f>
        <v/>
      </c>
      <c r="G327" s="16" t="str">
        <f>IFNA(VLOOKUP($A327,Spells!$A$2:$I1002,MATCH(G$3,Spells!$A$1:$I$1,0),FALSE))</f>
        <v/>
      </c>
      <c r="H327" s="16" t="str">
        <f>IFNA(VLOOKUP($A327,Spells!$A$2:$I1002,MATCH(H$3,Spells!$A$1:$I$1,0),FALSE))</f>
        <v/>
      </c>
    </row>
    <row r="328">
      <c r="A328" s="16"/>
      <c r="B328" s="16" t="str">
        <f>IFNA(VLOOKUP($A328,Spells!$A$2:$I1002,MATCH(B$3,Spells!$A$1:$I$1,0),FALSE))</f>
        <v/>
      </c>
      <c r="C328" s="16" t="str">
        <f>IFNA(VLOOKUP($A328,Spells!$A$2:$I1002,MATCH(C$3,Spells!$A$1:$I$1,0),FALSE))</f>
        <v/>
      </c>
      <c r="D328" s="16" t="str">
        <f>IFNA(VLOOKUP($A328,Spells!$A$2:$I1002,MATCH(D$3,Spells!$A$1:$I$1,0),FALSE))</f>
        <v/>
      </c>
      <c r="E328" s="16" t="str">
        <f>IFNA(VLOOKUP($A328,Spells!$A$2:$I1002,MATCH(E$3,Spells!$A$1:$I$1,0),FALSE))</f>
        <v/>
      </c>
      <c r="F328" s="16" t="str">
        <f>IFNA(VLOOKUP($A328,Spells!$A$2:$I1002,MATCH(F$3,Spells!$A$1:$I$1,0),FALSE))</f>
        <v/>
      </c>
      <c r="G328" s="16" t="str">
        <f>IFNA(VLOOKUP($A328,Spells!$A$2:$I1002,MATCH(G$3,Spells!$A$1:$I$1,0),FALSE))</f>
        <v/>
      </c>
      <c r="H328" s="16" t="str">
        <f>IFNA(VLOOKUP($A328,Spells!$A$2:$I1002,MATCH(H$3,Spells!$A$1:$I$1,0),FALSE))</f>
        <v/>
      </c>
    </row>
    <row r="329">
      <c r="A329" s="16"/>
      <c r="B329" s="16" t="str">
        <f>IFNA(VLOOKUP($A329,Spells!$A$2:$I1002,MATCH(B$3,Spells!$A$1:$I$1,0),FALSE))</f>
        <v/>
      </c>
      <c r="C329" s="16" t="str">
        <f>IFNA(VLOOKUP($A329,Spells!$A$2:$I1002,MATCH(C$3,Spells!$A$1:$I$1,0),FALSE))</f>
        <v/>
      </c>
      <c r="D329" s="16" t="str">
        <f>IFNA(VLOOKUP($A329,Spells!$A$2:$I1002,MATCH(D$3,Spells!$A$1:$I$1,0),FALSE))</f>
        <v/>
      </c>
      <c r="E329" s="16" t="str">
        <f>IFNA(VLOOKUP($A329,Spells!$A$2:$I1002,MATCH(E$3,Spells!$A$1:$I$1,0),FALSE))</f>
        <v/>
      </c>
      <c r="F329" s="16" t="str">
        <f>IFNA(VLOOKUP($A329,Spells!$A$2:$I1002,MATCH(F$3,Spells!$A$1:$I$1,0),FALSE))</f>
        <v/>
      </c>
      <c r="G329" s="16" t="str">
        <f>IFNA(VLOOKUP($A329,Spells!$A$2:$I1002,MATCH(G$3,Spells!$A$1:$I$1,0),FALSE))</f>
        <v/>
      </c>
      <c r="H329" s="16" t="str">
        <f>IFNA(VLOOKUP($A329,Spells!$A$2:$I1002,MATCH(H$3,Spells!$A$1:$I$1,0),FALSE))</f>
        <v/>
      </c>
    </row>
    <row r="330">
      <c r="A330" s="16"/>
      <c r="B330" s="16" t="str">
        <f>IFNA(VLOOKUP($A330,Spells!$A$2:$I1002,MATCH(B$3,Spells!$A$1:$I$1,0),FALSE))</f>
        <v/>
      </c>
      <c r="C330" s="16" t="str">
        <f>IFNA(VLOOKUP($A330,Spells!$A$2:$I1002,MATCH(C$3,Spells!$A$1:$I$1,0),FALSE))</f>
        <v/>
      </c>
      <c r="D330" s="16" t="str">
        <f>IFNA(VLOOKUP($A330,Spells!$A$2:$I1002,MATCH(D$3,Spells!$A$1:$I$1,0),FALSE))</f>
        <v/>
      </c>
      <c r="E330" s="16" t="str">
        <f>IFNA(VLOOKUP($A330,Spells!$A$2:$I1002,MATCH(E$3,Spells!$A$1:$I$1,0),FALSE))</f>
        <v/>
      </c>
      <c r="F330" s="16" t="str">
        <f>IFNA(VLOOKUP($A330,Spells!$A$2:$I1002,MATCH(F$3,Spells!$A$1:$I$1,0),FALSE))</f>
        <v/>
      </c>
      <c r="G330" s="16" t="str">
        <f>IFNA(VLOOKUP($A330,Spells!$A$2:$I1002,MATCH(G$3,Spells!$A$1:$I$1,0),FALSE))</f>
        <v/>
      </c>
      <c r="H330" s="16" t="str">
        <f>IFNA(VLOOKUP($A330,Spells!$A$2:$I1002,MATCH(H$3,Spells!$A$1:$I$1,0),FALSE))</f>
        <v/>
      </c>
    </row>
    <row r="331">
      <c r="A331" s="16"/>
      <c r="B331" s="16" t="str">
        <f>IFNA(VLOOKUP($A331,Spells!$A$2:$I1002,MATCH(B$3,Spells!$A$1:$I$1,0),FALSE))</f>
        <v/>
      </c>
      <c r="C331" s="16" t="str">
        <f>IFNA(VLOOKUP($A331,Spells!$A$2:$I1002,MATCH(C$3,Spells!$A$1:$I$1,0),FALSE))</f>
        <v/>
      </c>
      <c r="D331" s="16" t="str">
        <f>IFNA(VLOOKUP($A331,Spells!$A$2:$I1002,MATCH(D$3,Spells!$A$1:$I$1,0),FALSE))</f>
        <v/>
      </c>
      <c r="E331" s="16" t="str">
        <f>IFNA(VLOOKUP($A331,Spells!$A$2:$I1002,MATCH(E$3,Spells!$A$1:$I$1,0),FALSE))</f>
        <v/>
      </c>
      <c r="F331" s="16" t="str">
        <f>IFNA(VLOOKUP($A331,Spells!$A$2:$I1002,MATCH(F$3,Spells!$A$1:$I$1,0),FALSE))</f>
        <v/>
      </c>
      <c r="G331" s="16" t="str">
        <f>IFNA(VLOOKUP($A331,Spells!$A$2:$I1002,MATCH(G$3,Spells!$A$1:$I$1,0),FALSE))</f>
        <v/>
      </c>
      <c r="H331" s="16" t="str">
        <f>IFNA(VLOOKUP($A331,Spells!$A$2:$I1002,MATCH(H$3,Spells!$A$1:$I$1,0),FALSE))</f>
        <v/>
      </c>
    </row>
    <row r="332">
      <c r="A332" s="16"/>
      <c r="B332" s="16" t="str">
        <f>IFNA(VLOOKUP($A332,Spells!$A$2:$I1002,MATCH(B$3,Spells!$A$1:$I$1,0),FALSE))</f>
        <v/>
      </c>
      <c r="C332" s="16" t="str">
        <f>IFNA(VLOOKUP($A332,Spells!$A$2:$I1002,MATCH(C$3,Spells!$A$1:$I$1,0),FALSE))</f>
        <v/>
      </c>
      <c r="D332" s="16" t="str">
        <f>IFNA(VLOOKUP($A332,Spells!$A$2:$I1002,MATCH(D$3,Spells!$A$1:$I$1,0),FALSE))</f>
        <v/>
      </c>
      <c r="E332" s="16" t="str">
        <f>IFNA(VLOOKUP($A332,Spells!$A$2:$I1002,MATCH(E$3,Spells!$A$1:$I$1,0),FALSE))</f>
        <v/>
      </c>
      <c r="F332" s="16" t="str">
        <f>IFNA(VLOOKUP($A332,Spells!$A$2:$I1002,MATCH(F$3,Spells!$A$1:$I$1,0),FALSE))</f>
        <v/>
      </c>
      <c r="G332" s="16" t="str">
        <f>IFNA(VLOOKUP($A332,Spells!$A$2:$I1002,MATCH(G$3,Spells!$A$1:$I$1,0),FALSE))</f>
        <v/>
      </c>
      <c r="H332" s="16" t="str">
        <f>IFNA(VLOOKUP($A332,Spells!$A$2:$I1002,MATCH(H$3,Spells!$A$1:$I$1,0),FALSE))</f>
        <v/>
      </c>
    </row>
    <row r="333">
      <c r="A333" s="16"/>
      <c r="B333" s="16" t="str">
        <f>IFNA(VLOOKUP($A333,Spells!$A$2:$I1002,MATCH(B$3,Spells!$A$1:$I$1,0),FALSE))</f>
        <v/>
      </c>
      <c r="C333" s="16" t="str">
        <f>IFNA(VLOOKUP($A333,Spells!$A$2:$I1002,MATCH(C$3,Spells!$A$1:$I$1,0),FALSE))</f>
        <v/>
      </c>
      <c r="D333" s="16" t="str">
        <f>IFNA(VLOOKUP($A333,Spells!$A$2:$I1002,MATCH(D$3,Spells!$A$1:$I$1,0),FALSE))</f>
        <v/>
      </c>
      <c r="E333" s="16" t="str">
        <f>IFNA(VLOOKUP($A333,Spells!$A$2:$I1002,MATCH(E$3,Spells!$A$1:$I$1,0),FALSE))</f>
        <v/>
      </c>
      <c r="F333" s="16" t="str">
        <f>IFNA(VLOOKUP($A333,Spells!$A$2:$I1002,MATCH(F$3,Spells!$A$1:$I$1,0),FALSE))</f>
        <v/>
      </c>
      <c r="G333" s="16" t="str">
        <f>IFNA(VLOOKUP($A333,Spells!$A$2:$I1002,MATCH(G$3,Spells!$A$1:$I$1,0),FALSE))</f>
        <v/>
      </c>
      <c r="H333" s="16" t="str">
        <f>IFNA(VLOOKUP($A333,Spells!$A$2:$I1002,MATCH(H$3,Spells!$A$1:$I$1,0),FALSE))</f>
        <v/>
      </c>
    </row>
    <row r="334">
      <c r="A334" s="16"/>
      <c r="B334" s="16" t="str">
        <f>IFNA(VLOOKUP($A334,Spells!$A$2:$I1002,MATCH(B$3,Spells!$A$1:$I$1,0),FALSE))</f>
        <v/>
      </c>
      <c r="C334" s="16" t="str">
        <f>IFNA(VLOOKUP($A334,Spells!$A$2:$I1002,MATCH(C$3,Spells!$A$1:$I$1,0),FALSE))</f>
        <v/>
      </c>
      <c r="D334" s="16" t="str">
        <f>IFNA(VLOOKUP($A334,Spells!$A$2:$I1002,MATCH(D$3,Spells!$A$1:$I$1,0),FALSE))</f>
        <v/>
      </c>
      <c r="E334" s="16" t="str">
        <f>IFNA(VLOOKUP($A334,Spells!$A$2:$I1002,MATCH(E$3,Spells!$A$1:$I$1,0),FALSE))</f>
        <v/>
      </c>
      <c r="F334" s="16" t="str">
        <f>IFNA(VLOOKUP($A334,Spells!$A$2:$I1002,MATCH(F$3,Spells!$A$1:$I$1,0),FALSE))</f>
        <v/>
      </c>
      <c r="G334" s="16" t="str">
        <f>IFNA(VLOOKUP($A334,Spells!$A$2:$I1002,MATCH(G$3,Spells!$A$1:$I$1,0),FALSE))</f>
        <v/>
      </c>
      <c r="H334" s="16" t="str">
        <f>IFNA(VLOOKUP($A334,Spells!$A$2:$I1002,MATCH(H$3,Spells!$A$1:$I$1,0),FALSE))</f>
        <v/>
      </c>
    </row>
    <row r="335">
      <c r="A335" s="16"/>
      <c r="B335" s="16" t="str">
        <f>IFNA(VLOOKUP($A335,Spells!$A$2:$I1002,MATCH(B$3,Spells!$A$1:$I$1,0),FALSE))</f>
        <v/>
      </c>
      <c r="C335" s="16" t="str">
        <f>IFNA(VLOOKUP($A335,Spells!$A$2:$I1002,MATCH(C$3,Spells!$A$1:$I$1,0),FALSE))</f>
        <v/>
      </c>
      <c r="D335" s="16" t="str">
        <f>IFNA(VLOOKUP($A335,Spells!$A$2:$I1002,MATCH(D$3,Spells!$A$1:$I$1,0),FALSE))</f>
        <v/>
      </c>
      <c r="E335" s="16" t="str">
        <f>IFNA(VLOOKUP($A335,Spells!$A$2:$I1002,MATCH(E$3,Spells!$A$1:$I$1,0),FALSE))</f>
        <v/>
      </c>
      <c r="F335" s="16" t="str">
        <f>IFNA(VLOOKUP($A335,Spells!$A$2:$I1002,MATCH(F$3,Spells!$A$1:$I$1,0),FALSE))</f>
        <v/>
      </c>
      <c r="G335" s="16" t="str">
        <f>IFNA(VLOOKUP($A335,Spells!$A$2:$I1002,MATCH(G$3,Spells!$A$1:$I$1,0),FALSE))</f>
        <v/>
      </c>
      <c r="H335" s="16" t="str">
        <f>IFNA(VLOOKUP($A335,Spells!$A$2:$I1002,MATCH(H$3,Spells!$A$1:$I$1,0),FALSE))</f>
        <v/>
      </c>
    </row>
    <row r="336">
      <c r="A336" s="16"/>
      <c r="B336" s="16" t="str">
        <f>IFNA(VLOOKUP($A336,Spells!$A$2:$I1002,MATCH(B$3,Spells!$A$1:$I$1,0),FALSE))</f>
        <v/>
      </c>
      <c r="C336" s="16" t="str">
        <f>IFNA(VLOOKUP($A336,Spells!$A$2:$I1002,MATCH(C$3,Spells!$A$1:$I$1,0),FALSE))</f>
        <v/>
      </c>
      <c r="D336" s="16" t="str">
        <f>IFNA(VLOOKUP($A336,Spells!$A$2:$I1002,MATCH(D$3,Spells!$A$1:$I$1,0),FALSE))</f>
        <v/>
      </c>
      <c r="E336" s="16" t="str">
        <f>IFNA(VLOOKUP($A336,Spells!$A$2:$I1002,MATCH(E$3,Spells!$A$1:$I$1,0),FALSE))</f>
        <v/>
      </c>
      <c r="F336" s="16" t="str">
        <f>IFNA(VLOOKUP($A336,Spells!$A$2:$I1002,MATCH(F$3,Spells!$A$1:$I$1,0),FALSE))</f>
        <v/>
      </c>
      <c r="G336" s="16" t="str">
        <f>IFNA(VLOOKUP($A336,Spells!$A$2:$I1002,MATCH(G$3,Spells!$A$1:$I$1,0),FALSE))</f>
        <v/>
      </c>
      <c r="H336" s="16" t="str">
        <f>IFNA(VLOOKUP($A336,Spells!$A$2:$I1002,MATCH(H$3,Spells!$A$1:$I$1,0),FALSE))</f>
        <v/>
      </c>
    </row>
    <row r="337">
      <c r="A337" s="16"/>
      <c r="B337" s="16" t="str">
        <f>IFNA(VLOOKUP($A337,Spells!$A$2:$I1002,MATCH(B$3,Spells!$A$1:$I$1,0),FALSE))</f>
        <v/>
      </c>
      <c r="C337" s="16" t="str">
        <f>IFNA(VLOOKUP($A337,Spells!$A$2:$I1002,MATCH(C$3,Spells!$A$1:$I$1,0),FALSE))</f>
        <v/>
      </c>
      <c r="D337" s="16" t="str">
        <f>IFNA(VLOOKUP($A337,Spells!$A$2:$I1002,MATCH(D$3,Spells!$A$1:$I$1,0),FALSE))</f>
        <v/>
      </c>
      <c r="E337" s="16" t="str">
        <f>IFNA(VLOOKUP($A337,Spells!$A$2:$I1002,MATCH(E$3,Spells!$A$1:$I$1,0),FALSE))</f>
        <v/>
      </c>
      <c r="F337" s="16" t="str">
        <f>IFNA(VLOOKUP($A337,Spells!$A$2:$I1002,MATCH(F$3,Spells!$A$1:$I$1,0),FALSE))</f>
        <v/>
      </c>
      <c r="G337" s="16" t="str">
        <f>IFNA(VLOOKUP($A337,Spells!$A$2:$I1002,MATCH(G$3,Spells!$A$1:$I$1,0),FALSE))</f>
        <v/>
      </c>
      <c r="H337" s="16" t="str">
        <f>IFNA(VLOOKUP($A337,Spells!$A$2:$I1002,MATCH(H$3,Spells!$A$1:$I$1,0),FALSE))</f>
        <v/>
      </c>
    </row>
    <row r="338">
      <c r="A338" s="16"/>
      <c r="B338" s="16" t="str">
        <f>IFNA(VLOOKUP($A338,Spells!$A$2:$I1002,MATCH(B$3,Spells!$A$1:$I$1,0),FALSE))</f>
        <v/>
      </c>
      <c r="C338" s="16" t="str">
        <f>IFNA(VLOOKUP($A338,Spells!$A$2:$I1002,MATCH(C$3,Spells!$A$1:$I$1,0),FALSE))</f>
        <v/>
      </c>
      <c r="D338" s="16" t="str">
        <f>IFNA(VLOOKUP($A338,Spells!$A$2:$I1002,MATCH(D$3,Spells!$A$1:$I$1,0),FALSE))</f>
        <v/>
      </c>
      <c r="E338" s="16" t="str">
        <f>IFNA(VLOOKUP($A338,Spells!$A$2:$I1002,MATCH(E$3,Spells!$A$1:$I$1,0),FALSE))</f>
        <v/>
      </c>
      <c r="F338" s="16" t="str">
        <f>IFNA(VLOOKUP($A338,Spells!$A$2:$I1002,MATCH(F$3,Spells!$A$1:$I$1,0),FALSE))</f>
        <v/>
      </c>
      <c r="G338" s="16" t="str">
        <f>IFNA(VLOOKUP($A338,Spells!$A$2:$I1002,MATCH(G$3,Spells!$A$1:$I$1,0),FALSE))</f>
        <v/>
      </c>
      <c r="H338" s="16" t="str">
        <f>IFNA(VLOOKUP($A338,Spells!$A$2:$I1002,MATCH(H$3,Spells!$A$1:$I$1,0),FALSE))</f>
        <v/>
      </c>
    </row>
    <row r="339">
      <c r="A339" s="16"/>
      <c r="B339" s="16" t="str">
        <f>IFNA(VLOOKUP($A339,Spells!$A$2:$I1002,MATCH(B$3,Spells!$A$1:$I$1,0),FALSE))</f>
        <v/>
      </c>
      <c r="C339" s="16" t="str">
        <f>IFNA(VLOOKUP($A339,Spells!$A$2:$I1002,MATCH(C$3,Spells!$A$1:$I$1,0),FALSE))</f>
        <v/>
      </c>
      <c r="D339" s="16" t="str">
        <f>IFNA(VLOOKUP($A339,Spells!$A$2:$I1002,MATCH(D$3,Spells!$A$1:$I$1,0),FALSE))</f>
        <v/>
      </c>
      <c r="E339" s="16" t="str">
        <f>IFNA(VLOOKUP($A339,Spells!$A$2:$I1002,MATCH(E$3,Spells!$A$1:$I$1,0),FALSE))</f>
        <v/>
      </c>
      <c r="F339" s="16" t="str">
        <f>IFNA(VLOOKUP($A339,Spells!$A$2:$I1002,MATCH(F$3,Spells!$A$1:$I$1,0),FALSE))</f>
        <v/>
      </c>
      <c r="G339" s="16" t="str">
        <f>IFNA(VLOOKUP($A339,Spells!$A$2:$I1002,MATCH(G$3,Spells!$A$1:$I$1,0),FALSE))</f>
        <v/>
      </c>
      <c r="H339" s="16" t="str">
        <f>IFNA(VLOOKUP($A339,Spells!$A$2:$I1002,MATCH(H$3,Spells!$A$1:$I$1,0),FALSE))</f>
        <v/>
      </c>
    </row>
    <row r="340">
      <c r="A340" s="16"/>
      <c r="B340" s="16" t="str">
        <f>IFNA(VLOOKUP($A340,Spells!$A$2:$I1002,MATCH(B$3,Spells!$A$1:$I$1,0),FALSE))</f>
        <v/>
      </c>
      <c r="C340" s="16" t="str">
        <f>IFNA(VLOOKUP($A340,Spells!$A$2:$I1002,MATCH(C$3,Spells!$A$1:$I$1,0),FALSE))</f>
        <v/>
      </c>
      <c r="D340" s="16" t="str">
        <f>IFNA(VLOOKUP($A340,Spells!$A$2:$I1002,MATCH(D$3,Spells!$A$1:$I$1,0),FALSE))</f>
        <v/>
      </c>
      <c r="E340" s="16" t="str">
        <f>IFNA(VLOOKUP($A340,Spells!$A$2:$I1002,MATCH(E$3,Spells!$A$1:$I$1,0),FALSE))</f>
        <v/>
      </c>
      <c r="F340" s="16" t="str">
        <f>IFNA(VLOOKUP($A340,Spells!$A$2:$I1002,MATCH(F$3,Spells!$A$1:$I$1,0),FALSE))</f>
        <v/>
      </c>
      <c r="G340" s="16" t="str">
        <f>IFNA(VLOOKUP($A340,Spells!$A$2:$I1002,MATCH(G$3,Spells!$A$1:$I$1,0),FALSE))</f>
        <v/>
      </c>
      <c r="H340" s="16" t="str">
        <f>IFNA(VLOOKUP($A340,Spells!$A$2:$I1002,MATCH(H$3,Spells!$A$1:$I$1,0),FALSE))</f>
        <v/>
      </c>
    </row>
    <row r="341">
      <c r="A341" s="16"/>
      <c r="B341" s="16" t="str">
        <f>IFNA(VLOOKUP($A341,Spells!$A$2:$I1002,MATCH(B$3,Spells!$A$1:$I$1,0),FALSE))</f>
        <v/>
      </c>
      <c r="C341" s="16" t="str">
        <f>IFNA(VLOOKUP($A341,Spells!$A$2:$I1002,MATCH(C$3,Spells!$A$1:$I$1,0),FALSE))</f>
        <v/>
      </c>
      <c r="D341" s="16" t="str">
        <f>IFNA(VLOOKUP($A341,Spells!$A$2:$I1002,MATCH(D$3,Spells!$A$1:$I$1,0),FALSE))</f>
        <v/>
      </c>
      <c r="E341" s="16" t="str">
        <f>IFNA(VLOOKUP($A341,Spells!$A$2:$I1002,MATCH(E$3,Spells!$A$1:$I$1,0),FALSE))</f>
        <v/>
      </c>
      <c r="F341" s="16" t="str">
        <f>IFNA(VLOOKUP($A341,Spells!$A$2:$I1002,MATCH(F$3,Spells!$A$1:$I$1,0),FALSE))</f>
        <v/>
      </c>
      <c r="G341" s="16" t="str">
        <f>IFNA(VLOOKUP($A341,Spells!$A$2:$I1002,MATCH(G$3,Spells!$A$1:$I$1,0),FALSE))</f>
        <v/>
      </c>
      <c r="H341" s="16" t="str">
        <f>IFNA(VLOOKUP($A341,Spells!$A$2:$I1002,MATCH(H$3,Spells!$A$1:$I$1,0),FALSE))</f>
        <v/>
      </c>
    </row>
    <row r="342">
      <c r="A342" s="16"/>
      <c r="B342" s="16" t="str">
        <f>IFNA(VLOOKUP($A342,Spells!$A$2:$I1002,MATCH(B$3,Spells!$A$1:$I$1,0),FALSE))</f>
        <v/>
      </c>
      <c r="C342" s="16" t="str">
        <f>IFNA(VLOOKUP($A342,Spells!$A$2:$I1002,MATCH(C$3,Spells!$A$1:$I$1,0),FALSE))</f>
        <v/>
      </c>
      <c r="D342" s="16" t="str">
        <f>IFNA(VLOOKUP($A342,Spells!$A$2:$I1002,MATCH(D$3,Spells!$A$1:$I$1,0),FALSE))</f>
        <v/>
      </c>
      <c r="E342" s="16" t="str">
        <f>IFNA(VLOOKUP($A342,Spells!$A$2:$I1002,MATCH(E$3,Spells!$A$1:$I$1,0),FALSE))</f>
        <v/>
      </c>
      <c r="F342" s="16" t="str">
        <f>IFNA(VLOOKUP($A342,Spells!$A$2:$I1002,MATCH(F$3,Spells!$A$1:$I$1,0),FALSE))</f>
        <v/>
      </c>
      <c r="G342" s="16" t="str">
        <f>IFNA(VLOOKUP($A342,Spells!$A$2:$I1002,MATCH(G$3,Spells!$A$1:$I$1,0),FALSE))</f>
        <v/>
      </c>
      <c r="H342" s="16" t="str">
        <f>IFNA(VLOOKUP($A342,Spells!$A$2:$I1002,MATCH(H$3,Spells!$A$1:$I$1,0),FALSE))</f>
        <v/>
      </c>
    </row>
    <row r="343">
      <c r="A343" s="16"/>
      <c r="B343" s="16" t="str">
        <f>IFNA(VLOOKUP($A343,Spells!$A$2:$I1002,MATCH(B$3,Spells!$A$1:$I$1,0),FALSE))</f>
        <v/>
      </c>
      <c r="C343" s="16" t="str">
        <f>IFNA(VLOOKUP($A343,Spells!$A$2:$I1002,MATCH(C$3,Spells!$A$1:$I$1,0),FALSE))</f>
        <v/>
      </c>
      <c r="D343" s="16" t="str">
        <f>IFNA(VLOOKUP($A343,Spells!$A$2:$I1002,MATCH(D$3,Spells!$A$1:$I$1,0),FALSE))</f>
        <v/>
      </c>
      <c r="E343" s="16" t="str">
        <f>IFNA(VLOOKUP($A343,Spells!$A$2:$I1002,MATCH(E$3,Spells!$A$1:$I$1,0),FALSE))</f>
        <v/>
      </c>
      <c r="F343" s="16" t="str">
        <f>IFNA(VLOOKUP($A343,Spells!$A$2:$I1002,MATCH(F$3,Spells!$A$1:$I$1,0),FALSE))</f>
        <v/>
      </c>
      <c r="G343" s="16" t="str">
        <f>IFNA(VLOOKUP($A343,Spells!$A$2:$I1002,MATCH(G$3,Spells!$A$1:$I$1,0),FALSE))</f>
        <v/>
      </c>
      <c r="H343" s="16" t="str">
        <f>IFNA(VLOOKUP($A343,Spells!$A$2:$I1002,MATCH(H$3,Spells!$A$1:$I$1,0),FALSE))</f>
        <v/>
      </c>
    </row>
    <row r="344">
      <c r="A344" s="16"/>
      <c r="B344" s="16" t="str">
        <f>IFNA(VLOOKUP($A344,Spells!$A$2:$I1002,MATCH(B$3,Spells!$A$1:$I$1,0),FALSE))</f>
        <v/>
      </c>
      <c r="C344" s="16" t="str">
        <f>IFNA(VLOOKUP($A344,Spells!$A$2:$I1002,MATCH(C$3,Spells!$A$1:$I$1,0),FALSE))</f>
        <v/>
      </c>
      <c r="D344" s="16" t="str">
        <f>IFNA(VLOOKUP($A344,Spells!$A$2:$I1002,MATCH(D$3,Spells!$A$1:$I$1,0),FALSE))</f>
        <v/>
      </c>
      <c r="E344" s="16" t="str">
        <f>IFNA(VLOOKUP($A344,Spells!$A$2:$I1002,MATCH(E$3,Spells!$A$1:$I$1,0),FALSE))</f>
        <v/>
      </c>
      <c r="F344" s="16" t="str">
        <f>IFNA(VLOOKUP($A344,Spells!$A$2:$I1002,MATCH(F$3,Spells!$A$1:$I$1,0),FALSE))</f>
        <v/>
      </c>
      <c r="G344" s="16" t="str">
        <f>IFNA(VLOOKUP($A344,Spells!$A$2:$I1002,MATCH(G$3,Spells!$A$1:$I$1,0),FALSE))</f>
        <v/>
      </c>
      <c r="H344" s="16" t="str">
        <f>IFNA(VLOOKUP($A344,Spells!$A$2:$I1002,MATCH(H$3,Spells!$A$1:$I$1,0),FALSE))</f>
        <v/>
      </c>
    </row>
    <row r="345">
      <c r="A345" s="16"/>
      <c r="B345" s="16" t="str">
        <f>IFNA(VLOOKUP($A345,Spells!$A$2:$I1002,MATCH(B$3,Spells!$A$1:$I$1,0),FALSE))</f>
        <v/>
      </c>
      <c r="C345" s="16" t="str">
        <f>IFNA(VLOOKUP($A345,Spells!$A$2:$I1002,MATCH(C$3,Spells!$A$1:$I$1,0),FALSE))</f>
        <v/>
      </c>
      <c r="D345" s="16" t="str">
        <f>IFNA(VLOOKUP($A345,Spells!$A$2:$I1002,MATCH(D$3,Spells!$A$1:$I$1,0),FALSE))</f>
        <v/>
      </c>
      <c r="E345" s="16" t="str">
        <f>IFNA(VLOOKUP($A345,Spells!$A$2:$I1002,MATCH(E$3,Spells!$A$1:$I$1,0),FALSE))</f>
        <v/>
      </c>
      <c r="F345" s="16" t="str">
        <f>IFNA(VLOOKUP($A345,Spells!$A$2:$I1002,MATCH(F$3,Spells!$A$1:$I$1,0),FALSE))</f>
        <v/>
      </c>
      <c r="G345" s="16" t="str">
        <f>IFNA(VLOOKUP($A345,Spells!$A$2:$I1002,MATCH(G$3,Spells!$A$1:$I$1,0),FALSE))</f>
        <v/>
      </c>
      <c r="H345" s="16" t="str">
        <f>IFNA(VLOOKUP($A345,Spells!$A$2:$I1002,MATCH(H$3,Spells!$A$1:$I$1,0),FALSE))</f>
        <v/>
      </c>
    </row>
    <row r="346">
      <c r="A346" s="16"/>
      <c r="B346" s="16" t="str">
        <f>IFNA(VLOOKUP($A346,Spells!$A$2:$I1002,MATCH(B$3,Spells!$A$1:$I$1,0),FALSE))</f>
        <v/>
      </c>
      <c r="C346" s="16" t="str">
        <f>IFNA(VLOOKUP($A346,Spells!$A$2:$I1002,MATCH(C$3,Spells!$A$1:$I$1,0),FALSE))</f>
        <v/>
      </c>
      <c r="D346" s="16" t="str">
        <f>IFNA(VLOOKUP($A346,Spells!$A$2:$I1002,MATCH(D$3,Spells!$A$1:$I$1,0),FALSE))</f>
        <v/>
      </c>
      <c r="E346" s="16" t="str">
        <f>IFNA(VLOOKUP($A346,Spells!$A$2:$I1002,MATCH(E$3,Spells!$A$1:$I$1,0),FALSE))</f>
        <v/>
      </c>
      <c r="F346" s="16" t="str">
        <f>IFNA(VLOOKUP($A346,Spells!$A$2:$I1002,MATCH(F$3,Spells!$A$1:$I$1,0),FALSE))</f>
        <v/>
      </c>
      <c r="G346" s="16" t="str">
        <f>IFNA(VLOOKUP($A346,Spells!$A$2:$I1002,MATCH(G$3,Spells!$A$1:$I$1,0),FALSE))</f>
        <v/>
      </c>
      <c r="H346" s="16" t="str">
        <f>IFNA(VLOOKUP($A346,Spells!$A$2:$I1002,MATCH(H$3,Spells!$A$1:$I$1,0),FALSE))</f>
        <v/>
      </c>
    </row>
    <row r="347">
      <c r="A347" s="16"/>
      <c r="B347" s="16" t="str">
        <f>IFNA(VLOOKUP($A347,Spells!$A$2:$I1002,MATCH(B$3,Spells!$A$1:$I$1,0),FALSE))</f>
        <v/>
      </c>
      <c r="C347" s="16" t="str">
        <f>IFNA(VLOOKUP($A347,Spells!$A$2:$I1002,MATCH(C$3,Spells!$A$1:$I$1,0),FALSE))</f>
        <v/>
      </c>
      <c r="D347" s="16" t="str">
        <f>IFNA(VLOOKUP($A347,Spells!$A$2:$I1002,MATCH(D$3,Spells!$A$1:$I$1,0),FALSE))</f>
        <v/>
      </c>
      <c r="E347" s="16" t="str">
        <f>IFNA(VLOOKUP($A347,Spells!$A$2:$I1002,MATCH(E$3,Spells!$A$1:$I$1,0),FALSE))</f>
        <v/>
      </c>
      <c r="F347" s="16" t="str">
        <f>IFNA(VLOOKUP($A347,Spells!$A$2:$I1002,MATCH(F$3,Spells!$A$1:$I$1,0),FALSE))</f>
        <v/>
      </c>
      <c r="G347" s="16" t="str">
        <f>IFNA(VLOOKUP($A347,Spells!$A$2:$I1002,MATCH(G$3,Spells!$A$1:$I$1,0),FALSE))</f>
        <v/>
      </c>
      <c r="H347" s="16" t="str">
        <f>IFNA(VLOOKUP($A347,Spells!$A$2:$I1002,MATCH(H$3,Spells!$A$1:$I$1,0),FALSE))</f>
        <v/>
      </c>
    </row>
    <row r="348">
      <c r="A348" s="16"/>
      <c r="B348" s="16" t="str">
        <f>IFNA(VLOOKUP($A348,Spells!$A$2:$I1002,MATCH(B$3,Spells!$A$1:$I$1,0),FALSE))</f>
        <v/>
      </c>
      <c r="C348" s="16" t="str">
        <f>IFNA(VLOOKUP($A348,Spells!$A$2:$I1002,MATCH(C$3,Spells!$A$1:$I$1,0),FALSE))</f>
        <v/>
      </c>
      <c r="D348" s="16" t="str">
        <f>IFNA(VLOOKUP($A348,Spells!$A$2:$I1002,MATCH(D$3,Spells!$A$1:$I$1,0),FALSE))</f>
        <v/>
      </c>
      <c r="E348" s="16" t="str">
        <f>IFNA(VLOOKUP($A348,Spells!$A$2:$I1002,MATCH(E$3,Spells!$A$1:$I$1,0),FALSE))</f>
        <v/>
      </c>
      <c r="F348" s="16" t="str">
        <f>IFNA(VLOOKUP($A348,Spells!$A$2:$I1002,MATCH(F$3,Spells!$A$1:$I$1,0),FALSE))</f>
        <v/>
      </c>
      <c r="G348" s="16" t="str">
        <f>IFNA(VLOOKUP($A348,Spells!$A$2:$I1002,MATCH(G$3,Spells!$A$1:$I$1,0),FALSE))</f>
        <v/>
      </c>
      <c r="H348" s="16" t="str">
        <f>IFNA(VLOOKUP($A348,Spells!$A$2:$I1002,MATCH(H$3,Spells!$A$1:$I$1,0),FALSE))</f>
        <v/>
      </c>
    </row>
    <row r="349">
      <c r="A349" s="16"/>
      <c r="B349" s="16" t="str">
        <f>IFNA(VLOOKUP($A349,Spells!$A$2:$I1002,MATCH(B$3,Spells!$A$1:$I$1,0),FALSE))</f>
        <v/>
      </c>
      <c r="C349" s="16" t="str">
        <f>IFNA(VLOOKUP($A349,Spells!$A$2:$I1002,MATCH(C$3,Spells!$A$1:$I$1,0),FALSE))</f>
        <v/>
      </c>
      <c r="D349" s="16" t="str">
        <f>IFNA(VLOOKUP($A349,Spells!$A$2:$I1002,MATCH(D$3,Spells!$A$1:$I$1,0),FALSE))</f>
        <v/>
      </c>
      <c r="E349" s="16" t="str">
        <f>IFNA(VLOOKUP($A349,Spells!$A$2:$I1002,MATCH(E$3,Spells!$A$1:$I$1,0),FALSE))</f>
        <v/>
      </c>
      <c r="F349" s="16" t="str">
        <f>IFNA(VLOOKUP($A349,Spells!$A$2:$I1002,MATCH(F$3,Spells!$A$1:$I$1,0),FALSE))</f>
        <v/>
      </c>
      <c r="G349" s="16" t="str">
        <f>IFNA(VLOOKUP($A349,Spells!$A$2:$I1002,MATCH(G$3,Spells!$A$1:$I$1,0),FALSE))</f>
        <v/>
      </c>
      <c r="H349" s="16" t="str">
        <f>IFNA(VLOOKUP($A349,Spells!$A$2:$I1002,MATCH(H$3,Spells!$A$1:$I$1,0),FALSE))</f>
        <v/>
      </c>
    </row>
    <row r="350">
      <c r="A350" s="16"/>
      <c r="B350" s="16" t="str">
        <f>IFNA(VLOOKUP($A350,Spells!$A$2:$I1002,MATCH(B$3,Spells!$A$1:$I$1,0),FALSE))</f>
        <v/>
      </c>
      <c r="C350" s="16" t="str">
        <f>IFNA(VLOOKUP($A350,Spells!$A$2:$I1002,MATCH(C$3,Spells!$A$1:$I$1,0),FALSE))</f>
        <v/>
      </c>
      <c r="D350" s="16" t="str">
        <f>IFNA(VLOOKUP($A350,Spells!$A$2:$I1002,MATCH(D$3,Spells!$A$1:$I$1,0),FALSE))</f>
        <v/>
      </c>
      <c r="E350" s="16" t="str">
        <f>IFNA(VLOOKUP($A350,Spells!$A$2:$I1002,MATCH(E$3,Spells!$A$1:$I$1,0),FALSE))</f>
        <v/>
      </c>
      <c r="F350" s="16" t="str">
        <f>IFNA(VLOOKUP($A350,Spells!$A$2:$I1002,MATCH(F$3,Spells!$A$1:$I$1,0),FALSE))</f>
        <v/>
      </c>
      <c r="G350" s="16" t="str">
        <f>IFNA(VLOOKUP($A350,Spells!$A$2:$I1002,MATCH(G$3,Spells!$A$1:$I$1,0),FALSE))</f>
        <v/>
      </c>
      <c r="H350" s="16" t="str">
        <f>IFNA(VLOOKUP($A350,Spells!$A$2:$I1002,MATCH(H$3,Spells!$A$1:$I$1,0),FALSE))</f>
        <v/>
      </c>
    </row>
    <row r="351">
      <c r="A351" s="16"/>
      <c r="B351" s="16" t="str">
        <f>IFNA(VLOOKUP($A351,Spells!$A$2:$I1002,MATCH(B$3,Spells!$A$1:$I$1,0),FALSE))</f>
        <v/>
      </c>
      <c r="C351" s="16" t="str">
        <f>IFNA(VLOOKUP($A351,Spells!$A$2:$I1002,MATCH(C$3,Spells!$A$1:$I$1,0),FALSE))</f>
        <v/>
      </c>
      <c r="D351" s="16" t="str">
        <f>IFNA(VLOOKUP($A351,Spells!$A$2:$I1002,MATCH(D$3,Spells!$A$1:$I$1,0),FALSE))</f>
        <v/>
      </c>
      <c r="E351" s="16" t="str">
        <f>IFNA(VLOOKUP($A351,Spells!$A$2:$I1002,MATCH(E$3,Spells!$A$1:$I$1,0),FALSE))</f>
        <v/>
      </c>
      <c r="F351" s="16" t="str">
        <f>IFNA(VLOOKUP($A351,Spells!$A$2:$I1002,MATCH(F$3,Spells!$A$1:$I$1,0),FALSE))</f>
        <v/>
      </c>
      <c r="G351" s="16" t="str">
        <f>IFNA(VLOOKUP($A351,Spells!$A$2:$I1002,MATCH(G$3,Spells!$A$1:$I$1,0),FALSE))</f>
        <v/>
      </c>
      <c r="H351" s="16" t="str">
        <f>IFNA(VLOOKUP($A351,Spells!$A$2:$I1002,MATCH(H$3,Spells!$A$1:$I$1,0),FALSE))</f>
        <v/>
      </c>
    </row>
    <row r="352">
      <c r="A352" s="16"/>
      <c r="B352" s="16" t="str">
        <f>IFNA(VLOOKUP($A352,Spells!$A$2:$I1002,MATCH(B$3,Spells!$A$1:$I$1,0),FALSE))</f>
        <v/>
      </c>
      <c r="C352" s="16" t="str">
        <f>IFNA(VLOOKUP($A352,Spells!$A$2:$I1002,MATCH(C$3,Spells!$A$1:$I$1,0),FALSE))</f>
        <v/>
      </c>
      <c r="D352" s="16" t="str">
        <f>IFNA(VLOOKUP($A352,Spells!$A$2:$I1002,MATCH(D$3,Spells!$A$1:$I$1,0),FALSE))</f>
        <v/>
      </c>
      <c r="E352" s="16" t="str">
        <f>IFNA(VLOOKUP($A352,Spells!$A$2:$I1002,MATCH(E$3,Spells!$A$1:$I$1,0),FALSE))</f>
        <v/>
      </c>
      <c r="F352" s="16" t="str">
        <f>IFNA(VLOOKUP($A352,Spells!$A$2:$I1002,MATCH(F$3,Spells!$A$1:$I$1,0),FALSE))</f>
        <v/>
      </c>
      <c r="G352" s="16" t="str">
        <f>IFNA(VLOOKUP($A352,Spells!$A$2:$I1002,MATCH(G$3,Spells!$A$1:$I$1,0),FALSE))</f>
        <v/>
      </c>
      <c r="H352" s="16" t="str">
        <f>IFNA(VLOOKUP($A352,Spells!$A$2:$I1002,MATCH(H$3,Spells!$A$1:$I$1,0),FALSE))</f>
        <v/>
      </c>
    </row>
    <row r="353">
      <c r="A353" s="16"/>
      <c r="B353" s="16" t="str">
        <f>IFNA(VLOOKUP($A353,Spells!$A$2:$I1002,MATCH(B$3,Spells!$A$1:$I$1,0),FALSE))</f>
        <v/>
      </c>
      <c r="C353" s="16" t="str">
        <f>IFNA(VLOOKUP($A353,Spells!$A$2:$I1002,MATCH(C$3,Spells!$A$1:$I$1,0),FALSE))</f>
        <v/>
      </c>
      <c r="D353" s="16" t="str">
        <f>IFNA(VLOOKUP($A353,Spells!$A$2:$I1002,MATCH(D$3,Spells!$A$1:$I$1,0),FALSE))</f>
        <v/>
      </c>
      <c r="E353" s="16" t="str">
        <f>IFNA(VLOOKUP($A353,Spells!$A$2:$I1002,MATCH(E$3,Spells!$A$1:$I$1,0),FALSE))</f>
        <v/>
      </c>
      <c r="F353" s="16" t="str">
        <f>IFNA(VLOOKUP($A353,Spells!$A$2:$I1002,MATCH(F$3,Spells!$A$1:$I$1,0),FALSE))</f>
        <v/>
      </c>
      <c r="G353" s="16" t="str">
        <f>IFNA(VLOOKUP($A353,Spells!$A$2:$I1002,MATCH(G$3,Spells!$A$1:$I$1,0),FALSE))</f>
        <v/>
      </c>
      <c r="H353" s="16" t="str">
        <f>IFNA(VLOOKUP($A353,Spells!$A$2:$I1002,MATCH(H$3,Spells!$A$1:$I$1,0),FALSE))</f>
        <v/>
      </c>
    </row>
    <row r="354">
      <c r="A354" s="16"/>
      <c r="B354" s="16" t="str">
        <f>IFNA(VLOOKUP($A354,Spells!$A$2:$I1002,MATCH(B$3,Spells!$A$1:$I$1,0),FALSE))</f>
        <v/>
      </c>
      <c r="C354" s="16" t="str">
        <f>IFNA(VLOOKUP($A354,Spells!$A$2:$I1002,MATCH(C$3,Spells!$A$1:$I$1,0),FALSE))</f>
        <v/>
      </c>
      <c r="D354" s="16" t="str">
        <f>IFNA(VLOOKUP($A354,Spells!$A$2:$I1002,MATCH(D$3,Spells!$A$1:$I$1,0),FALSE))</f>
        <v/>
      </c>
      <c r="E354" s="16" t="str">
        <f>IFNA(VLOOKUP($A354,Spells!$A$2:$I1002,MATCH(E$3,Spells!$A$1:$I$1,0),FALSE))</f>
        <v/>
      </c>
      <c r="F354" s="16" t="str">
        <f>IFNA(VLOOKUP($A354,Spells!$A$2:$I1002,MATCH(F$3,Spells!$A$1:$I$1,0),FALSE))</f>
        <v/>
      </c>
      <c r="G354" s="16" t="str">
        <f>IFNA(VLOOKUP($A354,Spells!$A$2:$I1002,MATCH(G$3,Spells!$A$1:$I$1,0),FALSE))</f>
        <v/>
      </c>
      <c r="H354" s="16" t="str">
        <f>IFNA(VLOOKUP($A354,Spells!$A$2:$I1002,MATCH(H$3,Spells!$A$1:$I$1,0),FALSE))</f>
        <v/>
      </c>
    </row>
    <row r="355">
      <c r="A355" s="16"/>
      <c r="B355" s="16" t="str">
        <f>IFNA(VLOOKUP($A355,Spells!$A$2:$I1002,MATCH(B$3,Spells!$A$1:$I$1,0),FALSE))</f>
        <v/>
      </c>
      <c r="C355" s="16" t="str">
        <f>IFNA(VLOOKUP($A355,Spells!$A$2:$I1002,MATCH(C$3,Spells!$A$1:$I$1,0),FALSE))</f>
        <v/>
      </c>
      <c r="D355" s="16" t="str">
        <f>IFNA(VLOOKUP($A355,Spells!$A$2:$I1002,MATCH(D$3,Spells!$A$1:$I$1,0),FALSE))</f>
        <v/>
      </c>
      <c r="E355" s="16" t="str">
        <f>IFNA(VLOOKUP($A355,Spells!$A$2:$I1002,MATCH(E$3,Spells!$A$1:$I$1,0),FALSE))</f>
        <v/>
      </c>
      <c r="F355" s="16" t="str">
        <f>IFNA(VLOOKUP($A355,Spells!$A$2:$I1002,MATCH(F$3,Spells!$A$1:$I$1,0),FALSE))</f>
        <v/>
      </c>
      <c r="G355" s="16" t="str">
        <f>IFNA(VLOOKUP($A355,Spells!$A$2:$I1002,MATCH(G$3,Spells!$A$1:$I$1,0),FALSE))</f>
        <v/>
      </c>
      <c r="H355" s="16" t="str">
        <f>IFNA(VLOOKUP($A355,Spells!$A$2:$I1002,MATCH(H$3,Spells!$A$1:$I$1,0),FALSE))</f>
        <v/>
      </c>
    </row>
    <row r="356">
      <c r="A356" s="16"/>
      <c r="B356" s="16" t="str">
        <f>IFNA(VLOOKUP($A356,Spells!$A$2:$I1002,MATCH(B$3,Spells!$A$1:$I$1,0),FALSE))</f>
        <v/>
      </c>
      <c r="C356" s="16" t="str">
        <f>IFNA(VLOOKUP($A356,Spells!$A$2:$I1002,MATCH(C$3,Spells!$A$1:$I$1,0),FALSE))</f>
        <v/>
      </c>
      <c r="D356" s="16" t="str">
        <f>IFNA(VLOOKUP($A356,Spells!$A$2:$I1002,MATCH(D$3,Spells!$A$1:$I$1,0),FALSE))</f>
        <v/>
      </c>
      <c r="E356" s="16" t="str">
        <f>IFNA(VLOOKUP($A356,Spells!$A$2:$I1002,MATCH(E$3,Spells!$A$1:$I$1,0),FALSE))</f>
        <v/>
      </c>
      <c r="F356" s="16" t="str">
        <f>IFNA(VLOOKUP($A356,Spells!$A$2:$I1002,MATCH(F$3,Spells!$A$1:$I$1,0),FALSE))</f>
        <v/>
      </c>
      <c r="G356" s="16" t="str">
        <f>IFNA(VLOOKUP($A356,Spells!$A$2:$I1002,MATCH(G$3,Spells!$A$1:$I$1,0),FALSE))</f>
        <v/>
      </c>
      <c r="H356" s="16" t="str">
        <f>IFNA(VLOOKUP($A356,Spells!$A$2:$I1002,MATCH(H$3,Spells!$A$1:$I$1,0),FALSE))</f>
        <v/>
      </c>
    </row>
    <row r="357">
      <c r="A357" s="16"/>
      <c r="B357" s="16" t="str">
        <f>IFNA(VLOOKUP($A357,Spells!$A$2:$I1002,MATCH(B$3,Spells!$A$1:$I$1,0),FALSE))</f>
        <v/>
      </c>
      <c r="C357" s="16" t="str">
        <f>IFNA(VLOOKUP($A357,Spells!$A$2:$I1002,MATCH(C$3,Spells!$A$1:$I$1,0),FALSE))</f>
        <v/>
      </c>
      <c r="D357" s="16" t="str">
        <f>IFNA(VLOOKUP($A357,Spells!$A$2:$I1002,MATCH(D$3,Spells!$A$1:$I$1,0),FALSE))</f>
        <v/>
      </c>
      <c r="E357" s="16" t="str">
        <f>IFNA(VLOOKUP($A357,Spells!$A$2:$I1002,MATCH(E$3,Spells!$A$1:$I$1,0),FALSE))</f>
        <v/>
      </c>
      <c r="F357" s="16" t="str">
        <f>IFNA(VLOOKUP($A357,Spells!$A$2:$I1002,MATCH(F$3,Spells!$A$1:$I$1,0),FALSE))</f>
        <v/>
      </c>
      <c r="G357" s="16" t="str">
        <f>IFNA(VLOOKUP($A357,Spells!$A$2:$I1002,MATCH(G$3,Spells!$A$1:$I$1,0),FALSE))</f>
        <v/>
      </c>
      <c r="H357" s="16" t="str">
        <f>IFNA(VLOOKUP($A357,Spells!$A$2:$I1002,MATCH(H$3,Spells!$A$1:$I$1,0),FALSE))</f>
        <v/>
      </c>
    </row>
    <row r="358">
      <c r="A358" s="16"/>
      <c r="B358" s="16" t="str">
        <f>IFNA(VLOOKUP($A358,Spells!$A$2:$I1002,MATCH(B$3,Spells!$A$1:$I$1,0),FALSE))</f>
        <v/>
      </c>
      <c r="C358" s="16" t="str">
        <f>IFNA(VLOOKUP($A358,Spells!$A$2:$I1002,MATCH(C$3,Spells!$A$1:$I$1,0),FALSE))</f>
        <v/>
      </c>
      <c r="D358" s="16" t="str">
        <f>IFNA(VLOOKUP($A358,Spells!$A$2:$I1002,MATCH(D$3,Spells!$A$1:$I$1,0),FALSE))</f>
        <v/>
      </c>
      <c r="E358" s="16" t="str">
        <f>IFNA(VLOOKUP($A358,Spells!$A$2:$I1002,MATCH(E$3,Spells!$A$1:$I$1,0),FALSE))</f>
        <v/>
      </c>
      <c r="F358" s="16" t="str">
        <f>IFNA(VLOOKUP($A358,Spells!$A$2:$I1002,MATCH(F$3,Spells!$A$1:$I$1,0),FALSE))</f>
        <v/>
      </c>
      <c r="G358" s="16" t="str">
        <f>IFNA(VLOOKUP($A358,Spells!$A$2:$I1002,MATCH(G$3,Spells!$A$1:$I$1,0),FALSE))</f>
        <v/>
      </c>
      <c r="H358" s="16" t="str">
        <f>IFNA(VLOOKUP($A358,Spells!$A$2:$I1002,MATCH(H$3,Spells!$A$1:$I$1,0),FALSE))</f>
        <v/>
      </c>
    </row>
    <row r="359">
      <c r="A359" s="16"/>
      <c r="B359" s="16" t="str">
        <f>IFNA(VLOOKUP($A359,Spells!$A$2:$I1002,MATCH(B$3,Spells!$A$1:$I$1,0),FALSE))</f>
        <v/>
      </c>
      <c r="C359" s="16" t="str">
        <f>IFNA(VLOOKUP($A359,Spells!$A$2:$I1002,MATCH(C$3,Spells!$A$1:$I$1,0),FALSE))</f>
        <v/>
      </c>
      <c r="D359" s="16" t="str">
        <f>IFNA(VLOOKUP($A359,Spells!$A$2:$I1002,MATCH(D$3,Spells!$A$1:$I$1,0),FALSE))</f>
        <v/>
      </c>
      <c r="E359" s="16" t="str">
        <f>IFNA(VLOOKUP($A359,Spells!$A$2:$I1002,MATCH(E$3,Spells!$A$1:$I$1,0),FALSE))</f>
        <v/>
      </c>
      <c r="F359" s="16" t="str">
        <f>IFNA(VLOOKUP($A359,Spells!$A$2:$I1002,MATCH(F$3,Spells!$A$1:$I$1,0),FALSE))</f>
        <v/>
      </c>
      <c r="G359" s="16" t="str">
        <f>IFNA(VLOOKUP($A359,Spells!$A$2:$I1002,MATCH(G$3,Spells!$A$1:$I$1,0),FALSE))</f>
        <v/>
      </c>
      <c r="H359" s="16" t="str">
        <f>IFNA(VLOOKUP($A359,Spells!$A$2:$I1002,MATCH(H$3,Spells!$A$1:$I$1,0),FALSE))</f>
        <v/>
      </c>
    </row>
    <row r="360">
      <c r="A360" s="16"/>
      <c r="B360" s="16" t="str">
        <f>IFNA(VLOOKUP($A360,Spells!$A$2:$I1002,MATCH(B$3,Spells!$A$1:$I$1,0),FALSE))</f>
        <v/>
      </c>
      <c r="C360" s="16" t="str">
        <f>IFNA(VLOOKUP($A360,Spells!$A$2:$I1002,MATCH(C$3,Spells!$A$1:$I$1,0),FALSE))</f>
        <v/>
      </c>
      <c r="D360" s="16" t="str">
        <f>IFNA(VLOOKUP($A360,Spells!$A$2:$I1002,MATCH(D$3,Spells!$A$1:$I$1,0),FALSE))</f>
        <v/>
      </c>
      <c r="E360" s="16" t="str">
        <f>IFNA(VLOOKUP($A360,Spells!$A$2:$I1002,MATCH(E$3,Spells!$A$1:$I$1,0),FALSE))</f>
        <v/>
      </c>
      <c r="F360" s="16" t="str">
        <f>IFNA(VLOOKUP($A360,Spells!$A$2:$I1002,MATCH(F$3,Spells!$A$1:$I$1,0),FALSE))</f>
        <v/>
      </c>
      <c r="G360" s="16" t="str">
        <f>IFNA(VLOOKUP($A360,Spells!$A$2:$I1002,MATCH(G$3,Spells!$A$1:$I$1,0),FALSE))</f>
        <v/>
      </c>
      <c r="H360" s="16" t="str">
        <f>IFNA(VLOOKUP($A360,Spells!$A$2:$I1002,MATCH(H$3,Spells!$A$1:$I$1,0),FALSE))</f>
        <v/>
      </c>
    </row>
    <row r="361">
      <c r="A361" s="16"/>
      <c r="B361" s="16" t="str">
        <f>IFNA(VLOOKUP($A361,Spells!$A$2:$I1002,MATCH(B$3,Spells!$A$1:$I$1,0),FALSE))</f>
        <v/>
      </c>
      <c r="C361" s="16" t="str">
        <f>IFNA(VLOOKUP($A361,Spells!$A$2:$I1002,MATCH(C$3,Spells!$A$1:$I$1,0),FALSE))</f>
        <v/>
      </c>
      <c r="D361" s="16" t="str">
        <f>IFNA(VLOOKUP($A361,Spells!$A$2:$I1002,MATCH(D$3,Spells!$A$1:$I$1,0),FALSE))</f>
        <v/>
      </c>
      <c r="E361" s="16" t="str">
        <f>IFNA(VLOOKUP($A361,Spells!$A$2:$I1002,MATCH(E$3,Spells!$A$1:$I$1,0),FALSE))</f>
        <v/>
      </c>
      <c r="F361" s="16" t="str">
        <f>IFNA(VLOOKUP($A361,Spells!$A$2:$I1002,MATCH(F$3,Spells!$A$1:$I$1,0),FALSE))</f>
        <v/>
      </c>
      <c r="G361" s="16" t="str">
        <f>IFNA(VLOOKUP($A361,Spells!$A$2:$I1002,MATCH(G$3,Spells!$A$1:$I$1,0),FALSE))</f>
        <v/>
      </c>
      <c r="H361" s="16" t="str">
        <f>IFNA(VLOOKUP($A361,Spells!$A$2:$I1002,MATCH(H$3,Spells!$A$1:$I$1,0),FALSE))</f>
        <v/>
      </c>
    </row>
    <row r="362">
      <c r="A362" s="16"/>
      <c r="B362" s="16" t="str">
        <f>IFNA(VLOOKUP($A362,Spells!$A$2:$I1002,MATCH(B$3,Spells!$A$1:$I$1,0),FALSE))</f>
        <v/>
      </c>
      <c r="C362" s="16" t="str">
        <f>IFNA(VLOOKUP($A362,Spells!$A$2:$I1002,MATCH(C$3,Spells!$A$1:$I$1,0),FALSE))</f>
        <v/>
      </c>
      <c r="D362" s="16" t="str">
        <f>IFNA(VLOOKUP($A362,Spells!$A$2:$I1002,MATCH(D$3,Spells!$A$1:$I$1,0),FALSE))</f>
        <v/>
      </c>
      <c r="E362" s="16" t="str">
        <f>IFNA(VLOOKUP($A362,Spells!$A$2:$I1002,MATCH(E$3,Spells!$A$1:$I$1,0),FALSE))</f>
        <v/>
      </c>
      <c r="F362" s="16" t="str">
        <f>IFNA(VLOOKUP($A362,Spells!$A$2:$I1002,MATCH(F$3,Spells!$A$1:$I$1,0),FALSE))</f>
        <v/>
      </c>
      <c r="G362" s="16" t="str">
        <f>IFNA(VLOOKUP($A362,Spells!$A$2:$I1002,MATCH(G$3,Spells!$A$1:$I$1,0),FALSE))</f>
        <v/>
      </c>
      <c r="H362" s="16" t="str">
        <f>IFNA(VLOOKUP($A362,Spells!$A$2:$I1002,MATCH(H$3,Spells!$A$1:$I$1,0),FALSE))</f>
        <v/>
      </c>
    </row>
    <row r="363">
      <c r="A363" s="16"/>
      <c r="B363" s="16" t="str">
        <f>IFNA(VLOOKUP($A363,Spells!$A$2:$I1002,MATCH(B$3,Spells!$A$1:$I$1,0),FALSE))</f>
        <v/>
      </c>
      <c r="C363" s="16" t="str">
        <f>IFNA(VLOOKUP($A363,Spells!$A$2:$I1002,MATCH(C$3,Spells!$A$1:$I$1,0),FALSE))</f>
        <v/>
      </c>
      <c r="D363" s="16" t="str">
        <f>IFNA(VLOOKUP($A363,Spells!$A$2:$I1002,MATCH(D$3,Spells!$A$1:$I$1,0),FALSE))</f>
        <v/>
      </c>
      <c r="E363" s="16" t="str">
        <f>IFNA(VLOOKUP($A363,Spells!$A$2:$I1002,MATCH(E$3,Spells!$A$1:$I$1,0),FALSE))</f>
        <v/>
      </c>
      <c r="F363" s="16" t="str">
        <f>IFNA(VLOOKUP($A363,Spells!$A$2:$I1002,MATCH(F$3,Spells!$A$1:$I$1,0),FALSE))</f>
        <v/>
      </c>
      <c r="G363" s="16" t="str">
        <f>IFNA(VLOOKUP($A363,Spells!$A$2:$I1002,MATCH(G$3,Spells!$A$1:$I$1,0),FALSE))</f>
        <v/>
      </c>
      <c r="H363" s="16" t="str">
        <f>IFNA(VLOOKUP($A363,Spells!$A$2:$I1002,MATCH(H$3,Spells!$A$1:$I$1,0),FALSE))</f>
        <v/>
      </c>
    </row>
    <row r="364">
      <c r="A364" s="16"/>
      <c r="B364" s="16" t="str">
        <f>IFNA(VLOOKUP($A364,Spells!$A$2:$I1002,MATCH(B$3,Spells!$A$1:$I$1,0),FALSE))</f>
        <v/>
      </c>
      <c r="C364" s="16" t="str">
        <f>IFNA(VLOOKUP($A364,Spells!$A$2:$I1002,MATCH(C$3,Spells!$A$1:$I$1,0),FALSE))</f>
        <v/>
      </c>
      <c r="D364" s="16" t="str">
        <f>IFNA(VLOOKUP($A364,Spells!$A$2:$I1002,MATCH(D$3,Spells!$A$1:$I$1,0),FALSE))</f>
        <v/>
      </c>
      <c r="E364" s="16" t="str">
        <f>IFNA(VLOOKUP($A364,Spells!$A$2:$I1002,MATCH(E$3,Spells!$A$1:$I$1,0),FALSE))</f>
        <v/>
      </c>
      <c r="F364" s="16" t="str">
        <f>IFNA(VLOOKUP($A364,Spells!$A$2:$I1002,MATCH(F$3,Spells!$A$1:$I$1,0),FALSE))</f>
        <v/>
      </c>
      <c r="G364" s="16" t="str">
        <f>IFNA(VLOOKUP($A364,Spells!$A$2:$I1002,MATCH(G$3,Spells!$A$1:$I$1,0),FALSE))</f>
        <v/>
      </c>
      <c r="H364" s="16" t="str">
        <f>IFNA(VLOOKUP($A364,Spells!$A$2:$I1002,MATCH(H$3,Spells!$A$1:$I$1,0),FALSE))</f>
        <v/>
      </c>
    </row>
    <row r="365">
      <c r="A365" s="16"/>
      <c r="B365" s="16" t="str">
        <f>IFNA(VLOOKUP($A365,Spells!$A$2:$I1002,MATCH(B$3,Spells!$A$1:$I$1,0),FALSE))</f>
        <v/>
      </c>
      <c r="C365" s="16" t="str">
        <f>IFNA(VLOOKUP($A365,Spells!$A$2:$I1002,MATCH(C$3,Spells!$A$1:$I$1,0),FALSE))</f>
        <v/>
      </c>
      <c r="D365" s="16" t="str">
        <f>IFNA(VLOOKUP($A365,Spells!$A$2:$I1002,MATCH(D$3,Spells!$A$1:$I$1,0),FALSE))</f>
        <v/>
      </c>
      <c r="E365" s="16" t="str">
        <f>IFNA(VLOOKUP($A365,Spells!$A$2:$I1002,MATCH(E$3,Spells!$A$1:$I$1,0),FALSE))</f>
        <v/>
      </c>
      <c r="F365" s="16" t="str">
        <f>IFNA(VLOOKUP($A365,Spells!$A$2:$I1002,MATCH(F$3,Spells!$A$1:$I$1,0),FALSE))</f>
        <v/>
      </c>
      <c r="G365" s="16" t="str">
        <f>IFNA(VLOOKUP($A365,Spells!$A$2:$I1002,MATCH(G$3,Spells!$A$1:$I$1,0),FALSE))</f>
        <v/>
      </c>
      <c r="H365" s="16" t="str">
        <f>IFNA(VLOOKUP($A365,Spells!$A$2:$I1002,MATCH(H$3,Spells!$A$1:$I$1,0),FALSE))</f>
        <v/>
      </c>
    </row>
    <row r="366">
      <c r="A366" s="16"/>
      <c r="B366" s="16" t="str">
        <f>IFNA(VLOOKUP($A366,Spells!$A$2:$I1002,MATCH(B$3,Spells!$A$1:$I$1,0),FALSE))</f>
        <v/>
      </c>
      <c r="C366" s="16" t="str">
        <f>IFNA(VLOOKUP($A366,Spells!$A$2:$I1002,MATCH(C$3,Spells!$A$1:$I$1,0),FALSE))</f>
        <v/>
      </c>
      <c r="D366" s="16" t="str">
        <f>IFNA(VLOOKUP($A366,Spells!$A$2:$I1002,MATCH(D$3,Spells!$A$1:$I$1,0),FALSE))</f>
        <v/>
      </c>
      <c r="E366" s="16" t="str">
        <f>IFNA(VLOOKUP($A366,Spells!$A$2:$I1002,MATCH(E$3,Spells!$A$1:$I$1,0),FALSE))</f>
        <v/>
      </c>
      <c r="F366" s="16" t="str">
        <f>IFNA(VLOOKUP($A366,Spells!$A$2:$I1002,MATCH(F$3,Spells!$A$1:$I$1,0),FALSE))</f>
        <v/>
      </c>
      <c r="G366" s="16" t="str">
        <f>IFNA(VLOOKUP($A366,Spells!$A$2:$I1002,MATCH(G$3,Spells!$A$1:$I$1,0),FALSE))</f>
        <v/>
      </c>
      <c r="H366" s="16" t="str">
        <f>IFNA(VLOOKUP($A366,Spells!$A$2:$I1002,MATCH(H$3,Spells!$A$1:$I$1,0),FALSE))</f>
        <v/>
      </c>
    </row>
    <row r="367">
      <c r="A367" s="16"/>
      <c r="B367" s="16" t="str">
        <f>IFNA(VLOOKUP($A367,Spells!$A$2:$I1002,MATCH(B$3,Spells!$A$1:$I$1,0),FALSE))</f>
        <v/>
      </c>
      <c r="C367" s="16" t="str">
        <f>IFNA(VLOOKUP($A367,Spells!$A$2:$I1002,MATCH(C$3,Spells!$A$1:$I$1,0),FALSE))</f>
        <v/>
      </c>
      <c r="D367" s="16" t="str">
        <f>IFNA(VLOOKUP($A367,Spells!$A$2:$I1002,MATCH(D$3,Spells!$A$1:$I$1,0),FALSE))</f>
        <v/>
      </c>
      <c r="E367" s="16" t="str">
        <f>IFNA(VLOOKUP($A367,Spells!$A$2:$I1002,MATCH(E$3,Spells!$A$1:$I$1,0),FALSE))</f>
        <v/>
      </c>
      <c r="F367" s="16" t="str">
        <f>IFNA(VLOOKUP($A367,Spells!$A$2:$I1002,MATCH(F$3,Spells!$A$1:$I$1,0),FALSE))</f>
        <v/>
      </c>
      <c r="G367" s="16" t="str">
        <f>IFNA(VLOOKUP($A367,Spells!$A$2:$I1002,MATCH(G$3,Spells!$A$1:$I$1,0),FALSE))</f>
        <v/>
      </c>
      <c r="H367" s="16" t="str">
        <f>IFNA(VLOOKUP($A367,Spells!$A$2:$I1002,MATCH(H$3,Spells!$A$1:$I$1,0),FALSE))</f>
        <v/>
      </c>
    </row>
    <row r="368">
      <c r="A368" s="16"/>
      <c r="B368" s="16" t="str">
        <f>IFNA(VLOOKUP($A368,Spells!$A$2:$I1002,MATCH(B$3,Spells!$A$1:$I$1,0),FALSE))</f>
        <v/>
      </c>
      <c r="C368" s="16" t="str">
        <f>IFNA(VLOOKUP($A368,Spells!$A$2:$I1002,MATCH(C$3,Spells!$A$1:$I$1,0),FALSE))</f>
        <v/>
      </c>
      <c r="D368" s="16" t="str">
        <f>IFNA(VLOOKUP($A368,Spells!$A$2:$I1002,MATCH(D$3,Spells!$A$1:$I$1,0),FALSE))</f>
        <v/>
      </c>
      <c r="E368" s="16" t="str">
        <f>IFNA(VLOOKUP($A368,Spells!$A$2:$I1002,MATCH(E$3,Spells!$A$1:$I$1,0),FALSE))</f>
        <v/>
      </c>
      <c r="F368" s="16" t="str">
        <f>IFNA(VLOOKUP($A368,Spells!$A$2:$I1002,MATCH(F$3,Spells!$A$1:$I$1,0),FALSE))</f>
        <v/>
      </c>
      <c r="G368" s="16" t="str">
        <f>IFNA(VLOOKUP($A368,Spells!$A$2:$I1002,MATCH(G$3,Spells!$A$1:$I$1,0),FALSE))</f>
        <v/>
      </c>
      <c r="H368" s="16" t="str">
        <f>IFNA(VLOOKUP($A368,Spells!$A$2:$I1002,MATCH(H$3,Spells!$A$1:$I$1,0),FALSE))</f>
        <v/>
      </c>
    </row>
    <row r="369">
      <c r="A369" s="16"/>
      <c r="B369" s="16" t="str">
        <f>IFNA(VLOOKUP($A369,Spells!$A$2:$I1002,MATCH(B$3,Spells!$A$1:$I$1,0),FALSE))</f>
        <v/>
      </c>
      <c r="C369" s="16" t="str">
        <f>IFNA(VLOOKUP($A369,Spells!$A$2:$I1002,MATCH(C$3,Spells!$A$1:$I$1,0),FALSE))</f>
        <v/>
      </c>
      <c r="D369" s="16" t="str">
        <f>IFNA(VLOOKUP($A369,Spells!$A$2:$I1002,MATCH(D$3,Spells!$A$1:$I$1,0),FALSE))</f>
        <v/>
      </c>
      <c r="E369" s="16" t="str">
        <f>IFNA(VLOOKUP($A369,Spells!$A$2:$I1002,MATCH(E$3,Spells!$A$1:$I$1,0),FALSE))</f>
        <v/>
      </c>
      <c r="F369" s="16" t="str">
        <f>IFNA(VLOOKUP($A369,Spells!$A$2:$I1002,MATCH(F$3,Spells!$A$1:$I$1,0),FALSE))</f>
        <v/>
      </c>
      <c r="G369" s="16" t="str">
        <f>IFNA(VLOOKUP($A369,Spells!$A$2:$I1002,MATCH(G$3,Spells!$A$1:$I$1,0),FALSE))</f>
        <v/>
      </c>
      <c r="H369" s="16" t="str">
        <f>IFNA(VLOOKUP($A369,Spells!$A$2:$I1002,MATCH(H$3,Spells!$A$1:$I$1,0),FALSE))</f>
        <v/>
      </c>
    </row>
    <row r="370">
      <c r="A370" s="16"/>
      <c r="B370" s="16" t="str">
        <f>IFNA(VLOOKUP($A370,Spells!$A$2:$I1002,MATCH(B$3,Spells!$A$1:$I$1,0),FALSE))</f>
        <v/>
      </c>
      <c r="C370" s="16" t="str">
        <f>IFNA(VLOOKUP($A370,Spells!$A$2:$I1002,MATCH(C$3,Spells!$A$1:$I$1,0),FALSE))</f>
        <v/>
      </c>
      <c r="D370" s="16" t="str">
        <f>IFNA(VLOOKUP($A370,Spells!$A$2:$I1002,MATCH(D$3,Spells!$A$1:$I$1,0),FALSE))</f>
        <v/>
      </c>
      <c r="E370" s="16" t="str">
        <f>IFNA(VLOOKUP($A370,Spells!$A$2:$I1002,MATCH(E$3,Spells!$A$1:$I$1,0),FALSE))</f>
        <v/>
      </c>
      <c r="F370" s="16" t="str">
        <f>IFNA(VLOOKUP($A370,Spells!$A$2:$I1002,MATCH(F$3,Spells!$A$1:$I$1,0),FALSE))</f>
        <v/>
      </c>
      <c r="G370" s="16" t="str">
        <f>IFNA(VLOOKUP($A370,Spells!$A$2:$I1002,MATCH(G$3,Spells!$A$1:$I$1,0),FALSE))</f>
        <v/>
      </c>
      <c r="H370" s="16" t="str">
        <f>IFNA(VLOOKUP($A370,Spells!$A$2:$I1002,MATCH(H$3,Spells!$A$1:$I$1,0),FALSE))</f>
        <v/>
      </c>
    </row>
    <row r="371">
      <c r="A371" s="16"/>
      <c r="B371" s="16" t="str">
        <f>IFNA(VLOOKUP($A371,Spells!$A$2:$I1002,MATCH(B$3,Spells!$A$1:$I$1,0),FALSE))</f>
        <v/>
      </c>
      <c r="C371" s="16" t="str">
        <f>IFNA(VLOOKUP($A371,Spells!$A$2:$I1002,MATCH(C$3,Spells!$A$1:$I$1,0),FALSE))</f>
        <v/>
      </c>
      <c r="D371" s="16" t="str">
        <f>IFNA(VLOOKUP($A371,Spells!$A$2:$I1002,MATCH(D$3,Spells!$A$1:$I$1,0),FALSE))</f>
        <v/>
      </c>
      <c r="E371" s="16" t="str">
        <f>IFNA(VLOOKUP($A371,Spells!$A$2:$I1002,MATCH(E$3,Spells!$A$1:$I$1,0),FALSE))</f>
        <v/>
      </c>
      <c r="F371" s="16" t="str">
        <f>IFNA(VLOOKUP($A371,Spells!$A$2:$I1002,MATCH(F$3,Spells!$A$1:$I$1,0),FALSE))</f>
        <v/>
      </c>
      <c r="G371" s="16" t="str">
        <f>IFNA(VLOOKUP($A371,Spells!$A$2:$I1002,MATCH(G$3,Spells!$A$1:$I$1,0),FALSE))</f>
        <v/>
      </c>
      <c r="H371" s="16" t="str">
        <f>IFNA(VLOOKUP($A371,Spells!$A$2:$I1002,MATCH(H$3,Spells!$A$1:$I$1,0),FALSE))</f>
        <v/>
      </c>
    </row>
    <row r="372">
      <c r="A372" s="16"/>
      <c r="B372" s="16" t="str">
        <f>IFNA(VLOOKUP($A372,Spells!$A$2:$I1002,MATCH(B$3,Spells!$A$1:$I$1,0),FALSE))</f>
        <v/>
      </c>
      <c r="C372" s="16" t="str">
        <f>IFNA(VLOOKUP($A372,Spells!$A$2:$I1002,MATCH(C$3,Spells!$A$1:$I$1,0),FALSE))</f>
        <v/>
      </c>
      <c r="D372" s="16" t="str">
        <f>IFNA(VLOOKUP($A372,Spells!$A$2:$I1002,MATCH(D$3,Spells!$A$1:$I$1,0),FALSE))</f>
        <v/>
      </c>
      <c r="E372" s="16" t="str">
        <f>IFNA(VLOOKUP($A372,Spells!$A$2:$I1002,MATCH(E$3,Spells!$A$1:$I$1,0),FALSE))</f>
        <v/>
      </c>
      <c r="F372" s="16" t="str">
        <f>IFNA(VLOOKUP($A372,Spells!$A$2:$I1002,MATCH(F$3,Spells!$A$1:$I$1,0),FALSE))</f>
        <v/>
      </c>
      <c r="G372" s="16" t="str">
        <f>IFNA(VLOOKUP($A372,Spells!$A$2:$I1002,MATCH(G$3,Spells!$A$1:$I$1,0),FALSE))</f>
        <v/>
      </c>
      <c r="H372" s="16" t="str">
        <f>IFNA(VLOOKUP($A372,Spells!$A$2:$I1002,MATCH(H$3,Spells!$A$1:$I$1,0),FALSE))</f>
        <v/>
      </c>
    </row>
    <row r="373">
      <c r="A373" s="16"/>
      <c r="B373" s="16" t="str">
        <f>IFNA(VLOOKUP($A373,Spells!$A$2:$I1002,MATCH(B$3,Spells!$A$1:$I$1,0),FALSE))</f>
        <v/>
      </c>
      <c r="C373" s="16" t="str">
        <f>IFNA(VLOOKUP($A373,Spells!$A$2:$I1002,MATCH(C$3,Spells!$A$1:$I$1,0),FALSE))</f>
        <v/>
      </c>
      <c r="D373" s="16" t="str">
        <f>IFNA(VLOOKUP($A373,Spells!$A$2:$I1002,MATCH(D$3,Spells!$A$1:$I$1,0),FALSE))</f>
        <v/>
      </c>
      <c r="E373" s="16" t="str">
        <f>IFNA(VLOOKUP($A373,Spells!$A$2:$I1002,MATCH(E$3,Spells!$A$1:$I$1,0),FALSE))</f>
        <v/>
      </c>
      <c r="F373" s="16" t="str">
        <f>IFNA(VLOOKUP($A373,Spells!$A$2:$I1002,MATCH(F$3,Spells!$A$1:$I$1,0),FALSE))</f>
        <v/>
      </c>
      <c r="G373" s="16" t="str">
        <f>IFNA(VLOOKUP($A373,Spells!$A$2:$I1002,MATCH(G$3,Spells!$A$1:$I$1,0),FALSE))</f>
        <v/>
      </c>
      <c r="H373" s="16" t="str">
        <f>IFNA(VLOOKUP($A373,Spells!$A$2:$I1002,MATCH(H$3,Spells!$A$1:$I$1,0),FALSE))</f>
        <v/>
      </c>
    </row>
    <row r="374">
      <c r="A374" s="16"/>
      <c r="B374" s="16" t="str">
        <f>IFNA(VLOOKUP($A374,Spells!$A$2:$I1002,MATCH(B$3,Spells!$A$1:$I$1,0),FALSE))</f>
        <v/>
      </c>
      <c r="C374" s="16" t="str">
        <f>IFNA(VLOOKUP($A374,Spells!$A$2:$I1002,MATCH(C$3,Spells!$A$1:$I$1,0),FALSE))</f>
        <v/>
      </c>
      <c r="D374" s="16" t="str">
        <f>IFNA(VLOOKUP($A374,Spells!$A$2:$I1002,MATCH(D$3,Spells!$A$1:$I$1,0),FALSE))</f>
        <v/>
      </c>
      <c r="E374" s="16" t="str">
        <f>IFNA(VLOOKUP($A374,Spells!$A$2:$I1002,MATCH(E$3,Spells!$A$1:$I$1,0),FALSE))</f>
        <v/>
      </c>
      <c r="F374" s="16" t="str">
        <f>IFNA(VLOOKUP($A374,Spells!$A$2:$I1002,MATCH(F$3,Spells!$A$1:$I$1,0),FALSE))</f>
        <v/>
      </c>
      <c r="G374" s="16" t="str">
        <f>IFNA(VLOOKUP($A374,Spells!$A$2:$I1002,MATCH(G$3,Spells!$A$1:$I$1,0),FALSE))</f>
        <v/>
      </c>
      <c r="H374" s="16" t="str">
        <f>IFNA(VLOOKUP($A374,Spells!$A$2:$I1002,MATCH(H$3,Spells!$A$1:$I$1,0),FALSE))</f>
        <v/>
      </c>
    </row>
    <row r="375">
      <c r="A375" s="16"/>
      <c r="B375" s="16" t="str">
        <f>IFNA(VLOOKUP($A375,Spells!$A$2:$I1002,MATCH(B$3,Spells!$A$1:$I$1,0),FALSE))</f>
        <v/>
      </c>
      <c r="C375" s="16" t="str">
        <f>IFNA(VLOOKUP($A375,Spells!$A$2:$I1002,MATCH(C$3,Spells!$A$1:$I$1,0),FALSE))</f>
        <v/>
      </c>
      <c r="D375" s="16" t="str">
        <f>IFNA(VLOOKUP($A375,Spells!$A$2:$I1002,MATCH(D$3,Spells!$A$1:$I$1,0),FALSE))</f>
        <v/>
      </c>
      <c r="E375" s="16" t="str">
        <f>IFNA(VLOOKUP($A375,Spells!$A$2:$I1002,MATCH(E$3,Spells!$A$1:$I$1,0),FALSE))</f>
        <v/>
      </c>
      <c r="F375" s="16" t="str">
        <f>IFNA(VLOOKUP($A375,Spells!$A$2:$I1002,MATCH(F$3,Spells!$A$1:$I$1,0),FALSE))</f>
        <v/>
      </c>
      <c r="G375" s="16" t="str">
        <f>IFNA(VLOOKUP($A375,Spells!$A$2:$I1002,MATCH(G$3,Spells!$A$1:$I$1,0),FALSE))</f>
        <v/>
      </c>
      <c r="H375" s="16" t="str">
        <f>IFNA(VLOOKUP($A375,Spells!$A$2:$I1002,MATCH(H$3,Spells!$A$1:$I$1,0),FALSE))</f>
        <v/>
      </c>
    </row>
    <row r="376">
      <c r="A376" s="16"/>
      <c r="B376" s="16" t="str">
        <f>IFNA(VLOOKUP($A376,Spells!$A$2:$I1002,MATCH(B$3,Spells!$A$1:$I$1,0),FALSE))</f>
        <v/>
      </c>
      <c r="C376" s="16" t="str">
        <f>IFNA(VLOOKUP($A376,Spells!$A$2:$I1002,MATCH(C$3,Spells!$A$1:$I$1,0),FALSE))</f>
        <v/>
      </c>
      <c r="D376" s="16" t="str">
        <f>IFNA(VLOOKUP($A376,Spells!$A$2:$I1002,MATCH(D$3,Spells!$A$1:$I$1,0),FALSE))</f>
        <v/>
      </c>
      <c r="E376" s="16" t="str">
        <f>IFNA(VLOOKUP($A376,Spells!$A$2:$I1002,MATCH(E$3,Spells!$A$1:$I$1,0),FALSE))</f>
        <v/>
      </c>
      <c r="F376" s="16" t="str">
        <f>IFNA(VLOOKUP($A376,Spells!$A$2:$I1002,MATCH(F$3,Spells!$A$1:$I$1,0),FALSE))</f>
        <v/>
      </c>
      <c r="G376" s="16" t="str">
        <f>IFNA(VLOOKUP($A376,Spells!$A$2:$I1002,MATCH(G$3,Spells!$A$1:$I$1,0),FALSE))</f>
        <v/>
      </c>
      <c r="H376" s="16" t="str">
        <f>IFNA(VLOOKUP($A376,Spells!$A$2:$I1002,MATCH(H$3,Spells!$A$1:$I$1,0),FALSE))</f>
        <v/>
      </c>
    </row>
    <row r="377">
      <c r="A377" s="16"/>
      <c r="B377" s="16" t="str">
        <f>IFNA(VLOOKUP($A377,Spells!$A$2:$I1002,MATCH(B$3,Spells!$A$1:$I$1,0),FALSE))</f>
        <v/>
      </c>
      <c r="C377" s="16" t="str">
        <f>IFNA(VLOOKUP($A377,Spells!$A$2:$I1002,MATCH(C$3,Spells!$A$1:$I$1,0),FALSE))</f>
        <v/>
      </c>
      <c r="D377" s="16" t="str">
        <f>IFNA(VLOOKUP($A377,Spells!$A$2:$I1002,MATCH(D$3,Spells!$A$1:$I$1,0),FALSE))</f>
        <v/>
      </c>
      <c r="E377" s="16" t="str">
        <f>IFNA(VLOOKUP($A377,Spells!$A$2:$I1002,MATCH(E$3,Spells!$A$1:$I$1,0),FALSE))</f>
        <v/>
      </c>
      <c r="F377" s="16" t="str">
        <f>IFNA(VLOOKUP($A377,Spells!$A$2:$I1002,MATCH(F$3,Spells!$A$1:$I$1,0),FALSE))</f>
        <v/>
      </c>
      <c r="G377" s="16" t="str">
        <f>IFNA(VLOOKUP($A377,Spells!$A$2:$I1002,MATCH(G$3,Spells!$A$1:$I$1,0),FALSE))</f>
        <v/>
      </c>
      <c r="H377" s="16" t="str">
        <f>IFNA(VLOOKUP($A377,Spells!$A$2:$I1002,MATCH(H$3,Spells!$A$1:$I$1,0),FALSE))</f>
        <v/>
      </c>
    </row>
    <row r="378">
      <c r="A378" s="16"/>
      <c r="B378" s="16" t="str">
        <f>IFNA(VLOOKUP($A378,Spells!$A$2:$I1002,MATCH(B$3,Spells!$A$1:$I$1,0),FALSE))</f>
        <v/>
      </c>
      <c r="C378" s="16" t="str">
        <f>IFNA(VLOOKUP($A378,Spells!$A$2:$I1002,MATCH(C$3,Spells!$A$1:$I$1,0),FALSE))</f>
        <v/>
      </c>
      <c r="D378" s="16" t="str">
        <f>IFNA(VLOOKUP($A378,Spells!$A$2:$I1002,MATCH(D$3,Spells!$A$1:$I$1,0),FALSE))</f>
        <v/>
      </c>
      <c r="E378" s="16" t="str">
        <f>IFNA(VLOOKUP($A378,Spells!$A$2:$I1002,MATCH(E$3,Spells!$A$1:$I$1,0),FALSE))</f>
        <v/>
      </c>
      <c r="F378" s="16" t="str">
        <f>IFNA(VLOOKUP($A378,Spells!$A$2:$I1002,MATCH(F$3,Spells!$A$1:$I$1,0),FALSE))</f>
        <v/>
      </c>
      <c r="G378" s="16" t="str">
        <f>IFNA(VLOOKUP($A378,Spells!$A$2:$I1002,MATCH(G$3,Spells!$A$1:$I$1,0),FALSE))</f>
        <v/>
      </c>
      <c r="H378" s="16" t="str">
        <f>IFNA(VLOOKUP($A378,Spells!$A$2:$I1002,MATCH(H$3,Spells!$A$1:$I$1,0),FALSE))</f>
        <v/>
      </c>
    </row>
    <row r="379">
      <c r="A379" s="16"/>
      <c r="B379" s="16" t="str">
        <f>IFNA(VLOOKUP($A379,Spells!$A$2:$I1002,MATCH(B$3,Spells!$A$1:$I$1,0),FALSE))</f>
        <v/>
      </c>
      <c r="C379" s="16" t="str">
        <f>IFNA(VLOOKUP($A379,Spells!$A$2:$I1002,MATCH(C$3,Spells!$A$1:$I$1,0),FALSE))</f>
        <v/>
      </c>
      <c r="D379" s="16" t="str">
        <f>IFNA(VLOOKUP($A379,Spells!$A$2:$I1002,MATCH(D$3,Spells!$A$1:$I$1,0),FALSE))</f>
        <v/>
      </c>
      <c r="E379" s="16" t="str">
        <f>IFNA(VLOOKUP($A379,Spells!$A$2:$I1002,MATCH(E$3,Spells!$A$1:$I$1,0),FALSE))</f>
        <v/>
      </c>
      <c r="F379" s="16" t="str">
        <f>IFNA(VLOOKUP($A379,Spells!$A$2:$I1002,MATCH(F$3,Spells!$A$1:$I$1,0),FALSE))</f>
        <v/>
      </c>
      <c r="G379" s="16" t="str">
        <f>IFNA(VLOOKUP($A379,Spells!$A$2:$I1002,MATCH(G$3,Spells!$A$1:$I$1,0),FALSE))</f>
        <v/>
      </c>
      <c r="H379" s="16" t="str">
        <f>IFNA(VLOOKUP($A379,Spells!$A$2:$I1002,MATCH(H$3,Spells!$A$1:$I$1,0),FALSE))</f>
        <v/>
      </c>
    </row>
    <row r="380">
      <c r="A380" s="16"/>
      <c r="B380" s="16" t="str">
        <f>IFNA(VLOOKUP($A380,Spells!$A$2:$I1002,MATCH(B$3,Spells!$A$1:$I$1,0),FALSE))</f>
        <v/>
      </c>
      <c r="C380" s="16" t="str">
        <f>IFNA(VLOOKUP($A380,Spells!$A$2:$I1002,MATCH(C$3,Spells!$A$1:$I$1,0),FALSE))</f>
        <v/>
      </c>
      <c r="D380" s="16" t="str">
        <f>IFNA(VLOOKUP($A380,Spells!$A$2:$I1002,MATCH(D$3,Spells!$A$1:$I$1,0),FALSE))</f>
        <v/>
      </c>
      <c r="E380" s="16" t="str">
        <f>IFNA(VLOOKUP($A380,Spells!$A$2:$I1002,MATCH(E$3,Spells!$A$1:$I$1,0),FALSE))</f>
        <v/>
      </c>
      <c r="F380" s="16" t="str">
        <f>IFNA(VLOOKUP($A380,Spells!$A$2:$I1002,MATCH(F$3,Spells!$A$1:$I$1,0),FALSE))</f>
        <v/>
      </c>
      <c r="G380" s="16" t="str">
        <f>IFNA(VLOOKUP($A380,Spells!$A$2:$I1002,MATCH(G$3,Spells!$A$1:$I$1,0),FALSE))</f>
        <v/>
      </c>
      <c r="H380" s="16" t="str">
        <f>IFNA(VLOOKUP($A380,Spells!$A$2:$I1002,MATCH(H$3,Spells!$A$1:$I$1,0),FALSE))</f>
        <v/>
      </c>
    </row>
    <row r="381">
      <c r="A381" s="16"/>
      <c r="B381" s="16" t="str">
        <f>IFNA(VLOOKUP($A381,Spells!$A$2:$I1002,MATCH(B$3,Spells!$A$1:$I$1,0),FALSE))</f>
        <v/>
      </c>
      <c r="C381" s="16" t="str">
        <f>IFNA(VLOOKUP($A381,Spells!$A$2:$I1002,MATCH(C$3,Spells!$A$1:$I$1,0),FALSE))</f>
        <v/>
      </c>
      <c r="D381" s="16" t="str">
        <f>IFNA(VLOOKUP($A381,Spells!$A$2:$I1002,MATCH(D$3,Spells!$A$1:$I$1,0),FALSE))</f>
        <v/>
      </c>
      <c r="E381" s="16" t="str">
        <f>IFNA(VLOOKUP($A381,Spells!$A$2:$I1002,MATCH(E$3,Spells!$A$1:$I$1,0),FALSE))</f>
        <v/>
      </c>
      <c r="F381" s="16" t="str">
        <f>IFNA(VLOOKUP($A381,Spells!$A$2:$I1002,MATCH(F$3,Spells!$A$1:$I$1,0),FALSE))</f>
        <v/>
      </c>
      <c r="G381" s="16" t="str">
        <f>IFNA(VLOOKUP($A381,Spells!$A$2:$I1002,MATCH(G$3,Spells!$A$1:$I$1,0),FALSE))</f>
        <v/>
      </c>
      <c r="H381" s="16" t="str">
        <f>IFNA(VLOOKUP($A381,Spells!$A$2:$I1002,MATCH(H$3,Spells!$A$1:$I$1,0),FALSE))</f>
        <v/>
      </c>
    </row>
    <row r="382">
      <c r="A382" s="16"/>
      <c r="B382" s="16" t="str">
        <f>IFNA(VLOOKUP($A382,Spells!$A$2:$I1002,MATCH(B$3,Spells!$A$1:$I$1,0),FALSE))</f>
        <v/>
      </c>
      <c r="C382" s="16" t="str">
        <f>IFNA(VLOOKUP($A382,Spells!$A$2:$I1002,MATCH(C$3,Spells!$A$1:$I$1,0),FALSE))</f>
        <v/>
      </c>
      <c r="D382" s="16" t="str">
        <f>IFNA(VLOOKUP($A382,Spells!$A$2:$I1002,MATCH(D$3,Spells!$A$1:$I$1,0),FALSE))</f>
        <v/>
      </c>
      <c r="E382" s="16" t="str">
        <f>IFNA(VLOOKUP($A382,Spells!$A$2:$I1002,MATCH(E$3,Spells!$A$1:$I$1,0),FALSE))</f>
        <v/>
      </c>
      <c r="F382" s="16" t="str">
        <f>IFNA(VLOOKUP($A382,Spells!$A$2:$I1002,MATCH(F$3,Spells!$A$1:$I$1,0),FALSE))</f>
        <v/>
      </c>
      <c r="G382" s="16" t="str">
        <f>IFNA(VLOOKUP($A382,Spells!$A$2:$I1002,MATCH(G$3,Spells!$A$1:$I$1,0),FALSE))</f>
        <v/>
      </c>
      <c r="H382" s="16" t="str">
        <f>IFNA(VLOOKUP($A382,Spells!$A$2:$I1002,MATCH(H$3,Spells!$A$1:$I$1,0),FALSE))</f>
        <v/>
      </c>
    </row>
    <row r="383">
      <c r="A383" s="16"/>
      <c r="B383" s="16" t="str">
        <f>IFNA(VLOOKUP($A383,Spells!$A$2:$I1002,MATCH(B$3,Spells!$A$1:$I$1,0),FALSE))</f>
        <v/>
      </c>
      <c r="C383" s="16" t="str">
        <f>IFNA(VLOOKUP($A383,Spells!$A$2:$I1002,MATCH(C$3,Spells!$A$1:$I$1,0),FALSE))</f>
        <v/>
      </c>
      <c r="D383" s="16" t="str">
        <f>IFNA(VLOOKUP($A383,Spells!$A$2:$I1002,MATCH(D$3,Spells!$A$1:$I$1,0),FALSE))</f>
        <v/>
      </c>
      <c r="E383" s="16" t="str">
        <f>IFNA(VLOOKUP($A383,Spells!$A$2:$I1002,MATCH(E$3,Spells!$A$1:$I$1,0),FALSE))</f>
        <v/>
      </c>
      <c r="F383" s="16" t="str">
        <f>IFNA(VLOOKUP($A383,Spells!$A$2:$I1002,MATCH(F$3,Spells!$A$1:$I$1,0),FALSE))</f>
        <v/>
      </c>
      <c r="G383" s="16" t="str">
        <f>IFNA(VLOOKUP($A383,Spells!$A$2:$I1002,MATCH(G$3,Spells!$A$1:$I$1,0),FALSE))</f>
        <v/>
      </c>
      <c r="H383" s="16" t="str">
        <f>IFNA(VLOOKUP($A383,Spells!$A$2:$I1002,MATCH(H$3,Spells!$A$1:$I$1,0),FALSE))</f>
        <v/>
      </c>
    </row>
    <row r="384">
      <c r="A384" s="16"/>
      <c r="B384" s="16" t="str">
        <f>IFNA(VLOOKUP($A384,Spells!$A$2:$I1002,MATCH(B$3,Spells!$A$1:$I$1,0),FALSE))</f>
        <v/>
      </c>
      <c r="C384" s="16" t="str">
        <f>IFNA(VLOOKUP($A384,Spells!$A$2:$I1002,MATCH(C$3,Spells!$A$1:$I$1,0),FALSE))</f>
        <v/>
      </c>
      <c r="D384" s="16" t="str">
        <f>IFNA(VLOOKUP($A384,Spells!$A$2:$I1002,MATCH(D$3,Spells!$A$1:$I$1,0),FALSE))</f>
        <v/>
      </c>
      <c r="E384" s="16" t="str">
        <f>IFNA(VLOOKUP($A384,Spells!$A$2:$I1002,MATCH(E$3,Spells!$A$1:$I$1,0),FALSE))</f>
        <v/>
      </c>
      <c r="F384" s="16" t="str">
        <f>IFNA(VLOOKUP($A384,Spells!$A$2:$I1002,MATCH(F$3,Spells!$A$1:$I$1,0),FALSE))</f>
        <v/>
      </c>
      <c r="G384" s="16" t="str">
        <f>IFNA(VLOOKUP($A384,Spells!$A$2:$I1002,MATCH(G$3,Spells!$A$1:$I$1,0),FALSE))</f>
        <v/>
      </c>
      <c r="H384" s="16" t="str">
        <f>IFNA(VLOOKUP($A384,Spells!$A$2:$I1002,MATCH(H$3,Spells!$A$1:$I$1,0),FALSE))</f>
        <v/>
      </c>
    </row>
    <row r="385">
      <c r="A385" s="16"/>
      <c r="B385" s="16" t="str">
        <f>IFNA(VLOOKUP($A385,Spells!$A$2:$I1002,MATCH(B$3,Spells!$A$1:$I$1,0),FALSE))</f>
        <v/>
      </c>
      <c r="C385" s="16" t="str">
        <f>IFNA(VLOOKUP($A385,Spells!$A$2:$I1002,MATCH(C$3,Spells!$A$1:$I$1,0),FALSE))</f>
        <v/>
      </c>
      <c r="D385" s="16" t="str">
        <f>IFNA(VLOOKUP($A385,Spells!$A$2:$I1002,MATCH(D$3,Spells!$A$1:$I$1,0),FALSE))</f>
        <v/>
      </c>
      <c r="E385" s="16" t="str">
        <f>IFNA(VLOOKUP($A385,Spells!$A$2:$I1002,MATCH(E$3,Spells!$A$1:$I$1,0),FALSE))</f>
        <v/>
      </c>
      <c r="F385" s="16" t="str">
        <f>IFNA(VLOOKUP($A385,Spells!$A$2:$I1002,MATCH(F$3,Spells!$A$1:$I$1,0),FALSE))</f>
        <v/>
      </c>
      <c r="G385" s="16" t="str">
        <f>IFNA(VLOOKUP($A385,Spells!$A$2:$I1002,MATCH(G$3,Spells!$A$1:$I$1,0),FALSE))</f>
        <v/>
      </c>
      <c r="H385" s="16" t="str">
        <f>IFNA(VLOOKUP($A385,Spells!$A$2:$I1002,MATCH(H$3,Spells!$A$1:$I$1,0),FALSE))</f>
        <v/>
      </c>
    </row>
    <row r="386">
      <c r="A386" s="16"/>
      <c r="B386" s="16" t="str">
        <f>IFNA(VLOOKUP($A386,Spells!$A$2:$I1002,MATCH(B$3,Spells!$A$1:$I$1,0),FALSE))</f>
        <v/>
      </c>
      <c r="C386" s="16" t="str">
        <f>IFNA(VLOOKUP($A386,Spells!$A$2:$I1002,MATCH(C$3,Spells!$A$1:$I$1,0),FALSE))</f>
        <v/>
      </c>
      <c r="D386" s="16" t="str">
        <f>IFNA(VLOOKUP($A386,Spells!$A$2:$I1002,MATCH(D$3,Spells!$A$1:$I$1,0),FALSE))</f>
        <v/>
      </c>
      <c r="E386" s="16" t="str">
        <f>IFNA(VLOOKUP($A386,Spells!$A$2:$I1002,MATCH(E$3,Spells!$A$1:$I$1,0),FALSE))</f>
        <v/>
      </c>
      <c r="F386" s="16" t="str">
        <f>IFNA(VLOOKUP($A386,Spells!$A$2:$I1002,MATCH(F$3,Spells!$A$1:$I$1,0),FALSE))</f>
        <v/>
      </c>
      <c r="G386" s="16" t="str">
        <f>IFNA(VLOOKUP($A386,Spells!$A$2:$I1002,MATCH(G$3,Spells!$A$1:$I$1,0),FALSE))</f>
        <v/>
      </c>
      <c r="H386" s="16" t="str">
        <f>IFNA(VLOOKUP($A386,Spells!$A$2:$I1002,MATCH(H$3,Spells!$A$1:$I$1,0),FALSE))</f>
        <v/>
      </c>
    </row>
    <row r="387">
      <c r="A387" s="16"/>
      <c r="B387" s="16" t="str">
        <f>IFNA(VLOOKUP($A387,Spells!$A$2:$I1002,MATCH(B$3,Spells!$A$1:$I$1,0),FALSE))</f>
        <v/>
      </c>
      <c r="C387" s="16" t="str">
        <f>IFNA(VLOOKUP($A387,Spells!$A$2:$I1002,MATCH(C$3,Spells!$A$1:$I$1,0),FALSE))</f>
        <v/>
      </c>
      <c r="D387" s="16" t="str">
        <f>IFNA(VLOOKUP($A387,Spells!$A$2:$I1002,MATCH(D$3,Spells!$A$1:$I$1,0),FALSE))</f>
        <v/>
      </c>
      <c r="E387" s="16" t="str">
        <f>IFNA(VLOOKUP($A387,Spells!$A$2:$I1002,MATCH(E$3,Spells!$A$1:$I$1,0),FALSE))</f>
        <v/>
      </c>
      <c r="F387" s="16" t="str">
        <f>IFNA(VLOOKUP($A387,Spells!$A$2:$I1002,MATCH(F$3,Spells!$A$1:$I$1,0),FALSE))</f>
        <v/>
      </c>
      <c r="G387" s="16" t="str">
        <f>IFNA(VLOOKUP($A387,Spells!$A$2:$I1002,MATCH(G$3,Spells!$A$1:$I$1,0),FALSE))</f>
        <v/>
      </c>
      <c r="H387" s="16" t="str">
        <f>IFNA(VLOOKUP($A387,Spells!$A$2:$I1002,MATCH(H$3,Spells!$A$1:$I$1,0),FALSE))</f>
        <v/>
      </c>
    </row>
    <row r="388">
      <c r="A388" s="16"/>
      <c r="B388" s="16" t="str">
        <f>IFNA(VLOOKUP($A388,Spells!$A$2:$I1002,MATCH(B$3,Spells!$A$1:$I$1,0),FALSE))</f>
        <v/>
      </c>
      <c r="C388" s="16" t="str">
        <f>IFNA(VLOOKUP($A388,Spells!$A$2:$I1002,MATCH(C$3,Spells!$A$1:$I$1,0),FALSE))</f>
        <v/>
      </c>
      <c r="D388" s="16" t="str">
        <f>IFNA(VLOOKUP($A388,Spells!$A$2:$I1002,MATCH(D$3,Spells!$A$1:$I$1,0),FALSE))</f>
        <v/>
      </c>
      <c r="E388" s="16" t="str">
        <f>IFNA(VLOOKUP($A388,Spells!$A$2:$I1002,MATCH(E$3,Spells!$A$1:$I$1,0),FALSE))</f>
        <v/>
      </c>
      <c r="F388" s="16" t="str">
        <f>IFNA(VLOOKUP($A388,Spells!$A$2:$I1002,MATCH(F$3,Spells!$A$1:$I$1,0),FALSE))</f>
        <v/>
      </c>
      <c r="G388" s="16" t="str">
        <f>IFNA(VLOOKUP($A388,Spells!$A$2:$I1002,MATCH(G$3,Spells!$A$1:$I$1,0),FALSE))</f>
        <v/>
      </c>
      <c r="H388" s="16" t="str">
        <f>IFNA(VLOOKUP($A388,Spells!$A$2:$I1002,MATCH(H$3,Spells!$A$1:$I$1,0),FALSE))</f>
        <v/>
      </c>
    </row>
    <row r="389">
      <c r="A389" s="16"/>
      <c r="B389" s="16" t="str">
        <f>IFNA(VLOOKUP($A389,Spells!$A$2:$I1002,MATCH(B$3,Spells!$A$1:$I$1,0),FALSE))</f>
        <v/>
      </c>
      <c r="C389" s="16" t="str">
        <f>IFNA(VLOOKUP($A389,Spells!$A$2:$I1002,MATCH(C$3,Spells!$A$1:$I$1,0),FALSE))</f>
        <v/>
      </c>
      <c r="D389" s="16" t="str">
        <f>IFNA(VLOOKUP($A389,Spells!$A$2:$I1002,MATCH(D$3,Spells!$A$1:$I$1,0),FALSE))</f>
        <v/>
      </c>
      <c r="E389" s="16" t="str">
        <f>IFNA(VLOOKUP($A389,Spells!$A$2:$I1002,MATCH(E$3,Spells!$A$1:$I$1,0),FALSE))</f>
        <v/>
      </c>
      <c r="F389" s="16" t="str">
        <f>IFNA(VLOOKUP($A389,Spells!$A$2:$I1002,MATCH(F$3,Spells!$A$1:$I$1,0),FALSE))</f>
        <v/>
      </c>
      <c r="G389" s="16" t="str">
        <f>IFNA(VLOOKUP($A389,Spells!$A$2:$I1002,MATCH(G$3,Spells!$A$1:$I$1,0),FALSE))</f>
        <v/>
      </c>
      <c r="H389" s="16" t="str">
        <f>IFNA(VLOOKUP($A389,Spells!$A$2:$I1002,MATCH(H$3,Spells!$A$1:$I$1,0),FALSE))</f>
        <v/>
      </c>
    </row>
    <row r="390">
      <c r="A390" s="16"/>
      <c r="B390" s="16" t="str">
        <f>IFNA(VLOOKUP($A390,Spells!$A$2:$I1002,MATCH(B$3,Spells!$A$1:$I$1,0),FALSE))</f>
        <v/>
      </c>
      <c r="C390" s="16" t="str">
        <f>IFNA(VLOOKUP($A390,Spells!$A$2:$I1002,MATCH(C$3,Spells!$A$1:$I$1,0),FALSE))</f>
        <v/>
      </c>
      <c r="D390" s="16" t="str">
        <f>IFNA(VLOOKUP($A390,Spells!$A$2:$I1002,MATCH(D$3,Spells!$A$1:$I$1,0),FALSE))</f>
        <v/>
      </c>
      <c r="E390" s="16" t="str">
        <f>IFNA(VLOOKUP($A390,Spells!$A$2:$I1002,MATCH(E$3,Spells!$A$1:$I$1,0),FALSE))</f>
        <v/>
      </c>
      <c r="F390" s="16" t="str">
        <f>IFNA(VLOOKUP($A390,Spells!$A$2:$I1002,MATCH(F$3,Spells!$A$1:$I$1,0),FALSE))</f>
        <v/>
      </c>
      <c r="G390" s="16" t="str">
        <f>IFNA(VLOOKUP($A390,Spells!$A$2:$I1002,MATCH(G$3,Spells!$A$1:$I$1,0),FALSE))</f>
        <v/>
      </c>
      <c r="H390" s="16" t="str">
        <f>IFNA(VLOOKUP($A390,Spells!$A$2:$I1002,MATCH(H$3,Spells!$A$1:$I$1,0),FALSE))</f>
        <v/>
      </c>
    </row>
    <row r="391">
      <c r="A391" s="16"/>
      <c r="B391" s="16" t="str">
        <f>IFNA(VLOOKUP($A391,Spells!$A$2:$I1002,MATCH(B$3,Spells!$A$1:$I$1,0),FALSE))</f>
        <v/>
      </c>
      <c r="C391" s="16" t="str">
        <f>IFNA(VLOOKUP($A391,Spells!$A$2:$I1002,MATCH(C$3,Spells!$A$1:$I$1,0),FALSE))</f>
        <v/>
      </c>
      <c r="D391" s="16" t="str">
        <f>IFNA(VLOOKUP($A391,Spells!$A$2:$I1002,MATCH(D$3,Spells!$A$1:$I$1,0),FALSE))</f>
        <v/>
      </c>
      <c r="E391" s="16" t="str">
        <f>IFNA(VLOOKUP($A391,Spells!$A$2:$I1002,MATCH(E$3,Spells!$A$1:$I$1,0),FALSE))</f>
        <v/>
      </c>
      <c r="F391" s="16" t="str">
        <f>IFNA(VLOOKUP($A391,Spells!$A$2:$I1002,MATCH(F$3,Spells!$A$1:$I$1,0),FALSE))</f>
        <v/>
      </c>
      <c r="G391" s="16" t="str">
        <f>IFNA(VLOOKUP($A391,Spells!$A$2:$I1002,MATCH(G$3,Spells!$A$1:$I$1,0),FALSE))</f>
        <v/>
      </c>
      <c r="H391" s="16" t="str">
        <f>IFNA(VLOOKUP($A391,Spells!$A$2:$I1002,MATCH(H$3,Spells!$A$1:$I$1,0),FALSE))</f>
        <v/>
      </c>
    </row>
    <row r="392">
      <c r="A392" s="16"/>
      <c r="B392" s="16" t="str">
        <f>IFNA(VLOOKUP($A392,Spells!$A$2:$I1002,MATCH(B$3,Spells!$A$1:$I$1,0),FALSE))</f>
        <v/>
      </c>
      <c r="C392" s="16" t="str">
        <f>IFNA(VLOOKUP($A392,Spells!$A$2:$I1002,MATCH(C$3,Spells!$A$1:$I$1,0),FALSE))</f>
        <v/>
      </c>
      <c r="D392" s="16" t="str">
        <f>IFNA(VLOOKUP($A392,Spells!$A$2:$I1002,MATCH(D$3,Spells!$A$1:$I$1,0),FALSE))</f>
        <v/>
      </c>
      <c r="E392" s="16" t="str">
        <f>IFNA(VLOOKUP($A392,Spells!$A$2:$I1002,MATCH(E$3,Spells!$A$1:$I$1,0),FALSE))</f>
        <v/>
      </c>
      <c r="F392" s="16" t="str">
        <f>IFNA(VLOOKUP($A392,Spells!$A$2:$I1002,MATCH(F$3,Spells!$A$1:$I$1,0),FALSE))</f>
        <v/>
      </c>
      <c r="G392" s="16" t="str">
        <f>IFNA(VLOOKUP($A392,Spells!$A$2:$I1002,MATCH(G$3,Spells!$A$1:$I$1,0),FALSE))</f>
        <v/>
      </c>
      <c r="H392" s="16" t="str">
        <f>IFNA(VLOOKUP($A392,Spells!$A$2:$I1002,MATCH(H$3,Spells!$A$1:$I$1,0),FALSE))</f>
        <v/>
      </c>
    </row>
    <row r="393">
      <c r="A393" s="16"/>
      <c r="B393" s="16" t="str">
        <f>IFNA(VLOOKUP($A393,Spells!$A$2:$I1002,MATCH(B$3,Spells!$A$1:$I$1,0),FALSE))</f>
        <v/>
      </c>
      <c r="C393" s="16" t="str">
        <f>IFNA(VLOOKUP($A393,Spells!$A$2:$I1002,MATCH(C$3,Spells!$A$1:$I$1,0),FALSE))</f>
        <v/>
      </c>
      <c r="D393" s="16" t="str">
        <f>IFNA(VLOOKUP($A393,Spells!$A$2:$I1002,MATCH(D$3,Spells!$A$1:$I$1,0),FALSE))</f>
        <v/>
      </c>
      <c r="E393" s="16" t="str">
        <f>IFNA(VLOOKUP($A393,Spells!$A$2:$I1002,MATCH(E$3,Spells!$A$1:$I$1,0),FALSE))</f>
        <v/>
      </c>
      <c r="F393" s="16" t="str">
        <f>IFNA(VLOOKUP($A393,Spells!$A$2:$I1002,MATCH(F$3,Spells!$A$1:$I$1,0),FALSE))</f>
        <v/>
      </c>
      <c r="G393" s="16" t="str">
        <f>IFNA(VLOOKUP($A393,Spells!$A$2:$I1002,MATCH(G$3,Spells!$A$1:$I$1,0),FALSE))</f>
        <v/>
      </c>
      <c r="H393" s="16" t="str">
        <f>IFNA(VLOOKUP($A393,Spells!$A$2:$I1002,MATCH(H$3,Spells!$A$1:$I$1,0),FALSE))</f>
        <v/>
      </c>
    </row>
    <row r="394">
      <c r="A394" s="16"/>
      <c r="B394" s="16" t="str">
        <f>IFNA(VLOOKUP($A394,Spells!$A$2:$I1002,MATCH(B$3,Spells!$A$1:$I$1,0),FALSE))</f>
        <v/>
      </c>
      <c r="C394" s="16" t="str">
        <f>IFNA(VLOOKUP($A394,Spells!$A$2:$I1002,MATCH(C$3,Spells!$A$1:$I$1,0),FALSE))</f>
        <v/>
      </c>
      <c r="D394" s="16" t="str">
        <f>IFNA(VLOOKUP($A394,Spells!$A$2:$I1002,MATCH(D$3,Spells!$A$1:$I$1,0),FALSE))</f>
        <v/>
      </c>
      <c r="E394" s="16" t="str">
        <f>IFNA(VLOOKUP($A394,Spells!$A$2:$I1002,MATCH(E$3,Spells!$A$1:$I$1,0),FALSE))</f>
        <v/>
      </c>
      <c r="F394" s="16" t="str">
        <f>IFNA(VLOOKUP($A394,Spells!$A$2:$I1002,MATCH(F$3,Spells!$A$1:$I$1,0),FALSE))</f>
        <v/>
      </c>
      <c r="G394" s="16" t="str">
        <f>IFNA(VLOOKUP($A394,Spells!$A$2:$I1002,MATCH(G$3,Spells!$A$1:$I$1,0),FALSE))</f>
        <v/>
      </c>
      <c r="H394" s="16" t="str">
        <f>IFNA(VLOOKUP($A394,Spells!$A$2:$I1002,MATCH(H$3,Spells!$A$1:$I$1,0),FALSE))</f>
        <v/>
      </c>
    </row>
    <row r="395">
      <c r="A395" s="16"/>
      <c r="B395" s="16" t="str">
        <f>IFNA(VLOOKUP($A395,Spells!$A$2:$I1002,MATCH(B$3,Spells!$A$1:$I$1,0),FALSE))</f>
        <v/>
      </c>
      <c r="C395" s="16" t="str">
        <f>IFNA(VLOOKUP($A395,Spells!$A$2:$I1002,MATCH(C$3,Spells!$A$1:$I$1,0),FALSE))</f>
        <v/>
      </c>
      <c r="D395" s="16" t="str">
        <f>IFNA(VLOOKUP($A395,Spells!$A$2:$I1002,MATCH(D$3,Spells!$A$1:$I$1,0),FALSE))</f>
        <v/>
      </c>
      <c r="E395" s="16" t="str">
        <f>IFNA(VLOOKUP($A395,Spells!$A$2:$I1002,MATCH(E$3,Spells!$A$1:$I$1,0),FALSE))</f>
        <v/>
      </c>
      <c r="F395" s="16" t="str">
        <f>IFNA(VLOOKUP($A395,Spells!$A$2:$I1002,MATCH(F$3,Spells!$A$1:$I$1,0),FALSE))</f>
        <v/>
      </c>
      <c r="G395" s="16" t="str">
        <f>IFNA(VLOOKUP($A395,Spells!$A$2:$I1002,MATCH(G$3,Spells!$A$1:$I$1,0),FALSE))</f>
        <v/>
      </c>
      <c r="H395" s="16" t="str">
        <f>IFNA(VLOOKUP($A395,Spells!$A$2:$I1002,MATCH(H$3,Spells!$A$1:$I$1,0),FALSE))</f>
        <v/>
      </c>
    </row>
    <row r="396">
      <c r="A396" s="16"/>
      <c r="B396" s="16" t="str">
        <f>IFNA(VLOOKUP($A396,Spells!$A$2:$I1002,MATCH(B$3,Spells!$A$1:$I$1,0),FALSE))</f>
        <v/>
      </c>
      <c r="C396" s="16" t="str">
        <f>IFNA(VLOOKUP($A396,Spells!$A$2:$I1002,MATCH(C$3,Spells!$A$1:$I$1,0),FALSE))</f>
        <v/>
      </c>
      <c r="D396" s="16" t="str">
        <f>IFNA(VLOOKUP($A396,Spells!$A$2:$I1002,MATCH(D$3,Spells!$A$1:$I$1,0),FALSE))</f>
        <v/>
      </c>
      <c r="E396" s="16" t="str">
        <f>IFNA(VLOOKUP($A396,Spells!$A$2:$I1002,MATCH(E$3,Spells!$A$1:$I$1,0),FALSE))</f>
        <v/>
      </c>
      <c r="F396" s="16" t="str">
        <f>IFNA(VLOOKUP($A396,Spells!$A$2:$I1002,MATCH(F$3,Spells!$A$1:$I$1,0),FALSE))</f>
        <v/>
      </c>
      <c r="G396" s="16" t="str">
        <f>IFNA(VLOOKUP($A396,Spells!$A$2:$I1002,MATCH(G$3,Spells!$A$1:$I$1,0),FALSE))</f>
        <v/>
      </c>
      <c r="H396" s="16" t="str">
        <f>IFNA(VLOOKUP($A396,Spells!$A$2:$I1002,MATCH(H$3,Spells!$A$1:$I$1,0),FALSE))</f>
        <v/>
      </c>
    </row>
    <row r="397">
      <c r="A397" s="16"/>
      <c r="B397" s="16" t="str">
        <f>IFNA(VLOOKUP($A397,Spells!$A$2:$I1002,MATCH(B$3,Spells!$A$1:$I$1,0),FALSE))</f>
        <v/>
      </c>
      <c r="C397" s="16" t="str">
        <f>IFNA(VLOOKUP($A397,Spells!$A$2:$I1002,MATCH(C$3,Spells!$A$1:$I$1,0),FALSE))</f>
        <v/>
      </c>
      <c r="D397" s="16" t="str">
        <f>IFNA(VLOOKUP($A397,Spells!$A$2:$I1002,MATCH(D$3,Spells!$A$1:$I$1,0),FALSE))</f>
        <v/>
      </c>
      <c r="E397" s="16" t="str">
        <f>IFNA(VLOOKUP($A397,Spells!$A$2:$I1002,MATCH(E$3,Spells!$A$1:$I$1,0),FALSE))</f>
        <v/>
      </c>
      <c r="F397" s="16" t="str">
        <f>IFNA(VLOOKUP($A397,Spells!$A$2:$I1002,MATCH(F$3,Spells!$A$1:$I$1,0),FALSE))</f>
        <v/>
      </c>
      <c r="G397" s="16" t="str">
        <f>IFNA(VLOOKUP($A397,Spells!$A$2:$I1002,MATCH(G$3,Spells!$A$1:$I$1,0),FALSE))</f>
        <v/>
      </c>
      <c r="H397" s="16" t="str">
        <f>IFNA(VLOOKUP($A397,Spells!$A$2:$I1002,MATCH(H$3,Spells!$A$1:$I$1,0),FALSE))</f>
        <v/>
      </c>
    </row>
    <row r="398">
      <c r="A398" s="16"/>
      <c r="B398" s="16" t="str">
        <f>IFNA(VLOOKUP($A398,Spells!$A$2:$I1002,MATCH(B$3,Spells!$A$1:$I$1,0),FALSE))</f>
        <v/>
      </c>
      <c r="C398" s="16" t="str">
        <f>IFNA(VLOOKUP($A398,Spells!$A$2:$I1002,MATCH(C$3,Spells!$A$1:$I$1,0),FALSE))</f>
        <v/>
      </c>
      <c r="D398" s="16" t="str">
        <f>IFNA(VLOOKUP($A398,Spells!$A$2:$I1002,MATCH(D$3,Spells!$A$1:$I$1,0),FALSE))</f>
        <v/>
      </c>
      <c r="E398" s="16" t="str">
        <f>IFNA(VLOOKUP($A398,Spells!$A$2:$I1002,MATCH(E$3,Spells!$A$1:$I$1,0),FALSE))</f>
        <v/>
      </c>
      <c r="F398" s="16" t="str">
        <f>IFNA(VLOOKUP($A398,Spells!$A$2:$I1002,MATCH(F$3,Spells!$A$1:$I$1,0),FALSE))</f>
        <v/>
      </c>
      <c r="G398" s="16" t="str">
        <f>IFNA(VLOOKUP($A398,Spells!$A$2:$I1002,MATCH(G$3,Spells!$A$1:$I$1,0),FALSE))</f>
        <v/>
      </c>
      <c r="H398" s="16" t="str">
        <f>IFNA(VLOOKUP($A398,Spells!$A$2:$I1002,MATCH(H$3,Spells!$A$1:$I$1,0),FALSE))</f>
        <v/>
      </c>
    </row>
    <row r="399">
      <c r="A399" s="16"/>
      <c r="B399" s="16" t="str">
        <f>IFNA(VLOOKUP($A399,Spells!$A$2:$I1002,MATCH(B$3,Spells!$A$1:$I$1,0),FALSE))</f>
        <v/>
      </c>
      <c r="C399" s="16" t="str">
        <f>IFNA(VLOOKUP($A399,Spells!$A$2:$I1002,MATCH(C$3,Spells!$A$1:$I$1,0),FALSE))</f>
        <v/>
      </c>
      <c r="D399" s="16" t="str">
        <f>IFNA(VLOOKUP($A399,Spells!$A$2:$I1002,MATCH(D$3,Spells!$A$1:$I$1,0),FALSE))</f>
        <v/>
      </c>
      <c r="E399" s="16" t="str">
        <f>IFNA(VLOOKUP($A399,Spells!$A$2:$I1002,MATCH(E$3,Spells!$A$1:$I$1,0),FALSE))</f>
        <v/>
      </c>
      <c r="F399" s="16" t="str">
        <f>IFNA(VLOOKUP($A399,Spells!$A$2:$I1002,MATCH(F$3,Spells!$A$1:$I$1,0),FALSE))</f>
        <v/>
      </c>
      <c r="G399" s="16" t="str">
        <f>IFNA(VLOOKUP($A399,Spells!$A$2:$I1002,MATCH(G$3,Spells!$A$1:$I$1,0),FALSE))</f>
        <v/>
      </c>
      <c r="H399" s="16" t="str">
        <f>IFNA(VLOOKUP($A399,Spells!$A$2:$I1002,MATCH(H$3,Spells!$A$1:$I$1,0),FALSE))</f>
        <v/>
      </c>
    </row>
    <row r="400">
      <c r="A400" s="16"/>
      <c r="B400" s="16" t="str">
        <f>IFNA(VLOOKUP($A400,Spells!$A$2:$I1002,MATCH(B$3,Spells!$A$1:$I$1,0),FALSE))</f>
        <v/>
      </c>
      <c r="C400" s="16" t="str">
        <f>IFNA(VLOOKUP($A400,Spells!$A$2:$I1002,MATCH(C$3,Spells!$A$1:$I$1,0),FALSE))</f>
        <v/>
      </c>
      <c r="D400" s="16" t="str">
        <f>IFNA(VLOOKUP($A400,Spells!$A$2:$I1002,MATCH(D$3,Spells!$A$1:$I$1,0),FALSE))</f>
        <v/>
      </c>
      <c r="E400" s="16" t="str">
        <f>IFNA(VLOOKUP($A400,Spells!$A$2:$I1002,MATCH(E$3,Spells!$A$1:$I$1,0),FALSE))</f>
        <v/>
      </c>
      <c r="F400" s="16" t="str">
        <f>IFNA(VLOOKUP($A400,Spells!$A$2:$I1002,MATCH(F$3,Spells!$A$1:$I$1,0),FALSE))</f>
        <v/>
      </c>
      <c r="G400" s="16" t="str">
        <f>IFNA(VLOOKUP($A400,Spells!$A$2:$I1002,MATCH(G$3,Spells!$A$1:$I$1,0),FALSE))</f>
        <v/>
      </c>
      <c r="H400" s="16" t="str">
        <f>IFNA(VLOOKUP($A400,Spells!$A$2:$I1002,MATCH(H$3,Spells!$A$1:$I$1,0),FALSE))</f>
        <v/>
      </c>
    </row>
    <row r="401">
      <c r="A401" s="16"/>
      <c r="B401" s="16" t="str">
        <f>IFNA(VLOOKUP($A401,Spells!$A$2:$I1002,MATCH(B$3,Spells!$A$1:$I$1,0),FALSE))</f>
        <v/>
      </c>
      <c r="C401" s="16" t="str">
        <f>IFNA(VLOOKUP($A401,Spells!$A$2:$I1002,MATCH(C$3,Spells!$A$1:$I$1,0),FALSE))</f>
        <v/>
      </c>
      <c r="D401" s="16" t="str">
        <f>IFNA(VLOOKUP($A401,Spells!$A$2:$I1002,MATCH(D$3,Spells!$A$1:$I$1,0),FALSE))</f>
        <v/>
      </c>
      <c r="E401" s="16" t="str">
        <f>IFNA(VLOOKUP($A401,Spells!$A$2:$I1002,MATCH(E$3,Spells!$A$1:$I$1,0),FALSE))</f>
        <v/>
      </c>
      <c r="F401" s="16" t="str">
        <f>IFNA(VLOOKUP($A401,Spells!$A$2:$I1002,MATCH(F$3,Spells!$A$1:$I$1,0),FALSE))</f>
        <v/>
      </c>
      <c r="G401" s="16" t="str">
        <f>IFNA(VLOOKUP($A401,Spells!$A$2:$I1002,MATCH(G$3,Spells!$A$1:$I$1,0),FALSE))</f>
        <v/>
      </c>
      <c r="H401" s="16" t="str">
        <f>IFNA(VLOOKUP($A401,Spells!$A$2:$I1002,MATCH(H$3,Spells!$A$1:$I$1,0),FALSE))</f>
        <v/>
      </c>
    </row>
    <row r="402">
      <c r="A402" s="16"/>
      <c r="B402" s="16" t="str">
        <f>IFNA(VLOOKUP($A402,Spells!$A$2:$I1002,MATCH(B$3,Spells!$A$1:$I$1,0),FALSE))</f>
        <v/>
      </c>
      <c r="C402" s="16" t="str">
        <f>IFNA(VLOOKUP($A402,Spells!$A$2:$I1002,MATCH(C$3,Spells!$A$1:$I$1,0),FALSE))</f>
        <v/>
      </c>
      <c r="D402" s="16" t="str">
        <f>IFNA(VLOOKUP($A402,Spells!$A$2:$I1002,MATCH(D$3,Spells!$A$1:$I$1,0),FALSE))</f>
        <v/>
      </c>
      <c r="E402" s="16" t="str">
        <f>IFNA(VLOOKUP($A402,Spells!$A$2:$I1002,MATCH(E$3,Spells!$A$1:$I$1,0),FALSE))</f>
        <v/>
      </c>
      <c r="F402" s="16" t="str">
        <f>IFNA(VLOOKUP($A402,Spells!$A$2:$I1002,MATCH(F$3,Spells!$A$1:$I$1,0),FALSE))</f>
        <v/>
      </c>
      <c r="G402" s="16" t="str">
        <f>IFNA(VLOOKUP($A402,Spells!$A$2:$I1002,MATCH(G$3,Spells!$A$1:$I$1,0),FALSE))</f>
        <v/>
      </c>
      <c r="H402" s="16" t="str">
        <f>IFNA(VLOOKUP($A402,Spells!$A$2:$I1002,MATCH(H$3,Spells!$A$1:$I$1,0),FALSE))</f>
        <v/>
      </c>
    </row>
    <row r="403">
      <c r="A403" s="16"/>
      <c r="B403" s="16" t="str">
        <f>IFNA(VLOOKUP($A403,Spells!$A$2:$I1002,MATCH(B$3,Spells!$A$1:$I$1,0),FALSE))</f>
        <v/>
      </c>
      <c r="C403" s="16" t="str">
        <f>IFNA(VLOOKUP($A403,Spells!$A$2:$I1002,MATCH(C$3,Spells!$A$1:$I$1,0),FALSE))</f>
        <v/>
      </c>
      <c r="D403" s="16" t="str">
        <f>IFNA(VLOOKUP($A403,Spells!$A$2:$I1002,MATCH(D$3,Spells!$A$1:$I$1,0),FALSE))</f>
        <v/>
      </c>
      <c r="E403" s="16" t="str">
        <f>IFNA(VLOOKUP($A403,Spells!$A$2:$I1002,MATCH(E$3,Spells!$A$1:$I$1,0),FALSE))</f>
        <v/>
      </c>
      <c r="F403" s="16" t="str">
        <f>IFNA(VLOOKUP($A403,Spells!$A$2:$I1002,MATCH(F$3,Spells!$A$1:$I$1,0),FALSE))</f>
        <v/>
      </c>
      <c r="G403" s="16" t="str">
        <f>IFNA(VLOOKUP($A403,Spells!$A$2:$I1002,MATCH(G$3,Spells!$A$1:$I$1,0),FALSE))</f>
        <v/>
      </c>
      <c r="H403" s="16" t="str">
        <f>IFNA(VLOOKUP($A403,Spells!$A$2:$I1002,MATCH(H$3,Spells!$A$1:$I$1,0),FALSE))</f>
        <v/>
      </c>
    </row>
    <row r="404">
      <c r="A404" s="16"/>
      <c r="B404" s="16" t="str">
        <f>IFNA(VLOOKUP($A404,Spells!$A$2:$I1002,MATCH(B$3,Spells!$A$1:$I$1,0),FALSE))</f>
        <v/>
      </c>
      <c r="C404" s="16" t="str">
        <f>IFNA(VLOOKUP($A404,Spells!$A$2:$I1002,MATCH(C$3,Spells!$A$1:$I$1,0),FALSE))</f>
        <v/>
      </c>
      <c r="D404" s="16" t="str">
        <f>IFNA(VLOOKUP($A404,Spells!$A$2:$I1002,MATCH(D$3,Spells!$A$1:$I$1,0),FALSE))</f>
        <v/>
      </c>
      <c r="E404" s="16" t="str">
        <f>IFNA(VLOOKUP($A404,Spells!$A$2:$I1002,MATCH(E$3,Spells!$A$1:$I$1,0),FALSE))</f>
        <v/>
      </c>
      <c r="F404" s="16" t="str">
        <f>IFNA(VLOOKUP($A404,Spells!$A$2:$I1002,MATCH(F$3,Spells!$A$1:$I$1,0),FALSE))</f>
        <v/>
      </c>
      <c r="G404" s="16" t="str">
        <f>IFNA(VLOOKUP($A404,Spells!$A$2:$I1002,MATCH(G$3,Spells!$A$1:$I$1,0),FALSE))</f>
        <v/>
      </c>
      <c r="H404" s="16" t="str">
        <f>IFNA(VLOOKUP($A404,Spells!$A$2:$I1002,MATCH(H$3,Spells!$A$1:$I$1,0),FALSE))</f>
        <v/>
      </c>
    </row>
    <row r="405">
      <c r="A405" s="16"/>
      <c r="B405" s="16" t="str">
        <f>IFNA(VLOOKUP($A405,Spells!$A$2:$I1002,MATCH(B$3,Spells!$A$1:$I$1,0),FALSE))</f>
        <v/>
      </c>
      <c r="C405" s="16" t="str">
        <f>IFNA(VLOOKUP($A405,Spells!$A$2:$I1002,MATCH(C$3,Spells!$A$1:$I$1,0),FALSE))</f>
        <v/>
      </c>
      <c r="D405" s="16" t="str">
        <f>IFNA(VLOOKUP($A405,Spells!$A$2:$I1002,MATCH(D$3,Spells!$A$1:$I$1,0),FALSE))</f>
        <v/>
      </c>
      <c r="E405" s="16" t="str">
        <f>IFNA(VLOOKUP($A405,Spells!$A$2:$I1002,MATCH(E$3,Spells!$A$1:$I$1,0),FALSE))</f>
        <v/>
      </c>
      <c r="F405" s="16" t="str">
        <f>IFNA(VLOOKUP($A405,Spells!$A$2:$I1002,MATCH(F$3,Spells!$A$1:$I$1,0),FALSE))</f>
        <v/>
      </c>
      <c r="G405" s="16" t="str">
        <f>IFNA(VLOOKUP($A405,Spells!$A$2:$I1002,MATCH(G$3,Spells!$A$1:$I$1,0),FALSE))</f>
        <v/>
      </c>
      <c r="H405" s="16" t="str">
        <f>IFNA(VLOOKUP($A405,Spells!$A$2:$I1002,MATCH(H$3,Spells!$A$1:$I$1,0),FALSE))</f>
        <v/>
      </c>
    </row>
    <row r="406">
      <c r="A406" s="16"/>
      <c r="B406" s="16" t="str">
        <f>IFNA(VLOOKUP($A406,Spells!$A$2:$I1002,MATCH(B$3,Spells!$A$1:$I$1,0),FALSE))</f>
        <v/>
      </c>
      <c r="C406" s="16" t="str">
        <f>IFNA(VLOOKUP($A406,Spells!$A$2:$I1002,MATCH(C$3,Spells!$A$1:$I$1,0),FALSE))</f>
        <v/>
      </c>
      <c r="D406" s="16" t="str">
        <f>IFNA(VLOOKUP($A406,Spells!$A$2:$I1002,MATCH(D$3,Spells!$A$1:$I$1,0),FALSE))</f>
        <v/>
      </c>
      <c r="E406" s="16" t="str">
        <f>IFNA(VLOOKUP($A406,Spells!$A$2:$I1002,MATCH(E$3,Spells!$A$1:$I$1,0),FALSE))</f>
        <v/>
      </c>
      <c r="F406" s="16" t="str">
        <f>IFNA(VLOOKUP($A406,Spells!$A$2:$I1002,MATCH(F$3,Spells!$A$1:$I$1,0),FALSE))</f>
        <v/>
      </c>
      <c r="G406" s="16" t="str">
        <f>IFNA(VLOOKUP($A406,Spells!$A$2:$I1002,MATCH(G$3,Spells!$A$1:$I$1,0),FALSE))</f>
        <v/>
      </c>
      <c r="H406" s="16" t="str">
        <f>IFNA(VLOOKUP($A406,Spells!$A$2:$I1002,MATCH(H$3,Spells!$A$1:$I$1,0),FALSE))</f>
        <v/>
      </c>
    </row>
    <row r="407">
      <c r="A407" s="16"/>
      <c r="B407" s="16" t="str">
        <f>IFNA(VLOOKUP($A407,Spells!$A$2:$I1002,MATCH(B$3,Spells!$A$1:$I$1,0),FALSE))</f>
        <v/>
      </c>
      <c r="C407" s="16" t="str">
        <f>IFNA(VLOOKUP($A407,Spells!$A$2:$I1002,MATCH(C$3,Spells!$A$1:$I$1,0),FALSE))</f>
        <v/>
      </c>
      <c r="D407" s="16" t="str">
        <f>IFNA(VLOOKUP($A407,Spells!$A$2:$I1002,MATCH(D$3,Spells!$A$1:$I$1,0),FALSE))</f>
        <v/>
      </c>
      <c r="E407" s="16" t="str">
        <f>IFNA(VLOOKUP($A407,Spells!$A$2:$I1002,MATCH(E$3,Spells!$A$1:$I$1,0),FALSE))</f>
        <v/>
      </c>
      <c r="F407" s="16" t="str">
        <f>IFNA(VLOOKUP($A407,Spells!$A$2:$I1002,MATCH(F$3,Spells!$A$1:$I$1,0),FALSE))</f>
        <v/>
      </c>
      <c r="G407" s="16" t="str">
        <f>IFNA(VLOOKUP($A407,Spells!$A$2:$I1002,MATCH(G$3,Spells!$A$1:$I$1,0),FALSE))</f>
        <v/>
      </c>
      <c r="H407" s="16" t="str">
        <f>IFNA(VLOOKUP($A407,Spells!$A$2:$I1002,MATCH(H$3,Spells!$A$1:$I$1,0),FALSE))</f>
        <v/>
      </c>
    </row>
    <row r="408">
      <c r="A408" s="16"/>
      <c r="B408" s="16" t="str">
        <f>IFNA(VLOOKUP($A408,Spells!$A$2:$I1002,MATCH(B$3,Spells!$A$1:$I$1,0),FALSE))</f>
        <v/>
      </c>
      <c r="C408" s="16" t="str">
        <f>IFNA(VLOOKUP($A408,Spells!$A$2:$I1002,MATCH(C$3,Spells!$A$1:$I$1,0),FALSE))</f>
        <v/>
      </c>
      <c r="D408" s="16" t="str">
        <f>IFNA(VLOOKUP($A408,Spells!$A$2:$I1002,MATCH(D$3,Spells!$A$1:$I$1,0),FALSE))</f>
        <v/>
      </c>
      <c r="E408" s="16" t="str">
        <f>IFNA(VLOOKUP($A408,Spells!$A$2:$I1002,MATCH(E$3,Spells!$A$1:$I$1,0),FALSE))</f>
        <v/>
      </c>
      <c r="F408" s="16" t="str">
        <f>IFNA(VLOOKUP($A408,Spells!$A$2:$I1002,MATCH(F$3,Spells!$A$1:$I$1,0),FALSE))</f>
        <v/>
      </c>
      <c r="G408" s="16" t="str">
        <f>IFNA(VLOOKUP($A408,Spells!$A$2:$I1002,MATCH(G$3,Spells!$A$1:$I$1,0),FALSE))</f>
        <v/>
      </c>
      <c r="H408" s="16" t="str">
        <f>IFNA(VLOOKUP($A408,Spells!$A$2:$I1002,MATCH(H$3,Spells!$A$1:$I$1,0),FALSE))</f>
        <v/>
      </c>
    </row>
    <row r="409">
      <c r="A409" s="16"/>
      <c r="B409" s="16" t="str">
        <f>IFNA(VLOOKUP($A409,Spells!$A$2:$I1002,MATCH(B$3,Spells!$A$1:$I$1,0),FALSE))</f>
        <v/>
      </c>
      <c r="C409" s="16" t="str">
        <f>IFNA(VLOOKUP($A409,Spells!$A$2:$I1002,MATCH(C$3,Spells!$A$1:$I$1,0),FALSE))</f>
        <v/>
      </c>
      <c r="D409" s="16" t="str">
        <f>IFNA(VLOOKUP($A409,Spells!$A$2:$I1002,MATCH(D$3,Spells!$A$1:$I$1,0),FALSE))</f>
        <v/>
      </c>
      <c r="E409" s="16" t="str">
        <f>IFNA(VLOOKUP($A409,Spells!$A$2:$I1002,MATCH(E$3,Spells!$A$1:$I$1,0),FALSE))</f>
        <v/>
      </c>
      <c r="F409" s="16" t="str">
        <f>IFNA(VLOOKUP($A409,Spells!$A$2:$I1002,MATCH(F$3,Spells!$A$1:$I$1,0),FALSE))</f>
        <v/>
      </c>
      <c r="G409" s="16" t="str">
        <f>IFNA(VLOOKUP($A409,Spells!$A$2:$I1002,MATCH(G$3,Spells!$A$1:$I$1,0),FALSE))</f>
        <v/>
      </c>
      <c r="H409" s="16" t="str">
        <f>IFNA(VLOOKUP($A409,Spells!$A$2:$I1002,MATCH(H$3,Spells!$A$1:$I$1,0),FALSE))</f>
        <v/>
      </c>
    </row>
    <row r="410">
      <c r="A410" s="16"/>
      <c r="B410" s="16" t="str">
        <f>IFNA(VLOOKUP($A410,Spells!$A$2:$I1002,MATCH(B$3,Spells!$A$1:$I$1,0),FALSE))</f>
        <v/>
      </c>
      <c r="C410" s="16" t="str">
        <f>IFNA(VLOOKUP($A410,Spells!$A$2:$I1002,MATCH(C$3,Spells!$A$1:$I$1,0),FALSE))</f>
        <v/>
      </c>
      <c r="D410" s="16" t="str">
        <f>IFNA(VLOOKUP($A410,Spells!$A$2:$I1002,MATCH(D$3,Spells!$A$1:$I$1,0),FALSE))</f>
        <v/>
      </c>
      <c r="E410" s="16" t="str">
        <f>IFNA(VLOOKUP($A410,Spells!$A$2:$I1002,MATCH(E$3,Spells!$A$1:$I$1,0),FALSE))</f>
        <v/>
      </c>
      <c r="F410" s="16" t="str">
        <f>IFNA(VLOOKUP($A410,Spells!$A$2:$I1002,MATCH(F$3,Spells!$A$1:$I$1,0),FALSE))</f>
        <v/>
      </c>
      <c r="G410" s="16" t="str">
        <f>IFNA(VLOOKUP($A410,Spells!$A$2:$I1002,MATCH(G$3,Spells!$A$1:$I$1,0),FALSE))</f>
        <v/>
      </c>
      <c r="H410" s="16" t="str">
        <f>IFNA(VLOOKUP($A410,Spells!$A$2:$I1002,MATCH(H$3,Spells!$A$1:$I$1,0),FALSE))</f>
        <v/>
      </c>
    </row>
    <row r="411">
      <c r="A411" s="16"/>
      <c r="B411" s="16" t="str">
        <f>IFNA(VLOOKUP($A411,Spells!$A$2:$I1002,MATCH(B$3,Spells!$A$1:$I$1,0),FALSE))</f>
        <v/>
      </c>
      <c r="C411" s="16" t="str">
        <f>IFNA(VLOOKUP($A411,Spells!$A$2:$I1002,MATCH(C$3,Spells!$A$1:$I$1,0),FALSE))</f>
        <v/>
      </c>
      <c r="D411" s="16" t="str">
        <f>IFNA(VLOOKUP($A411,Spells!$A$2:$I1002,MATCH(D$3,Spells!$A$1:$I$1,0),FALSE))</f>
        <v/>
      </c>
      <c r="E411" s="16" t="str">
        <f>IFNA(VLOOKUP($A411,Spells!$A$2:$I1002,MATCH(E$3,Spells!$A$1:$I$1,0),FALSE))</f>
        <v/>
      </c>
      <c r="F411" s="16" t="str">
        <f>IFNA(VLOOKUP($A411,Spells!$A$2:$I1002,MATCH(F$3,Spells!$A$1:$I$1,0),FALSE))</f>
        <v/>
      </c>
      <c r="G411" s="16" t="str">
        <f>IFNA(VLOOKUP($A411,Spells!$A$2:$I1002,MATCH(G$3,Spells!$A$1:$I$1,0),FALSE))</f>
        <v/>
      </c>
      <c r="H411" s="16" t="str">
        <f>IFNA(VLOOKUP($A411,Spells!$A$2:$I1002,MATCH(H$3,Spells!$A$1:$I$1,0),FALSE))</f>
        <v/>
      </c>
    </row>
    <row r="412">
      <c r="A412" s="16"/>
      <c r="B412" s="16" t="str">
        <f>IFNA(VLOOKUP($A412,Spells!$A$2:$I1002,MATCH(B$3,Spells!$A$1:$I$1,0),FALSE))</f>
        <v/>
      </c>
      <c r="C412" s="16" t="str">
        <f>IFNA(VLOOKUP($A412,Spells!$A$2:$I1002,MATCH(C$3,Spells!$A$1:$I$1,0),FALSE))</f>
        <v/>
      </c>
      <c r="D412" s="16" t="str">
        <f>IFNA(VLOOKUP($A412,Spells!$A$2:$I1002,MATCH(D$3,Spells!$A$1:$I$1,0),FALSE))</f>
        <v/>
      </c>
      <c r="E412" s="16" t="str">
        <f>IFNA(VLOOKUP($A412,Spells!$A$2:$I1002,MATCH(E$3,Spells!$A$1:$I$1,0),FALSE))</f>
        <v/>
      </c>
      <c r="F412" s="16" t="str">
        <f>IFNA(VLOOKUP($A412,Spells!$A$2:$I1002,MATCH(F$3,Spells!$A$1:$I$1,0),FALSE))</f>
        <v/>
      </c>
      <c r="G412" s="16" t="str">
        <f>IFNA(VLOOKUP($A412,Spells!$A$2:$I1002,MATCH(G$3,Spells!$A$1:$I$1,0),FALSE))</f>
        <v/>
      </c>
      <c r="H412" s="16" t="str">
        <f>IFNA(VLOOKUP($A412,Spells!$A$2:$I1002,MATCH(H$3,Spells!$A$1:$I$1,0),FALSE))</f>
        <v/>
      </c>
    </row>
    <row r="413">
      <c r="A413" s="16"/>
      <c r="B413" s="16" t="str">
        <f>IFNA(VLOOKUP($A413,Spells!$A$2:$I1002,MATCH(B$3,Spells!$A$1:$I$1,0),FALSE))</f>
        <v/>
      </c>
      <c r="C413" s="16" t="str">
        <f>IFNA(VLOOKUP($A413,Spells!$A$2:$I1002,MATCH(C$3,Spells!$A$1:$I$1,0),FALSE))</f>
        <v/>
      </c>
      <c r="D413" s="16" t="str">
        <f>IFNA(VLOOKUP($A413,Spells!$A$2:$I1002,MATCH(D$3,Spells!$A$1:$I$1,0),FALSE))</f>
        <v/>
      </c>
      <c r="E413" s="16" t="str">
        <f>IFNA(VLOOKUP($A413,Spells!$A$2:$I1002,MATCH(E$3,Spells!$A$1:$I$1,0),FALSE))</f>
        <v/>
      </c>
      <c r="F413" s="16" t="str">
        <f>IFNA(VLOOKUP($A413,Spells!$A$2:$I1002,MATCH(F$3,Spells!$A$1:$I$1,0),FALSE))</f>
        <v/>
      </c>
      <c r="G413" s="16" t="str">
        <f>IFNA(VLOOKUP($A413,Spells!$A$2:$I1002,MATCH(G$3,Spells!$A$1:$I$1,0),FALSE))</f>
        <v/>
      </c>
      <c r="H413" s="16" t="str">
        <f>IFNA(VLOOKUP($A413,Spells!$A$2:$I1002,MATCH(H$3,Spells!$A$1:$I$1,0),FALSE))</f>
        <v/>
      </c>
    </row>
    <row r="414">
      <c r="A414" s="16"/>
      <c r="B414" s="16" t="str">
        <f>IFNA(VLOOKUP($A414,Spells!$A$2:$I1002,MATCH(B$3,Spells!$A$1:$I$1,0),FALSE))</f>
        <v/>
      </c>
      <c r="C414" s="16" t="str">
        <f>IFNA(VLOOKUP($A414,Spells!$A$2:$I1002,MATCH(C$3,Spells!$A$1:$I$1,0),FALSE))</f>
        <v/>
      </c>
      <c r="D414" s="16" t="str">
        <f>IFNA(VLOOKUP($A414,Spells!$A$2:$I1002,MATCH(D$3,Spells!$A$1:$I$1,0),FALSE))</f>
        <v/>
      </c>
      <c r="E414" s="16" t="str">
        <f>IFNA(VLOOKUP($A414,Spells!$A$2:$I1002,MATCH(E$3,Spells!$A$1:$I$1,0),FALSE))</f>
        <v/>
      </c>
      <c r="F414" s="16" t="str">
        <f>IFNA(VLOOKUP($A414,Spells!$A$2:$I1002,MATCH(F$3,Spells!$A$1:$I$1,0),FALSE))</f>
        <v/>
      </c>
      <c r="G414" s="16" t="str">
        <f>IFNA(VLOOKUP($A414,Spells!$A$2:$I1002,MATCH(G$3,Spells!$A$1:$I$1,0),FALSE))</f>
        <v/>
      </c>
      <c r="H414" s="16" t="str">
        <f>IFNA(VLOOKUP($A414,Spells!$A$2:$I1002,MATCH(H$3,Spells!$A$1:$I$1,0),FALSE))</f>
        <v/>
      </c>
    </row>
    <row r="415">
      <c r="A415" s="16"/>
      <c r="B415" s="16" t="str">
        <f>IFNA(VLOOKUP($A415,Spells!$A$2:$I1002,MATCH(B$3,Spells!$A$1:$I$1,0),FALSE))</f>
        <v/>
      </c>
      <c r="C415" s="16" t="str">
        <f>IFNA(VLOOKUP($A415,Spells!$A$2:$I1002,MATCH(C$3,Spells!$A$1:$I$1,0),FALSE))</f>
        <v/>
      </c>
      <c r="D415" s="16" t="str">
        <f>IFNA(VLOOKUP($A415,Spells!$A$2:$I1002,MATCH(D$3,Spells!$A$1:$I$1,0),FALSE))</f>
        <v/>
      </c>
      <c r="E415" s="16" t="str">
        <f>IFNA(VLOOKUP($A415,Spells!$A$2:$I1002,MATCH(E$3,Spells!$A$1:$I$1,0),FALSE))</f>
        <v/>
      </c>
      <c r="F415" s="16" t="str">
        <f>IFNA(VLOOKUP($A415,Spells!$A$2:$I1002,MATCH(F$3,Spells!$A$1:$I$1,0),FALSE))</f>
        <v/>
      </c>
      <c r="G415" s="16" t="str">
        <f>IFNA(VLOOKUP($A415,Spells!$A$2:$I1002,MATCH(G$3,Spells!$A$1:$I$1,0),FALSE))</f>
        <v/>
      </c>
      <c r="H415" s="16" t="str">
        <f>IFNA(VLOOKUP($A415,Spells!$A$2:$I1002,MATCH(H$3,Spells!$A$1:$I$1,0),FALSE))</f>
        <v/>
      </c>
    </row>
    <row r="416">
      <c r="A416" s="16"/>
      <c r="B416" s="16" t="str">
        <f>IFNA(VLOOKUP($A416,Spells!$A$2:$I1002,MATCH(B$3,Spells!$A$1:$I$1,0),FALSE))</f>
        <v/>
      </c>
      <c r="C416" s="16" t="str">
        <f>IFNA(VLOOKUP($A416,Spells!$A$2:$I1002,MATCH(C$3,Spells!$A$1:$I$1,0),FALSE))</f>
        <v/>
      </c>
      <c r="D416" s="16" t="str">
        <f>IFNA(VLOOKUP($A416,Spells!$A$2:$I1002,MATCH(D$3,Spells!$A$1:$I$1,0),FALSE))</f>
        <v/>
      </c>
      <c r="E416" s="16" t="str">
        <f>IFNA(VLOOKUP($A416,Spells!$A$2:$I1002,MATCH(E$3,Spells!$A$1:$I$1,0),FALSE))</f>
        <v/>
      </c>
      <c r="F416" s="16" t="str">
        <f>IFNA(VLOOKUP($A416,Spells!$A$2:$I1002,MATCH(F$3,Spells!$A$1:$I$1,0),FALSE))</f>
        <v/>
      </c>
      <c r="G416" s="16" t="str">
        <f>IFNA(VLOOKUP($A416,Spells!$A$2:$I1002,MATCH(G$3,Spells!$A$1:$I$1,0),FALSE))</f>
        <v/>
      </c>
      <c r="H416" s="16" t="str">
        <f>IFNA(VLOOKUP($A416,Spells!$A$2:$I1002,MATCH(H$3,Spells!$A$1:$I$1,0),FALSE))</f>
        <v/>
      </c>
    </row>
    <row r="417">
      <c r="A417" s="16"/>
      <c r="B417" s="16" t="str">
        <f>IFNA(VLOOKUP($A417,Spells!$A$2:$I1002,MATCH(B$3,Spells!$A$1:$I$1,0),FALSE))</f>
        <v/>
      </c>
      <c r="C417" s="16" t="str">
        <f>IFNA(VLOOKUP($A417,Spells!$A$2:$I1002,MATCH(C$3,Spells!$A$1:$I$1,0),FALSE))</f>
        <v/>
      </c>
      <c r="D417" s="16" t="str">
        <f>IFNA(VLOOKUP($A417,Spells!$A$2:$I1002,MATCH(D$3,Spells!$A$1:$I$1,0),FALSE))</f>
        <v/>
      </c>
      <c r="E417" s="16" t="str">
        <f>IFNA(VLOOKUP($A417,Spells!$A$2:$I1002,MATCH(E$3,Spells!$A$1:$I$1,0),FALSE))</f>
        <v/>
      </c>
      <c r="F417" s="16" t="str">
        <f>IFNA(VLOOKUP($A417,Spells!$A$2:$I1002,MATCH(F$3,Spells!$A$1:$I$1,0),FALSE))</f>
        <v/>
      </c>
      <c r="G417" s="16" t="str">
        <f>IFNA(VLOOKUP($A417,Spells!$A$2:$I1002,MATCH(G$3,Spells!$A$1:$I$1,0),FALSE))</f>
        <v/>
      </c>
      <c r="H417" s="16" t="str">
        <f>IFNA(VLOOKUP($A417,Spells!$A$2:$I1002,MATCH(H$3,Spells!$A$1:$I$1,0),FALSE))</f>
        <v/>
      </c>
    </row>
    <row r="418">
      <c r="A418" s="16"/>
      <c r="B418" s="16" t="str">
        <f>IFNA(VLOOKUP($A418,Spells!$A$2:$I1002,MATCH(B$3,Spells!$A$1:$I$1,0),FALSE))</f>
        <v/>
      </c>
      <c r="C418" s="16" t="str">
        <f>IFNA(VLOOKUP($A418,Spells!$A$2:$I1002,MATCH(C$3,Spells!$A$1:$I$1,0),FALSE))</f>
        <v/>
      </c>
      <c r="D418" s="16" t="str">
        <f>IFNA(VLOOKUP($A418,Spells!$A$2:$I1002,MATCH(D$3,Spells!$A$1:$I$1,0),FALSE))</f>
        <v/>
      </c>
      <c r="E418" s="16" t="str">
        <f>IFNA(VLOOKUP($A418,Spells!$A$2:$I1002,MATCH(E$3,Spells!$A$1:$I$1,0),FALSE))</f>
        <v/>
      </c>
      <c r="F418" s="16" t="str">
        <f>IFNA(VLOOKUP($A418,Spells!$A$2:$I1002,MATCH(F$3,Spells!$A$1:$I$1,0),FALSE))</f>
        <v/>
      </c>
      <c r="G418" s="16" t="str">
        <f>IFNA(VLOOKUP($A418,Spells!$A$2:$I1002,MATCH(G$3,Spells!$A$1:$I$1,0),FALSE))</f>
        <v/>
      </c>
      <c r="H418" s="16" t="str">
        <f>IFNA(VLOOKUP($A418,Spells!$A$2:$I1002,MATCH(H$3,Spells!$A$1:$I$1,0),FALSE))</f>
        <v/>
      </c>
    </row>
    <row r="419">
      <c r="A419" s="16"/>
      <c r="B419" s="16" t="str">
        <f>IFNA(VLOOKUP($A419,Spells!$A$2:$I1002,MATCH(B$3,Spells!$A$1:$I$1,0),FALSE))</f>
        <v/>
      </c>
      <c r="C419" s="16" t="str">
        <f>IFNA(VLOOKUP($A419,Spells!$A$2:$I1002,MATCH(C$3,Spells!$A$1:$I$1,0),FALSE))</f>
        <v/>
      </c>
      <c r="D419" s="16" t="str">
        <f>IFNA(VLOOKUP($A419,Spells!$A$2:$I1002,MATCH(D$3,Spells!$A$1:$I$1,0),FALSE))</f>
        <v/>
      </c>
      <c r="E419" s="16" t="str">
        <f>IFNA(VLOOKUP($A419,Spells!$A$2:$I1002,MATCH(E$3,Spells!$A$1:$I$1,0),FALSE))</f>
        <v/>
      </c>
      <c r="F419" s="16" t="str">
        <f>IFNA(VLOOKUP($A419,Spells!$A$2:$I1002,MATCH(F$3,Spells!$A$1:$I$1,0),FALSE))</f>
        <v/>
      </c>
      <c r="G419" s="16" t="str">
        <f>IFNA(VLOOKUP($A419,Spells!$A$2:$I1002,MATCH(G$3,Spells!$A$1:$I$1,0),FALSE))</f>
        <v/>
      </c>
      <c r="H419" s="16" t="str">
        <f>IFNA(VLOOKUP($A419,Spells!$A$2:$I1002,MATCH(H$3,Spells!$A$1:$I$1,0),FALSE))</f>
        <v/>
      </c>
    </row>
    <row r="420">
      <c r="A420" s="16"/>
      <c r="B420" s="16" t="str">
        <f>IFNA(VLOOKUP($A420,Spells!$A$2:$I1002,MATCH(B$3,Spells!$A$1:$I$1,0),FALSE))</f>
        <v/>
      </c>
      <c r="C420" s="16" t="str">
        <f>IFNA(VLOOKUP($A420,Spells!$A$2:$I1002,MATCH(C$3,Spells!$A$1:$I$1,0),FALSE))</f>
        <v/>
      </c>
      <c r="D420" s="16" t="str">
        <f>IFNA(VLOOKUP($A420,Spells!$A$2:$I1002,MATCH(D$3,Spells!$A$1:$I$1,0),FALSE))</f>
        <v/>
      </c>
      <c r="E420" s="16" t="str">
        <f>IFNA(VLOOKUP($A420,Spells!$A$2:$I1002,MATCH(E$3,Spells!$A$1:$I$1,0),FALSE))</f>
        <v/>
      </c>
      <c r="F420" s="16" t="str">
        <f>IFNA(VLOOKUP($A420,Spells!$A$2:$I1002,MATCH(F$3,Spells!$A$1:$I$1,0),FALSE))</f>
        <v/>
      </c>
      <c r="G420" s="16" t="str">
        <f>IFNA(VLOOKUP($A420,Spells!$A$2:$I1002,MATCH(G$3,Spells!$A$1:$I$1,0),FALSE))</f>
        <v/>
      </c>
      <c r="H420" s="16" t="str">
        <f>IFNA(VLOOKUP($A420,Spells!$A$2:$I1002,MATCH(H$3,Spells!$A$1:$I$1,0),FALSE))</f>
        <v/>
      </c>
    </row>
    <row r="421">
      <c r="A421" s="16"/>
      <c r="B421" s="16" t="str">
        <f>IFNA(VLOOKUP($A421,Spells!$A$2:$I1002,MATCH(B$3,Spells!$A$1:$I$1,0),FALSE))</f>
        <v/>
      </c>
      <c r="C421" s="16" t="str">
        <f>IFNA(VLOOKUP($A421,Spells!$A$2:$I1002,MATCH(C$3,Spells!$A$1:$I$1,0),FALSE))</f>
        <v/>
      </c>
      <c r="D421" s="16" t="str">
        <f>IFNA(VLOOKUP($A421,Spells!$A$2:$I1002,MATCH(D$3,Spells!$A$1:$I$1,0),FALSE))</f>
        <v/>
      </c>
      <c r="E421" s="16" t="str">
        <f>IFNA(VLOOKUP($A421,Spells!$A$2:$I1002,MATCH(E$3,Spells!$A$1:$I$1,0),FALSE))</f>
        <v/>
      </c>
      <c r="F421" s="16" t="str">
        <f>IFNA(VLOOKUP($A421,Spells!$A$2:$I1002,MATCH(F$3,Spells!$A$1:$I$1,0),FALSE))</f>
        <v/>
      </c>
      <c r="G421" s="16" t="str">
        <f>IFNA(VLOOKUP($A421,Spells!$A$2:$I1002,MATCH(G$3,Spells!$A$1:$I$1,0),FALSE))</f>
        <v/>
      </c>
      <c r="H421" s="16" t="str">
        <f>IFNA(VLOOKUP($A421,Spells!$A$2:$I1002,MATCH(H$3,Spells!$A$1:$I$1,0),FALSE))</f>
        <v/>
      </c>
    </row>
    <row r="422">
      <c r="A422" s="16"/>
      <c r="B422" s="16" t="str">
        <f>IFNA(VLOOKUP($A422,Spells!$A$2:$I1002,MATCH(B$3,Spells!$A$1:$I$1,0),FALSE))</f>
        <v/>
      </c>
      <c r="C422" s="16" t="str">
        <f>IFNA(VLOOKUP($A422,Spells!$A$2:$I1002,MATCH(C$3,Spells!$A$1:$I$1,0),FALSE))</f>
        <v/>
      </c>
      <c r="D422" s="16" t="str">
        <f>IFNA(VLOOKUP($A422,Spells!$A$2:$I1002,MATCH(D$3,Spells!$A$1:$I$1,0),FALSE))</f>
        <v/>
      </c>
      <c r="E422" s="16" t="str">
        <f>IFNA(VLOOKUP($A422,Spells!$A$2:$I1002,MATCH(E$3,Spells!$A$1:$I$1,0),FALSE))</f>
        <v/>
      </c>
      <c r="F422" s="16" t="str">
        <f>IFNA(VLOOKUP($A422,Spells!$A$2:$I1002,MATCH(F$3,Spells!$A$1:$I$1,0),FALSE))</f>
        <v/>
      </c>
      <c r="G422" s="16" t="str">
        <f>IFNA(VLOOKUP($A422,Spells!$A$2:$I1002,MATCH(G$3,Spells!$A$1:$I$1,0),FALSE))</f>
        <v/>
      </c>
      <c r="H422" s="16" t="str">
        <f>IFNA(VLOOKUP($A422,Spells!$A$2:$I1002,MATCH(H$3,Spells!$A$1:$I$1,0),FALSE))</f>
        <v/>
      </c>
    </row>
    <row r="423">
      <c r="A423" s="16"/>
      <c r="B423" s="16" t="str">
        <f>IFNA(VLOOKUP($A423,Spells!$A$2:$I1002,MATCH(B$3,Spells!$A$1:$I$1,0),FALSE))</f>
        <v/>
      </c>
      <c r="C423" s="16" t="str">
        <f>IFNA(VLOOKUP($A423,Spells!$A$2:$I1002,MATCH(C$3,Spells!$A$1:$I$1,0),FALSE))</f>
        <v/>
      </c>
      <c r="D423" s="16" t="str">
        <f>IFNA(VLOOKUP($A423,Spells!$A$2:$I1002,MATCH(D$3,Spells!$A$1:$I$1,0),FALSE))</f>
        <v/>
      </c>
      <c r="E423" s="16" t="str">
        <f>IFNA(VLOOKUP($A423,Spells!$A$2:$I1002,MATCH(E$3,Spells!$A$1:$I$1,0),FALSE))</f>
        <v/>
      </c>
      <c r="F423" s="16" t="str">
        <f>IFNA(VLOOKUP($A423,Spells!$A$2:$I1002,MATCH(F$3,Spells!$A$1:$I$1,0),FALSE))</f>
        <v/>
      </c>
      <c r="G423" s="16" t="str">
        <f>IFNA(VLOOKUP($A423,Spells!$A$2:$I1002,MATCH(G$3,Spells!$A$1:$I$1,0),FALSE))</f>
        <v/>
      </c>
      <c r="H423" s="16" t="str">
        <f>IFNA(VLOOKUP($A423,Spells!$A$2:$I1002,MATCH(H$3,Spells!$A$1:$I$1,0),FALSE))</f>
        <v/>
      </c>
    </row>
    <row r="424">
      <c r="A424" s="16"/>
      <c r="B424" s="16" t="str">
        <f>IFNA(VLOOKUP($A424,Spells!$A$2:$I1002,MATCH(B$3,Spells!$A$1:$I$1,0),FALSE))</f>
        <v/>
      </c>
      <c r="C424" s="16" t="str">
        <f>IFNA(VLOOKUP($A424,Spells!$A$2:$I1002,MATCH(C$3,Spells!$A$1:$I$1,0),FALSE))</f>
        <v/>
      </c>
      <c r="D424" s="16" t="str">
        <f>IFNA(VLOOKUP($A424,Spells!$A$2:$I1002,MATCH(D$3,Spells!$A$1:$I$1,0),FALSE))</f>
        <v/>
      </c>
      <c r="E424" s="16" t="str">
        <f>IFNA(VLOOKUP($A424,Spells!$A$2:$I1002,MATCH(E$3,Spells!$A$1:$I$1,0),FALSE))</f>
        <v/>
      </c>
      <c r="F424" s="16" t="str">
        <f>IFNA(VLOOKUP($A424,Spells!$A$2:$I1002,MATCH(F$3,Spells!$A$1:$I$1,0),FALSE))</f>
        <v/>
      </c>
      <c r="G424" s="16" t="str">
        <f>IFNA(VLOOKUP($A424,Spells!$A$2:$I1002,MATCH(G$3,Spells!$A$1:$I$1,0),FALSE))</f>
        <v/>
      </c>
      <c r="H424" s="16" t="str">
        <f>IFNA(VLOOKUP($A424,Spells!$A$2:$I1002,MATCH(H$3,Spells!$A$1:$I$1,0),FALSE))</f>
        <v/>
      </c>
    </row>
    <row r="425">
      <c r="A425" s="16"/>
      <c r="B425" s="16" t="str">
        <f>IFNA(VLOOKUP($A425,Spells!$A$2:$I1002,MATCH(B$3,Spells!$A$1:$I$1,0),FALSE))</f>
        <v/>
      </c>
      <c r="C425" s="16" t="str">
        <f>IFNA(VLOOKUP($A425,Spells!$A$2:$I1002,MATCH(C$3,Spells!$A$1:$I$1,0),FALSE))</f>
        <v/>
      </c>
      <c r="D425" s="16" t="str">
        <f>IFNA(VLOOKUP($A425,Spells!$A$2:$I1002,MATCH(D$3,Spells!$A$1:$I$1,0),FALSE))</f>
        <v/>
      </c>
      <c r="E425" s="16" t="str">
        <f>IFNA(VLOOKUP($A425,Spells!$A$2:$I1002,MATCH(E$3,Spells!$A$1:$I$1,0),FALSE))</f>
        <v/>
      </c>
      <c r="F425" s="16" t="str">
        <f>IFNA(VLOOKUP($A425,Spells!$A$2:$I1002,MATCH(F$3,Spells!$A$1:$I$1,0),FALSE))</f>
        <v/>
      </c>
      <c r="G425" s="16" t="str">
        <f>IFNA(VLOOKUP($A425,Spells!$A$2:$I1002,MATCH(G$3,Spells!$A$1:$I$1,0),FALSE))</f>
        <v/>
      </c>
      <c r="H425" s="16" t="str">
        <f>IFNA(VLOOKUP($A425,Spells!$A$2:$I1002,MATCH(H$3,Spells!$A$1:$I$1,0),FALSE))</f>
        <v/>
      </c>
    </row>
    <row r="426">
      <c r="A426" s="16"/>
      <c r="B426" s="16" t="str">
        <f>IFNA(VLOOKUP($A426,Spells!$A$2:$I1002,MATCH(B$3,Spells!$A$1:$I$1,0),FALSE))</f>
        <v/>
      </c>
      <c r="C426" s="16" t="str">
        <f>IFNA(VLOOKUP($A426,Spells!$A$2:$I1002,MATCH(C$3,Spells!$A$1:$I$1,0),FALSE))</f>
        <v/>
      </c>
      <c r="D426" s="16" t="str">
        <f>IFNA(VLOOKUP($A426,Spells!$A$2:$I1002,MATCH(D$3,Spells!$A$1:$I$1,0),FALSE))</f>
        <v/>
      </c>
      <c r="E426" s="16" t="str">
        <f>IFNA(VLOOKUP($A426,Spells!$A$2:$I1002,MATCH(E$3,Spells!$A$1:$I$1,0),FALSE))</f>
        <v/>
      </c>
      <c r="F426" s="16" t="str">
        <f>IFNA(VLOOKUP($A426,Spells!$A$2:$I1002,MATCH(F$3,Spells!$A$1:$I$1,0),FALSE))</f>
        <v/>
      </c>
      <c r="G426" s="16" t="str">
        <f>IFNA(VLOOKUP($A426,Spells!$A$2:$I1002,MATCH(G$3,Spells!$A$1:$I$1,0),FALSE))</f>
        <v/>
      </c>
      <c r="H426" s="16" t="str">
        <f>IFNA(VLOOKUP($A426,Spells!$A$2:$I1002,MATCH(H$3,Spells!$A$1:$I$1,0),FALSE))</f>
        <v/>
      </c>
    </row>
    <row r="427">
      <c r="A427" s="16"/>
      <c r="B427" s="16" t="str">
        <f>IFNA(VLOOKUP($A427,Spells!$A$2:$I1002,MATCH(B$3,Spells!$A$1:$I$1,0),FALSE))</f>
        <v/>
      </c>
      <c r="C427" s="16" t="str">
        <f>IFNA(VLOOKUP($A427,Spells!$A$2:$I1002,MATCH(C$3,Spells!$A$1:$I$1,0),FALSE))</f>
        <v/>
      </c>
      <c r="D427" s="16" t="str">
        <f>IFNA(VLOOKUP($A427,Spells!$A$2:$I1002,MATCH(D$3,Spells!$A$1:$I$1,0),FALSE))</f>
        <v/>
      </c>
      <c r="E427" s="16" t="str">
        <f>IFNA(VLOOKUP($A427,Spells!$A$2:$I1002,MATCH(E$3,Spells!$A$1:$I$1,0),FALSE))</f>
        <v/>
      </c>
      <c r="F427" s="16" t="str">
        <f>IFNA(VLOOKUP($A427,Spells!$A$2:$I1002,MATCH(F$3,Spells!$A$1:$I$1,0),FALSE))</f>
        <v/>
      </c>
      <c r="G427" s="16" t="str">
        <f>IFNA(VLOOKUP($A427,Spells!$A$2:$I1002,MATCH(G$3,Spells!$A$1:$I$1,0),FALSE))</f>
        <v/>
      </c>
      <c r="H427" s="16" t="str">
        <f>IFNA(VLOOKUP($A427,Spells!$A$2:$I1002,MATCH(H$3,Spells!$A$1:$I$1,0),FALSE))</f>
        <v/>
      </c>
    </row>
    <row r="428">
      <c r="A428" s="16"/>
      <c r="B428" s="16" t="str">
        <f>IFNA(VLOOKUP($A428,Spells!$A$2:$I1002,MATCH(B$3,Spells!$A$1:$I$1,0),FALSE))</f>
        <v/>
      </c>
      <c r="C428" s="16" t="str">
        <f>IFNA(VLOOKUP($A428,Spells!$A$2:$I1002,MATCH(C$3,Spells!$A$1:$I$1,0),FALSE))</f>
        <v/>
      </c>
      <c r="D428" s="16" t="str">
        <f>IFNA(VLOOKUP($A428,Spells!$A$2:$I1002,MATCH(D$3,Spells!$A$1:$I$1,0),FALSE))</f>
        <v/>
      </c>
      <c r="E428" s="16" t="str">
        <f>IFNA(VLOOKUP($A428,Spells!$A$2:$I1002,MATCH(E$3,Spells!$A$1:$I$1,0),FALSE))</f>
        <v/>
      </c>
      <c r="F428" s="16" t="str">
        <f>IFNA(VLOOKUP($A428,Spells!$A$2:$I1002,MATCH(F$3,Spells!$A$1:$I$1,0),FALSE))</f>
        <v/>
      </c>
      <c r="G428" s="16" t="str">
        <f>IFNA(VLOOKUP($A428,Spells!$A$2:$I1002,MATCH(G$3,Spells!$A$1:$I$1,0),FALSE))</f>
        <v/>
      </c>
      <c r="H428" s="16" t="str">
        <f>IFNA(VLOOKUP($A428,Spells!$A$2:$I1002,MATCH(H$3,Spells!$A$1:$I$1,0),FALSE))</f>
        <v/>
      </c>
    </row>
    <row r="429">
      <c r="A429" s="16"/>
      <c r="B429" s="16" t="str">
        <f>IFNA(VLOOKUP($A429,Spells!$A$2:$I1002,MATCH(B$3,Spells!$A$1:$I$1,0),FALSE))</f>
        <v/>
      </c>
      <c r="C429" s="16" t="str">
        <f>IFNA(VLOOKUP($A429,Spells!$A$2:$I1002,MATCH(C$3,Spells!$A$1:$I$1,0),FALSE))</f>
        <v/>
      </c>
      <c r="D429" s="16" t="str">
        <f>IFNA(VLOOKUP($A429,Spells!$A$2:$I1002,MATCH(D$3,Spells!$A$1:$I$1,0),FALSE))</f>
        <v/>
      </c>
      <c r="E429" s="16" t="str">
        <f>IFNA(VLOOKUP($A429,Spells!$A$2:$I1002,MATCH(E$3,Spells!$A$1:$I$1,0),FALSE))</f>
        <v/>
      </c>
      <c r="F429" s="16" t="str">
        <f>IFNA(VLOOKUP($A429,Spells!$A$2:$I1002,MATCH(F$3,Spells!$A$1:$I$1,0),FALSE))</f>
        <v/>
      </c>
      <c r="G429" s="16" t="str">
        <f>IFNA(VLOOKUP($A429,Spells!$A$2:$I1002,MATCH(G$3,Spells!$A$1:$I$1,0),FALSE))</f>
        <v/>
      </c>
      <c r="H429" s="16" t="str">
        <f>IFNA(VLOOKUP($A429,Spells!$A$2:$I1002,MATCH(H$3,Spells!$A$1:$I$1,0),FALSE))</f>
        <v/>
      </c>
    </row>
    <row r="430">
      <c r="A430" s="16"/>
      <c r="B430" s="16" t="str">
        <f>IFNA(VLOOKUP($A430,Spells!$A$2:$I1002,MATCH(B$3,Spells!$A$1:$I$1,0),FALSE))</f>
        <v/>
      </c>
      <c r="C430" s="16" t="str">
        <f>IFNA(VLOOKUP($A430,Spells!$A$2:$I1002,MATCH(C$3,Spells!$A$1:$I$1,0),FALSE))</f>
        <v/>
      </c>
      <c r="D430" s="16" t="str">
        <f>IFNA(VLOOKUP($A430,Spells!$A$2:$I1002,MATCH(D$3,Spells!$A$1:$I$1,0),FALSE))</f>
        <v/>
      </c>
      <c r="E430" s="16" t="str">
        <f>IFNA(VLOOKUP($A430,Spells!$A$2:$I1002,MATCH(E$3,Spells!$A$1:$I$1,0),FALSE))</f>
        <v/>
      </c>
      <c r="F430" s="16" t="str">
        <f>IFNA(VLOOKUP($A430,Spells!$A$2:$I1002,MATCH(F$3,Spells!$A$1:$I$1,0),FALSE))</f>
        <v/>
      </c>
      <c r="G430" s="16" t="str">
        <f>IFNA(VLOOKUP($A430,Spells!$A$2:$I1002,MATCH(G$3,Spells!$A$1:$I$1,0),FALSE))</f>
        <v/>
      </c>
      <c r="H430" s="16" t="str">
        <f>IFNA(VLOOKUP($A430,Spells!$A$2:$I1002,MATCH(H$3,Spells!$A$1:$I$1,0),FALSE))</f>
        <v/>
      </c>
    </row>
    <row r="431">
      <c r="A431" s="16"/>
      <c r="B431" s="16" t="str">
        <f>IFNA(VLOOKUP($A431,Spells!$A$2:$I1002,MATCH(B$3,Spells!$A$1:$I$1,0),FALSE))</f>
        <v/>
      </c>
      <c r="C431" s="16" t="str">
        <f>IFNA(VLOOKUP($A431,Spells!$A$2:$I1002,MATCH(C$3,Spells!$A$1:$I$1,0),FALSE))</f>
        <v/>
      </c>
      <c r="D431" s="16" t="str">
        <f>IFNA(VLOOKUP($A431,Spells!$A$2:$I1002,MATCH(D$3,Spells!$A$1:$I$1,0),FALSE))</f>
        <v/>
      </c>
      <c r="E431" s="16" t="str">
        <f>IFNA(VLOOKUP($A431,Spells!$A$2:$I1002,MATCH(E$3,Spells!$A$1:$I$1,0),FALSE))</f>
        <v/>
      </c>
      <c r="F431" s="16" t="str">
        <f>IFNA(VLOOKUP($A431,Spells!$A$2:$I1002,MATCH(F$3,Spells!$A$1:$I$1,0),FALSE))</f>
        <v/>
      </c>
      <c r="G431" s="16" t="str">
        <f>IFNA(VLOOKUP($A431,Spells!$A$2:$I1002,MATCH(G$3,Spells!$A$1:$I$1,0),FALSE))</f>
        <v/>
      </c>
      <c r="H431" s="16" t="str">
        <f>IFNA(VLOOKUP($A431,Spells!$A$2:$I1002,MATCH(H$3,Spells!$A$1:$I$1,0),FALSE))</f>
        <v/>
      </c>
    </row>
    <row r="432">
      <c r="A432" s="16"/>
      <c r="B432" s="16" t="str">
        <f>IFNA(VLOOKUP($A432,Spells!$A$2:$I1002,MATCH(B$3,Spells!$A$1:$I$1,0),FALSE))</f>
        <v/>
      </c>
      <c r="C432" s="16" t="str">
        <f>IFNA(VLOOKUP($A432,Spells!$A$2:$I1002,MATCH(C$3,Spells!$A$1:$I$1,0),FALSE))</f>
        <v/>
      </c>
      <c r="D432" s="16" t="str">
        <f>IFNA(VLOOKUP($A432,Spells!$A$2:$I1002,MATCH(D$3,Spells!$A$1:$I$1,0),FALSE))</f>
        <v/>
      </c>
      <c r="E432" s="16" t="str">
        <f>IFNA(VLOOKUP($A432,Spells!$A$2:$I1002,MATCH(E$3,Spells!$A$1:$I$1,0),FALSE))</f>
        <v/>
      </c>
      <c r="F432" s="16" t="str">
        <f>IFNA(VLOOKUP($A432,Spells!$A$2:$I1002,MATCH(F$3,Spells!$A$1:$I$1,0),FALSE))</f>
        <v/>
      </c>
      <c r="G432" s="16" t="str">
        <f>IFNA(VLOOKUP($A432,Spells!$A$2:$I1002,MATCH(G$3,Spells!$A$1:$I$1,0),FALSE))</f>
        <v/>
      </c>
      <c r="H432" s="16" t="str">
        <f>IFNA(VLOOKUP($A432,Spells!$A$2:$I1002,MATCH(H$3,Spells!$A$1:$I$1,0),FALSE))</f>
        <v/>
      </c>
    </row>
    <row r="433">
      <c r="A433" s="16"/>
      <c r="B433" s="16" t="str">
        <f>IFNA(VLOOKUP($A433,Spells!$A$2:$I1002,MATCH(B$3,Spells!$A$1:$I$1,0),FALSE))</f>
        <v/>
      </c>
      <c r="C433" s="16" t="str">
        <f>IFNA(VLOOKUP($A433,Spells!$A$2:$I1002,MATCH(C$3,Spells!$A$1:$I$1,0),FALSE))</f>
        <v/>
      </c>
      <c r="D433" s="16" t="str">
        <f>IFNA(VLOOKUP($A433,Spells!$A$2:$I1002,MATCH(D$3,Spells!$A$1:$I$1,0),FALSE))</f>
        <v/>
      </c>
      <c r="E433" s="16" t="str">
        <f>IFNA(VLOOKUP($A433,Spells!$A$2:$I1002,MATCH(E$3,Spells!$A$1:$I$1,0),FALSE))</f>
        <v/>
      </c>
      <c r="F433" s="16" t="str">
        <f>IFNA(VLOOKUP($A433,Spells!$A$2:$I1002,MATCH(F$3,Spells!$A$1:$I$1,0),FALSE))</f>
        <v/>
      </c>
      <c r="G433" s="16" t="str">
        <f>IFNA(VLOOKUP($A433,Spells!$A$2:$I1002,MATCH(G$3,Spells!$A$1:$I$1,0),FALSE))</f>
        <v/>
      </c>
      <c r="H433" s="16" t="str">
        <f>IFNA(VLOOKUP($A433,Spells!$A$2:$I1002,MATCH(H$3,Spells!$A$1:$I$1,0),FALSE))</f>
        <v/>
      </c>
    </row>
    <row r="434">
      <c r="A434" s="16"/>
      <c r="B434" s="16" t="str">
        <f>IFNA(VLOOKUP($A434,Spells!$A$2:$I1002,MATCH(B$3,Spells!$A$1:$I$1,0),FALSE))</f>
        <v/>
      </c>
      <c r="C434" s="16" t="str">
        <f>IFNA(VLOOKUP($A434,Spells!$A$2:$I1002,MATCH(C$3,Spells!$A$1:$I$1,0),FALSE))</f>
        <v/>
      </c>
      <c r="D434" s="16" t="str">
        <f>IFNA(VLOOKUP($A434,Spells!$A$2:$I1002,MATCH(D$3,Spells!$A$1:$I$1,0),FALSE))</f>
        <v/>
      </c>
      <c r="E434" s="16" t="str">
        <f>IFNA(VLOOKUP($A434,Spells!$A$2:$I1002,MATCH(E$3,Spells!$A$1:$I$1,0),FALSE))</f>
        <v/>
      </c>
      <c r="F434" s="16" t="str">
        <f>IFNA(VLOOKUP($A434,Spells!$A$2:$I1002,MATCH(F$3,Spells!$A$1:$I$1,0),FALSE))</f>
        <v/>
      </c>
      <c r="G434" s="16" t="str">
        <f>IFNA(VLOOKUP($A434,Spells!$A$2:$I1002,MATCH(G$3,Spells!$A$1:$I$1,0),FALSE))</f>
        <v/>
      </c>
      <c r="H434" s="16" t="str">
        <f>IFNA(VLOOKUP($A434,Spells!$A$2:$I1002,MATCH(H$3,Spells!$A$1:$I$1,0),FALSE))</f>
        <v/>
      </c>
    </row>
    <row r="435">
      <c r="A435" s="16"/>
      <c r="B435" s="16" t="str">
        <f>IFNA(VLOOKUP($A435,Spells!$A$2:$I1002,MATCH(B$3,Spells!$A$1:$I$1,0),FALSE))</f>
        <v/>
      </c>
      <c r="C435" s="16" t="str">
        <f>IFNA(VLOOKUP($A435,Spells!$A$2:$I1002,MATCH(C$3,Spells!$A$1:$I$1,0),FALSE))</f>
        <v/>
      </c>
      <c r="D435" s="16" t="str">
        <f>IFNA(VLOOKUP($A435,Spells!$A$2:$I1002,MATCH(D$3,Spells!$A$1:$I$1,0),FALSE))</f>
        <v/>
      </c>
      <c r="E435" s="16" t="str">
        <f>IFNA(VLOOKUP($A435,Spells!$A$2:$I1002,MATCH(E$3,Spells!$A$1:$I$1,0),FALSE))</f>
        <v/>
      </c>
      <c r="F435" s="16" t="str">
        <f>IFNA(VLOOKUP($A435,Spells!$A$2:$I1002,MATCH(F$3,Spells!$A$1:$I$1,0),FALSE))</f>
        <v/>
      </c>
      <c r="G435" s="16" t="str">
        <f>IFNA(VLOOKUP($A435,Spells!$A$2:$I1002,MATCH(G$3,Spells!$A$1:$I$1,0),FALSE))</f>
        <v/>
      </c>
      <c r="H435" s="16" t="str">
        <f>IFNA(VLOOKUP($A435,Spells!$A$2:$I1002,MATCH(H$3,Spells!$A$1:$I$1,0),FALSE))</f>
        <v/>
      </c>
    </row>
    <row r="436">
      <c r="A436" s="16"/>
      <c r="B436" s="16" t="str">
        <f>IFNA(VLOOKUP($A436,Spells!$A$2:$I1002,MATCH(B$3,Spells!$A$1:$I$1,0),FALSE))</f>
        <v/>
      </c>
      <c r="C436" s="16" t="str">
        <f>IFNA(VLOOKUP($A436,Spells!$A$2:$I1002,MATCH(C$3,Spells!$A$1:$I$1,0),FALSE))</f>
        <v/>
      </c>
      <c r="D436" s="16" t="str">
        <f>IFNA(VLOOKUP($A436,Spells!$A$2:$I1002,MATCH(D$3,Spells!$A$1:$I$1,0),FALSE))</f>
        <v/>
      </c>
      <c r="E436" s="16" t="str">
        <f>IFNA(VLOOKUP($A436,Spells!$A$2:$I1002,MATCH(E$3,Spells!$A$1:$I$1,0),FALSE))</f>
        <v/>
      </c>
      <c r="F436" s="16" t="str">
        <f>IFNA(VLOOKUP($A436,Spells!$A$2:$I1002,MATCH(F$3,Spells!$A$1:$I$1,0),FALSE))</f>
        <v/>
      </c>
      <c r="G436" s="16" t="str">
        <f>IFNA(VLOOKUP($A436,Spells!$A$2:$I1002,MATCH(G$3,Spells!$A$1:$I$1,0),FALSE))</f>
        <v/>
      </c>
      <c r="H436" s="16" t="str">
        <f>IFNA(VLOOKUP($A436,Spells!$A$2:$I1002,MATCH(H$3,Spells!$A$1:$I$1,0),FALSE))</f>
        <v/>
      </c>
    </row>
    <row r="437">
      <c r="A437" s="16"/>
      <c r="B437" s="16" t="str">
        <f>IFNA(VLOOKUP($A437,Spells!$A$2:$I1002,MATCH(B$3,Spells!$A$1:$I$1,0),FALSE))</f>
        <v/>
      </c>
      <c r="C437" s="16" t="str">
        <f>IFNA(VLOOKUP($A437,Spells!$A$2:$I1002,MATCH(C$3,Spells!$A$1:$I$1,0),FALSE))</f>
        <v/>
      </c>
      <c r="D437" s="16" t="str">
        <f>IFNA(VLOOKUP($A437,Spells!$A$2:$I1002,MATCH(D$3,Spells!$A$1:$I$1,0),FALSE))</f>
        <v/>
      </c>
      <c r="E437" s="16" t="str">
        <f>IFNA(VLOOKUP($A437,Spells!$A$2:$I1002,MATCH(E$3,Spells!$A$1:$I$1,0),FALSE))</f>
        <v/>
      </c>
      <c r="F437" s="16" t="str">
        <f>IFNA(VLOOKUP($A437,Spells!$A$2:$I1002,MATCH(F$3,Spells!$A$1:$I$1,0),FALSE))</f>
        <v/>
      </c>
      <c r="G437" s="16" t="str">
        <f>IFNA(VLOOKUP($A437,Spells!$A$2:$I1002,MATCH(G$3,Spells!$A$1:$I$1,0),FALSE))</f>
        <v/>
      </c>
      <c r="H437" s="16" t="str">
        <f>IFNA(VLOOKUP($A437,Spells!$A$2:$I1002,MATCH(H$3,Spells!$A$1:$I$1,0),FALSE))</f>
        <v/>
      </c>
    </row>
    <row r="438">
      <c r="A438" s="16"/>
      <c r="B438" s="16" t="str">
        <f>IFNA(VLOOKUP($A438,Spells!$A$2:$I1002,MATCH(B$3,Spells!$A$1:$I$1,0),FALSE))</f>
        <v/>
      </c>
      <c r="C438" s="16" t="str">
        <f>IFNA(VLOOKUP($A438,Spells!$A$2:$I1002,MATCH(C$3,Spells!$A$1:$I$1,0),FALSE))</f>
        <v/>
      </c>
      <c r="D438" s="16" t="str">
        <f>IFNA(VLOOKUP($A438,Spells!$A$2:$I1002,MATCH(D$3,Spells!$A$1:$I$1,0),FALSE))</f>
        <v/>
      </c>
      <c r="E438" s="16" t="str">
        <f>IFNA(VLOOKUP($A438,Spells!$A$2:$I1002,MATCH(E$3,Spells!$A$1:$I$1,0),FALSE))</f>
        <v/>
      </c>
      <c r="F438" s="16" t="str">
        <f>IFNA(VLOOKUP($A438,Spells!$A$2:$I1002,MATCH(F$3,Spells!$A$1:$I$1,0),FALSE))</f>
        <v/>
      </c>
      <c r="G438" s="16" t="str">
        <f>IFNA(VLOOKUP($A438,Spells!$A$2:$I1002,MATCH(G$3,Spells!$A$1:$I$1,0),FALSE))</f>
        <v/>
      </c>
      <c r="H438" s="16" t="str">
        <f>IFNA(VLOOKUP($A438,Spells!$A$2:$I1002,MATCH(H$3,Spells!$A$1:$I$1,0),FALSE))</f>
        <v/>
      </c>
    </row>
    <row r="439">
      <c r="A439" s="16"/>
      <c r="B439" s="16" t="str">
        <f>IFNA(VLOOKUP($A439,Spells!$A$2:$I1002,MATCH(B$3,Spells!$A$1:$I$1,0),FALSE))</f>
        <v/>
      </c>
      <c r="C439" s="16" t="str">
        <f>IFNA(VLOOKUP($A439,Spells!$A$2:$I1002,MATCH(C$3,Spells!$A$1:$I$1,0),FALSE))</f>
        <v/>
      </c>
      <c r="D439" s="16" t="str">
        <f>IFNA(VLOOKUP($A439,Spells!$A$2:$I1002,MATCH(D$3,Spells!$A$1:$I$1,0),FALSE))</f>
        <v/>
      </c>
      <c r="E439" s="16" t="str">
        <f>IFNA(VLOOKUP($A439,Spells!$A$2:$I1002,MATCH(E$3,Spells!$A$1:$I$1,0),FALSE))</f>
        <v/>
      </c>
      <c r="F439" s="16" t="str">
        <f>IFNA(VLOOKUP($A439,Spells!$A$2:$I1002,MATCH(F$3,Spells!$A$1:$I$1,0),FALSE))</f>
        <v/>
      </c>
      <c r="G439" s="16" t="str">
        <f>IFNA(VLOOKUP($A439,Spells!$A$2:$I1002,MATCH(G$3,Spells!$A$1:$I$1,0),FALSE))</f>
        <v/>
      </c>
      <c r="H439" s="16" t="str">
        <f>IFNA(VLOOKUP($A439,Spells!$A$2:$I1002,MATCH(H$3,Spells!$A$1:$I$1,0),FALSE))</f>
        <v/>
      </c>
    </row>
    <row r="440">
      <c r="A440" s="16"/>
      <c r="B440" s="16" t="str">
        <f>IFNA(VLOOKUP($A440,Spells!$A$2:$I1002,MATCH(B$3,Spells!$A$1:$I$1,0),FALSE))</f>
        <v/>
      </c>
      <c r="C440" s="16" t="str">
        <f>IFNA(VLOOKUP($A440,Spells!$A$2:$I1002,MATCH(C$3,Spells!$A$1:$I$1,0),FALSE))</f>
        <v/>
      </c>
      <c r="D440" s="16" t="str">
        <f>IFNA(VLOOKUP($A440,Spells!$A$2:$I1002,MATCH(D$3,Spells!$A$1:$I$1,0),FALSE))</f>
        <v/>
      </c>
      <c r="E440" s="16" t="str">
        <f>IFNA(VLOOKUP($A440,Spells!$A$2:$I1002,MATCH(E$3,Spells!$A$1:$I$1,0),FALSE))</f>
        <v/>
      </c>
      <c r="F440" s="16" t="str">
        <f>IFNA(VLOOKUP($A440,Spells!$A$2:$I1002,MATCH(F$3,Spells!$A$1:$I$1,0),FALSE))</f>
        <v/>
      </c>
      <c r="G440" s="16" t="str">
        <f>IFNA(VLOOKUP($A440,Spells!$A$2:$I1002,MATCH(G$3,Spells!$A$1:$I$1,0),FALSE))</f>
        <v/>
      </c>
      <c r="H440" s="16" t="str">
        <f>IFNA(VLOOKUP($A440,Spells!$A$2:$I1002,MATCH(H$3,Spells!$A$1:$I$1,0),FALSE))</f>
        <v/>
      </c>
    </row>
    <row r="441">
      <c r="A441" s="16"/>
      <c r="B441" s="16" t="str">
        <f>IFNA(VLOOKUP($A441,Spells!$A$2:$I1002,MATCH(B$3,Spells!$A$1:$I$1,0),FALSE))</f>
        <v/>
      </c>
      <c r="C441" s="16" t="str">
        <f>IFNA(VLOOKUP($A441,Spells!$A$2:$I1002,MATCH(C$3,Spells!$A$1:$I$1,0),FALSE))</f>
        <v/>
      </c>
      <c r="D441" s="16" t="str">
        <f>IFNA(VLOOKUP($A441,Spells!$A$2:$I1002,MATCH(D$3,Spells!$A$1:$I$1,0),FALSE))</f>
        <v/>
      </c>
      <c r="E441" s="16" t="str">
        <f>IFNA(VLOOKUP($A441,Spells!$A$2:$I1002,MATCH(E$3,Spells!$A$1:$I$1,0),FALSE))</f>
        <v/>
      </c>
      <c r="F441" s="16" t="str">
        <f>IFNA(VLOOKUP($A441,Spells!$A$2:$I1002,MATCH(F$3,Spells!$A$1:$I$1,0),FALSE))</f>
        <v/>
      </c>
      <c r="G441" s="16" t="str">
        <f>IFNA(VLOOKUP($A441,Spells!$A$2:$I1002,MATCH(G$3,Spells!$A$1:$I$1,0),FALSE))</f>
        <v/>
      </c>
      <c r="H441" s="16" t="str">
        <f>IFNA(VLOOKUP($A441,Spells!$A$2:$I1002,MATCH(H$3,Spells!$A$1:$I$1,0),FALSE))</f>
        <v/>
      </c>
    </row>
    <row r="442">
      <c r="A442" s="16"/>
      <c r="B442" s="16" t="str">
        <f>IFNA(VLOOKUP($A442,Spells!$A$2:$I1002,MATCH(B$3,Spells!$A$1:$I$1,0),FALSE))</f>
        <v/>
      </c>
      <c r="C442" s="16" t="str">
        <f>IFNA(VLOOKUP($A442,Spells!$A$2:$I1002,MATCH(C$3,Spells!$A$1:$I$1,0),FALSE))</f>
        <v/>
      </c>
      <c r="D442" s="16" t="str">
        <f>IFNA(VLOOKUP($A442,Spells!$A$2:$I1002,MATCH(D$3,Spells!$A$1:$I$1,0),FALSE))</f>
        <v/>
      </c>
      <c r="E442" s="16" t="str">
        <f>IFNA(VLOOKUP($A442,Spells!$A$2:$I1002,MATCH(E$3,Spells!$A$1:$I$1,0),FALSE))</f>
        <v/>
      </c>
      <c r="F442" s="16" t="str">
        <f>IFNA(VLOOKUP($A442,Spells!$A$2:$I1002,MATCH(F$3,Spells!$A$1:$I$1,0),FALSE))</f>
        <v/>
      </c>
      <c r="G442" s="16" t="str">
        <f>IFNA(VLOOKUP($A442,Spells!$A$2:$I1002,MATCH(G$3,Spells!$A$1:$I$1,0),FALSE))</f>
        <v/>
      </c>
      <c r="H442" s="16" t="str">
        <f>IFNA(VLOOKUP($A442,Spells!$A$2:$I1002,MATCH(H$3,Spells!$A$1:$I$1,0),FALSE))</f>
        <v/>
      </c>
    </row>
    <row r="443">
      <c r="A443" s="16"/>
      <c r="B443" s="16" t="str">
        <f>IFNA(VLOOKUP($A443,Spells!$A$2:$I1002,MATCH(B$3,Spells!$A$1:$I$1,0),FALSE))</f>
        <v/>
      </c>
      <c r="C443" s="16" t="str">
        <f>IFNA(VLOOKUP($A443,Spells!$A$2:$I1002,MATCH(C$3,Spells!$A$1:$I$1,0),FALSE))</f>
        <v/>
      </c>
      <c r="D443" s="16" t="str">
        <f>IFNA(VLOOKUP($A443,Spells!$A$2:$I1002,MATCH(D$3,Spells!$A$1:$I$1,0),FALSE))</f>
        <v/>
      </c>
      <c r="E443" s="16" t="str">
        <f>IFNA(VLOOKUP($A443,Spells!$A$2:$I1002,MATCH(E$3,Spells!$A$1:$I$1,0),FALSE))</f>
        <v/>
      </c>
      <c r="F443" s="16" t="str">
        <f>IFNA(VLOOKUP($A443,Spells!$A$2:$I1002,MATCH(F$3,Spells!$A$1:$I$1,0),FALSE))</f>
        <v/>
      </c>
      <c r="G443" s="16" t="str">
        <f>IFNA(VLOOKUP($A443,Spells!$A$2:$I1002,MATCH(G$3,Spells!$A$1:$I$1,0),FALSE))</f>
        <v/>
      </c>
      <c r="H443" s="16" t="str">
        <f>IFNA(VLOOKUP($A443,Spells!$A$2:$I1002,MATCH(H$3,Spells!$A$1:$I$1,0),FALSE))</f>
        <v/>
      </c>
    </row>
    <row r="444">
      <c r="A444" s="16"/>
      <c r="B444" s="16" t="str">
        <f>IFNA(VLOOKUP($A444,Spells!$A$2:$I1002,MATCH(B$3,Spells!$A$1:$I$1,0),FALSE))</f>
        <v/>
      </c>
      <c r="C444" s="16" t="str">
        <f>IFNA(VLOOKUP($A444,Spells!$A$2:$I1002,MATCH(C$3,Spells!$A$1:$I$1,0),FALSE))</f>
        <v/>
      </c>
      <c r="D444" s="16" t="str">
        <f>IFNA(VLOOKUP($A444,Spells!$A$2:$I1002,MATCH(D$3,Spells!$A$1:$I$1,0),FALSE))</f>
        <v/>
      </c>
      <c r="E444" s="16" t="str">
        <f>IFNA(VLOOKUP($A444,Spells!$A$2:$I1002,MATCH(E$3,Spells!$A$1:$I$1,0),FALSE))</f>
        <v/>
      </c>
      <c r="F444" s="16" t="str">
        <f>IFNA(VLOOKUP($A444,Spells!$A$2:$I1002,MATCH(F$3,Spells!$A$1:$I$1,0),FALSE))</f>
        <v/>
      </c>
      <c r="G444" s="16" t="str">
        <f>IFNA(VLOOKUP($A444,Spells!$A$2:$I1002,MATCH(G$3,Spells!$A$1:$I$1,0),FALSE))</f>
        <v/>
      </c>
      <c r="H444" s="16" t="str">
        <f>IFNA(VLOOKUP($A444,Spells!$A$2:$I1002,MATCH(H$3,Spells!$A$1:$I$1,0),FALSE))</f>
        <v/>
      </c>
    </row>
    <row r="445">
      <c r="A445" s="16"/>
      <c r="B445" s="16" t="str">
        <f>IFNA(VLOOKUP($A445,Spells!$A$2:$I1002,MATCH(B$3,Spells!$A$1:$I$1,0),FALSE))</f>
        <v/>
      </c>
      <c r="C445" s="16" t="str">
        <f>IFNA(VLOOKUP($A445,Spells!$A$2:$I1002,MATCH(C$3,Spells!$A$1:$I$1,0),FALSE))</f>
        <v/>
      </c>
      <c r="D445" s="16" t="str">
        <f>IFNA(VLOOKUP($A445,Spells!$A$2:$I1002,MATCH(D$3,Spells!$A$1:$I$1,0),FALSE))</f>
        <v/>
      </c>
      <c r="E445" s="16" t="str">
        <f>IFNA(VLOOKUP($A445,Spells!$A$2:$I1002,MATCH(E$3,Spells!$A$1:$I$1,0),FALSE))</f>
        <v/>
      </c>
      <c r="F445" s="16" t="str">
        <f>IFNA(VLOOKUP($A445,Spells!$A$2:$I1002,MATCH(F$3,Spells!$A$1:$I$1,0),FALSE))</f>
        <v/>
      </c>
      <c r="G445" s="16" t="str">
        <f>IFNA(VLOOKUP($A445,Spells!$A$2:$I1002,MATCH(G$3,Spells!$A$1:$I$1,0),FALSE))</f>
        <v/>
      </c>
      <c r="H445" s="16" t="str">
        <f>IFNA(VLOOKUP($A445,Spells!$A$2:$I1002,MATCH(H$3,Spells!$A$1:$I$1,0),FALSE))</f>
        <v/>
      </c>
    </row>
    <row r="446">
      <c r="A446" s="16"/>
      <c r="B446" s="16" t="str">
        <f>IFNA(VLOOKUP($A446,Spells!$A$2:$I1002,MATCH(B$3,Spells!$A$1:$I$1,0),FALSE))</f>
        <v/>
      </c>
      <c r="C446" s="16" t="str">
        <f>IFNA(VLOOKUP($A446,Spells!$A$2:$I1002,MATCH(C$3,Spells!$A$1:$I$1,0),FALSE))</f>
        <v/>
      </c>
      <c r="D446" s="16" t="str">
        <f>IFNA(VLOOKUP($A446,Spells!$A$2:$I1002,MATCH(D$3,Spells!$A$1:$I$1,0),FALSE))</f>
        <v/>
      </c>
      <c r="E446" s="16" t="str">
        <f>IFNA(VLOOKUP($A446,Spells!$A$2:$I1002,MATCH(E$3,Spells!$A$1:$I$1,0),FALSE))</f>
        <v/>
      </c>
      <c r="F446" s="16" t="str">
        <f>IFNA(VLOOKUP($A446,Spells!$A$2:$I1002,MATCH(F$3,Spells!$A$1:$I$1,0),FALSE))</f>
        <v/>
      </c>
      <c r="G446" s="16" t="str">
        <f>IFNA(VLOOKUP($A446,Spells!$A$2:$I1002,MATCH(G$3,Spells!$A$1:$I$1,0),FALSE))</f>
        <v/>
      </c>
      <c r="H446" s="16" t="str">
        <f>IFNA(VLOOKUP($A446,Spells!$A$2:$I1002,MATCH(H$3,Spells!$A$1:$I$1,0),FALSE))</f>
        <v/>
      </c>
    </row>
    <row r="447">
      <c r="A447" s="16"/>
      <c r="B447" s="16" t="str">
        <f>IFNA(VLOOKUP($A447,Spells!$A$2:$I1002,MATCH(B$3,Spells!$A$1:$I$1,0),FALSE))</f>
        <v/>
      </c>
      <c r="C447" s="16" t="str">
        <f>IFNA(VLOOKUP($A447,Spells!$A$2:$I1002,MATCH(C$3,Spells!$A$1:$I$1,0),FALSE))</f>
        <v/>
      </c>
      <c r="D447" s="16" t="str">
        <f>IFNA(VLOOKUP($A447,Spells!$A$2:$I1002,MATCH(D$3,Spells!$A$1:$I$1,0),FALSE))</f>
        <v/>
      </c>
      <c r="E447" s="16" t="str">
        <f>IFNA(VLOOKUP($A447,Spells!$A$2:$I1002,MATCH(E$3,Spells!$A$1:$I$1,0),FALSE))</f>
        <v/>
      </c>
      <c r="F447" s="16" t="str">
        <f>IFNA(VLOOKUP($A447,Spells!$A$2:$I1002,MATCH(F$3,Spells!$A$1:$I$1,0),FALSE))</f>
        <v/>
      </c>
      <c r="G447" s="16" t="str">
        <f>IFNA(VLOOKUP($A447,Spells!$A$2:$I1002,MATCH(G$3,Spells!$A$1:$I$1,0),FALSE))</f>
        <v/>
      </c>
      <c r="H447" s="16" t="str">
        <f>IFNA(VLOOKUP($A447,Spells!$A$2:$I1002,MATCH(H$3,Spells!$A$1:$I$1,0),FALSE))</f>
        <v/>
      </c>
    </row>
    <row r="448">
      <c r="A448" s="16"/>
      <c r="B448" s="16" t="str">
        <f>IFNA(VLOOKUP($A448,Spells!$A$2:$I1002,MATCH(B$3,Spells!$A$1:$I$1,0),FALSE))</f>
        <v/>
      </c>
      <c r="C448" s="16" t="str">
        <f>IFNA(VLOOKUP($A448,Spells!$A$2:$I1002,MATCH(C$3,Spells!$A$1:$I$1,0),FALSE))</f>
        <v/>
      </c>
      <c r="D448" s="16" t="str">
        <f>IFNA(VLOOKUP($A448,Spells!$A$2:$I1002,MATCH(D$3,Spells!$A$1:$I$1,0),FALSE))</f>
        <v/>
      </c>
      <c r="E448" s="16" t="str">
        <f>IFNA(VLOOKUP($A448,Spells!$A$2:$I1002,MATCH(E$3,Spells!$A$1:$I$1,0),FALSE))</f>
        <v/>
      </c>
      <c r="F448" s="16" t="str">
        <f>IFNA(VLOOKUP($A448,Spells!$A$2:$I1002,MATCH(F$3,Spells!$A$1:$I$1,0),FALSE))</f>
        <v/>
      </c>
      <c r="G448" s="16" t="str">
        <f>IFNA(VLOOKUP($A448,Spells!$A$2:$I1002,MATCH(G$3,Spells!$A$1:$I$1,0),FALSE))</f>
        <v/>
      </c>
      <c r="H448" s="16" t="str">
        <f>IFNA(VLOOKUP($A448,Spells!$A$2:$I1002,MATCH(H$3,Spells!$A$1:$I$1,0),FALSE))</f>
        <v/>
      </c>
    </row>
    <row r="449">
      <c r="A449" s="16"/>
      <c r="B449" s="16" t="str">
        <f>IFNA(VLOOKUP($A449,Spells!$A$2:$I1002,MATCH(B$3,Spells!$A$1:$I$1,0),FALSE))</f>
        <v/>
      </c>
      <c r="C449" s="16" t="str">
        <f>IFNA(VLOOKUP($A449,Spells!$A$2:$I1002,MATCH(C$3,Spells!$A$1:$I$1,0),FALSE))</f>
        <v/>
      </c>
      <c r="D449" s="16" t="str">
        <f>IFNA(VLOOKUP($A449,Spells!$A$2:$I1002,MATCH(D$3,Spells!$A$1:$I$1,0),FALSE))</f>
        <v/>
      </c>
      <c r="E449" s="16" t="str">
        <f>IFNA(VLOOKUP($A449,Spells!$A$2:$I1002,MATCH(E$3,Spells!$A$1:$I$1,0),FALSE))</f>
        <v/>
      </c>
      <c r="F449" s="16" t="str">
        <f>IFNA(VLOOKUP($A449,Spells!$A$2:$I1002,MATCH(F$3,Spells!$A$1:$I$1,0),FALSE))</f>
        <v/>
      </c>
      <c r="G449" s="16" t="str">
        <f>IFNA(VLOOKUP($A449,Spells!$A$2:$I1002,MATCH(G$3,Spells!$A$1:$I$1,0),FALSE))</f>
        <v/>
      </c>
      <c r="H449" s="16" t="str">
        <f>IFNA(VLOOKUP($A449,Spells!$A$2:$I1002,MATCH(H$3,Spells!$A$1:$I$1,0),FALSE))</f>
        <v/>
      </c>
    </row>
    <row r="450">
      <c r="A450" s="16"/>
      <c r="B450" s="16" t="str">
        <f>IFNA(VLOOKUP($A450,Spells!$A$2:$I1002,MATCH(B$3,Spells!$A$1:$I$1,0),FALSE))</f>
        <v/>
      </c>
      <c r="C450" s="16" t="str">
        <f>IFNA(VLOOKUP($A450,Spells!$A$2:$I1002,MATCH(C$3,Spells!$A$1:$I$1,0),FALSE))</f>
        <v/>
      </c>
      <c r="D450" s="16" t="str">
        <f>IFNA(VLOOKUP($A450,Spells!$A$2:$I1002,MATCH(D$3,Spells!$A$1:$I$1,0),FALSE))</f>
        <v/>
      </c>
      <c r="E450" s="16" t="str">
        <f>IFNA(VLOOKUP($A450,Spells!$A$2:$I1002,MATCH(E$3,Spells!$A$1:$I$1,0),FALSE))</f>
        <v/>
      </c>
      <c r="F450" s="16" t="str">
        <f>IFNA(VLOOKUP($A450,Spells!$A$2:$I1002,MATCH(F$3,Spells!$A$1:$I$1,0),FALSE))</f>
        <v/>
      </c>
      <c r="G450" s="16" t="str">
        <f>IFNA(VLOOKUP($A450,Spells!$A$2:$I1002,MATCH(G$3,Spells!$A$1:$I$1,0),FALSE))</f>
        <v/>
      </c>
      <c r="H450" s="16" t="str">
        <f>IFNA(VLOOKUP($A450,Spells!$A$2:$I1002,MATCH(H$3,Spells!$A$1:$I$1,0),FALSE))</f>
        <v/>
      </c>
    </row>
    <row r="451">
      <c r="A451" s="16"/>
      <c r="B451" s="16" t="str">
        <f>IFNA(VLOOKUP($A451,Spells!$A$2:$I1002,MATCH(B$3,Spells!$A$1:$I$1,0),FALSE))</f>
        <v/>
      </c>
      <c r="C451" s="16" t="str">
        <f>IFNA(VLOOKUP($A451,Spells!$A$2:$I1002,MATCH(C$3,Spells!$A$1:$I$1,0),FALSE))</f>
        <v/>
      </c>
      <c r="D451" s="16" t="str">
        <f>IFNA(VLOOKUP($A451,Spells!$A$2:$I1002,MATCH(D$3,Spells!$A$1:$I$1,0),FALSE))</f>
        <v/>
      </c>
      <c r="E451" s="16" t="str">
        <f>IFNA(VLOOKUP($A451,Spells!$A$2:$I1002,MATCH(E$3,Spells!$A$1:$I$1,0),FALSE))</f>
        <v/>
      </c>
      <c r="F451" s="16" t="str">
        <f>IFNA(VLOOKUP($A451,Spells!$A$2:$I1002,MATCH(F$3,Spells!$A$1:$I$1,0),FALSE))</f>
        <v/>
      </c>
      <c r="G451" s="16" t="str">
        <f>IFNA(VLOOKUP($A451,Spells!$A$2:$I1002,MATCH(G$3,Spells!$A$1:$I$1,0),FALSE))</f>
        <v/>
      </c>
      <c r="H451" s="16" t="str">
        <f>IFNA(VLOOKUP($A451,Spells!$A$2:$I1002,MATCH(H$3,Spells!$A$1:$I$1,0),FALSE))</f>
        <v/>
      </c>
    </row>
    <row r="452">
      <c r="A452" s="16"/>
      <c r="B452" s="16" t="str">
        <f>IFNA(VLOOKUP($A452,Spells!$A$2:$I1002,MATCH(B$3,Spells!$A$1:$I$1,0),FALSE))</f>
        <v/>
      </c>
      <c r="C452" s="16" t="str">
        <f>IFNA(VLOOKUP($A452,Spells!$A$2:$I1002,MATCH(C$3,Spells!$A$1:$I$1,0),FALSE))</f>
        <v/>
      </c>
      <c r="D452" s="16" t="str">
        <f>IFNA(VLOOKUP($A452,Spells!$A$2:$I1002,MATCH(D$3,Spells!$A$1:$I$1,0),FALSE))</f>
        <v/>
      </c>
      <c r="E452" s="16" t="str">
        <f>IFNA(VLOOKUP($A452,Spells!$A$2:$I1002,MATCH(E$3,Spells!$A$1:$I$1,0),FALSE))</f>
        <v/>
      </c>
      <c r="F452" s="16" t="str">
        <f>IFNA(VLOOKUP($A452,Spells!$A$2:$I1002,MATCH(F$3,Spells!$A$1:$I$1,0),FALSE))</f>
        <v/>
      </c>
      <c r="G452" s="16" t="str">
        <f>IFNA(VLOOKUP($A452,Spells!$A$2:$I1002,MATCH(G$3,Spells!$A$1:$I$1,0),FALSE))</f>
        <v/>
      </c>
      <c r="H452" s="16" t="str">
        <f>IFNA(VLOOKUP($A452,Spells!$A$2:$I1002,MATCH(H$3,Spells!$A$1:$I$1,0),FALSE))</f>
        <v/>
      </c>
    </row>
    <row r="453">
      <c r="A453" s="16"/>
      <c r="B453" s="16" t="str">
        <f>IFNA(VLOOKUP($A453,Spells!$A$2:$I1002,MATCH(B$3,Spells!$A$1:$I$1,0),FALSE))</f>
        <v/>
      </c>
      <c r="C453" s="16" t="str">
        <f>IFNA(VLOOKUP($A453,Spells!$A$2:$I1002,MATCH(C$3,Spells!$A$1:$I$1,0),FALSE))</f>
        <v/>
      </c>
      <c r="D453" s="16" t="str">
        <f>IFNA(VLOOKUP($A453,Spells!$A$2:$I1002,MATCH(D$3,Spells!$A$1:$I$1,0),FALSE))</f>
        <v/>
      </c>
      <c r="E453" s="16" t="str">
        <f>IFNA(VLOOKUP($A453,Spells!$A$2:$I1002,MATCH(E$3,Spells!$A$1:$I$1,0),FALSE))</f>
        <v/>
      </c>
      <c r="F453" s="16" t="str">
        <f>IFNA(VLOOKUP($A453,Spells!$A$2:$I1002,MATCH(F$3,Spells!$A$1:$I$1,0),FALSE))</f>
        <v/>
      </c>
      <c r="G453" s="16" t="str">
        <f>IFNA(VLOOKUP($A453,Spells!$A$2:$I1002,MATCH(G$3,Spells!$A$1:$I$1,0),FALSE))</f>
        <v/>
      </c>
      <c r="H453" s="16" t="str">
        <f>IFNA(VLOOKUP($A453,Spells!$A$2:$I1002,MATCH(H$3,Spells!$A$1:$I$1,0),FALSE))</f>
        <v/>
      </c>
    </row>
    <row r="454">
      <c r="A454" s="16"/>
      <c r="B454" s="16" t="str">
        <f>IFNA(VLOOKUP($A454,Spells!$A$2:$I1002,MATCH(B$3,Spells!$A$1:$I$1,0),FALSE))</f>
        <v/>
      </c>
      <c r="C454" s="16" t="str">
        <f>IFNA(VLOOKUP($A454,Spells!$A$2:$I1002,MATCH(C$3,Spells!$A$1:$I$1,0),FALSE))</f>
        <v/>
      </c>
      <c r="D454" s="16" t="str">
        <f>IFNA(VLOOKUP($A454,Spells!$A$2:$I1002,MATCH(D$3,Spells!$A$1:$I$1,0),FALSE))</f>
        <v/>
      </c>
      <c r="E454" s="16" t="str">
        <f>IFNA(VLOOKUP($A454,Spells!$A$2:$I1002,MATCH(E$3,Spells!$A$1:$I$1,0),FALSE))</f>
        <v/>
      </c>
      <c r="F454" s="16" t="str">
        <f>IFNA(VLOOKUP($A454,Spells!$A$2:$I1002,MATCH(F$3,Spells!$A$1:$I$1,0),FALSE))</f>
        <v/>
      </c>
      <c r="G454" s="16" t="str">
        <f>IFNA(VLOOKUP($A454,Spells!$A$2:$I1002,MATCH(G$3,Spells!$A$1:$I$1,0),FALSE))</f>
        <v/>
      </c>
      <c r="H454" s="16" t="str">
        <f>IFNA(VLOOKUP($A454,Spells!$A$2:$I1002,MATCH(H$3,Spells!$A$1:$I$1,0),FALSE))</f>
        <v/>
      </c>
    </row>
    <row r="455">
      <c r="A455" s="16"/>
      <c r="B455" s="16" t="str">
        <f>IFNA(VLOOKUP($A455,Spells!$A$2:$I1002,MATCH(B$3,Spells!$A$1:$I$1,0),FALSE))</f>
        <v/>
      </c>
      <c r="C455" s="16" t="str">
        <f>IFNA(VLOOKUP($A455,Spells!$A$2:$I1002,MATCH(C$3,Spells!$A$1:$I$1,0),FALSE))</f>
        <v/>
      </c>
      <c r="D455" s="16" t="str">
        <f>IFNA(VLOOKUP($A455,Spells!$A$2:$I1002,MATCH(D$3,Spells!$A$1:$I$1,0),FALSE))</f>
        <v/>
      </c>
      <c r="E455" s="16" t="str">
        <f>IFNA(VLOOKUP($A455,Spells!$A$2:$I1002,MATCH(E$3,Spells!$A$1:$I$1,0),FALSE))</f>
        <v/>
      </c>
      <c r="F455" s="16" t="str">
        <f>IFNA(VLOOKUP($A455,Spells!$A$2:$I1002,MATCH(F$3,Spells!$A$1:$I$1,0),FALSE))</f>
        <v/>
      </c>
      <c r="G455" s="16" t="str">
        <f>IFNA(VLOOKUP($A455,Spells!$A$2:$I1002,MATCH(G$3,Spells!$A$1:$I$1,0),FALSE))</f>
        <v/>
      </c>
      <c r="H455" s="16" t="str">
        <f>IFNA(VLOOKUP($A455,Spells!$A$2:$I1002,MATCH(H$3,Spells!$A$1:$I$1,0),FALSE))</f>
        <v/>
      </c>
    </row>
    <row r="456">
      <c r="A456" s="16"/>
      <c r="B456" s="16" t="str">
        <f>IFNA(VLOOKUP($A456,Spells!$A$2:$I1002,MATCH(B$3,Spells!$A$1:$I$1,0),FALSE))</f>
        <v/>
      </c>
      <c r="C456" s="16" t="str">
        <f>IFNA(VLOOKUP($A456,Spells!$A$2:$I1002,MATCH(C$3,Spells!$A$1:$I$1,0),FALSE))</f>
        <v/>
      </c>
      <c r="D456" s="16" t="str">
        <f>IFNA(VLOOKUP($A456,Spells!$A$2:$I1002,MATCH(D$3,Spells!$A$1:$I$1,0),FALSE))</f>
        <v/>
      </c>
      <c r="E456" s="16" t="str">
        <f>IFNA(VLOOKUP($A456,Spells!$A$2:$I1002,MATCH(E$3,Spells!$A$1:$I$1,0),FALSE))</f>
        <v/>
      </c>
      <c r="F456" s="16" t="str">
        <f>IFNA(VLOOKUP($A456,Spells!$A$2:$I1002,MATCH(F$3,Spells!$A$1:$I$1,0),FALSE))</f>
        <v/>
      </c>
      <c r="G456" s="16" t="str">
        <f>IFNA(VLOOKUP($A456,Spells!$A$2:$I1002,MATCH(G$3,Spells!$A$1:$I$1,0),FALSE))</f>
        <v/>
      </c>
      <c r="H456" s="16" t="str">
        <f>IFNA(VLOOKUP($A456,Spells!$A$2:$I1002,MATCH(H$3,Spells!$A$1:$I$1,0),FALSE))</f>
        <v/>
      </c>
    </row>
    <row r="457">
      <c r="A457" s="16"/>
      <c r="B457" s="16" t="str">
        <f>IFNA(VLOOKUP($A457,Spells!$A$2:$I1002,MATCH(B$3,Spells!$A$1:$I$1,0),FALSE))</f>
        <v/>
      </c>
      <c r="C457" s="16" t="str">
        <f>IFNA(VLOOKUP($A457,Spells!$A$2:$I1002,MATCH(C$3,Spells!$A$1:$I$1,0),FALSE))</f>
        <v/>
      </c>
      <c r="D457" s="16" t="str">
        <f>IFNA(VLOOKUP($A457,Spells!$A$2:$I1002,MATCH(D$3,Spells!$A$1:$I$1,0),FALSE))</f>
        <v/>
      </c>
      <c r="E457" s="16" t="str">
        <f>IFNA(VLOOKUP($A457,Spells!$A$2:$I1002,MATCH(E$3,Spells!$A$1:$I$1,0),FALSE))</f>
        <v/>
      </c>
      <c r="F457" s="16" t="str">
        <f>IFNA(VLOOKUP($A457,Spells!$A$2:$I1002,MATCH(F$3,Spells!$A$1:$I$1,0),FALSE))</f>
        <v/>
      </c>
      <c r="G457" s="16" t="str">
        <f>IFNA(VLOOKUP($A457,Spells!$A$2:$I1002,MATCH(G$3,Spells!$A$1:$I$1,0),FALSE))</f>
        <v/>
      </c>
      <c r="H457" s="16" t="str">
        <f>IFNA(VLOOKUP($A457,Spells!$A$2:$I1002,MATCH(H$3,Spells!$A$1:$I$1,0),FALSE))</f>
        <v/>
      </c>
    </row>
    <row r="458">
      <c r="A458" s="16"/>
      <c r="B458" s="16" t="str">
        <f>IFNA(VLOOKUP($A458,Spells!$A$2:$I1002,MATCH(B$3,Spells!$A$1:$I$1,0),FALSE))</f>
        <v/>
      </c>
      <c r="C458" s="16" t="str">
        <f>IFNA(VLOOKUP($A458,Spells!$A$2:$I1002,MATCH(C$3,Spells!$A$1:$I$1,0),FALSE))</f>
        <v/>
      </c>
      <c r="D458" s="16" t="str">
        <f>IFNA(VLOOKUP($A458,Spells!$A$2:$I1002,MATCH(D$3,Spells!$A$1:$I$1,0),FALSE))</f>
        <v/>
      </c>
      <c r="E458" s="16" t="str">
        <f>IFNA(VLOOKUP($A458,Spells!$A$2:$I1002,MATCH(E$3,Spells!$A$1:$I$1,0),FALSE))</f>
        <v/>
      </c>
      <c r="F458" s="16" t="str">
        <f>IFNA(VLOOKUP($A458,Spells!$A$2:$I1002,MATCH(F$3,Spells!$A$1:$I$1,0),FALSE))</f>
        <v/>
      </c>
      <c r="G458" s="16" t="str">
        <f>IFNA(VLOOKUP($A458,Spells!$A$2:$I1002,MATCH(G$3,Spells!$A$1:$I$1,0),FALSE))</f>
        <v/>
      </c>
      <c r="H458" s="16" t="str">
        <f>IFNA(VLOOKUP($A458,Spells!$A$2:$I1002,MATCH(H$3,Spells!$A$1:$I$1,0),FALSE))</f>
        <v/>
      </c>
    </row>
    <row r="459">
      <c r="A459" s="16"/>
      <c r="B459" s="16" t="str">
        <f>IFNA(VLOOKUP($A459,Spells!$A$2:$I1002,MATCH(B$3,Spells!$A$1:$I$1,0),FALSE))</f>
        <v/>
      </c>
      <c r="C459" s="16" t="str">
        <f>IFNA(VLOOKUP($A459,Spells!$A$2:$I1002,MATCH(C$3,Spells!$A$1:$I$1,0),FALSE))</f>
        <v/>
      </c>
      <c r="D459" s="16" t="str">
        <f>IFNA(VLOOKUP($A459,Spells!$A$2:$I1002,MATCH(D$3,Spells!$A$1:$I$1,0),FALSE))</f>
        <v/>
      </c>
      <c r="E459" s="16" t="str">
        <f>IFNA(VLOOKUP($A459,Spells!$A$2:$I1002,MATCH(E$3,Spells!$A$1:$I$1,0),FALSE))</f>
        <v/>
      </c>
      <c r="F459" s="16" t="str">
        <f>IFNA(VLOOKUP($A459,Spells!$A$2:$I1002,MATCH(F$3,Spells!$A$1:$I$1,0),FALSE))</f>
        <v/>
      </c>
      <c r="G459" s="16" t="str">
        <f>IFNA(VLOOKUP($A459,Spells!$A$2:$I1002,MATCH(G$3,Spells!$A$1:$I$1,0),FALSE))</f>
        <v/>
      </c>
      <c r="H459" s="16" t="str">
        <f>IFNA(VLOOKUP($A459,Spells!$A$2:$I1002,MATCH(H$3,Spells!$A$1:$I$1,0),FALSE))</f>
        <v/>
      </c>
    </row>
    <row r="460">
      <c r="A460" s="16"/>
      <c r="B460" s="16" t="str">
        <f>IFNA(VLOOKUP($A460,Spells!$A$2:$I1002,MATCH(B$3,Spells!$A$1:$I$1,0),FALSE))</f>
        <v/>
      </c>
      <c r="C460" s="16" t="str">
        <f>IFNA(VLOOKUP($A460,Spells!$A$2:$I1002,MATCH(C$3,Spells!$A$1:$I$1,0),FALSE))</f>
        <v/>
      </c>
      <c r="D460" s="16" t="str">
        <f>IFNA(VLOOKUP($A460,Spells!$A$2:$I1002,MATCH(D$3,Spells!$A$1:$I$1,0),FALSE))</f>
        <v/>
      </c>
      <c r="E460" s="16" t="str">
        <f>IFNA(VLOOKUP($A460,Spells!$A$2:$I1002,MATCH(E$3,Spells!$A$1:$I$1,0),FALSE))</f>
        <v/>
      </c>
      <c r="F460" s="16" t="str">
        <f>IFNA(VLOOKUP($A460,Spells!$A$2:$I1002,MATCH(F$3,Spells!$A$1:$I$1,0),FALSE))</f>
        <v/>
      </c>
      <c r="G460" s="16" t="str">
        <f>IFNA(VLOOKUP($A460,Spells!$A$2:$I1002,MATCH(G$3,Spells!$A$1:$I$1,0),FALSE))</f>
        <v/>
      </c>
      <c r="H460" s="16" t="str">
        <f>IFNA(VLOOKUP($A460,Spells!$A$2:$I1002,MATCH(H$3,Spells!$A$1:$I$1,0),FALSE))</f>
        <v/>
      </c>
    </row>
    <row r="461">
      <c r="A461" s="16"/>
      <c r="B461" s="16" t="str">
        <f>IFNA(VLOOKUP($A461,Spells!$A$2:$I1002,MATCH(B$3,Spells!$A$1:$I$1,0),FALSE))</f>
        <v/>
      </c>
      <c r="C461" s="16" t="str">
        <f>IFNA(VLOOKUP($A461,Spells!$A$2:$I1002,MATCH(C$3,Spells!$A$1:$I$1,0),FALSE))</f>
        <v/>
      </c>
      <c r="D461" s="16" t="str">
        <f>IFNA(VLOOKUP($A461,Spells!$A$2:$I1002,MATCH(D$3,Spells!$A$1:$I$1,0),FALSE))</f>
        <v/>
      </c>
      <c r="E461" s="16" t="str">
        <f>IFNA(VLOOKUP($A461,Spells!$A$2:$I1002,MATCH(E$3,Spells!$A$1:$I$1,0),FALSE))</f>
        <v/>
      </c>
      <c r="F461" s="16" t="str">
        <f>IFNA(VLOOKUP($A461,Spells!$A$2:$I1002,MATCH(F$3,Spells!$A$1:$I$1,0),FALSE))</f>
        <v/>
      </c>
      <c r="G461" s="16" t="str">
        <f>IFNA(VLOOKUP($A461,Spells!$A$2:$I1002,MATCH(G$3,Spells!$A$1:$I$1,0),FALSE))</f>
        <v/>
      </c>
      <c r="H461" s="16" t="str">
        <f>IFNA(VLOOKUP($A461,Spells!$A$2:$I1002,MATCH(H$3,Spells!$A$1:$I$1,0),FALSE))</f>
        <v/>
      </c>
    </row>
    <row r="462">
      <c r="A462" s="16"/>
      <c r="B462" s="16" t="str">
        <f>IFNA(VLOOKUP($A462,Spells!$A$2:$I1002,MATCH(B$3,Spells!$A$1:$I$1,0),FALSE))</f>
        <v/>
      </c>
      <c r="C462" s="16" t="str">
        <f>IFNA(VLOOKUP($A462,Spells!$A$2:$I1002,MATCH(C$3,Spells!$A$1:$I$1,0),FALSE))</f>
        <v/>
      </c>
      <c r="D462" s="16" t="str">
        <f>IFNA(VLOOKUP($A462,Spells!$A$2:$I1002,MATCH(D$3,Spells!$A$1:$I$1,0),FALSE))</f>
        <v/>
      </c>
      <c r="E462" s="16" t="str">
        <f>IFNA(VLOOKUP($A462,Spells!$A$2:$I1002,MATCH(E$3,Spells!$A$1:$I$1,0),FALSE))</f>
        <v/>
      </c>
      <c r="F462" s="16" t="str">
        <f>IFNA(VLOOKUP($A462,Spells!$A$2:$I1002,MATCH(F$3,Spells!$A$1:$I$1,0),FALSE))</f>
        <v/>
      </c>
      <c r="G462" s="16" t="str">
        <f>IFNA(VLOOKUP($A462,Spells!$A$2:$I1002,MATCH(G$3,Spells!$A$1:$I$1,0),FALSE))</f>
        <v/>
      </c>
      <c r="H462" s="16" t="str">
        <f>IFNA(VLOOKUP($A462,Spells!$A$2:$I1002,MATCH(H$3,Spells!$A$1:$I$1,0),FALSE))</f>
        <v/>
      </c>
    </row>
    <row r="463">
      <c r="A463" s="16"/>
      <c r="B463" s="16" t="str">
        <f>IFNA(VLOOKUP($A463,Spells!$A$2:$I1002,MATCH(B$3,Spells!$A$1:$I$1,0),FALSE))</f>
        <v/>
      </c>
      <c r="C463" s="16" t="str">
        <f>IFNA(VLOOKUP($A463,Spells!$A$2:$I1002,MATCH(C$3,Spells!$A$1:$I$1,0),FALSE))</f>
        <v/>
      </c>
      <c r="D463" s="16" t="str">
        <f>IFNA(VLOOKUP($A463,Spells!$A$2:$I1002,MATCH(D$3,Spells!$A$1:$I$1,0),FALSE))</f>
        <v/>
      </c>
      <c r="E463" s="16" t="str">
        <f>IFNA(VLOOKUP($A463,Spells!$A$2:$I1002,MATCH(E$3,Spells!$A$1:$I$1,0),FALSE))</f>
        <v/>
      </c>
      <c r="F463" s="16" t="str">
        <f>IFNA(VLOOKUP($A463,Spells!$A$2:$I1002,MATCH(F$3,Spells!$A$1:$I$1,0),FALSE))</f>
        <v/>
      </c>
      <c r="G463" s="16" t="str">
        <f>IFNA(VLOOKUP($A463,Spells!$A$2:$I1002,MATCH(G$3,Spells!$A$1:$I$1,0),FALSE))</f>
        <v/>
      </c>
      <c r="H463" s="16" t="str">
        <f>IFNA(VLOOKUP($A463,Spells!$A$2:$I1002,MATCH(H$3,Spells!$A$1:$I$1,0),FALSE))</f>
        <v/>
      </c>
    </row>
    <row r="464">
      <c r="A464" s="16"/>
      <c r="B464" s="16" t="str">
        <f>IFNA(VLOOKUP($A464,Spells!$A$2:$I1002,MATCH(B$3,Spells!$A$1:$I$1,0),FALSE))</f>
        <v/>
      </c>
      <c r="C464" s="16" t="str">
        <f>IFNA(VLOOKUP($A464,Spells!$A$2:$I1002,MATCH(C$3,Spells!$A$1:$I$1,0),FALSE))</f>
        <v/>
      </c>
      <c r="D464" s="16" t="str">
        <f>IFNA(VLOOKUP($A464,Spells!$A$2:$I1002,MATCH(D$3,Spells!$A$1:$I$1,0),FALSE))</f>
        <v/>
      </c>
      <c r="E464" s="16" t="str">
        <f>IFNA(VLOOKUP($A464,Spells!$A$2:$I1002,MATCH(E$3,Spells!$A$1:$I$1,0),FALSE))</f>
        <v/>
      </c>
      <c r="F464" s="16" t="str">
        <f>IFNA(VLOOKUP($A464,Spells!$A$2:$I1002,MATCH(F$3,Spells!$A$1:$I$1,0),FALSE))</f>
        <v/>
      </c>
      <c r="G464" s="16" t="str">
        <f>IFNA(VLOOKUP($A464,Spells!$A$2:$I1002,MATCH(G$3,Spells!$A$1:$I$1,0),FALSE))</f>
        <v/>
      </c>
      <c r="H464" s="16" t="str">
        <f>IFNA(VLOOKUP($A464,Spells!$A$2:$I1002,MATCH(H$3,Spells!$A$1:$I$1,0),FALSE))</f>
        <v/>
      </c>
    </row>
    <row r="465">
      <c r="A465" s="16"/>
      <c r="B465" s="16" t="str">
        <f>IFNA(VLOOKUP($A465,Spells!$A$2:$I1002,MATCH(B$3,Spells!$A$1:$I$1,0),FALSE))</f>
        <v/>
      </c>
      <c r="C465" s="16" t="str">
        <f>IFNA(VLOOKUP($A465,Spells!$A$2:$I1002,MATCH(C$3,Spells!$A$1:$I$1,0),FALSE))</f>
        <v/>
      </c>
      <c r="D465" s="16" t="str">
        <f>IFNA(VLOOKUP($A465,Spells!$A$2:$I1002,MATCH(D$3,Spells!$A$1:$I$1,0),FALSE))</f>
        <v/>
      </c>
      <c r="E465" s="16" t="str">
        <f>IFNA(VLOOKUP($A465,Spells!$A$2:$I1002,MATCH(E$3,Spells!$A$1:$I$1,0),FALSE))</f>
        <v/>
      </c>
      <c r="F465" s="16" t="str">
        <f>IFNA(VLOOKUP($A465,Spells!$A$2:$I1002,MATCH(F$3,Spells!$A$1:$I$1,0),FALSE))</f>
        <v/>
      </c>
      <c r="G465" s="16" t="str">
        <f>IFNA(VLOOKUP($A465,Spells!$A$2:$I1002,MATCH(G$3,Spells!$A$1:$I$1,0),FALSE))</f>
        <v/>
      </c>
      <c r="H465" s="16" t="str">
        <f>IFNA(VLOOKUP($A465,Spells!$A$2:$I1002,MATCH(H$3,Spells!$A$1:$I$1,0),FALSE))</f>
        <v/>
      </c>
    </row>
    <row r="466">
      <c r="A466" s="16"/>
      <c r="B466" s="16" t="str">
        <f>IFNA(VLOOKUP($A466,Spells!$A$2:$I1002,MATCH(B$3,Spells!$A$1:$I$1,0),FALSE))</f>
        <v/>
      </c>
      <c r="C466" s="16" t="str">
        <f>IFNA(VLOOKUP($A466,Spells!$A$2:$I1002,MATCH(C$3,Spells!$A$1:$I$1,0),FALSE))</f>
        <v/>
      </c>
      <c r="D466" s="16" t="str">
        <f>IFNA(VLOOKUP($A466,Spells!$A$2:$I1002,MATCH(D$3,Spells!$A$1:$I$1,0),FALSE))</f>
        <v/>
      </c>
      <c r="E466" s="16" t="str">
        <f>IFNA(VLOOKUP($A466,Spells!$A$2:$I1002,MATCH(E$3,Spells!$A$1:$I$1,0),FALSE))</f>
        <v/>
      </c>
      <c r="F466" s="16" t="str">
        <f>IFNA(VLOOKUP($A466,Spells!$A$2:$I1002,MATCH(F$3,Spells!$A$1:$I$1,0),FALSE))</f>
        <v/>
      </c>
      <c r="G466" s="16" t="str">
        <f>IFNA(VLOOKUP($A466,Spells!$A$2:$I1002,MATCH(G$3,Spells!$A$1:$I$1,0),FALSE))</f>
        <v/>
      </c>
      <c r="H466" s="16" t="str">
        <f>IFNA(VLOOKUP($A466,Spells!$A$2:$I1002,MATCH(H$3,Spells!$A$1:$I$1,0),FALSE))</f>
        <v/>
      </c>
    </row>
    <row r="467">
      <c r="A467" s="16"/>
      <c r="B467" s="16" t="str">
        <f>IFNA(VLOOKUP($A467,Spells!$A$2:$I1002,MATCH(B$3,Spells!$A$1:$I$1,0),FALSE))</f>
        <v/>
      </c>
      <c r="C467" s="16" t="str">
        <f>IFNA(VLOOKUP($A467,Spells!$A$2:$I1002,MATCH(C$3,Spells!$A$1:$I$1,0),FALSE))</f>
        <v/>
      </c>
      <c r="D467" s="16" t="str">
        <f>IFNA(VLOOKUP($A467,Spells!$A$2:$I1002,MATCH(D$3,Spells!$A$1:$I$1,0),FALSE))</f>
        <v/>
      </c>
      <c r="E467" s="16" t="str">
        <f>IFNA(VLOOKUP($A467,Spells!$A$2:$I1002,MATCH(E$3,Spells!$A$1:$I$1,0),FALSE))</f>
        <v/>
      </c>
      <c r="F467" s="16" t="str">
        <f>IFNA(VLOOKUP($A467,Spells!$A$2:$I1002,MATCH(F$3,Spells!$A$1:$I$1,0),FALSE))</f>
        <v/>
      </c>
      <c r="G467" s="16" t="str">
        <f>IFNA(VLOOKUP($A467,Spells!$A$2:$I1002,MATCH(G$3,Spells!$A$1:$I$1,0),FALSE))</f>
        <v/>
      </c>
      <c r="H467" s="16" t="str">
        <f>IFNA(VLOOKUP($A467,Spells!$A$2:$I1002,MATCH(H$3,Spells!$A$1:$I$1,0),FALSE))</f>
        <v/>
      </c>
    </row>
    <row r="468">
      <c r="A468" s="16"/>
      <c r="B468" s="16" t="str">
        <f>IFNA(VLOOKUP($A468,Spells!$A$2:$I1002,MATCH(B$3,Spells!$A$1:$I$1,0),FALSE))</f>
        <v/>
      </c>
      <c r="C468" s="16" t="str">
        <f>IFNA(VLOOKUP($A468,Spells!$A$2:$I1002,MATCH(C$3,Spells!$A$1:$I$1,0),FALSE))</f>
        <v/>
      </c>
      <c r="D468" s="16" t="str">
        <f>IFNA(VLOOKUP($A468,Spells!$A$2:$I1002,MATCH(D$3,Spells!$A$1:$I$1,0),FALSE))</f>
        <v/>
      </c>
      <c r="E468" s="16" t="str">
        <f>IFNA(VLOOKUP($A468,Spells!$A$2:$I1002,MATCH(E$3,Spells!$A$1:$I$1,0),FALSE))</f>
        <v/>
      </c>
      <c r="F468" s="16" t="str">
        <f>IFNA(VLOOKUP($A468,Spells!$A$2:$I1002,MATCH(F$3,Spells!$A$1:$I$1,0),FALSE))</f>
        <v/>
      </c>
      <c r="G468" s="16" t="str">
        <f>IFNA(VLOOKUP($A468,Spells!$A$2:$I1002,MATCH(G$3,Spells!$A$1:$I$1,0),FALSE))</f>
        <v/>
      </c>
      <c r="H468" s="16" t="str">
        <f>IFNA(VLOOKUP($A468,Spells!$A$2:$I1002,MATCH(H$3,Spells!$A$1:$I$1,0),FALSE))</f>
        <v/>
      </c>
    </row>
    <row r="469">
      <c r="A469" s="16"/>
      <c r="B469" s="16" t="str">
        <f>IFNA(VLOOKUP($A469,Spells!$A$2:$I1002,MATCH(B$3,Spells!$A$1:$I$1,0),FALSE))</f>
        <v/>
      </c>
      <c r="C469" s="16" t="str">
        <f>IFNA(VLOOKUP($A469,Spells!$A$2:$I1002,MATCH(C$3,Spells!$A$1:$I$1,0),FALSE))</f>
        <v/>
      </c>
      <c r="D469" s="16" t="str">
        <f>IFNA(VLOOKUP($A469,Spells!$A$2:$I1002,MATCH(D$3,Spells!$A$1:$I$1,0),FALSE))</f>
        <v/>
      </c>
      <c r="E469" s="16" t="str">
        <f>IFNA(VLOOKUP($A469,Spells!$A$2:$I1002,MATCH(E$3,Spells!$A$1:$I$1,0),FALSE))</f>
        <v/>
      </c>
      <c r="F469" s="16" t="str">
        <f>IFNA(VLOOKUP($A469,Spells!$A$2:$I1002,MATCH(F$3,Spells!$A$1:$I$1,0),FALSE))</f>
        <v/>
      </c>
      <c r="G469" s="16" t="str">
        <f>IFNA(VLOOKUP($A469,Spells!$A$2:$I1002,MATCH(G$3,Spells!$A$1:$I$1,0),FALSE))</f>
        <v/>
      </c>
      <c r="H469" s="16" t="str">
        <f>IFNA(VLOOKUP($A469,Spells!$A$2:$I1002,MATCH(H$3,Spells!$A$1:$I$1,0),FALSE))</f>
        <v/>
      </c>
    </row>
    <row r="470">
      <c r="A470" s="16"/>
      <c r="B470" s="16" t="str">
        <f>IFNA(VLOOKUP($A470,Spells!$A$2:$I1002,MATCH(B$3,Spells!$A$1:$I$1,0),FALSE))</f>
        <v/>
      </c>
      <c r="C470" s="16" t="str">
        <f>IFNA(VLOOKUP($A470,Spells!$A$2:$I1002,MATCH(C$3,Spells!$A$1:$I$1,0),FALSE))</f>
        <v/>
      </c>
      <c r="D470" s="16" t="str">
        <f>IFNA(VLOOKUP($A470,Spells!$A$2:$I1002,MATCH(D$3,Spells!$A$1:$I$1,0),FALSE))</f>
        <v/>
      </c>
      <c r="E470" s="16" t="str">
        <f>IFNA(VLOOKUP($A470,Spells!$A$2:$I1002,MATCH(E$3,Spells!$A$1:$I$1,0),FALSE))</f>
        <v/>
      </c>
      <c r="F470" s="16" t="str">
        <f>IFNA(VLOOKUP($A470,Spells!$A$2:$I1002,MATCH(F$3,Spells!$A$1:$I$1,0),FALSE))</f>
        <v/>
      </c>
      <c r="G470" s="16" t="str">
        <f>IFNA(VLOOKUP($A470,Spells!$A$2:$I1002,MATCH(G$3,Spells!$A$1:$I$1,0),FALSE))</f>
        <v/>
      </c>
      <c r="H470" s="16" t="str">
        <f>IFNA(VLOOKUP($A470,Spells!$A$2:$I1002,MATCH(H$3,Spells!$A$1:$I$1,0),FALSE))</f>
        <v/>
      </c>
    </row>
    <row r="471">
      <c r="A471" s="16"/>
      <c r="B471" s="16" t="str">
        <f>IFNA(VLOOKUP($A471,Spells!$A$2:$I1002,MATCH(B$3,Spells!$A$1:$I$1,0),FALSE))</f>
        <v/>
      </c>
      <c r="C471" s="16" t="str">
        <f>IFNA(VLOOKUP($A471,Spells!$A$2:$I1002,MATCH(C$3,Spells!$A$1:$I$1,0),FALSE))</f>
        <v/>
      </c>
      <c r="D471" s="16" t="str">
        <f>IFNA(VLOOKUP($A471,Spells!$A$2:$I1002,MATCH(D$3,Spells!$A$1:$I$1,0),FALSE))</f>
        <v/>
      </c>
      <c r="E471" s="16" t="str">
        <f>IFNA(VLOOKUP($A471,Spells!$A$2:$I1002,MATCH(E$3,Spells!$A$1:$I$1,0),FALSE))</f>
        <v/>
      </c>
      <c r="F471" s="16" t="str">
        <f>IFNA(VLOOKUP($A471,Spells!$A$2:$I1002,MATCH(F$3,Spells!$A$1:$I$1,0),FALSE))</f>
        <v/>
      </c>
      <c r="G471" s="16" t="str">
        <f>IFNA(VLOOKUP($A471,Spells!$A$2:$I1002,MATCH(G$3,Spells!$A$1:$I$1,0),FALSE))</f>
        <v/>
      </c>
      <c r="H471" s="16" t="str">
        <f>IFNA(VLOOKUP($A471,Spells!$A$2:$I1002,MATCH(H$3,Spells!$A$1:$I$1,0),FALSE))</f>
        <v/>
      </c>
    </row>
    <row r="472">
      <c r="A472" s="16"/>
      <c r="B472" s="16" t="str">
        <f>IFNA(VLOOKUP($A472,Spells!$A$2:$I1002,MATCH(B$3,Spells!$A$1:$I$1,0),FALSE))</f>
        <v/>
      </c>
      <c r="C472" s="16" t="str">
        <f>IFNA(VLOOKUP($A472,Spells!$A$2:$I1002,MATCH(C$3,Spells!$A$1:$I$1,0),FALSE))</f>
        <v/>
      </c>
      <c r="D472" s="16" t="str">
        <f>IFNA(VLOOKUP($A472,Spells!$A$2:$I1002,MATCH(D$3,Spells!$A$1:$I$1,0),FALSE))</f>
        <v/>
      </c>
      <c r="E472" s="16" t="str">
        <f>IFNA(VLOOKUP($A472,Spells!$A$2:$I1002,MATCH(E$3,Spells!$A$1:$I$1,0),FALSE))</f>
        <v/>
      </c>
      <c r="F472" s="16" t="str">
        <f>IFNA(VLOOKUP($A472,Spells!$A$2:$I1002,MATCH(F$3,Spells!$A$1:$I$1,0),FALSE))</f>
        <v/>
      </c>
      <c r="G472" s="16" t="str">
        <f>IFNA(VLOOKUP($A472,Spells!$A$2:$I1002,MATCH(G$3,Spells!$A$1:$I$1,0),FALSE))</f>
        <v/>
      </c>
      <c r="H472" s="16" t="str">
        <f>IFNA(VLOOKUP($A472,Spells!$A$2:$I1002,MATCH(H$3,Spells!$A$1:$I$1,0),FALSE))</f>
        <v/>
      </c>
    </row>
    <row r="473">
      <c r="A473" s="16"/>
      <c r="B473" s="16" t="str">
        <f>IFNA(VLOOKUP($A473,Spells!$A$2:$I1002,MATCH(B$3,Spells!$A$1:$I$1,0),FALSE))</f>
        <v/>
      </c>
      <c r="C473" s="16" t="str">
        <f>IFNA(VLOOKUP($A473,Spells!$A$2:$I1002,MATCH(C$3,Spells!$A$1:$I$1,0),FALSE))</f>
        <v/>
      </c>
      <c r="D473" s="16" t="str">
        <f>IFNA(VLOOKUP($A473,Spells!$A$2:$I1002,MATCH(D$3,Spells!$A$1:$I$1,0),FALSE))</f>
        <v/>
      </c>
      <c r="E473" s="16" t="str">
        <f>IFNA(VLOOKUP($A473,Spells!$A$2:$I1002,MATCH(E$3,Spells!$A$1:$I$1,0),FALSE))</f>
        <v/>
      </c>
      <c r="F473" s="16" t="str">
        <f>IFNA(VLOOKUP($A473,Spells!$A$2:$I1002,MATCH(F$3,Spells!$A$1:$I$1,0),FALSE))</f>
        <v/>
      </c>
      <c r="G473" s="16" t="str">
        <f>IFNA(VLOOKUP($A473,Spells!$A$2:$I1002,MATCH(G$3,Spells!$A$1:$I$1,0),FALSE))</f>
        <v/>
      </c>
      <c r="H473" s="16" t="str">
        <f>IFNA(VLOOKUP($A473,Spells!$A$2:$I1002,MATCH(H$3,Spells!$A$1:$I$1,0),FALSE))</f>
        <v/>
      </c>
    </row>
    <row r="474">
      <c r="A474" s="16"/>
      <c r="B474" s="16" t="str">
        <f>IFNA(VLOOKUP($A474,Spells!$A$2:$I1002,MATCH(B$3,Spells!$A$1:$I$1,0),FALSE))</f>
        <v/>
      </c>
      <c r="C474" s="16" t="str">
        <f>IFNA(VLOOKUP($A474,Spells!$A$2:$I1002,MATCH(C$3,Spells!$A$1:$I$1,0),FALSE))</f>
        <v/>
      </c>
      <c r="D474" s="16" t="str">
        <f>IFNA(VLOOKUP($A474,Spells!$A$2:$I1002,MATCH(D$3,Spells!$A$1:$I$1,0),FALSE))</f>
        <v/>
      </c>
      <c r="E474" s="16" t="str">
        <f>IFNA(VLOOKUP($A474,Spells!$A$2:$I1002,MATCH(E$3,Spells!$A$1:$I$1,0),FALSE))</f>
        <v/>
      </c>
      <c r="F474" s="16" t="str">
        <f>IFNA(VLOOKUP($A474,Spells!$A$2:$I1002,MATCH(F$3,Spells!$A$1:$I$1,0),FALSE))</f>
        <v/>
      </c>
      <c r="G474" s="16" t="str">
        <f>IFNA(VLOOKUP($A474,Spells!$A$2:$I1002,MATCH(G$3,Spells!$A$1:$I$1,0),FALSE))</f>
        <v/>
      </c>
      <c r="H474" s="16" t="str">
        <f>IFNA(VLOOKUP($A474,Spells!$A$2:$I1002,MATCH(H$3,Spells!$A$1:$I$1,0),FALSE))</f>
        <v/>
      </c>
    </row>
    <row r="475">
      <c r="A475" s="16"/>
      <c r="B475" s="16" t="str">
        <f>IFNA(VLOOKUP($A475,Spells!$A$2:$I1002,MATCH(B$3,Spells!$A$1:$I$1,0),FALSE))</f>
        <v/>
      </c>
      <c r="C475" s="16" t="str">
        <f>IFNA(VLOOKUP($A475,Spells!$A$2:$I1002,MATCH(C$3,Spells!$A$1:$I$1,0),FALSE))</f>
        <v/>
      </c>
      <c r="D475" s="16" t="str">
        <f>IFNA(VLOOKUP($A475,Spells!$A$2:$I1002,MATCH(D$3,Spells!$A$1:$I$1,0),FALSE))</f>
        <v/>
      </c>
      <c r="E475" s="16" t="str">
        <f>IFNA(VLOOKUP($A475,Spells!$A$2:$I1002,MATCH(E$3,Spells!$A$1:$I$1,0),FALSE))</f>
        <v/>
      </c>
      <c r="F475" s="16" t="str">
        <f>IFNA(VLOOKUP($A475,Spells!$A$2:$I1002,MATCH(F$3,Spells!$A$1:$I$1,0),FALSE))</f>
        <v/>
      </c>
      <c r="G475" s="16" t="str">
        <f>IFNA(VLOOKUP($A475,Spells!$A$2:$I1002,MATCH(G$3,Spells!$A$1:$I$1,0),FALSE))</f>
        <v/>
      </c>
      <c r="H475" s="16" t="str">
        <f>IFNA(VLOOKUP($A475,Spells!$A$2:$I1002,MATCH(H$3,Spells!$A$1:$I$1,0),FALSE))</f>
        <v/>
      </c>
    </row>
    <row r="476">
      <c r="A476" s="16"/>
      <c r="B476" s="16" t="str">
        <f>IFNA(VLOOKUP($A476,Spells!$A$2:$I1002,MATCH(B$3,Spells!$A$1:$I$1,0),FALSE))</f>
        <v/>
      </c>
      <c r="C476" s="16" t="str">
        <f>IFNA(VLOOKUP($A476,Spells!$A$2:$I1002,MATCH(C$3,Spells!$A$1:$I$1,0),FALSE))</f>
        <v/>
      </c>
      <c r="D476" s="16" t="str">
        <f>IFNA(VLOOKUP($A476,Spells!$A$2:$I1002,MATCH(D$3,Spells!$A$1:$I$1,0),FALSE))</f>
        <v/>
      </c>
      <c r="E476" s="16" t="str">
        <f>IFNA(VLOOKUP($A476,Spells!$A$2:$I1002,MATCH(E$3,Spells!$A$1:$I$1,0),FALSE))</f>
        <v/>
      </c>
      <c r="F476" s="16" t="str">
        <f>IFNA(VLOOKUP($A476,Spells!$A$2:$I1002,MATCH(F$3,Spells!$A$1:$I$1,0),FALSE))</f>
        <v/>
      </c>
      <c r="G476" s="16" t="str">
        <f>IFNA(VLOOKUP($A476,Spells!$A$2:$I1002,MATCH(G$3,Spells!$A$1:$I$1,0),FALSE))</f>
        <v/>
      </c>
      <c r="H476" s="16" t="str">
        <f>IFNA(VLOOKUP($A476,Spells!$A$2:$I1002,MATCH(H$3,Spells!$A$1:$I$1,0),FALSE))</f>
        <v/>
      </c>
    </row>
    <row r="477">
      <c r="A477" s="16"/>
      <c r="B477" s="16" t="str">
        <f>IFNA(VLOOKUP($A477,Spells!$A$2:$I1002,MATCH(B$3,Spells!$A$1:$I$1,0),FALSE))</f>
        <v/>
      </c>
      <c r="C477" s="16" t="str">
        <f>IFNA(VLOOKUP($A477,Spells!$A$2:$I1002,MATCH(C$3,Spells!$A$1:$I$1,0),FALSE))</f>
        <v/>
      </c>
      <c r="D477" s="16" t="str">
        <f>IFNA(VLOOKUP($A477,Spells!$A$2:$I1002,MATCH(D$3,Spells!$A$1:$I$1,0),FALSE))</f>
        <v/>
      </c>
      <c r="E477" s="16" t="str">
        <f>IFNA(VLOOKUP($A477,Spells!$A$2:$I1002,MATCH(E$3,Spells!$A$1:$I$1,0),FALSE))</f>
        <v/>
      </c>
      <c r="F477" s="16" t="str">
        <f>IFNA(VLOOKUP($A477,Spells!$A$2:$I1002,MATCH(F$3,Spells!$A$1:$I$1,0),FALSE))</f>
        <v/>
      </c>
      <c r="G477" s="16" t="str">
        <f>IFNA(VLOOKUP($A477,Spells!$A$2:$I1002,MATCH(G$3,Spells!$A$1:$I$1,0),FALSE))</f>
        <v/>
      </c>
      <c r="H477" s="16" t="str">
        <f>IFNA(VLOOKUP($A477,Spells!$A$2:$I1002,MATCH(H$3,Spells!$A$1:$I$1,0),FALSE))</f>
        <v/>
      </c>
    </row>
    <row r="478">
      <c r="A478" s="16"/>
      <c r="B478" s="16" t="str">
        <f>IFNA(VLOOKUP($A478,Spells!$A$2:$I1002,MATCH(B$3,Spells!$A$1:$I$1,0),FALSE))</f>
        <v/>
      </c>
      <c r="C478" s="16" t="str">
        <f>IFNA(VLOOKUP($A478,Spells!$A$2:$I1002,MATCH(C$3,Spells!$A$1:$I$1,0),FALSE))</f>
        <v/>
      </c>
      <c r="D478" s="16" t="str">
        <f>IFNA(VLOOKUP($A478,Spells!$A$2:$I1002,MATCH(D$3,Spells!$A$1:$I$1,0),FALSE))</f>
        <v/>
      </c>
      <c r="E478" s="16" t="str">
        <f>IFNA(VLOOKUP($A478,Spells!$A$2:$I1002,MATCH(E$3,Spells!$A$1:$I$1,0),FALSE))</f>
        <v/>
      </c>
      <c r="F478" s="16" t="str">
        <f>IFNA(VLOOKUP($A478,Spells!$A$2:$I1002,MATCH(F$3,Spells!$A$1:$I$1,0),FALSE))</f>
        <v/>
      </c>
      <c r="G478" s="16" t="str">
        <f>IFNA(VLOOKUP($A478,Spells!$A$2:$I1002,MATCH(G$3,Spells!$A$1:$I$1,0),FALSE))</f>
        <v/>
      </c>
      <c r="H478" s="16" t="str">
        <f>IFNA(VLOOKUP($A478,Spells!$A$2:$I1002,MATCH(H$3,Spells!$A$1:$I$1,0),FALSE))</f>
        <v/>
      </c>
    </row>
    <row r="479">
      <c r="A479" s="16"/>
      <c r="B479" s="16" t="str">
        <f>IFNA(VLOOKUP($A479,Spells!$A$2:$I1002,MATCH(B$3,Spells!$A$1:$I$1,0),FALSE))</f>
        <v/>
      </c>
      <c r="C479" s="16" t="str">
        <f>IFNA(VLOOKUP($A479,Spells!$A$2:$I1002,MATCH(C$3,Spells!$A$1:$I$1,0),FALSE))</f>
        <v/>
      </c>
      <c r="D479" s="16" t="str">
        <f>IFNA(VLOOKUP($A479,Spells!$A$2:$I1002,MATCH(D$3,Spells!$A$1:$I$1,0),FALSE))</f>
        <v/>
      </c>
      <c r="E479" s="16" t="str">
        <f>IFNA(VLOOKUP($A479,Spells!$A$2:$I1002,MATCH(E$3,Spells!$A$1:$I$1,0),FALSE))</f>
        <v/>
      </c>
      <c r="F479" s="16" t="str">
        <f>IFNA(VLOOKUP($A479,Spells!$A$2:$I1002,MATCH(F$3,Spells!$A$1:$I$1,0),FALSE))</f>
        <v/>
      </c>
      <c r="G479" s="16" t="str">
        <f>IFNA(VLOOKUP($A479,Spells!$A$2:$I1002,MATCH(G$3,Spells!$A$1:$I$1,0),FALSE))</f>
        <v/>
      </c>
      <c r="H479" s="16" t="str">
        <f>IFNA(VLOOKUP($A479,Spells!$A$2:$I1002,MATCH(H$3,Spells!$A$1:$I$1,0),FALSE))</f>
        <v/>
      </c>
    </row>
    <row r="480">
      <c r="A480" s="16"/>
      <c r="B480" s="16" t="str">
        <f>IFNA(VLOOKUP($A480,Spells!$A$2:$I1002,MATCH(B$3,Spells!$A$1:$I$1,0),FALSE))</f>
        <v/>
      </c>
      <c r="C480" s="16" t="str">
        <f>IFNA(VLOOKUP($A480,Spells!$A$2:$I1002,MATCH(C$3,Spells!$A$1:$I$1,0),FALSE))</f>
        <v/>
      </c>
      <c r="D480" s="16" t="str">
        <f>IFNA(VLOOKUP($A480,Spells!$A$2:$I1002,MATCH(D$3,Spells!$A$1:$I$1,0),FALSE))</f>
        <v/>
      </c>
      <c r="E480" s="16" t="str">
        <f>IFNA(VLOOKUP($A480,Spells!$A$2:$I1002,MATCH(E$3,Spells!$A$1:$I$1,0),FALSE))</f>
        <v/>
      </c>
      <c r="F480" s="16" t="str">
        <f>IFNA(VLOOKUP($A480,Spells!$A$2:$I1002,MATCH(F$3,Spells!$A$1:$I$1,0),FALSE))</f>
        <v/>
      </c>
      <c r="G480" s="16" t="str">
        <f>IFNA(VLOOKUP($A480,Spells!$A$2:$I1002,MATCH(G$3,Spells!$A$1:$I$1,0),FALSE))</f>
        <v/>
      </c>
      <c r="H480" s="16" t="str">
        <f>IFNA(VLOOKUP($A480,Spells!$A$2:$I1002,MATCH(H$3,Spells!$A$1:$I$1,0),FALSE))</f>
        <v/>
      </c>
    </row>
    <row r="481">
      <c r="A481" s="16"/>
      <c r="B481" s="16" t="str">
        <f>IFNA(VLOOKUP($A481,Spells!$A$2:$I1002,MATCH(B$3,Spells!$A$1:$I$1,0),FALSE))</f>
        <v/>
      </c>
      <c r="C481" s="16" t="str">
        <f>IFNA(VLOOKUP($A481,Spells!$A$2:$I1002,MATCH(C$3,Spells!$A$1:$I$1,0),FALSE))</f>
        <v/>
      </c>
      <c r="D481" s="16" t="str">
        <f>IFNA(VLOOKUP($A481,Spells!$A$2:$I1002,MATCH(D$3,Spells!$A$1:$I$1,0),FALSE))</f>
        <v/>
      </c>
      <c r="E481" s="16" t="str">
        <f>IFNA(VLOOKUP($A481,Spells!$A$2:$I1002,MATCH(E$3,Spells!$A$1:$I$1,0),FALSE))</f>
        <v/>
      </c>
      <c r="F481" s="16" t="str">
        <f>IFNA(VLOOKUP($A481,Spells!$A$2:$I1002,MATCH(F$3,Spells!$A$1:$I$1,0),FALSE))</f>
        <v/>
      </c>
      <c r="G481" s="16" t="str">
        <f>IFNA(VLOOKUP($A481,Spells!$A$2:$I1002,MATCH(G$3,Spells!$A$1:$I$1,0),FALSE))</f>
        <v/>
      </c>
      <c r="H481" s="16" t="str">
        <f>IFNA(VLOOKUP($A481,Spells!$A$2:$I1002,MATCH(H$3,Spells!$A$1:$I$1,0),FALSE))</f>
        <v/>
      </c>
    </row>
    <row r="482">
      <c r="A482" s="16"/>
      <c r="B482" s="16" t="str">
        <f>IFNA(VLOOKUP($A482,Spells!$A$2:$I1002,MATCH(B$3,Spells!$A$1:$I$1,0),FALSE))</f>
        <v/>
      </c>
      <c r="C482" s="16" t="str">
        <f>IFNA(VLOOKUP($A482,Spells!$A$2:$I1002,MATCH(C$3,Spells!$A$1:$I$1,0),FALSE))</f>
        <v/>
      </c>
      <c r="D482" s="16" t="str">
        <f>IFNA(VLOOKUP($A482,Spells!$A$2:$I1002,MATCH(D$3,Spells!$A$1:$I$1,0),FALSE))</f>
        <v/>
      </c>
      <c r="E482" s="16" t="str">
        <f>IFNA(VLOOKUP($A482,Spells!$A$2:$I1002,MATCH(E$3,Spells!$A$1:$I$1,0),FALSE))</f>
        <v/>
      </c>
      <c r="F482" s="16" t="str">
        <f>IFNA(VLOOKUP($A482,Spells!$A$2:$I1002,MATCH(F$3,Spells!$A$1:$I$1,0),FALSE))</f>
        <v/>
      </c>
      <c r="G482" s="16" t="str">
        <f>IFNA(VLOOKUP($A482,Spells!$A$2:$I1002,MATCH(G$3,Spells!$A$1:$I$1,0),FALSE))</f>
        <v/>
      </c>
      <c r="H482" s="16" t="str">
        <f>IFNA(VLOOKUP($A482,Spells!$A$2:$I1002,MATCH(H$3,Spells!$A$1:$I$1,0),FALSE))</f>
        <v/>
      </c>
    </row>
    <row r="483">
      <c r="A483" s="16"/>
      <c r="B483" s="16" t="str">
        <f>IFNA(VLOOKUP($A483,Spells!$A$2:$I1002,MATCH(B$3,Spells!$A$1:$I$1,0),FALSE))</f>
        <v/>
      </c>
      <c r="C483" s="16" t="str">
        <f>IFNA(VLOOKUP($A483,Spells!$A$2:$I1002,MATCH(C$3,Spells!$A$1:$I$1,0),FALSE))</f>
        <v/>
      </c>
      <c r="D483" s="16" t="str">
        <f>IFNA(VLOOKUP($A483,Spells!$A$2:$I1002,MATCH(D$3,Spells!$A$1:$I$1,0),FALSE))</f>
        <v/>
      </c>
      <c r="E483" s="16" t="str">
        <f>IFNA(VLOOKUP($A483,Spells!$A$2:$I1002,MATCH(E$3,Spells!$A$1:$I$1,0),FALSE))</f>
        <v/>
      </c>
      <c r="F483" s="16" t="str">
        <f>IFNA(VLOOKUP($A483,Spells!$A$2:$I1002,MATCH(F$3,Spells!$A$1:$I$1,0),FALSE))</f>
        <v/>
      </c>
      <c r="G483" s="16" t="str">
        <f>IFNA(VLOOKUP($A483,Spells!$A$2:$I1002,MATCH(G$3,Spells!$A$1:$I$1,0),FALSE))</f>
        <v/>
      </c>
      <c r="H483" s="16" t="str">
        <f>IFNA(VLOOKUP($A483,Spells!$A$2:$I1002,MATCH(H$3,Spells!$A$1:$I$1,0),FALSE))</f>
        <v/>
      </c>
    </row>
    <row r="484">
      <c r="A484" s="16"/>
      <c r="B484" s="16" t="str">
        <f>IFNA(VLOOKUP($A484,Spells!$A$2:$I1002,MATCH(B$3,Spells!$A$1:$I$1,0),FALSE))</f>
        <v/>
      </c>
      <c r="C484" s="16" t="str">
        <f>IFNA(VLOOKUP($A484,Spells!$A$2:$I1002,MATCH(C$3,Spells!$A$1:$I$1,0),FALSE))</f>
        <v/>
      </c>
      <c r="D484" s="16" t="str">
        <f>IFNA(VLOOKUP($A484,Spells!$A$2:$I1002,MATCH(D$3,Spells!$A$1:$I$1,0),FALSE))</f>
        <v/>
      </c>
      <c r="E484" s="16" t="str">
        <f>IFNA(VLOOKUP($A484,Spells!$A$2:$I1002,MATCH(E$3,Spells!$A$1:$I$1,0),FALSE))</f>
        <v/>
      </c>
      <c r="F484" s="16" t="str">
        <f>IFNA(VLOOKUP($A484,Spells!$A$2:$I1002,MATCH(F$3,Spells!$A$1:$I$1,0),FALSE))</f>
        <v/>
      </c>
      <c r="G484" s="16" t="str">
        <f>IFNA(VLOOKUP($A484,Spells!$A$2:$I1002,MATCH(G$3,Spells!$A$1:$I$1,0),FALSE))</f>
        <v/>
      </c>
      <c r="H484" s="16" t="str">
        <f>IFNA(VLOOKUP($A484,Spells!$A$2:$I1002,MATCH(H$3,Spells!$A$1:$I$1,0),FALSE))</f>
        <v/>
      </c>
    </row>
    <row r="485">
      <c r="A485" s="16"/>
      <c r="B485" s="16" t="str">
        <f>IFNA(VLOOKUP($A485,Spells!$A$2:$I1002,MATCH(B$3,Spells!$A$1:$I$1,0),FALSE))</f>
        <v/>
      </c>
      <c r="C485" s="16" t="str">
        <f>IFNA(VLOOKUP($A485,Spells!$A$2:$I1002,MATCH(C$3,Spells!$A$1:$I$1,0),FALSE))</f>
        <v/>
      </c>
      <c r="D485" s="16" t="str">
        <f>IFNA(VLOOKUP($A485,Spells!$A$2:$I1002,MATCH(D$3,Spells!$A$1:$I$1,0),FALSE))</f>
        <v/>
      </c>
      <c r="E485" s="16" t="str">
        <f>IFNA(VLOOKUP($A485,Spells!$A$2:$I1002,MATCH(E$3,Spells!$A$1:$I$1,0),FALSE))</f>
        <v/>
      </c>
      <c r="F485" s="16" t="str">
        <f>IFNA(VLOOKUP($A485,Spells!$A$2:$I1002,MATCH(F$3,Spells!$A$1:$I$1,0),FALSE))</f>
        <v/>
      </c>
      <c r="G485" s="16" t="str">
        <f>IFNA(VLOOKUP($A485,Spells!$A$2:$I1002,MATCH(G$3,Spells!$A$1:$I$1,0),FALSE))</f>
        <v/>
      </c>
      <c r="H485" s="16" t="str">
        <f>IFNA(VLOOKUP($A485,Spells!$A$2:$I1002,MATCH(H$3,Spells!$A$1:$I$1,0),FALSE))</f>
        <v/>
      </c>
    </row>
    <row r="486">
      <c r="A486" s="16"/>
      <c r="B486" s="16" t="str">
        <f>IFNA(VLOOKUP($A486,Spells!$A$2:$I1002,MATCH(B$3,Spells!$A$1:$I$1,0),FALSE))</f>
        <v/>
      </c>
      <c r="C486" s="16" t="str">
        <f>IFNA(VLOOKUP($A486,Spells!$A$2:$I1002,MATCH(C$3,Spells!$A$1:$I$1,0),FALSE))</f>
        <v/>
      </c>
      <c r="D486" s="16" t="str">
        <f>IFNA(VLOOKUP($A486,Spells!$A$2:$I1002,MATCH(D$3,Spells!$A$1:$I$1,0),FALSE))</f>
        <v/>
      </c>
      <c r="E486" s="16" t="str">
        <f>IFNA(VLOOKUP($A486,Spells!$A$2:$I1002,MATCH(E$3,Spells!$A$1:$I$1,0),FALSE))</f>
        <v/>
      </c>
      <c r="F486" s="16" t="str">
        <f>IFNA(VLOOKUP($A486,Spells!$A$2:$I1002,MATCH(F$3,Spells!$A$1:$I$1,0),FALSE))</f>
        <v/>
      </c>
      <c r="G486" s="16" t="str">
        <f>IFNA(VLOOKUP($A486,Spells!$A$2:$I1002,MATCH(G$3,Spells!$A$1:$I$1,0),FALSE))</f>
        <v/>
      </c>
      <c r="H486" s="16" t="str">
        <f>IFNA(VLOOKUP($A486,Spells!$A$2:$I1002,MATCH(H$3,Spells!$A$1:$I$1,0),FALSE))</f>
        <v/>
      </c>
    </row>
    <row r="487">
      <c r="A487" s="16"/>
      <c r="B487" s="16" t="str">
        <f>IFNA(VLOOKUP($A487,Spells!$A$2:$I1002,MATCH(B$3,Spells!$A$1:$I$1,0),FALSE))</f>
        <v/>
      </c>
      <c r="C487" s="16" t="str">
        <f>IFNA(VLOOKUP($A487,Spells!$A$2:$I1002,MATCH(C$3,Spells!$A$1:$I$1,0),FALSE))</f>
        <v/>
      </c>
      <c r="D487" s="16" t="str">
        <f>IFNA(VLOOKUP($A487,Spells!$A$2:$I1002,MATCH(D$3,Spells!$A$1:$I$1,0),FALSE))</f>
        <v/>
      </c>
      <c r="E487" s="16" t="str">
        <f>IFNA(VLOOKUP($A487,Spells!$A$2:$I1002,MATCH(E$3,Spells!$A$1:$I$1,0),FALSE))</f>
        <v/>
      </c>
      <c r="F487" s="16" t="str">
        <f>IFNA(VLOOKUP($A487,Spells!$A$2:$I1002,MATCH(F$3,Spells!$A$1:$I$1,0),FALSE))</f>
        <v/>
      </c>
      <c r="G487" s="16" t="str">
        <f>IFNA(VLOOKUP($A487,Spells!$A$2:$I1002,MATCH(G$3,Spells!$A$1:$I$1,0),FALSE))</f>
        <v/>
      </c>
      <c r="H487" s="16" t="str">
        <f>IFNA(VLOOKUP($A487,Spells!$A$2:$I1002,MATCH(H$3,Spells!$A$1:$I$1,0),FALSE))</f>
        <v/>
      </c>
    </row>
    <row r="488">
      <c r="A488" s="16"/>
      <c r="B488" s="16" t="str">
        <f>IFNA(VLOOKUP($A488,Spells!$A$2:$I1002,MATCH(B$3,Spells!$A$1:$I$1,0),FALSE))</f>
        <v/>
      </c>
      <c r="C488" s="16" t="str">
        <f>IFNA(VLOOKUP($A488,Spells!$A$2:$I1002,MATCH(C$3,Spells!$A$1:$I$1,0),FALSE))</f>
        <v/>
      </c>
      <c r="D488" s="16" t="str">
        <f>IFNA(VLOOKUP($A488,Spells!$A$2:$I1002,MATCH(D$3,Spells!$A$1:$I$1,0),FALSE))</f>
        <v/>
      </c>
      <c r="E488" s="16" t="str">
        <f>IFNA(VLOOKUP($A488,Spells!$A$2:$I1002,MATCH(E$3,Spells!$A$1:$I$1,0),FALSE))</f>
        <v/>
      </c>
      <c r="F488" s="16" t="str">
        <f>IFNA(VLOOKUP($A488,Spells!$A$2:$I1002,MATCH(F$3,Spells!$A$1:$I$1,0),FALSE))</f>
        <v/>
      </c>
      <c r="G488" s="16" t="str">
        <f>IFNA(VLOOKUP($A488,Spells!$A$2:$I1002,MATCH(G$3,Spells!$A$1:$I$1,0),FALSE))</f>
        <v/>
      </c>
      <c r="H488" s="16" t="str">
        <f>IFNA(VLOOKUP($A488,Spells!$A$2:$I1002,MATCH(H$3,Spells!$A$1:$I$1,0),FALSE))</f>
        <v/>
      </c>
    </row>
    <row r="489">
      <c r="A489" s="16"/>
      <c r="B489" s="16" t="str">
        <f>IFNA(VLOOKUP($A489,Spells!$A$2:$I1002,MATCH(B$3,Spells!$A$1:$I$1,0),FALSE))</f>
        <v/>
      </c>
      <c r="C489" s="16" t="str">
        <f>IFNA(VLOOKUP($A489,Spells!$A$2:$I1002,MATCH(C$3,Spells!$A$1:$I$1,0),FALSE))</f>
        <v/>
      </c>
      <c r="D489" s="16" t="str">
        <f>IFNA(VLOOKUP($A489,Spells!$A$2:$I1002,MATCH(D$3,Spells!$A$1:$I$1,0),FALSE))</f>
        <v/>
      </c>
      <c r="E489" s="16" t="str">
        <f>IFNA(VLOOKUP($A489,Spells!$A$2:$I1002,MATCH(E$3,Spells!$A$1:$I$1,0),FALSE))</f>
        <v/>
      </c>
      <c r="F489" s="16" t="str">
        <f>IFNA(VLOOKUP($A489,Spells!$A$2:$I1002,MATCH(F$3,Spells!$A$1:$I$1,0),FALSE))</f>
        <v/>
      </c>
      <c r="G489" s="16" t="str">
        <f>IFNA(VLOOKUP($A489,Spells!$A$2:$I1002,MATCH(G$3,Spells!$A$1:$I$1,0),FALSE))</f>
        <v/>
      </c>
      <c r="H489" s="16" t="str">
        <f>IFNA(VLOOKUP($A489,Spells!$A$2:$I1002,MATCH(H$3,Spells!$A$1:$I$1,0),FALSE))</f>
        <v/>
      </c>
    </row>
    <row r="490">
      <c r="A490" s="16"/>
      <c r="B490" s="16" t="str">
        <f>IFNA(VLOOKUP($A490,Spells!$A$2:$I1002,MATCH(B$3,Spells!$A$1:$I$1,0),FALSE))</f>
        <v/>
      </c>
      <c r="C490" s="16" t="str">
        <f>IFNA(VLOOKUP($A490,Spells!$A$2:$I1002,MATCH(C$3,Spells!$A$1:$I$1,0),FALSE))</f>
        <v/>
      </c>
      <c r="D490" s="16" t="str">
        <f>IFNA(VLOOKUP($A490,Spells!$A$2:$I1002,MATCH(D$3,Spells!$A$1:$I$1,0),FALSE))</f>
        <v/>
      </c>
      <c r="E490" s="16" t="str">
        <f>IFNA(VLOOKUP($A490,Spells!$A$2:$I1002,MATCH(E$3,Spells!$A$1:$I$1,0),FALSE))</f>
        <v/>
      </c>
      <c r="F490" s="16" t="str">
        <f>IFNA(VLOOKUP($A490,Spells!$A$2:$I1002,MATCH(F$3,Spells!$A$1:$I$1,0),FALSE))</f>
        <v/>
      </c>
      <c r="G490" s="16" t="str">
        <f>IFNA(VLOOKUP($A490,Spells!$A$2:$I1002,MATCH(G$3,Spells!$A$1:$I$1,0),FALSE))</f>
        <v/>
      </c>
      <c r="H490" s="16" t="str">
        <f>IFNA(VLOOKUP($A490,Spells!$A$2:$I1002,MATCH(H$3,Spells!$A$1:$I$1,0),FALSE))</f>
        <v/>
      </c>
    </row>
    <row r="491">
      <c r="A491" s="16"/>
      <c r="B491" s="16" t="str">
        <f>IFNA(VLOOKUP($A491,Spells!$A$2:$I1002,MATCH(B$3,Spells!$A$1:$I$1,0),FALSE))</f>
        <v/>
      </c>
      <c r="C491" s="16" t="str">
        <f>IFNA(VLOOKUP($A491,Spells!$A$2:$I1002,MATCH(C$3,Spells!$A$1:$I$1,0),FALSE))</f>
        <v/>
      </c>
      <c r="D491" s="16" t="str">
        <f>IFNA(VLOOKUP($A491,Spells!$A$2:$I1002,MATCH(D$3,Spells!$A$1:$I$1,0),FALSE))</f>
        <v/>
      </c>
      <c r="E491" s="16" t="str">
        <f>IFNA(VLOOKUP($A491,Spells!$A$2:$I1002,MATCH(E$3,Spells!$A$1:$I$1,0),FALSE))</f>
        <v/>
      </c>
      <c r="F491" s="16" t="str">
        <f>IFNA(VLOOKUP($A491,Spells!$A$2:$I1002,MATCH(F$3,Spells!$A$1:$I$1,0),FALSE))</f>
        <v/>
      </c>
      <c r="G491" s="16" t="str">
        <f>IFNA(VLOOKUP($A491,Spells!$A$2:$I1002,MATCH(G$3,Spells!$A$1:$I$1,0),FALSE))</f>
        <v/>
      </c>
      <c r="H491" s="16" t="str">
        <f>IFNA(VLOOKUP($A491,Spells!$A$2:$I1002,MATCH(H$3,Spells!$A$1:$I$1,0),FALSE))</f>
        <v/>
      </c>
    </row>
    <row r="492">
      <c r="A492" s="16"/>
      <c r="B492" s="16" t="str">
        <f>IFNA(VLOOKUP($A492,Spells!$A$2:$I1002,MATCH(B$3,Spells!$A$1:$I$1,0),FALSE))</f>
        <v/>
      </c>
      <c r="C492" s="16" t="str">
        <f>IFNA(VLOOKUP($A492,Spells!$A$2:$I1002,MATCH(C$3,Spells!$A$1:$I$1,0),FALSE))</f>
        <v/>
      </c>
      <c r="D492" s="16" t="str">
        <f>IFNA(VLOOKUP($A492,Spells!$A$2:$I1002,MATCH(D$3,Spells!$A$1:$I$1,0),FALSE))</f>
        <v/>
      </c>
      <c r="E492" s="16" t="str">
        <f>IFNA(VLOOKUP($A492,Spells!$A$2:$I1002,MATCH(E$3,Spells!$A$1:$I$1,0),FALSE))</f>
        <v/>
      </c>
      <c r="F492" s="16" t="str">
        <f>IFNA(VLOOKUP($A492,Spells!$A$2:$I1002,MATCH(F$3,Spells!$A$1:$I$1,0),FALSE))</f>
        <v/>
      </c>
      <c r="G492" s="16" t="str">
        <f>IFNA(VLOOKUP($A492,Spells!$A$2:$I1002,MATCH(G$3,Spells!$A$1:$I$1,0),FALSE))</f>
        <v/>
      </c>
      <c r="H492" s="16" t="str">
        <f>IFNA(VLOOKUP($A492,Spells!$A$2:$I1002,MATCH(H$3,Spells!$A$1:$I$1,0),FALSE))</f>
        <v/>
      </c>
    </row>
    <row r="493">
      <c r="A493" s="16"/>
      <c r="B493" s="16" t="str">
        <f>IFNA(VLOOKUP($A493,Spells!$A$2:$I1002,MATCH(B$3,Spells!$A$1:$I$1,0),FALSE))</f>
        <v/>
      </c>
      <c r="C493" s="16" t="str">
        <f>IFNA(VLOOKUP($A493,Spells!$A$2:$I1002,MATCH(C$3,Spells!$A$1:$I$1,0),FALSE))</f>
        <v/>
      </c>
      <c r="D493" s="16" t="str">
        <f>IFNA(VLOOKUP($A493,Spells!$A$2:$I1002,MATCH(D$3,Spells!$A$1:$I$1,0),FALSE))</f>
        <v/>
      </c>
      <c r="E493" s="16" t="str">
        <f>IFNA(VLOOKUP($A493,Spells!$A$2:$I1002,MATCH(E$3,Spells!$A$1:$I$1,0),FALSE))</f>
        <v/>
      </c>
      <c r="F493" s="16" t="str">
        <f>IFNA(VLOOKUP($A493,Spells!$A$2:$I1002,MATCH(F$3,Spells!$A$1:$I$1,0),FALSE))</f>
        <v/>
      </c>
      <c r="G493" s="16" t="str">
        <f>IFNA(VLOOKUP($A493,Spells!$A$2:$I1002,MATCH(G$3,Spells!$A$1:$I$1,0),FALSE))</f>
        <v/>
      </c>
      <c r="H493" s="16" t="str">
        <f>IFNA(VLOOKUP($A493,Spells!$A$2:$I1002,MATCH(H$3,Spells!$A$1:$I$1,0),FALSE))</f>
        <v/>
      </c>
    </row>
    <row r="494">
      <c r="A494" s="16"/>
      <c r="B494" s="16" t="str">
        <f>IFNA(VLOOKUP($A494,Spells!$A$2:$I1002,MATCH(B$3,Spells!$A$1:$I$1,0),FALSE))</f>
        <v/>
      </c>
      <c r="C494" s="16" t="str">
        <f>IFNA(VLOOKUP($A494,Spells!$A$2:$I1002,MATCH(C$3,Spells!$A$1:$I$1,0),FALSE))</f>
        <v/>
      </c>
      <c r="D494" s="16" t="str">
        <f>IFNA(VLOOKUP($A494,Spells!$A$2:$I1002,MATCH(D$3,Spells!$A$1:$I$1,0),FALSE))</f>
        <v/>
      </c>
      <c r="E494" s="16" t="str">
        <f>IFNA(VLOOKUP($A494,Spells!$A$2:$I1002,MATCH(E$3,Spells!$A$1:$I$1,0),FALSE))</f>
        <v/>
      </c>
      <c r="F494" s="16" t="str">
        <f>IFNA(VLOOKUP($A494,Spells!$A$2:$I1002,MATCH(F$3,Spells!$A$1:$I$1,0),FALSE))</f>
        <v/>
      </c>
      <c r="G494" s="16" t="str">
        <f>IFNA(VLOOKUP($A494,Spells!$A$2:$I1002,MATCH(G$3,Spells!$A$1:$I$1,0),FALSE))</f>
        <v/>
      </c>
      <c r="H494" s="16" t="str">
        <f>IFNA(VLOOKUP($A494,Spells!$A$2:$I1002,MATCH(H$3,Spells!$A$1:$I$1,0),FALSE))</f>
        <v/>
      </c>
    </row>
    <row r="495">
      <c r="A495" s="16"/>
      <c r="B495" s="16" t="str">
        <f>IFNA(VLOOKUP($A495,Spells!$A$2:$I1002,MATCH(B$3,Spells!$A$1:$I$1,0),FALSE))</f>
        <v/>
      </c>
      <c r="C495" s="16" t="str">
        <f>IFNA(VLOOKUP($A495,Spells!$A$2:$I1002,MATCH(C$3,Spells!$A$1:$I$1,0),FALSE))</f>
        <v/>
      </c>
      <c r="D495" s="16" t="str">
        <f>IFNA(VLOOKUP($A495,Spells!$A$2:$I1002,MATCH(D$3,Spells!$A$1:$I$1,0),FALSE))</f>
        <v/>
      </c>
      <c r="E495" s="16" t="str">
        <f>IFNA(VLOOKUP($A495,Spells!$A$2:$I1002,MATCH(E$3,Spells!$A$1:$I$1,0),FALSE))</f>
        <v/>
      </c>
      <c r="F495" s="16" t="str">
        <f>IFNA(VLOOKUP($A495,Spells!$A$2:$I1002,MATCH(F$3,Spells!$A$1:$I$1,0),FALSE))</f>
        <v/>
      </c>
      <c r="G495" s="16" t="str">
        <f>IFNA(VLOOKUP($A495,Spells!$A$2:$I1002,MATCH(G$3,Spells!$A$1:$I$1,0),FALSE))</f>
        <v/>
      </c>
      <c r="H495" s="16" t="str">
        <f>IFNA(VLOOKUP($A495,Spells!$A$2:$I1002,MATCH(H$3,Spells!$A$1:$I$1,0),FALSE))</f>
        <v/>
      </c>
    </row>
    <row r="496">
      <c r="A496" s="16"/>
      <c r="B496" s="16" t="str">
        <f>IFNA(VLOOKUP($A496,Spells!$A$2:$I1002,MATCH(B$3,Spells!$A$1:$I$1,0),FALSE))</f>
        <v/>
      </c>
      <c r="C496" s="16" t="str">
        <f>IFNA(VLOOKUP($A496,Spells!$A$2:$I1002,MATCH(C$3,Spells!$A$1:$I$1,0),FALSE))</f>
        <v/>
      </c>
      <c r="D496" s="16" t="str">
        <f>IFNA(VLOOKUP($A496,Spells!$A$2:$I1002,MATCH(D$3,Spells!$A$1:$I$1,0),FALSE))</f>
        <v/>
      </c>
      <c r="E496" s="16" t="str">
        <f>IFNA(VLOOKUP($A496,Spells!$A$2:$I1002,MATCH(E$3,Spells!$A$1:$I$1,0),FALSE))</f>
        <v/>
      </c>
      <c r="F496" s="16" t="str">
        <f>IFNA(VLOOKUP($A496,Spells!$A$2:$I1002,MATCH(F$3,Spells!$A$1:$I$1,0),FALSE))</f>
        <v/>
      </c>
      <c r="G496" s="16" t="str">
        <f>IFNA(VLOOKUP($A496,Spells!$A$2:$I1002,MATCH(G$3,Spells!$A$1:$I$1,0),FALSE))</f>
        <v/>
      </c>
      <c r="H496" s="16" t="str">
        <f>IFNA(VLOOKUP($A496,Spells!$A$2:$I1002,MATCH(H$3,Spells!$A$1:$I$1,0),FALSE))</f>
        <v/>
      </c>
    </row>
    <row r="497">
      <c r="A497" s="16"/>
      <c r="B497" s="16" t="str">
        <f>IFNA(VLOOKUP($A497,Spells!$A$2:$I1002,MATCH(B$3,Spells!$A$1:$I$1,0),FALSE))</f>
        <v/>
      </c>
      <c r="C497" s="16" t="str">
        <f>IFNA(VLOOKUP($A497,Spells!$A$2:$I1002,MATCH(C$3,Spells!$A$1:$I$1,0),FALSE))</f>
        <v/>
      </c>
      <c r="D497" s="16" t="str">
        <f>IFNA(VLOOKUP($A497,Spells!$A$2:$I1002,MATCH(D$3,Spells!$A$1:$I$1,0),FALSE))</f>
        <v/>
      </c>
      <c r="E497" s="16" t="str">
        <f>IFNA(VLOOKUP($A497,Spells!$A$2:$I1002,MATCH(E$3,Spells!$A$1:$I$1,0),FALSE))</f>
        <v/>
      </c>
      <c r="F497" s="16" t="str">
        <f>IFNA(VLOOKUP($A497,Spells!$A$2:$I1002,MATCH(F$3,Spells!$A$1:$I$1,0),FALSE))</f>
        <v/>
      </c>
      <c r="G497" s="16" t="str">
        <f>IFNA(VLOOKUP($A497,Spells!$A$2:$I1002,MATCH(G$3,Spells!$A$1:$I$1,0),FALSE))</f>
        <v/>
      </c>
      <c r="H497" s="16" t="str">
        <f>IFNA(VLOOKUP($A497,Spells!$A$2:$I1002,MATCH(H$3,Spells!$A$1:$I$1,0),FALSE))</f>
        <v/>
      </c>
    </row>
    <row r="498">
      <c r="A498" s="16"/>
      <c r="B498" s="16" t="str">
        <f>IFNA(VLOOKUP($A498,Spells!$A$2:$I1002,MATCH(B$3,Spells!$A$1:$I$1,0),FALSE))</f>
        <v/>
      </c>
      <c r="C498" s="16" t="str">
        <f>IFNA(VLOOKUP($A498,Spells!$A$2:$I1002,MATCH(C$3,Spells!$A$1:$I$1,0),FALSE))</f>
        <v/>
      </c>
      <c r="D498" s="16" t="str">
        <f>IFNA(VLOOKUP($A498,Spells!$A$2:$I1002,MATCH(D$3,Spells!$A$1:$I$1,0),FALSE))</f>
        <v/>
      </c>
      <c r="E498" s="16" t="str">
        <f>IFNA(VLOOKUP($A498,Spells!$A$2:$I1002,MATCH(E$3,Spells!$A$1:$I$1,0),FALSE))</f>
        <v/>
      </c>
      <c r="F498" s="16" t="str">
        <f>IFNA(VLOOKUP($A498,Spells!$A$2:$I1002,MATCH(F$3,Spells!$A$1:$I$1,0),FALSE))</f>
        <v/>
      </c>
      <c r="G498" s="16" t="str">
        <f>IFNA(VLOOKUP($A498,Spells!$A$2:$I1002,MATCH(G$3,Spells!$A$1:$I$1,0),FALSE))</f>
        <v/>
      </c>
      <c r="H498" s="16" t="str">
        <f>IFNA(VLOOKUP($A498,Spells!$A$2:$I1002,MATCH(H$3,Spells!$A$1:$I$1,0),FALSE))</f>
        <v/>
      </c>
    </row>
    <row r="499">
      <c r="A499" s="16"/>
      <c r="B499" s="16" t="str">
        <f>IFNA(VLOOKUP($A499,Spells!$A$2:$I1002,MATCH(B$3,Spells!$A$1:$I$1,0),FALSE))</f>
        <v/>
      </c>
      <c r="C499" s="16" t="str">
        <f>IFNA(VLOOKUP($A499,Spells!$A$2:$I1002,MATCH(C$3,Spells!$A$1:$I$1,0),FALSE))</f>
        <v/>
      </c>
      <c r="D499" s="16" t="str">
        <f>IFNA(VLOOKUP($A499,Spells!$A$2:$I1002,MATCH(D$3,Spells!$A$1:$I$1,0),FALSE))</f>
        <v/>
      </c>
      <c r="E499" s="16" t="str">
        <f>IFNA(VLOOKUP($A499,Spells!$A$2:$I1002,MATCH(E$3,Spells!$A$1:$I$1,0),FALSE))</f>
        <v/>
      </c>
      <c r="F499" s="16" t="str">
        <f>IFNA(VLOOKUP($A499,Spells!$A$2:$I1002,MATCH(F$3,Spells!$A$1:$I$1,0),FALSE))</f>
        <v/>
      </c>
      <c r="G499" s="16" t="str">
        <f>IFNA(VLOOKUP($A499,Spells!$A$2:$I1002,MATCH(G$3,Spells!$A$1:$I$1,0),FALSE))</f>
        <v/>
      </c>
      <c r="H499" s="16" t="str">
        <f>IFNA(VLOOKUP($A499,Spells!$A$2:$I1002,MATCH(H$3,Spells!$A$1:$I$1,0),FALSE))</f>
        <v/>
      </c>
    </row>
    <row r="500">
      <c r="A500" s="16"/>
      <c r="B500" s="16" t="str">
        <f>IFNA(VLOOKUP($A500,Spells!$A$2:$I1002,MATCH(B$3,Spells!$A$1:$I$1,0),FALSE))</f>
        <v/>
      </c>
      <c r="C500" s="16" t="str">
        <f>IFNA(VLOOKUP($A500,Spells!$A$2:$I1002,MATCH(C$3,Spells!$A$1:$I$1,0),FALSE))</f>
        <v/>
      </c>
      <c r="D500" s="16" t="str">
        <f>IFNA(VLOOKUP($A500,Spells!$A$2:$I1002,MATCH(D$3,Spells!$A$1:$I$1,0),FALSE))</f>
        <v/>
      </c>
      <c r="E500" s="16" t="str">
        <f>IFNA(VLOOKUP($A500,Spells!$A$2:$I1002,MATCH(E$3,Spells!$A$1:$I$1,0),FALSE))</f>
        <v/>
      </c>
      <c r="F500" s="16" t="str">
        <f>IFNA(VLOOKUP($A500,Spells!$A$2:$I1002,MATCH(F$3,Spells!$A$1:$I$1,0),FALSE))</f>
        <v/>
      </c>
      <c r="G500" s="16" t="str">
        <f>IFNA(VLOOKUP($A500,Spells!$A$2:$I1002,MATCH(G$3,Spells!$A$1:$I$1,0),FALSE))</f>
        <v/>
      </c>
      <c r="H500" s="16" t="str">
        <f>IFNA(VLOOKUP($A500,Spells!$A$2:$I1002,MATCH(H$3,Spells!$A$1:$I$1,0),FALSE))</f>
        <v/>
      </c>
    </row>
    <row r="501">
      <c r="A501" s="16"/>
      <c r="B501" s="16" t="str">
        <f>IFNA(VLOOKUP($A501,Spells!$A$2:$I1002,MATCH(B$3,Spells!$A$1:$I$1,0),FALSE))</f>
        <v/>
      </c>
      <c r="C501" s="16" t="str">
        <f>IFNA(VLOOKUP($A501,Spells!$A$2:$I1002,MATCH(C$3,Spells!$A$1:$I$1,0),FALSE))</f>
        <v/>
      </c>
      <c r="D501" s="16" t="str">
        <f>IFNA(VLOOKUP($A501,Spells!$A$2:$I1002,MATCH(D$3,Spells!$A$1:$I$1,0),FALSE))</f>
        <v/>
      </c>
      <c r="E501" s="16" t="str">
        <f>IFNA(VLOOKUP($A501,Spells!$A$2:$I1002,MATCH(E$3,Spells!$A$1:$I$1,0),FALSE))</f>
        <v/>
      </c>
      <c r="F501" s="16" t="str">
        <f>IFNA(VLOOKUP($A501,Spells!$A$2:$I1002,MATCH(F$3,Spells!$A$1:$I$1,0),FALSE))</f>
        <v/>
      </c>
      <c r="G501" s="16" t="str">
        <f>IFNA(VLOOKUP($A501,Spells!$A$2:$I1002,MATCH(G$3,Spells!$A$1:$I$1,0),FALSE))</f>
        <v/>
      </c>
      <c r="H501" s="16" t="str">
        <f>IFNA(VLOOKUP($A501,Spells!$A$2:$I1002,MATCH(H$3,Spells!$A$1:$I$1,0),FALSE))</f>
        <v/>
      </c>
    </row>
    <row r="502">
      <c r="A502" s="16"/>
      <c r="B502" s="16" t="str">
        <f>IFNA(VLOOKUP($A502,Spells!$A$2:$I1002,MATCH(B$3,Spells!$A$1:$I$1,0),FALSE))</f>
        <v/>
      </c>
      <c r="C502" s="16" t="str">
        <f>IFNA(VLOOKUP($A502,Spells!$A$2:$I1002,MATCH(C$3,Spells!$A$1:$I$1,0),FALSE))</f>
        <v/>
      </c>
      <c r="D502" s="16" t="str">
        <f>IFNA(VLOOKUP($A502,Spells!$A$2:$I1002,MATCH(D$3,Spells!$A$1:$I$1,0),FALSE))</f>
        <v/>
      </c>
      <c r="E502" s="16" t="str">
        <f>IFNA(VLOOKUP($A502,Spells!$A$2:$I1002,MATCH(E$3,Spells!$A$1:$I$1,0),FALSE))</f>
        <v/>
      </c>
      <c r="F502" s="16" t="str">
        <f>IFNA(VLOOKUP($A502,Spells!$A$2:$I1002,MATCH(F$3,Spells!$A$1:$I$1,0),FALSE))</f>
        <v/>
      </c>
      <c r="G502" s="16" t="str">
        <f>IFNA(VLOOKUP($A502,Spells!$A$2:$I1002,MATCH(G$3,Spells!$A$1:$I$1,0),FALSE))</f>
        <v/>
      </c>
      <c r="H502" s="16" t="str">
        <f>IFNA(VLOOKUP($A502,Spells!$A$2:$I1002,MATCH(H$3,Spells!$A$1:$I$1,0),FALSE))</f>
        <v/>
      </c>
    </row>
    <row r="503">
      <c r="A503" s="16"/>
      <c r="B503" s="16" t="str">
        <f>IFNA(VLOOKUP($A503,Spells!$A$2:$I1002,MATCH(B$3,Spells!$A$1:$I$1,0),FALSE))</f>
        <v/>
      </c>
      <c r="C503" s="16" t="str">
        <f>IFNA(VLOOKUP($A503,Spells!$A$2:$I1002,MATCH(C$3,Spells!$A$1:$I$1,0),FALSE))</f>
        <v/>
      </c>
      <c r="D503" s="16" t="str">
        <f>IFNA(VLOOKUP($A503,Spells!$A$2:$I1002,MATCH(D$3,Spells!$A$1:$I$1,0),FALSE))</f>
        <v/>
      </c>
      <c r="E503" s="16" t="str">
        <f>IFNA(VLOOKUP($A503,Spells!$A$2:$I1002,MATCH(E$3,Spells!$A$1:$I$1,0),FALSE))</f>
        <v/>
      </c>
      <c r="F503" s="16" t="str">
        <f>IFNA(VLOOKUP($A503,Spells!$A$2:$I1002,MATCH(F$3,Spells!$A$1:$I$1,0),FALSE))</f>
        <v/>
      </c>
      <c r="G503" s="16" t="str">
        <f>IFNA(VLOOKUP($A503,Spells!$A$2:$I1002,MATCH(G$3,Spells!$A$1:$I$1,0),FALSE))</f>
        <v/>
      </c>
      <c r="H503" s="16" t="str">
        <f>IFNA(VLOOKUP($A503,Spells!$A$2:$I1002,MATCH(H$3,Spells!$A$1:$I$1,0),FALSE))</f>
        <v/>
      </c>
    </row>
    <row r="504">
      <c r="A504" s="16"/>
      <c r="B504" s="16" t="str">
        <f>IFNA(VLOOKUP($A504,Spells!$A$2:$I1002,MATCH(B$3,Spells!$A$1:$I$1,0),FALSE))</f>
        <v/>
      </c>
      <c r="C504" s="16" t="str">
        <f>IFNA(VLOOKUP($A504,Spells!$A$2:$I1002,MATCH(C$3,Spells!$A$1:$I$1,0),FALSE))</f>
        <v/>
      </c>
      <c r="D504" s="16" t="str">
        <f>IFNA(VLOOKUP($A504,Spells!$A$2:$I1002,MATCH(D$3,Spells!$A$1:$I$1,0),FALSE))</f>
        <v/>
      </c>
      <c r="E504" s="16" t="str">
        <f>IFNA(VLOOKUP($A504,Spells!$A$2:$I1002,MATCH(E$3,Spells!$A$1:$I$1,0),FALSE))</f>
        <v/>
      </c>
      <c r="F504" s="16" t="str">
        <f>IFNA(VLOOKUP($A504,Spells!$A$2:$I1002,MATCH(F$3,Spells!$A$1:$I$1,0),FALSE))</f>
        <v/>
      </c>
      <c r="G504" s="16" t="str">
        <f>IFNA(VLOOKUP($A504,Spells!$A$2:$I1002,MATCH(G$3,Spells!$A$1:$I$1,0),FALSE))</f>
        <v/>
      </c>
      <c r="H504" s="16" t="str">
        <f>IFNA(VLOOKUP($A504,Spells!$A$2:$I1002,MATCH(H$3,Spells!$A$1:$I$1,0),FALSE))</f>
        <v/>
      </c>
    </row>
    <row r="505">
      <c r="A505" s="16"/>
      <c r="B505" s="16" t="str">
        <f>IFNA(VLOOKUP($A505,Spells!$A$2:$I1002,MATCH(B$3,Spells!$A$1:$I$1,0),FALSE))</f>
        <v/>
      </c>
      <c r="C505" s="16" t="str">
        <f>IFNA(VLOOKUP($A505,Spells!$A$2:$I1002,MATCH(C$3,Spells!$A$1:$I$1,0),FALSE))</f>
        <v/>
      </c>
      <c r="D505" s="16" t="str">
        <f>IFNA(VLOOKUP($A505,Spells!$A$2:$I1002,MATCH(D$3,Spells!$A$1:$I$1,0),FALSE))</f>
        <v/>
      </c>
      <c r="E505" s="16" t="str">
        <f>IFNA(VLOOKUP($A505,Spells!$A$2:$I1002,MATCH(E$3,Spells!$A$1:$I$1,0),FALSE))</f>
        <v/>
      </c>
      <c r="F505" s="16" t="str">
        <f>IFNA(VLOOKUP($A505,Spells!$A$2:$I1002,MATCH(F$3,Spells!$A$1:$I$1,0),FALSE))</f>
        <v/>
      </c>
      <c r="G505" s="16" t="str">
        <f>IFNA(VLOOKUP($A505,Spells!$A$2:$I1002,MATCH(G$3,Spells!$A$1:$I$1,0),FALSE))</f>
        <v/>
      </c>
      <c r="H505" s="16" t="str">
        <f>IFNA(VLOOKUP($A505,Spells!$A$2:$I1002,MATCH(H$3,Spells!$A$1:$I$1,0),FALSE))</f>
        <v/>
      </c>
    </row>
    <row r="506">
      <c r="A506" s="16"/>
      <c r="B506" s="16" t="str">
        <f>IFNA(VLOOKUP($A506,Spells!$A$2:$I1002,MATCH(B$3,Spells!$A$1:$I$1,0),FALSE))</f>
        <v/>
      </c>
      <c r="C506" s="16" t="str">
        <f>IFNA(VLOOKUP($A506,Spells!$A$2:$I1002,MATCH(C$3,Spells!$A$1:$I$1,0),FALSE))</f>
        <v/>
      </c>
      <c r="D506" s="16" t="str">
        <f>IFNA(VLOOKUP($A506,Spells!$A$2:$I1002,MATCH(D$3,Spells!$A$1:$I$1,0),FALSE))</f>
        <v/>
      </c>
      <c r="E506" s="16" t="str">
        <f>IFNA(VLOOKUP($A506,Spells!$A$2:$I1002,MATCH(E$3,Spells!$A$1:$I$1,0),FALSE))</f>
        <v/>
      </c>
      <c r="F506" s="16" t="str">
        <f>IFNA(VLOOKUP($A506,Spells!$A$2:$I1002,MATCH(F$3,Spells!$A$1:$I$1,0),FALSE))</f>
        <v/>
      </c>
      <c r="G506" s="16" t="str">
        <f>IFNA(VLOOKUP($A506,Spells!$A$2:$I1002,MATCH(G$3,Spells!$A$1:$I$1,0),FALSE))</f>
        <v/>
      </c>
      <c r="H506" s="16" t="str">
        <f>IFNA(VLOOKUP($A506,Spells!$A$2:$I1002,MATCH(H$3,Spells!$A$1:$I$1,0),FALSE))</f>
        <v/>
      </c>
    </row>
    <row r="507">
      <c r="A507" s="16"/>
      <c r="B507" s="16" t="str">
        <f>IFNA(VLOOKUP($A507,Spells!$A$2:$I1002,MATCH(B$3,Spells!$A$1:$I$1,0),FALSE))</f>
        <v/>
      </c>
      <c r="C507" s="16" t="str">
        <f>IFNA(VLOOKUP($A507,Spells!$A$2:$I1002,MATCH(C$3,Spells!$A$1:$I$1,0),FALSE))</f>
        <v/>
      </c>
      <c r="D507" s="16" t="str">
        <f>IFNA(VLOOKUP($A507,Spells!$A$2:$I1002,MATCH(D$3,Spells!$A$1:$I$1,0),FALSE))</f>
        <v/>
      </c>
      <c r="E507" s="16" t="str">
        <f>IFNA(VLOOKUP($A507,Spells!$A$2:$I1002,MATCH(E$3,Spells!$A$1:$I$1,0),FALSE))</f>
        <v/>
      </c>
      <c r="F507" s="16" t="str">
        <f>IFNA(VLOOKUP($A507,Spells!$A$2:$I1002,MATCH(F$3,Spells!$A$1:$I$1,0),FALSE))</f>
        <v/>
      </c>
      <c r="G507" s="16" t="str">
        <f>IFNA(VLOOKUP($A507,Spells!$A$2:$I1002,MATCH(G$3,Spells!$A$1:$I$1,0),FALSE))</f>
        <v/>
      </c>
      <c r="H507" s="16" t="str">
        <f>IFNA(VLOOKUP($A507,Spells!$A$2:$I1002,MATCH(H$3,Spells!$A$1:$I$1,0),FALSE))</f>
        <v/>
      </c>
    </row>
    <row r="508">
      <c r="A508" s="16"/>
      <c r="B508" s="16" t="str">
        <f>IFNA(VLOOKUP($A508,Spells!$A$2:$I1002,MATCH(B$3,Spells!$A$1:$I$1,0),FALSE))</f>
        <v/>
      </c>
      <c r="C508" s="16" t="str">
        <f>IFNA(VLOOKUP($A508,Spells!$A$2:$I1002,MATCH(C$3,Spells!$A$1:$I$1,0),FALSE))</f>
        <v/>
      </c>
      <c r="D508" s="16" t="str">
        <f>IFNA(VLOOKUP($A508,Spells!$A$2:$I1002,MATCH(D$3,Spells!$A$1:$I$1,0),FALSE))</f>
        <v/>
      </c>
      <c r="E508" s="16" t="str">
        <f>IFNA(VLOOKUP($A508,Spells!$A$2:$I1002,MATCH(E$3,Spells!$A$1:$I$1,0),FALSE))</f>
        <v/>
      </c>
      <c r="F508" s="16" t="str">
        <f>IFNA(VLOOKUP($A508,Spells!$A$2:$I1002,MATCH(F$3,Spells!$A$1:$I$1,0),FALSE))</f>
        <v/>
      </c>
      <c r="G508" s="16" t="str">
        <f>IFNA(VLOOKUP($A508,Spells!$A$2:$I1002,MATCH(G$3,Spells!$A$1:$I$1,0),FALSE))</f>
        <v/>
      </c>
      <c r="H508" s="16" t="str">
        <f>IFNA(VLOOKUP($A508,Spells!$A$2:$I1002,MATCH(H$3,Spells!$A$1:$I$1,0),FALSE))</f>
        <v/>
      </c>
    </row>
    <row r="509">
      <c r="A509" s="16"/>
      <c r="B509" s="16" t="str">
        <f>IFNA(VLOOKUP($A509,Spells!$A$2:$I1002,MATCH(B$3,Spells!$A$1:$I$1,0),FALSE))</f>
        <v/>
      </c>
      <c r="C509" s="16" t="str">
        <f>IFNA(VLOOKUP($A509,Spells!$A$2:$I1002,MATCH(C$3,Spells!$A$1:$I$1,0),FALSE))</f>
        <v/>
      </c>
      <c r="D509" s="16" t="str">
        <f>IFNA(VLOOKUP($A509,Spells!$A$2:$I1002,MATCH(D$3,Spells!$A$1:$I$1,0),FALSE))</f>
        <v/>
      </c>
      <c r="E509" s="16" t="str">
        <f>IFNA(VLOOKUP($A509,Spells!$A$2:$I1002,MATCH(E$3,Spells!$A$1:$I$1,0),FALSE))</f>
        <v/>
      </c>
      <c r="F509" s="16" t="str">
        <f>IFNA(VLOOKUP($A509,Spells!$A$2:$I1002,MATCH(F$3,Spells!$A$1:$I$1,0),FALSE))</f>
        <v/>
      </c>
      <c r="G509" s="16" t="str">
        <f>IFNA(VLOOKUP($A509,Spells!$A$2:$I1002,MATCH(G$3,Spells!$A$1:$I$1,0),FALSE))</f>
        <v/>
      </c>
      <c r="H509" s="16" t="str">
        <f>IFNA(VLOOKUP($A509,Spells!$A$2:$I1002,MATCH(H$3,Spells!$A$1:$I$1,0),FALSE))</f>
        <v/>
      </c>
    </row>
    <row r="510">
      <c r="A510" s="16"/>
      <c r="B510" s="16" t="str">
        <f>IFNA(VLOOKUP($A510,Spells!$A$2:$I1002,MATCH(B$3,Spells!$A$1:$I$1,0),FALSE))</f>
        <v/>
      </c>
      <c r="C510" s="16" t="str">
        <f>IFNA(VLOOKUP($A510,Spells!$A$2:$I1002,MATCH(C$3,Spells!$A$1:$I$1,0),FALSE))</f>
        <v/>
      </c>
      <c r="D510" s="16" t="str">
        <f>IFNA(VLOOKUP($A510,Spells!$A$2:$I1002,MATCH(D$3,Spells!$A$1:$I$1,0),FALSE))</f>
        <v/>
      </c>
      <c r="E510" s="16" t="str">
        <f>IFNA(VLOOKUP($A510,Spells!$A$2:$I1002,MATCH(E$3,Spells!$A$1:$I$1,0),FALSE))</f>
        <v/>
      </c>
      <c r="F510" s="16" t="str">
        <f>IFNA(VLOOKUP($A510,Spells!$A$2:$I1002,MATCH(F$3,Spells!$A$1:$I$1,0),FALSE))</f>
        <v/>
      </c>
      <c r="G510" s="16" t="str">
        <f>IFNA(VLOOKUP($A510,Spells!$A$2:$I1002,MATCH(G$3,Spells!$A$1:$I$1,0),FALSE))</f>
        <v/>
      </c>
      <c r="H510" s="16" t="str">
        <f>IFNA(VLOOKUP($A510,Spells!$A$2:$I1002,MATCH(H$3,Spells!$A$1:$I$1,0),FALSE))</f>
        <v/>
      </c>
    </row>
    <row r="511">
      <c r="A511" s="16"/>
      <c r="B511" s="16" t="str">
        <f>IFNA(VLOOKUP($A511,Spells!$A$2:$I1002,MATCH(B$3,Spells!$A$1:$I$1,0),FALSE))</f>
        <v/>
      </c>
      <c r="C511" s="16" t="str">
        <f>IFNA(VLOOKUP($A511,Spells!$A$2:$I1002,MATCH(C$3,Spells!$A$1:$I$1,0),FALSE))</f>
        <v/>
      </c>
      <c r="D511" s="16" t="str">
        <f>IFNA(VLOOKUP($A511,Spells!$A$2:$I1002,MATCH(D$3,Spells!$A$1:$I$1,0),FALSE))</f>
        <v/>
      </c>
      <c r="E511" s="16" t="str">
        <f>IFNA(VLOOKUP($A511,Spells!$A$2:$I1002,MATCH(E$3,Spells!$A$1:$I$1,0),FALSE))</f>
        <v/>
      </c>
      <c r="F511" s="16" t="str">
        <f>IFNA(VLOOKUP($A511,Spells!$A$2:$I1002,MATCH(F$3,Spells!$A$1:$I$1,0),FALSE))</f>
        <v/>
      </c>
      <c r="G511" s="16" t="str">
        <f>IFNA(VLOOKUP($A511,Spells!$A$2:$I1002,MATCH(G$3,Spells!$A$1:$I$1,0),FALSE))</f>
        <v/>
      </c>
      <c r="H511" s="16" t="str">
        <f>IFNA(VLOOKUP($A511,Spells!$A$2:$I1002,MATCH(H$3,Spells!$A$1:$I$1,0),FALSE))</f>
        <v/>
      </c>
    </row>
    <row r="512">
      <c r="A512" s="16"/>
      <c r="B512" s="16" t="str">
        <f>IFNA(VLOOKUP($A512,Spells!$A$2:$I1002,MATCH(B$3,Spells!$A$1:$I$1,0),FALSE))</f>
        <v/>
      </c>
      <c r="C512" s="16" t="str">
        <f>IFNA(VLOOKUP($A512,Spells!$A$2:$I1002,MATCH(C$3,Spells!$A$1:$I$1,0),FALSE))</f>
        <v/>
      </c>
      <c r="D512" s="16" t="str">
        <f>IFNA(VLOOKUP($A512,Spells!$A$2:$I1002,MATCH(D$3,Spells!$A$1:$I$1,0),FALSE))</f>
        <v/>
      </c>
      <c r="E512" s="16" t="str">
        <f>IFNA(VLOOKUP($A512,Spells!$A$2:$I1002,MATCH(E$3,Spells!$A$1:$I$1,0),FALSE))</f>
        <v/>
      </c>
      <c r="F512" s="16" t="str">
        <f>IFNA(VLOOKUP($A512,Spells!$A$2:$I1002,MATCH(F$3,Spells!$A$1:$I$1,0),FALSE))</f>
        <v/>
      </c>
      <c r="G512" s="16" t="str">
        <f>IFNA(VLOOKUP($A512,Spells!$A$2:$I1002,MATCH(G$3,Spells!$A$1:$I$1,0),FALSE))</f>
        <v/>
      </c>
      <c r="H512" s="16" t="str">
        <f>IFNA(VLOOKUP($A512,Spells!$A$2:$I1002,MATCH(H$3,Spells!$A$1:$I$1,0),FALSE))</f>
        <v/>
      </c>
    </row>
    <row r="513">
      <c r="A513" s="16"/>
      <c r="B513" s="16" t="str">
        <f>IFNA(VLOOKUP($A513,Spells!$A$2:$I1002,MATCH(B$3,Spells!$A$1:$I$1,0),FALSE))</f>
        <v/>
      </c>
      <c r="C513" s="16" t="str">
        <f>IFNA(VLOOKUP($A513,Spells!$A$2:$I1002,MATCH(C$3,Spells!$A$1:$I$1,0),FALSE))</f>
        <v/>
      </c>
      <c r="D513" s="16" t="str">
        <f>IFNA(VLOOKUP($A513,Spells!$A$2:$I1002,MATCH(D$3,Spells!$A$1:$I$1,0),FALSE))</f>
        <v/>
      </c>
      <c r="E513" s="16" t="str">
        <f>IFNA(VLOOKUP($A513,Spells!$A$2:$I1002,MATCH(E$3,Spells!$A$1:$I$1,0),FALSE))</f>
        <v/>
      </c>
      <c r="F513" s="16" t="str">
        <f>IFNA(VLOOKUP($A513,Spells!$A$2:$I1002,MATCH(F$3,Spells!$A$1:$I$1,0),FALSE))</f>
        <v/>
      </c>
      <c r="G513" s="16" t="str">
        <f>IFNA(VLOOKUP($A513,Spells!$A$2:$I1002,MATCH(G$3,Spells!$A$1:$I$1,0),FALSE))</f>
        <v/>
      </c>
      <c r="H513" s="16" t="str">
        <f>IFNA(VLOOKUP($A513,Spells!$A$2:$I1002,MATCH(H$3,Spells!$A$1:$I$1,0),FALSE))</f>
        <v/>
      </c>
    </row>
    <row r="514">
      <c r="A514" s="16"/>
      <c r="B514" s="16" t="str">
        <f>IFNA(VLOOKUP($A514,Spells!$A$2:$I1002,MATCH(B$3,Spells!$A$1:$I$1,0),FALSE))</f>
        <v/>
      </c>
      <c r="C514" s="16" t="str">
        <f>IFNA(VLOOKUP($A514,Spells!$A$2:$I1002,MATCH(C$3,Spells!$A$1:$I$1,0),FALSE))</f>
        <v/>
      </c>
      <c r="D514" s="16" t="str">
        <f>IFNA(VLOOKUP($A514,Spells!$A$2:$I1002,MATCH(D$3,Spells!$A$1:$I$1,0),FALSE))</f>
        <v/>
      </c>
      <c r="E514" s="16" t="str">
        <f>IFNA(VLOOKUP($A514,Spells!$A$2:$I1002,MATCH(E$3,Spells!$A$1:$I$1,0),FALSE))</f>
        <v/>
      </c>
      <c r="F514" s="16" t="str">
        <f>IFNA(VLOOKUP($A514,Spells!$A$2:$I1002,MATCH(F$3,Spells!$A$1:$I$1,0),FALSE))</f>
        <v/>
      </c>
      <c r="G514" s="16" t="str">
        <f>IFNA(VLOOKUP($A514,Spells!$A$2:$I1002,MATCH(G$3,Spells!$A$1:$I$1,0),FALSE))</f>
        <v/>
      </c>
      <c r="H514" s="16" t="str">
        <f>IFNA(VLOOKUP($A514,Spells!$A$2:$I1002,MATCH(H$3,Spells!$A$1:$I$1,0),FALSE))</f>
        <v/>
      </c>
    </row>
    <row r="515">
      <c r="A515" s="16"/>
      <c r="B515" s="16" t="str">
        <f>IFNA(VLOOKUP($A515,Spells!$A$2:$I1002,MATCH(B$3,Spells!$A$1:$I$1,0),FALSE))</f>
        <v/>
      </c>
      <c r="C515" s="16" t="str">
        <f>IFNA(VLOOKUP($A515,Spells!$A$2:$I1002,MATCH(C$3,Spells!$A$1:$I$1,0),FALSE))</f>
        <v/>
      </c>
      <c r="D515" s="16" t="str">
        <f>IFNA(VLOOKUP($A515,Spells!$A$2:$I1002,MATCH(D$3,Spells!$A$1:$I$1,0),FALSE))</f>
        <v/>
      </c>
      <c r="E515" s="16" t="str">
        <f>IFNA(VLOOKUP($A515,Spells!$A$2:$I1002,MATCH(E$3,Spells!$A$1:$I$1,0),FALSE))</f>
        <v/>
      </c>
      <c r="F515" s="16" t="str">
        <f>IFNA(VLOOKUP($A515,Spells!$A$2:$I1002,MATCH(F$3,Spells!$A$1:$I$1,0),FALSE))</f>
        <v/>
      </c>
      <c r="G515" s="16" t="str">
        <f>IFNA(VLOOKUP($A515,Spells!$A$2:$I1002,MATCH(G$3,Spells!$A$1:$I$1,0),FALSE))</f>
        <v/>
      </c>
      <c r="H515" s="16" t="str">
        <f>IFNA(VLOOKUP($A515,Spells!$A$2:$I1002,MATCH(H$3,Spells!$A$1:$I$1,0),FALSE))</f>
        <v/>
      </c>
    </row>
    <row r="516">
      <c r="A516" s="16"/>
      <c r="B516" s="16" t="str">
        <f>IFNA(VLOOKUP($A516,Spells!$A$2:$I1002,MATCH(B$3,Spells!$A$1:$I$1,0),FALSE))</f>
        <v/>
      </c>
      <c r="C516" s="16" t="str">
        <f>IFNA(VLOOKUP($A516,Spells!$A$2:$I1002,MATCH(C$3,Spells!$A$1:$I$1,0),FALSE))</f>
        <v/>
      </c>
      <c r="D516" s="16" t="str">
        <f>IFNA(VLOOKUP($A516,Spells!$A$2:$I1002,MATCH(D$3,Spells!$A$1:$I$1,0),FALSE))</f>
        <v/>
      </c>
      <c r="E516" s="16" t="str">
        <f>IFNA(VLOOKUP($A516,Spells!$A$2:$I1002,MATCH(E$3,Spells!$A$1:$I$1,0),FALSE))</f>
        <v/>
      </c>
      <c r="F516" s="16" t="str">
        <f>IFNA(VLOOKUP($A516,Spells!$A$2:$I1002,MATCH(F$3,Spells!$A$1:$I$1,0),FALSE))</f>
        <v/>
      </c>
      <c r="G516" s="16" t="str">
        <f>IFNA(VLOOKUP($A516,Spells!$A$2:$I1002,MATCH(G$3,Spells!$A$1:$I$1,0),FALSE))</f>
        <v/>
      </c>
      <c r="H516" s="16" t="str">
        <f>IFNA(VLOOKUP($A516,Spells!$A$2:$I1002,MATCH(H$3,Spells!$A$1:$I$1,0),FALSE))</f>
        <v/>
      </c>
    </row>
    <row r="517">
      <c r="A517" s="16"/>
      <c r="B517" s="16" t="str">
        <f>IFNA(VLOOKUP($A517,Spells!$A$2:$I1002,MATCH(B$3,Spells!$A$1:$I$1,0),FALSE))</f>
        <v/>
      </c>
      <c r="C517" s="16" t="str">
        <f>IFNA(VLOOKUP($A517,Spells!$A$2:$I1002,MATCH(C$3,Spells!$A$1:$I$1,0),FALSE))</f>
        <v/>
      </c>
      <c r="D517" s="16" t="str">
        <f>IFNA(VLOOKUP($A517,Spells!$A$2:$I1002,MATCH(D$3,Spells!$A$1:$I$1,0),FALSE))</f>
        <v/>
      </c>
      <c r="E517" s="16" t="str">
        <f>IFNA(VLOOKUP($A517,Spells!$A$2:$I1002,MATCH(E$3,Spells!$A$1:$I$1,0),FALSE))</f>
        <v/>
      </c>
      <c r="F517" s="16" t="str">
        <f>IFNA(VLOOKUP($A517,Spells!$A$2:$I1002,MATCH(F$3,Spells!$A$1:$I$1,0),FALSE))</f>
        <v/>
      </c>
      <c r="G517" s="16" t="str">
        <f>IFNA(VLOOKUP($A517,Spells!$A$2:$I1002,MATCH(G$3,Spells!$A$1:$I$1,0),FALSE))</f>
        <v/>
      </c>
      <c r="H517" s="16" t="str">
        <f>IFNA(VLOOKUP($A517,Spells!$A$2:$I1002,MATCH(H$3,Spells!$A$1:$I$1,0),FALSE))</f>
        <v/>
      </c>
    </row>
    <row r="518">
      <c r="A518" s="16"/>
      <c r="B518" s="16" t="str">
        <f>IFNA(VLOOKUP($A518,Spells!$A$2:$I1002,MATCH(B$3,Spells!$A$1:$I$1,0),FALSE))</f>
        <v/>
      </c>
      <c r="C518" s="16" t="str">
        <f>IFNA(VLOOKUP($A518,Spells!$A$2:$I1002,MATCH(C$3,Spells!$A$1:$I$1,0),FALSE))</f>
        <v/>
      </c>
      <c r="D518" s="16" t="str">
        <f>IFNA(VLOOKUP($A518,Spells!$A$2:$I1002,MATCH(D$3,Spells!$A$1:$I$1,0),FALSE))</f>
        <v/>
      </c>
      <c r="E518" s="16" t="str">
        <f>IFNA(VLOOKUP($A518,Spells!$A$2:$I1002,MATCH(E$3,Spells!$A$1:$I$1,0),FALSE))</f>
        <v/>
      </c>
      <c r="F518" s="16" t="str">
        <f>IFNA(VLOOKUP($A518,Spells!$A$2:$I1002,MATCH(F$3,Spells!$A$1:$I$1,0),FALSE))</f>
        <v/>
      </c>
      <c r="G518" s="16" t="str">
        <f>IFNA(VLOOKUP($A518,Spells!$A$2:$I1002,MATCH(G$3,Spells!$A$1:$I$1,0),FALSE))</f>
        <v/>
      </c>
      <c r="H518" s="16" t="str">
        <f>IFNA(VLOOKUP($A518,Spells!$A$2:$I1002,MATCH(H$3,Spells!$A$1:$I$1,0),FALSE))</f>
        <v/>
      </c>
    </row>
    <row r="519">
      <c r="A519" s="16"/>
      <c r="B519" s="16" t="str">
        <f>IFNA(VLOOKUP($A519,Spells!$A$2:$I1002,MATCH(B$3,Spells!$A$1:$I$1,0),FALSE))</f>
        <v/>
      </c>
      <c r="C519" s="16" t="str">
        <f>IFNA(VLOOKUP($A519,Spells!$A$2:$I1002,MATCH(C$3,Spells!$A$1:$I$1,0),FALSE))</f>
        <v/>
      </c>
      <c r="D519" s="16" t="str">
        <f>IFNA(VLOOKUP($A519,Spells!$A$2:$I1002,MATCH(D$3,Spells!$A$1:$I$1,0),FALSE))</f>
        <v/>
      </c>
      <c r="E519" s="16" t="str">
        <f>IFNA(VLOOKUP($A519,Spells!$A$2:$I1002,MATCH(E$3,Spells!$A$1:$I$1,0),FALSE))</f>
        <v/>
      </c>
      <c r="F519" s="16" t="str">
        <f>IFNA(VLOOKUP($A519,Spells!$A$2:$I1002,MATCH(F$3,Spells!$A$1:$I$1,0),FALSE))</f>
        <v/>
      </c>
      <c r="G519" s="16" t="str">
        <f>IFNA(VLOOKUP($A519,Spells!$A$2:$I1002,MATCH(G$3,Spells!$A$1:$I$1,0),FALSE))</f>
        <v/>
      </c>
      <c r="H519" s="16" t="str">
        <f>IFNA(VLOOKUP($A519,Spells!$A$2:$I1002,MATCH(H$3,Spells!$A$1:$I$1,0),FALSE))</f>
        <v/>
      </c>
    </row>
    <row r="520">
      <c r="A520" s="16"/>
      <c r="B520" s="16" t="str">
        <f>IFNA(VLOOKUP($A520,Spells!$A$2:$I1002,MATCH(B$3,Spells!$A$1:$I$1,0),FALSE))</f>
        <v/>
      </c>
      <c r="C520" s="16" t="str">
        <f>IFNA(VLOOKUP($A520,Spells!$A$2:$I1002,MATCH(C$3,Spells!$A$1:$I$1,0),FALSE))</f>
        <v/>
      </c>
      <c r="D520" s="16" t="str">
        <f>IFNA(VLOOKUP($A520,Spells!$A$2:$I1002,MATCH(D$3,Spells!$A$1:$I$1,0),FALSE))</f>
        <v/>
      </c>
      <c r="E520" s="16" t="str">
        <f>IFNA(VLOOKUP($A520,Spells!$A$2:$I1002,MATCH(E$3,Spells!$A$1:$I$1,0),FALSE))</f>
        <v/>
      </c>
      <c r="F520" s="16" t="str">
        <f>IFNA(VLOOKUP($A520,Spells!$A$2:$I1002,MATCH(F$3,Spells!$A$1:$I$1,0),FALSE))</f>
        <v/>
      </c>
      <c r="G520" s="16" t="str">
        <f>IFNA(VLOOKUP($A520,Spells!$A$2:$I1002,MATCH(G$3,Spells!$A$1:$I$1,0),FALSE))</f>
        <v/>
      </c>
      <c r="H520" s="16" t="str">
        <f>IFNA(VLOOKUP($A520,Spells!$A$2:$I1002,MATCH(H$3,Spells!$A$1:$I$1,0),FALSE))</f>
        <v/>
      </c>
    </row>
    <row r="521">
      <c r="A521" s="16"/>
      <c r="B521" s="16" t="str">
        <f>IFNA(VLOOKUP($A521,Spells!$A$2:$I1002,MATCH(B$3,Spells!$A$1:$I$1,0),FALSE))</f>
        <v/>
      </c>
      <c r="C521" s="16" t="str">
        <f>IFNA(VLOOKUP($A521,Spells!$A$2:$I1002,MATCH(C$3,Spells!$A$1:$I$1,0),FALSE))</f>
        <v/>
      </c>
      <c r="D521" s="16" t="str">
        <f>IFNA(VLOOKUP($A521,Spells!$A$2:$I1002,MATCH(D$3,Spells!$A$1:$I$1,0),FALSE))</f>
        <v/>
      </c>
      <c r="E521" s="16" t="str">
        <f>IFNA(VLOOKUP($A521,Spells!$A$2:$I1002,MATCH(E$3,Spells!$A$1:$I$1,0),FALSE))</f>
        <v/>
      </c>
      <c r="F521" s="16" t="str">
        <f>IFNA(VLOOKUP($A521,Spells!$A$2:$I1002,MATCH(F$3,Spells!$A$1:$I$1,0),FALSE))</f>
        <v/>
      </c>
      <c r="G521" s="16" t="str">
        <f>IFNA(VLOOKUP($A521,Spells!$A$2:$I1002,MATCH(G$3,Spells!$A$1:$I$1,0),FALSE))</f>
        <v/>
      </c>
      <c r="H521" s="16" t="str">
        <f>IFNA(VLOOKUP($A521,Spells!$A$2:$I1002,MATCH(H$3,Spells!$A$1:$I$1,0),FALSE))</f>
        <v/>
      </c>
    </row>
    <row r="522">
      <c r="A522" s="16"/>
      <c r="B522" s="16" t="str">
        <f>IFNA(VLOOKUP($A522,Spells!$A$2:$I1002,MATCH(B$3,Spells!$A$1:$I$1,0),FALSE))</f>
        <v/>
      </c>
      <c r="C522" s="16" t="str">
        <f>IFNA(VLOOKUP($A522,Spells!$A$2:$I1002,MATCH(C$3,Spells!$A$1:$I$1,0),FALSE))</f>
        <v/>
      </c>
      <c r="D522" s="16" t="str">
        <f>IFNA(VLOOKUP($A522,Spells!$A$2:$I1002,MATCH(D$3,Spells!$A$1:$I$1,0),FALSE))</f>
        <v/>
      </c>
      <c r="E522" s="16" t="str">
        <f>IFNA(VLOOKUP($A522,Spells!$A$2:$I1002,MATCH(E$3,Spells!$A$1:$I$1,0),FALSE))</f>
        <v/>
      </c>
      <c r="F522" s="16" t="str">
        <f>IFNA(VLOOKUP($A522,Spells!$A$2:$I1002,MATCH(F$3,Spells!$A$1:$I$1,0),FALSE))</f>
        <v/>
      </c>
      <c r="G522" s="16" t="str">
        <f>IFNA(VLOOKUP($A522,Spells!$A$2:$I1002,MATCH(G$3,Spells!$A$1:$I$1,0),FALSE))</f>
        <v/>
      </c>
      <c r="H522" s="16" t="str">
        <f>IFNA(VLOOKUP($A522,Spells!$A$2:$I1002,MATCH(H$3,Spells!$A$1:$I$1,0),FALSE))</f>
        <v/>
      </c>
    </row>
    <row r="523">
      <c r="A523" s="16"/>
      <c r="B523" s="16" t="str">
        <f>IFNA(VLOOKUP($A523,Spells!$A$2:$I1002,MATCH(B$3,Spells!$A$1:$I$1,0),FALSE))</f>
        <v/>
      </c>
      <c r="C523" s="16" t="str">
        <f>IFNA(VLOOKUP($A523,Spells!$A$2:$I1002,MATCH(C$3,Spells!$A$1:$I$1,0),FALSE))</f>
        <v/>
      </c>
      <c r="D523" s="16" t="str">
        <f>IFNA(VLOOKUP($A523,Spells!$A$2:$I1002,MATCH(D$3,Spells!$A$1:$I$1,0),FALSE))</f>
        <v/>
      </c>
      <c r="E523" s="16" t="str">
        <f>IFNA(VLOOKUP($A523,Spells!$A$2:$I1002,MATCH(E$3,Spells!$A$1:$I$1,0),FALSE))</f>
        <v/>
      </c>
      <c r="F523" s="16" t="str">
        <f>IFNA(VLOOKUP($A523,Spells!$A$2:$I1002,MATCH(F$3,Spells!$A$1:$I$1,0),FALSE))</f>
        <v/>
      </c>
      <c r="G523" s="16" t="str">
        <f>IFNA(VLOOKUP($A523,Spells!$A$2:$I1002,MATCH(G$3,Spells!$A$1:$I$1,0),FALSE))</f>
        <v/>
      </c>
      <c r="H523" s="16" t="str">
        <f>IFNA(VLOOKUP($A523,Spells!$A$2:$I1002,MATCH(H$3,Spells!$A$1:$I$1,0),FALSE))</f>
        <v/>
      </c>
    </row>
    <row r="524">
      <c r="A524" s="16"/>
      <c r="B524" s="16" t="str">
        <f>IFNA(VLOOKUP($A524,Spells!$A$2:$I1002,MATCH(B$3,Spells!$A$1:$I$1,0),FALSE))</f>
        <v/>
      </c>
      <c r="C524" s="16" t="str">
        <f>IFNA(VLOOKUP($A524,Spells!$A$2:$I1002,MATCH(C$3,Spells!$A$1:$I$1,0),FALSE))</f>
        <v/>
      </c>
      <c r="D524" s="16" t="str">
        <f>IFNA(VLOOKUP($A524,Spells!$A$2:$I1002,MATCH(D$3,Spells!$A$1:$I$1,0),FALSE))</f>
        <v/>
      </c>
      <c r="E524" s="16" t="str">
        <f>IFNA(VLOOKUP($A524,Spells!$A$2:$I1002,MATCH(E$3,Spells!$A$1:$I$1,0),FALSE))</f>
        <v/>
      </c>
      <c r="F524" s="16" t="str">
        <f>IFNA(VLOOKUP($A524,Spells!$A$2:$I1002,MATCH(F$3,Spells!$A$1:$I$1,0),FALSE))</f>
        <v/>
      </c>
      <c r="G524" s="16" t="str">
        <f>IFNA(VLOOKUP($A524,Spells!$A$2:$I1002,MATCH(G$3,Spells!$A$1:$I$1,0),FALSE))</f>
        <v/>
      </c>
      <c r="H524" s="16" t="str">
        <f>IFNA(VLOOKUP($A524,Spells!$A$2:$I1002,MATCH(H$3,Spells!$A$1:$I$1,0),FALSE))</f>
        <v/>
      </c>
    </row>
    <row r="525">
      <c r="A525" s="16"/>
      <c r="B525" s="16" t="str">
        <f>IFNA(VLOOKUP($A525,Spells!$A$2:$I1002,MATCH(B$3,Spells!$A$1:$I$1,0),FALSE))</f>
        <v/>
      </c>
      <c r="C525" s="16" t="str">
        <f>IFNA(VLOOKUP($A525,Spells!$A$2:$I1002,MATCH(C$3,Spells!$A$1:$I$1,0),FALSE))</f>
        <v/>
      </c>
      <c r="D525" s="16" t="str">
        <f>IFNA(VLOOKUP($A525,Spells!$A$2:$I1002,MATCH(D$3,Spells!$A$1:$I$1,0),FALSE))</f>
        <v/>
      </c>
      <c r="E525" s="16" t="str">
        <f>IFNA(VLOOKUP($A525,Spells!$A$2:$I1002,MATCH(E$3,Spells!$A$1:$I$1,0),FALSE))</f>
        <v/>
      </c>
      <c r="F525" s="16" t="str">
        <f>IFNA(VLOOKUP($A525,Spells!$A$2:$I1002,MATCH(F$3,Spells!$A$1:$I$1,0),FALSE))</f>
        <v/>
      </c>
      <c r="G525" s="16" t="str">
        <f>IFNA(VLOOKUP($A525,Spells!$A$2:$I1002,MATCH(G$3,Spells!$A$1:$I$1,0),FALSE))</f>
        <v/>
      </c>
      <c r="H525" s="16" t="str">
        <f>IFNA(VLOOKUP($A525,Spells!$A$2:$I1002,MATCH(H$3,Spells!$A$1:$I$1,0),FALSE))</f>
        <v/>
      </c>
    </row>
    <row r="526">
      <c r="A526" s="16"/>
      <c r="B526" s="16" t="str">
        <f>IFNA(VLOOKUP($A526,Spells!$A$2:$I1002,MATCH(B$3,Spells!$A$1:$I$1,0),FALSE))</f>
        <v/>
      </c>
      <c r="C526" s="16" t="str">
        <f>IFNA(VLOOKUP($A526,Spells!$A$2:$I1002,MATCH(C$3,Spells!$A$1:$I$1,0),FALSE))</f>
        <v/>
      </c>
      <c r="D526" s="16" t="str">
        <f>IFNA(VLOOKUP($A526,Spells!$A$2:$I1002,MATCH(D$3,Spells!$A$1:$I$1,0),FALSE))</f>
        <v/>
      </c>
      <c r="E526" s="16" t="str">
        <f>IFNA(VLOOKUP($A526,Spells!$A$2:$I1002,MATCH(E$3,Spells!$A$1:$I$1,0),FALSE))</f>
        <v/>
      </c>
      <c r="F526" s="16" t="str">
        <f>IFNA(VLOOKUP($A526,Spells!$A$2:$I1002,MATCH(F$3,Spells!$A$1:$I$1,0),FALSE))</f>
        <v/>
      </c>
      <c r="G526" s="16" t="str">
        <f>IFNA(VLOOKUP($A526,Spells!$A$2:$I1002,MATCH(G$3,Spells!$A$1:$I$1,0),FALSE))</f>
        <v/>
      </c>
      <c r="H526" s="16" t="str">
        <f>IFNA(VLOOKUP($A526,Spells!$A$2:$I1002,MATCH(H$3,Spells!$A$1:$I$1,0),FALSE))</f>
        <v/>
      </c>
    </row>
    <row r="527">
      <c r="A527" s="16"/>
      <c r="B527" s="16" t="str">
        <f>IFNA(VLOOKUP($A527,Spells!$A$2:$I1002,MATCH(B$3,Spells!$A$1:$I$1,0),FALSE))</f>
        <v/>
      </c>
      <c r="C527" s="16" t="str">
        <f>IFNA(VLOOKUP($A527,Spells!$A$2:$I1002,MATCH(C$3,Spells!$A$1:$I$1,0),FALSE))</f>
        <v/>
      </c>
      <c r="D527" s="16" t="str">
        <f>IFNA(VLOOKUP($A527,Spells!$A$2:$I1002,MATCH(D$3,Spells!$A$1:$I$1,0),FALSE))</f>
        <v/>
      </c>
      <c r="E527" s="16" t="str">
        <f>IFNA(VLOOKUP($A527,Spells!$A$2:$I1002,MATCH(E$3,Spells!$A$1:$I$1,0),FALSE))</f>
        <v/>
      </c>
      <c r="F527" s="16" t="str">
        <f>IFNA(VLOOKUP($A527,Spells!$A$2:$I1002,MATCH(F$3,Spells!$A$1:$I$1,0),FALSE))</f>
        <v/>
      </c>
      <c r="G527" s="16" t="str">
        <f>IFNA(VLOOKUP($A527,Spells!$A$2:$I1002,MATCH(G$3,Spells!$A$1:$I$1,0),FALSE))</f>
        <v/>
      </c>
      <c r="H527" s="16" t="str">
        <f>IFNA(VLOOKUP($A527,Spells!$A$2:$I1002,MATCH(H$3,Spells!$A$1:$I$1,0),FALSE))</f>
        <v/>
      </c>
    </row>
    <row r="528">
      <c r="A528" s="16"/>
      <c r="B528" s="16" t="str">
        <f>IFNA(VLOOKUP($A528,Spells!$A$2:$I1002,MATCH(B$3,Spells!$A$1:$I$1,0),FALSE))</f>
        <v/>
      </c>
      <c r="C528" s="16" t="str">
        <f>IFNA(VLOOKUP($A528,Spells!$A$2:$I1002,MATCH(C$3,Spells!$A$1:$I$1,0),FALSE))</f>
        <v/>
      </c>
      <c r="D528" s="16" t="str">
        <f>IFNA(VLOOKUP($A528,Spells!$A$2:$I1002,MATCH(D$3,Spells!$A$1:$I$1,0),FALSE))</f>
        <v/>
      </c>
      <c r="E528" s="16" t="str">
        <f>IFNA(VLOOKUP($A528,Spells!$A$2:$I1002,MATCH(E$3,Spells!$A$1:$I$1,0),FALSE))</f>
        <v/>
      </c>
      <c r="F528" s="16" t="str">
        <f>IFNA(VLOOKUP($A528,Spells!$A$2:$I1002,MATCH(F$3,Spells!$A$1:$I$1,0),FALSE))</f>
        <v/>
      </c>
      <c r="G528" s="16" t="str">
        <f>IFNA(VLOOKUP($A528,Spells!$A$2:$I1002,MATCH(G$3,Spells!$A$1:$I$1,0),FALSE))</f>
        <v/>
      </c>
      <c r="H528" s="16" t="str">
        <f>IFNA(VLOOKUP($A528,Spells!$A$2:$I1002,MATCH(H$3,Spells!$A$1:$I$1,0),FALSE))</f>
        <v/>
      </c>
    </row>
    <row r="529">
      <c r="A529" s="16"/>
      <c r="B529" s="16" t="str">
        <f>IFNA(VLOOKUP($A529,Spells!$A$2:$I1002,MATCH(B$3,Spells!$A$1:$I$1,0),FALSE))</f>
        <v/>
      </c>
      <c r="C529" s="16" t="str">
        <f>IFNA(VLOOKUP($A529,Spells!$A$2:$I1002,MATCH(C$3,Spells!$A$1:$I$1,0),FALSE))</f>
        <v/>
      </c>
      <c r="D529" s="16" t="str">
        <f>IFNA(VLOOKUP($A529,Spells!$A$2:$I1002,MATCH(D$3,Spells!$A$1:$I$1,0),FALSE))</f>
        <v/>
      </c>
      <c r="E529" s="16" t="str">
        <f>IFNA(VLOOKUP($A529,Spells!$A$2:$I1002,MATCH(E$3,Spells!$A$1:$I$1,0),FALSE))</f>
        <v/>
      </c>
      <c r="F529" s="16" t="str">
        <f>IFNA(VLOOKUP($A529,Spells!$A$2:$I1002,MATCH(F$3,Spells!$A$1:$I$1,0),FALSE))</f>
        <v/>
      </c>
      <c r="G529" s="16" t="str">
        <f>IFNA(VLOOKUP($A529,Spells!$A$2:$I1002,MATCH(G$3,Spells!$A$1:$I$1,0),FALSE))</f>
        <v/>
      </c>
      <c r="H529" s="16" t="str">
        <f>IFNA(VLOOKUP($A529,Spells!$A$2:$I1002,MATCH(H$3,Spells!$A$1:$I$1,0),FALSE))</f>
        <v/>
      </c>
    </row>
    <row r="530">
      <c r="A530" s="16"/>
      <c r="B530" s="16" t="str">
        <f>IFNA(VLOOKUP($A530,Spells!$A$2:$I1002,MATCH(B$3,Spells!$A$1:$I$1,0),FALSE))</f>
        <v/>
      </c>
      <c r="C530" s="16" t="str">
        <f>IFNA(VLOOKUP($A530,Spells!$A$2:$I1002,MATCH(C$3,Spells!$A$1:$I$1,0),FALSE))</f>
        <v/>
      </c>
      <c r="D530" s="16" t="str">
        <f>IFNA(VLOOKUP($A530,Spells!$A$2:$I1002,MATCH(D$3,Spells!$A$1:$I$1,0),FALSE))</f>
        <v/>
      </c>
      <c r="E530" s="16" t="str">
        <f>IFNA(VLOOKUP($A530,Spells!$A$2:$I1002,MATCH(E$3,Spells!$A$1:$I$1,0),FALSE))</f>
        <v/>
      </c>
      <c r="F530" s="16" t="str">
        <f>IFNA(VLOOKUP($A530,Spells!$A$2:$I1002,MATCH(F$3,Spells!$A$1:$I$1,0),FALSE))</f>
        <v/>
      </c>
      <c r="G530" s="16" t="str">
        <f>IFNA(VLOOKUP($A530,Spells!$A$2:$I1002,MATCH(G$3,Spells!$A$1:$I$1,0),FALSE))</f>
        <v/>
      </c>
      <c r="H530" s="16" t="str">
        <f>IFNA(VLOOKUP($A530,Spells!$A$2:$I1002,MATCH(H$3,Spells!$A$1:$I$1,0),FALSE))</f>
        <v/>
      </c>
    </row>
    <row r="531">
      <c r="A531" s="16"/>
      <c r="B531" s="16" t="str">
        <f>IFNA(VLOOKUP($A531,Spells!$A$2:$I1002,MATCH(B$3,Spells!$A$1:$I$1,0),FALSE))</f>
        <v/>
      </c>
      <c r="C531" s="16" t="str">
        <f>IFNA(VLOOKUP($A531,Spells!$A$2:$I1002,MATCH(C$3,Spells!$A$1:$I$1,0),FALSE))</f>
        <v/>
      </c>
      <c r="D531" s="16" t="str">
        <f>IFNA(VLOOKUP($A531,Spells!$A$2:$I1002,MATCH(D$3,Spells!$A$1:$I$1,0),FALSE))</f>
        <v/>
      </c>
      <c r="E531" s="16" t="str">
        <f>IFNA(VLOOKUP($A531,Spells!$A$2:$I1002,MATCH(E$3,Spells!$A$1:$I$1,0),FALSE))</f>
        <v/>
      </c>
      <c r="F531" s="16" t="str">
        <f>IFNA(VLOOKUP($A531,Spells!$A$2:$I1002,MATCH(F$3,Spells!$A$1:$I$1,0),FALSE))</f>
        <v/>
      </c>
      <c r="G531" s="16" t="str">
        <f>IFNA(VLOOKUP($A531,Spells!$A$2:$I1002,MATCH(G$3,Spells!$A$1:$I$1,0),FALSE))</f>
        <v/>
      </c>
      <c r="H531" s="16" t="str">
        <f>IFNA(VLOOKUP($A531,Spells!$A$2:$I1002,MATCH(H$3,Spells!$A$1:$I$1,0),FALSE))</f>
        <v/>
      </c>
    </row>
    <row r="532">
      <c r="A532" s="16"/>
      <c r="B532" s="16" t="str">
        <f>IFNA(VLOOKUP($A532,Spells!$A$2:$I1002,MATCH(B$3,Spells!$A$1:$I$1,0),FALSE))</f>
        <v/>
      </c>
      <c r="C532" s="16" t="str">
        <f>IFNA(VLOOKUP($A532,Spells!$A$2:$I1002,MATCH(C$3,Spells!$A$1:$I$1,0),FALSE))</f>
        <v/>
      </c>
      <c r="D532" s="16" t="str">
        <f>IFNA(VLOOKUP($A532,Spells!$A$2:$I1002,MATCH(D$3,Spells!$A$1:$I$1,0),FALSE))</f>
        <v/>
      </c>
      <c r="E532" s="16" t="str">
        <f>IFNA(VLOOKUP($A532,Spells!$A$2:$I1002,MATCH(E$3,Spells!$A$1:$I$1,0),FALSE))</f>
        <v/>
      </c>
      <c r="F532" s="16" t="str">
        <f>IFNA(VLOOKUP($A532,Spells!$A$2:$I1002,MATCH(F$3,Spells!$A$1:$I$1,0),FALSE))</f>
        <v/>
      </c>
      <c r="G532" s="16" t="str">
        <f>IFNA(VLOOKUP($A532,Spells!$A$2:$I1002,MATCH(G$3,Spells!$A$1:$I$1,0),FALSE))</f>
        <v/>
      </c>
      <c r="H532" s="16" t="str">
        <f>IFNA(VLOOKUP($A532,Spells!$A$2:$I1002,MATCH(H$3,Spells!$A$1:$I$1,0),FALSE))</f>
        <v/>
      </c>
    </row>
    <row r="533">
      <c r="A533" s="16"/>
      <c r="B533" s="16" t="str">
        <f>IFNA(VLOOKUP($A533,Spells!$A$2:$I1002,MATCH(B$3,Spells!$A$1:$I$1,0),FALSE))</f>
        <v/>
      </c>
      <c r="C533" s="16" t="str">
        <f>IFNA(VLOOKUP($A533,Spells!$A$2:$I1002,MATCH(C$3,Spells!$A$1:$I$1,0),FALSE))</f>
        <v/>
      </c>
      <c r="D533" s="16" t="str">
        <f>IFNA(VLOOKUP($A533,Spells!$A$2:$I1002,MATCH(D$3,Spells!$A$1:$I$1,0),FALSE))</f>
        <v/>
      </c>
      <c r="E533" s="16" t="str">
        <f>IFNA(VLOOKUP($A533,Spells!$A$2:$I1002,MATCH(E$3,Spells!$A$1:$I$1,0),FALSE))</f>
        <v/>
      </c>
      <c r="F533" s="16" t="str">
        <f>IFNA(VLOOKUP($A533,Spells!$A$2:$I1002,MATCH(F$3,Spells!$A$1:$I$1,0),FALSE))</f>
        <v/>
      </c>
      <c r="G533" s="16" t="str">
        <f>IFNA(VLOOKUP($A533,Spells!$A$2:$I1002,MATCH(G$3,Spells!$A$1:$I$1,0),FALSE))</f>
        <v/>
      </c>
      <c r="H533" s="16" t="str">
        <f>IFNA(VLOOKUP($A533,Spells!$A$2:$I1002,MATCH(H$3,Spells!$A$1:$I$1,0),FALSE))</f>
        <v/>
      </c>
    </row>
    <row r="534">
      <c r="A534" s="16"/>
      <c r="B534" s="16" t="str">
        <f>IFNA(VLOOKUP($A534,Spells!$A$2:$I1002,MATCH(B$3,Spells!$A$1:$I$1,0),FALSE))</f>
        <v/>
      </c>
      <c r="C534" s="16" t="str">
        <f>IFNA(VLOOKUP($A534,Spells!$A$2:$I1002,MATCH(C$3,Spells!$A$1:$I$1,0),FALSE))</f>
        <v/>
      </c>
      <c r="D534" s="16" t="str">
        <f>IFNA(VLOOKUP($A534,Spells!$A$2:$I1002,MATCH(D$3,Spells!$A$1:$I$1,0),FALSE))</f>
        <v/>
      </c>
      <c r="E534" s="16" t="str">
        <f>IFNA(VLOOKUP($A534,Spells!$A$2:$I1002,MATCH(E$3,Spells!$A$1:$I$1,0),FALSE))</f>
        <v/>
      </c>
      <c r="F534" s="16" t="str">
        <f>IFNA(VLOOKUP($A534,Spells!$A$2:$I1002,MATCH(F$3,Spells!$A$1:$I$1,0),FALSE))</f>
        <v/>
      </c>
      <c r="G534" s="16" t="str">
        <f>IFNA(VLOOKUP($A534,Spells!$A$2:$I1002,MATCH(G$3,Spells!$A$1:$I$1,0),FALSE))</f>
        <v/>
      </c>
      <c r="H534" s="16" t="str">
        <f>IFNA(VLOOKUP($A534,Spells!$A$2:$I1002,MATCH(H$3,Spells!$A$1:$I$1,0),FALSE))</f>
        <v/>
      </c>
    </row>
    <row r="535">
      <c r="A535" s="16"/>
      <c r="B535" s="16" t="str">
        <f>IFNA(VLOOKUP($A535,Spells!$A$2:$I1002,MATCH(B$3,Spells!$A$1:$I$1,0),FALSE))</f>
        <v/>
      </c>
      <c r="C535" s="16" t="str">
        <f>IFNA(VLOOKUP($A535,Spells!$A$2:$I1002,MATCH(C$3,Spells!$A$1:$I$1,0),FALSE))</f>
        <v/>
      </c>
      <c r="D535" s="16" t="str">
        <f>IFNA(VLOOKUP($A535,Spells!$A$2:$I1002,MATCH(D$3,Spells!$A$1:$I$1,0),FALSE))</f>
        <v/>
      </c>
      <c r="E535" s="16" t="str">
        <f>IFNA(VLOOKUP($A535,Spells!$A$2:$I1002,MATCH(E$3,Spells!$A$1:$I$1,0),FALSE))</f>
        <v/>
      </c>
      <c r="F535" s="16" t="str">
        <f>IFNA(VLOOKUP($A535,Spells!$A$2:$I1002,MATCH(F$3,Spells!$A$1:$I$1,0),FALSE))</f>
        <v/>
      </c>
      <c r="G535" s="16" t="str">
        <f>IFNA(VLOOKUP($A535,Spells!$A$2:$I1002,MATCH(G$3,Spells!$A$1:$I$1,0),FALSE))</f>
        <v/>
      </c>
      <c r="H535" s="16" t="str">
        <f>IFNA(VLOOKUP($A535,Spells!$A$2:$I1002,MATCH(H$3,Spells!$A$1:$I$1,0),FALSE))</f>
        <v/>
      </c>
    </row>
    <row r="536">
      <c r="A536" s="16"/>
      <c r="B536" s="16" t="str">
        <f>IFNA(VLOOKUP($A536,Spells!$A$2:$I1002,MATCH(B$3,Spells!$A$1:$I$1,0),FALSE))</f>
        <v/>
      </c>
      <c r="C536" s="16" t="str">
        <f>IFNA(VLOOKUP($A536,Spells!$A$2:$I1002,MATCH(C$3,Spells!$A$1:$I$1,0),FALSE))</f>
        <v/>
      </c>
      <c r="D536" s="16" t="str">
        <f>IFNA(VLOOKUP($A536,Spells!$A$2:$I1002,MATCH(D$3,Spells!$A$1:$I$1,0),FALSE))</f>
        <v/>
      </c>
      <c r="E536" s="16" t="str">
        <f>IFNA(VLOOKUP($A536,Spells!$A$2:$I1002,MATCH(E$3,Spells!$A$1:$I$1,0),FALSE))</f>
        <v/>
      </c>
      <c r="F536" s="16" t="str">
        <f>IFNA(VLOOKUP($A536,Spells!$A$2:$I1002,MATCH(F$3,Spells!$A$1:$I$1,0),FALSE))</f>
        <v/>
      </c>
      <c r="G536" s="16" t="str">
        <f>IFNA(VLOOKUP($A536,Spells!$A$2:$I1002,MATCH(G$3,Spells!$A$1:$I$1,0),FALSE))</f>
        <v/>
      </c>
      <c r="H536" s="16" t="str">
        <f>IFNA(VLOOKUP($A536,Spells!$A$2:$I1002,MATCH(H$3,Spells!$A$1:$I$1,0),FALSE))</f>
        <v/>
      </c>
    </row>
    <row r="537">
      <c r="A537" s="16"/>
      <c r="B537" s="16" t="str">
        <f>IFNA(VLOOKUP($A537,Spells!$A$2:$I1002,MATCH(B$3,Spells!$A$1:$I$1,0),FALSE))</f>
        <v/>
      </c>
      <c r="C537" s="16" t="str">
        <f>IFNA(VLOOKUP($A537,Spells!$A$2:$I1002,MATCH(C$3,Spells!$A$1:$I$1,0),FALSE))</f>
        <v/>
      </c>
      <c r="D537" s="16" t="str">
        <f>IFNA(VLOOKUP($A537,Spells!$A$2:$I1002,MATCH(D$3,Spells!$A$1:$I$1,0),FALSE))</f>
        <v/>
      </c>
      <c r="E537" s="16" t="str">
        <f>IFNA(VLOOKUP($A537,Spells!$A$2:$I1002,MATCH(E$3,Spells!$A$1:$I$1,0),FALSE))</f>
        <v/>
      </c>
      <c r="F537" s="16" t="str">
        <f>IFNA(VLOOKUP($A537,Spells!$A$2:$I1002,MATCH(F$3,Spells!$A$1:$I$1,0),FALSE))</f>
        <v/>
      </c>
      <c r="G537" s="16" t="str">
        <f>IFNA(VLOOKUP($A537,Spells!$A$2:$I1002,MATCH(G$3,Spells!$A$1:$I$1,0),FALSE))</f>
        <v/>
      </c>
      <c r="H537" s="16" t="str">
        <f>IFNA(VLOOKUP($A537,Spells!$A$2:$I1002,MATCH(H$3,Spells!$A$1:$I$1,0),FALSE))</f>
        <v/>
      </c>
    </row>
    <row r="538">
      <c r="A538" s="16"/>
      <c r="B538" s="16" t="str">
        <f>IFNA(VLOOKUP($A538,Spells!$A$2:$I1002,MATCH(B$3,Spells!$A$1:$I$1,0),FALSE))</f>
        <v/>
      </c>
      <c r="C538" s="16" t="str">
        <f>IFNA(VLOOKUP($A538,Spells!$A$2:$I1002,MATCH(C$3,Spells!$A$1:$I$1,0),FALSE))</f>
        <v/>
      </c>
      <c r="D538" s="16" t="str">
        <f>IFNA(VLOOKUP($A538,Spells!$A$2:$I1002,MATCH(D$3,Spells!$A$1:$I$1,0),FALSE))</f>
        <v/>
      </c>
      <c r="E538" s="16" t="str">
        <f>IFNA(VLOOKUP($A538,Spells!$A$2:$I1002,MATCH(E$3,Spells!$A$1:$I$1,0),FALSE))</f>
        <v/>
      </c>
      <c r="F538" s="16" t="str">
        <f>IFNA(VLOOKUP($A538,Spells!$A$2:$I1002,MATCH(F$3,Spells!$A$1:$I$1,0),FALSE))</f>
        <v/>
      </c>
      <c r="G538" s="16" t="str">
        <f>IFNA(VLOOKUP($A538,Spells!$A$2:$I1002,MATCH(G$3,Spells!$A$1:$I$1,0),FALSE))</f>
        <v/>
      </c>
      <c r="H538" s="16" t="str">
        <f>IFNA(VLOOKUP($A538,Spells!$A$2:$I1002,MATCH(H$3,Spells!$A$1:$I$1,0),FALSE))</f>
        <v/>
      </c>
    </row>
    <row r="539">
      <c r="A539" s="16"/>
      <c r="B539" s="16" t="str">
        <f>IFNA(VLOOKUP($A539,Spells!$A$2:$I1002,MATCH(B$3,Spells!$A$1:$I$1,0),FALSE))</f>
        <v/>
      </c>
      <c r="C539" s="16" t="str">
        <f>IFNA(VLOOKUP($A539,Spells!$A$2:$I1002,MATCH(C$3,Spells!$A$1:$I$1,0),FALSE))</f>
        <v/>
      </c>
      <c r="D539" s="16" t="str">
        <f>IFNA(VLOOKUP($A539,Spells!$A$2:$I1002,MATCH(D$3,Spells!$A$1:$I$1,0),FALSE))</f>
        <v/>
      </c>
      <c r="E539" s="16" t="str">
        <f>IFNA(VLOOKUP($A539,Spells!$A$2:$I1002,MATCH(E$3,Spells!$A$1:$I$1,0),FALSE))</f>
        <v/>
      </c>
      <c r="F539" s="16" t="str">
        <f>IFNA(VLOOKUP($A539,Spells!$A$2:$I1002,MATCH(F$3,Spells!$A$1:$I$1,0),FALSE))</f>
        <v/>
      </c>
      <c r="G539" s="16" t="str">
        <f>IFNA(VLOOKUP($A539,Spells!$A$2:$I1002,MATCH(G$3,Spells!$A$1:$I$1,0),FALSE))</f>
        <v/>
      </c>
      <c r="H539" s="16" t="str">
        <f>IFNA(VLOOKUP($A539,Spells!$A$2:$I1002,MATCH(H$3,Spells!$A$1:$I$1,0),FALSE))</f>
        <v/>
      </c>
    </row>
    <row r="540">
      <c r="A540" s="16"/>
      <c r="B540" s="16" t="str">
        <f>IFNA(VLOOKUP($A540,Spells!$A$2:$I1002,MATCH(B$3,Spells!$A$1:$I$1,0),FALSE))</f>
        <v/>
      </c>
      <c r="C540" s="16" t="str">
        <f>IFNA(VLOOKUP($A540,Spells!$A$2:$I1002,MATCH(C$3,Spells!$A$1:$I$1,0),FALSE))</f>
        <v/>
      </c>
      <c r="D540" s="16" t="str">
        <f>IFNA(VLOOKUP($A540,Spells!$A$2:$I1002,MATCH(D$3,Spells!$A$1:$I$1,0),FALSE))</f>
        <v/>
      </c>
      <c r="E540" s="16" t="str">
        <f>IFNA(VLOOKUP($A540,Spells!$A$2:$I1002,MATCH(E$3,Spells!$A$1:$I$1,0),FALSE))</f>
        <v/>
      </c>
      <c r="F540" s="16" t="str">
        <f>IFNA(VLOOKUP($A540,Spells!$A$2:$I1002,MATCH(F$3,Spells!$A$1:$I$1,0),FALSE))</f>
        <v/>
      </c>
      <c r="G540" s="16" t="str">
        <f>IFNA(VLOOKUP($A540,Spells!$A$2:$I1002,MATCH(G$3,Spells!$A$1:$I$1,0),FALSE))</f>
        <v/>
      </c>
      <c r="H540" s="16" t="str">
        <f>IFNA(VLOOKUP($A540,Spells!$A$2:$I1002,MATCH(H$3,Spells!$A$1:$I$1,0),FALSE))</f>
        <v/>
      </c>
    </row>
    <row r="541">
      <c r="A541" s="16"/>
      <c r="B541" s="16" t="str">
        <f>IFNA(VLOOKUP($A541,Spells!$A$2:$I1002,MATCH(B$3,Spells!$A$1:$I$1,0),FALSE))</f>
        <v/>
      </c>
      <c r="C541" s="16" t="str">
        <f>IFNA(VLOOKUP($A541,Spells!$A$2:$I1002,MATCH(C$3,Spells!$A$1:$I$1,0),FALSE))</f>
        <v/>
      </c>
      <c r="D541" s="16" t="str">
        <f>IFNA(VLOOKUP($A541,Spells!$A$2:$I1002,MATCH(D$3,Spells!$A$1:$I$1,0),FALSE))</f>
        <v/>
      </c>
      <c r="E541" s="16" t="str">
        <f>IFNA(VLOOKUP($A541,Spells!$A$2:$I1002,MATCH(E$3,Spells!$A$1:$I$1,0),FALSE))</f>
        <v/>
      </c>
      <c r="F541" s="16" t="str">
        <f>IFNA(VLOOKUP($A541,Spells!$A$2:$I1002,MATCH(F$3,Spells!$A$1:$I$1,0),FALSE))</f>
        <v/>
      </c>
      <c r="G541" s="16" t="str">
        <f>IFNA(VLOOKUP($A541,Spells!$A$2:$I1002,MATCH(G$3,Spells!$A$1:$I$1,0),FALSE))</f>
        <v/>
      </c>
      <c r="H541" s="16" t="str">
        <f>IFNA(VLOOKUP($A541,Spells!$A$2:$I1002,MATCH(H$3,Spells!$A$1:$I$1,0),FALSE))</f>
        <v/>
      </c>
    </row>
    <row r="542">
      <c r="A542" s="16"/>
      <c r="B542" s="16" t="str">
        <f>IFNA(VLOOKUP($A542,Spells!$A$2:$I1002,MATCH(B$3,Spells!$A$1:$I$1,0),FALSE))</f>
        <v/>
      </c>
      <c r="C542" s="16" t="str">
        <f>IFNA(VLOOKUP($A542,Spells!$A$2:$I1002,MATCH(C$3,Spells!$A$1:$I$1,0),FALSE))</f>
        <v/>
      </c>
      <c r="D542" s="16" t="str">
        <f>IFNA(VLOOKUP($A542,Spells!$A$2:$I1002,MATCH(D$3,Spells!$A$1:$I$1,0),FALSE))</f>
        <v/>
      </c>
      <c r="E542" s="16" t="str">
        <f>IFNA(VLOOKUP($A542,Spells!$A$2:$I1002,MATCH(E$3,Spells!$A$1:$I$1,0),FALSE))</f>
        <v/>
      </c>
      <c r="F542" s="16" t="str">
        <f>IFNA(VLOOKUP($A542,Spells!$A$2:$I1002,MATCH(F$3,Spells!$A$1:$I$1,0),FALSE))</f>
        <v/>
      </c>
      <c r="G542" s="16" t="str">
        <f>IFNA(VLOOKUP($A542,Spells!$A$2:$I1002,MATCH(G$3,Spells!$A$1:$I$1,0),FALSE))</f>
        <v/>
      </c>
      <c r="H542" s="16" t="str">
        <f>IFNA(VLOOKUP($A542,Spells!$A$2:$I1002,MATCH(H$3,Spells!$A$1:$I$1,0),FALSE))</f>
        <v/>
      </c>
    </row>
    <row r="543">
      <c r="A543" s="16"/>
      <c r="B543" s="16" t="str">
        <f>IFNA(VLOOKUP($A543,Spells!$A$2:$I1002,MATCH(B$3,Spells!$A$1:$I$1,0),FALSE))</f>
        <v/>
      </c>
      <c r="C543" s="16" t="str">
        <f>IFNA(VLOOKUP($A543,Spells!$A$2:$I1002,MATCH(C$3,Spells!$A$1:$I$1,0),FALSE))</f>
        <v/>
      </c>
      <c r="D543" s="16" t="str">
        <f>IFNA(VLOOKUP($A543,Spells!$A$2:$I1002,MATCH(D$3,Spells!$A$1:$I$1,0),FALSE))</f>
        <v/>
      </c>
      <c r="E543" s="16" t="str">
        <f>IFNA(VLOOKUP($A543,Spells!$A$2:$I1002,MATCH(E$3,Spells!$A$1:$I$1,0),FALSE))</f>
        <v/>
      </c>
      <c r="F543" s="16" t="str">
        <f>IFNA(VLOOKUP($A543,Spells!$A$2:$I1002,MATCH(F$3,Spells!$A$1:$I$1,0),FALSE))</f>
        <v/>
      </c>
      <c r="G543" s="16" t="str">
        <f>IFNA(VLOOKUP($A543,Spells!$A$2:$I1002,MATCH(G$3,Spells!$A$1:$I$1,0),FALSE))</f>
        <v/>
      </c>
      <c r="H543" s="16" t="str">
        <f>IFNA(VLOOKUP($A543,Spells!$A$2:$I1002,MATCH(H$3,Spells!$A$1:$I$1,0),FALSE))</f>
        <v/>
      </c>
    </row>
    <row r="544">
      <c r="A544" s="16"/>
      <c r="B544" s="16" t="str">
        <f>IFNA(VLOOKUP($A544,Spells!$A$2:$I1002,MATCH(B$3,Spells!$A$1:$I$1,0),FALSE))</f>
        <v/>
      </c>
      <c r="C544" s="16" t="str">
        <f>IFNA(VLOOKUP($A544,Spells!$A$2:$I1002,MATCH(C$3,Spells!$A$1:$I$1,0),FALSE))</f>
        <v/>
      </c>
      <c r="D544" s="16" t="str">
        <f>IFNA(VLOOKUP($A544,Spells!$A$2:$I1002,MATCH(D$3,Spells!$A$1:$I$1,0),FALSE))</f>
        <v/>
      </c>
      <c r="E544" s="16" t="str">
        <f>IFNA(VLOOKUP($A544,Spells!$A$2:$I1002,MATCH(E$3,Spells!$A$1:$I$1,0),FALSE))</f>
        <v/>
      </c>
      <c r="F544" s="16" t="str">
        <f>IFNA(VLOOKUP($A544,Spells!$A$2:$I1002,MATCH(F$3,Spells!$A$1:$I$1,0),FALSE))</f>
        <v/>
      </c>
      <c r="G544" s="16" t="str">
        <f>IFNA(VLOOKUP($A544,Spells!$A$2:$I1002,MATCH(G$3,Spells!$A$1:$I$1,0),FALSE))</f>
        <v/>
      </c>
      <c r="H544" s="16" t="str">
        <f>IFNA(VLOOKUP($A544,Spells!$A$2:$I1002,MATCH(H$3,Spells!$A$1:$I$1,0),FALSE))</f>
        <v/>
      </c>
    </row>
    <row r="545">
      <c r="A545" s="16"/>
      <c r="B545" s="16" t="str">
        <f>IFNA(VLOOKUP($A545,Spells!$A$2:$I1002,MATCH(B$3,Spells!$A$1:$I$1,0),FALSE))</f>
        <v/>
      </c>
      <c r="C545" s="16" t="str">
        <f>IFNA(VLOOKUP($A545,Spells!$A$2:$I1002,MATCH(C$3,Spells!$A$1:$I$1,0),FALSE))</f>
        <v/>
      </c>
      <c r="D545" s="16" t="str">
        <f>IFNA(VLOOKUP($A545,Spells!$A$2:$I1002,MATCH(D$3,Spells!$A$1:$I$1,0),FALSE))</f>
        <v/>
      </c>
      <c r="E545" s="16" t="str">
        <f>IFNA(VLOOKUP($A545,Spells!$A$2:$I1002,MATCH(E$3,Spells!$A$1:$I$1,0),FALSE))</f>
        <v/>
      </c>
      <c r="F545" s="16" t="str">
        <f>IFNA(VLOOKUP($A545,Spells!$A$2:$I1002,MATCH(F$3,Spells!$A$1:$I$1,0),FALSE))</f>
        <v/>
      </c>
      <c r="G545" s="16" t="str">
        <f>IFNA(VLOOKUP($A545,Spells!$A$2:$I1002,MATCH(G$3,Spells!$A$1:$I$1,0),FALSE))</f>
        <v/>
      </c>
      <c r="H545" s="16" t="str">
        <f>IFNA(VLOOKUP($A545,Spells!$A$2:$I1002,MATCH(H$3,Spells!$A$1:$I$1,0),FALSE))</f>
        <v/>
      </c>
    </row>
    <row r="546">
      <c r="A546" s="16"/>
      <c r="B546" s="16" t="str">
        <f>IFNA(VLOOKUP($A546,Spells!$A$2:$I1002,MATCH(B$3,Spells!$A$1:$I$1,0),FALSE))</f>
        <v/>
      </c>
      <c r="C546" s="16" t="str">
        <f>IFNA(VLOOKUP($A546,Spells!$A$2:$I1002,MATCH(C$3,Spells!$A$1:$I$1,0),FALSE))</f>
        <v/>
      </c>
      <c r="D546" s="16" t="str">
        <f>IFNA(VLOOKUP($A546,Spells!$A$2:$I1002,MATCH(D$3,Spells!$A$1:$I$1,0),FALSE))</f>
        <v/>
      </c>
      <c r="E546" s="16" t="str">
        <f>IFNA(VLOOKUP($A546,Spells!$A$2:$I1002,MATCH(E$3,Spells!$A$1:$I$1,0),FALSE))</f>
        <v/>
      </c>
      <c r="F546" s="16" t="str">
        <f>IFNA(VLOOKUP($A546,Spells!$A$2:$I1002,MATCH(F$3,Spells!$A$1:$I$1,0),FALSE))</f>
        <v/>
      </c>
      <c r="G546" s="16" t="str">
        <f>IFNA(VLOOKUP($A546,Spells!$A$2:$I1002,MATCH(G$3,Spells!$A$1:$I$1,0),FALSE))</f>
        <v/>
      </c>
      <c r="H546" s="16" t="str">
        <f>IFNA(VLOOKUP($A546,Spells!$A$2:$I1002,MATCH(H$3,Spells!$A$1:$I$1,0),FALSE))</f>
        <v/>
      </c>
    </row>
    <row r="547">
      <c r="A547" s="16"/>
      <c r="B547" s="16" t="str">
        <f>IFNA(VLOOKUP($A547,Spells!$A$2:$I1002,MATCH(B$3,Spells!$A$1:$I$1,0),FALSE))</f>
        <v/>
      </c>
      <c r="C547" s="16" t="str">
        <f>IFNA(VLOOKUP($A547,Spells!$A$2:$I1002,MATCH(C$3,Spells!$A$1:$I$1,0),FALSE))</f>
        <v/>
      </c>
      <c r="D547" s="16" t="str">
        <f>IFNA(VLOOKUP($A547,Spells!$A$2:$I1002,MATCH(D$3,Spells!$A$1:$I$1,0),FALSE))</f>
        <v/>
      </c>
      <c r="E547" s="16" t="str">
        <f>IFNA(VLOOKUP($A547,Spells!$A$2:$I1002,MATCH(E$3,Spells!$A$1:$I$1,0),FALSE))</f>
        <v/>
      </c>
      <c r="F547" s="16" t="str">
        <f>IFNA(VLOOKUP($A547,Spells!$A$2:$I1002,MATCH(F$3,Spells!$A$1:$I$1,0),FALSE))</f>
        <v/>
      </c>
      <c r="G547" s="16" t="str">
        <f>IFNA(VLOOKUP($A547,Spells!$A$2:$I1002,MATCH(G$3,Spells!$A$1:$I$1,0),FALSE))</f>
        <v/>
      </c>
      <c r="H547" s="16" t="str">
        <f>IFNA(VLOOKUP($A547,Spells!$A$2:$I1002,MATCH(H$3,Spells!$A$1:$I$1,0),FALSE))</f>
        <v/>
      </c>
    </row>
    <row r="548">
      <c r="A548" s="16"/>
      <c r="B548" s="16" t="str">
        <f>IFNA(VLOOKUP($A548,Spells!$A$2:$I1002,MATCH(B$3,Spells!$A$1:$I$1,0),FALSE))</f>
        <v/>
      </c>
      <c r="C548" s="16" t="str">
        <f>IFNA(VLOOKUP($A548,Spells!$A$2:$I1002,MATCH(C$3,Spells!$A$1:$I$1,0),FALSE))</f>
        <v/>
      </c>
      <c r="D548" s="16" t="str">
        <f>IFNA(VLOOKUP($A548,Spells!$A$2:$I1002,MATCH(D$3,Spells!$A$1:$I$1,0),FALSE))</f>
        <v/>
      </c>
      <c r="E548" s="16" t="str">
        <f>IFNA(VLOOKUP($A548,Spells!$A$2:$I1002,MATCH(E$3,Spells!$A$1:$I$1,0),FALSE))</f>
        <v/>
      </c>
      <c r="F548" s="16" t="str">
        <f>IFNA(VLOOKUP($A548,Spells!$A$2:$I1002,MATCH(F$3,Spells!$A$1:$I$1,0),FALSE))</f>
        <v/>
      </c>
      <c r="G548" s="16" t="str">
        <f>IFNA(VLOOKUP($A548,Spells!$A$2:$I1002,MATCH(G$3,Spells!$A$1:$I$1,0),FALSE))</f>
        <v/>
      </c>
      <c r="H548" s="16" t="str">
        <f>IFNA(VLOOKUP($A548,Spells!$A$2:$I1002,MATCH(H$3,Spells!$A$1:$I$1,0),FALSE))</f>
        <v/>
      </c>
    </row>
    <row r="549">
      <c r="A549" s="16"/>
      <c r="B549" s="16" t="str">
        <f>IFNA(VLOOKUP($A549,Spells!$A$2:$I1002,MATCH(B$3,Spells!$A$1:$I$1,0),FALSE))</f>
        <v/>
      </c>
      <c r="C549" s="16" t="str">
        <f>IFNA(VLOOKUP($A549,Spells!$A$2:$I1002,MATCH(C$3,Spells!$A$1:$I$1,0),FALSE))</f>
        <v/>
      </c>
      <c r="D549" s="16" t="str">
        <f>IFNA(VLOOKUP($A549,Spells!$A$2:$I1002,MATCH(D$3,Spells!$A$1:$I$1,0),FALSE))</f>
        <v/>
      </c>
      <c r="E549" s="16" t="str">
        <f>IFNA(VLOOKUP($A549,Spells!$A$2:$I1002,MATCH(E$3,Spells!$A$1:$I$1,0),FALSE))</f>
        <v/>
      </c>
      <c r="F549" s="16" t="str">
        <f>IFNA(VLOOKUP($A549,Spells!$A$2:$I1002,MATCH(F$3,Spells!$A$1:$I$1,0),FALSE))</f>
        <v/>
      </c>
      <c r="G549" s="16" t="str">
        <f>IFNA(VLOOKUP($A549,Spells!$A$2:$I1002,MATCH(G$3,Spells!$A$1:$I$1,0),FALSE))</f>
        <v/>
      </c>
      <c r="H549" s="16" t="str">
        <f>IFNA(VLOOKUP($A549,Spells!$A$2:$I1002,MATCH(H$3,Spells!$A$1:$I$1,0),FALSE))</f>
        <v/>
      </c>
    </row>
    <row r="550">
      <c r="A550" s="16"/>
      <c r="B550" s="16" t="str">
        <f>IFNA(VLOOKUP($A550,Spells!$A$2:$I1002,MATCH(B$3,Spells!$A$1:$I$1,0),FALSE))</f>
        <v/>
      </c>
      <c r="C550" s="16" t="str">
        <f>IFNA(VLOOKUP($A550,Spells!$A$2:$I1002,MATCH(C$3,Spells!$A$1:$I$1,0),FALSE))</f>
        <v/>
      </c>
      <c r="D550" s="16" t="str">
        <f>IFNA(VLOOKUP($A550,Spells!$A$2:$I1002,MATCH(D$3,Spells!$A$1:$I$1,0),FALSE))</f>
        <v/>
      </c>
      <c r="E550" s="16" t="str">
        <f>IFNA(VLOOKUP($A550,Spells!$A$2:$I1002,MATCH(E$3,Spells!$A$1:$I$1,0),FALSE))</f>
        <v/>
      </c>
      <c r="F550" s="16" t="str">
        <f>IFNA(VLOOKUP($A550,Spells!$A$2:$I1002,MATCH(F$3,Spells!$A$1:$I$1,0),FALSE))</f>
        <v/>
      </c>
      <c r="G550" s="16" t="str">
        <f>IFNA(VLOOKUP($A550,Spells!$A$2:$I1002,MATCH(G$3,Spells!$A$1:$I$1,0),FALSE))</f>
        <v/>
      </c>
      <c r="H550" s="16" t="str">
        <f>IFNA(VLOOKUP($A550,Spells!$A$2:$I1002,MATCH(H$3,Spells!$A$1:$I$1,0),FALSE))</f>
        <v/>
      </c>
    </row>
    <row r="551">
      <c r="A551" s="16"/>
      <c r="B551" s="16" t="str">
        <f>IFNA(VLOOKUP($A551,Spells!$A$2:$I1002,MATCH(B$3,Spells!$A$1:$I$1,0),FALSE))</f>
        <v/>
      </c>
      <c r="C551" s="16" t="str">
        <f>IFNA(VLOOKUP($A551,Spells!$A$2:$I1002,MATCH(C$3,Spells!$A$1:$I$1,0),FALSE))</f>
        <v/>
      </c>
      <c r="D551" s="16" t="str">
        <f>IFNA(VLOOKUP($A551,Spells!$A$2:$I1002,MATCH(D$3,Spells!$A$1:$I$1,0),FALSE))</f>
        <v/>
      </c>
      <c r="E551" s="16" t="str">
        <f>IFNA(VLOOKUP($A551,Spells!$A$2:$I1002,MATCH(E$3,Spells!$A$1:$I$1,0),FALSE))</f>
        <v/>
      </c>
      <c r="F551" s="16" t="str">
        <f>IFNA(VLOOKUP($A551,Spells!$A$2:$I1002,MATCH(F$3,Spells!$A$1:$I$1,0),FALSE))</f>
        <v/>
      </c>
      <c r="G551" s="16" t="str">
        <f>IFNA(VLOOKUP($A551,Spells!$A$2:$I1002,MATCH(G$3,Spells!$A$1:$I$1,0),FALSE))</f>
        <v/>
      </c>
      <c r="H551" s="16" t="str">
        <f>IFNA(VLOOKUP($A551,Spells!$A$2:$I1002,MATCH(H$3,Spells!$A$1:$I$1,0),FALSE))</f>
        <v/>
      </c>
    </row>
    <row r="552">
      <c r="A552" s="16"/>
      <c r="B552" s="16" t="str">
        <f>IFNA(VLOOKUP($A552,Spells!$A$2:$I1002,MATCH(B$3,Spells!$A$1:$I$1,0),FALSE))</f>
        <v/>
      </c>
      <c r="C552" s="16" t="str">
        <f>IFNA(VLOOKUP($A552,Spells!$A$2:$I1002,MATCH(C$3,Spells!$A$1:$I$1,0),FALSE))</f>
        <v/>
      </c>
      <c r="D552" s="16" t="str">
        <f>IFNA(VLOOKUP($A552,Spells!$A$2:$I1002,MATCH(D$3,Spells!$A$1:$I$1,0),FALSE))</f>
        <v/>
      </c>
      <c r="E552" s="16" t="str">
        <f>IFNA(VLOOKUP($A552,Spells!$A$2:$I1002,MATCH(E$3,Spells!$A$1:$I$1,0),FALSE))</f>
        <v/>
      </c>
      <c r="F552" s="16" t="str">
        <f>IFNA(VLOOKUP($A552,Spells!$A$2:$I1002,MATCH(F$3,Spells!$A$1:$I$1,0),FALSE))</f>
        <v/>
      </c>
      <c r="G552" s="16" t="str">
        <f>IFNA(VLOOKUP($A552,Spells!$A$2:$I1002,MATCH(G$3,Spells!$A$1:$I$1,0),FALSE))</f>
        <v/>
      </c>
      <c r="H552" s="16" t="str">
        <f>IFNA(VLOOKUP($A552,Spells!$A$2:$I1002,MATCH(H$3,Spells!$A$1:$I$1,0),FALSE))</f>
        <v/>
      </c>
    </row>
    <row r="553">
      <c r="A553" s="16"/>
      <c r="B553" s="16" t="str">
        <f>IFNA(VLOOKUP($A553,Spells!$A$2:$I1002,MATCH(B$3,Spells!$A$1:$I$1,0),FALSE))</f>
        <v/>
      </c>
      <c r="C553" s="16" t="str">
        <f>IFNA(VLOOKUP($A553,Spells!$A$2:$I1002,MATCH(C$3,Spells!$A$1:$I$1,0),FALSE))</f>
        <v/>
      </c>
      <c r="D553" s="16" t="str">
        <f>IFNA(VLOOKUP($A553,Spells!$A$2:$I1002,MATCH(D$3,Spells!$A$1:$I$1,0),FALSE))</f>
        <v/>
      </c>
      <c r="E553" s="16" t="str">
        <f>IFNA(VLOOKUP($A553,Spells!$A$2:$I1002,MATCH(E$3,Spells!$A$1:$I$1,0),FALSE))</f>
        <v/>
      </c>
      <c r="F553" s="16" t="str">
        <f>IFNA(VLOOKUP($A553,Spells!$A$2:$I1002,MATCH(F$3,Spells!$A$1:$I$1,0),FALSE))</f>
        <v/>
      </c>
      <c r="G553" s="16" t="str">
        <f>IFNA(VLOOKUP($A553,Spells!$A$2:$I1002,MATCH(G$3,Spells!$A$1:$I$1,0),FALSE))</f>
        <v/>
      </c>
      <c r="H553" s="16" t="str">
        <f>IFNA(VLOOKUP($A553,Spells!$A$2:$I1002,MATCH(H$3,Spells!$A$1:$I$1,0),FALSE))</f>
        <v/>
      </c>
    </row>
    <row r="554">
      <c r="A554" s="16"/>
      <c r="B554" s="16" t="str">
        <f>IFNA(VLOOKUP($A554,Spells!$A$2:$I1002,MATCH(B$3,Spells!$A$1:$I$1,0),FALSE))</f>
        <v/>
      </c>
      <c r="C554" s="16" t="str">
        <f>IFNA(VLOOKUP($A554,Spells!$A$2:$I1002,MATCH(C$3,Spells!$A$1:$I$1,0),FALSE))</f>
        <v/>
      </c>
      <c r="D554" s="16" t="str">
        <f>IFNA(VLOOKUP($A554,Spells!$A$2:$I1002,MATCH(D$3,Spells!$A$1:$I$1,0),FALSE))</f>
        <v/>
      </c>
      <c r="E554" s="16" t="str">
        <f>IFNA(VLOOKUP($A554,Spells!$A$2:$I1002,MATCH(E$3,Spells!$A$1:$I$1,0),FALSE))</f>
        <v/>
      </c>
      <c r="F554" s="16" t="str">
        <f>IFNA(VLOOKUP($A554,Spells!$A$2:$I1002,MATCH(F$3,Spells!$A$1:$I$1,0),FALSE))</f>
        <v/>
      </c>
      <c r="G554" s="16" t="str">
        <f>IFNA(VLOOKUP($A554,Spells!$A$2:$I1002,MATCH(G$3,Spells!$A$1:$I$1,0),FALSE))</f>
        <v/>
      </c>
      <c r="H554" s="16" t="str">
        <f>IFNA(VLOOKUP($A554,Spells!$A$2:$I1002,MATCH(H$3,Spells!$A$1:$I$1,0),FALSE))</f>
        <v/>
      </c>
    </row>
    <row r="555">
      <c r="A555" s="16"/>
      <c r="B555" s="16" t="str">
        <f>IFNA(VLOOKUP($A555,Spells!$A$2:$I1002,MATCH(B$3,Spells!$A$1:$I$1,0),FALSE))</f>
        <v/>
      </c>
      <c r="C555" s="16" t="str">
        <f>IFNA(VLOOKUP($A555,Spells!$A$2:$I1002,MATCH(C$3,Spells!$A$1:$I$1,0),FALSE))</f>
        <v/>
      </c>
      <c r="D555" s="16" t="str">
        <f>IFNA(VLOOKUP($A555,Spells!$A$2:$I1002,MATCH(D$3,Spells!$A$1:$I$1,0),FALSE))</f>
        <v/>
      </c>
      <c r="E555" s="16" t="str">
        <f>IFNA(VLOOKUP($A555,Spells!$A$2:$I1002,MATCH(E$3,Spells!$A$1:$I$1,0),FALSE))</f>
        <v/>
      </c>
      <c r="F555" s="16" t="str">
        <f>IFNA(VLOOKUP($A555,Spells!$A$2:$I1002,MATCH(F$3,Spells!$A$1:$I$1,0),FALSE))</f>
        <v/>
      </c>
      <c r="G555" s="16" t="str">
        <f>IFNA(VLOOKUP($A555,Spells!$A$2:$I1002,MATCH(G$3,Spells!$A$1:$I$1,0),FALSE))</f>
        <v/>
      </c>
      <c r="H555" s="16" t="str">
        <f>IFNA(VLOOKUP($A555,Spells!$A$2:$I1002,MATCH(H$3,Spells!$A$1:$I$1,0),FALSE))</f>
        <v/>
      </c>
    </row>
    <row r="556">
      <c r="A556" s="16"/>
      <c r="B556" s="16" t="str">
        <f>IFNA(VLOOKUP($A556,Spells!$A$2:$I1002,MATCH(B$3,Spells!$A$1:$I$1,0),FALSE))</f>
        <v/>
      </c>
      <c r="C556" s="16" t="str">
        <f>IFNA(VLOOKUP($A556,Spells!$A$2:$I1002,MATCH(C$3,Spells!$A$1:$I$1,0),FALSE))</f>
        <v/>
      </c>
      <c r="D556" s="16" t="str">
        <f>IFNA(VLOOKUP($A556,Spells!$A$2:$I1002,MATCH(D$3,Spells!$A$1:$I$1,0),FALSE))</f>
        <v/>
      </c>
      <c r="E556" s="16" t="str">
        <f>IFNA(VLOOKUP($A556,Spells!$A$2:$I1002,MATCH(E$3,Spells!$A$1:$I$1,0),FALSE))</f>
        <v/>
      </c>
      <c r="F556" s="16" t="str">
        <f>IFNA(VLOOKUP($A556,Spells!$A$2:$I1002,MATCH(F$3,Spells!$A$1:$I$1,0),FALSE))</f>
        <v/>
      </c>
      <c r="G556" s="16" t="str">
        <f>IFNA(VLOOKUP($A556,Spells!$A$2:$I1002,MATCH(G$3,Spells!$A$1:$I$1,0),FALSE))</f>
        <v/>
      </c>
      <c r="H556" s="16" t="str">
        <f>IFNA(VLOOKUP($A556,Spells!$A$2:$I1002,MATCH(H$3,Spells!$A$1:$I$1,0),FALSE))</f>
        <v/>
      </c>
    </row>
    <row r="557">
      <c r="A557" s="16"/>
      <c r="B557" s="16" t="str">
        <f>IFNA(VLOOKUP($A557,Spells!$A$2:$I1002,MATCH(B$3,Spells!$A$1:$I$1,0),FALSE))</f>
        <v/>
      </c>
      <c r="C557" s="16" t="str">
        <f>IFNA(VLOOKUP($A557,Spells!$A$2:$I1002,MATCH(C$3,Spells!$A$1:$I$1,0),FALSE))</f>
        <v/>
      </c>
      <c r="D557" s="16" t="str">
        <f>IFNA(VLOOKUP($A557,Spells!$A$2:$I1002,MATCH(D$3,Spells!$A$1:$I$1,0),FALSE))</f>
        <v/>
      </c>
      <c r="E557" s="16" t="str">
        <f>IFNA(VLOOKUP($A557,Spells!$A$2:$I1002,MATCH(E$3,Spells!$A$1:$I$1,0),FALSE))</f>
        <v/>
      </c>
      <c r="F557" s="16" t="str">
        <f>IFNA(VLOOKUP($A557,Spells!$A$2:$I1002,MATCH(F$3,Spells!$A$1:$I$1,0),FALSE))</f>
        <v/>
      </c>
      <c r="G557" s="16" t="str">
        <f>IFNA(VLOOKUP($A557,Spells!$A$2:$I1002,MATCH(G$3,Spells!$A$1:$I$1,0),FALSE))</f>
        <v/>
      </c>
      <c r="H557" s="16" t="str">
        <f>IFNA(VLOOKUP($A557,Spells!$A$2:$I1002,MATCH(H$3,Spells!$A$1:$I$1,0),FALSE))</f>
        <v/>
      </c>
    </row>
    <row r="558">
      <c r="A558" s="16"/>
      <c r="B558" s="16" t="str">
        <f>IFNA(VLOOKUP($A558,Spells!$A$2:$I1002,MATCH(B$3,Spells!$A$1:$I$1,0),FALSE))</f>
        <v/>
      </c>
      <c r="C558" s="16" t="str">
        <f>IFNA(VLOOKUP($A558,Spells!$A$2:$I1002,MATCH(C$3,Spells!$A$1:$I$1,0),FALSE))</f>
        <v/>
      </c>
      <c r="D558" s="16" t="str">
        <f>IFNA(VLOOKUP($A558,Spells!$A$2:$I1002,MATCH(D$3,Spells!$A$1:$I$1,0),FALSE))</f>
        <v/>
      </c>
      <c r="E558" s="16" t="str">
        <f>IFNA(VLOOKUP($A558,Spells!$A$2:$I1002,MATCH(E$3,Spells!$A$1:$I$1,0),FALSE))</f>
        <v/>
      </c>
      <c r="F558" s="16" t="str">
        <f>IFNA(VLOOKUP($A558,Spells!$A$2:$I1002,MATCH(F$3,Spells!$A$1:$I$1,0),FALSE))</f>
        <v/>
      </c>
      <c r="G558" s="16" t="str">
        <f>IFNA(VLOOKUP($A558,Spells!$A$2:$I1002,MATCH(G$3,Spells!$A$1:$I$1,0),FALSE))</f>
        <v/>
      </c>
      <c r="H558" s="16" t="str">
        <f>IFNA(VLOOKUP($A558,Spells!$A$2:$I1002,MATCH(H$3,Spells!$A$1:$I$1,0),FALSE))</f>
        <v/>
      </c>
    </row>
    <row r="559">
      <c r="A559" s="16"/>
      <c r="B559" s="16" t="str">
        <f>IFNA(VLOOKUP($A559,Spells!$A$2:$I1002,MATCH(B$3,Spells!$A$1:$I$1,0),FALSE))</f>
        <v/>
      </c>
      <c r="C559" s="16" t="str">
        <f>IFNA(VLOOKUP($A559,Spells!$A$2:$I1002,MATCH(C$3,Spells!$A$1:$I$1,0),FALSE))</f>
        <v/>
      </c>
      <c r="D559" s="16" t="str">
        <f>IFNA(VLOOKUP($A559,Spells!$A$2:$I1002,MATCH(D$3,Spells!$A$1:$I$1,0),FALSE))</f>
        <v/>
      </c>
      <c r="E559" s="16" t="str">
        <f>IFNA(VLOOKUP($A559,Spells!$A$2:$I1002,MATCH(E$3,Spells!$A$1:$I$1,0),FALSE))</f>
        <v/>
      </c>
      <c r="F559" s="16" t="str">
        <f>IFNA(VLOOKUP($A559,Spells!$A$2:$I1002,MATCH(F$3,Spells!$A$1:$I$1,0),FALSE))</f>
        <v/>
      </c>
      <c r="G559" s="16" t="str">
        <f>IFNA(VLOOKUP($A559,Spells!$A$2:$I1002,MATCH(G$3,Spells!$A$1:$I$1,0),FALSE))</f>
        <v/>
      </c>
      <c r="H559" s="16" t="str">
        <f>IFNA(VLOOKUP($A559,Spells!$A$2:$I1002,MATCH(H$3,Spells!$A$1:$I$1,0),FALSE))</f>
        <v/>
      </c>
    </row>
    <row r="560">
      <c r="A560" s="16"/>
      <c r="B560" s="16" t="str">
        <f>IFNA(VLOOKUP($A560,Spells!$A$2:$I1002,MATCH(B$3,Spells!$A$1:$I$1,0),FALSE))</f>
        <v/>
      </c>
      <c r="C560" s="16" t="str">
        <f>IFNA(VLOOKUP($A560,Spells!$A$2:$I1002,MATCH(C$3,Spells!$A$1:$I$1,0),FALSE))</f>
        <v/>
      </c>
      <c r="D560" s="16" t="str">
        <f>IFNA(VLOOKUP($A560,Spells!$A$2:$I1002,MATCH(D$3,Spells!$A$1:$I$1,0),FALSE))</f>
        <v/>
      </c>
      <c r="E560" s="16" t="str">
        <f>IFNA(VLOOKUP($A560,Spells!$A$2:$I1002,MATCH(E$3,Spells!$A$1:$I$1,0),FALSE))</f>
        <v/>
      </c>
      <c r="F560" s="16" t="str">
        <f>IFNA(VLOOKUP($A560,Spells!$A$2:$I1002,MATCH(F$3,Spells!$A$1:$I$1,0),FALSE))</f>
        <v/>
      </c>
      <c r="G560" s="16" t="str">
        <f>IFNA(VLOOKUP($A560,Spells!$A$2:$I1002,MATCH(G$3,Spells!$A$1:$I$1,0),FALSE))</f>
        <v/>
      </c>
      <c r="H560" s="16" t="str">
        <f>IFNA(VLOOKUP($A560,Spells!$A$2:$I1002,MATCH(H$3,Spells!$A$1:$I$1,0),FALSE))</f>
        <v/>
      </c>
    </row>
    <row r="561">
      <c r="A561" s="16"/>
      <c r="B561" s="16" t="str">
        <f>IFNA(VLOOKUP($A561,Spells!$A$2:$I1002,MATCH(B$3,Spells!$A$1:$I$1,0),FALSE))</f>
        <v/>
      </c>
      <c r="C561" s="16" t="str">
        <f>IFNA(VLOOKUP($A561,Spells!$A$2:$I1002,MATCH(C$3,Spells!$A$1:$I$1,0),FALSE))</f>
        <v/>
      </c>
      <c r="D561" s="16" t="str">
        <f>IFNA(VLOOKUP($A561,Spells!$A$2:$I1002,MATCH(D$3,Spells!$A$1:$I$1,0),FALSE))</f>
        <v/>
      </c>
      <c r="E561" s="16" t="str">
        <f>IFNA(VLOOKUP($A561,Spells!$A$2:$I1002,MATCH(E$3,Spells!$A$1:$I$1,0),FALSE))</f>
        <v/>
      </c>
      <c r="F561" s="16" t="str">
        <f>IFNA(VLOOKUP($A561,Spells!$A$2:$I1002,MATCH(F$3,Spells!$A$1:$I$1,0),FALSE))</f>
        <v/>
      </c>
      <c r="G561" s="16" t="str">
        <f>IFNA(VLOOKUP($A561,Spells!$A$2:$I1002,MATCH(G$3,Spells!$A$1:$I$1,0),FALSE))</f>
        <v/>
      </c>
      <c r="H561" s="16" t="str">
        <f>IFNA(VLOOKUP($A561,Spells!$A$2:$I1002,MATCH(H$3,Spells!$A$1:$I$1,0),FALSE))</f>
        <v/>
      </c>
    </row>
    <row r="562">
      <c r="A562" s="16"/>
      <c r="B562" s="16" t="str">
        <f>IFNA(VLOOKUP($A562,Spells!$A$2:$I1002,MATCH(B$3,Spells!$A$1:$I$1,0),FALSE))</f>
        <v/>
      </c>
      <c r="C562" s="16" t="str">
        <f>IFNA(VLOOKUP($A562,Spells!$A$2:$I1002,MATCH(C$3,Spells!$A$1:$I$1,0),FALSE))</f>
        <v/>
      </c>
      <c r="D562" s="16" t="str">
        <f>IFNA(VLOOKUP($A562,Spells!$A$2:$I1002,MATCH(D$3,Spells!$A$1:$I$1,0),FALSE))</f>
        <v/>
      </c>
      <c r="E562" s="16" t="str">
        <f>IFNA(VLOOKUP($A562,Spells!$A$2:$I1002,MATCH(E$3,Spells!$A$1:$I$1,0),FALSE))</f>
        <v/>
      </c>
      <c r="F562" s="16" t="str">
        <f>IFNA(VLOOKUP($A562,Spells!$A$2:$I1002,MATCH(F$3,Spells!$A$1:$I$1,0),FALSE))</f>
        <v/>
      </c>
      <c r="G562" s="16" t="str">
        <f>IFNA(VLOOKUP($A562,Spells!$A$2:$I1002,MATCH(G$3,Spells!$A$1:$I$1,0),FALSE))</f>
        <v/>
      </c>
      <c r="H562" s="16" t="str">
        <f>IFNA(VLOOKUP($A562,Spells!$A$2:$I1002,MATCH(H$3,Spells!$A$1:$I$1,0),FALSE))</f>
        <v/>
      </c>
    </row>
    <row r="563">
      <c r="A563" s="16"/>
      <c r="B563" s="16" t="str">
        <f>IFNA(VLOOKUP($A563,Spells!$A$2:$I1002,MATCH(B$3,Spells!$A$1:$I$1,0),FALSE))</f>
        <v/>
      </c>
      <c r="C563" s="16" t="str">
        <f>IFNA(VLOOKUP($A563,Spells!$A$2:$I1002,MATCH(C$3,Spells!$A$1:$I$1,0),FALSE))</f>
        <v/>
      </c>
      <c r="D563" s="16" t="str">
        <f>IFNA(VLOOKUP($A563,Spells!$A$2:$I1002,MATCH(D$3,Spells!$A$1:$I$1,0),FALSE))</f>
        <v/>
      </c>
      <c r="E563" s="16" t="str">
        <f>IFNA(VLOOKUP($A563,Spells!$A$2:$I1002,MATCH(E$3,Spells!$A$1:$I$1,0),FALSE))</f>
        <v/>
      </c>
      <c r="F563" s="16" t="str">
        <f>IFNA(VLOOKUP($A563,Spells!$A$2:$I1002,MATCH(F$3,Spells!$A$1:$I$1,0),FALSE))</f>
        <v/>
      </c>
      <c r="G563" s="16" t="str">
        <f>IFNA(VLOOKUP($A563,Spells!$A$2:$I1002,MATCH(G$3,Spells!$A$1:$I$1,0),FALSE))</f>
        <v/>
      </c>
      <c r="H563" s="16" t="str">
        <f>IFNA(VLOOKUP($A563,Spells!$A$2:$I1002,MATCH(H$3,Spells!$A$1:$I$1,0),FALSE))</f>
        <v/>
      </c>
    </row>
    <row r="564">
      <c r="A564" s="16"/>
      <c r="B564" s="16" t="str">
        <f>IFNA(VLOOKUP($A564,Spells!$A$2:$I1002,MATCH(B$3,Spells!$A$1:$I$1,0),FALSE))</f>
        <v/>
      </c>
      <c r="C564" s="16" t="str">
        <f>IFNA(VLOOKUP($A564,Spells!$A$2:$I1002,MATCH(C$3,Spells!$A$1:$I$1,0),FALSE))</f>
        <v/>
      </c>
      <c r="D564" s="16" t="str">
        <f>IFNA(VLOOKUP($A564,Spells!$A$2:$I1002,MATCH(D$3,Spells!$A$1:$I$1,0),FALSE))</f>
        <v/>
      </c>
      <c r="E564" s="16" t="str">
        <f>IFNA(VLOOKUP($A564,Spells!$A$2:$I1002,MATCH(E$3,Spells!$A$1:$I$1,0),FALSE))</f>
        <v/>
      </c>
      <c r="F564" s="16" t="str">
        <f>IFNA(VLOOKUP($A564,Spells!$A$2:$I1002,MATCH(F$3,Spells!$A$1:$I$1,0),FALSE))</f>
        <v/>
      </c>
      <c r="G564" s="16" t="str">
        <f>IFNA(VLOOKUP($A564,Spells!$A$2:$I1002,MATCH(G$3,Spells!$A$1:$I$1,0),FALSE))</f>
        <v/>
      </c>
      <c r="H564" s="16" t="str">
        <f>IFNA(VLOOKUP($A564,Spells!$A$2:$I1002,MATCH(H$3,Spells!$A$1:$I$1,0),FALSE))</f>
        <v/>
      </c>
    </row>
    <row r="565">
      <c r="A565" s="16"/>
      <c r="B565" s="16" t="str">
        <f>IFNA(VLOOKUP($A565,Spells!$A$2:$I1002,MATCH(B$3,Spells!$A$1:$I$1,0),FALSE))</f>
        <v/>
      </c>
      <c r="C565" s="16" t="str">
        <f>IFNA(VLOOKUP($A565,Spells!$A$2:$I1002,MATCH(C$3,Spells!$A$1:$I$1,0),FALSE))</f>
        <v/>
      </c>
      <c r="D565" s="16" t="str">
        <f>IFNA(VLOOKUP($A565,Spells!$A$2:$I1002,MATCH(D$3,Spells!$A$1:$I$1,0),FALSE))</f>
        <v/>
      </c>
      <c r="E565" s="16" t="str">
        <f>IFNA(VLOOKUP($A565,Spells!$A$2:$I1002,MATCH(E$3,Spells!$A$1:$I$1,0),FALSE))</f>
        <v/>
      </c>
      <c r="F565" s="16" t="str">
        <f>IFNA(VLOOKUP($A565,Spells!$A$2:$I1002,MATCH(F$3,Spells!$A$1:$I$1,0),FALSE))</f>
        <v/>
      </c>
      <c r="G565" s="16" t="str">
        <f>IFNA(VLOOKUP($A565,Spells!$A$2:$I1002,MATCH(G$3,Spells!$A$1:$I$1,0),FALSE))</f>
        <v/>
      </c>
      <c r="H565" s="16" t="str">
        <f>IFNA(VLOOKUP($A565,Spells!$A$2:$I1002,MATCH(H$3,Spells!$A$1:$I$1,0),FALSE))</f>
        <v/>
      </c>
    </row>
    <row r="566">
      <c r="A566" s="16"/>
      <c r="B566" s="16" t="str">
        <f>IFNA(VLOOKUP($A566,Spells!$A$2:$I1002,MATCH(B$3,Spells!$A$1:$I$1,0),FALSE))</f>
        <v/>
      </c>
      <c r="C566" s="16" t="str">
        <f>IFNA(VLOOKUP($A566,Spells!$A$2:$I1002,MATCH(C$3,Spells!$A$1:$I$1,0),FALSE))</f>
        <v/>
      </c>
      <c r="D566" s="16" t="str">
        <f>IFNA(VLOOKUP($A566,Spells!$A$2:$I1002,MATCH(D$3,Spells!$A$1:$I$1,0),FALSE))</f>
        <v/>
      </c>
      <c r="E566" s="16" t="str">
        <f>IFNA(VLOOKUP($A566,Spells!$A$2:$I1002,MATCH(E$3,Spells!$A$1:$I$1,0),FALSE))</f>
        <v/>
      </c>
      <c r="F566" s="16" t="str">
        <f>IFNA(VLOOKUP($A566,Spells!$A$2:$I1002,MATCH(F$3,Spells!$A$1:$I$1,0),FALSE))</f>
        <v/>
      </c>
      <c r="G566" s="16" t="str">
        <f>IFNA(VLOOKUP($A566,Spells!$A$2:$I1002,MATCH(G$3,Spells!$A$1:$I$1,0),FALSE))</f>
        <v/>
      </c>
      <c r="H566" s="16" t="str">
        <f>IFNA(VLOOKUP($A566,Spells!$A$2:$I1002,MATCH(H$3,Spells!$A$1:$I$1,0),FALSE))</f>
        <v/>
      </c>
    </row>
    <row r="567">
      <c r="A567" s="16"/>
      <c r="B567" s="16" t="str">
        <f>IFNA(VLOOKUP($A567,Spells!$A$2:$I1002,MATCH(B$3,Spells!$A$1:$I$1,0),FALSE))</f>
        <v/>
      </c>
      <c r="C567" s="16" t="str">
        <f>IFNA(VLOOKUP($A567,Spells!$A$2:$I1002,MATCH(C$3,Spells!$A$1:$I$1,0),FALSE))</f>
        <v/>
      </c>
      <c r="D567" s="16" t="str">
        <f>IFNA(VLOOKUP($A567,Spells!$A$2:$I1002,MATCH(D$3,Spells!$A$1:$I$1,0),FALSE))</f>
        <v/>
      </c>
      <c r="E567" s="16" t="str">
        <f>IFNA(VLOOKUP($A567,Spells!$A$2:$I1002,MATCH(E$3,Spells!$A$1:$I$1,0),FALSE))</f>
        <v/>
      </c>
      <c r="F567" s="16" t="str">
        <f>IFNA(VLOOKUP($A567,Spells!$A$2:$I1002,MATCH(F$3,Spells!$A$1:$I$1,0),FALSE))</f>
        <v/>
      </c>
      <c r="G567" s="16" t="str">
        <f>IFNA(VLOOKUP($A567,Spells!$A$2:$I1002,MATCH(G$3,Spells!$A$1:$I$1,0),FALSE))</f>
        <v/>
      </c>
      <c r="H567" s="16" t="str">
        <f>IFNA(VLOOKUP($A567,Spells!$A$2:$I1002,MATCH(H$3,Spells!$A$1:$I$1,0),FALSE))</f>
        <v/>
      </c>
    </row>
    <row r="568">
      <c r="A568" s="16"/>
      <c r="B568" s="16" t="str">
        <f>IFNA(VLOOKUP($A568,Spells!$A$2:$I1002,MATCH(B$3,Spells!$A$1:$I$1,0),FALSE))</f>
        <v/>
      </c>
      <c r="C568" s="16" t="str">
        <f>IFNA(VLOOKUP($A568,Spells!$A$2:$I1002,MATCH(C$3,Spells!$A$1:$I$1,0),FALSE))</f>
        <v/>
      </c>
      <c r="D568" s="16" t="str">
        <f>IFNA(VLOOKUP($A568,Spells!$A$2:$I1002,MATCH(D$3,Spells!$A$1:$I$1,0),FALSE))</f>
        <v/>
      </c>
      <c r="E568" s="16" t="str">
        <f>IFNA(VLOOKUP($A568,Spells!$A$2:$I1002,MATCH(E$3,Spells!$A$1:$I$1,0),FALSE))</f>
        <v/>
      </c>
      <c r="F568" s="16" t="str">
        <f>IFNA(VLOOKUP($A568,Spells!$A$2:$I1002,MATCH(F$3,Spells!$A$1:$I$1,0),FALSE))</f>
        <v/>
      </c>
      <c r="G568" s="16" t="str">
        <f>IFNA(VLOOKUP($A568,Spells!$A$2:$I1002,MATCH(G$3,Spells!$A$1:$I$1,0),FALSE))</f>
        <v/>
      </c>
      <c r="H568" s="16" t="str">
        <f>IFNA(VLOOKUP($A568,Spells!$A$2:$I1002,MATCH(H$3,Spells!$A$1:$I$1,0),FALSE))</f>
        <v/>
      </c>
    </row>
    <row r="569">
      <c r="A569" s="16"/>
      <c r="B569" s="16" t="str">
        <f>IFNA(VLOOKUP($A569,Spells!$A$2:$I1002,MATCH(B$3,Spells!$A$1:$I$1,0),FALSE))</f>
        <v/>
      </c>
      <c r="C569" s="16" t="str">
        <f>IFNA(VLOOKUP($A569,Spells!$A$2:$I1002,MATCH(C$3,Spells!$A$1:$I$1,0),FALSE))</f>
        <v/>
      </c>
      <c r="D569" s="16" t="str">
        <f>IFNA(VLOOKUP($A569,Spells!$A$2:$I1002,MATCH(D$3,Spells!$A$1:$I$1,0),FALSE))</f>
        <v/>
      </c>
      <c r="E569" s="16" t="str">
        <f>IFNA(VLOOKUP($A569,Spells!$A$2:$I1002,MATCH(E$3,Spells!$A$1:$I$1,0),FALSE))</f>
        <v/>
      </c>
      <c r="F569" s="16" t="str">
        <f>IFNA(VLOOKUP($A569,Spells!$A$2:$I1002,MATCH(F$3,Spells!$A$1:$I$1,0),FALSE))</f>
        <v/>
      </c>
      <c r="G569" s="16" t="str">
        <f>IFNA(VLOOKUP($A569,Spells!$A$2:$I1002,MATCH(G$3,Spells!$A$1:$I$1,0),FALSE))</f>
        <v/>
      </c>
      <c r="H569" s="16" t="str">
        <f>IFNA(VLOOKUP($A569,Spells!$A$2:$I1002,MATCH(H$3,Spells!$A$1:$I$1,0),FALSE))</f>
        <v/>
      </c>
    </row>
    <row r="570">
      <c r="A570" s="16"/>
      <c r="B570" s="16" t="str">
        <f>IFNA(VLOOKUP($A570,Spells!$A$2:$I1002,MATCH(B$3,Spells!$A$1:$I$1,0),FALSE))</f>
        <v/>
      </c>
      <c r="C570" s="16" t="str">
        <f>IFNA(VLOOKUP($A570,Spells!$A$2:$I1002,MATCH(C$3,Spells!$A$1:$I$1,0),FALSE))</f>
        <v/>
      </c>
      <c r="D570" s="16" t="str">
        <f>IFNA(VLOOKUP($A570,Spells!$A$2:$I1002,MATCH(D$3,Spells!$A$1:$I$1,0),FALSE))</f>
        <v/>
      </c>
      <c r="E570" s="16" t="str">
        <f>IFNA(VLOOKUP($A570,Spells!$A$2:$I1002,MATCH(E$3,Spells!$A$1:$I$1,0),FALSE))</f>
        <v/>
      </c>
      <c r="F570" s="16" t="str">
        <f>IFNA(VLOOKUP($A570,Spells!$A$2:$I1002,MATCH(F$3,Spells!$A$1:$I$1,0),FALSE))</f>
        <v/>
      </c>
      <c r="G570" s="16" t="str">
        <f>IFNA(VLOOKUP($A570,Spells!$A$2:$I1002,MATCH(G$3,Spells!$A$1:$I$1,0),FALSE))</f>
        <v/>
      </c>
      <c r="H570" s="16" t="str">
        <f>IFNA(VLOOKUP($A570,Spells!$A$2:$I1002,MATCH(H$3,Spells!$A$1:$I$1,0),FALSE))</f>
        <v/>
      </c>
    </row>
    <row r="571">
      <c r="A571" s="16"/>
      <c r="B571" s="16" t="str">
        <f>IFNA(VLOOKUP($A571,Spells!$A$2:$I1002,MATCH(B$3,Spells!$A$1:$I$1,0),FALSE))</f>
        <v/>
      </c>
      <c r="C571" s="16" t="str">
        <f>IFNA(VLOOKUP($A571,Spells!$A$2:$I1002,MATCH(C$3,Spells!$A$1:$I$1,0),FALSE))</f>
        <v/>
      </c>
      <c r="D571" s="16" t="str">
        <f>IFNA(VLOOKUP($A571,Spells!$A$2:$I1002,MATCH(D$3,Spells!$A$1:$I$1,0),FALSE))</f>
        <v/>
      </c>
      <c r="E571" s="16" t="str">
        <f>IFNA(VLOOKUP($A571,Spells!$A$2:$I1002,MATCH(E$3,Spells!$A$1:$I$1,0),FALSE))</f>
        <v/>
      </c>
      <c r="F571" s="16" t="str">
        <f>IFNA(VLOOKUP($A571,Spells!$A$2:$I1002,MATCH(F$3,Spells!$A$1:$I$1,0),FALSE))</f>
        <v/>
      </c>
      <c r="G571" s="16" t="str">
        <f>IFNA(VLOOKUP($A571,Spells!$A$2:$I1002,MATCH(G$3,Spells!$A$1:$I$1,0),FALSE))</f>
        <v/>
      </c>
      <c r="H571" s="16" t="str">
        <f>IFNA(VLOOKUP($A571,Spells!$A$2:$I1002,MATCH(H$3,Spells!$A$1:$I$1,0),FALSE))</f>
        <v/>
      </c>
    </row>
    <row r="572">
      <c r="A572" s="16"/>
      <c r="B572" s="16" t="str">
        <f>IFNA(VLOOKUP($A572,Spells!$A$2:$I1002,MATCH(B$3,Spells!$A$1:$I$1,0),FALSE))</f>
        <v/>
      </c>
      <c r="C572" s="16" t="str">
        <f>IFNA(VLOOKUP($A572,Spells!$A$2:$I1002,MATCH(C$3,Spells!$A$1:$I$1,0),FALSE))</f>
        <v/>
      </c>
      <c r="D572" s="16" t="str">
        <f>IFNA(VLOOKUP($A572,Spells!$A$2:$I1002,MATCH(D$3,Spells!$A$1:$I$1,0),FALSE))</f>
        <v/>
      </c>
      <c r="E572" s="16" t="str">
        <f>IFNA(VLOOKUP($A572,Spells!$A$2:$I1002,MATCH(E$3,Spells!$A$1:$I$1,0),FALSE))</f>
        <v/>
      </c>
      <c r="F572" s="16" t="str">
        <f>IFNA(VLOOKUP($A572,Spells!$A$2:$I1002,MATCH(F$3,Spells!$A$1:$I$1,0),FALSE))</f>
        <v/>
      </c>
      <c r="G572" s="16" t="str">
        <f>IFNA(VLOOKUP($A572,Spells!$A$2:$I1002,MATCH(G$3,Spells!$A$1:$I$1,0),FALSE))</f>
        <v/>
      </c>
      <c r="H572" s="16" t="str">
        <f>IFNA(VLOOKUP($A572,Spells!$A$2:$I1002,MATCH(H$3,Spells!$A$1:$I$1,0),FALSE))</f>
        <v/>
      </c>
    </row>
    <row r="573">
      <c r="A573" s="16"/>
      <c r="B573" s="16" t="str">
        <f>IFNA(VLOOKUP($A573,Spells!$A$2:$I1002,MATCH(B$3,Spells!$A$1:$I$1,0),FALSE))</f>
        <v/>
      </c>
      <c r="C573" s="16" t="str">
        <f>IFNA(VLOOKUP($A573,Spells!$A$2:$I1002,MATCH(C$3,Spells!$A$1:$I$1,0),FALSE))</f>
        <v/>
      </c>
      <c r="D573" s="16" t="str">
        <f>IFNA(VLOOKUP($A573,Spells!$A$2:$I1002,MATCH(D$3,Spells!$A$1:$I$1,0),FALSE))</f>
        <v/>
      </c>
      <c r="E573" s="16" t="str">
        <f>IFNA(VLOOKUP($A573,Spells!$A$2:$I1002,MATCH(E$3,Spells!$A$1:$I$1,0),FALSE))</f>
        <v/>
      </c>
      <c r="F573" s="16" t="str">
        <f>IFNA(VLOOKUP($A573,Spells!$A$2:$I1002,MATCH(F$3,Spells!$A$1:$I$1,0),FALSE))</f>
        <v/>
      </c>
      <c r="G573" s="16" t="str">
        <f>IFNA(VLOOKUP($A573,Spells!$A$2:$I1002,MATCH(G$3,Spells!$A$1:$I$1,0),FALSE))</f>
        <v/>
      </c>
      <c r="H573" s="16" t="str">
        <f>IFNA(VLOOKUP($A573,Spells!$A$2:$I1002,MATCH(H$3,Spells!$A$1:$I$1,0),FALSE))</f>
        <v/>
      </c>
    </row>
    <row r="574">
      <c r="A574" s="16"/>
      <c r="B574" s="16" t="str">
        <f>IFNA(VLOOKUP($A574,Spells!$A$2:$I1002,MATCH(B$3,Spells!$A$1:$I$1,0),FALSE))</f>
        <v/>
      </c>
      <c r="C574" s="16" t="str">
        <f>IFNA(VLOOKUP($A574,Spells!$A$2:$I1002,MATCH(C$3,Spells!$A$1:$I$1,0),FALSE))</f>
        <v/>
      </c>
      <c r="D574" s="16" t="str">
        <f>IFNA(VLOOKUP($A574,Spells!$A$2:$I1002,MATCH(D$3,Spells!$A$1:$I$1,0),FALSE))</f>
        <v/>
      </c>
      <c r="E574" s="16" t="str">
        <f>IFNA(VLOOKUP($A574,Spells!$A$2:$I1002,MATCH(E$3,Spells!$A$1:$I$1,0),FALSE))</f>
        <v/>
      </c>
      <c r="F574" s="16" t="str">
        <f>IFNA(VLOOKUP($A574,Spells!$A$2:$I1002,MATCH(F$3,Spells!$A$1:$I$1,0),FALSE))</f>
        <v/>
      </c>
      <c r="G574" s="16" t="str">
        <f>IFNA(VLOOKUP($A574,Spells!$A$2:$I1002,MATCH(G$3,Spells!$A$1:$I$1,0),FALSE))</f>
        <v/>
      </c>
      <c r="H574" s="16" t="str">
        <f>IFNA(VLOOKUP($A574,Spells!$A$2:$I1002,MATCH(H$3,Spells!$A$1:$I$1,0),FALSE))</f>
        <v/>
      </c>
    </row>
    <row r="575">
      <c r="A575" s="16"/>
      <c r="B575" s="16" t="str">
        <f>IFNA(VLOOKUP($A575,Spells!$A$2:$I1002,MATCH(B$3,Spells!$A$1:$I$1,0),FALSE))</f>
        <v/>
      </c>
      <c r="C575" s="16" t="str">
        <f>IFNA(VLOOKUP($A575,Spells!$A$2:$I1002,MATCH(C$3,Spells!$A$1:$I$1,0),FALSE))</f>
        <v/>
      </c>
      <c r="D575" s="16" t="str">
        <f>IFNA(VLOOKUP($A575,Spells!$A$2:$I1002,MATCH(D$3,Spells!$A$1:$I$1,0),FALSE))</f>
        <v/>
      </c>
      <c r="E575" s="16" t="str">
        <f>IFNA(VLOOKUP($A575,Spells!$A$2:$I1002,MATCH(E$3,Spells!$A$1:$I$1,0),FALSE))</f>
        <v/>
      </c>
      <c r="F575" s="16" t="str">
        <f>IFNA(VLOOKUP($A575,Spells!$A$2:$I1002,MATCH(F$3,Spells!$A$1:$I$1,0),FALSE))</f>
        <v/>
      </c>
      <c r="G575" s="16" t="str">
        <f>IFNA(VLOOKUP($A575,Spells!$A$2:$I1002,MATCH(G$3,Spells!$A$1:$I$1,0),FALSE))</f>
        <v/>
      </c>
      <c r="H575" s="16" t="str">
        <f>IFNA(VLOOKUP($A575,Spells!$A$2:$I1002,MATCH(H$3,Spells!$A$1:$I$1,0),FALSE))</f>
        <v/>
      </c>
    </row>
    <row r="576">
      <c r="A576" s="16"/>
      <c r="B576" s="16" t="str">
        <f>IFNA(VLOOKUP($A576,Spells!$A$2:$I1002,MATCH(B$3,Spells!$A$1:$I$1,0),FALSE))</f>
        <v/>
      </c>
      <c r="C576" s="16" t="str">
        <f>IFNA(VLOOKUP($A576,Spells!$A$2:$I1002,MATCH(C$3,Spells!$A$1:$I$1,0),FALSE))</f>
        <v/>
      </c>
      <c r="D576" s="16" t="str">
        <f>IFNA(VLOOKUP($A576,Spells!$A$2:$I1002,MATCH(D$3,Spells!$A$1:$I$1,0),FALSE))</f>
        <v/>
      </c>
      <c r="E576" s="16" t="str">
        <f>IFNA(VLOOKUP($A576,Spells!$A$2:$I1002,MATCH(E$3,Spells!$A$1:$I$1,0),FALSE))</f>
        <v/>
      </c>
      <c r="F576" s="16" t="str">
        <f>IFNA(VLOOKUP($A576,Spells!$A$2:$I1002,MATCH(F$3,Spells!$A$1:$I$1,0),FALSE))</f>
        <v/>
      </c>
      <c r="G576" s="16" t="str">
        <f>IFNA(VLOOKUP($A576,Spells!$A$2:$I1002,MATCH(G$3,Spells!$A$1:$I$1,0),FALSE))</f>
        <v/>
      </c>
      <c r="H576" s="16" t="str">
        <f>IFNA(VLOOKUP($A576,Spells!$A$2:$I1002,MATCH(H$3,Spells!$A$1:$I$1,0),FALSE))</f>
        <v/>
      </c>
    </row>
    <row r="577">
      <c r="A577" s="16"/>
      <c r="B577" s="16" t="str">
        <f>IFNA(VLOOKUP($A577,Spells!$A$2:$I1002,MATCH(B$3,Spells!$A$1:$I$1,0),FALSE))</f>
        <v/>
      </c>
      <c r="C577" s="16" t="str">
        <f>IFNA(VLOOKUP($A577,Spells!$A$2:$I1002,MATCH(C$3,Spells!$A$1:$I$1,0),FALSE))</f>
        <v/>
      </c>
      <c r="D577" s="16" t="str">
        <f>IFNA(VLOOKUP($A577,Spells!$A$2:$I1002,MATCH(D$3,Spells!$A$1:$I$1,0),FALSE))</f>
        <v/>
      </c>
      <c r="E577" s="16" t="str">
        <f>IFNA(VLOOKUP($A577,Spells!$A$2:$I1002,MATCH(E$3,Spells!$A$1:$I$1,0),FALSE))</f>
        <v/>
      </c>
      <c r="F577" s="16" t="str">
        <f>IFNA(VLOOKUP($A577,Spells!$A$2:$I1002,MATCH(F$3,Spells!$A$1:$I$1,0),FALSE))</f>
        <v/>
      </c>
      <c r="G577" s="16" t="str">
        <f>IFNA(VLOOKUP($A577,Spells!$A$2:$I1002,MATCH(G$3,Spells!$A$1:$I$1,0),FALSE))</f>
        <v/>
      </c>
      <c r="H577" s="16" t="str">
        <f>IFNA(VLOOKUP($A577,Spells!$A$2:$I1002,MATCH(H$3,Spells!$A$1:$I$1,0),FALSE))</f>
        <v/>
      </c>
    </row>
    <row r="578">
      <c r="A578" s="16"/>
      <c r="B578" s="16" t="str">
        <f>IFNA(VLOOKUP($A578,Spells!$A$2:$I1002,MATCH(B$3,Spells!$A$1:$I$1,0),FALSE))</f>
        <v/>
      </c>
      <c r="C578" s="16" t="str">
        <f>IFNA(VLOOKUP($A578,Spells!$A$2:$I1002,MATCH(C$3,Spells!$A$1:$I$1,0),FALSE))</f>
        <v/>
      </c>
      <c r="D578" s="16" t="str">
        <f>IFNA(VLOOKUP($A578,Spells!$A$2:$I1002,MATCH(D$3,Spells!$A$1:$I$1,0),FALSE))</f>
        <v/>
      </c>
      <c r="E578" s="16" t="str">
        <f>IFNA(VLOOKUP($A578,Spells!$A$2:$I1002,MATCH(E$3,Spells!$A$1:$I$1,0),FALSE))</f>
        <v/>
      </c>
      <c r="F578" s="16" t="str">
        <f>IFNA(VLOOKUP($A578,Spells!$A$2:$I1002,MATCH(F$3,Spells!$A$1:$I$1,0),FALSE))</f>
        <v/>
      </c>
      <c r="G578" s="16" t="str">
        <f>IFNA(VLOOKUP($A578,Spells!$A$2:$I1002,MATCH(G$3,Spells!$A$1:$I$1,0),FALSE))</f>
        <v/>
      </c>
      <c r="H578" s="16" t="str">
        <f>IFNA(VLOOKUP($A578,Spells!$A$2:$I1002,MATCH(H$3,Spells!$A$1:$I$1,0),FALSE))</f>
        <v/>
      </c>
    </row>
    <row r="579">
      <c r="A579" s="16"/>
      <c r="B579" s="16" t="str">
        <f>IFNA(VLOOKUP($A579,Spells!$A$2:$I1002,MATCH(B$3,Spells!$A$1:$I$1,0),FALSE))</f>
        <v/>
      </c>
      <c r="C579" s="16" t="str">
        <f>IFNA(VLOOKUP($A579,Spells!$A$2:$I1002,MATCH(C$3,Spells!$A$1:$I$1,0),FALSE))</f>
        <v/>
      </c>
      <c r="D579" s="16" t="str">
        <f>IFNA(VLOOKUP($A579,Spells!$A$2:$I1002,MATCH(D$3,Spells!$A$1:$I$1,0),FALSE))</f>
        <v/>
      </c>
      <c r="E579" s="16" t="str">
        <f>IFNA(VLOOKUP($A579,Spells!$A$2:$I1002,MATCH(E$3,Spells!$A$1:$I$1,0),FALSE))</f>
        <v/>
      </c>
      <c r="F579" s="16" t="str">
        <f>IFNA(VLOOKUP($A579,Spells!$A$2:$I1002,MATCH(F$3,Spells!$A$1:$I$1,0),FALSE))</f>
        <v/>
      </c>
      <c r="G579" s="16" t="str">
        <f>IFNA(VLOOKUP($A579,Spells!$A$2:$I1002,MATCH(G$3,Spells!$A$1:$I$1,0),FALSE))</f>
        <v/>
      </c>
      <c r="H579" s="16" t="str">
        <f>IFNA(VLOOKUP($A579,Spells!$A$2:$I1002,MATCH(H$3,Spells!$A$1:$I$1,0),FALSE))</f>
        <v/>
      </c>
    </row>
    <row r="580">
      <c r="A580" s="16"/>
      <c r="B580" s="16" t="str">
        <f>IFNA(VLOOKUP($A580,Spells!$A$2:$I1002,MATCH(B$3,Spells!$A$1:$I$1,0),FALSE))</f>
        <v/>
      </c>
      <c r="C580" s="16" t="str">
        <f>IFNA(VLOOKUP($A580,Spells!$A$2:$I1002,MATCH(C$3,Spells!$A$1:$I$1,0),FALSE))</f>
        <v/>
      </c>
      <c r="D580" s="16" t="str">
        <f>IFNA(VLOOKUP($A580,Spells!$A$2:$I1002,MATCH(D$3,Spells!$A$1:$I$1,0),FALSE))</f>
        <v/>
      </c>
      <c r="E580" s="16" t="str">
        <f>IFNA(VLOOKUP($A580,Spells!$A$2:$I1002,MATCH(E$3,Spells!$A$1:$I$1,0),FALSE))</f>
        <v/>
      </c>
      <c r="F580" s="16" t="str">
        <f>IFNA(VLOOKUP($A580,Spells!$A$2:$I1002,MATCH(F$3,Spells!$A$1:$I$1,0),FALSE))</f>
        <v/>
      </c>
      <c r="G580" s="16" t="str">
        <f>IFNA(VLOOKUP($A580,Spells!$A$2:$I1002,MATCH(G$3,Spells!$A$1:$I$1,0),FALSE))</f>
        <v/>
      </c>
      <c r="H580" s="16" t="str">
        <f>IFNA(VLOOKUP($A580,Spells!$A$2:$I1002,MATCH(H$3,Spells!$A$1:$I$1,0),FALSE))</f>
        <v/>
      </c>
    </row>
    <row r="581">
      <c r="A581" s="16"/>
      <c r="B581" s="16" t="str">
        <f>IFNA(VLOOKUP($A581,Spells!$A$2:$I1002,MATCH(B$3,Spells!$A$1:$I$1,0),FALSE))</f>
        <v/>
      </c>
      <c r="C581" s="16" t="str">
        <f>IFNA(VLOOKUP($A581,Spells!$A$2:$I1002,MATCH(C$3,Spells!$A$1:$I$1,0),FALSE))</f>
        <v/>
      </c>
      <c r="D581" s="16" t="str">
        <f>IFNA(VLOOKUP($A581,Spells!$A$2:$I1002,MATCH(D$3,Spells!$A$1:$I$1,0),FALSE))</f>
        <v/>
      </c>
      <c r="E581" s="16" t="str">
        <f>IFNA(VLOOKUP($A581,Spells!$A$2:$I1002,MATCH(E$3,Spells!$A$1:$I$1,0),FALSE))</f>
        <v/>
      </c>
      <c r="F581" s="16" t="str">
        <f>IFNA(VLOOKUP($A581,Spells!$A$2:$I1002,MATCH(F$3,Spells!$A$1:$I$1,0),FALSE))</f>
        <v/>
      </c>
      <c r="G581" s="16" t="str">
        <f>IFNA(VLOOKUP($A581,Spells!$A$2:$I1002,MATCH(G$3,Spells!$A$1:$I$1,0),FALSE))</f>
        <v/>
      </c>
      <c r="H581" s="16" t="str">
        <f>IFNA(VLOOKUP($A581,Spells!$A$2:$I1002,MATCH(H$3,Spells!$A$1:$I$1,0),FALSE))</f>
        <v/>
      </c>
    </row>
    <row r="582">
      <c r="A582" s="16"/>
      <c r="B582" s="16" t="str">
        <f>IFNA(VLOOKUP($A582,Spells!$A$2:$I1002,MATCH(B$3,Spells!$A$1:$I$1,0),FALSE))</f>
        <v/>
      </c>
      <c r="C582" s="16" t="str">
        <f>IFNA(VLOOKUP($A582,Spells!$A$2:$I1002,MATCH(C$3,Spells!$A$1:$I$1,0),FALSE))</f>
        <v/>
      </c>
      <c r="D582" s="16" t="str">
        <f>IFNA(VLOOKUP($A582,Spells!$A$2:$I1002,MATCH(D$3,Spells!$A$1:$I$1,0),FALSE))</f>
        <v/>
      </c>
      <c r="E582" s="16" t="str">
        <f>IFNA(VLOOKUP($A582,Spells!$A$2:$I1002,MATCH(E$3,Spells!$A$1:$I$1,0),FALSE))</f>
        <v/>
      </c>
      <c r="F582" s="16" t="str">
        <f>IFNA(VLOOKUP($A582,Spells!$A$2:$I1002,MATCH(F$3,Spells!$A$1:$I$1,0),FALSE))</f>
        <v/>
      </c>
      <c r="G582" s="16" t="str">
        <f>IFNA(VLOOKUP($A582,Spells!$A$2:$I1002,MATCH(G$3,Spells!$A$1:$I$1,0),FALSE))</f>
        <v/>
      </c>
      <c r="H582" s="16" t="str">
        <f>IFNA(VLOOKUP($A582,Spells!$A$2:$I1002,MATCH(H$3,Spells!$A$1:$I$1,0),FALSE))</f>
        <v/>
      </c>
    </row>
    <row r="583">
      <c r="A583" s="16"/>
      <c r="B583" s="16" t="str">
        <f>IFNA(VLOOKUP($A583,Spells!$A$2:$I1002,MATCH(B$3,Spells!$A$1:$I$1,0),FALSE))</f>
        <v/>
      </c>
      <c r="C583" s="16" t="str">
        <f>IFNA(VLOOKUP($A583,Spells!$A$2:$I1002,MATCH(C$3,Spells!$A$1:$I$1,0),FALSE))</f>
        <v/>
      </c>
      <c r="D583" s="16" t="str">
        <f>IFNA(VLOOKUP($A583,Spells!$A$2:$I1002,MATCH(D$3,Spells!$A$1:$I$1,0),FALSE))</f>
        <v/>
      </c>
      <c r="E583" s="16" t="str">
        <f>IFNA(VLOOKUP($A583,Spells!$A$2:$I1002,MATCH(E$3,Spells!$A$1:$I$1,0),FALSE))</f>
        <v/>
      </c>
      <c r="F583" s="16" t="str">
        <f>IFNA(VLOOKUP($A583,Spells!$A$2:$I1002,MATCH(F$3,Spells!$A$1:$I$1,0),FALSE))</f>
        <v/>
      </c>
      <c r="G583" s="16" t="str">
        <f>IFNA(VLOOKUP($A583,Spells!$A$2:$I1002,MATCH(G$3,Spells!$A$1:$I$1,0),FALSE))</f>
        <v/>
      </c>
      <c r="H583" s="16" t="str">
        <f>IFNA(VLOOKUP($A583,Spells!$A$2:$I1002,MATCH(H$3,Spells!$A$1:$I$1,0),FALSE))</f>
        <v/>
      </c>
    </row>
    <row r="584">
      <c r="A584" s="16"/>
      <c r="B584" s="16" t="str">
        <f>IFNA(VLOOKUP($A584,Spells!$A$2:$I1002,MATCH(B$3,Spells!$A$1:$I$1,0),FALSE))</f>
        <v/>
      </c>
      <c r="C584" s="16" t="str">
        <f>IFNA(VLOOKUP($A584,Spells!$A$2:$I1002,MATCH(C$3,Spells!$A$1:$I$1,0),FALSE))</f>
        <v/>
      </c>
      <c r="D584" s="16" t="str">
        <f>IFNA(VLOOKUP($A584,Spells!$A$2:$I1002,MATCH(D$3,Spells!$A$1:$I$1,0),FALSE))</f>
        <v/>
      </c>
      <c r="E584" s="16" t="str">
        <f>IFNA(VLOOKUP($A584,Spells!$A$2:$I1002,MATCH(E$3,Spells!$A$1:$I$1,0),FALSE))</f>
        <v/>
      </c>
      <c r="F584" s="16" t="str">
        <f>IFNA(VLOOKUP($A584,Spells!$A$2:$I1002,MATCH(F$3,Spells!$A$1:$I$1,0),FALSE))</f>
        <v/>
      </c>
      <c r="G584" s="16" t="str">
        <f>IFNA(VLOOKUP($A584,Spells!$A$2:$I1002,MATCH(G$3,Spells!$A$1:$I$1,0),FALSE))</f>
        <v/>
      </c>
      <c r="H584" s="16" t="str">
        <f>IFNA(VLOOKUP($A584,Spells!$A$2:$I1002,MATCH(H$3,Spells!$A$1:$I$1,0),FALSE))</f>
        <v/>
      </c>
    </row>
    <row r="585">
      <c r="A585" s="16"/>
      <c r="B585" s="16" t="str">
        <f>IFNA(VLOOKUP($A585,Spells!$A$2:$I1002,MATCH(B$3,Spells!$A$1:$I$1,0),FALSE))</f>
        <v/>
      </c>
      <c r="C585" s="16" t="str">
        <f>IFNA(VLOOKUP($A585,Spells!$A$2:$I1002,MATCH(C$3,Spells!$A$1:$I$1,0),FALSE))</f>
        <v/>
      </c>
      <c r="D585" s="16" t="str">
        <f>IFNA(VLOOKUP($A585,Spells!$A$2:$I1002,MATCH(D$3,Spells!$A$1:$I$1,0),FALSE))</f>
        <v/>
      </c>
      <c r="E585" s="16" t="str">
        <f>IFNA(VLOOKUP($A585,Spells!$A$2:$I1002,MATCH(E$3,Spells!$A$1:$I$1,0),FALSE))</f>
        <v/>
      </c>
      <c r="F585" s="16" t="str">
        <f>IFNA(VLOOKUP($A585,Spells!$A$2:$I1002,MATCH(F$3,Spells!$A$1:$I$1,0),FALSE))</f>
        <v/>
      </c>
      <c r="G585" s="16" t="str">
        <f>IFNA(VLOOKUP($A585,Spells!$A$2:$I1002,MATCH(G$3,Spells!$A$1:$I$1,0),FALSE))</f>
        <v/>
      </c>
      <c r="H585" s="16" t="str">
        <f>IFNA(VLOOKUP($A585,Spells!$A$2:$I1002,MATCH(H$3,Spells!$A$1:$I$1,0),FALSE))</f>
        <v/>
      </c>
    </row>
    <row r="586">
      <c r="A586" s="16"/>
      <c r="B586" s="16" t="str">
        <f>IFNA(VLOOKUP($A586,Spells!$A$2:$I1002,MATCH(B$3,Spells!$A$1:$I$1,0),FALSE))</f>
        <v/>
      </c>
      <c r="C586" s="16" t="str">
        <f>IFNA(VLOOKUP($A586,Spells!$A$2:$I1002,MATCH(C$3,Spells!$A$1:$I$1,0),FALSE))</f>
        <v/>
      </c>
      <c r="D586" s="16" t="str">
        <f>IFNA(VLOOKUP($A586,Spells!$A$2:$I1002,MATCH(D$3,Spells!$A$1:$I$1,0),FALSE))</f>
        <v/>
      </c>
      <c r="E586" s="16" t="str">
        <f>IFNA(VLOOKUP($A586,Spells!$A$2:$I1002,MATCH(E$3,Spells!$A$1:$I$1,0),FALSE))</f>
        <v/>
      </c>
      <c r="F586" s="16" t="str">
        <f>IFNA(VLOOKUP($A586,Spells!$A$2:$I1002,MATCH(F$3,Spells!$A$1:$I$1,0),FALSE))</f>
        <v/>
      </c>
      <c r="G586" s="16" t="str">
        <f>IFNA(VLOOKUP($A586,Spells!$A$2:$I1002,MATCH(G$3,Spells!$A$1:$I$1,0),FALSE))</f>
        <v/>
      </c>
      <c r="H586" s="16" t="str">
        <f>IFNA(VLOOKUP($A586,Spells!$A$2:$I1002,MATCH(H$3,Spells!$A$1:$I$1,0),FALSE))</f>
        <v/>
      </c>
    </row>
    <row r="587">
      <c r="A587" s="16"/>
      <c r="B587" s="16" t="str">
        <f>IFNA(VLOOKUP($A587,Spells!$A$2:$I1002,MATCH(B$3,Spells!$A$1:$I$1,0),FALSE))</f>
        <v/>
      </c>
      <c r="C587" s="16" t="str">
        <f>IFNA(VLOOKUP($A587,Spells!$A$2:$I1002,MATCH(C$3,Spells!$A$1:$I$1,0),FALSE))</f>
        <v/>
      </c>
      <c r="D587" s="16" t="str">
        <f>IFNA(VLOOKUP($A587,Spells!$A$2:$I1002,MATCH(D$3,Spells!$A$1:$I$1,0),FALSE))</f>
        <v/>
      </c>
      <c r="E587" s="16" t="str">
        <f>IFNA(VLOOKUP($A587,Spells!$A$2:$I1002,MATCH(E$3,Spells!$A$1:$I$1,0),FALSE))</f>
        <v/>
      </c>
      <c r="F587" s="16" t="str">
        <f>IFNA(VLOOKUP($A587,Spells!$A$2:$I1002,MATCH(F$3,Spells!$A$1:$I$1,0),FALSE))</f>
        <v/>
      </c>
      <c r="G587" s="16" t="str">
        <f>IFNA(VLOOKUP($A587,Spells!$A$2:$I1002,MATCH(G$3,Spells!$A$1:$I$1,0),FALSE))</f>
        <v/>
      </c>
      <c r="H587" s="16" t="str">
        <f>IFNA(VLOOKUP($A587,Spells!$A$2:$I1002,MATCH(H$3,Spells!$A$1:$I$1,0),FALSE))</f>
        <v/>
      </c>
    </row>
    <row r="588">
      <c r="A588" s="16"/>
      <c r="B588" s="16" t="str">
        <f>IFNA(VLOOKUP($A588,Spells!$A$2:$I1002,MATCH(B$3,Spells!$A$1:$I$1,0),FALSE))</f>
        <v/>
      </c>
      <c r="C588" s="16" t="str">
        <f>IFNA(VLOOKUP($A588,Spells!$A$2:$I1002,MATCH(C$3,Spells!$A$1:$I$1,0),FALSE))</f>
        <v/>
      </c>
      <c r="D588" s="16" t="str">
        <f>IFNA(VLOOKUP($A588,Spells!$A$2:$I1002,MATCH(D$3,Spells!$A$1:$I$1,0),FALSE))</f>
        <v/>
      </c>
      <c r="E588" s="16" t="str">
        <f>IFNA(VLOOKUP($A588,Spells!$A$2:$I1002,MATCH(E$3,Spells!$A$1:$I$1,0),FALSE))</f>
        <v/>
      </c>
      <c r="F588" s="16" t="str">
        <f>IFNA(VLOOKUP($A588,Spells!$A$2:$I1002,MATCH(F$3,Spells!$A$1:$I$1,0),FALSE))</f>
        <v/>
      </c>
      <c r="G588" s="16" t="str">
        <f>IFNA(VLOOKUP($A588,Spells!$A$2:$I1002,MATCH(G$3,Spells!$A$1:$I$1,0),FALSE))</f>
        <v/>
      </c>
      <c r="H588" s="16" t="str">
        <f>IFNA(VLOOKUP($A588,Spells!$A$2:$I1002,MATCH(H$3,Spells!$A$1:$I$1,0),FALSE))</f>
        <v/>
      </c>
    </row>
    <row r="589">
      <c r="A589" s="16"/>
      <c r="B589" s="16" t="str">
        <f>IFNA(VLOOKUP($A589,Spells!$A$2:$I1002,MATCH(B$3,Spells!$A$1:$I$1,0),FALSE))</f>
        <v/>
      </c>
      <c r="C589" s="16" t="str">
        <f>IFNA(VLOOKUP($A589,Spells!$A$2:$I1002,MATCH(C$3,Spells!$A$1:$I$1,0),FALSE))</f>
        <v/>
      </c>
      <c r="D589" s="16" t="str">
        <f>IFNA(VLOOKUP($A589,Spells!$A$2:$I1002,MATCH(D$3,Spells!$A$1:$I$1,0),FALSE))</f>
        <v/>
      </c>
      <c r="E589" s="16" t="str">
        <f>IFNA(VLOOKUP($A589,Spells!$A$2:$I1002,MATCH(E$3,Spells!$A$1:$I$1,0),FALSE))</f>
        <v/>
      </c>
      <c r="F589" s="16" t="str">
        <f>IFNA(VLOOKUP($A589,Spells!$A$2:$I1002,MATCH(F$3,Spells!$A$1:$I$1,0),FALSE))</f>
        <v/>
      </c>
      <c r="G589" s="16" t="str">
        <f>IFNA(VLOOKUP($A589,Spells!$A$2:$I1002,MATCH(G$3,Spells!$A$1:$I$1,0),FALSE))</f>
        <v/>
      </c>
      <c r="H589" s="16" t="str">
        <f>IFNA(VLOOKUP($A589,Spells!$A$2:$I1002,MATCH(H$3,Spells!$A$1:$I$1,0),FALSE))</f>
        <v/>
      </c>
    </row>
    <row r="590">
      <c r="A590" s="16"/>
      <c r="B590" s="16" t="str">
        <f>IFNA(VLOOKUP($A590,Spells!$A$2:$I1002,MATCH(B$3,Spells!$A$1:$I$1,0),FALSE))</f>
        <v/>
      </c>
      <c r="C590" s="16" t="str">
        <f>IFNA(VLOOKUP($A590,Spells!$A$2:$I1002,MATCH(C$3,Spells!$A$1:$I$1,0),FALSE))</f>
        <v/>
      </c>
      <c r="D590" s="16" t="str">
        <f>IFNA(VLOOKUP($A590,Spells!$A$2:$I1002,MATCH(D$3,Spells!$A$1:$I$1,0),FALSE))</f>
        <v/>
      </c>
      <c r="E590" s="16" t="str">
        <f>IFNA(VLOOKUP($A590,Spells!$A$2:$I1002,MATCH(E$3,Spells!$A$1:$I$1,0),FALSE))</f>
        <v/>
      </c>
      <c r="F590" s="16" t="str">
        <f>IFNA(VLOOKUP($A590,Spells!$A$2:$I1002,MATCH(F$3,Spells!$A$1:$I$1,0),FALSE))</f>
        <v/>
      </c>
      <c r="G590" s="16" t="str">
        <f>IFNA(VLOOKUP($A590,Spells!$A$2:$I1002,MATCH(G$3,Spells!$A$1:$I$1,0),FALSE))</f>
        <v/>
      </c>
      <c r="H590" s="16" t="str">
        <f>IFNA(VLOOKUP($A590,Spells!$A$2:$I1002,MATCH(H$3,Spells!$A$1:$I$1,0),FALSE))</f>
        <v/>
      </c>
    </row>
    <row r="591">
      <c r="A591" s="16"/>
      <c r="B591" s="16" t="str">
        <f>IFNA(VLOOKUP($A591,Spells!$A$2:$I1002,MATCH(B$3,Spells!$A$1:$I$1,0),FALSE))</f>
        <v/>
      </c>
      <c r="C591" s="16" t="str">
        <f>IFNA(VLOOKUP($A591,Spells!$A$2:$I1002,MATCH(C$3,Spells!$A$1:$I$1,0),FALSE))</f>
        <v/>
      </c>
      <c r="D591" s="16" t="str">
        <f>IFNA(VLOOKUP($A591,Spells!$A$2:$I1002,MATCH(D$3,Spells!$A$1:$I$1,0),FALSE))</f>
        <v/>
      </c>
      <c r="E591" s="16" t="str">
        <f>IFNA(VLOOKUP($A591,Spells!$A$2:$I1002,MATCH(E$3,Spells!$A$1:$I$1,0),FALSE))</f>
        <v/>
      </c>
      <c r="F591" s="16" t="str">
        <f>IFNA(VLOOKUP($A591,Spells!$A$2:$I1002,MATCH(F$3,Spells!$A$1:$I$1,0),FALSE))</f>
        <v/>
      </c>
      <c r="G591" s="16" t="str">
        <f>IFNA(VLOOKUP($A591,Spells!$A$2:$I1002,MATCH(G$3,Spells!$A$1:$I$1,0),FALSE))</f>
        <v/>
      </c>
      <c r="H591" s="16" t="str">
        <f>IFNA(VLOOKUP($A591,Spells!$A$2:$I1002,MATCH(H$3,Spells!$A$1:$I$1,0),FALSE))</f>
        <v/>
      </c>
    </row>
    <row r="592">
      <c r="A592" s="16"/>
      <c r="B592" s="16" t="str">
        <f>IFNA(VLOOKUP($A592,Spells!$A$2:$I1002,MATCH(B$3,Spells!$A$1:$I$1,0),FALSE))</f>
        <v/>
      </c>
      <c r="C592" s="16" t="str">
        <f>IFNA(VLOOKUP($A592,Spells!$A$2:$I1002,MATCH(C$3,Spells!$A$1:$I$1,0),FALSE))</f>
        <v/>
      </c>
      <c r="D592" s="16" t="str">
        <f>IFNA(VLOOKUP($A592,Spells!$A$2:$I1002,MATCH(D$3,Spells!$A$1:$I$1,0),FALSE))</f>
        <v/>
      </c>
      <c r="E592" s="16" t="str">
        <f>IFNA(VLOOKUP($A592,Spells!$A$2:$I1002,MATCH(E$3,Spells!$A$1:$I$1,0),FALSE))</f>
        <v/>
      </c>
      <c r="F592" s="16" t="str">
        <f>IFNA(VLOOKUP($A592,Spells!$A$2:$I1002,MATCH(F$3,Spells!$A$1:$I$1,0),FALSE))</f>
        <v/>
      </c>
      <c r="G592" s="16" t="str">
        <f>IFNA(VLOOKUP($A592,Spells!$A$2:$I1002,MATCH(G$3,Spells!$A$1:$I$1,0),FALSE))</f>
        <v/>
      </c>
      <c r="H592" s="16" t="str">
        <f>IFNA(VLOOKUP($A592,Spells!$A$2:$I1002,MATCH(H$3,Spells!$A$1:$I$1,0),FALSE))</f>
        <v/>
      </c>
    </row>
    <row r="593">
      <c r="A593" s="16"/>
      <c r="B593" s="16" t="str">
        <f>IFNA(VLOOKUP($A593,Spells!$A$2:$I1002,MATCH(B$3,Spells!$A$1:$I$1,0),FALSE))</f>
        <v/>
      </c>
      <c r="C593" s="16" t="str">
        <f>IFNA(VLOOKUP($A593,Spells!$A$2:$I1002,MATCH(C$3,Spells!$A$1:$I$1,0),FALSE))</f>
        <v/>
      </c>
      <c r="D593" s="16" t="str">
        <f>IFNA(VLOOKUP($A593,Spells!$A$2:$I1002,MATCH(D$3,Spells!$A$1:$I$1,0),FALSE))</f>
        <v/>
      </c>
      <c r="E593" s="16" t="str">
        <f>IFNA(VLOOKUP($A593,Spells!$A$2:$I1002,MATCH(E$3,Spells!$A$1:$I$1,0),FALSE))</f>
        <v/>
      </c>
      <c r="F593" s="16" t="str">
        <f>IFNA(VLOOKUP($A593,Spells!$A$2:$I1002,MATCH(F$3,Spells!$A$1:$I$1,0),FALSE))</f>
        <v/>
      </c>
      <c r="G593" s="16" t="str">
        <f>IFNA(VLOOKUP($A593,Spells!$A$2:$I1002,MATCH(G$3,Spells!$A$1:$I$1,0),FALSE))</f>
        <v/>
      </c>
      <c r="H593" s="16" t="str">
        <f>IFNA(VLOOKUP($A593,Spells!$A$2:$I1002,MATCH(H$3,Spells!$A$1:$I$1,0),FALSE))</f>
        <v/>
      </c>
    </row>
    <row r="594">
      <c r="A594" s="16"/>
      <c r="B594" s="16" t="str">
        <f>IFNA(VLOOKUP($A594,Spells!$A$2:$I1002,MATCH(B$3,Spells!$A$1:$I$1,0),FALSE))</f>
        <v/>
      </c>
      <c r="C594" s="16" t="str">
        <f>IFNA(VLOOKUP($A594,Spells!$A$2:$I1002,MATCH(C$3,Spells!$A$1:$I$1,0),FALSE))</f>
        <v/>
      </c>
      <c r="D594" s="16" t="str">
        <f>IFNA(VLOOKUP($A594,Spells!$A$2:$I1002,MATCH(D$3,Spells!$A$1:$I$1,0),FALSE))</f>
        <v/>
      </c>
      <c r="E594" s="16" t="str">
        <f>IFNA(VLOOKUP($A594,Spells!$A$2:$I1002,MATCH(E$3,Spells!$A$1:$I$1,0),FALSE))</f>
        <v/>
      </c>
      <c r="F594" s="16" t="str">
        <f>IFNA(VLOOKUP($A594,Spells!$A$2:$I1002,MATCH(F$3,Spells!$A$1:$I$1,0),FALSE))</f>
        <v/>
      </c>
      <c r="G594" s="16" t="str">
        <f>IFNA(VLOOKUP($A594,Spells!$A$2:$I1002,MATCH(G$3,Spells!$A$1:$I$1,0),FALSE))</f>
        <v/>
      </c>
      <c r="H594" s="16" t="str">
        <f>IFNA(VLOOKUP($A594,Spells!$A$2:$I1002,MATCH(H$3,Spells!$A$1:$I$1,0),FALSE))</f>
        <v/>
      </c>
    </row>
    <row r="595">
      <c r="A595" s="16"/>
      <c r="B595" s="16" t="str">
        <f>IFNA(VLOOKUP($A595,Spells!$A$2:$I1002,MATCH(B$3,Spells!$A$1:$I$1,0),FALSE))</f>
        <v/>
      </c>
      <c r="C595" s="16" t="str">
        <f>IFNA(VLOOKUP($A595,Spells!$A$2:$I1002,MATCH(C$3,Spells!$A$1:$I$1,0),FALSE))</f>
        <v/>
      </c>
      <c r="D595" s="16" t="str">
        <f>IFNA(VLOOKUP($A595,Spells!$A$2:$I1002,MATCH(D$3,Spells!$A$1:$I$1,0),FALSE))</f>
        <v/>
      </c>
      <c r="E595" s="16" t="str">
        <f>IFNA(VLOOKUP($A595,Spells!$A$2:$I1002,MATCH(E$3,Spells!$A$1:$I$1,0),FALSE))</f>
        <v/>
      </c>
      <c r="F595" s="16" t="str">
        <f>IFNA(VLOOKUP($A595,Spells!$A$2:$I1002,MATCH(F$3,Spells!$A$1:$I$1,0),FALSE))</f>
        <v/>
      </c>
      <c r="G595" s="16" t="str">
        <f>IFNA(VLOOKUP($A595,Spells!$A$2:$I1002,MATCH(G$3,Spells!$A$1:$I$1,0),FALSE))</f>
        <v/>
      </c>
      <c r="H595" s="16" t="str">
        <f>IFNA(VLOOKUP($A595,Spells!$A$2:$I1002,MATCH(H$3,Spells!$A$1:$I$1,0),FALSE))</f>
        <v/>
      </c>
    </row>
    <row r="596">
      <c r="A596" s="16"/>
      <c r="B596" s="16" t="str">
        <f>IFNA(VLOOKUP($A596,Spells!$A$2:$I1002,MATCH(B$3,Spells!$A$1:$I$1,0),FALSE))</f>
        <v/>
      </c>
      <c r="C596" s="16" t="str">
        <f>IFNA(VLOOKUP($A596,Spells!$A$2:$I1002,MATCH(C$3,Spells!$A$1:$I$1,0),FALSE))</f>
        <v/>
      </c>
      <c r="D596" s="16" t="str">
        <f>IFNA(VLOOKUP($A596,Spells!$A$2:$I1002,MATCH(D$3,Spells!$A$1:$I$1,0),FALSE))</f>
        <v/>
      </c>
      <c r="E596" s="16" t="str">
        <f>IFNA(VLOOKUP($A596,Spells!$A$2:$I1002,MATCH(E$3,Spells!$A$1:$I$1,0),FALSE))</f>
        <v/>
      </c>
      <c r="F596" s="16" t="str">
        <f>IFNA(VLOOKUP($A596,Spells!$A$2:$I1002,MATCH(F$3,Spells!$A$1:$I$1,0),FALSE))</f>
        <v/>
      </c>
      <c r="G596" s="16" t="str">
        <f>IFNA(VLOOKUP($A596,Spells!$A$2:$I1002,MATCH(G$3,Spells!$A$1:$I$1,0),FALSE))</f>
        <v/>
      </c>
      <c r="H596" s="16" t="str">
        <f>IFNA(VLOOKUP($A596,Spells!$A$2:$I1002,MATCH(H$3,Spells!$A$1:$I$1,0),FALSE))</f>
        <v/>
      </c>
    </row>
    <row r="597">
      <c r="A597" s="16"/>
      <c r="B597" s="16" t="str">
        <f>IFNA(VLOOKUP($A597,Spells!$A$2:$I1002,MATCH(B$3,Spells!$A$1:$I$1,0),FALSE))</f>
        <v/>
      </c>
      <c r="C597" s="16" t="str">
        <f>IFNA(VLOOKUP($A597,Spells!$A$2:$I1002,MATCH(C$3,Spells!$A$1:$I$1,0),FALSE))</f>
        <v/>
      </c>
      <c r="D597" s="16" t="str">
        <f>IFNA(VLOOKUP($A597,Spells!$A$2:$I1002,MATCH(D$3,Spells!$A$1:$I$1,0),FALSE))</f>
        <v/>
      </c>
      <c r="E597" s="16" t="str">
        <f>IFNA(VLOOKUP($A597,Spells!$A$2:$I1002,MATCH(E$3,Spells!$A$1:$I$1,0),FALSE))</f>
        <v/>
      </c>
      <c r="F597" s="16" t="str">
        <f>IFNA(VLOOKUP($A597,Spells!$A$2:$I1002,MATCH(F$3,Spells!$A$1:$I$1,0),FALSE))</f>
        <v/>
      </c>
      <c r="G597" s="16" t="str">
        <f>IFNA(VLOOKUP($A597,Spells!$A$2:$I1002,MATCH(G$3,Spells!$A$1:$I$1,0),FALSE))</f>
        <v/>
      </c>
      <c r="H597" s="16" t="str">
        <f>IFNA(VLOOKUP($A597,Spells!$A$2:$I1002,MATCH(H$3,Spells!$A$1:$I$1,0),FALSE))</f>
        <v/>
      </c>
    </row>
    <row r="598">
      <c r="A598" s="16"/>
      <c r="B598" s="16" t="str">
        <f>IFNA(VLOOKUP($A598,Spells!$A$2:$I1002,MATCH(B$3,Spells!$A$1:$I$1,0),FALSE))</f>
        <v/>
      </c>
      <c r="C598" s="16" t="str">
        <f>IFNA(VLOOKUP($A598,Spells!$A$2:$I1002,MATCH(C$3,Spells!$A$1:$I$1,0),FALSE))</f>
        <v/>
      </c>
      <c r="D598" s="16" t="str">
        <f>IFNA(VLOOKUP($A598,Spells!$A$2:$I1002,MATCH(D$3,Spells!$A$1:$I$1,0),FALSE))</f>
        <v/>
      </c>
      <c r="E598" s="16" t="str">
        <f>IFNA(VLOOKUP($A598,Spells!$A$2:$I1002,MATCH(E$3,Spells!$A$1:$I$1,0),FALSE))</f>
        <v/>
      </c>
      <c r="F598" s="16" t="str">
        <f>IFNA(VLOOKUP($A598,Spells!$A$2:$I1002,MATCH(F$3,Spells!$A$1:$I$1,0),FALSE))</f>
        <v/>
      </c>
      <c r="G598" s="16" t="str">
        <f>IFNA(VLOOKUP($A598,Spells!$A$2:$I1002,MATCH(G$3,Spells!$A$1:$I$1,0),FALSE))</f>
        <v/>
      </c>
      <c r="H598" s="16" t="str">
        <f>IFNA(VLOOKUP($A598,Spells!$A$2:$I1002,MATCH(H$3,Spells!$A$1:$I$1,0),FALSE))</f>
        <v/>
      </c>
    </row>
    <row r="599">
      <c r="A599" s="16"/>
      <c r="B599" s="16" t="str">
        <f>IFNA(VLOOKUP($A599,Spells!$A$2:$I1002,MATCH(B$3,Spells!$A$1:$I$1,0),FALSE))</f>
        <v/>
      </c>
      <c r="C599" s="16" t="str">
        <f>IFNA(VLOOKUP($A599,Spells!$A$2:$I1002,MATCH(C$3,Spells!$A$1:$I$1,0),FALSE))</f>
        <v/>
      </c>
      <c r="D599" s="16" t="str">
        <f>IFNA(VLOOKUP($A599,Spells!$A$2:$I1002,MATCH(D$3,Spells!$A$1:$I$1,0),FALSE))</f>
        <v/>
      </c>
      <c r="E599" s="16" t="str">
        <f>IFNA(VLOOKUP($A599,Spells!$A$2:$I1002,MATCH(E$3,Spells!$A$1:$I$1,0),FALSE))</f>
        <v/>
      </c>
      <c r="F599" s="16" t="str">
        <f>IFNA(VLOOKUP($A599,Spells!$A$2:$I1002,MATCH(F$3,Spells!$A$1:$I$1,0),FALSE))</f>
        <v/>
      </c>
      <c r="G599" s="16" t="str">
        <f>IFNA(VLOOKUP($A599,Spells!$A$2:$I1002,MATCH(G$3,Spells!$A$1:$I$1,0),FALSE))</f>
        <v/>
      </c>
      <c r="H599" s="16" t="str">
        <f>IFNA(VLOOKUP($A599,Spells!$A$2:$I1002,MATCH(H$3,Spells!$A$1:$I$1,0),FALSE))</f>
        <v/>
      </c>
    </row>
    <row r="600">
      <c r="A600" s="16"/>
      <c r="B600" s="16" t="str">
        <f>IFNA(VLOOKUP($A600,Spells!$A$2:$I1002,MATCH(B$3,Spells!$A$1:$I$1,0),FALSE))</f>
        <v/>
      </c>
      <c r="C600" s="16" t="str">
        <f>IFNA(VLOOKUP($A600,Spells!$A$2:$I1002,MATCH(C$3,Spells!$A$1:$I$1,0),FALSE))</f>
        <v/>
      </c>
      <c r="D600" s="16" t="str">
        <f>IFNA(VLOOKUP($A600,Spells!$A$2:$I1002,MATCH(D$3,Spells!$A$1:$I$1,0),FALSE))</f>
        <v/>
      </c>
      <c r="E600" s="16" t="str">
        <f>IFNA(VLOOKUP($A600,Spells!$A$2:$I1002,MATCH(E$3,Spells!$A$1:$I$1,0),FALSE))</f>
        <v/>
      </c>
      <c r="F600" s="16" t="str">
        <f>IFNA(VLOOKUP($A600,Spells!$A$2:$I1002,MATCH(F$3,Spells!$A$1:$I$1,0),FALSE))</f>
        <v/>
      </c>
      <c r="G600" s="16" t="str">
        <f>IFNA(VLOOKUP($A600,Spells!$A$2:$I1002,MATCH(G$3,Spells!$A$1:$I$1,0),FALSE))</f>
        <v/>
      </c>
      <c r="H600" s="16" t="str">
        <f>IFNA(VLOOKUP($A600,Spells!$A$2:$I1002,MATCH(H$3,Spells!$A$1:$I$1,0),FALSE))</f>
        <v/>
      </c>
    </row>
    <row r="601">
      <c r="A601" s="16"/>
      <c r="B601" s="16" t="str">
        <f>IFNA(VLOOKUP($A601,Spells!$A$2:$I1002,MATCH(B$3,Spells!$A$1:$I$1,0),FALSE))</f>
        <v/>
      </c>
      <c r="C601" s="16" t="str">
        <f>IFNA(VLOOKUP($A601,Spells!$A$2:$I1002,MATCH(C$3,Spells!$A$1:$I$1,0),FALSE))</f>
        <v/>
      </c>
      <c r="D601" s="16" t="str">
        <f>IFNA(VLOOKUP($A601,Spells!$A$2:$I1002,MATCH(D$3,Spells!$A$1:$I$1,0),FALSE))</f>
        <v/>
      </c>
      <c r="E601" s="16" t="str">
        <f>IFNA(VLOOKUP($A601,Spells!$A$2:$I1002,MATCH(E$3,Spells!$A$1:$I$1,0),FALSE))</f>
        <v/>
      </c>
      <c r="F601" s="16" t="str">
        <f>IFNA(VLOOKUP($A601,Spells!$A$2:$I1002,MATCH(F$3,Spells!$A$1:$I$1,0),FALSE))</f>
        <v/>
      </c>
      <c r="G601" s="16" t="str">
        <f>IFNA(VLOOKUP($A601,Spells!$A$2:$I1002,MATCH(G$3,Spells!$A$1:$I$1,0),FALSE))</f>
        <v/>
      </c>
      <c r="H601" s="16" t="str">
        <f>IFNA(VLOOKUP($A601,Spells!$A$2:$I1002,MATCH(H$3,Spells!$A$1:$I$1,0),FALSE))</f>
        <v/>
      </c>
    </row>
    <row r="602">
      <c r="A602" s="16"/>
      <c r="B602" s="16" t="str">
        <f>IFNA(VLOOKUP($A602,Spells!$A$2:$I1002,MATCH(B$3,Spells!$A$1:$I$1,0),FALSE))</f>
        <v/>
      </c>
      <c r="C602" s="16" t="str">
        <f>IFNA(VLOOKUP($A602,Spells!$A$2:$I1002,MATCH(C$3,Spells!$A$1:$I$1,0),FALSE))</f>
        <v/>
      </c>
      <c r="D602" s="16" t="str">
        <f>IFNA(VLOOKUP($A602,Spells!$A$2:$I1002,MATCH(D$3,Spells!$A$1:$I$1,0),FALSE))</f>
        <v/>
      </c>
      <c r="E602" s="16" t="str">
        <f>IFNA(VLOOKUP($A602,Spells!$A$2:$I1002,MATCH(E$3,Spells!$A$1:$I$1,0),FALSE))</f>
        <v/>
      </c>
      <c r="F602" s="16" t="str">
        <f>IFNA(VLOOKUP($A602,Spells!$A$2:$I1002,MATCH(F$3,Spells!$A$1:$I$1,0),FALSE))</f>
        <v/>
      </c>
      <c r="G602" s="16" t="str">
        <f>IFNA(VLOOKUP($A602,Spells!$A$2:$I1002,MATCH(G$3,Spells!$A$1:$I$1,0),FALSE))</f>
        <v/>
      </c>
      <c r="H602" s="16" t="str">
        <f>IFNA(VLOOKUP($A602,Spells!$A$2:$I1002,MATCH(H$3,Spells!$A$1:$I$1,0),FALSE))</f>
        <v/>
      </c>
    </row>
    <row r="603">
      <c r="A603" s="16"/>
      <c r="B603" s="16" t="str">
        <f>IFNA(VLOOKUP($A603,Spells!$A$2:$I1002,MATCH(B$3,Spells!$A$1:$I$1,0),FALSE))</f>
        <v/>
      </c>
      <c r="C603" s="16" t="str">
        <f>IFNA(VLOOKUP($A603,Spells!$A$2:$I1002,MATCH(C$3,Spells!$A$1:$I$1,0),FALSE))</f>
        <v/>
      </c>
      <c r="D603" s="16" t="str">
        <f>IFNA(VLOOKUP($A603,Spells!$A$2:$I1002,MATCH(D$3,Spells!$A$1:$I$1,0),FALSE))</f>
        <v/>
      </c>
      <c r="E603" s="16" t="str">
        <f>IFNA(VLOOKUP($A603,Spells!$A$2:$I1002,MATCH(E$3,Spells!$A$1:$I$1,0),FALSE))</f>
        <v/>
      </c>
      <c r="F603" s="16" t="str">
        <f>IFNA(VLOOKUP($A603,Spells!$A$2:$I1002,MATCH(F$3,Spells!$A$1:$I$1,0),FALSE))</f>
        <v/>
      </c>
      <c r="G603" s="16" t="str">
        <f>IFNA(VLOOKUP($A603,Spells!$A$2:$I1002,MATCH(G$3,Spells!$A$1:$I$1,0),FALSE))</f>
        <v/>
      </c>
      <c r="H603" s="16" t="str">
        <f>IFNA(VLOOKUP($A603,Spells!$A$2:$I1002,MATCH(H$3,Spells!$A$1:$I$1,0),FALSE))</f>
        <v/>
      </c>
    </row>
    <row r="604">
      <c r="A604" s="16"/>
      <c r="B604" s="16" t="str">
        <f>IFNA(VLOOKUP($A604,Spells!$A$2:$I1002,MATCH(B$3,Spells!$A$1:$I$1,0),FALSE))</f>
        <v/>
      </c>
      <c r="C604" s="16" t="str">
        <f>IFNA(VLOOKUP($A604,Spells!$A$2:$I1002,MATCH(C$3,Spells!$A$1:$I$1,0),FALSE))</f>
        <v/>
      </c>
      <c r="D604" s="16" t="str">
        <f>IFNA(VLOOKUP($A604,Spells!$A$2:$I1002,MATCH(D$3,Spells!$A$1:$I$1,0),FALSE))</f>
        <v/>
      </c>
      <c r="E604" s="16" t="str">
        <f>IFNA(VLOOKUP($A604,Spells!$A$2:$I1002,MATCH(E$3,Spells!$A$1:$I$1,0),FALSE))</f>
        <v/>
      </c>
      <c r="F604" s="16" t="str">
        <f>IFNA(VLOOKUP($A604,Spells!$A$2:$I1002,MATCH(F$3,Spells!$A$1:$I$1,0),FALSE))</f>
        <v/>
      </c>
      <c r="G604" s="16" t="str">
        <f>IFNA(VLOOKUP($A604,Spells!$A$2:$I1002,MATCH(G$3,Spells!$A$1:$I$1,0),FALSE))</f>
        <v/>
      </c>
      <c r="H604" s="16" t="str">
        <f>IFNA(VLOOKUP($A604,Spells!$A$2:$I1002,MATCH(H$3,Spells!$A$1:$I$1,0),FALSE))</f>
        <v/>
      </c>
    </row>
    <row r="605">
      <c r="A605" s="16"/>
      <c r="B605" s="16" t="str">
        <f>IFNA(VLOOKUP($A605,Spells!$A$2:$I1002,MATCH(B$3,Spells!$A$1:$I$1,0),FALSE))</f>
        <v/>
      </c>
      <c r="C605" s="16" t="str">
        <f>IFNA(VLOOKUP($A605,Spells!$A$2:$I1002,MATCH(C$3,Spells!$A$1:$I$1,0),FALSE))</f>
        <v/>
      </c>
      <c r="D605" s="16" t="str">
        <f>IFNA(VLOOKUP($A605,Spells!$A$2:$I1002,MATCH(D$3,Spells!$A$1:$I$1,0),FALSE))</f>
        <v/>
      </c>
      <c r="E605" s="16" t="str">
        <f>IFNA(VLOOKUP($A605,Spells!$A$2:$I1002,MATCH(E$3,Spells!$A$1:$I$1,0),FALSE))</f>
        <v/>
      </c>
      <c r="F605" s="16" t="str">
        <f>IFNA(VLOOKUP($A605,Spells!$A$2:$I1002,MATCH(F$3,Spells!$A$1:$I$1,0),FALSE))</f>
        <v/>
      </c>
      <c r="G605" s="16" t="str">
        <f>IFNA(VLOOKUP($A605,Spells!$A$2:$I1002,MATCH(G$3,Spells!$A$1:$I$1,0),FALSE))</f>
        <v/>
      </c>
      <c r="H605" s="16" t="str">
        <f>IFNA(VLOOKUP($A605,Spells!$A$2:$I1002,MATCH(H$3,Spells!$A$1:$I$1,0),FALSE))</f>
        <v/>
      </c>
    </row>
    <row r="606">
      <c r="A606" s="16"/>
      <c r="B606" s="16" t="str">
        <f>IFNA(VLOOKUP($A606,Spells!$A$2:$I1002,MATCH(B$3,Spells!$A$1:$I$1,0),FALSE))</f>
        <v/>
      </c>
      <c r="C606" s="16" t="str">
        <f>IFNA(VLOOKUP($A606,Spells!$A$2:$I1002,MATCH(C$3,Spells!$A$1:$I$1,0),FALSE))</f>
        <v/>
      </c>
      <c r="D606" s="16" t="str">
        <f>IFNA(VLOOKUP($A606,Spells!$A$2:$I1002,MATCH(D$3,Spells!$A$1:$I$1,0),FALSE))</f>
        <v/>
      </c>
      <c r="E606" s="16" t="str">
        <f>IFNA(VLOOKUP($A606,Spells!$A$2:$I1002,MATCH(E$3,Spells!$A$1:$I$1,0),FALSE))</f>
        <v/>
      </c>
      <c r="F606" s="16" t="str">
        <f>IFNA(VLOOKUP($A606,Spells!$A$2:$I1002,MATCH(F$3,Spells!$A$1:$I$1,0),FALSE))</f>
        <v/>
      </c>
      <c r="G606" s="16" t="str">
        <f>IFNA(VLOOKUP($A606,Spells!$A$2:$I1002,MATCH(G$3,Spells!$A$1:$I$1,0),FALSE))</f>
        <v/>
      </c>
      <c r="H606" s="16" t="str">
        <f>IFNA(VLOOKUP($A606,Spells!$A$2:$I1002,MATCH(H$3,Spells!$A$1:$I$1,0),FALSE))</f>
        <v/>
      </c>
    </row>
    <row r="607">
      <c r="A607" s="16"/>
      <c r="B607" s="16" t="str">
        <f>IFNA(VLOOKUP($A607,Spells!$A$2:$I1002,MATCH(B$3,Spells!$A$1:$I$1,0),FALSE))</f>
        <v/>
      </c>
      <c r="C607" s="16" t="str">
        <f>IFNA(VLOOKUP($A607,Spells!$A$2:$I1002,MATCH(C$3,Spells!$A$1:$I$1,0),FALSE))</f>
        <v/>
      </c>
      <c r="D607" s="16" t="str">
        <f>IFNA(VLOOKUP($A607,Spells!$A$2:$I1002,MATCH(D$3,Spells!$A$1:$I$1,0),FALSE))</f>
        <v/>
      </c>
      <c r="E607" s="16" t="str">
        <f>IFNA(VLOOKUP($A607,Spells!$A$2:$I1002,MATCH(E$3,Spells!$A$1:$I$1,0),FALSE))</f>
        <v/>
      </c>
      <c r="F607" s="16" t="str">
        <f>IFNA(VLOOKUP($A607,Spells!$A$2:$I1002,MATCH(F$3,Spells!$A$1:$I$1,0),FALSE))</f>
        <v/>
      </c>
      <c r="G607" s="16" t="str">
        <f>IFNA(VLOOKUP($A607,Spells!$A$2:$I1002,MATCH(G$3,Spells!$A$1:$I$1,0),FALSE))</f>
        <v/>
      </c>
      <c r="H607" s="16" t="str">
        <f>IFNA(VLOOKUP($A607,Spells!$A$2:$I1002,MATCH(H$3,Spells!$A$1:$I$1,0),FALSE))</f>
        <v/>
      </c>
    </row>
    <row r="608">
      <c r="A608" s="16"/>
      <c r="B608" s="16" t="str">
        <f>IFNA(VLOOKUP($A608,Spells!$A$2:$I1002,MATCH(B$3,Spells!$A$1:$I$1,0),FALSE))</f>
        <v/>
      </c>
      <c r="C608" s="16" t="str">
        <f>IFNA(VLOOKUP($A608,Spells!$A$2:$I1002,MATCH(C$3,Spells!$A$1:$I$1,0),FALSE))</f>
        <v/>
      </c>
      <c r="D608" s="16" t="str">
        <f>IFNA(VLOOKUP($A608,Spells!$A$2:$I1002,MATCH(D$3,Spells!$A$1:$I$1,0),FALSE))</f>
        <v/>
      </c>
      <c r="E608" s="16" t="str">
        <f>IFNA(VLOOKUP($A608,Spells!$A$2:$I1002,MATCH(E$3,Spells!$A$1:$I$1,0),FALSE))</f>
        <v/>
      </c>
      <c r="F608" s="16" t="str">
        <f>IFNA(VLOOKUP($A608,Spells!$A$2:$I1002,MATCH(F$3,Spells!$A$1:$I$1,0),FALSE))</f>
        <v/>
      </c>
      <c r="G608" s="16" t="str">
        <f>IFNA(VLOOKUP($A608,Spells!$A$2:$I1002,MATCH(G$3,Spells!$A$1:$I$1,0),FALSE))</f>
        <v/>
      </c>
      <c r="H608" s="16" t="str">
        <f>IFNA(VLOOKUP($A608,Spells!$A$2:$I1002,MATCH(H$3,Spells!$A$1:$I$1,0),FALSE))</f>
        <v/>
      </c>
    </row>
    <row r="609">
      <c r="A609" s="16"/>
      <c r="B609" s="16" t="str">
        <f>IFNA(VLOOKUP($A609,Spells!$A$2:$I1002,MATCH(B$3,Spells!$A$1:$I$1,0),FALSE))</f>
        <v/>
      </c>
      <c r="C609" s="16" t="str">
        <f>IFNA(VLOOKUP($A609,Spells!$A$2:$I1002,MATCH(C$3,Spells!$A$1:$I$1,0),FALSE))</f>
        <v/>
      </c>
      <c r="D609" s="16" t="str">
        <f>IFNA(VLOOKUP($A609,Spells!$A$2:$I1002,MATCH(D$3,Spells!$A$1:$I$1,0),FALSE))</f>
        <v/>
      </c>
      <c r="E609" s="16" t="str">
        <f>IFNA(VLOOKUP($A609,Spells!$A$2:$I1002,MATCH(E$3,Spells!$A$1:$I$1,0),FALSE))</f>
        <v/>
      </c>
      <c r="F609" s="16" t="str">
        <f>IFNA(VLOOKUP($A609,Spells!$A$2:$I1002,MATCH(F$3,Spells!$A$1:$I$1,0),FALSE))</f>
        <v/>
      </c>
      <c r="G609" s="16" t="str">
        <f>IFNA(VLOOKUP($A609,Spells!$A$2:$I1002,MATCH(G$3,Spells!$A$1:$I$1,0),FALSE))</f>
        <v/>
      </c>
      <c r="H609" s="16" t="str">
        <f>IFNA(VLOOKUP($A609,Spells!$A$2:$I1002,MATCH(H$3,Spells!$A$1:$I$1,0),FALSE))</f>
        <v/>
      </c>
    </row>
    <row r="610">
      <c r="A610" s="16"/>
      <c r="B610" s="16" t="str">
        <f>IFNA(VLOOKUP($A610,Spells!$A$2:$I1002,MATCH(B$3,Spells!$A$1:$I$1,0),FALSE))</f>
        <v/>
      </c>
      <c r="C610" s="16" t="str">
        <f>IFNA(VLOOKUP($A610,Spells!$A$2:$I1002,MATCH(C$3,Spells!$A$1:$I$1,0),FALSE))</f>
        <v/>
      </c>
      <c r="D610" s="16" t="str">
        <f>IFNA(VLOOKUP($A610,Spells!$A$2:$I1002,MATCH(D$3,Spells!$A$1:$I$1,0),FALSE))</f>
        <v/>
      </c>
      <c r="E610" s="16" t="str">
        <f>IFNA(VLOOKUP($A610,Spells!$A$2:$I1002,MATCH(E$3,Spells!$A$1:$I$1,0),FALSE))</f>
        <v/>
      </c>
      <c r="F610" s="16" t="str">
        <f>IFNA(VLOOKUP($A610,Spells!$A$2:$I1002,MATCH(F$3,Spells!$A$1:$I$1,0),FALSE))</f>
        <v/>
      </c>
      <c r="G610" s="16" t="str">
        <f>IFNA(VLOOKUP($A610,Spells!$A$2:$I1002,MATCH(G$3,Spells!$A$1:$I$1,0),FALSE))</f>
        <v/>
      </c>
      <c r="H610" s="16" t="str">
        <f>IFNA(VLOOKUP($A610,Spells!$A$2:$I1002,MATCH(H$3,Spells!$A$1:$I$1,0),FALSE))</f>
        <v/>
      </c>
    </row>
    <row r="611">
      <c r="A611" s="16"/>
      <c r="B611" s="16" t="str">
        <f>IFNA(VLOOKUP($A611,Spells!$A$2:$I1002,MATCH(B$3,Spells!$A$1:$I$1,0),FALSE))</f>
        <v/>
      </c>
      <c r="C611" s="16" t="str">
        <f>IFNA(VLOOKUP($A611,Spells!$A$2:$I1002,MATCH(C$3,Spells!$A$1:$I$1,0),FALSE))</f>
        <v/>
      </c>
      <c r="D611" s="16" t="str">
        <f>IFNA(VLOOKUP($A611,Spells!$A$2:$I1002,MATCH(D$3,Spells!$A$1:$I$1,0),FALSE))</f>
        <v/>
      </c>
      <c r="E611" s="16" t="str">
        <f>IFNA(VLOOKUP($A611,Spells!$A$2:$I1002,MATCH(E$3,Spells!$A$1:$I$1,0),FALSE))</f>
        <v/>
      </c>
      <c r="F611" s="16" t="str">
        <f>IFNA(VLOOKUP($A611,Spells!$A$2:$I1002,MATCH(F$3,Spells!$A$1:$I$1,0),FALSE))</f>
        <v/>
      </c>
      <c r="G611" s="16" t="str">
        <f>IFNA(VLOOKUP($A611,Spells!$A$2:$I1002,MATCH(G$3,Spells!$A$1:$I$1,0),FALSE))</f>
        <v/>
      </c>
      <c r="H611" s="16" t="str">
        <f>IFNA(VLOOKUP($A611,Spells!$A$2:$I1002,MATCH(H$3,Spells!$A$1:$I$1,0),FALSE))</f>
        <v/>
      </c>
    </row>
    <row r="612">
      <c r="A612" s="16"/>
      <c r="B612" s="16" t="str">
        <f>IFNA(VLOOKUP($A612,Spells!$A$2:$I1002,MATCH(B$3,Spells!$A$1:$I$1,0),FALSE))</f>
        <v/>
      </c>
      <c r="C612" s="16" t="str">
        <f>IFNA(VLOOKUP($A612,Spells!$A$2:$I1002,MATCH(C$3,Spells!$A$1:$I$1,0),FALSE))</f>
        <v/>
      </c>
      <c r="D612" s="16" t="str">
        <f>IFNA(VLOOKUP($A612,Spells!$A$2:$I1002,MATCH(D$3,Spells!$A$1:$I$1,0),FALSE))</f>
        <v/>
      </c>
      <c r="E612" s="16" t="str">
        <f>IFNA(VLOOKUP($A612,Spells!$A$2:$I1002,MATCH(E$3,Spells!$A$1:$I$1,0),FALSE))</f>
        <v/>
      </c>
      <c r="F612" s="16" t="str">
        <f>IFNA(VLOOKUP($A612,Spells!$A$2:$I1002,MATCH(F$3,Spells!$A$1:$I$1,0),FALSE))</f>
        <v/>
      </c>
      <c r="G612" s="16" t="str">
        <f>IFNA(VLOOKUP($A612,Spells!$A$2:$I1002,MATCH(G$3,Spells!$A$1:$I$1,0),FALSE))</f>
        <v/>
      </c>
      <c r="H612" s="16" t="str">
        <f>IFNA(VLOOKUP($A612,Spells!$A$2:$I1002,MATCH(H$3,Spells!$A$1:$I$1,0),FALSE))</f>
        <v/>
      </c>
    </row>
    <row r="613">
      <c r="A613" s="16"/>
      <c r="B613" s="16" t="str">
        <f>IFNA(VLOOKUP($A613,Spells!$A$2:$I1002,MATCH(B$3,Spells!$A$1:$I$1,0),FALSE))</f>
        <v/>
      </c>
      <c r="C613" s="16" t="str">
        <f>IFNA(VLOOKUP($A613,Spells!$A$2:$I1002,MATCH(C$3,Spells!$A$1:$I$1,0),FALSE))</f>
        <v/>
      </c>
      <c r="D613" s="16" t="str">
        <f>IFNA(VLOOKUP($A613,Spells!$A$2:$I1002,MATCH(D$3,Spells!$A$1:$I$1,0),FALSE))</f>
        <v/>
      </c>
      <c r="E613" s="16" t="str">
        <f>IFNA(VLOOKUP($A613,Spells!$A$2:$I1002,MATCH(E$3,Spells!$A$1:$I$1,0),FALSE))</f>
        <v/>
      </c>
      <c r="F613" s="16" t="str">
        <f>IFNA(VLOOKUP($A613,Spells!$A$2:$I1002,MATCH(F$3,Spells!$A$1:$I$1,0),FALSE))</f>
        <v/>
      </c>
      <c r="G613" s="16" t="str">
        <f>IFNA(VLOOKUP($A613,Spells!$A$2:$I1002,MATCH(G$3,Spells!$A$1:$I$1,0),FALSE))</f>
        <v/>
      </c>
      <c r="H613" s="16" t="str">
        <f>IFNA(VLOOKUP($A613,Spells!$A$2:$I1002,MATCH(H$3,Spells!$A$1:$I$1,0),FALSE))</f>
        <v/>
      </c>
    </row>
    <row r="614">
      <c r="A614" s="16"/>
      <c r="B614" s="16" t="str">
        <f>IFNA(VLOOKUP($A614,Spells!$A$2:$I1002,MATCH(B$3,Spells!$A$1:$I$1,0),FALSE))</f>
        <v/>
      </c>
      <c r="C614" s="16" t="str">
        <f>IFNA(VLOOKUP($A614,Spells!$A$2:$I1002,MATCH(C$3,Spells!$A$1:$I$1,0),FALSE))</f>
        <v/>
      </c>
      <c r="D614" s="16" t="str">
        <f>IFNA(VLOOKUP($A614,Spells!$A$2:$I1002,MATCH(D$3,Spells!$A$1:$I$1,0),FALSE))</f>
        <v/>
      </c>
      <c r="E614" s="16" t="str">
        <f>IFNA(VLOOKUP($A614,Spells!$A$2:$I1002,MATCH(E$3,Spells!$A$1:$I$1,0),FALSE))</f>
        <v/>
      </c>
      <c r="F614" s="16" t="str">
        <f>IFNA(VLOOKUP($A614,Spells!$A$2:$I1002,MATCH(F$3,Spells!$A$1:$I$1,0),FALSE))</f>
        <v/>
      </c>
      <c r="G614" s="16" t="str">
        <f>IFNA(VLOOKUP($A614,Spells!$A$2:$I1002,MATCH(G$3,Spells!$A$1:$I$1,0),FALSE))</f>
        <v/>
      </c>
      <c r="H614" s="16" t="str">
        <f>IFNA(VLOOKUP($A614,Spells!$A$2:$I1002,MATCH(H$3,Spells!$A$1:$I$1,0),FALSE))</f>
        <v/>
      </c>
    </row>
    <row r="615">
      <c r="A615" s="16"/>
      <c r="B615" s="16" t="str">
        <f>IFNA(VLOOKUP($A615,Spells!$A$2:$I1002,MATCH(B$3,Spells!$A$1:$I$1,0),FALSE))</f>
        <v/>
      </c>
      <c r="C615" s="16" t="str">
        <f>IFNA(VLOOKUP($A615,Spells!$A$2:$I1002,MATCH(C$3,Spells!$A$1:$I$1,0),FALSE))</f>
        <v/>
      </c>
      <c r="D615" s="16" t="str">
        <f>IFNA(VLOOKUP($A615,Spells!$A$2:$I1002,MATCH(D$3,Spells!$A$1:$I$1,0),FALSE))</f>
        <v/>
      </c>
      <c r="E615" s="16" t="str">
        <f>IFNA(VLOOKUP($A615,Spells!$A$2:$I1002,MATCH(E$3,Spells!$A$1:$I$1,0),FALSE))</f>
        <v/>
      </c>
      <c r="F615" s="16" t="str">
        <f>IFNA(VLOOKUP($A615,Spells!$A$2:$I1002,MATCH(F$3,Spells!$A$1:$I$1,0),FALSE))</f>
        <v/>
      </c>
      <c r="G615" s="16" t="str">
        <f>IFNA(VLOOKUP($A615,Spells!$A$2:$I1002,MATCH(G$3,Spells!$A$1:$I$1,0),FALSE))</f>
        <v/>
      </c>
      <c r="H615" s="16" t="str">
        <f>IFNA(VLOOKUP($A615,Spells!$A$2:$I1002,MATCH(H$3,Spells!$A$1:$I$1,0),FALSE))</f>
        <v/>
      </c>
    </row>
    <row r="616">
      <c r="A616" s="16"/>
      <c r="B616" s="16" t="str">
        <f>IFNA(VLOOKUP($A616,Spells!$A$2:$I1002,MATCH(B$3,Spells!$A$1:$I$1,0),FALSE))</f>
        <v/>
      </c>
      <c r="C616" s="16" t="str">
        <f>IFNA(VLOOKUP($A616,Spells!$A$2:$I1002,MATCH(C$3,Spells!$A$1:$I$1,0),FALSE))</f>
        <v/>
      </c>
      <c r="D616" s="16" t="str">
        <f>IFNA(VLOOKUP($A616,Spells!$A$2:$I1002,MATCH(D$3,Spells!$A$1:$I$1,0),FALSE))</f>
        <v/>
      </c>
      <c r="E616" s="16" t="str">
        <f>IFNA(VLOOKUP($A616,Spells!$A$2:$I1002,MATCH(E$3,Spells!$A$1:$I$1,0),FALSE))</f>
        <v/>
      </c>
      <c r="F616" s="16" t="str">
        <f>IFNA(VLOOKUP($A616,Spells!$A$2:$I1002,MATCH(F$3,Spells!$A$1:$I$1,0),FALSE))</f>
        <v/>
      </c>
      <c r="G616" s="16" t="str">
        <f>IFNA(VLOOKUP($A616,Spells!$A$2:$I1002,MATCH(G$3,Spells!$A$1:$I$1,0),FALSE))</f>
        <v/>
      </c>
      <c r="H616" s="16" t="str">
        <f>IFNA(VLOOKUP($A616,Spells!$A$2:$I1002,MATCH(H$3,Spells!$A$1:$I$1,0),FALSE))</f>
        <v/>
      </c>
    </row>
    <row r="617">
      <c r="A617" s="16"/>
      <c r="B617" s="16" t="str">
        <f>IFNA(VLOOKUP($A617,Spells!$A$2:$I1002,MATCH(B$3,Spells!$A$1:$I$1,0),FALSE))</f>
        <v/>
      </c>
      <c r="C617" s="16" t="str">
        <f>IFNA(VLOOKUP($A617,Spells!$A$2:$I1002,MATCH(C$3,Spells!$A$1:$I$1,0),FALSE))</f>
        <v/>
      </c>
      <c r="D617" s="16" t="str">
        <f>IFNA(VLOOKUP($A617,Spells!$A$2:$I1002,MATCH(D$3,Spells!$A$1:$I$1,0),FALSE))</f>
        <v/>
      </c>
      <c r="E617" s="16" t="str">
        <f>IFNA(VLOOKUP($A617,Spells!$A$2:$I1002,MATCH(E$3,Spells!$A$1:$I$1,0),FALSE))</f>
        <v/>
      </c>
      <c r="F617" s="16" t="str">
        <f>IFNA(VLOOKUP($A617,Spells!$A$2:$I1002,MATCH(F$3,Spells!$A$1:$I$1,0),FALSE))</f>
        <v/>
      </c>
      <c r="G617" s="16" t="str">
        <f>IFNA(VLOOKUP($A617,Spells!$A$2:$I1002,MATCH(G$3,Spells!$A$1:$I$1,0),FALSE))</f>
        <v/>
      </c>
      <c r="H617" s="16" t="str">
        <f>IFNA(VLOOKUP($A617,Spells!$A$2:$I1002,MATCH(H$3,Spells!$A$1:$I$1,0),FALSE))</f>
        <v/>
      </c>
    </row>
    <row r="618">
      <c r="A618" s="16"/>
      <c r="B618" s="16" t="str">
        <f>IFNA(VLOOKUP($A618,Spells!$A$2:$I1002,MATCH(B$3,Spells!$A$1:$I$1,0),FALSE))</f>
        <v/>
      </c>
      <c r="C618" s="16" t="str">
        <f>IFNA(VLOOKUP($A618,Spells!$A$2:$I1002,MATCH(C$3,Spells!$A$1:$I$1,0),FALSE))</f>
        <v/>
      </c>
      <c r="D618" s="16" t="str">
        <f>IFNA(VLOOKUP($A618,Spells!$A$2:$I1002,MATCH(D$3,Spells!$A$1:$I$1,0),FALSE))</f>
        <v/>
      </c>
      <c r="E618" s="16" t="str">
        <f>IFNA(VLOOKUP($A618,Spells!$A$2:$I1002,MATCH(E$3,Spells!$A$1:$I$1,0),FALSE))</f>
        <v/>
      </c>
      <c r="F618" s="16" t="str">
        <f>IFNA(VLOOKUP($A618,Spells!$A$2:$I1002,MATCH(F$3,Spells!$A$1:$I$1,0),FALSE))</f>
        <v/>
      </c>
      <c r="G618" s="16" t="str">
        <f>IFNA(VLOOKUP($A618,Spells!$A$2:$I1002,MATCH(G$3,Spells!$A$1:$I$1,0),FALSE))</f>
        <v/>
      </c>
      <c r="H618" s="16" t="str">
        <f>IFNA(VLOOKUP($A618,Spells!$A$2:$I1002,MATCH(H$3,Spells!$A$1:$I$1,0),FALSE))</f>
        <v/>
      </c>
    </row>
    <row r="619">
      <c r="A619" s="16"/>
      <c r="B619" s="16" t="str">
        <f>IFNA(VLOOKUP($A619,Spells!$A$2:$I1002,MATCH(B$3,Spells!$A$1:$I$1,0),FALSE))</f>
        <v/>
      </c>
      <c r="C619" s="16" t="str">
        <f>IFNA(VLOOKUP($A619,Spells!$A$2:$I1002,MATCH(C$3,Spells!$A$1:$I$1,0),FALSE))</f>
        <v/>
      </c>
      <c r="D619" s="16" t="str">
        <f>IFNA(VLOOKUP($A619,Spells!$A$2:$I1002,MATCH(D$3,Spells!$A$1:$I$1,0),FALSE))</f>
        <v/>
      </c>
      <c r="E619" s="16" t="str">
        <f>IFNA(VLOOKUP($A619,Spells!$A$2:$I1002,MATCH(E$3,Spells!$A$1:$I$1,0),FALSE))</f>
        <v/>
      </c>
      <c r="F619" s="16" t="str">
        <f>IFNA(VLOOKUP($A619,Spells!$A$2:$I1002,MATCH(F$3,Spells!$A$1:$I$1,0),FALSE))</f>
        <v/>
      </c>
      <c r="G619" s="16" t="str">
        <f>IFNA(VLOOKUP($A619,Spells!$A$2:$I1002,MATCH(G$3,Spells!$A$1:$I$1,0),FALSE))</f>
        <v/>
      </c>
      <c r="H619" s="16" t="str">
        <f>IFNA(VLOOKUP($A619,Spells!$A$2:$I1002,MATCH(H$3,Spells!$A$1:$I$1,0),FALSE))</f>
        <v/>
      </c>
    </row>
    <row r="620">
      <c r="A620" s="16"/>
      <c r="B620" s="16" t="str">
        <f>IFNA(VLOOKUP($A620,Spells!$A$2:$I1002,MATCH(B$3,Spells!$A$1:$I$1,0),FALSE))</f>
        <v/>
      </c>
      <c r="C620" s="16" t="str">
        <f>IFNA(VLOOKUP($A620,Spells!$A$2:$I1002,MATCH(C$3,Spells!$A$1:$I$1,0),FALSE))</f>
        <v/>
      </c>
      <c r="D620" s="16" t="str">
        <f>IFNA(VLOOKUP($A620,Spells!$A$2:$I1002,MATCH(D$3,Spells!$A$1:$I$1,0),FALSE))</f>
        <v/>
      </c>
      <c r="E620" s="16" t="str">
        <f>IFNA(VLOOKUP($A620,Spells!$A$2:$I1002,MATCH(E$3,Spells!$A$1:$I$1,0),FALSE))</f>
        <v/>
      </c>
      <c r="F620" s="16" t="str">
        <f>IFNA(VLOOKUP($A620,Spells!$A$2:$I1002,MATCH(F$3,Spells!$A$1:$I$1,0),FALSE))</f>
        <v/>
      </c>
      <c r="G620" s="16" t="str">
        <f>IFNA(VLOOKUP($A620,Spells!$A$2:$I1002,MATCH(G$3,Spells!$A$1:$I$1,0),FALSE))</f>
        <v/>
      </c>
      <c r="H620" s="16" t="str">
        <f>IFNA(VLOOKUP($A620,Spells!$A$2:$I1002,MATCH(H$3,Spells!$A$1:$I$1,0),FALSE))</f>
        <v/>
      </c>
    </row>
    <row r="621">
      <c r="A621" s="16"/>
      <c r="B621" s="16" t="str">
        <f>IFNA(VLOOKUP($A621,Spells!$A$2:$I1002,MATCH(B$3,Spells!$A$1:$I$1,0),FALSE))</f>
        <v/>
      </c>
      <c r="C621" s="16" t="str">
        <f>IFNA(VLOOKUP($A621,Spells!$A$2:$I1002,MATCH(C$3,Spells!$A$1:$I$1,0),FALSE))</f>
        <v/>
      </c>
      <c r="D621" s="16" t="str">
        <f>IFNA(VLOOKUP($A621,Spells!$A$2:$I1002,MATCH(D$3,Spells!$A$1:$I$1,0),FALSE))</f>
        <v/>
      </c>
      <c r="E621" s="16" t="str">
        <f>IFNA(VLOOKUP($A621,Spells!$A$2:$I1002,MATCH(E$3,Spells!$A$1:$I$1,0),FALSE))</f>
        <v/>
      </c>
      <c r="F621" s="16" t="str">
        <f>IFNA(VLOOKUP($A621,Spells!$A$2:$I1002,MATCH(F$3,Spells!$A$1:$I$1,0),FALSE))</f>
        <v/>
      </c>
      <c r="G621" s="16" t="str">
        <f>IFNA(VLOOKUP($A621,Spells!$A$2:$I1002,MATCH(G$3,Spells!$A$1:$I$1,0),FALSE))</f>
        <v/>
      </c>
      <c r="H621" s="16" t="str">
        <f>IFNA(VLOOKUP($A621,Spells!$A$2:$I1002,MATCH(H$3,Spells!$A$1:$I$1,0),FALSE))</f>
        <v/>
      </c>
    </row>
    <row r="622">
      <c r="A622" s="16"/>
      <c r="B622" s="16" t="str">
        <f>IFNA(VLOOKUP($A622,Spells!$A$2:$I1002,MATCH(B$3,Spells!$A$1:$I$1,0),FALSE))</f>
        <v/>
      </c>
      <c r="C622" s="16" t="str">
        <f>IFNA(VLOOKUP($A622,Spells!$A$2:$I1002,MATCH(C$3,Spells!$A$1:$I$1,0),FALSE))</f>
        <v/>
      </c>
      <c r="D622" s="16" t="str">
        <f>IFNA(VLOOKUP($A622,Spells!$A$2:$I1002,MATCH(D$3,Spells!$A$1:$I$1,0),FALSE))</f>
        <v/>
      </c>
      <c r="E622" s="16" t="str">
        <f>IFNA(VLOOKUP($A622,Spells!$A$2:$I1002,MATCH(E$3,Spells!$A$1:$I$1,0),FALSE))</f>
        <v/>
      </c>
      <c r="F622" s="16" t="str">
        <f>IFNA(VLOOKUP($A622,Spells!$A$2:$I1002,MATCH(F$3,Spells!$A$1:$I$1,0),FALSE))</f>
        <v/>
      </c>
      <c r="G622" s="16" t="str">
        <f>IFNA(VLOOKUP($A622,Spells!$A$2:$I1002,MATCH(G$3,Spells!$A$1:$I$1,0),FALSE))</f>
        <v/>
      </c>
      <c r="H622" s="16" t="str">
        <f>IFNA(VLOOKUP($A622,Spells!$A$2:$I1002,MATCH(H$3,Spells!$A$1:$I$1,0),FALSE))</f>
        <v/>
      </c>
    </row>
    <row r="623">
      <c r="A623" s="16"/>
      <c r="B623" s="16" t="str">
        <f>IFNA(VLOOKUP($A623,Spells!$A$2:$I1002,MATCH(B$3,Spells!$A$1:$I$1,0),FALSE))</f>
        <v/>
      </c>
      <c r="C623" s="16" t="str">
        <f>IFNA(VLOOKUP($A623,Spells!$A$2:$I1002,MATCH(C$3,Spells!$A$1:$I$1,0),FALSE))</f>
        <v/>
      </c>
      <c r="D623" s="16" t="str">
        <f>IFNA(VLOOKUP($A623,Spells!$A$2:$I1002,MATCH(D$3,Spells!$A$1:$I$1,0),FALSE))</f>
        <v/>
      </c>
      <c r="E623" s="16" t="str">
        <f>IFNA(VLOOKUP($A623,Spells!$A$2:$I1002,MATCH(E$3,Spells!$A$1:$I$1,0),FALSE))</f>
        <v/>
      </c>
      <c r="F623" s="16" t="str">
        <f>IFNA(VLOOKUP($A623,Spells!$A$2:$I1002,MATCH(F$3,Spells!$A$1:$I$1,0),FALSE))</f>
        <v/>
      </c>
      <c r="G623" s="16" t="str">
        <f>IFNA(VLOOKUP($A623,Spells!$A$2:$I1002,MATCH(G$3,Spells!$A$1:$I$1,0),FALSE))</f>
        <v/>
      </c>
      <c r="H623" s="16" t="str">
        <f>IFNA(VLOOKUP($A623,Spells!$A$2:$I1002,MATCH(H$3,Spells!$A$1:$I$1,0),FALSE))</f>
        <v/>
      </c>
    </row>
    <row r="624">
      <c r="A624" s="16"/>
      <c r="B624" s="16" t="str">
        <f>IFNA(VLOOKUP($A624,Spells!$A$2:$I1002,MATCH(B$3,Spells!$A$1:$I$1,0),FALSE))</f>
        <v/>
      </c>
      <c r="C624" s="16" t="str">
        <f>IFNA(VLOOKUP($A624,Spells!$A$2:$I1002,MATCH(C$3,Spells!$A$1:$I$1,0),FALSE))</f>
        <v/>
      </c>
      <c r="D624" s="16" t="str">
        <f>IFNA(VLOOKUP($A624,Spells!$A$2:$I1002,MATCH(D$3,Spells!$A$1:$I$1,0),FALSE))</f>
        <v/>
      </c>
      <c r="E624" s="16" t="str">
        <f>IFNA(VLOOKUP($A624,Spells!$A$2:$I1002,MATCH(E$3,Spells!$A$1:$I$1,0),FALSE))</f>
        <v/>
      </c>
      <c r="F624" s="16" t="str">
        <f>IFNA(VLOOKUP($A624,Spells!$A$2:$I1002,MATCH(F$3,Spells!$A$1:$I$1,0),FALSE))</f>
        <v/>
      </c>
      <c r="G624" s="16" t="str">
        <f>IFNA(VLOOKUP($A624,Spells!$A$2:$I1002,MATCH(G$3,Spells!$A$1:$I$1,0),FALSE))</f>
        <v/>
      </c>
      <c r="H624" s="16" t="str">
        <f>IFNA(VLOOKUP($A624,Spells!$A$2:$I1002,MATCH(H$3,Spells!$A$1:$I$1,0),FALSE))</f>
        <v/>
      </c>
    </row>
    <row r="625">
      <c r="A625" s="16"/>
      <c r="B625" s="16" t="str">
        <f>IFNA(VLOOKUP($A625,Spells!$A$2:$I1002,MATCH(B$3,Spells!$A$1:$I$1,0),FALSE))</f>
        <v/>
      </c>
      <c r="C625" s="16" t="str">
        <f>IFNA(VLOOKUP($A625,Spells!$A$2:$I1002,MATCH(C$3,Spells!$A$1:$I$1,0),FALSE))</f>
        <v/>
      </c>
      <c r="D625" s="16" t="str">
        <f>IFNA(VLOOKUP($A625,Spells!$A$2:$I1002,MATCH(D$3,Spells!$A$1:$I$1,0),FALSE))</f>
        <v/>
      </c>
      <c r="E625" s="16" t="str">
        <f>IFNA(VLOOKUP($A625,Spells!$A$2:$I1002,MATCH(E$3,Spells!$A$1:$I$1,0),FALSE))</f>
        <v/>
      </c>
      <c r="F625" s="16" t="str">
        <f>IFNA(VLOOKUP($A625,Spells!$A$2:$I1002,MATCH(F$3,Spells!$A$1:$I$1,0),FALSE))</f>
        <v/>
      </c>
      <c r="G625" s="16" t="str">
        <f>IFNA(VLOOKUP($A625,Spells!$A$2:$I1002,MATCH(G$3,Spells!$A$1:$I$1,0),FALSE))</f>
        <v/>
      </c>
      <c r="H625" s="16" t="str">
        <f>IFNA(VLOOKUP($A625,Spells!$A$2:$I1002,MATCH(H$3,Spells!$A$1:$I$1,0),FALSE))</f>
        <v/>
      </c>
    </row>
    <row r="626">
      <c r="A626" s="16"/>
      <c r="B626" s="16" t="str">
        <f>IFNA(VLOOKUP($A626,Spells!$A$2:$I1002,MATCH(B$3,Spells!$A$1:$I$1,0),FALSE))</f>
        <v/>
      </c>
      <c r="C626" s="16" t="str">
        <f>IFNA(VLOOKUP($A626,Spells!$A$2:$I1002,MATCH(C$3,Spells!$A$1:$I$1,0),FALSE))</f>
        <v/>
      </c>
      <c r="D626" s="16" t="str">
        <f>IFNA(VLOOKUP($A626,Spells!$A$2:$I1002,MATCH(D$3,Spells!$A$1:$I$1,0),FALSE))</f>
        <v/>
      </c>
      <c r="E626" s="16" t="str">
        <f>IFNA(VLOOKUP($A626,Spells!$A$2:$I1002,MATCH(E$3,Spells!$A$1:$I$1,0),FALSE))</f>
        <v/>
      </c>
      <c r="F626" s="16" t="str">
        <f>IFNA(VLOOKUP($A626,Spells!$A$2:$I1002,MATCH(F$3,Spells!$A$1:$I$1,0),FALSE))</f>
        <v/>
      </c>
      <c r="G626" s="16" t="str">
        <f>IFNA(VLOOKUP($A626,Spells!$A$2:$I1002,MATCH(G$3,Spells!$A$1:$I$1,0),FALSE))</f>
        <v/>
      </c>
      <c r="H626" s="16" t="str">
        <f>IFNA(VLOOKUP($A626,Spells!$A$2:$I1002,MATCH(H$3,Spells!$A$1:$I$1,0),FALSE))</f>
        <v/>
      </c>
    </row>
    <row r="627">
      <c r="A627" s="16"/>
      <c r="B627" s="16" t="str">
        <f>IFNA(VLOOKUP($A627,Spells!$A$2:$I1002,MATCH(B$3,Spells!$A$1:$I$1,0),FALSE))</f>
        <v/>
      </c>
      <c r="C627" s="16" t="str">
        <f>IFNA(VLOOKUP($A627,Spells!$A$2:$I1002,MATCH(C$3,Spells!$A$1:$I$1,0),FALSE))</f>
        <v/>
      </c>
      <c r="D627" s="16" t="str">
        <f>IFNA(VLOOKUP($A627,Spells!$A$2:$I1002,MATCH(D$3,Spells!$A$1:$I$1,0),FALSE))</f>
        <v/>
      </c>
      <c r="E627" s="16" t="str">
        <f>IFNA(VLOOKUP($A627,Spells!$A$2:$I1002,MATCH(E$3,Spells!$A$1:$I$1,0),FALSE))</f>
        <v/>
      </c>
      <c r="F627" s="16" t="str">
        <f>IFNA(VLOOKUP($A627,Spells!$A$2:$I1002,MATCH(F$3,Spells!$A$1:$I$1,0),FALSE))</f>
        <v/>
      </c>
      <c r="G627" s="16" t="str">
        <f>IFNA(VLOOKUP($A627,Spells!$A$2:$I1002,MATCH(G$3,Spells!$A$1:$I$1,0),FALSE))</f>
        <v/>
      </c>
      <c r="H627" s="16" t="str">
        <f>IFNA(VLOOKUP($A627,Spells!$A$2:$I1002,MATCH(H$3,Spells!$A$1:$I$1,0),FALSE))</f>
        <v/>
      </c>
    </row>
    <row r="628">
      <c r="A628" s="16"/>
      <c r="B628" s="16" t="str">
        <f>IFNA(VLOOKUP($A628,Spells!$A$2:$I1002,MATCH(B$3,Spells!$A$1:$I$1,0),FALSE))</f>
        <v/>
      </c>
      <c r="C628" s="16" t="str">
        <f>IFNA(VLOOKUP($A628,Spells!$A$2:$I1002,MATCH(C$3,Spells!$A$1:$I$1,0),FALSE))</f>
        <v/>
      </c>
      <c r="D628" s="16" t="str">
        <f>IFNA(VLOOKUP($A628,Spells!$A$2:$I1002,MATCH(D$3,Spells!$A$1:$I$1,0),FALSE))</f>
        <v/>
      </c>
      <c r="E628" s="16" t="str">
        <f>IFNA(VLOOKUP($A628,Spells!$A$2:$I1002,MATCH(E$3,Spells!$A$1:$I$1,0),FALSE))</f>
        <v/>
      </c>
      <c r="F628" s="16" t="str">
        <f>IFNA(VLOOKUP($A628,Spells!$A$2:$I1002,MATCH(F$3,Spells!$A$1:$I$1,0),FALSE))</f>
        <v/>
      </c>
      <c r="G628" s="16" t="str">
        <f>IFNA(VLOOKUP($A628,Spells!$A$2:$I1002,MATCH(G$3,Spells!$A$1:$I$1,0),FALSE))</f>
        <v/>
      </c>
      <c r="H628" s="16" t="str">
        <f>IFNA(VLOOKUP($A628,Spells!$A$2:$I1002,MATCH(H$3,Spells!$A$1:$I$1,0),FALSE))</f>
        <v/>
      </c>
    </row>
    <row r="629">
      <c r="A629" s="16"/>
      <c r="B629" s="16" t="str">
        <f>IFNA(VLOOKUP($A629,Spells!$A$2:$I1002,MATCH(B$3,Spells!$A$1:$I$1,0),FALSE))</f>
        <v/>
      </c>
      <c r="C629" s="16" t="str">
        <f>IFNA(VLOOKUP($A629,Spells!$A$2:$I1002,MATCH(C$3,Spells!$A$1:$I$1,0),FALSE))</f>
        <v/>
      </c>
      <c r="D629" s="16" t="str">
        <f>IFNA(VLOOKUP($A629,Spells!$A$2:$I1002,MATCH(D$3,Spells!$A$1:$I$1,0),FALSE))</f>
        <v/>
      </c>
      <c r="E629" s="16" t="str">
        <f>IFNA(VLOOKUP($A629,Spells!$A$2:$I1002,MATCH(E$3,Spells!$A$1:$I$1,0),FALSE))</f>
        <v/>
      </c>
      <c r="F629" s="16" t="str">
        <f>IFNA(VLOOKUP($A629,Spells!$A$2:$I1002,MATCH(F$3,Spells!$A$1:$I$1,0),FALSE))</f>
        <v/>
      </c>
      <c r="G629" s="16" t="str">
        <f>IFNA(VLOOKUP($A629,Spells!$A$2:$I1002,MATCH(G$3,Spells!$A$1:$I$1,0),FALSE))</f>
        <v/>
      </c>
      <c r="H629" s="16" t="str">
        <f>IFNA(VLOOKUP($A629,Spells!$A$2:$I1002,MATCH(H$3,Spells!$A$1:$I$1,0),FALSE))</f>
        <v/>
      </c>
    </row>
    <row r="630">
      <c r="A630" s="16"/>
      <c r="B630" s="16" t="str">
        <f>IFNA(VLOOKUP($A630,Spells!$A$2:$I1002,MATCH(B$3,Spells!$A$1:$I$1,0),FALSE))</f>
        <v/>
      </c>
      <c r="C630" s="16" t="str">
        <f>IFNA(VLOOKUP($A630,Spells!$A$2:$I1002,MATCH(C$3,Spells!$A$1:$I$1,0),FALSE))</f>
        <v/>
      </c>
      <c r="D630" s="16" t="str">
        <f>IFNA(VLOOKUP($A630,Spells!$A$2:$I1002,MATCH(D$3,Spells!$A$1:$I$1,0),FALSE))</f>
        <v/>
      </c>
      <c r="E630" s="16" t="str">
        <f>IFNA(VLOOKUP($A630,Spells!$A$2:$I1002,MATCH(E$3,Spells!$A$1:$I$1,0),FALSE))</f>
        <v/>
      </c>
      <c r="F630" s="16" t="str">
        <f>IFNA(VLOOKUP($A630,Spells!$A$2:$I1002,MATCH(F$3,Spells!$A$1:$I$1,0),FALSE))</f>
        <v/>
      </c>
      <c r="G630" s="16" t="str">
        <f>IFNA(VLOOKUP($A630,Spells!$A$2:$I1002,MATCH(G$3,Spells!$A$1:$I$1,0),FALSE))</f>
        <v/>
      </c>
      <c r="H630" s="16" t="str">
        <f>IFNA(VLOOKUP($A630,Spells!$A$2:$I1002,MATCH(H$3,Spells!$A$1:$I$1,0),FALSE))</f>
        <v/>
      </c>
    </row>
    <row r="631">
      <c r="A631" s="16"/>
      <c r="B631" s="16" t="str">
        <f>IFNA(VLOOKUP($A631,Spells!$A$2:$I1002,MATCH(B$3,Spells!$A$1:$I$1,0),FALSE))</f>
        <v/>
      </c>
      <c r="C631" s="16" t="str">
        <f>IFNA(VLOOKUP($A631,Spells!$A$2:$I1002,MATCH(C$3,Spells!$A$1:$I$1,0),FALSE))</f>
        <v/>
      </c>
      <c r="D631" s="16" t="str">
        <f>IFNA(VLOOKUP($A631,Spells!$A$2:$I1002,MATCH(D$3,Spells!$A$1:$I$1,0),FALSE))</f>
        <v/>
      </c>
      <c r="E631" s="16" t="str">
        <f>IFNA(VLOOKUP($A631,Spells!$A$2:$I1002,MATCH(E$3,Spells!$A$1:$I$1,0),FALSE))</f>
        <v/>
      </c>
      <c r="F631" s="16" t="str">
        <f>IFNA(VLOOKUP($A631,Spells!$A$2:$I1002,MATCH(F$3,Spells!$A$1:$I$1,0),FALSE))</f>
        <v/>
      </c>
      <c r="G631" s="16" t="str">
        <f>IFNA(VLOOKUP($A631,Spells!$A$2:$I1002,MATCH(G$3,Spells!$A$1:$I$1,0),FALSE))</f>
        <v/>
      </c>
      <c r="H631" s="16" t="str">
        <f>IFNA(VLOOKUP($A631,Spells!$A$2:$I1002,MATCH(H$3,Spells!$A$1:$I$1,0),FALSE))</f>
        <v/>
      </c>
    </row>
    <row r="632">
      <c r="A632" s="16"/>
      <c r="B632" s="16" t="str">
        <f>IFNA(VLOOKUP($A632,Spells!$A$2:$I1002,MATCH(B$3,Spells!$A$1:$I$1,0),FALSE))</f>
        <v/>
      </c>
      <c r="C632" s="16" t="str">
        <f>IFNA(VLOOKUP($A632,Spells!$A$2:$I1002,MATCH(C$3,Spells!$A$1:$I$1,0),FALSE))</f>
        <v/>
      </c>
      <c r="D632" s="16" t="str">
        <f>IFNA(VLOOKUP($A632,Spells!$A$2:$I1002,MATCH(D$3,Spells!$A$1:$I$1,0),FALSE))</f>
        <v/>
      </c>
      <c r="E632" s="16" t="str">
        <f>IFNA(VLOOKUP($A632,Spells!$A$2:$I1002,MATCH(E$3,Spells!$A$1:$I$1,0),FALSE))</f>
        <v/>
      </c>
      <c r="F632" s="16" t="str">
        <f>IFNA(VLOOKUP($A632,Spells!$A$2:$I1002,MATCH(F$3,Spells!$A$1:$I$1,0),FALSE))</f>
        <v/>
      </c>
      <c r="G632" s="16" t="str">
        <f>IFNA(VLOOKUP($A632,Spells!$A$2:$I1002,MATCH(G$3,Spells!$A$1:$I$1,0),FALSE))</f>
        <v/>
      </c>
      <c r="H632" s="16" t="str">
        <f>IFNA(VLOOKUP($A632,Spells!$A$2:$I1002,MATCH(H$3,Spells!$A$1:$I$1,0),FALSE))</f>
        <v/>
      </c>
    </row>
    <row r="633">
      <c r="A633" s="16"/>
      <c r="B633" s="16" t="str">
        <f>IFNA(VLOOKUP($A633,Spells!$A$2:$I1002,MATCH(B$3,Spells!$A$1:$I$1,0),FALSE))</f>
        <v/>
      </c>
      <c r="C633" s="16" t="str">
        <f>IFNA(VLOOKUP($A633,Spells!$A$2:$I1002,MATCH(C$3,Spells!$A$1:$I$1,0),FALSE))</f>
        <v/>
      </c>
      <c r="D633" s="16" t="str">
        <f>IFNA(VLOOKUP($A633,Spells!$A$2:$I1002,MATCH(D$3,Spells!$A$1:$I$1,0),FALSE))</f>
        <v/>
      </c>
      <c r="E633" s="16" t="str">
        <f>IFNA(VLOOKUP($A633,Spells!$A$2:$I1002,MATCH(E$3,Spells!$A$1:$I$1,0),FALSE))</f>
        <v/>
      </c>
      <c r="F633" s="16" t="str">
        <f>IFNA(VLOOKUP($A633,Spells!$A$2:$I1002,MATCH(F$3,Spells!$A$1:$I$1,0),FALSE))</f>
        <v/>
      </c>
      <c r="G633" s="16" t="str">
        <f>IFNA(VLOOKUP($A633,Spells!$A$2:$I1002,MATCH(G$3,Spells!$A$1:$I$1,0),FALSE))</f>
        <v/>
      </c>
      <c r="H633" s="16" t="str">
        <f>IFNA(VLOOKUP($A633,Spells!$A$2:$I1002,MATCH(H$3,Spells!$A$1:$I$1,0),FALSE))</f>
        <v/>
      </c>
    </row>
    <row r="634">
      <c r="A634" s="16"/>
      <c r="B634" s="16" t="str">
        <f>IFNA(VLOOKUP($A634,Spells!$A$2:$I1002,MATCH(B$3,Spells!$A$1:$I$1,0),FALSE))</f>
        <v/>
      </c>
      <c r="C634" s="16" t="str">
        <f>IFNA(VLOOKUP($A634,Spells!$A$2:$I1002,MATCH(C$3,Spells!$A$1:$I$1,0),FALSE))</f>
        <v/>
      </c>
      <c r="D634" s="16" t="str">
        <f>IFNA(VLOOKUP($A634,Spells!$A$2:$I1002,MATCH(D$3,Spells!$A$1:$I$1,0),FALSE))</f>
        <v/>
      </c>
      <c r="E634" s="16" t="str">
        <f>IFNA(VLOOKUP($A634,Spells!$A$2:$I1002,MATCH(E$3,Spells!$A$1:$I$1,0),FALSE))</f>
        <v/>
      </c>
      <c r="F634" s="16" t="str">
        <f>IFNA(VLOOKUP($A634,Spells!$A$2:$I1002,MATCH(F$3,Spells!$A$1:$I$1,0),FALSE))</f>
        <v/>
      </c>
      <c r="G634" s="16" t="str">
        <f>IFNA(VLOOKUP($A634,Spells!$A$2:$I1002,MATCH(G$3,Spells!$A$1:$I$1,0),FALSE))</f>
        <v/>
      </c>
      <c r="H634" s="16" t="str">
        <f>IFNA(VLOOKUP($A634,Spells!$A$2:$I1002,MATCH(H$3,Spells!$A$1:$I$1,0),FALSE))</f>
        <v/>
      </c>
    </row>
    <row r="635">
      <c r="A635" s="16"/>
      <c r="B635" s="16" t="str">
        <f>IFNA(VLOOKUP($A635,Spells!$A$2:$I1002,MATCH(B$3,Spells!$A$1:$I$1,0),FALSE))</f>
        <v/>
      </c>
      <c r="C635" s="16" t="str">
        <f>IFNA(VLOOKUP($A635,Spells!$A$2:$I1002,MATCH(C$3,Spells!$A$1:$I$1,0),FALSE))</f>
        <v/>
      </c>
      <c r="D635" s="16" t="str">
        <f>IFNA(VLOOKUP($A635,Spells!$A$2:$I1002,MATCH(D$3,Spells!$A$1:$I$1,0),FALSE))</f>
        <v/>
      </c>
      <c r="E635" s="16" t="str">
        <f>IFNA(VLOOKUP($A635,Spells!$A$2:$I1002,MATCH(E$3,Spells!$A$1:$I$1,0),FALSE))</f>
        <v/>
      </c>
      <c r="F635" s="16" t="str">
        <f>IFNA(VLOOKUP($A635,Spells!$A$2:$I1002,MATCH(F$3,Spells!$A$1:$I$1,0),FALSE))</f>
        <v/>
      </c>
      <c r="G635" s="16" t="str">
        <f>IFNA(VLOOKUP($A635,Spells!$A$2:$I1002,MATCH(G$3,Spells!$A$1:$I$1,0),FALSE))</f>
        <v/>
      </c>
      <c r="H635" s="16" t="str">
        <f>IFNA(VLOOKUP($A635,Spells!$A$2:$I1002,MATCH(H$3,Spells!$A$1:$I$1,0),FALSE))</f>
        <v/>
      </c>
    </row>
    <row r="636">
      <c r="A636" s="16"/>
      <c r="B636" s="16" t="str">
        <f>IFNA(VLOOKUP($A636,Spells!$A$2:$I1002,MATCH(B$3,Spells!$A$1:$I$1,0),FALSE))</f>
        <v/>
      </c>
      <c r="C636" s="16" t="str">
        <f>IFNA(VLOOKUP($A636,Spells!$A$2:$I1002,MATCH(C$3,Spells!$A$1:$I$1,0),FALSE))</f>
        <v/>
      </c>
      <c r="D636" s="16" t="str">
        <f>IFNA(VLOOKUP($A636,Spells!$A$2:$I1002,MATCH(D$3,Spells!$A$1:$I$1,0),FALSE))</f>
        <v/>
      </c>
      <c r="E636" s="16" t="str">
        <f>IFNA(VLOOKUP($A636,Spells!$A$2:$I1002,MATCH(E$3,Spells!$A$1:$I$1,0),FALSE))</f>
        <v/>
      </c>
      <c r="F636" s="16" t="str">
        <f>IFNA(VLOOKUP($A636,Spells!$A$2:$I1002,MATCH(F$3,Spells!$A$1:$I$1,0),FALSE))</f>
        <v/>
      </c>
      <c r="G636" s="16" t="str">
        <f>IFNA(VLOOKUP($A636,Spells!$A$2:$I1002,MATCH(G$3,Spells!$A$1:$I$1,0),FALSE))</f>
        <v/>
      </c>
      <c r="H636" s="16" t="str">
        <f>IFNA(VLOOKUP($A636,Spells!$A$2:$I1002,MATCH(H$3,Spells!$A$1:$I$1,0),FALSE))</f>
        <v/>
      </c>
    </row>
    <row r="637">
      <c r="A637" s="16"/>
      <c r="B637" s="16" t="str">
        <f>IFNA(VLOOKUP($A637,Spells!$A$2:$I1002,MATCH(B$3,Spells!$A$1:$I$1,0),FALSE))</f>
        <v/>
      </c>
      <c r="C637" s="16" t="str">
        <f>IFNA(VLOOKUP($A637,Spells!$A$2:$I1002,MATCH(C$3,Spells!$A$1:$I$1,0),FALSE))</f>
        <v/>
      </c>
      <c r="D637" s="16" t="str">
        <f>IFNA(VLOOKUP($A637,Spells!$A$2:$I1002,MATCH(D$3,Spells!$A$1:$I$1,0),FALSE))</f>
        <v/>
      </c>
      <c r="E637" s="16" t="str">
        <f>IFNA(VLOOKUP($A637,Spells!$A$2:$I1002,MATCH(E$3,Spells!$A$1:$I$1,0),FALSE))</f>
        <v/>
      </c>
      <c r="F637" s="16" t="str">
        <f>IFNA(VLOOKUP($A637,Spells!$A$2:$I1002,MATCH(F$3,Spells!$A$1:$I$1,0),FALSE))</f>
        <v/>
      </c>
      <c r="G637" s="16" t="str">
        <f>IFNA(VLOOKUP($A637,Spells!$A$2:$I1002,MATCH(G$3,Spells!$A$1:$I$1,0),FALSE))</f>
        <v/>
      </c>
      <c r="H637" s="16" t="str">
        <f>IFNA(VLOOKUP($A637,Spells!$A$2:$I1002,MATCH(H$3,Spells!$A$1:$I$1,0),FALSE))</f>
        <v/>
      </c>
    </row>
    <row r="638">
      <c r="A638" s="16"/>
      <c r="B638" s="16" t="str">
        <f>IFNA(VLOOKUP($A638,Spells!$A$2:$I1002,MATCH(B$3,Spells!$A$1:$I$1,0),FALSE))</f>
        <v/>
      </c>
      <c r="C638" s="16" t="str">
        <f>IFNA(VLOOKUP($A638,Spells!$A$2:$I1002,MATCH(C$3,Spells!$A$1:$I$1,0),FALSE))</f>
        <v/>
      </c>
      <c r="D638" s="16" t="str">
        <f>IFNA(VLOOKUP($A638,Spells!$A$2:$I1002,MATCH(D$3,Spells!$A$1:$I$1,0),FALSE))</f>
        <v/>
      </c>
      <c r="E638" s="16" t="str">
        <f>IFNA(VLOOKUP($A638,Spells!$A$2:$I1002,MATCH(E$3,Spells!$A$1:$I$1,0),FALSE))</f>
        <v/>
      </c>
      <c r="F638" s="16" t="str">
        <f>IFNA(VLOOKUP($A638,Spells!$A$2:$I1002,MATCH(F$3,Spells!$A$1:$I$1,0),FALSE))</f>
        <v/>
      </c>
      <c r="G638" s="16" t="str">
        <f>IFNA(VLOOKUP($A638,Spells!$A$2:$I1002,MATCH(G$3,Spells!$A$1:$I$1,0),FALSE))</f>
        <v/>
      </c>
      <c r="H638" s="16" t="str">
        <f>IFNA(VLOOKUP($A638,Spells!$A$2:$I1002,MATCH(H$3,Spells!$A$1:$I$1,0),FALSE))</f>
        <v/>
      </c>
    </row>
    <row r="639">
      <c r="A639" s="16"/>
      <c r="B639" s="16" t="str">
        <f>IFNA(VLOOKUP($A639,Spells!$A$2:$I1002,MATCH(B$3,Spells!$A$1:$I$1,0),FALSE))</f>
        <v/>
      </c>
      <c r="C639" s="16" t="str">
        <f>IFNA(VLOOKUP($A639,Spells!$A$2:$I1002,MATCH(C$3,Spells!$A$1:$I$1,0),FALSE))</f>
        <v/>
      </c>
      <c r="D639" s="16" t="str">
        <f>IFNA(VLOOKUP($A639,Spells!$A$2:$I1002,MATCH(D$3,Spells!$A$1:$I$1,0),FALSE))</f>
        <v/>
      </c>
      <c r="E639" s="16" t="str">
        <f>IFNA(VLOOKUP($A639,Spells!$A$2:$I1002,MATCH(E$3,Spells!$A$1:$I$1,0),FALSE))</f>
        <v/>
      </c>
      <c r="F639" s="16" t="str">
        <f>IFNA(VLOOKUP($A639,Spells!$A$2:$I1002,MATCH(F$3,Spells!$A$1:$I$1,0),FALSE))</f>
        <v/>
      </c>
      <c r="G639" s="16" t="str">
        <f>IFNA(VLOOKUP($A639,Spells!$A$2:$I1002,MATCH(G$3,Spells!$A$1:$I$1,0),FALSE))</f>
        <v/>
      </c>
      <c r="H639" s="16" t="str">
        <f>IFNA(VLOOKUP($A639,Spells!$A$2:$I1002,MATCH(H$3,Spells!$A$1:$I$1,0),FALSE))</f>
        <v/>
      </c>
    </row>
    <row r="640">
      <c r="A640" s="16"/>
      <c r="B640" s="16" t="str">
        <f>IFNA(VLOOKUP($A640,Spells!$A$2:$I1002,MATCH(B$3,Spells!$A$1:$I$1,0),FALSE))</f>
        <v/>
      </c>
      <c r="C640" s="16" t="str">
        <f>IFNA(VLOOKUP($A640,Spells!$A$2:$I1002,MATCH(C$3,Spells!$A$1:$I$1,0),FALSE))</f>
        <v/>
      </c>
      <c r="D640" s="16" t="str">
        <f>IFNA(VLOOKUP($A640,Spells!$A$2:$I1002,MATCH(D$3,Spells!$A$1:$I$1,0),FALSE))</f>
        <v/>
      </c>
      <c r="E640" s="16" t="str">
        <f>IFNA(VLOOKUP($A640,Spells!$A$2:$I1002,MATCH(E$3,Spells!$A$1:$I$1,0),FALSE))</f>
        <v/>
      </c>
      <c r="F640" s="16" t="str">
        <f>IFNA(VLOOKUP($A640,Spells!$A$2:$I1002,MATCH(F$3,Spells!$A$1:$I$1,0),FALSE))</f>
        <v/>
      </c>
      <c r="G640" s="16" t="str">
        <f>IFNA(VLOOKUP($A640,Spells!$A$2:$I1002,MATCH(G$3,Spells!$A$1:$I$1,0),FALSE))</f>
        <v/>
      </c>
      <c r="H640" s="16" t="str">
        <f>IFNA(VLOOKUP($A640,Spells!$A$2:$I1002,MATCH(H$3,Spells!$A$1:$I$1,0),FALSE))</f>
        <v/>
      </c>
    </row>
    <row r="641">
      <c r="A641" s="16"/>
      <c r="B641" s="16" t="str">
        <f>IFNA(VLOOKUP($A641,Spells!$A$2:$I1002,MATCH(B$3,Spells!$A$1:$I$1,0),FALSE))</f>
        <v/>
      </c>
      <c r="C641" s="16" t="str">
        <f>IFNA(VLOOKUP($A641,Spells!$A$2:$I1002,MATCH(C$3,Spells!$A$1:$I$1,0),FALSE))</f>
        <v/>
      </c>
      <c r="D641" s="16" t="str">
        <f>IFNA(VLOOKUP($A641,Spells!$A$2:$I1002,MATCH(D$3,Spells!$A$1:$I$1,0),FALSE))</f>
        <v/>
      </c>
      <c r="E641" s="16" t="str">
        <f>IFNA(VLOOKUP($A641,Spells!$A$2:$I1002,MATCH(E$3,Spells!$A$1:$I$1,0),FALSE))</f>
        <v/>
      </c>
      <c r="F641" s="16" t="str">
        <f>IFNA(VLOOKUP($A641,Spells!$A$2:$I1002,MATCH(F$3,Spells!$A$1:$I$1,0),FALSE))</f>
        <v/>
      </c>
      <c r="G641" s="16" t="str">
        <f>IFNA(VLOOKUP($A641,Spells!$A$2:$I1002,MATCH(G$3,Spells!$A$1:$I$1,0),FALSE))</f>
        <v/>
      </c>
      <c r="H641" s="16" t="str">
        <f>IFNA(VLOOKUP($A641,Spells!$A$2:$I1002,MATCH(H$3,Spells!$A$1:$I$1,0),FALSE))</f>
        <v/>
      </c>
    </row>
    <row r="642">
      <c r="A642" s="16"/>
      <c r="B642" s="16" t="str">
        <f>IFNA(VLOOKUP($A642,Spells!$A$2:$I1002,MATCH(B$3,Spells!$A$1:$I$1,0),FALSE))</f>
        <v/>
      </c>
      <c r="C642" s="16" t="str">
        <f>IFNA(VLOOKUP($A642,Spells!$A$2:$I1002,MATCH(C$3,Spells!$A$1:$I$1,0),FALSE))</f>
        <v/>
      </c>
      <c r="D642" s="16" t="str">
        <f>IFNA(VLOOKUP($A642,Spells!$A$2:$I1002,MATCH(D$3,Spells!$A$1:$I$1,0),FALSE))</f>
        <v/>
      </c>
      <c r="E642" s="16" t="str">
        <f>IFNA(VLOOKUP($A642,Spells!$A$2:$I1002,MATCH(E$3,Spells!$A$1:$I$1,0),FALSE))</f>
        <v/>
      </c>
      <c r="F642" s="16" t="str">
        <f>IFNA(VLOOKUP($A642,Spells!$A$2:$I1002,MATCH(F$3,Spells!$A$1:$I$1,0),FALSE))</f>
        <v/>
      </c>
      <c r="G642" s="16" t="str">
        <f>IFNA(VLOOKUP($A642,Spells!$A$2:$I1002,MATCH(G$3,Spells!$A$1:$I$1,0),FALSE))</f>
        <v/>
      </c>
      <c r="H642" s="16" t="str">
        <f>IFNA(VLOOKUP($A642,Spells!$A$2:$I1002,MATCH(H$3,Spells!$A$1:$I$1,0),FALSE))</f>
        <v/>
      </c>
    </row>
    <row r="643">
      <c r="A643" s="16"/>
      <c r="B643" s="16" t="str">
        <f>IFNA(VLOOKUP($A643,Spells!$A$2:$I1002,MATCH(B$3,Spells!$A$1:$I$1,0),FALSE))</f>
        <v/>
      </c>
      <c r="C643" s="16" t="str">
        <f>IFNA(VLOOKUP($A643,Spells!$A$2:$I1002,MATCH(C$3,Spells!$A$1:$I$1,0),FALSE))</f>
        <v/>
      </c>
      <c r="D643" s="16" t="str">
        <f>IFNA(VLOOKUP($A643,Spells!$A$2:$I1002,MATCH(D$3,Spells!$A$1:$I$1,0),FALSE))</f>
        <v/>
      </c>
      <c r="E643" s="16" t="str">
        <f>IFNA(VLOOKUP($A643,Spells!$A$2:$I1002,MATCH(E$3,Spells!$A$1:$I$1,0),FALSE))</f>
        <v/>
      </c>
      <c r="F643" s="16" t="str">
        <f>IFNA(VLOOKUP($A643,Spells!$A$2:$I1002,MATCH(F$3,Spells!$A$1:$I$1,0),FALSE))</f>
        <v/>
      </c>
      <c r="G643" s="16" t="str">
        <f>IFNA(VLOOKUP($A643,Spells!$A$2:$I1002,MATCH(G$3,Spells!$A$1:$I$1,0),FALSE))</f>
        <v/>
      </c>
      <c r="H643" s="16" t="str">
        <f>IFNA(VLOOKUP($A643,Spells!$A$2:$I1002,MATCH(H$3,Spells!$A$1:$I$1,0),FALSE))</f>
        <v/>
      </c>
    </row>
    <row r="644">
      <c r="A644" s="16"/>
      <c r="B644" s="16" t="str">
        <f>IFNA(VLOOKUP($A644,Spells!$A$2:$I1002,MATCH(B$3,Spells!$A$1:$I$1,0),FALSE))</f>
        <v/>
      </c>
      <c r="C644" s="16" t="str">
        <f>IFNA(VLOOKUP($A644,Spells!$A$2:$I1002,MATCH(C$3,Spells!$A$1:$I$1,0),FALSE))</f>
        <v/>
      </c>
      <c r="D644" s="16" t="str">
        <f>IFNA(VLOOKUP($A644,Spells!$A$2:$I1002,MATCH(D$3,Spells!$A$1:$I$1,0),FALSE))</f>
        <v/>
      </c>
      <c r="E644" s="16" t="str">
        <f>IFNA(VLOOKUP($A644,Spells!$A$2:$I1002,MATCH(E$3,Spells!$A$1:$I$1,0),FALSE))</f>
        <v/>
      </c>
      <c r="F644" s="16" t="str">
        <f>IFNA(VLOOKUP($A644,Spells!$A$2:$I1002,MATCH(F$3,Spells!$A$1:$I$1,0),FALSE))</f>
        <v/>
      </c>
      <c r="G644" s="16" t="str">
        <f>IFNA(VLOOKUP($A644,Spells!$A$2:$I1002,MATCH(G$3,Spells!$A$1:$I$1,0),FALSE))</f>
        <v/>
      </c>
      <c r="H644" s="16" t="str">
        <f>IFNA(VLOOKUP($A644,Spells!$A$2:$I1002,MATCH(H$3,Spells!$A$1:$I$1,0),FALSE))</f>
        <v/>
      </c>
    </row>
    <row r="645">
      <c r="A645" s="16"/>
      <c r="B645" s="16" t="str">
        <f>IFNA(VLOOKUP($A645,Spells!$A$2:$I1002,MATCH(B$3,Spells!$A$1:$I$1,0),FALSE))</f>
        <v/>
      </c>
      <c r="C645" s="16" t="str">
        <f>IFNA(VLOOKUP($A645,Spells!$A$2:$I1002,MATCH(C$3,Spells!$A$1:$I$1,0),FALSE))</f>
        <v/>
      </c>
      <c r="D645" s="16" t="str">
        <f>IFNA(VLOOKUP($A645,Spells!$A$2:$I1002,MATCH(D$3,Spells!$A$1:$I$1,0),FALSE))</f>
        <v/>
      </c>
      <c r="E645" s="16" t="str">
        <f>IFNA(VLOOKUP($A645,Spells!$A$2:$I1002,MATCH(E$3,Spells!$A$1:$I$1,0),FALSE))</f>
        <v/>
      </c>
      <c r="F645" s="16" t="str">
        <f>IFNA(VLOOKUP($A645,Spells!$A$2:$I1002,MATCH(F$3,Spells!$A$1:$I$1,0),FALSE))</f>
        <v/>
      </c>
      <c r="G645" s="16" t="str">
        <f>IFNA(VLOOKUP($A645,Spells!$A$2:$I1002,MATCH(G$3,Spells!$A$1:$I$1,0),FALSE))</f>
        <v/>
      </c>
      <c r="H645" s="16" t="str">
        <f>IFNA(VLOOKUP($A645,Spells!$A$2:$I1002,MATCH(H$3,Spells!$A$1:$I$1,0),FALSE))</f>
        <v/>
      </c>
    </row>
    <row r="646">
      <c r="A646" s="16"/>
      <c r="B646" s="16" t="str">
        <f>IFNA(VLOOKUP($A646,Spells!$A$2:$I1002,MATCH(B$3,Spells!$A$1:$I$1,0),FALSE))</f>
        <v/>
      </c>
      <c r="C646" s="16" t="str">
        <f>IFNA(VLOOKUP($A646,Spells!$A$2:$I1002,MATCH(C$3,Spells!$A$1:$I$1,0),FALSE))</f>
        <v/>
      </c>
      <c r="D646" s="16" t="str">
        <f>IFNA(VLOOKUP($A646,Spells!$A$2:$I1002,MATCH(D$3,Spells!$A$1:$I$1,0),FALSE))</f>
        <v/>
      </c>
      <c r="E646" s="16" t="str">
        <f>IFNA(VLOOKUP($A646,Spells!$A$2:$I1002,MATCH(E$3,Spells!$A$1:$I$1,0),FALSE))</f>
        <v/>
      </c>
      <c r="F646" s="16" t="str">
        <f>IFNA(VLOOKUP($A646,Spells!$A$2:$I1002,MATCH(F$3,Spells!$A$1:$I$1,0),FALSE))</f>
        <v/>
      </c>
      <c r="G646" s="16" t="str">
        <f>IFNA(VLOOKUP($A646,Spells!$A$2:$I1002,MATCH(G$3,Spells!$A$1:$I$1,0),FALSE))</f>
        <v/>
      </c>
      <c r="H646" s="16" t="str">
        <f>IFNA(VLOOKUP($A646,Spells!$A$2:$I1002,MATCH(H$3,Spells!$A$1:$I$1,0),FALSE))</f>
        <v/>
      </c>
    </row>
    <row r="647">
      <c r="A647" s="16"/>
      <c r="B647" s="16" t="str">
        <f>IFNA(VLOOKUP($A647,Spells!$A$2:$I1002,MATCH(B$3,Spells!$A$1:$I$1,0),FALSE))</f>
        <v/>
      </c>
      <c r="C647" s="16" t="str">
        <f>IFNA(VLOOKUP($A647,Spells!$A$2:$I1002,MATCH(C$3,Spells!$A$1:$I$1,0),FALSE))</f>
        <v/>
      </c>
      <c r="D647" s="16" t="str">
        <f>IFNA(VLOOKUP($A647,Spells!$A$2:$I1002,MATCH(D$3,Spells!$A$1:$I$1,0),FALSE))</f>
        <v/>
      </c>
      <c r="E647" s="16" t="str">
        <f>IFNA(VLOOKUP($A647,Spells!$A$2:$I1002,MATCH(E$3,Spells!$A$1:$I$1,0),FALSE))</f>
        <v/>
      </c>
      <c r="F647" s="16" t="str">
        <f>IFNA(VLOOKUP($A647,Spells!$A$2:$I1002,MATCH(F$3,Spells!$A$1:$I$1,0),FALSE))</f>
        <v/>
      </c>
      <c r="G647" s="16" t="str">
        <f>IFNA(VLOOKUP($A647,Spells!$A$2:$I1002,MATCH(G$3,Spells!$A$1:$I$1,0),FALSE))</f>
        <v/>
      </c>
      <c r="H647" s="16" t="str">
        <f>IFNA(VLOOKUP($A647,Spells!$A$2:$I1002,MATCH(H$3,Spells!$A$1:$I$1,0),FALSE))</f>
        <v/>
      </c>
    </row>
    <row r="648">
      <c r="A648" s="16"/>
      <c r="B648" s="16" t="str">
        <f>IFNA(VLOOKUP($A648,Spells!$A$2:$I1002,MATCH(B$3,Spells!$A$1:$I$1,0),FALSE))</f>
        <v/>
      </c>
      <c r="C648" s="16" t="str">
        <f>IFNA(VLOOKUP($A648,Spells!$A$2:$I1002,MATCH(C$3,Spells!$A$1:$I$1,0),FALSE))</f>
        <v/>
      </c>
      <c r="D648" s="16" t="str">
        <f>IFNA(VLOOKUP($A648,Spells!$A$2:$I1002,MATCH(D$3,Spells!$A$1:$I$1,0),FALSE))</f>
        <v/>
      </c>
      <c r="E648" s="16" t="str">
        <f>IFNA(VLOOKUP($A648,Spells!$A$2:$I1002,MATCH(E$3,Spells!$A$1:$I$1,0),FALSE))</f>
        <v/>
      </c>
      <c r="F648" s="16" t="str">
        <f>IFNA(VLOOKUP($A648,Spells!$A$2:$I1002,MATCH(F$3,Spells!$A$1:$I$1,0),FALSE))</f>
        <v/>
      </c>
      <c r="G648" s="16" t="str">
        <f>IFNA(VLOOKUP($A648,Spells!$A$2:$I1002,MATCH(G$3,Spells!$A$1:$I$1,0),FALSE))</f>
        <v/>
      </c>
      <c r="H648" s="16" t="str">
        <f>IFNA(VLOOKUP($A648,Spells!$A$2:$I1002,MATCH(H$3,Spells!$A$1:$I$1,0),FALSE))</f>
        <v/>
      </c>
    </row>
    <row r="649">
      <c r="A649" s="16"/>
      <c r="B649" s="16" t="str">
        <f>IFNA(VLOOKUP($A649,Spells!$A$2:$I1002,MATCH(B$3,Spells!$A$1:$I$1,0),FALSE))</f>
        <v/>
      </c>
      <c r="C649" s="16" t="str">
        <f>IFNA(VLOOKUP($A649,Spells!$A$2:$I1002,MATCH(C$3,Spells!$A$1:$I$1,0),FALSE))</f>
        <v/>
      </c>
      <c r="D649" s="16" t="str">
        <f>IFNA(VLOOKUP($A649,Spells!$A$2:$I1002,MATCH(D$3,Spells!$A$1:$I$1,0),FALSE))</f>
        <v/>
      </c>
      <c r="E649" s="16" t="str">
        <f>IFNA(VLOOKUP($A649,Spells!$A$2:$I1002,MATCH(E$3,Spells!$A$1:$I$1,0),FALSE))</f>
        <v/>
      </c>
      <c r="F649" s="16" t="str">
        <f>IFNA(VLOOKUP($A649,Spells!$A$2:$I1002,MATCH(F$3,Spells!$A$1:$I$1,0),FALSE))</f>
        <v/>
      </c>
      <c r="G649" s="16" t="str">
        <f>IFNA(VLOOKUP($A649,Spells!$A$2:$I1002,MATCH(G$3,Spells!$A$1:$I$1,0),FALSE))</f>
        <v/>
      </c>
      <c r="H649" s="16" t="str">
        <f>IFNA(VLOOKUP($A649,Spells!$A$2:$I1002,MATCH(H$3,Spells!$A$1:$I$1,0),FALSE))</f>
        <v/>
      </c>
    </row>
    <row r="650">
      <c r="A650" s="16"/>
      <c r="B650" s="16" t="str">
        <f>IFNA(VLOOKUP($A650,Spells!$A$2:$I1002,MATCH(B$3,Spells!$A$1:$I$1,0),FALSE))</f>
        <v/>
      </c>
      <c r="C650" s="16" t="str">
        <f>IFNA(VLOOKUP($A650,Spells!$A$2:$I1002,MATCH(C$3,Spells!$A$1:$I$1,0),FALSE))</f>
        <v/>
      </c>
      <c r="D650" s="16" t="str">
        <f>IFNA(VLOOKUP($A650,Spells!$A$2:$I1002,MATCH(D$3,Spells!$A$1:$I$1,0),FALSE))</f>
        <v/>
      </c>
      <c r="E650" s="16" t="str">
        <f>IFNA(VLOOKUP($A650,Spells!$A$2:$I1002,MATCH(E$3,Spells!$A$1:$I$1,0),FALSE))</f>
        <v/>
      </c>
      <c r="F650" s="16" t="str">
        <f>IFNA(VLOOKUP($A650,Spells!$A$2:$I1002,MATCH(F$3,Spells!$A$1:$I$1,0),FALSE))</f>
        <v/>
      </c>
      <c r="G650" s="16" t="str">
        <f>IFNA(VLOOKUP($A650,Spells!$A$2:$I1002,MATCH(G$3,Spells!$A$1:$I$1,0),FALSE))</f>
        <v/>
      </c>
      <c r="H650" s="16" t="str">
        <f>IFNA(VLOOKUP($A650,Spells!$A$2:$I1002,MATCH(H$3,Spells!$A$1:$I$1,0),FALSE))</f>
        <v/>
      </c>
    </row>
    <row r="651">
      <c r="A651" s="16"/>
      <c r="B651" s="16" t="str">
        <f>IFNA(VLOOKUP($A651,Spells!$A$2:$I1002,MATCH(B$3,Spells!$A$1:$I$1,0),FALSE))</f>
        <v/>
      </c>
      <c r="C651" s="16" t="str">
        <f>IFNA(VLOOKUP($A651,Spells!$A$2:$I1002,MATCH(C$3,Spells!$A$1:$I$1,0),FALSE))</f>
        <v/>
      </c>
      <c r="D651" s="16" t="str">
        <f>IFNA(VLOOKUP($A651,Spells!$A$2:$I1002,MATCH(D$3,Spells!$A$1:$I$1,0),FALSE))</f>
        <v/>
      </c>
      <c r="E651" s="16" t="str">
        <f>IFNA(VLOOKUP($A651,Spells!$A$2:$I1002,MATCH(E$3,Spells!$A$1:$I$1,0),FALSE))</f>
        <v/>
      </c>
      <c r="F651" s="16" t="str">
        <f>IFNA(VLOOKUP($A651,Spells!$A$2:$I1002,MATCH(F$3,Spells!$A$1:$I$1,0),FALSE))</f>
        <v/>
      </c>
      <c r="G651" s="16" t="str">
        <f>IFNA(VLOOKUP($A651,Spells!$A$2:$I1002,MATCH(G$3,Spells!$A$1:$I$1,0),FALSE))</f>
        <v/>
      </c>
      <c r="H651" s="16" t="str">
        <f>IFNA(VLOOKUP($A651,Spells!$A$2:$I1002,MATCH(H$3,Spells!$A$1:$I$1,0),FALSE))</f>
        <v/>
      </c>
    </row>
    <row r="652">
      <c r="A652" s="16"/>
      <c r="B652" s="16" t="str">
        <f>IFNA(VLOOKUP($A652,Spells!$A$2:$I1002,MATCH(B$3,Spells!$A$1:$I$1,0),FALSE))</f>
        <v/>
      </c>
      <c r="C652" s="16" t="str">
        <f>IFNA(VLOOKUP($A652,Spells!$A$2:$I1002,MATCH(C$3,Spells!$A$1:$I$1,0),FALSE))</f>
        <v/>
      </c>
      <c r="D652" s="16" t="str">
        <f>IFNA(VLOOKUP($A652,Spells!$A$2:$I1002,MATCH(D$3,Spells!$A$1:$I$1,0),FALSE))</f>
        <v/>
      </c>
      <c r="E652" s="16" t="str">
        <f>IFNA(VLOOKUP($A652,Spells!$A$2:$I1002,MATCH(E$3,Spells!$A$1:$I$1,0),FALSE))</f>
        <v/>
      </c>
      <c r="F652" s="16" t="str">
        <f>IFNA(VLOOKUP($A652,Spells!$A$2:$I1002,MATCH(F$3,Spells!$A$1:$I$1,0),FALSE))</f>
        <v/>
      </c>
      <c r="G652" s="16" t="str">
        <f>IFNA(VLOOKUP($A652,Spells!$A$2:$I1002,MATCH(G$3,Spells!$A$1:$I$1,0),FALSE))</f>
        <v/>
      </c>
      <c r="H652" s="16" t="str">
        <f>IFNA(VLOOKUP($A652,Spells!$A$2:$I1002,MATCH(H$3,Spells!$A$1:$I$1,0),FALSE))</f>
        <v/>
      </c>
    </row>
    <row r="653">
      <c r="A653" s="16"/>
      <c r="B653" s="16" t="str">
        <f>IFNA(VLOOKUP($A653,Spells!$A$2:$I1002,MATCH(B$3,Spells!$A$1:$I$1,0),FALSE))</f>
        <v/>
      </c>
      <c r="C653" s="16" t="str">
        <f>IFNA(VLOOKUP($A653,Spells!$A$2:$I1002,MATCH(C$3,Spells!$A$1:$I$1,0),FALSE))</f>
        <v/>
      </c>
      <c r="D653" s="16" t="str">
        <f>IFNA(VLOOKUP($A653,Spells!$A$2:$I1002,MATCH(D$3,Spells!$A$1:$I$1,0),FALSE))</f>
        <v/>
      </c>
      <c r="E653" s="16" t="str">
        <f>IFNA(VLOOKUP($A653,Spells!$A$2:$I1002,MATCH(E$3,Spells!$A$1:$I$1,0),FALSE))</f>
        <v/>
      </c>
      <c r="F653" s="16" t="str">
        <f>IFNA(VLOOKUP($A653,Spells!$A$2:$I1002,MATCH(F$3,Spells!$A$1:$I$1,0),FALSE))</f>
        <v/>
      </c>
      <c r="G653" s="16" t="str">
        <f>IFNA(VLOOKUP($A653,Spells!$A$2:$I1002,MATCH(G$3,Spells!$A$1:$I$1,0),FALSE))</f>
        <v/>
      </c>
      <c r="H653" s="16" t="str">
        <f>IFNA(VLOOKUP($A653,Spells!$A$2:$I1002,MATCH(H$3,Spells!$A$1:$I$1,0),FALSE))</f>
        <v/>
      </c>
    </row>
    <row r="654">
      <c r="A654" s="16"/>
      <c r="B654" s="16" t="str">
        <f>IFNA(VLOOKUP($A654,Spells!$A$2:$I1002,MATCH(B$3,Spells!$A$1:$I$1,0),FALSE))</f>
        <v/>
      </c>
      <c r="C654" s="16" t="str">
        <f>IFNA(VLOOKUP($A654,Spells!$A$2:$I1002,MATCH(C$3,Spells!$A$1:$I$1,0),FALSE))</f>
        <v/>
      </c>
      <c r="D654" s="16" t="str">
        <f>IFNA(VLOOKUP($A654,Spells!$A$2:$I1002,MATCH(D$3,Spells!$A$1:$I$1,0),FALSE))</f>
        <v/>
      </c>
      <c r="E654" s="16" t="str">
        <f>IFNA(VLOOKUP($A654,Spells!$A$2:$I1002,MATCH(E$3,Spells!$A$1:$I$1,0),FALSE))</f>
        <v/>
      </c>
      <c r="F654" s="16" t="str">
        <f>IFNA(VLOOKUP($A654,Spells!$A$2:$I1002,MATCH(F$3,Spells!$A$1:$I$1,0),FALSE))</f>
        <v/>
      </c>
      <c r="G654" s="16" t="str">
        <f>IFNA(VLOOKUP($A654,Spells!$A$2:$I1002,MATCH(G$3,Spells!$A$1:$I$1,0),FALSE))</f>
        <v/>
      </c>
      <c r="H654" s="16" t="str">
        <f>IFNA(VLOOKUP($A654,Spells!$A$2:$I1002,MATCH(H$3,Spells!$A$1:$I$1,0),FALSE))</f>
        <v/>
      </c>
    </row>
    <row r="655">
      <c r="A655" s="16"/>
      <c r="B655" s="16" t="str">
        <f>IFNA(VLOOKUP($A655,Spells!$A$2:$I1002,MATCH(B$3,Spells!$A$1:$I$1,0),FALSE))</f>
        <v/>
      </c>
      <c r="C655" s="16" t="str">
        <f>IFNA(VLOOKUP($A655,Spells!$A$2:$I1002,MATCH(C$3,Spells!$A$1:$I$1,0),FALSE))</f>
        <v/>
      </c>
      <c r="D655" s="16" t="str">
        <f>IFNA(VLOOKUP($A655,Spells!$A$2:$I1002,MATCH(D$3,Spells!$A$1:$I$1,0),FALSE))</f>
        <v/>
      </c>
      <c r="E655" s="16" t="str">
        <f>IFNA(VLOOKUP($A655,Spells!$A$2:$I1002,MATCH(E$3,Spells!$A$1:$I$1,0),FALSE))</f>
        <v/>
      </c>
      <c r="F655" s="16" t="str">
        <f>IFNA(VLOOKUP($A655,Spells!$A$2:$I1002,MATCH(F$3,Spells!$A$1:$I$1,0),FALSE))</f>
        <v/>
      </c>
      <c r="G655" s="16" t="str">
        <f>IFNA(VLOOKUP($A655,Spells!$A$2:$I1002,MATCH(G$3,Spells!$A$1:$I$1,0),FALSE))</f>
        <v/>
      </c>
      <c r="H655" s="16" t="str">
        <f>IFNA(VLOOKUP($A655,Spells!$A$2:$I1002,MATCH(H$3,Spells!$A$1:$I$1,0),FALSE))</f>
        <v/>
      </c>
    </row>
    <row r="656">
      <c r="A656" s="16"/>
      <c r="B656" s="16" t="str">
        <f>IFNA(VLOOKUP($A656,Spells!$A$2:$I1002,MATCH(B$3,Spells!$A$1:$I$1,0),FALSE))</f>
        <v/>
      </c>
      <c r="C656" s="16" t="str">
        <f>IFNA(VLOOKUP($A656,Spells!$A$2:$I1002,MATCH(C$3,Spells!$A$1:$I$1,0),FALSE))</f>
        <v/>
      </c>
      <c r="D656" s="16" t="str">
        <f>IFNA(VLOOKUP($A656,Spells!$A$2:$I1002,MATCH(D$3,Spells!$A$1:$I$1,0),FALSE))</f>
        <v/>
      </c>
      <c r="E656" s="16" t="str">
        <f>IFNA(VLOOKUP($A656,Spells!$A$2:$I1002,MATCH(E$3,Spells!$A$1:$I$1,0),FALSE))</f>
        <v/>
      </c>
      <c r="F656" s="16" t="str">
        <f>IFNA(VLOOKUP($A656,Spells!$A$2:$I1002,MATCH(F$3,Spells!$A$1:$I$1,0),FALSE))</f>
        <v/>
      </c>
      <c r="G656" s="16" t="str">
        <f>IFNA(VLOOKUP($A656,Spells!$A$2:$I1002,MATCH(G$3,Spells!$A$1:$I$1,0),FALSE))</f>
        <v/>
      </c>
      <c r="H656" s="16" t="str">
        <f>IFNA(VLOOKUP($A656,Spells!$A$2:$I1002,MATCH(H$3,Spells!$A$1:$I$1,0),FALSE))</f>
        <v/>
      </c>
    </row>
    <row r="657">
      <c r="A657" s="16"/>
      <c r="B657" s="16" t="str">
        <f>IFNA(VLOOKUP($A657,Spells!$A$2:$I1002,MATCH(B$3,Spells!$A$1:$I$1,0),FALSE))</f>
        <v/>
      </c>
      <c r="C657" s="16" t="str">
        <f>IFNA(VLOOKUP($A657,Spells!$A$2:$I1002,MATCH(C$3,Spells!$A$1:$I$1,0),FALSE))</f>
        <v/>
      </c>
      <c r="D657" s="16" t="str">
        <f>IFNA(VLOOKUP($A657,Spells!$A$2:$I1002,MATCH(D$3,Spells!$A$1:$I$1,0),FALSE))</f>
        <v/>
      </c>
      <c r="E657" s="16" t="str">
        <f>IFNA(VLOOKUP($A657,Spells!$A$2:$I1002,MATCH(E$3,Spells!$A$1:$I$1,0),FALSE))</f>
        <v/>
      </c>
      <c r="F657" s="16" t="str">
        <f>IFNA(VLOOKUP($A657,Spells!$A$2:$I1002,MATCH(F$3,Spells!$A$1:$I$1,0),FALSE))</f>
        <v/>
      </c>
      <c r="G657" s="16" t="str">
        <f>IFNA(VLOOKUP($A657,Spells!$A$2:$I1002,MATCH(G$3,Spells!$A$1:$I$1,0),FALSE))</f>
        <v/>
      </c>
      <c r="H657" s="16" t="str">
        <f>IFNA(VLOOKUP($A657,Spells!$A$2:$I1002,MATCH(H$3,Spells!$A$1:$I$1,0),FALSE))</f>
        <v/>
      </c>
    </row>
    <row r="658">
      <c r="A658" s="16"/>
      <c r="B658" s="16" t="str">
        <f>IFNA(VLOOKUP($A658,Spells!$A$2:$I1002,MATCH(B$3,Spells!$A$1:$I$1,0),FALSE))</f>
        <v/>
      </c>
      <c r="C658" s="16" t="str">
        <f>IFNA(VLOOKUP($A658,Spells!$A$2:$I1002,MATCH(C$3,Spells!$A$1:$I$1,0),FALSE))</f>
        <v/>
      </c>
      <c r="D658" s="16" t="str">
        <f>IFNA(VLOOKUP($A658,Spells!$A$2:$I1002,MATCH(D$3,Spells!$A$1:$I$1,0),FALSE))</f>
        <v/>
      </c>
      <c r="E658" s="16" t="str">
        <f>IFNA(VLOOKUP($A658,Spells!$A$2:$I1002,MATCH(E$3,Spells!$A$1:$I$1,0),FALSE))</f>
        <v/>
      </c>
      <c r="F658" s="16" t="str">
        <f>IFNA(VLOOKUP($A658,Spells!$A$2:$I1002,MATCH(F$3,Spells!$A$1:$I$1,0),FALSE))</f>
        <v/>
      </c>
      <c r="G658" s="16" t="str">
        <f>IFNA(VLOOKUP($A658,Spells!$A$2:$I1002,MATCH(G$3,Spells!$A$1:$I$1,0),FALSE))</f>
        <v/>
      </c>
      <c r="H658" s="16" t="str">
        <f>IFNA(VLOOKUP($A658,Spells!$A$2:$I1002,MATCH(H$3,Spells!$A$1:$I$1,0),FALSE))</f>
        <v/>
      </c>
    </row>
    <row r="659">
      <c r="A659" s="16"/>
      <c r="B659" s="16" t="str">
        <f>IFNA(VLOOKUP($A659,Spells!$A$2:$I1002,MATCH(B$3,Spells!$A$1:$I$1,0),FALSE))</f>
        <v/>
      </c>
      <c r="C659" s="16" t="str">
        <f>IFNA(VLOOKUP($A659,Spells!$A$2:$I1002,MATCH(C$3,Spells!$A$1:$I$1,0),FALSE))</f>
        <v/>
      </c>
      <c r="D659" s="16" t="str">
        <f>IFNA(VLOOKUP($A659,Spells!$A$2:$I1002,MATCH(D$3,Spells!$A$1:$I$1,0),FALSE))</f>
        <v/>
      </c>
      <c r="E659" s="16" t="str">
        <f>IFNA(VLOOKUP($A659,Spells!$A$2:$I1002,MATCH(E$3,Spells!$A$1:$I$1,0),FALSE))</f>
        <v/>
      </c>
      <c r="F659" s="16" t="str">
        <f>IFNA(VLOOKUP($A659,Spells!$A$2:$I1002,MATCH(F$3,Spells!$A$1:$I$1,0),FALSE))</f>
        <v/>
      </c>
      <c r="G659" s="16" t="str">
        <f>IFNA(VLOOKUP($A659,Spells!$A$2:$I1002,MATCH(G$3,Spells!$A$1:$I$1,0),FALSE))</f>
        <v/>
      </c>
      <c r="H659" s="16" t="str">
        <f>IFNA(VLOOKUP($A659,Spells!$A$2:$I1002,MATCH(H$3,Spells!$A$1:$I$1,0),FALSE))</f>
        <v/>
      </c>
    </row>
    <row r="660">
      <c r="A660" s="16"/>
      <c r="B660" s="16" t="str">
        <f>IFNA(VLOOKUP($A660,Spells!$A$2:$I1002,MATCH(B$3,Spells!$A$1:$I$1,0),FALSE))</f>
        <v/>
      </c>
      <c r="C660" s="16" t="str">
        <f>IFNA(VLOOKUP($A660,Spells!$A$2:$I1002,MATCH(C$3,Spells!$A$1:$I$1,0),FALSE))</f>
        <v/>
      </c>
      <c r="D660" s="16" t="str">
        <f>IFNA(VLOOKUP($A660,Spells!$A$2:$I1002,MATCH(D$3,Spells!$A$1:$I$1,0),FALSE))</f>
        <v/>
      </c>
      <c r="E660" s="16" t="str">
        <f>IFNA(VLOOKUP($A660,Spells!$A$2:$I1002,MATCH(E$3,Spells!$A$1:$I$1,0),FALSE))</f>
        <v/>
      </c>
      <c r="F660" s="16" t="str">
        <f>IFNA(VLOOKUP($A660,Spells!$A$2:$I1002,MATCH(F$3,Spells!$A$1:$I$1,0),FALSE))</f>
        <v/>
      </c>
      <c r="G660" s="16" t="str">
        <f>IFNA(VLOOKUP($A660,Spells!$A$2:$I1002,MATCH(G$3,Spells!$A$1:$I$1,0),FALSE))</f>
        <v/>
      </c>
      <c r="H660" s="16" t="str">
        <f>IFNA(VLOOKUP($A660,Spells!$A$2:$I1002,MATCH(H$3,Spells!$A$1:$I$1,0),FALSE))</f>
        <v/>
      </c>
    </row>
    <row r="661">
      <c r="A661" s="16"/>
      <c r="B661" s="16" t="str">
        <f>IFNA(VLOOKUP($A661,Spells!$A$2:$I1002,MATCH(B$3,Spells!$A$1:$I$1,0),FALSE))</f>
        <v/>
      </c>
      <c r="C661" s="16" t="str">
        <f>IFNA(VLOOKUP($A661,Spells!$A$2:$I1002,MATCH(C$3,Spells!$A$1:$I$1,0),FALSE))</f>
        <v/>
      </c>
      <c r="D661" s="16" t="str">
        <f>IFNA(VLOOKUP($A661,Spells!$A$2:$I1002,MATCH(D$3,Spells!$A$1:$I$1,0),FALSE))</f>
        <v/>
      </c>
      <c r="E661" s="16" t="str">
        <f>IFNA(VLOOKUP($A661,Spells!$A$2:$I1002,MATCH(E$3,Spells!$A$1:$I$1,0),FALSE))</f>
        <v/>
      </c>
      <c r="F661" s="16" t="str">
        <f>IFNA(VLOOKUP($A661,Spells!$A$2:$I1002,MATCH(F$3,Spells!$A$1:$I$1,0),FALSE))</f>
        <v/>
      </c>
      <c r="G661" s="16" t="str">
        <f>IFNA(VLOOKUP($A661,Spells!$A$2:$I1002,MATCH(G$3,Spells!$A$1:$I$1,0),FALSE))</f>
        <v/>
      </c>
      <c r="H661" s="16" t="str">
        <f>IFNA(VLOOKUP($A661,Spells!$A$2:$I1002,MATCH(H$3,Spells!$A$1:$I$1,0),FALSE))</f>
        <v/>
      </c>
    </row>
    <row r="662">
      <c r="A662" s="16"/>
      <c r="B662" s="16" t="str">
        <f>IFNA(VLOOKUP($A662,Spells!$A$2:$I1002,MATCH(B$3,Spells!$A$1:$I$1,0),FALSE))</f>
        <v/>
      </c>
      <c r="C662" s="16" t="str">
        <f>IFNA(VLOOKUP($A662,Spells!$A$2:$I1002,MATCH(C$3,Spells!$A$1:$I$1,0),FALSE))</f>
        <v/>
      </c>
      <c r="D662" s="16" t="str">
        <f>IFNA(VLOOKUP($A662,Spells!$A$2:$I1002,MATCH(D$3,Spells!$A$1:$I$1,0),FALSE))</f>
        <v/>
      </c>
      <c r="E662" s="16" t="str">
        <f>IFNA(VLOOKUP($A662,Spells!$A$2:$I1002,MATCH(E$3,Spells!$A$1:$I$1,0),FALSE))</f>
        <v/>
      </c>
      <c r="F662" s="16" t="str">
        <f>IFNA(VLOOKUP($A662,Spells!$A$2:$I1002,MATCH(F$3,Spells!$A$1:$I$1,0),FALSE))</f>
        <v/>
      </c>
      <c r="G662" s="16" t="str">
        <f>IFNA(VLOOKUP($A662,Spells!$A$2:$I1002,MATCH(G$3,Spells!$A$1:$I$1,0),FALSE))</f>
        <v/>
      </c>
      <c r="H662" s="16" t="str">
        <f>IFNA(VLOOKUP($A662,Spells!$A$2:$I1002,MATCH(H$3,Spells!$A$1:$I$1,0),FALSE))</f>
        <v/>
      </c>
    </row>
    <row r="663">
      <c r="A663" s="16"/>
      <c r="B663" s="16" t="str">
        <f>IFNA(VLOOKUP($A663,Spells!$A$2:$I1002,MATCH(B$3,Spells!$A$1:$I$1,0),FALSE))</f>
        <v/>
      </c>
      <c r="C663" s="16" t="str">
        <f>IFNA(VLOOKUP($A663,Spells!$A$2:$I1002,MATCH(C$3,Spells!$A$1:$I$1,0),FALSE))</f>
        <v/>
      </c>
      <c r="D663" s="16" t="str">
        <f>IFNA(VLOOKUP($A663,Spells!$A$2:$I1002,MATCH(D$3,Spells!$A$1:$I$1,0),FALSE))</f>
        <v/>
      </c>
      <c r="E663" s="16" t="str">
        <f>IFNA(VLOOKUP($A663,Spells!$A$2:$I1002,MATCH(E$3,Spells!$A$1:$I$1,0),FALSE))</f>
        <v/>
      </c>
      <c r="F663" s="16" t="str">
        <f>IFNA(VLOOKUP($A663,Spells!$A$2:$I1002,MATCH(F$3,Spells!$A$1:$I$1,0),FALSE))</f>
        <v/>
      </c>
      <c r="G663" s="16" t="str">
        <f>IFNA(VLOOKUP($A663,Spells!$A$2:$I1002,MATCH(G$3,Spells!$A$1:$I$1,0),FALSE))</f>
        <v/>
      </c>
      <c r="H663" s="16" t="str">
        <f>IFNA(VLOOKUP($A663,Spells!$A$2:$I1002,MATCH(H$3,Spells!$A$1:$I$1,0),FALSE))</f>
        <v/>
      </c>
    </row>
    <row r="664">
      <c r="A664" s="16"/>
      <c r="B664" s="16" t="str">
        <f>IFNA(VLOOKUP($A664,Spells!$A$2:$I1002,MATCH(B$3,Spells!$A$1:$I$1,0),FALSE))</f>
        <v/>
      </c>
      <c r="C664" s="16" t="str">
        <f>IFNA(VLOOKUP($A664,Spells!$A$2:$I1002,MATCH(C$3,Spells!$A$1:$I$1,0),FALSE))</f>
        <v/>
      </c>
      <c r="D664" s="16" t="str">
        <f>IFNA(VLOOKUP($A664,Spells!$A$2:$I1002,MATCH(D$3,Spells!$A$1:$I$1,0),FALSE))</f>
        <v/>
      </c>
      <c r="E664" s="16" t="str">
        <f>IFNA(VLOOKUP($A664,Spells!$A$2:$I1002,MATCH(E$3,Spells!$A$1:$I$1,0),FALSE))</f>
        <v/>
      </c>
      <c r="F664" s="16" t="str">
        <f>IFNA(VLOOKUP($A664,Spells!$A$2:$I1002,MATCH(F$3,Spells!$A$1:$I$1,0),FALSE))</f>
        <v/>
      </c>
      <c r="G664" s="16" t="str">
        <f>IFNA(VLOOKUP($A664,Spells!$A$2:$I1002,MATCH(G$3,Spells!$A$1:$I$1,0),FALSE))</f>
        <v/>
      </c>
      <c r="H664" s="16" t="str">
        <f>IFNA(VLOOKUP($A664,Spells!$A$2:$I1002,MATCH(H$3,Spells!$A$1:$I$1,0),FALSE))</f>
        <v/>
      </c>
    </row>
    <row r="665">
      <c r="A665" s="16"/>
      <c r="B665" s="16" t="str">
        <f>IFNA(VLOOKUP($A665,Spells!$A$2:$I1002,MATCH(B$3,Spells!$A$1:$I$1,0),FALSE))</f>
        <v/>
      </c>
      <c r="C665" s="16" t="str">
        <f>IFNA(VLOOKUP($A665,Spells!$A$2:$I1002,MATCH(C$3,Spells!$A$1:$I$1,0),FALSE))</f>
        <v/>
      </c>
      <c r="D665" s="16" t="str">
        <f>IFNA(VLOOKUP($A665,Spells!$A$2:$I1002,MATCH(D$3,Spells!$A$1:$I$1,0),FALSE))</f>
        <v/>
      </c>
      <c r="E665" s="16" t="str">
        <f>IFNA(VLOOKUP($A665,Spells!$A$2:$I1002,MATCH(E$3,Spells!$A$1:$I$1,0),FALSE))</f>
        <v/>
      </c>
      <c r="F665" s="16" t="str">
        <f>IFNA(VLOOKUP($A665,Spells!$A$2:$I1002,MATCH(F$3,Spells!$A$1:$I$1,0),FALSE))</f>
        <v/>
      </c>
      <c r="G665" s="16" t="str">
        <f>IFNA(VLOOKUP($A665,Spells!$A$2:$I1002,MATCH(G$3,Spells!$A$1:$I$1,0),FALSE))</f>
        <v/>
      </c>
      <c r="H665" s="16" t="str">
        <f>IFNA(VLOOKUP($A665,Spells!$A$2:$I1002,MATCH(H$3,Spells!$A$1:$I$1,0),FALSE))</f>
        <v/>
      </c>
    </row>
    <row r="666">
      <c r="A666" s="16"/>
      <c r="B666" s="16" t="str">
        <f>IFNA(VLOOKUP($A666,Spells!$A$2:$I1002,MATCH(B$3,Spells!$A$1:$I$1,0),FALSE))</f>
        <v/>
      </c>
      <c r="C666" s="16" t="str">
        <f>IFNA(VLOOKUP($A666,Spells!$A$2:$I1002,MATCH(C$3,Spells!$A$1:$I$1,0),FALSE))</f>
        <v/>
      </c>
      <c r="D666" s="16" t="str">
        <f>IFNA(VLOOKUP($A666,Spells!$A$2:$I1002,MATCH(D$3,Spells!$A$1:$I$1,0),FALSE))</f>
        <v/>
      </c>
      <c r="E666" s="16" t="str">
        <f>IFNA(VLOOKUP($A666,Spells!$A$2:$I1002,MATCH(E$3,Spells!$A$1:$I$1,0),FALSE))</f>
        <v/>
      </c>
      <c r="F666" s="16" t="str">
        <f>IFNA(VLOOKUP($A666,Spells!$A$2:$I1002,MATCH(F$3,Spells!$A$1:$I$1,0),FALSE))</f>
        <v/>
      </c>
      <c r="G666" s="16" t="str">
        <f>IFNA(VLOOKUP($A666,Spells!$A$2:$I1002,MATCH(G$3,Spells!$A$1:$I$1,0),FALSE))</f>
        <v/>
      </c>
      <c r="H666" s="16" t="str">
        <f>IFNA(VLOOKUP($A666,Spells!$A$2:$I1002,MATCH(H$3,Spells!$A$1:$I$1,0),FALSE))</f>
        <v/>
      </c>
    </row>
    <row r="667">
      <c r="A667" s="16"/>
      <c r="B667" s="16" t="str">
        <f>IFNA(VLOOKUP($A667,Spells!$A$2:$I1002,MATCH(B$3,Spells!$A$1:$I$1,0),FALSE))</f>
        <v/>
      </c>
      <c r="C667" s="16" t="str">
        <f>IFNA(VLOOKUP($A667,Spells!$A$2:$I1002,MATCH(C$3,Spells!$A$1:$I$1,0),FALSE))</f>
        <v/>
      </c>
      <c r="D667" s="16" t="str">
        <f>IFNA(VLOOKUP($A667,Spells!$A$2:$I1002,MATCH(D$3,Spells!$A$1:$I$1,0),FALSE))</f>
        <v/>
      </c>
      <c r="E667" s="16" t="str">
        <f>IFNA(VLOOKUP($A667,Spells!$A$2:$I1002,MATCH(E$3,Spells!$A$1:$I$1,0),FALSE))</f>
        <v/>
      </c>
      <c r="F667" s="16" t="str">
        <f>IFNA(VLOOKUP($A667,Spells!$A$2:$I1002,MATCH(F$3,Spells!$A$1:$I$1,0),FALSE))</f>
        <v/>
      </c>
      <c r="G667" s="16" t="str">
        <f>IFNA(VLOOKUP($A667,Spells!$A$2:$I1002,MATCH(G$3,Spells!$A$1:$I$1,0),FALSE))</f>
        <v/>
      </c>
      <c r="H667" s="16" t="str">
        <f>IFNA(VLOOKUP($A667,Spells!$A$2:$I1002,MATCH(H$3,Spells!$A$1:$I$1,0),FALSE))</f>
        <v/>
      </c>
    </row>
    <row r="668">
      <c r="A668" s="16"/>
      <c r="B668" s="16" t="str">
        <f>IFNA(VLOOKUP($A668,Spells!$A$2:$I1002,MATCH(B$3,Spells!$A$1:$I$1,0),FALSE))</f>
        <v/>
      </c>
      <c r="C668" s="16" t="str">
        <f>IFNA(VLOOKUP($A668,Spells!$A$2:$I1002,MATCH(C$3,Spells!$A$1:$I$1,0),FALSE))</f>
        <v/>
      </c>
      <c r="D668" s="16" t="str">
        <f>IFNA(VLOOKUP($A668,Spells!$A$2:$I1002,MATCH(D$3,Spells!$A$1:$I$1,0),FALSE))</f>
        <v/>
      </c>
      <c r="E668" s="16" t="str">
        <f>IFNA(VLOOKUP($A668,Spells!$A$2:$I1002,MATCH(E$3,Spells!$A$1:$I$1,0),FALSE))</f>
        <v/>
      </c>
      <c r="F668" s="16" t="str">
        <f>IFNA(VLOOKUP($A668,Spells!$A$2:$I1002,MATCH(F$3,Spells!$A$1:$I$1,0),FALSE))</f>
        <v/>
      </c>
      <c r="G668" s="16" t="str">
        <f>IFNA(VLOOKUP($A668,Spells!$A$2:$I1002,MATCH(G$3,Spells!$A$1:$I$1,0),FALSE))</f>
        <v/>
      </c>
      <c r="H668" s="16" t="str">
        <f>IFNA(VLOOKUP($A668,Spells!$A$2:$I1002,MATCH(H$3,Spells!$A$1:$I$1,0),FALSE))</f>
        <v/>
      </c>
    </row>
    <row r="669">
      <c r="A669" s="16"/>
      <c r="B669" s="16" t="str">
        <f>IFNA(VLOOKUP($A669,Spells!$A$2:$I1002,MATCH(B$3,Spells!$A$1:$I$1,0),FALSE))</f>
        <v/>
      </c>
      <c r="C669" s="16" t="str">
        <f>IFNA(VLOOKUP($A669,Spells!$A$2:$I1002,MATCH(C$3,Spells!$A$1:$I$1,0),FALSE))</f>
        <v/>
      </c>
      <c r="D669" s="16" t="str">
        <f>IFNA(VLOOKUP($A669,Spells!$A$2:$I1002,MATCH(D$3,Spells!$A$1:$I$1,0),FALSE))</f>
        <v/>
      </c>
      <c r="E669" s="16" t="str">
        <f>IFNA(VLOOKUP($A669,Spells!$A$2:$I1002,MATCH(E$3,Spells!$A$1:$I$1,0),FALSE))</f>
        <v/>
      </c>
      <c r="F669" s="16" t="str">
        <f>IFNA(VLOOKUP($A669,Spells!$A$2:$I1002,MATCH(F$3,Spells!$A$1:$I$1,0),FALSE))</f>
        <v/>
      </c>
      <c r="G669" s="16" t="str">
        <f>IFNA(VLOOKUP($A669,Spells!$A$2:$I1002,MATCH(G$3,Spells!$A$1:$I$1,0),FALSE))</f>
        <v/>
      </c>
      <c r="H669" s="16" t="str">
        <f>IFNA(VLOOKUP($A669,Spells!$A$2:$I1002,MATCH(H$3,Spells!$A$1:$I$1,0),FALSE))</f>
        <v/>
      </c>
    </row>
    <row r="670">
      <c r="A670" s="16"/>
      <c r="B670" s="16" t="str">
        <f>IFNA(VLOOKUP($A670,Spells!$A$2:$I1002,MATCH(B$3,Spells!$A$1:$I$1,0),FALSE))</f>
        <v/>
      </c>
      <c r="C670" s="16" t="str">
        <f>IFNA(VLOOKUP($A670,Spells!$A$2:$I1002,MATCH(C$3,Spells!$A$1:$I$1,0),FALSE))</f>
        <v/>
      </c>
      <c r="D670" s="16" t="str">
        <f>IFNA(VLOOKUP($A670,Spells!$A$2:$I1002,MATCH(D$3,Spells!$A$1:$I$1,0),FALSE))</f>
        <v/>
      </c>
      <c r="E670" s="16" t="str">
        <f>IFNA(VLOOKUP($A670,Spells!$A$2:$I1002,MATCH(E$3,Spells!$A$1:$I$1,0),FALSE))</f>
        <v/>
      </c>
      <c r="F670" s="16" t="str">
        <f>IFNA(VLOOKUP($A670,Spells!$A$2:$I1002,MATCH(F$3,Spells!$A$1:$I$1,0),FALSE))</f>
        <v/>
      </c>
      <c r="G670" s="16" t="str">
        <f>IFNA(VLOOKUP($A670,Spells!$A$2:$I1002,MATCH(G$3,Spells!$A$1:$I$1,0),FALSE))</f>
        <v/>
      </c>
      <c r="H670" s="16" t="str">
        <f>IFNA(VLOOKUP($A670,Spells!$A$2:$I1002,MATCH(H$3,Spells!$A$1:$I$1,0),FALSE))</f>
        <v/>
      </c>
    </row>
    <row r="671">
      <c r="A671" s="16"/>
      <c r="B671" s="16" t="str">
        <f>IFNA(VLOOKUP($A671,Spells!$A$2:$I1002,MATCH(B$3,Spells!$A$1:$I$1,0),FALSE))</f>
        <v/>
      </c>
      <c r="C671" s="16" t="str">
        <f>IFNA(VLOOKUP($A671,Spells!$A$2:$I1002,MATCH(C$3,Spells!$A$1:$I$1,0),FALSE))</f>
        <v/>
      </c>
      <c r="D671" s="16" t="str">
        <f>IFNA(VLOOKUP($A671,Spells!$A$2:$I1002,MATCH(D$3,Spells!$A$1:$I$1,0),FALSE))</f>
        <v/>
      </c>
      <c r="E671" s="16" t="str">
        <f>IFNA(VLOOKUP($A671,Spells!$A$2:$I1002,MATCH(E$3,Spells!$A$1:$I$1,0),FALSE))</f>
        <v/>
      </c>
      <c r="F671" s="16" t="str">
        <f>IFNA(VLOOKUP($A671,Spells!$A$2:$I1002,MATCH(F$3,Spells!$A$1:$I$1,0),FALSE))</f>
        <v/>
      </c>
      <c r="G671" s="16" t="str">
        <f>IFNA(VLOOKUP($A671,Spells!$A$2:$I1002,MATCH(G$3,Spells!$A$1:$I$1,0),FALSE))</f>
        <v/>
      </c>
      <c r="H671" s="16" t="str">
        <f>IFNA(VLOOKUP($A671,Spells!$A$2:$I1002,MATCH(H$3,Spells!$A$1:$I$1,0),FALSE))</f>
        <v/>
      </c>
    </row>
    <row r="672">
      <c r="A672" s="16"/>
      <c r="B672" s="16" t="str">
        <f>IFNA(VLOOKUP($A672,Spells!$A$2:$I1002,MATCH(B$3,Spells!$A$1:$I$1,0),FALSE))</f>
        <v/>
      </c>
      <c r="C672" s="16" t="str">
        <f>IFNA(VLOOKUP($A672,Spells!$A$2:$I1002,MATCH(C$3,Spells!$A$1:$I$1,0),FALSE))</f>
        <v/>
      </c>
      <c r="D672" s="16" t="str">
        <f>IFNA(VLOOKUP($A672,Spells!$A$2:$I1002,MATCH(D$3,Spells!$A$1:$I$1,0),FALSE))</f>
        <v/>
      </c>
      <c r="E672" s="16" t="str">
        <f>IFNA(VLOOKUP($A672,Spells!$A$2:$I1002,MATCH(E$3,Spells!$A$1:$I$1,0),FALSE))</f>
        <v/>
      </c>
      <c r="F672" s="16" t="str">
        <f>IFNA(VLOOKUP($A672,Spells!$A$2:$I1002,MATCH(F$3,Spells!$A$1:$I$1,0),FALSE))</f>
        <v/>
      </c>
      <c r="G672" s="16" t="str">
        <f>IFNA(VLOOKUP($A672,Spells!$A$2:$I1002,MATCH(G$3,Spells!$A$1:$I$1,0),FALSE))</f>
        <v/>
      </c>
      <c r="H672" s="16" t="str">
        <f>IFNA(VLOOKUP($A672,Spells!$A$2:$I1002,MATCH(H$3,Spells!$A$1:$I$1,0),FALSE))</f>
        <v/>
      </c>
    </row>
    <row r="673">
      <c r="A673" s="16"/>
      <c r="B673" s="16" t="str">
        <f>IFNA(VLOOKUP($A673,Spells!$A$2:$I1002,MATCH(B$3,Spells!$A$1:$I$1,0),FALSE))</f>
        <v/>
      </c>
      <c r="C673" s="16" t="str">
        <f>IFNA(VLOOKUP($A673,Spells!$A$2:$I1002,MATCH(C$3,Spells!$A$1:$I$1,0),FALSE))</f>
        <v/>
      </c>
      <c r="D673" s="16" t="str">
        <f>IFNA(VLOOKUP($A673,Spells!$A$2:$I1002,MATCH(D$3,Spells!$A$1:$I$1,0),FALSE))</f>
        <v/>
      </c>
      <c r="E673" s="16" t="str">
        <f>IFNA(VLOOKUP($A673,Spells!$A$2:$I1002,MATCH(E$3,Spells!$A$1:$I$1,0),FALSE))</f>
        <v/>
      </c>
      <c r="F673" s="16" t="str">
        <f>IFNA(VLOOKUP($A673,Spells!$A$2:$I1002,MATCH(F$3,Spells!$A$1:$I$1,0),FALSE))</f>
        <v/>
      </c>
      <c r="G673" s="16" t="str">
        <f>IFNA(VLOOKUP($A673,Spells!$A$2:$I1002,MATCH(G$3,Spells!$A$1:$I$1,0),FALSE))</f>
        <v/>
      </c>
      <c r="H673" s="16" t="str">
        <f>IFNA(VLOOKUP($A673,Spells!$A$2:$I1002,MATCH(H$3,Spells!$A$1:$I$1,0),FALSE))</f>
        <v/>
      </c>
    </row>
    <row r="674">
      <c r="A674" s="16"/>
      <c r="B674" s="16" t="str">
        <f>IFNA(VLOOKUP($A674,Spells!$A$2:$I1002,MATCH(B$3,Spells!$A$1:$I$1,0),FALSE))</f>
        <v/>
      </c>
      <c r="C674" s="16" t="str">
        <f>IFNA(VLOOKUP($A674,Spells!$A$2:$I1002,MATCH(C$3,Spells!$A$1:$I$1,0),FALSE))</f>
        <v/>
      </c>
      <c r="D674" s="16" t="str">
        <f>IFNA(VLOOKUP($A674,Spells!$A$2:$I1002,MATCH(D$3,Spells!$A$1:$I$1,0),FALSE))</f>
        <v/>
      </c>
      <c r="E674" s="16" t="str">
        <f>IFNA(VLOOKUP($A674,Spells!$A$2:$I1002,MATCH(E$3,Spells!$A$1:$I$1,0),FALSE))</f>
        <v/>
      </c>
      <c r="F674" s="16" t="str">
        <f>IFNA(VLOOKUP($A674,Spells!$A$2:$I1002,MATCH(F$3,Spells!$A$1:$I$1,0),FALSE))</f>
        <v/>
      </c>
      <c r="G674" s="16" t="str">
        <f>IFNA(VLOOKUP($A674,Spells!$A$2:$I1002,MATCH(G$3,Spells!$A$1:$I$1,0),FALSE))</f>
        <v/>
      </c>
      <c r="H674" s="16" t="str">
        <f>IFNA(VLOOKUP($A674,Spells!$A$2:$I1002,MATCH(H$3,Spells!$A$1:$I$1,0),FALSE))</f>
        <v/>
      </c>
    </row>
    <row r="675">
      <c r="A675" s="16"/>
      <c r="B675" s="16" t="str">
        <f>IFNA(VLOOKUP($A675,Spells!$A$2:$I1002,MATCH(B$3,Spells!$A$1:$I$1,0),FALSE))</f>
        <v/>
      </c>
      <c r="C675" s="16" t="str">
        <f>IFNA(VLOOKUP($A675,Spells!$A$2:$I1002,MATCH(C$3,Spells!$A$1:$I$1,0),FALSE))</f>
        <v/>
      </c>
      <c r="D675" s="16" t="str">
        <f>IFNA(VLOOKUP($A675,Spells!$A$2:$I1002,MATCH(D$3,Spells!$A$1:$I$1,0),FALSE))</f>
        <v/>
      </c>
      <c r="E675" s="16" t="str">
        <f>IFNA(VLOOKUP($A675,Spells!$A$2:$I1002,MATCH(E$3,Spells!$A$1:$I$1,0),FALSE))</f>
        <v/>
      </c>
      <c r="F675" s="16" t="str">
        <f>IFNA(VLOOKUP($A675,Spells!$A$2:$I1002,MATCH(F$3,Spells!$A$1:$I$1,0),FALSE))</f>
        <v/>
      </c>
      <c r="G675" s="16" t="str">
        <f>IFNA(VLOOKUP($A675,Spells!$A$2:$I1002,MATCH(G$3,Spells!$A$1:$I$1,0),FALSE))</f>
        <v/>
      </c>
      <c r="H675" s="16" t="str">
        <f>IFNA(VLOOKUP($A675,Spells!$A$2:$I1002,MATCH(H$3,Spells!$A$1:$I$1,0),FALSE))</f>
        <v/>
      </c>
    </row>
    <row r="676">
      <c r="A676" s="16"/>
      <c r="B676" s="16" t="str">
        <f>IFNA(VLOOKUP($A676,Spells!$A$2:$I1002,MATCH(B$3,Spells!$A$1:$I$1,0),FALSE))</f>
        <v/>
      </c>
      <c r="C676" s="16" t="str">
        <f>IFNA(VLOOKUP($A676,Spells!$A$2:$I1002,MATCH(C$3,Spells!$A$1:$I$1,0),FALSE))</f>
        <v/>
      </c>
      <c r="D676" s="16" t="str">
        <f>IFNA(VLOOKUP($A676,Spells!$A$2:$I1002,MATCH(D$3,Spells!$A$1:$I$1,0),FALSE))</f>
        <v/>
      </c>
      <c r="E676" s="16" t="str">
        <f>IFNA(VLOOKUP($A676,Spells!$A$2:$I1002,MATCH(E$3,Spells!$A$1:$I$1,0),FALSE))</f>
        <v/>
      </c>
      <c r="F676" s="16" t="str">
        <f>IFNA(VLOOKUP($A676,Spells!$A$2:$I1002,MATCH(F$3,Spells!$A$1:$I$1,0),FALSE))</f>
        <v/>
      </c>
      <c r="G676" s="16" t="str">
        <f>IFNA(VLOOKUP($A676,Spells!$A$2:$I1002,MATCH(G$3,Spells!$A$1:$I$1,0),FALSE))</f>
        <v/>
      </c>
      <c r="H676" s="16" t="str">
        <f>IFNA(VLOOKUP($A676,Spells!$A$2:$I1002,MATCH(H$3,Spells!$A$1:$I$1,0),FALSE))</f>
        <v/>
      </c>
    </row>
    <row r="677">
      <c r="A677" s="16"/>
      <c r="B677" s="16" t="str">
        <f>IFNA(VLOOKUP($A677,Spells!$A$2:$I1002,MATCH(B$3,Spells!$A$1:$I$1,0),FALSE))</f>
        <v/>
      </c>
      <c r="C677" s="16" t="str">
        <f>IFNA(VLOOKUP($A677,Spells!$A$2:$I1002,MATCH(C$3,Spells!$A$1:$I$1,0),FALSE))</f>
        <v/>
      </c>
      <c r="D677" s="16" t="str">
        <f>IFNA(VLOOKUP($A677,Spells!$A$2:$I1002,MATCH(D$3,Spells!$A$1:$I$1,0),FALSE))</f>
        <v/>
      </c>
      <c r="E677" s="16" t="str">
        <f>IFNA(VLOOKUP($A677,Spells!$A$2:$I1002,MATCH(E$3,Spells!$A$1:$I$1,0),FALSE))</f>
        <v/>
      </c>
      <c r="F677" s="16" t="str">
        <f>IFNA(VLOOKUP($A677,Spells!$A$2:$I1002,MATCH(F$3,Spells!$A$1:$I$1,0),FALSE))</f>
        <v/>
      </c>
      <c r="G677" s="16" t="str">
        <f>IFNA(VLOOKUP($A677,Spells!$A$2:$I1002,MATCH(G$3,Spells!$A$1:$I$1,0),FALSE))</f>
        <v/>
      </c>
      <c r="H677" s="16" t="str">
        <f>IFNA(VLOOKUP($A677,Spells!$A$2:$I1002,MATCH(H$3,Spells!$A$1:$I$1,0),FALSE))</f>
        <v/>
      </c>
    </row>
    <row r="678">
      <c r="A678" s="16"/>
      <c r="B678" s="16" t="str">
        <f>IFNA(VLOOKUP($A678,Spells!$A$2:$I1002,MATCH(B$3,Spells!$A$1:$I$1,0),FALSE))</f>
        <v/>
      </c>
      <c r="C678" s="16" t="str">
        <f>IFNA(VLOOKUP($A678,Spells!$A$2:$I1002,MATCH(C$3,Spells!$A$1:$I$1,0),FALSE))</f>
        <v/>
      </c>
      <c r="D678" s="16" t="str">
        <f>IFNA(VLOOKUP($A678,Spells!$A$2:$I1002,MATCH(D$3,Spells!$A$1:$I$1,0),FALSE))</f>
        <v/>
      </c>
      <c r="E678" s="16" t="str">
        <f>IFNA(VLOOKUP($A678,Spells!$A$2:$I1002,MATCH(E$3,Spells!$A$1:$I$1,0),FALSE))</f>
        <v/>
      </c>
      <c r="F678" s="16" t="str">
        <f>IFNA(VLOOKUP($A678,Spells!$A$2:$I1002,MATCH(F$3,Spells!$A$1:$I$1,0),FALSE))</f>
        <v/>
      </c>
      <c r="G678" s="16" t="str">
        <f>IFNA(VLOOKUP($A678,Spells!$A$2:$I1002,MATCH(G$3,Spells!$A$1:$I$1,0),FALSE))</f>
        <v/>
      </c>
      <c r="H678" s="16" t="str">
        <f>IFNA(VLOOKUP($A678,Spells!$A$2:$I1002,MATCH(H$3,Spells!$A$1:$I$1,0),FALSE))</f>
        <v/>
      </c>
    </row>
    <row r="679">
      <c r="A679" s="16"/>
      <c r="B679" s="16" t="str">
        <f>IFNA(VLOOKUP($A679,Spells!$A$2:$I1002,MATCH(B$3,Spells!$A$1:$I$1,0),FALSE))</f>
        <v/>
      </c>
      <c r="C679" s="16" t="str">
        <f>IFNA(VLOOKUP($A679,Spells!$A$2:$I1002,MATCH(C$3,Spells!$A$1:$I$1,0),FALSE))</f>
        <v/>
      </c>
      <c r="D679" s="16" t="str">
        <f>IFNA(VLOOKUP($A679,Spells!$A$2:$I1002,MATCH(D$3,Spells!$A$1:$I$1,0),FALSE))</f>
        <v/>
      </c>
      <c r="E679" s="16" t="str">
        <f>IFNA(VLOOKUP($A679,Spells!$A$2:$I1002,MATCH(E$3,Spells!$A$1:$I$1,0),FALSE))</f>
        <v/>
      </c>
      <c r="F679" s="16" t="str">
        <f>IFNA(VLOOKUP($A679,Spells!$A$2:$I1002,MATCH(F$3,Spells!$A$1:$I$1,0),FALSE))</f>
        <v/>
      </c>
      <c r="G679" s="16" t="str">
        <f>IFNA(VLOOKUP($A679,Spells!$A$2:$I1002,MATCH(G$3,Spells!$A$1:$I$1,0),FALSE))</f>
        <v/>
      </c>
      <c r="H679" s="16" t="str">
        <f>IFNA(VLOOKUP($A679,Spells!$A$2:$I1002,MATCH(H$3,Spells!$A$1:$I$1,0),FALSE))</f>
        <v/>
      </c>
    </row>
    <row r="680">
      <c r="A680" s="16"/>
      <c r="B680" s="16" t="str">
        <f>IFNA(VLOOKUP($A680,Spells!$A$2:$I1002,MATCH(B$3,Spells!$A$1:$I$1,0),FALSE))</f>
        <v/>
      </c>
      <c r="C680" s="16" t="str">
        <f>IFNA(VLOOKUP($A680,Spells!$A$2:$I1002,MATCH(C$3,Spells!$A$1:$I$1,0),FALSE))</f>
        <v/>
      </c>
      <c r="D680" s="16" t="str">
        <f>IFNA(VLOOKUP($A680,Spells!$A$2:$I1002,MATCH(D$3,Spells!$A$1:$I$1,0),FALSE))</f>
        <v/>
      </c>
      <c r="E680" s="16" t="str">
        <f>IFNA(VLOOKUP($A680,Spells!$A$2:$I1002,MATCH(E$3,Spells!$A$1:$I$1,0),FALSE))</f>
        <v/>
      </c>
      <c r="F680" s="16" t="str">
        <f>IFNA(VLOOKUP($A680,Spells!$A$2:$I1002,MATCH(F$3,Spells!$A$1:$I$1,0),FALSE))</f>
        <v/>
      </c>
      <c r="G680" s="16" t="str">
        <f>IFNA(VLOOKUP($A680,Spells!$A$2:$I1002,MATCH(G$3,Spells!$A$1:$I$1,0),FALSE))</f>
        <v/>
      </c>
      <c r="H680" s="16" t="str">
        <f>IFNA(VLOOKUP($A680,Spells!$A$2:$I1002,MATCH(H$3,Spells!$A$1:$I$1,0),FALSE))</f>
        <v/>
      </c>
    </row>
    <row r="681">
      <c r="A681" s="16"/>
      <c r="B681" s="16" t="str">
        <f>IFNA(VLOOKUP($A681,Spells!$A$2:$I1002,MATCH(B$3,Spells!$A$1:$I$1,0),FALSE))</f>
        <v/>
      </c>
      <c r="C681" s="16" t="str">
        <f>IFNA(VLOOKUP($A681,Spells!$A$2:$I1002,MATCH(C$3,Spells!$A$1:$I$1,0),FALSE))</f>
        <v/>
      </c>
      <c r="D681" s="16" t="str">
        <f>IFNA(VLOOKUP($A681,Spells!$A$2:$I1002,MATCH(D$3,Spells!$A$1:$I$1,0),FALSE))</f>
        <v/>
      </c>
      <c r="E681" s="16" t="str">
        <f>IFNA(VLOOKUP($A681,Spells!$A$2:$I1002,MATCH(E$3,Spells!$A$1:$I$1,0),FALSE))</f>
        <v/>
      </c>
      <c r="F681" s="16" t="str">
        <f>IFNA(VLOOKUP($A681,Spells!$A$2:$I1002,MATCH(F$3,Spells!$A$1:$I$1,0),FALSE))</f>
        <v/>
      </c>
      <c r="G681" s="16" t="str">
        <f>IFNA(VLOOKUP($A681,Spells!$A$2:$I1002,MATCH(G$3,Spells!$A$1:$I$1,0),FALSE))</f>
        <v/>
      </c>
      <c r="H681" s="16" t="str">
        <f>IFNA(VLOOKUP($A681,Spells!$A$2:$I1002,MATCH(H$3,Spells!$A$1:$I$1,0),FALSE))</f>
        <v/>
      </c>
    </row>
    <row r="682">
      <c r="A682" s="16"/>
      <c r="B682" s="16" t="str">
        <f>IFNA(VLOOKUP($A682,Spells!$A$2:$I1002,MATCH(B$3,Spells!$A$1:$I$1,0),FALSE))</f>
        <v/>
      </c>
      <c r="C682" s="16" t="str">
        <f>IFNA(VLOOKUP($A682,Spells!$A$2:$I1002,MATCH(C$3,Spells!$A$1:$I$1,0),FALSE))</f>
        <v/>
      </c>
      <c r="D682" s="16" t="str">
        <f>IFNA(VLOOKUP($A682,Spells!$A$2:$I1002,MATCH(D$3,Spells!$A$1:$I$1,0),FALSE))</f>
        <v/>
      </c>
      <c r="E682" s="16" t="str">
        <f>IFNA(VLOOKUP($A682,Spells!$A$2:$I1002,MATCH(E$3,Spells!$A$1:$I$1,0),FALSE))</f>
        <v/>
      </c>
      <c r="F682" s="16" t="str">
        <f>IFNA(VLOOKUP($A682,Spells!$A$2:$I1002,MATCH(F$3,Spells!$A$1:$I$1,0),FALSE))</f>
        <v/>
      </c>
      <c r="G682" s="16" t="str">
        <f>IFNA(VLOOKUP($A682,Spells!$A$2:$I1002,MATCH(G$3,Spells!$A$1:$I$1,0),FALSE))</f>
        <v/>
      </c>
      <c r="H682" s="16" t="str">
        <f>IFNA(VLOOKUP($A682,Spells!$A$2:$I1002,MATCH(H$3,Spells!$A$1:$I$1,0),FALSE))</f>
        <v/>
      </c>
    </row>
    <row r="683">
      <c r="A683" s="16"/>
      <c r="B683" s="16" t="str">
        <f>IFNA(VLOOKUP($A683,Spells!$A$2:$I1002,MATCH(B$3,Spells!$A$1:$I$1,0),FALSE))</f>
        <v/>
      </c>
      <c r="C683" s="16" t="str">
        <f>IFNA(VLOOKUP($A683,Spells!$A$2:$I1002,MATCH(C$3,Spells!$A$1:$I$1,0),FALSE))</f>
        <v/>
      </c>
      <c r="D683" s="16" t="str">
        <f>IFNA(VLOOKUP($A683,Spells!$A$2:$I1002,MATCH(D$3,Spells!$A$1:$I$1,0),FALSE))</f>
        <v/>
      </c>
      <c r="E683" s="16" t="str">
        <f>IFNA(VLOOKUP($A683,Spells!$A$2:$I1002,MATCH(E$3,Spells!$A$1:$I$1,0),FALSE))</f>
        <v/>
      </c>
      <c r="F683" s="16" t="str">
        <f>IFNA(VLOOKUP($A683,Spells!$A$2:$I1002,MATCH(F$3,Spells!$A$1:$I$1,0),FALSE))</f>
        <v/>
      </c>
      <c r="G683" s="16" t="str">
        <f>IFNA(VLOOKUP($A683,Spells!$A$2:$I1002,MATCH(G$3,Spells!$A$1:$I$1,0),FALSE))</f>
        <v/>
      </c>
      <c r="H683" s="16" t="str">
        <f>IFNA(VLOOKUP($A683,Spells!$A$2:$I1002,MATCH(H$3,Spells!$A$1:$I$1,0),FALSE))</f>
        <v/>
      </c>
    </row>
    <row r="684">
      <c r="A684" s="16"/>
      <c r="B684" s="16" t="str">
        <f>IFNA(VLOOKUP($A684,Spells!$A$2:$I1002,MATCH(B$3,Spells!$A$1:$I$1,0),FALSE))</f>
        <v/>
      </c>
      <c r="C684" s="16" t="str">
        <f>IFNA(VLOOKUP($A684,Spells!$A$2:$I1002,MATCH(C$3,Spells!$A$1:$I$1,0),FALSE))</f>
        <v/>
      </c>
      <c r="D684" s="16" t="str">
        <f>IFNA(VLOOKUP($A684,Spells!$A$2:$I1002,MATCH(D$3,Spells!$A$1:$I$1,0),FALSE))</f>
        <v/>
      </c>
      <c r="E684" s="16" t="str">
        <f>IFNA(VLOOKUP($A684,Spells!$A$2:$I1002,MATCH(E$3,Spells!$A$1:$I$1,0),FALSE))</f>
        <v/>
      </c>
      <c r="F684" s="16" t="str">
        <f>IFNA(VLOOKUP($A684,Spells!$A$2:$I1002,MATCH(F$3,Spells!$A$1:$I$1,0),FALSE))</f>
        <v/>
      </c>
      <c r="G684" s="16" t="str">
        <f>IFNA(VLOOKUP($A684,Spells!$A$2:$I1002,MATCH(G$3,Spells!$A$1:$I$1,0),FALSE))</f>
        <v/>
      </c>
      <c r="H684" s="16" t="str">
        <f>IFNA(VLOOKUP($A684,Spells!$A$2:$I1002,MATCH(H$3,Spells!$A$1:$I$1,0),FALSE))</f>
        <v/>
      </c>
    </row>
    <row r="685">
      <c r="A685" s="16"/>
      <c r="B685" s="16" t="str">
        <f>IFNA(VLOOKUP($A685,Spells!$A$2:$I1002,MATCH(B$3,Spells!$A$1:$I$1,0),FALSE))</f>
        <v/>
      </c>
      <c r="C685" s="16" t="str">
        <f>IFNA(VLOOKUP($A685,Spells!$A$2:$I1002,MATCH(C$3,Spells!$A$1:$I$1,0),FALSE))</f>
        <v/>
      </c>
      <c r="D685" s="16" t="str">
        <f>IFNA(VLOOKUP($A685,Spells!$A$2:$I1002,MATCH(D$3,Spells!$A$1:$I$1,0),FALSE))</f>
        <v/>
      </c>
      <c r="E685" s="16" t="str">
        <f>IFNA(VLOOKUP($A685,Spells!$A$2:$I1002,MATCH(E$3,Spells!$A$1:$I$1,0),FALSE))</f>
        <v/>
      </c>
      <c r="F685" s="16" t="str">
        <f>IFNA(VLOOKUP($A685,Spells!$A$2:$I1002,MATCH(F$3,Spells!$A$1:$I$1,0),FALSE))</f>
        <v/>
      </c>
      <c r="G685" s="16" t="str">
        <f>IFNA(VLOOKUP($A685,Spells!$A$2:$I1002,MATCH(G$3,Spells!$A$1:$I$1,0),FALSE))</f>
        <v/>
      </c>
      <c r="H685" s="16" t="str">
        <f>IFNA(VLOOKUP($A685,Spells!$A$2:$I1002,MATCH(H$3,Spells!$A$1:$I$1,0),FALSE))</f>
        <v/>
      </c>
    </row>
    <row r="686">
      <c r="A686" s="16"/>
      <c r="B686" s="16" t="str">
        <f>IFNA(VLOOKUP($A686,Spells!$A$2:$I1002,MATCH(B$3,Spells!$A$1:$I$1,0),FALSE))</f>
        <v/>
      </c>
      <c r="C686" s="16" t="str">
        <f>IFNA(VLOOKUP($A686,Spells!$A$2:$I1002,MATCH(C$3,Spells!$A$1:$I$1,0),FALSE))</f>
        <v/>
      </c>
      <c r="D686" s="16" t="str">
        <f>IFNA(VLOOKUP($A686,Spells!$A$2:$I1002,MATCH(D$3,Spells!$A$1:$I$1,0),FALSE))</f>
        <v/>
      </c>
      <c r="E686" s="16" t="str">
        <f>IFNA(VLOOKUP($A686,Spells!$A$2:$I1002,MATCH(E$3,Spells!$A$1:$I$1,0),FALSE))</f>
        <v/>
      </c>
      <c r="F686" s="16" t="str">
        <f>IFNA(VLOOKUP($A686,Spells!$A$2:$I1002,MATCH(F$3,Spells!$A$1:$I$1,0),FALSE))</f>
        <v/>
      </c>
      <c r="G686" s="16" t="str">
        <f>IFNA(VLOOKUP($A686,Spells!$A$2:$I1002,MATCH(G$3,Spells!$A$1:$I$1,0),FALSE))</f>
        <v/>
      </c>
      <c r="H686" s="16" t="str">
        <f>IFNA(VLOOKUP($A686,Spells!$A$2:$I1002,MATCH(H$3,Spells!$A$1:$I$1,0),FALSE))</f>
        <v/>
      </c>
    </row>
    <row r="687">
      <c r="A687" s="16"/>
      <c r="B687" s="16" t="str">
        <f>IFNA(VLOOKUP($A687,Spells!$A$2:$I1002,MATCH(B$3,Spells!$A$1:$I$1,0),FALSE))</f>
        <v/>
      </c>
      <c r="C687" s="16" t="str">
        <f>IFNA(VLOOKUP($A687,Spells!$A$2:$I1002,MATCH(C$3,Spells!$A$1:$I$1,0),FALSE))</f>
        <v/>
      </c>
      <c r="D687" s="16" t="str">
        <f>IFNA(VLOOKUP($A687,Spells!$A$2:$I1002,MATCH(D$3,Spells!$A$1:$I$1,0),FALSE))</f>
        <v/>
      </c>
      <c r="E687" s="16" t="str">
        <f>IFNA(VLOOKUP($A687,Spells!$A$2:$I1002,MATCH(E$3,Spells!$A$1:$I$1,0),FALSE))</f>
        <v/>
      </c>
      <c r="F687" s="16" t="str">
        <f>IFNA(VLOOKUP($A687,Spells!$A$2:$I1002,MATCH(F$3,Spells!$A$1:$I$1,0),FALSE))</f>
        <v/>
      </c>
      <c r="G687" s="16" t="str">
        <f>IFNA(VLOOKUP($A687,Spells!$A$2:$I1002,MATCH(G$3,Spells!$A$1:$I$1,0),FALSE))</f>
        <v/>
      </c>
      <c r="H687" s="16" t="str">
        <f>IFNA(VLOOKUP($A687,Spells!$A$2:$I1002,MATCH(H$3,Spells!$A$1:$I$1,0),FALSE))</f>
        <v/>
      </c>
    </row>
    <row r="688">
      <c r="A688" s="16"/>
      <c r="B688" s="16" t="str">
        <f>IFNA(VLOOKUP($A688,Spells!$A$2:$I1002,MATCH(B$3,Spells!$A$1:$I$1,0),FALSE))</f>
        <v/>
      </c>
      <c r="C688" s="16" t="str">
        <f>IFNA(VLOOKUP($A688,Spells!$A$2:$I1002,MATCH(C$3,Spells!$A$1:$I$1,0),FALSE))</f>
        <v/>
      </c>
      <c r="D688" s="16" t="str">
        <f>IFNA(VLOOKUP($A688,Spells!$A$2:$I1002,MATCH(D$3,Spells!$A$1:$I$1,0),FALSE))</f>
        <v/>
      </c>
      <c r="E688" s="16" t="str">
        <f>IFNA(VLOOKUP($A688,Spells!$A$2:$I1002,MATCH(E$3,Spells!$A$1:$I$1,0),FALSE))</f>
        <v/>
      </c>
      <c r="F688" s="16" t="str">
        <f>IFNA(VLOOKUP($A688,Spells!$A$2:$I1002,MATCH(F$3,Spells!$A$1:$I$1,0),FALSE))</f>
        <v/>
      </c>
      <c r="G688" s="16" t="str">
        <f>IFNA(VLOOKUP($A688,Spells!$A$2:$I1002,MATCH(G$3,Spells!$A$1:$I$1,0),FALSE))</f>
        <v/>
      </c>
      <c r="H688" s="16" t="str">
        <f>IFNA(VLOOKUP($A688,Spells!$A$2:$I1002,MATCH(H$3,Spells!$A$1:$I$1,0),FALSE))</f>
        <v/>
      </c>
    </row>
    <row r="689">
      <c r="A689" s="16"/>
      <c r="B689" s="16" t="str">
        <f>IFNA(VLOOKUP($A689,Spells!$A$2:$I1002,MATCH(B$3,Spells!$A$1:$I$1,0),FALSE))</f>
        <v/>
      </c>
      <c r="C689" s="16" t="str">
        <f>IFNA(VLOOKUP($A689,Spells!$A$2:$I1002,MATCH(C$3,Spells!$A$1:$I$1,0),FALSE))</f>
        <v/>
      </c>
      <c r="D689" s="16" t="str">
        <f>IFNA(VLOOKUP($A689,Spells!$A$2:$I1002,MATCH(D$3,Spells!$A$1:$I$1,0),FALSE))</f>
        <v/>
      </c>
      <c r="E689" s="16" t="str">
        <f>IFNA(VLOOKUP($A689,Spells!$A$2:$I1002,MATCH(E$3,Spells!$A$1:$I$1,0),FALSE))</f>
        <v/>
      </c>
      <c r="F689" s="16" t="str">
        <f>IFNA(VLOOKUP($A689,Spells!$A$2:$I1002,MATCH(F$3,Spells!$A$1:$I$1,0),FALSE))</f>
        <v/>
      </c>
      <c r="G689" s="16" t="str">
        <f>IFNA(VLOOKUP($A689,Spells!$A$2:$I1002,MATCH(G$3,Spells!$A$1:$I$1,0),FALSE))</f>
        <v/>
      </c>
      <c r="H689" s="16" t="str">
        <f>IFNA(VLOOKUP($A689,Spells!$A$2:$I1002,MATCH(H$3,Spells!$A$1:$I$1,0),FALSE))</f>
        <v/>
      </c>
    </row>
    <row r="690">
      <c r="A690" s="16"/>
      <c r="B690" s="16" t="str">
        <f>IFNA(VLOOKUP($A690,Spells!$A$2:$I1002,MATCH(B$3,Spells!$A$1:$I$1,0),FALSE))</f>
        <v/>
      </c>
      <c r="C690" s="16" t="str">
        <f>IFNA(VLOOKUP($A690,Spells!$A$2:$I1002,MATCH(C$3,Spells!$A$1:$I$1,0),FALSE))</f>
        <v/>
      </c>
      <c r="D690" s="16" t="str">
        <f>IFNA(VLOOKUP($A690,Spells!$A$2:$I1002,MATCH(D$3,Spells!$A$1:$I$1,0),FALSE))</f>
        <v/>
      </c>
      <c r="E690" s="16" t="str">
        <f>IFNA(VLOOKUP($A690,Spells!$A$2:$I1002,MATCH(E$3,Spells!$A$1:$I$1,0),FALSE))</f>
        <v/>
      </c>
      <c r="F690" s="16" t="str">
        <f>IFNA(VLOOKUP($A690,Spells!$A$2:$I1002,MATCH(F$3,Spells!$A$1:$I$1,0),FALSE))</f>
        <v/>
      </c>
      <c r="G690" s="16" t="str">
        <f>IFNA(VLOOKUP($A690,Spells!$A$2:$I1002,MATCH(G$3,Spells!$A$1:$I$1,0),FALSE))</f>
        <v/>
      </c>
      <c r="H690" s="16" t="str">
        <f>IFNA(VLOOKUP($A690,Spells!$A$2:$I1002,MATCH(H$3,Spells!$A$1:$I$1,0),FALSE))</f>
        <v/>
      </c>
    </row>
    <row r="691">
      <c r="A691" s="16"/>
      <c r="B691" s="16" t="str">
        <f>IFNA(VLOOKUP($A691,Spells!$A$2:$I1002,MATCH(B$3,Spells!$A$1:$I$1,0),FALSE))</f>
        <v/>
      </c>
      <c r="C691" s="16" t="str">
        <f>IFNA(VLOOKUP($A691,Spells!$A$2:$I1002,MATCH(C$3,Spells!$A$1:$I$1,0),FALSE))</f>
        <v/>
      </c>
      <c r="D691" s="16" t="str">
        <f>IFNA(VLOOKUP($A691,Spells!$A$2:$I1002,MATCH(D$3,Spells!$A$1:$I$1,0),FALSE))</f>
        <v/>
      </c>
      <c r="E691" s="16" t="str">
        <f>IFNA(VLOOKUP($A691,Spells!$A$2:$I1002,MATCH(E$3,Spells!$A$1:$I$1,0),FALSE))</f>
        <v/>
      </c>
      <c r="F691" s="16" t="str">
        <f>IFNA(VLOOKUP($A691,Spells!$A$2:$I1002,MATCH(F$3,Spells!$A$1:$I$1,0),FALSE))</f>
        <v/>
      </c>
      <c r="G691" s="16" t="str">
        <f>IFNA(VLOOKUP($A691,Spells!$A$2:$I1002,MATCH(G$3,Spells!$A$1:$I$1,0),FALSE))</f>
        <v/>
      </c>
      <c r="H691" s="16" t="str">
        <f>IFNA(VLOOKUP($A691,Spells!$A$2:$I1002,MATCH(H$3,Spells!$A$1:$I$1,0),FALSE))</f>
        <v/>
      </c>
    </row>
    <row r="692">
      <c r="A692" s="16"/>
      <c r="B692" s="16" t="str">
        <f>IFNA(VLOOKUP($A692,Spells!$A$2:$I1002,MATCH(B$3,Spells!$A$1:$I$1,0),FALSE))</f>
        <v/>
      </c>
      <c r="C692" s="16" t="str">
        <f>IFNA(VLOOKUP($A692,Spells!$A$2:$I1002,MATCH(C$3,Spells!$A$1:$I$1,0),FALSE))</f>
        <v/>
      </c>
      <c r="D692" s="16" t="str">
        <f>IFNA(VLOOKUP($A692,Spells!$A$2:$I1002,MATCH(D$3,Spells!$A$1:$I$1,0),FALSE))</f>
        <v/>
      </c>
      <c r="E692" s="16" t="str">
        <f>IFNA(VLOOKUP($A692,Spells!$A$2:$I1002,MATCH(E$3,Spells!$A$1:$I$1,0),FALSE))</f>
        <v/>
      </c>
      <c r="F692" s="16" t="str">
        <f>IFNA(VLOOKUP($A692,Spells!$A$2:$I1002,MATCH(F$3,Spells!$A$1:$I$1,0),FALSE))</f>
        <v/>
      </c>
      <c r="G692" s="16" t="str">
        <f>IFNA(VLOOKUP($A692,Spells!$A$2:$I1002,MATCH(G$3,Spells!$A$1:$I$1,0),FALSE))</f>
        <v/>
      </c>
      <c r="H692" s="16" t="str">
        <f>IFNA(VLOOKUP($A692,Spells!$A$2:$I1002,MATCH(H$3,Spells!$A$1:$I$1,0),FALSE))</f>
        <v/>
      </c>
    </row>
    <row r="693">
      <c r="A693" s="16"/>
      <c r="B693" s="16" t="str">
        <f>IFNA(VLOOKUP($A693,Spells!$A$2:$I1002,MATCH(B$3,Spells!$A$1:$I$1,0),FALSE))</f>
        <v/>
      </c>
      <c r="C693" s="16" t="str">
        <f>IFNA(VLOOKUP($A693,Spells!$A$2:$I1002,MATCH(C$3,Spells!$A$1:$I$1,0),FALSE))</f>
        <v/>
      </c>
      <c r="D693" s="16" t="str">
        <f>IFNA(VLOOKUP($A693,Spells!$A$2:$I1002,MATCH(D$3,Spells!$A$1:$I$1,0),FALSE))</f>
        <v/>
      </c>
      <c r="E693" s="16" t="str">
        <f>IFNA(VLOOKUP($A693,Spells!$A$2:$I1002,MATCH(E$3,Spells!$A$1:$I$1,0),FALSE))</f>
        <v/>
      </c>
      <c r="F693" s="16" t="str">
        <f>IFNA(VLOOKUP($A693,Spells!$A$2:$I1002,MATCH(F$3,Spells!$A$1:$I$1,0),FALSE))</f>
        <v/>
      </c>
      <c r="G693" s="16" t="str">
        <f>IFNA(VLOOKUP($A693,Spells!$A$2:$I1002,MATCH(G$3,Spells!$A$1:$I$1,0),FALSE))</f>
        <v/>
      </c>
      <c r="H693" s="16" t="str">
        <f>IFNA(VLOOKUP($A693,Spells!$A$2:$I1002,MATCH(H$3,Spells!$A$1:$I$1,0),FALSE))</f>
        <v/>
      </c>
    </row>
    <row r="694">
      <c r="A694" s="16"/>
      <c r="B694" s="16" t="str">
        <f>IFNA(VLOOKUP($A694,Spells!$A$2:$I1002,MATCH(B$3,Spells!$A$1:$I$1,0),FALSE))</f>
        <v/>
      </c>
      <c r="C694" s="16" t="str">
        <f>IFNA(VLOOKUP($A694,Spells!$A$2:$I1002,MATCH(C$3,Spells!$A$1:$I$1,0),FALSE))</f>
        <v/>
      </c>
      <c r="D694" s="16" t="str">
        <f>IFNA(VLOOKUP($A694,Spells!$A$2:$I1002,MATCH(D$3,Spells!$A$1:$I$1,0),FALSE))</f>
        <v/>
      </c>
      <c r="E694" s="16" t="str">
        <f>IFNA(VLOOKUP($A694,Spells!$A$2:$I1002,MATCH(E$3,Spells!$A$1:$I$1,0),FALSE))</f>
        <v/>
      </c>
      <c r="F694" s="16" t="str">
        <f>IFNA(VLOOKUP($A694,Spells!$A$2:$I1002,MATCH(F$3,Spells!$A$1:$I$1,0),FALSE))</f>
        <v/>
      </c>
      <c r="G694" s="16" t="str">
        <f>IFNA(VLOOKUP($A694,Spells!$A$2:$I1002,MATCH(G$3,Spells!$A$1:$I$1,0),FALSE))</f>
        <v/>
      </c>
      <c r="H694" s="16" t="str">
        <f>IFNA(VLOOKUP($A694,Spells!$A$2:$I1002,MATCH(H$3,Spells!$A$1:$I$1,0),FALSE))</f>
        <v/>
      </c>
    </row>
    <row r="695">
      <c r="A695" s="16"/>
      <c r="B695" s="16" t="str">
        <f>IFNA(VLOOKUP($A695,Spells!$A$2:$I1002,MATCH(B$3,Spells!$A$1:$I$1,0),FALSE))</f>
        <v/>
      </c>
      <c r="C695" s="16" t="str">
        <f>IFNA(VLOOKUP($A695,Spells!$A$2:$I1002,MATCH(C$3,Spells!$A$1:$I$1,0),FALSE))</f>
        <v/>
      </c>
      <c r="D695" s="16" t="str">
        <f>IFNA(VLOOKUP($A695,Spells!$A$2:$I1002,MATCH(D$3,Spells!$A$1:$I$1,0),FALSE))</f>
        <v/>
      </c>
      <c r="E695" s="16" t="str">
        <f>IFNA(VLOOKUP($A695,Spells!$A$2:$I1002,MATCH(E$3,Spells!$A$1:$I$1,0),FALSE))</f>
        <v/>
      </c>
      <c r="F695" s="16" t="str">
        <f>IFNA(VLOOKUP($A695,Spells!$A$2:$I1002,MATCH(F$3,Spells!$A$1:$I$1,0),FALSE))</f>
        <v/>
      </c>
      <c r="G695" s="16" t="str">
        <f>IFNA(VLOOKUP($A695,Spells!$A$2:$I1002,MATCH(G$3,Spells!$A$1:$I$1,0),FALSE))</f>
        <v/>
      </c>
      <c r="H695" s="16" t="str">
        <f>IFNA(VLOOKUP($A695,Spells!$A$2:$I1002,MATCH(H$3,Spells!$A$1:$I$1,0),FALSE))</f>
        <v/>
      </c>
    </row>
    <row r="696">
      <c r="A696" s="16"/>
      <c r="B696" s="16" t="str">
        <f>IFNA(VLOOKUP($A696,Spells!$A$2:$I1002,MATCH(B$3,Spells!$A$1:$I$1,0),FALSE))</f>
        <v/>
      </c>
      <c r="C696" s="16" t="str">
        <f>IFNA(VLOOKUP($A696,Spells!$A$2:$I1002,MATCH(C$3,Spells!$A$1:$I$1,0),FALSE))</f>
        <v/>
      </c>
      <c r="D696" s="16" t="str">
        <f>IFNA(VLOOKUP($A696,Spells!$A$2:$I1002,MATCH(D$3,Spells!$A$1:$I$1,0),FALSE))</f>
        <v/>
      </c>
      <c r="E696" s="16" t="str">
        <f>IFNA(VLOOKUP($A696,Spells!$A$2:$I1002,MATCH(E$3,Spells!$A$1:$I$1,0),FALSE))</f>
        <v/>
      </c>
      <c r="F696" s="16" t="str">
        <f>IFNA(VLOOKUP($A696,Spells!$A$2:$I1002,MATCH(F$3,Spells!$A$1:$I$1,0),FALSE))</f>
        <v/>
      </c>
      <c r="G696" s="16" t="str">
        <f>IFNA(VLOOKUP($A696,Spells!$A$2:$I1002,MATCH(G$3,Spells!$A$1:$I$1,0),FALSE))</f>
        <v/>
      </c>
      <c r="H696" s="16" t="str">
        <f>IFNA(VLOOKUP($A696,Spells!$A$2:$I1002,MATCH(H$3,Spells!$A$1:$I$1,0),FALSE))</f>
        <v/>
      </c>
    </row>
    <row r="697">
      <c r="A697" s="16"/>
      <c r="B697" s="16" t="str">
        <f>IFNA(VLOOKUP($A697,Spells!$A$2:$I1002,MATCH(B$3,Spells!$A$1:$I$1,0),FALSE))</f>
        <v/>
      </c>
      <c r="C697" s="16" t="str">
        <f>IFNA(VLOOKUP($A697,Spells!$A$2:$I1002,MATCH(C$3,Spells!$A$1:$I$1,0),FALSE))</f>
        <v/>
      </c>
      <c r="D697" s="16" t="str">
        <f>IFNA(VLOOKUP($A697,Spells!$A$2:$I1002,MATCH(D$3,Spells!$A$1:$I$1,0),FALSE))</f>
        <v/>
      </c>
      <c r="E697" s="16" t="str">
        <f>IFNA(VLOOKUP($A697,Spells!$A$2:$I1002,MATCH(E$3,Spells!$A$1:$I$1,0),FALSE))</f>
        <v/>
      </c>
      <c r="F697" s="16" t="str">
        <f>IFNA(VLOOKUP($A697,Spells!$A$2:$I1002,MATCH(F$3,Spells!$A$1:$I$1,0),FALSE))</f>
        <v/>
      </c>
      <c r="G697" s="16" t="str">
        <f>IFNA(VLOOKUP($A697,Spells!$A$2:$I1002,MATCH(G$3,Spells!$A$1:$I$1,0),FALSE))</f>
        <v/>
      </c>
      <c r="H697" s="16" t="str">
        <f>IFNA(VLOOKUP($A697,Spells!$A$2:$I1002,MATCH(H$3,Spells!$A$1:$I$1,0),FALSE))</f>
        <v/>
      </c>
    </row>
    <row r="698">
      <c r="A698" s="16"/>
      <c r="B698" s="16" t="str">
        <f>IFNA(VLOOKUP($A698,Spells!$A$2:$I1002,MATCH(B$3,Spells!$A$1:$I$1,0),FALSE))</f>
        <v/>
      </c>
      <c r="C698" s="16" t="str">
        <f>IFNA(VLOOKUP($A698,Spells!$A$2:$I1002,MATCH(C$3,Spells!$A$1:$I$1,0),FALSE))</f>
        <v/>
      </c>
      <c r="D698" s="16" t="str">
        <f>IFNA(VLOOKUP($A698,Spells!$A$2:$I1002,MATCH(D$3,Spells!$A$1:$I$1,0),FALSE))</f>
        <v/>
      </c>
      <c r="E698" s="16" t="str">
        <f>IFNA(VLOOKUP($A698,Spells!$A$2:$I1002,MATCH(E$3,Spells!$A$1:$I$1,0),FALSE))</f>
        <v/>
      </c>
      <c r="F698" s="16" t="str">
        <f>IFNA(VLOOKUP($A698,Spells!$A$2:$I1002,MATCH(F$3,Spells!$A$1:$I$1,0),FALSE))</f>
        <v/>
      </c>
      <c r="G698" s="16" t="str">
        <f>IFNA(VLOOKUP($A698,Spells!$A$2:$I1002,MATCH(G$3,Spells!$A$1:$I$1,0),FALSE))</f>
        <v/>
      </c>
      <c r="H698" s="16" t="str">
        <f>IFNA(VLOOKUP($A698,Spells!$A$2:$I1002,MATCH(H$3,Spells!$A$1:$I$1,0),FALSE))</f>
        <v/>
      </c>
    </row>
    <row r="699">
      <c r="A699" s="16"/>
      <c r="B699" s="16" t="str">
        <f>IFNA(VLOOKUP($A699,Spells!$A$2:$I1002,MATCH(B$3,Spells!$A$1:$I$1,0),FALSE))</f>
        <v/>
      </c>
      <c r="C699" s="16" t="str">
        <f>IFNA(VLOOKUP($A699,Spells!$A$2:$I1002,MATCH(C$3,Spells!$A$1:$I$1,0),FALSE))</f>
        <v/>
      </c>
      <c r="D699" s="16" t="str">
        <f>IFNA(VLOOKUP($A699,Spells!$A$2:$I1002,MATCH(D$3,Spells!$A$1:$I$1,0),FALSE))</f>
        <v/>
      </c>
      <c r="E699" s="16" t="str">
        <f>IFNA(VLOOKUP($A699,Spells!$A$2:$I1002,MATCH(E$3,Spells!$A$1:$I$1,0),FALSE))</f>
        <v/>
      </c>
      <c r="F699" s="16" t="str">
        <f>IFNA(VLOOKUP($A699,Spells!$A$2:$I1002,MATCH(F$3,Spells!$A$1:$I$1,0),FALSE))</f>
        <v/>
      </c>
      <c r="G699" s="16" t="str">
        <f>IFNA(VLOOKUP($A699,Spells!$A$2:$I1002,MATCH(G$3,Spells!$A$1:$I$1,0),FALSE))</f>
        <v/>
      </c>
      <c r="H699" s="16" t="str">
        <f>IFNA(VLOOKUP($A699,Spells!$A$2:$I1002,MATCH(H$3,Spells!$A$1:$I$1,0),FALSE))</f>
        <v/>
      </c>
    </row>
    <row r="700">
      <c r="A700" s="16"/>
      <c r="B700" s="16" t="str">
        <f>IFNA(VLOOKUP($A700,Spells!$A$2:$I1002,MATCH(B$3,Spells!$A$1:$I$1,0),FALSE))</f>
        <v/>
      </c>
      <c r="C700" s="16" t="str">
        <f>IFNA(VLOOKUP($A700,Spells!$A$2:$I1002,MATCH(C$3,Spells!$A$1:$I$1,0),FALSE))</f>
        <v/>
      </c>
      <c r="D700" s="16" t="str">
        <f>IFNA(VLOOKUP($A700,Spells!$A$2:$I1002,MATCH(D$3,Spells!$A$1:$I$1,0),FALSE))</f>
        <v/>
      </c>
      <c r="E700" s="16" t="str">
        <f>IFNA(VLOOKUP($A700,Spells!$A$2:$I1002,MATCH(E$3,Spells!$A$1:$I$1,0),FALSE))</f>
        <v/>
      </c>
      <c r="F700" s="16" t="str">
        <f>IFNA(VLOOKUP($A700,Spells!$A$2:$I1002,MATCH(F$3,Spells!$A$1:$I$1,0),FALSE))</f>
        <v/>
      </c>
      <c r="G700" s="16" t="str">
        <f>IFNA(VLOOKUP($A700,Spells!$A$2:$I1002,MATCH(G$3,Spells!$A$1:$I$1,0),FALSE))</f>
        <v/>
      </c>
      <c r="H700" s="16" t="str">
        <f>IFNA(VLOOKUP($A700,Spells!$A$2:$I1002,MATCH(H$3,Spells!$A$1:$I$1,0),FALSE))</f>
        <v/>
      </c>
    </row>
    <row r="701">
      <c r="A701" s="16"/>
      <c r="B701" s="16" t="str">
        <f>IFNA(VLOOKUP($A701,Spells!$A$2:$I1002,MATCH(B$3,Spells!$A$1:$I$1,0),FALSE))</f>
        <v/>
      </c>
      <c r="C701" s="16" t="str">
        <f>IFNA(VLOOKUP($A701,Spells!$A$2:$I1002,MATCH(C$3,Spells!$A$1:$I$1,0),FALSE))</f>
        <v/>
      </c>
      <c r="D701" s="16" t="str">
        <f>IFNA(VLOOKUP($A701,Spells!$A$2:$I1002,MATCH(D$3,Spells!$A$1:$I$1,0),FALSE))</f>
        <v/>
      </c>
      <c r="E701" s="16" t="str">
        <f>IFNA(VLOOKUP($A701,Spells!$A$2:$I1002,MATCH(E$3,Spells!$A$1:$I$1,0),FALSE))</f>
        <v/>
      </c>
      <c r="F701" s="16" t="str">
        <f>IFNA(VLOOKUP($A701,Spells!$A$2:$I1002,MATCH(F$3,Spells!$A$1:$I$1,0),FALSE))</f>
        <v/>
      </c>
      <c r="G701" s="16" t="str">
        <f>IFNA(VLOOKUP($A701,Spells!$A$2:$I1002,MATCH(G$3,Spells!$A$1:$I$1,0),FALSE))</f>
        <v/>
      </c>
      <c r="H701" s="16" t="str">
        <f>IFNA(VLOOKUP($A701,Spells!$A$2:$I1002,MATCH(H$3,Spells!$A$1:$I$1,0),FALSE))</f>
        <v/>
      </c>
    </row>
    <row r="702">
      <c r="A702" s="16"/>
      <c r="B702" s="16" t="str">
        <f>IFNA(VLOOKUP($A702,Spells!$A$2:$I1002,MATCH(B$3,Spells!$A$1:$I$1,0),FALSE))</f>
        <v/>
      </c>
      <c r="C702" s="16" t="str">
        <f>IFNA(VLOOKUP($A702,Spells!$A$2:$I1002,MATCH(C$3,Spells!$A$1:$I$1,0),FALSE))</f>
        <v/>
      </c>
      <c r="D702" s="16" t="str">
        <f>IFNA(VLOOKUP($A702,Spells!$A$2:$I1002,MATCH(D$3,Spells!$A$1:$I$1,0),FALSE))</f>
        <v/>
      </c>
      <c r="E702" s="16" t="str">
        <f>IFNA(VLOOKUP($A702,Spells!$A$2:$I1002,MATCH(E$3,Spells!$A$1:$I$1,0),FALSE))</f>
        <v/>
      </c>
      <c r="F702" s="16" t="str">
        <f>IFNA(VLOOKUP($A702,Spells!$A$2:$I1002,MATCH(F$3,Spells!$A$1:$I$1,0),FALSE))</f>
        <v/>
      </c>
      <c r="G702" s="16" t="str">
        <f>IFNA(VLOOKUP($A702,Spells!$A$2:$I1002,MATCH(G$3,Spells!$A$1:$I$1,0),FALSE))</f>
        <v/>
      </c>
      <c r="H702" s="16" t="str">
        <f>IFNA(VLOOKUP($A702,Spells!$A$2:$I1002,MATCH(H$3,Spells!$A$1:$I$1,0),FALSE))</f>
        <v/>
      </c>
    </row>
    <row r="703">
      <c r="A703" s="16"/>
      <c r="B703" s="16" t="str">
        <f>IFNA(VLOOKUP($A703,Spells!$A$2:$I1002,MATCH(B$3,Spells!$A$1:$I$1,0),FALSE))</f>
        <v/>
      </c>
      <c r="C703" s="16" t="str">
        <f>IFNA(VLOOKUP($A703,Spells!$A$2:$I1002,MATCH(C$3,Spells!$A$1:$I$1,0),FALSE))</f>
        <v/>
      </c>
      <c r="D703" s="16" t="str">
        <f>IFNA(VLOOKUP($A703,Spells!$A$2:$I1002,MATCH(D$3,Spells!$A$1:$I$1,0),FALSE))</f>
        <v/>
      </c>
      <c r="E703" s="16" t="str">
        <f>IFNA(VLOOKUP($A703,Spells!$A$2:$I1002,MATCH(E$3,Spells!$A$1:$I$1,0),FALSE))</f>
        <v/>
      </c>
      <c r="F703" s="16" t="str">
        <f>IFNA(VLOOKUP($A703,Spells!$A$2:$I1002,MATCH(F$3,Spells!$A$1:$I$1,0),FALSE))</f>
        <v/>
      </c>
      <c r="G703" s="16" t="str">
        <f>IFNA(VLOOKUP($A703,Spells!$A$2:$I1002,MATCH(G$3,Spells!$A$1:$I$1,0),FALSE))</f>
        <v/>
      </c>
      <c r="H703" s="16" t="str">
        <f>IFNA(VLOOKUP($A703,Spells!$A$2:$I1002,MATCH(H$3,Spells!$A$1:$I$1,0),FALSE))</f>
        <v/>
      </c>
    </row>
    <row r="704">
      <c r="A704" s="16"/>
      <c r="B704" s="16" t="str">
        <f>IFNA(VLOOKUP($A704,Spells!$A$2:$I1002,MATCH(B$3,Spells!$A$1:$I$1,0),FALSE))</f>
        <v/>
      </c>
      <c r="C704" s="16" t="str">
        <f>IFNA(VLOOKUP($A704,Spells!$A$2:$I1002,MATCH(C$3,Spells!$A$1:$I$1,0),FALSE))</f>
        <v/>
      </c>
      <c r="D704" s="16" t="str">
        <f>IFNA(VLOOKUP($A704,Spells!$A$2:$I1002,MATCH(D$3,Spells!$A$1:$I$1,0),FALSE))</f>
        <v/>
      </c>
      <c r="E704" s="16" t="str">
        <f>IFNA(VLOOKUP($A704,Spells!$A$2:$I1002,MATCH(E$3,Spells!$A$1:$I$1,0),FALSE))</f>
        <v/>
      </c>
      <c r="F704" s="16" t="str">
        <f>IFNA(VLOOKUP($A704,Spells!$A$2:$I1002,MATCH(F$3,Spells!$A$1:$I$1,0),FALSE))</f>
        <v/>
      </c>
      <c r="G704" s="16" t="str">
        <f>IFNA(VLOOKUP($A704,Spells!$A$2:$I1002,MATCH(G$3,Spells!$A$1:$I$1,0),FALSE))</f>
        <v/>
      </c>
      <c r="H704" s="16" t="str">
        <f>IFNA(VLOOKUP($A704,Spells!$A$2:$I1002,MATCH(H$3,Spells!$A$1:$I$1,0),FALSE))</f>
        <v/>
      </c>
    </row>
    <row r="705">
      <c r="A705" s="16"/>
      <c r="B705" s="16" t="str">
        <f>IFNA(VLOOKUP($A705,Spells!$A$2:$I1002,MATCH(B$3,Spells!$A$1:$I$1,0),FALSE))</f>
        <v/>
      </c>
      <c r="C705" s="16" t="str">
        <f>IFNA(VLOOKUP($A705,Spells!$A$2:$I1002,MATCH(C$3,Spells!$A$1:$I$1,0),FALSE))</f>
        <v/>
      </c>
      <c r="D705" s="16" t="str">
        <f>IFNA(VLOOKUP($A705,Spells!$A$2:$I1002,MATCH(D$3,Spells!$A$1:$I$1,0),FALSE))</f>
        <v/>
      </c>
      <c r="E705" s="16" t="str">
        <f>IFNA(VLOOKUP($A705,Spells!$A$2:$I1002,MATCH(E$3,Spells!$A$1:$I$1,0),FALSE))</f>
        <v/>
      </c>
      <c r="F705" s="16" t="str">
        <f>IFNA(VLOOKUP($A705,Spells!$A$2:$I1002,MATCH(F$3,Spells!$A$1:$I$1,0),FALSE))</f>
        <v/>
      </c>
      <c r="G705" s="16" t="str">
        <f>IFNA(VLOOKUP($A705,Spells!$A$2:$I1002,MATCH(G$3,Spells!$A$1:$I$1,0),FALSE))</f>
        <v/>
      </c>
      <c r="H705" s="16" t="str">
        <f>IFNA(VLOOKUP($A705,Spells!$A$2:$I1002,MATCH(H$3,Spells!$A$1:$I$1,0),FALSE))</f>
        <v/>
      </c>
    </row>
    <row r="706">
      <c r="A706" s="16"/>
      <c r="B706" s="16" t="str">
        <f>IFNA(VLOOKUP($A706,Spells!$A$2:$I1002,MATCH(B$3,Spells!$A$1:$I$1,0),FALSE))</f>
        <v/>
      </c>
      <c r="C706" s="16" t="str">
        <f>IFNA(VLOOKUP($A706,Spells!$A$2:$I1002,MATCH(C$3,Spells!$A$1:$I$1,0),FALSE))</f>
        <v/>
      </c>
      <c r="D706" s="16" t="str">
        <f>IFNA(VLOOKUP($A706,Spells!$A$2:$I1002,MATCH(D$3,Spells!$A$1:$I$1,0),FALSE))</f>
        <v/>
      </c>
      <c r="E706" s="16" t="str">
        <f>IFNA(VLOOKUP($A706,Spells!$A$2:$I1002,MATCH(E$3,Spells!$A$1:$I$1,0),FALSE))</f>
        <v/>
      </c>
      <c r="F706" s="16" t="str">
        <f>IFNA(VLOOKUP($A706,Spells!$A$2:$I1002,MATCH(F$3,Spells!$A$1:$I$1,0),FALSE))</f>
        <v/>
      </c>
      <c r="G706" s="16" t="str">
        <f>IFNA(VLOOKUP($A706,Spells!$A$2:$I1002,MATCH(G$3,Spells!$A$1:$I$1,0),FALSE))</f>
        <v/>
      </c>
      <c r="H706" s="16" t="str">
        <f>IFNA(VLOOKUP($A706,Spells!$A$2:$I1002,MATCH(H$3,Spells!$A$1:$I$1,0),FALSE))</f>
        <v/>
      </c>
    </row>
    <row r="707">
      <c r="A707" s="16"/>
      <c r="B707" s="16" t="str">
        <f>IFNA(VLOOKUP($A707,Spells!$A$2:$I1002,MATCH(B$3,Spells!$A$1:$I$1,0),FALSE))</f>
        <v/>
      </c>
      <c r="C707" s="16" t="str">
        <f>IFNA(VLOOKUP($A707,Spells!$A$2:$I1002,MATCH(C$3,Spells!$A$1:$I$1,0),FALSE))</f>
        <v/>
      </c>
      <c r="D707" s="16" t="str">
        <f>IFNA(VLOOKUP($A707,Spells!$A$2:$I1002,MATCH(D$3,Spells!$A$1:$I$1,0),FALSE))</f>
        <v/>
      </c>
      <c r="E707" s="16" t="str">
        <f>IFNA(VLOOKUP($A707,Spells!$A$2:$I1002,MATCH(E$3,Spells!$A$1:$I$1,0),FALSE))</f>
        <v/>
      </c>
      <c r="F707" s="16" t="str">
        <f>IFNA(VLOOKUP($A707,Spells!$A$2:$I1002,MATCH(F$3,Spells!$A$1:$I$1,0),FALSE))</f>
        <v/>
      </c>
      <c r="G707" s="16" t="str">
        <f>IFNA(VLOOKUP($A707,Spells!$A$2:$I1002,MATCH(G$3,Spells!$A$1:$I$1,0),FALSE))</f>
        <v/>
      </c>
      <c r="H707" s="16" t="str">
        <f>IFNA(VLOOKUP($A707,Spells!$A$2:$I1002,MATCH(H$3,Spells!$A$1:$I$1,0),FALSE))</f>
        <v/>
      </c>
    </row>
    <row r="708">
      <c r="A708" s="16"/>
      <c r="B708" s="16" t="str">
        <f>IFNA(VLOOKUP($A708,Spells!$A$2:$I1002,MATCH(B$3,Spells!$A$1:$I$1,0),FALSE))</f>
        <v/>
      </c>
      <c r="C708" s="16" t="str">
        <f>IFNA(VLOOKUP($A708,Spells!$A$2:$I1002,MATCH(C$3,Spells!$A$1:$I$1,0),FALSE))</f>
        <v/>
      </c>
      <c r="D708" s="16" t="str">
        <f>IFNA(VLOOKUP($A708,Spells!$A$2:$I1002,MATCH(D$3,Spells!$A$1:$I$1,0),FALSE))</f>
        <v/>
      </c>
      <c r="E708" s="16" t="str">
        <f>IFNA(VLOOKUP($A708,Spells!$A$2:$I1002,MATCH(E$3,Spells!$A$1:$I$1,0),FALSE))</f>
        <v/>
      </c>
      <c r="F708" s="16" t="str">
        <f>IFNA(VLOOKUP($A708,Spells!$A$2:$I1002,MATCH(F$3,Spells!$A$1:$I$1,0),FALSE))</f>
        <v/>
      </c>
      <c r="G708" s="16" t="str">
        <f>IFNA(VLOOKUP($A708,Spells!$A$2:$I1002,MATCH(G$3,Spells!$A$1:$I$1,0),FALSE))</f>
        <v/>
      </c>
      <c r="H708" s="16" t="str">
        <f>IFNA(VLOOKUP($A708,Spells!$A$2:$I1002,MATCH(H$3,Spells!$A$1:$I$1,0),FALSE))</f>
        <v/>
      </c>
    </row>
    <row r="709">
      <c r="A709" s="16"/>
      <c r="B709" s="16" t="str">
        <f>IFNA(VLOOKUP($A709,Spells!$A$2:$I1002,MATCH(B$3,Spells!$A$1:$I$1,0),FALSE))</f>
        <v/>
      </c>
      <c r="C709" s="16" t="str">
        <f>IFNA(VLOOKUP($A709,Spells!$A$2:$I1002,MATCH(C$3,Spells!$A$1:$I$1,0),FALSE))</f>
        <v/>
      </c>
      <c r="D709" s="16" t="str">
        <f>IFNA(VLOOKUP($A709,Spells!$A$2:$I1002,MATCH(D$3,Spells!$A$1:$I$1,0),FALSE))</f>
        <v/>
      </c>
      <c r="E709" s="16" t="str">
        <f>IFNA(VLOOKUP($A709,Spells!$A$2:$I1002,MATCH(E$3,Spells!$A$1:$I$1,0),FALSE))</f>
        <v/>
      </c>
      <c r="F709" s="16" t="str">
        <f>IFNA(VLOOKUP($A709,Spells!$A$2:$I1002,MATCH(F$3,Spells!$A$1:$I$1,0),FALSE))</f>
        <v/>
      </c>
      <c r="G709" s="16" t="str">
        <f>IFNA(VLOOKUP($A709,Spells!$A$2:$I1002,MATCH(G$3,Spells!$A$1:$I$1,0),FALSE))</f>
        <v/>
      </c>
      <c r="H709" s="16" t="str">
        <f>IFNA(VLOOKUP($A709,Spells!$A$2:$I1002,MATCH(H$3,Spells!$A$1:$I$1,0),FALSE))</f>
        <v/>
      </c>
    </row>
    <row r="710">
      <c r="A710" s="16"/>
      <c r="B710" s="16" t="str">
        <f>IFNA(VLOOKUP($A710,Spells!$A$2:$I1002,MATCH(B$3,Spells!$A$1:$I$1,0),FALSE))</f>
        <v/>
      </c>
      <c r="C710" s="16" t="str">
        <f>IFNA(VLOOKUP($A710,Spells!$A$2:$I1002,MATCH(C$3,Spells!$A$1:$I$1,0),FALSE))</f>
        <v/>
      </c>
      <c r="D710" s="16" t="str">
        <f>IFNA(VLOOKUP($A710,Spells!$A$2:$I1002,MATCH(D$3,Spells!$A$1:$I$1,0),FALSE))</f>
        <v/>
      </c>
      <c r="E710" s="16" t="str">
        <f>IFNA(VLOOKUP($A710,Spells!$A$2:$I1002,MATCH(E$3,Spells!$A$1:$I$1,0),FALSE))</f>
        <v/>
      </c>
      <c r="F710" s="16" t="str">
        <f>IFNA(VLOOKUP($A710,Spells!$A$2:$I1002,MATCH(F$3,Spells!$A$1:$I$1,0),FALSE))</f>
        <v/>
      </c>
      <c r="G710" s="16" t="str">
        <f>IFNA(VLOOKUP($A710,Spells!$A$2:$I1002,MATCH(G$3,Spells!$A$1:$I$1,0),FALSE))</f>
        <v/>
      </c>
      <c r="H710" s="16" t="str">
        <f>IFNA(VLOOKUP($A710,Spells!$A$2:$I1002,MATCH(H$3,Spells!$A$1:$I$1,0),FALSE))</f>
        <v/>
      </c>
    </row>
    <row r="711">
      <c r="A711" s="16"/>
      <c r="B711" s="16" t="str">
        <f>IFNA(VLOOKUP($A711,Spells!$A$2:$I1002,MATCH(B$3,Spells!$A$1:$I$1,0),FALSE))</f>
        <v/>
      </c>
      <c r="C711" s="16" t="str">
        <f>IFNA(VLOOKUP($A711,Spells!$A$2:$I1002,MATCH(C$3,Spells!$A$1:$I$1,0),FALSE))</f>
        <v/>
      </c>
      <c r="D711" s="16" t="str">
        <f>IFNA(VLOOKUP($A711,Spells!$A$2:$I1002,MATCH(D$3,Spells!$A$1:$I$1,0),FALSE))</f>
        <v/>
      </c>
      <c r="E711" s="16" t="str">
        <f>IFNA(VLOOKUP($A711,Spells!$A$2:$I1002,MATCH(E$3,Spells!$A$1:$I$1,0),FALSE))</f>
        <v/>
      </c>
      <c r="F711" s="16" t="str">
        <f>IFNA(VLOOKUP($A711,Spells!$A$2:$I1002,MATCH(F$3,Spells!$A$1:$I$1,0),FALSE))</f>
        <v/>
      </c>
      <c r="G711" s="16" t="str">
        <f>IFNA(VLOOKUP($A711,Spells!$A$2:$I1002,MATCH(G$3,Spells!$A$1:$I$1,0),FALSE))</f>
        <v/>
      </c>
      <c r="H711" s="16" t="str">
        <f>IFNA(VLOOKUP($A711,Spells!$A$2:$I1002,MATCH(H$3,Spells!$A$1:$I$1,0),FALSE))</f>
        <v/>
      </c>
    </row>
    <row r="712">
      <c r="A712" s="16"/>
      <c r="B712" s="16" t="str">
        <f>IFNA(VLOOKUP($A712,Spells!$A$2:$I1002,MATCH(B$3,Spells!$A$1:$I$1,0),FALSE))</f>
        <v/>
      </c>
      <c r="C712" s="16" t="str">
        <f>IFNA(VLOOKUP($A712,Spells!$A$2:$I1002,MATCH(C$3,Spells!$A$1:$I$1,0),FALSE))</f>
        <v/>
      </c>
      <c r="D712" s="16" t="str">
        <f>IFNA(VLOOKUP($A712,Spells!$A$2:$I1002,MATCH(D$3,Spells!$A$1:$I$1,0),FALSE))</f>
        <v/>
      </c>
      <c r="E712" s="16" t="str">
        <f>IFNA(VLOOKUP($A712,Spells!$A$2:$I1002,MATCH(E$3,Spells!$A$1:$I$1,0),FALSE))</f>
        <v/>
      </c>
      <c r="F712" s="16" t="str">
        <f>IFNA(VLOOKUP($A712,Spells!$A$2:$I1002,MATCH(F$3,Spells!$A$1:$I$1,0),FALSE))</f>
        <v/>
      </c>
      <c r="G712" s="16" t="str">
        <f>IFNA(VLOOKUP($A712,Spells!$A$2:$I1002,MATCH(G$3,Spells!$A$1:$I$1,0),FALSE))</f>
        <v/>
      </c>
      <c r="H712" s="16" t="str">
        <f>IFNA(VLOOKUP($A712,Spells!$A$2:$I1002,MATCH(H$3,Spells!$A$1:$I$1,0),FALSE))</f>
        <v/>
      </c>
    </row>
    <row r="713">
      <c r="A713" s="16"/>
      <c r="B713" s="16" t="str">
        <f>IFNA(VLOOKUP($A713,Spells!$A$2:$I1002,MATCH(B$3,Spells!$A$1:$I$1,0),FALSE))</f>
        <v/>
      </c>
      <c r="C713" s="16" t="str">
        <f>IFNA(VLOOKUP($A713,Spells!$A$2:$I1002,MATCH(C$3,Spells!$A$1:$I$1,0),FALSE))</f>
        <v/>
      </c>
      <c r="D713" s="16" t="str">
        <f>IFNA(VLOOKUP($A713,Spells!$A$2:$I1002,MATCH(D$3,Spells!$A$1:$I$1,0),FALSE))</f>
        <v/>
      </c>
      <c r="E713" s="16" t="str">
        <f>IFNA(VLOOKUP($A713,Spells!$A$2:$I1002,MATCH(E$3,Spells!$A$1:$I$1,0),FALSE))</f>
        <v/>
      </c>
      <c r="F713" s="16" t="str">
        <f>IFNA(VLOOKUP($A713,Spells!$A$2:$I1002,MATCH(F$3,Spells!$A$1:$I$1,0),FALSE))</f>
        <v/>
      </c>
      <c r="G713" s="16" t="str">
        <f>IFNA(VLOOKUP($A713,Spells!$A$2:$I1002,MATCH(G$3,Spells!$A$1:$I$1,0),FALSE))</f>
        <v/>
      </c>
      <c r="H713" s="16" t="str">
        <f>IFNA(VLOOKUP($A713,Spells!$A$2:$I1002,MATCH(H$3,Spells!$A$1:$I$1,0),FALSE))</f>
        <v/>
      </c>
    </row>
    <row r="714">
      <c r="A714" s="16"/>
      <c r="B714" s="16" t="str">
        <f>IFNA(VLOOKUP($A714,Spells!$A$2:$I1002,MATCH(B$3,Spells!$A$1:$I$1,0),FALSE))</f>
        <v/>
      </c>
      <c r="C714" s="16" t="str">
        <f>IFNA(VLOOKUP($A714,Spells!$A$2:$I1002,MATCH(C$3,Spells!$A$1:$I$1,0),FALSE))</f>
        <v/>
      </c>
      <c r="D714" s="16" t="str">
        <f>IFNA(VLOOKUP($A714,Spells!$A$2:$I1002,MATCH(D$3,Spells!$A$1:$I$1,0),FALSE))</f>
        <v/>
      </c>
      <c r="E714" s="16" t="str">
        <f>IFNA(VLOOKUP($A714,Spells!$A$2:$I1002,MATCH(E$3,Spells!$A$1:$I$1,0),FALSE))</f>
        <v/>
      </c>
      <c r="F714" s="16" t="str">
        <f>IFNA(VLOOKUP($A714,Spells!$A$2:$I1002,MATCH(F$3,Spells!$A$1:$I$1,0),FALSE))</f>
        <v/>
      </c>
      <c r="G714" s="16" t="str">
        <f>IFNA(VLOOKUP($A714,Spells!$A$2:$I1002,MATCH(G$3,Spells!$A$1:$I$1,0),FALSE))</f>
        <v/>
      </c>
      <c r="H714" s="16" t="str">
        <f>IFNA(VLOOKUP($A714,Spells!$A$2:$I1002,MATCH(H$3,Spells!$A$1:$I$1,0),FALSE))</f>
        <v/>
      </c>
    </row>
    <row r="715">
      <c r="A715" s="16"/>
      <c r="B715" s="16" t="str">
        <f>IFNA(VLOOKUP($A715,Spells!$A$2:$I1002,MATCH(B$3,Spells!$A$1:$I$1,0),FALSE))</f>
        <v/>
      </c>
      <c r="C715" s="16" t="str">
        <f>IFNA(VLOOKUP($A715,Spells!$A$2:$I1002,MATCH(C$3,Spells!$A$1:$I$1,0),FALSE))</f>
        <v/>
      </c>
      <c r="D715" s="16" t="str">
        <f>IFNA(VLOOKUP($A715,Spells!$A$2:$I1002,MATCH(D$3,Spells!$A$1:$I$1,0),FALSE))</f>
        <v/>
      </c>
      <c r="E715" s="16" t="str">
        <f>IFNA(VLOOKUP($A715,Spells!$A$2:$I1002,MATCH(E$3,Spells!$A$1:$I$1,0),FALSE))</f>
        <v/>
      </c>
      <c r="F715" s="16" t="str">
        <f>IFNA(VLOOKUP($A715,Spells!$A$2:$I1002,MATCH(F$3,Spells!$A$1:$I$1,0),FALSE))</f>
        <v/>
      </c>
      <c r="G715" s="16" t="str">
        <f>IFNA(VLOOKUP($A715,Spells!$A$2:$I1002,MATCH(G$3,Spells!$A$1:$I$1,0),FALSE))</f>
        <v/>
      </c>
      <c r="H715" s="16" t="str">
        <f>IFNA(VLOOKUP($A715,Spells!$A$2:$I1002,MATCH(H$3,Spells!$A$1:$I$1,0),FALSE))</f>
        <v/>
      </c>
    </row>
    <row r="716">
      <c r="A716" s="16"/>
      <c r="B716" s="16" t="str">
        <f>IFNA(VLOOKUP($A716,Spells!$A$2:$I1002,MATCH(B$3,Spells!$A$1:$I$1,0),FALSE))</f>
        <v/>
      </c>
      <c r="C716" s="16" t="str">
        <f>IFNA(VLOOKUP($A716,Spells!$A$2:$I1002,MATCH(C$3,Spells!$A$1:$I$1,0),FALSE))</f>
        <v/>
      </c>
      <c r="D716" s="16" t="str">
        <f>IFNA(VLOOKUP($A716,Spells!$A$2:$I1002,MATCH(D$3,Spells!$A$1:$I$1,0),FALSE))</f>
        <v/>
      </c>
      <c r="E716" s="16" t="str">
        <f>IFNA(VLOOKUP($A716,Spells!$A$2:$I1002,MATCH(E$3,Spells!$A$1:$I$1,0),FALSE))</f>
        <v/>
      </c>
      <c r="F716" s="16" t="str">
        <f>IFNA(VLOOKUP($A716,Spells!$A$2:$I1002,MATCH(F$3,Spells!$A$1:$I$1,0),FALSE))</f>
        <v/>
      </c>
      <c r="G716" s="16" t="str">
        <f>IFNA(VLOOKUP($A716,Spells!$A$2:$I1002,MATCH(G$3,Spells!$A$1:$I$1,0),FALSE))</f>
        <v/>
      </c>
      <c r="H716" s="16" t="str">
        <f>IFNA(VLOOKUP($A716,Spells!$A$2:$I1002,MATCH(H$3,Spells!$A$1:$I$1,0),FALSE))</f>
        <v/>
      </c>
    </row>
    <row r="717">
      <c r="A717" s="16"/>
      <c r="B717" s="16" t="str">
        <f>IFNA(VLOOKUP($A717,Spells!$A$2:$I1002,MATCH(B$3,Spells!$A$1:$I$1,0),FALSE))</f>
        <v/>
      </c>
      <c r="C717" s="16" t="str">
        <f>IFNA(VLOOKUP($A717,Spells!$A$2:$I1002,MATCH(C$3,Spells!$A$1:$I$1,0),FALSE))</f>
        <v/>
      </c>
      <c r="D717" s="16" t="str">
        <f>IFNA(VLOOKUP($A717,Spells!$A$2:$I1002,MATCH(D$3,Spells!$A$1:$I$1,0),FALSE))</f>
        <v/>
      </c>
      <c r="E717" s="16" t="str">
        <f>IFNA(VLOOKUP($A717,Spells!$A$2:$I1002,MATCH(E$3,Spells!$A$1:$I$1,0),FALSE))</f>
        <v/>
      </c>
      <c r="F717" s="16" t="str">
        <f>IFNA(VLOOKUP($A717,Spells!$A$2:$I1002,MATCH(F$3,Spells!$A$1:$I$1,0),FALSE))</f>
        <v/>
      </c>
      <c r="G717" s="16" t="str">
        <f>IFNA(VLOOKUP($A717,Spells!$A$2:$I1002,MATCH(G$3,Spells!$A$1:$I$1,0),FALSE))</f>
        <v/>
      </c>
      <c r="H717" s="16" t="str">
        <f>IFNA(VLOOKUP($A717,Spells!$A$2:$I1002,MATCH(H$3,Spells!$A$1:$I$1,0),FALSE))</f>
        <v/>
      </c>
    </row>
    <row r="718">
      <c r="A718" s="16"/>
      <c r="B718" s="16" t="str">
        <f>IFNA(VLOOKUP($A718,Spells!$A$2:$I1002,MATCH(B$3,Spells!$A$1:$I$1,0),FALSE))</f>
        <v/>
      </c>
      <c r="C718" s="16" t="str">
        <f>IFNA(VLOOKUP($A718,Spells!$A$2:$I1002,MATCH(C$3,Spells!$A$1:$I$1,0),FALSE))</f>
        <v/>
      </c>
      <c r="D718" s="16" t="str">
        <f>IFNA(VLOOKUP($A718,Spells!$A$2:$I1002,MATCH(D$3,Spells!$A$1:$I$1,0),FALSE))</f>
        <v/>
      </c>
      <c r="E718" s="16" t="str">
        <f>IFNA(VLOOKUP($A718,Spells!$A$2:$I1002,MATCH(E$3,Spells!$A$1:$I$1,0),FALSE))</f>
        <v/>
      </c>
      <c r="F718" s="16" t="str">
        <f>IFNA(VLOOKUP($A718,Spells!$A$2:$I1002,MATCH(F$3,Spells!$A$1:$I$1,0),FALSE))</f>
        <v/>
      </c>
      <c r="G718" s="16" t="str">
        <f>IFNA(VLOOKUP($A718,Spells!$A$2:$I1002,MATCH(G$3,Spells!$A$1:$I$1,0),FALSE))</f>
        <v/>
      </c>
      <c r="H718" s="16" t="str">
        <f>IFNA(VLOOKUP($A718,Spells!$A$2:$I1002,MATCH(H$3,Spells!$A$1:$I$1,0),FALSE))</f>
        <v/>
      </c>
    </row>
    <row r="719">
      <c r="A719" s="16"/>
      <c r="B719" s="16" t="str">
        <f>IFNA(VLOOKUP($A719,Spells!$A$2:$I1002,MATCH(B$3,Spells!$A$1:$I$1,0),FALSE))</f>
        <v/>
      </c>
      <c r="C719" s="16" t="str">
        <f>IFNA(VLOOKUP($A719,Spells!$A$2:$I1002,MATCH(C$3,Spells!$A$1:$I$1,0),FALSE))</f>
        <v/>
      </c>
      <c r="D719" s="16" t="str">
        <f>IFNA(VLOOKUP($A719,Spells!$A$2:$I1002,MATCH(D$3,Spells!$A$1:$I$1,0),FALSE))</f>
        <v/>
      </c>
      <c r="E719" s="16" t="str">
        <f>IFNA(VLOOKUP($A719,Spells!$A$2:$I1002,MATCH(E$3,Spells!$A$1:$I$1,0),FALSE))</f>
        <v/>
      </c>
      <c r="F719" s="16" t="str">
        <f>IFNA(VLOOKUP($A719,Spells!$A$2:$I1002,MATCH(F$3,Spells!$A$1:$I$1,0),FALSE))</f>
        <v/>
      </c>
      <c r="G719" s="16" t="str">
        <f>IFNA(VLOOKUP($A719,Spells!$A$2:$I1002,MATCH(G$3,Spells!$A$1:$I$1,0),FALSE))</f>
        <v/>
      </c>
      <c r="H719" s="16" t="str">
        <f>IFNA(VLOOKUP($A719,Spells!$A$2:$I1002,MATCH(H$3,Spells!$A$1:$I$1,0),FALSE))</f>
        <v/>
      </c>
    </row>
    <row r="720">
      <c r="A720" s="16"/>
      <c r="B720" s="16" t="str">
        <f>IFNA(VLOOKUP($A720,Spells!$A$2:$I1002,MATCH(B$3,Spells!$A$1:$I$1,0),FALSE))</f>
        <v/>
      </c>
      <c r="C720" s="16" t="str">
        <f>IFNA(VLOOKUP($A720,Spells!$A$2:$I1002,MATCH(C$3,Spells!$A$1:$I$1,0),FALSE))</f>
        <v/>
      </c>
      <c r="D720" s="16" t="str">
        <f>IFNA(VLOOKUP($A720,Spells!$A$2:$I1002,MATCH(D$3,Spells!$A$1:$I$1,0),FALSE))</f>
        <v/>
      </c>
      <c r="E720" s="16" t="str">
        <f>IFNA(VLOOKUP($A720,Spells!$A$2:$I1002,MATCH(E$3,Spells!$A$1:$I$1,0),FALSE))</f>
        <v/>
      </c>
      <c r="F720" s="16" t="str">
        <f>IFNA(VLOOKUP($A720,Spells!$A$2:$I1002,MATCH(F$3,Spells!$A$1:$I$1,0),FALSE))</f>
        <v/>
      </c>
      <c r="G720" s="16" t="str">
        <f>IFNA(VLOOKUP($A720,Spells!$A$2:$I1002,MATCH(G$3,Spells!$A$1:$I$1,0),FALSE))</f>
        <v/>
      </c>
      <c r="H720" s="16" t="str">
        <f>IFNA(VLOOKUP($A720,Spells!$A$2:$I1002,MATCH(H$3,Spells!$A$1:$I$1,0),FALSE))</f>
        <v/>
      </c>
    </row>
    <row r="721">
      <c r="A721" s="16"/>
      <c r="B721" s="16" t="str">
        <f>IFNA(VLOOKUP($A721,Spells!$A$2:$I1002,MATCH(B$3,Spells!$A$1:$I$1,0),FALSE))</f>
        <v/>
      </c>
      <c r="C721" s="16" t="str">
        <f>IFNA(VLOOKUP($A721,Spells!$A$2:$I1002,MATCH(C$3,Spells!$A$1:$I$1,0),FALSE))</f>
        <v/>
      </c>
      <c r="D721" s="16" t="str">
        <f>IFNA(VLOOKUP($A721,Spells!$A$2:$I1002,MATCH(D$3,Spells!$A$1:$I$1,0),FALSE))</f>
        <v/>
      </c>
      <c r="E721" s="16" t="str">
        <f>IFNA(VLOOKUP($A721,Spells!$A$2:$I1002,MATCH(E$3,Spells!$A$1:$I$1,0),FALSE))</f>
        <v/>
      </c>
      <c r="F721" s="16" t="str">
        <f>IFNA(VLOOKUP($A721,Spells!$A$2:$I1002,MATCH(F$3,Spells!$A$1:$I$1,0),FALSE))</f>
        <v/>
      </c>
      <c r="G721" s="16" t="str">
        <f>IFNA(VLOOKUP($A721,Spells!$A$2:$I1002,MATCH(G$3,Spells!$A$1:$I$1,0),FALSE))</f>
        <v/>
      </c>
      <c r="H721" s="16" t="str">
        <f>IFNA(VLOOKUP($A721,Spells!$A$2:$I1002,MATCH(H$3,Spells!$A$1:$I$1,0),FALSE))</f>
        <v/>
      </c>
    </row>
    <row r="722">
      <c r="A722" s="16"/>
      <c r="B722" s="16" t="str">
        <f>IFNA(VLOOKUP($A722,Spells!$A$2:$I1002,MATCH(B$3,Spells!$A$1:$I$1,0),FALSE))</f>
        <v/>
      </c>
      <c r="C722" s="16" t="str">
        <f>IFNA(VLOOKUP($A722,Spells!$A$2:$I1002,MATCH(C$3,Spells!$A$1:$I$1,0),FALSE))</f>
        <v/>
      </c>
      <c r="D722" s="16" t="str">
        <f>IFNA(VLOOKUP($A722,Spells!$A$2:$I1002,MATCH(D$3,Spells!$A$1:$I$1,0),FALSE))</f>
        <v/>
      </c>
      <c r="E722" s="16" t="str">
        <f>IFNA(VLOOKUP($A722,Spells!$A$2:$I1002,MATCH(E$3,Spells!$A$1:$I$1,0),FALSE))</f>
        <v/>
      </c>
      <c r="F722" s="16" t="str">
        <f>IFNA(VLOOKUP($A722,Spells!$A$2:$I1002,MATCH(F$3,Spells!$A$1:$I$1,0),FALSE))</f>
        <v/>
      </c>
      <c r="G722" s="16" t="str">
        <f>IFNA(VLOOKUP($A722,Spells!$A$2:$I1002,MATCH(G$3,Spells!$A$1:$I$1,0),FALSE))</f>
        <v/>
      </c>
      <c r="H722" s="16" t="str">
        <f>IFNA(VLOOKUP($A722,Spells!$A$2:$I1002,MATCH(H$3,Spells!$A$1:$I$1,0),FALSE))</f>
        <v/>
      </c>
    </row>
    <row r="723">
      <c r="A723" s="16"/>
      <c r="B723" s="16" t="str">
        <f>IFNA(VLOOKUP($A723,Spells!$A$2:$I1002,MATCH(B$3,Spells!$A$1:$I$1,0),FALSE))</f>
        <v/>
      </c>
      <c r="C723" s="16" t="str">
        <f>IFNA(VLOOKUP($A723,Spells!$A$2:$I1002,MATCH(C$3,Spells!$A$1:$I$1,0),FALSE))</f>
        <v/>
      </c>
      <c r="D723" s="16" t="str">
        <f>IFNA(VLOOKUP($A723,Spells!$A$2:$I1002,MATCH(D$3,Spells!$A$1:$I$1,0),FALSE))</f>
        <v/>
      </c>
      <c r="E723" s="16" t="str">
        <f>IFNA(VLOOKUP($A723,Spells!$A$2:$I1002,MATCH(E$3,Spells!$A$1:$I$1,0),FALSE))</f>
        <v/>
      </c>
      <c r="F723" s="16" t="str">
        <f>IFNA(VLOOKUP($A723,Spells!$A$2:$I1002,MATCH(F$3,Spells!$A$1:$I$1,0),FALSE))</f>
        <v/>
      </c>
      <c r="G723" s="16" t="str">
        <f>IFNA(VLOOKUP($A723,Spells!$A$2:$I1002,MATCH(G$3,Spells!$A$1:$I$1,0),FALSE))</f>
        <v/>
      </c>
      <c r="H723" s="16" t="str">
        <f>IFNA(VLOOKUP($A723,Spells!$A$2:$I1002,MATCH(H$3,Spells!$A$1:$I$1,0),FALSE))</f>
        <v/>
      </c>
    </row>
    <row r="724">
      <c r="A724" s="16"/>
      <c r="B724" s="16" t="str">
        <f>IFNA(VLOOKUP($A724,Spells!$A$2:$I1002,MATCH(B$3,Spells!$A$1:$I$1,0),FALSE))</f>
        <v/>
      </c>
      <c r="C724" s="16" t="str">
        <f>IFNA(VLOOKUP($A724,Spells!$A$2:$I1002,MATCH(C$3,Spells!$A$1:$I$1,0),FALSE))</f>
        <v/>
      </c>
      <c r="D724" s="16" t="str">
        <f>IFNA(VLOOKUP($A724,Spells!$A$2:$I1002,MATCH(D$3,Spells!$A$1:$I$1,0),FALSE))</f>
        <v/>
      </c>
      <c r="E724" s="16" t="str">
        <f>IFNA(VLOOKUP($A724,Spells!$A$2:$I1002,MATCH(E$3,Spells!$A$1:$I$1,0),FALSE))</f>
        <v/>
      </c>
      <c r="F724" s="16" t="str">
        <f>IFNA(VLOOKUP($A724,Spells!$A$2:$I1002,MATCH(F$3,Spells!$A$1:$I$1,0),FALSE))</f>
        <v/>
      </c>
      <c r="G724" s="16" t="str">
        <f>IFNA(VLOOKUP($A724,Spells!$A$2:$I1002,MATCH(G$3,Spells!$A$1:$I$1,0),FALSE))</f>
        <v/>
      </c>
      <c r="H724" s="16" t="str">
        <f>IFNA(VLOOKUP($A724,Spells!$A$2:$I1002,MATCH(H$3,Spells!$A$1:$I$1,0),FALSE))</f>
        <v/>
      </c>
    </row>
    <row r="725">
      <c r="A725" s="16"/>
      <c r="B725" s="16" t="str">
        <f>IFNA(VLOOKUP($A725,Spells!$A$2:$I1002,MATCH(B$3,Spells!$A$1:$I$1,0),FALSE))</f>
        <v/>
      </c>
      <c r="C725" s="16" t="str">
        <f>IFNA(VLOOKUP($A725,Spells!$A$2:$I1002,MATCH(C$3,Spells!$A$1:$I$1,0),FALSE))</f>
        <v/>
      </c>
      <c r="D725" s="16" t="str">
        <f>IFNA(VLOOKUP($A725,Spells!$A$2:$I1002,MATCH(D$3,Spells!$A$1:$I$1,0),FALSE))</f>
        <v/>
      </c>
      <c r="E725" s="16" t="str">
        <f>IFNA(VLOOKUP($A725,Spells!$A$2:$I1002,MATCH(E$3,Spells!$A$1:$I$1,0),FALSE))</f>
        <v/>
      </c>
      <c r="F725" s="16" t="str">
        <f>IFNA(VLOOKUP($A725,Spells!$A$2:$I1002,MATCH(F$3,Spells!$A$1:$I$1,0),FALSE))</f>
        <v/>
      </c>
      <c r="G725" s="16" t="str">
        <f>IFNA(VLOOKUP($A725,Spells!$A$2:$I1002,MATCH(G$3,Spells!$A$1:$I$1,0),FALSE))</f>
        <v/>
      </c>
      <c r="H725" s="16" t="str">
        <f>IFNA(VLOOKUP($A725,Spells!$A$2:$I1002,MATCH(H$3,Spells!$A$1:$I$1,0),FALSE))</f>
        <v/>
      </c>
    </row>
    <row r="726">
      <c r="A726" s="16"/>
      <c r="B726" s="16" t="str">
        <f>IFNA(VLOOKUP($A726,Spells!$A$2:$I1002,MATCH(B$3,Spells!$A$1:$I$1,0),FALSE))</f>
        <v/>
      </c>
      <c r="C726" s="16" t="str">
        <f>IFNA(VLOOKUP($A726,Spells!$A$2:$I1002,MATCH(C$3,Spells!$A$1:$I$1,0),FALSE))</f>
        <v/>
      </c>
      <c r="D726" s="16" t="str">
        <f>IFNA(VLOOKUP($A726,Spells!$A$2:$I1002,MATCH(D$3,Spells!$A$1:$I$1,0),FALSE))</f>
        <v/>
      </c>
      <c r="E726" s="16" t="str">
        <f>IFNA(VLOOKUP($A726,Spells!$A$2:$I1002,MATCH(E$3,Spells!$A$1:$I$1,0),FALSE))</f>
        <v/>
      </c>
      <c r="F726" s="16" t="str">
        <f>IFNA(VLOOKUP($A726,Spells!$A$2:$I1002,MATCH(F$3,Spells!$A$1:$I$1,0),FALSE))</f>
        <v/>
      </c>
      <c r="G726" s="16" t="str">
        <f>IFNA(VLOOKUP($A726,Spells!$A$2:$I1002,MATCH(G$3,Spells!$A$1:$I$1,0),FALSE))</f>
        <v/>
      </c>
      <c r="H726" s="16" t="str">
        <f>IFNA(VLOOKUP($A726,Spells!$A$2:$I1002,MATCH(H$3,Spells!$A$1:$I$1,0),FALSE))</f>
        <v/>
      </c>
    </row>
    <row r="727">
      <c r="A727" s="16"/>
      <c r="B727" s="16" t="str">
        <f>IFNA(VLOOKUP($A727,Spells!$A$2:$I1002,MATCH(B$3,Spells!$A$1:$I$1,0),FALSE))</f>
        <v/>
      </c>
      <c r="C727" s="16" t="str">
        <f>IFNA(VLOOKUP($A727,Spells!$A$2:$I1002,MATCH(C$3,Spells!$A$1:$I$1,0),FALSE))</f>
        <v/>
      </c>
      <c r="D727" s="16" t="str">
        <f>IFNA(VLOOKUP($A727,Spells!$A$2:$I1002,MATCH(D$3,Spells!$A$1:$I$1,0),FALSE))</f>
        <v/>
      </c>
      <c r="E727" s="16" t="str">
        <f>IFNA(VLOOKUP($A727,Spells!$A$2:$I1002,MATCH(E$3,Spells!$A$1:$I$1,0),FALSE))</f>
        <v/>
      </c>
      <c r="F727" s="16" t="str">
        <f>IFNA(VLOOKUP($A727,Spells!$A$2:$I1002,MATCH(F$3,Spells!$A$1:$I$1,0),FALSE))</f>
        <v/>
      </c>
      <c r="G727" s="16" t="str">
        <f>IFNA(VLOOKUP($A727,Spells!$A$2:$I1002,MATCH(G$3,Spells!$A$1:$I$1,0),FALSE))</f>
        <v/>
      </c>
      <c r="H727" s="16" t="str">
        <f>IFNA(VLOOKUP($A727,Spells!$A$2:$I1002,MATCH(H$3,Spells!$A$1:$I$1,0),FALSE))</f>
        <v/>
      </c>
    </row>
    <row r="728">
      <c r="A728" s="16"/>
      <c r="B728" s="16" t="str">
        <f>IFNA(VLOOKUP($A728,Spells!$A$2:$I1002,MATCH(B$3,Spells!$A$1:$I$1,0),FALSE))</f>
        <v/>
      </c>
      <c r="C728" s="16" t="str">
        <f>IFNA(VLOOKUP($A728,Spells!$A$2:$I1002,MATCH(C$3,Spells!$A$1:$I$1,0),FALSE))</f>
        <v/>
      </c>
      <c r="D728" s="16" t="str">
        <f>IFNA(VLOOKUP($A728,Spells!$A$2:$I1002,MATCH(D$3,Spells!$A$1:$I$1,0),FALSE))</f>
        <v/>
      </c>
      <c r="E728" s="16" t="str">
        <f>IFNA(VLOOKUP($A728,Spells!$A$2:$I1002,MATCH(E$3,Spells!$A$1:$I$1,0),FALSE))</f>
        <v/>
      </c>
      <c r="F728" s="16" t="str">
        <f>IFNA(VLOOKUP($A728,Spells!$A$2:$I1002,MATCH(F$3,Spells!$A$1:$I$1,0),FALSE))</f>
        <v/>
      </c>
      <c r="G728" s="16" t="str">
        <f>IFNA(VLOOKUP($A728,Spells!$A$2:$I1002,MATCH(G$3,Spells!$A$1:$I$1,0),FALSE))</f>
        <v/>
      </c>
      <c r="H728" s="16" t="str">
        <f>IFNA(VLOOKUP($A728,Spells!$A$2:$I1002,MATCH(H$3,Spells!$A$1:$I$1,0),FALSE))</f>
        <v/>
      </c>
    </row>
    <row r="729">
      <c r="A729" s="16"/>
      <c r="B729" s="16" t="str">
        <f>IFNA(VLOOKUP($A729,Spells!$A$2:$I1002,MATCH(B$3,Spells!$A$1:$I$1,0),FALSE))</f>
        <v/>
      </c>
      <c r="C729" s="16" t="str">
        <f>IFNA(VLOOKUP($A729,Spells!$A$2:$I1002,MATCH(C$3,Spells!$A$1:$I$1,0),FALSE))</f>
        <v/>
      </c>
      <c r="D729" s="16" t="str">
        <f>IFNA(VLOOKUP($A729,Spells!$A$2:$I1002,MATCH(D$3,Spells!$A$1:$I$1,0),FALSE))</f>
        <v/>
      </c>
      <c r="E729" s="16" t="str">
        <f>IFNA(VLOOKUP($A729,Spells!$A$2:$I1002,MATCH(E$3,Spells!$A$1:$I$1,0),FALSE))</f>
        <v/>
      </c>
      <c r="F729" s="16" t="str">
        <f>IFNA(VLOOKUP($A729,Spells!$A$2:$I1002,MATCH(F$3,Spells!$A$1:$I$1,0),FALSE))</f>
        <v/>
      </c>
      <c r="G729" s="16" t="str">
        <f>IFNA(VLOOKUP($A729,Spells!$A$2:$I1002,MATCH(G$3,Spells!$A$1:$I$1,0),FALSE))</f>
        <v/>
      </c>
      <c r="H729" s="16" t="str">
        <f>IFNA(VLOOKUP($A729,Spells!$A$2:$I1002,MATCH(H$3,Spells!$A$1:$I$1,0),FALSE))</f>
        <v/>
      </c>
    </row>
    <row r="730">
      <c r="A730" s="16"/>
      <c r="B730" s="16" t="str">
        <f>IFNA(VLOOKUP($A730,Spells!$A$2:$I1002,MATCH(B$3,Spells!$A$1:$I$1,0),FALSE))</f>
        <v/>
      </c>
      <c r="C730" s="16" t="str">
        <f>IFNA(VLOOKUP($A730,Spells!$A$2:$I1002,MATCH(C$3,Spells!$A$1:$I$1,0),FALSE))</f>
        <v/>
      </c>
      <c r="D730" s="16" t="str">
        <f>IFNA(VLOOKUP($A730,Spells!$A$2:$I1002,MATCH(D$3,Spells!$A$1:$I$1,0),FALSE))</f>
        <v/>
      </c>
      <c r="E730" s="16" t="str">
        <f>IFNA(VLOOKUP($A730,Spells!$A$2:$I1002,MATCH(E$3,Spells!$A$1:$I$1,0),FALSE))</f>
        <v/>
      </c>
      <c r="F730" s="16" t="str">
        <f>IFNA(VLOOKUP($A730,Spells!$A$2:$I1002,MATCH(F$3,Spells!$A$1:$I$1,0),FALSE))</f>
        <v/>
      </c>
      <c r="G730" s="16" t="str">
        <f>IFNA(VLOOKUP($A730,Spells!$A$2:$I1002,MATCH(G$3,Spells!$A$1:$I$1,0),FALSE))</f>
        <v/>
      </c>
      <c r="H730" s="16" t="str">
        <f>IFNA(VLOOKUP($A730,Spells!$A$2:$I1002,MATCH(H$3,Spells!$A$1:$I$1,0),FALSE))</f>
        <v/>
      </c>
    </row>
    <row r="731">
      <c r="A731" s="16"/>
      <c r="B731" s="16" t="str">
        <f>IFNA(VLOOKUP($A731,Spells!$A$2:$I1002,MATCH(B$3,Spells!$A$1:$I$1,0),FALSE))</f>
        <v/>
      </c>
      <c r="C731" s="16" t="str">
        <f>IFNA(VLOOKUP($A731,Spells!$A$2:$I1002,MATCH(C$3,Spells!$A$1:$I$1,0),FALSE))</f>
        <v/>
      </c>
      <c r="D731" s="16" t="str">
        <f>IFNA(VLOOKUP($A731,Spells!$A$2:$I1002,MATCH(D$3,Spells!$A$1:$I$1,0),FALSE))</f>
        <v/>
      </c>
      <c r="E731" s="16" t="str">
        <f>IFNA(VLOOKUP($A731,Spells!$A$2:$I1002,MATCH(E$3,Spells!$A$1:$I$1,0),FALSE))</f>
        <v/>
      </c>
      <c r="F731" s="16" t="str">
        <f>IFNA(VLOOKUP($A731,Spells!$A$2:$I1002,MATCH(F$3,Spells!$A$1:$I$1,0),FALSE))</f>
        <v/>
      </c>
      <c r="G731" s="16" t="str">
        <f>IFNA(VLOOKUP($A731,Spells!$A$2:$I1002,MATCH(G$3,Spells!$A$1:$I$1,0),FALSE))</f>
        <v/>
      </c>
      <c r="H731" s="16" t="str">
        <f>IFNA(VLOOKUP($A731,Spells!$A$2:$I1002,MATCH(H$3,Spells!$A$1:$I$1,0),FALSE))</f>
        <v/>
      </c>
    </row>
    <row r="732">
      <c r="A732" s="16"/>
      <c r="B732" s="16" t="str">
        <f>IFNA(VLOOKUP($A732,Spells!$A$2:$I1002,MATCH(B$3,Spells!$A$1:$I$1,0),FALSE))</f>
        <v/>
      </c>
      <c r="C732" s="16" t="str">
        <f>IFNA(VLOOKUP($A732,Spells!$A$2:$I1002,MATCH(C$3,Spells!$A$1:$I$1,0),FALSE))</f>
        <v/>
      </c>
      <c r="D732" s="16" t="str">
        <f>IFNA(VLOOKUP($A732,Spells!$A$2:$I1002,MATCH(D$3,Spells!$A$1:$I$1,0),FALSE))</f>
        <v/>
      </c>
      <c r="E732" s="16" t="str">
        <f>IFNA(VLOOKUP($A732,Spells!$A$2:$I1002,MATCH(E$3,Spells!$A$1:$I$1,0),FALSE))</f>
        <v/>
      </c>
      <c r="F732" s="16" t="str">
        <f>IFNA(VLOOKUP($A732,Spells!$A$2:$I1002,MATCH(F$3,Spells!$A$1:$I$1,0),FALSE))</f>
        <v/>
      </c>
      <c r="G732" s="16" t="str">
        <f>IFNA(VLOOKUP($A732,Spells!$A$2:$I1002,MATCH(G$3,Spells!$A$1:$I$1,0),FALSE))</f>
        <v/>
      </c>
      <c r="H732" s="16" t="str">
        <f>IFNA(VLOOKUP($A732,Spells!$A$2:$I1002,MATCH(H$3,Spells!$A$1:$I$1,0),FALSE))</f>
        <v/>
      </c>
    </row>
    <row r="733">
      <c r="A733" s="16"/>
      <c r="B733" s="16" t="str">
        <f>IFNA(VLOOKUP($A733,Spells!$A$2:$I1002,MATCH(B$3,Spells!$A$1:$I$1,0),FALSE))</f>
        <v/>
      </c>
      <c r="C733" s="16" t="str">
        <f>IFNA(VLOOKUP($A733,Spells!$A$2:$I1002,MATCH(C$3,Spells!$A$1:$I$1,0),FALSE))</f>
        <v/>
      </c>
      <c r="D733" s="16" t="str">
        <f>IFNA(VLOOKUP($A733,Spells!$A$2:$I1002,MATCH(D$3,Spells!$A$1:$I$1,0),FALSE))</f>
        <v/>
      </c>
      <c r="E733" s="16" t="str">
        <f>IFNA(VLOOKUP($A733,Spells!$A$2:$I1002,MATCH(E$3,Spells!$A$1:$I$1,0),FALSE))</f>
        <v/>
      </c>
      <c r="F733" s="16" t="str">
        <f>IFNA(VLOOKUP($A733,Spells!$A$2:$I1002,MATCH(F$3,Spells!$A$1:$I$1,0),FALSE))</f>
        <v/>
      </c>
      <c r="G733" s="16" t="str">
        <f>IFNA(VLOOKUP($A733,Spells!$A$2:$I1002,MATCH(G$3,Spells!$A$1:$I$1,0),FALSE))</f>
        <v/>
      </c>
      <c r="H733" s="16" t="str">
        <f>IFNA(VLOOKUP($A733,Spells!$A$2:$I1002,MATCH(H$3,Spells!$A$1:$I$1,0),FALSE))</f>
        <v/>
      </c>
    </row>
    <row r="734">
      <c r="A734" s="16"/>
      <c r="B734" s="16" t="str">
        <f>IFNA(VLOOKUP($A734,Spells!$A$2:$I1002,MATCH(B$3,Spells!$A$1:$I$1,0),FALSE))</f>
        <v/>
      </c>
      <c r="C734" s="16" t="str">
        <f>IFNA(VLOOKUP($A734,Spells!$A$2:$I1002,MATCH(C$3,Spells!$A$1:$I$1,0),FALSE))</f>
        <v/>
      </c>
      <c r="D734" s="16" t="str">
        <f>IFNA(VLOOKUP($A734,Spells!$A$2:$I1002,MATCH(D$3,Spells!$A$1:$I$1,0),FALSE))</f>
        <v/>
      </c>
      <c r="E734" s="16" t="str">
        <f>IFNA(VLOOKUP($A734,Spells!$A$2:$I1002,MATCH(E$3,Spells!$A$1:$I$1,0),FALSE))</f>
        <v/>
      </c>
      <c r="F734" s="16" t="str">
        <f>IFNA(VLOOKUP($A734,Spells!$A$2:$I1002,MATCH(F$3,Spells!$A$1:$I$1,0),FALSE))</f>
        <v/>
      </c>
      <c r="G734" s="16" t="str">
        <f>IFNA(VLOOKUP($A734,Spells!$A$2:$I1002,MATCH(G$3,Spells!$A$1:$I$1,0),FALSE))</f>
        <v/>
      </c>
      <c r="H734" s="16" t="str">
        <f>IFNA(VLOOKUP($A734,Spells!$A$2:$I1002,MATCH(H$3,Spells!$A$1:$I$1,0),FALSE))</f>
        <v/>
      </c>
    </row>
    <row r="735">
      <c r="A735" s="16"/>
      <c r="B735" s="16" t="str">
        <f>IFNA(VLOOKUP($A735,Spells!$A$2:$I1002,MATCH(B$3,Spells!$A$1:$I$1,0),FALSE))</f>
        <v/>
      </c>
      <c r="C735" s="16" t="str">
        <f>IFNA(VLOOKUP($A735,Spells!$A$2:$I1002,MATCH(C$3,Spells!$A$1:$I$1,0),FALSE))</f>
        <v/>
      </c>
      <c r="D735" s="16" t="str">
        <f>IFNA(VLOOKUP($A735,Spells!$A$2:$I1002,MATCH(D$3,Spells!$A$1:$I$1,0),FALSE))</f>
        <v/>
      </c>
      <c r="E735" s="16" t="str">
        <f>IFNA(VLOOKUP($A735,Spells!$A$2:$I1002,MATCH(E$3,Spells!$A$1:$I$1,0),FALSE))</f>
        <v/>
      </c>
      <c r="F735" s="16" t="str">
        <f>IFNA(VLOOKUP($A735,Spells!$A$2:$I1002,MATCH(F$3,Spells!$A$1:$I$1,0),FALSE))</f>
        <v/>
      </c>
      <c r="G735" s="16" t="str">
        <f>IFNA(VLOOKUP($A735,Spells!$A$2:$I1002,MATCH(G$3,Spells!$A$1:$I$1,0),FALSE))</f>
        <v/>
      </c>
      <c r="H735" s="16" t="str">
        <f>IFNA(VLOOKUP($A735,Spells!$A$2:$I1002,MATCH(H$3,Spells!$A$1:$I$1,0),FALSE))</f>
        <v/>
      </c>
    </row>
    <row r="736">
      <c r="A736" s="16"/>
      <c r="B736" s="16" t="str">
        <f>IFNA(VLOOKUP($A736,Spells!$A$2:$I1002,MATCH(B$3,Spells!$A$1:$I$1,0),FALSE))</f>
        <v/>
      </c>
      <c r="C736" s="16" t="str">
        <f>IFNA(VLOOKUP($A736,Spells!$A$2:$I1002,MATCH(C$3,Spells!$A$1:$I$1,0),FALSE))</f>
        <v/>
      </c>
      <c r="D736" s="16" t="str">
        <f>IFNA(VLOOKUP($A736,Spells!$A$2:$I1002,MATCH(D$3,Spells!$A$1:$I$1,0),FALSE))</f>
        <v/>
      </c>
      <c r="E736" s="16" t="str">
        <f>IFNA(VLOOKUP($A736,Spells!$A$2:$I1002,MATCH(E$3,Spells!$A$1:$I$1,0),FALSE))</f>
        <v/>
      </c>
      <c r="F736" s="16" t="str">
        <f>IFNA(VLOOKUP($A736,Spells!$A$2:$I1002,MATCH(F$3,Spells!$A$1:$I$1,0),FALSE))</f>
        <v/>
      </c>
      <c r="G736" s="16" t="str">
        <f>IFNA(VLOOKUP($A736,Spells!$A$2:$I1002,MATCH(G$3,Spells!$A$1:$I$1,0),FALSE))</f>
        <v/>
      </c>
      <c r="H736" s="16" t="str">
        <f>IFNA(VLOOKUP($A736,Spells!$A$2:$I1002,MATCH(H$3,Spells!$A$1:$I$1,0),FALSE))</f>
        <v/>
      </c>
    </row>
    <row r="737">
      <c r="A737" s="16"/>
      <c r="B737" s="16" t="str">
        <f>IFNA(VLOOKUP($A737,Spells!$A$2:$I1002,MATCH(B$3,Spells!$A$1:$I$1,0),FALSE))</f>
        <v/>
      </c>
      <c r="C737" s="16" t="str">
        <f>IFNA(VLOOKUP($A737,Spells!$A$2:$I1002,MATCH(C$3,Spells!$A$1:$I$1,0),FALSE))</f>
        <v/>
      </c>
      <c r="D737" s="16" t="str">
        <f>IFNA(VLOOKUP($A737,Spells!$A$2:$I1002,MATCH(D$3,Spells!$A$1:$I$1,0),FALSE))</f>
        <v/>
      </c>
      <c r="E737" s="16" t="str">
        <f>IFNA(VLOOKUP($A737,Spells!$A$2:$I1002,MATCH(E$3,Spells!$A$1:$I$1,0),FALSE))</f>
        <v/>
      </c>
      <c r="F737" s="16" t="str">
        <f>IFNA(VLOOKUP($A737,Spells!$A$2:$I1002,MATCH(F$3,Spells!$A$1:$I$1,0),FALSE))</f>
        <v/>
      </c>
      <c r="G737" s="16" t="str">
        <f>IFNA(VLOOKUP($A737,Spells!$A$2:$I1002,MATCH(G$3,Spells!$A$1:$I$1,0),FALSE))</f>
        <v/>
      </c>
      <c r="H737" s="16" t="str">
        <f>IFNA(VLOOKUP($A737,Spells!$A$2:$I1002,MATCH(H$3,Spells!$A$1:$I$1,0),FALSE))</f>
        <v/>
      </c>
    </row>
    <row r="738">
      <c r="A738" s="16"/>
      <c r="B738" s="16" t="str">
        <f>IFNA(VLOOKUP($A738,Spells!$A$2:$I1002,MATCH(B$3,Spells!$A$1:$I$1,0),FALSE))</f>
        <v/>
      </c>
      <c r="C738" s="16" t="str">
        <f>IFNA(VLOOKUP($A738,Spells!$A$2:$I1002,MATCH(C$3,Spells!$A$1:$I$1,0),FALSE))</f>
        <v/>
      </c>
      <c r="D738" s="16" t="str">
        <f>IFNA(VLOOKUP($A738,Spells!$A$2:$I1002,MATCH(D$3,Spells!$A$1:$I$1,0),FALSE))</f>
        <v/>
      </c>
      <c r="E738" s="16" t="str">
        <f>IFNA(VLOOKUP($A738,Spells!$A$2:$I1002,MATCH(E$3,Spells!$A$1:$I$1,0),FALSE))</f>
        <v/>
      </c>
      <c r="F738" s="16" t="str">
        <f>IFNA(VLOOKUP($A738,Spells!$A$2:$I1002,MATCH(F$3,Spells!$A$1:$I$1,0),FALSE))</f>
        <v/>
      </c>
      <c r="G738" s="16" t="str">
        <f>IFNA(VLOOKUP($A738,Spells!$A$2:$I1002,MATCH(G$3,Spells!$A$1:$I$1,0),FALSE))</f>
        <v/>
      </c>
      <c r="H738" s="16" t="str">
        <f>IFNA(VLOOKUP($A738,Spells!$A$2:$I1002,MATCH(H$3,Spells!$A$1:$I$1,0),FALSE))</f>
        <v/>
      </c>
    </row>
    <row r="739">
      <c r="A739" s="16"/>
      <c r="B739" s="16" t="str">
        <f>IFNA(VLOOKUP($A739,Spells!$A$2:$I1002,MATCH(B$3,Spells!$A$1:$I$1,0),FALSE))</f>
        <v/>
      </c>
      <c r="C739" s="16" t="str">
        <f>IFNA(VLOOKUP($A739,Spells!$A$2:$I1002,MATCH(C$3,Spells!$A$1:$I$1,0),FALSE))</f>
        <v/>
      </c>
      <c r="D739" s="16" t="str">
        <f>IFNA(VLOOKUP($A739,Spells!$A$2:$I1002,MATCH(D$3,Spells!$A$1:$I$1,0),FALSE))</f>
        <v/>
      </c>
      <c r="E739" s="16" t="str">
        <f>IFNA(VLOOKUP($A739,Spells!$A$2:$I1002,MATCH(E$3,Spells!$A$1:$I$1,0),FALSE))</f>
        <v/>
      </c>
      <c r="F739" s="16" t="str">
        <f>IFNA(VLOOKUP($A739,Spells!$A$2:$I1002,MATCH(F$3,Spells!$A$1:$I$1,0),FALSE))</f>
        <v/>
      </c>
      <c r="G739" s="16" t="str">
        <f>IFNA(VLOOKUP($A739,Spells!$A$2:$I1002,MATCH(G$3,Spells!$A$1:$I$1,0),FALSE))</f>
        <v/>
      </c>
      <c r="H739" s="16" t="str">
        <f>IFNA(VLOOKUP($A739,Spells!$A$2:$I1002,MATCH(H$3,Spells!$A$1:$I$1,0),FALSE))</f>
        <v/>
      </c>
    </row>
    <row r="740">
      <c r="A740" s="16"/>
      <c r="B740" s="16" t="str">
        <f>IFNA(VLOOKUP($A740,Spells!$A$2:$I1002,MATCH(B$3,Spells!$A$1:$I$1,0),FALSE))</f>
        <v/>
      </c>
      <c r="C740" s="16" t="str">
        <f>IFNA(VLOOKUP($A740,Spells!$A$2:$I1002,MATCH(C$3,Spells!$A$1:$I$1,0),FALSE))</f>
        <v/>
      </c>
      <c r="D740" s="16" t="str">
        <f>IFNA(VLOOKUP($A740,Spells!$A$2:$I1002,MATCH(D$3,Spells!$A$1:$I$1,0),FALSE))</f>
        <v/>
      </c>
      <c r="E740" s="16" t="str">
        <f>IFNA(VLOOKUP($A740,Spells!$A$2:$I1002,MATCH(E$3,Spells!$A$1:$I$1,0),FALSE))</f>
        <v/>
      </c>
      <c r="F740" s="16" t="str">
        <f>IFNA(VLOOKUP($A740,Spells!$A$2:$I1002,MATCH(F$3,Spells!$A$1:$I$1,0),FALSE))</f>
        <v/>
      </c>
      <c r="G740" s="16" t="str">
        <f>IFNA(VLOOKUP($A740,Spells!$A$2:$I1002,MATCH(G$3,Spells!$A$1:$I$1,0),FALSE))</f>
        <v/>
      </c>
      <c r="H740" s="16" t="str">
        <f>IFNA(VLOOKUP($A740,Spells!$A$2:$I1002,MATCH(H$3,Spells!$A$1:$I$1,0),FALSE))</f>
        <v/>
      </c>
    </row>
    <row r="741">
      <c r="A741" s="16"/>
      <c r="B741" s="16" t="str">
        <f>IFNA(VLOOKUP($A741,Spells!$A$2:$I1002,MATCH(B$3,Spells!$A$1:$I$1,0),FALSE))</f>
        <v/>
      </c>
      <c r="C741" s="16" t="str">
        <f>IFNA(VLOOKUP($A741,Spells!$A$2:$I1002,MATCH(C$3,Spells!$A$1:$I$1,0),FALSE))</f>
        <v/>
      </c>
      <c r="D741" s="16" t="str">
        <f>IFNA(VLOOKUP($A741,Spells!$A$2:$I1002,MATCH(D$3,Spells!$A$1:$I$1,0),FALSE))</f>
        <v/>
      </c>
      <c r="E741" s="16" t="str">
        <f>IFNA(VLOOKUP($A741,Spells!$A$2:$I1002,MATCH(E$3,Spells!$A$1:$I$1,0),FALSE))</f>
        <v/>
      </c>
      <c r="F741" s="16" t="str">
        <f>IFNA(VLOOKUP($A741,Spells!$A$2:$I1002,MATCH(F$3,Spells!$A$1:$I$1,0),FALSE))</f>
        <v/>
      </c>
      <c r="G741" s="16" t="str">
        <f>IFNA(VLOOKUP($A741,Spells!$A$2:$I1002,MATCH(G$3,Spells!$A$1:$I$1,0),FALSE))</f>
        <v/>
      </c>
      <c r="H741" s="16" t="str">
        <f>IFNA(VLOOKUP($A741,Spells!$A$2:$I1002,MATCH(H$3,Spells!$A$1:$I$1,0),FALSE))</f>
        <v/>
      </c>
    </row>
    <row r="742">
      <c r="A742" s="16"/>
      <c r="B742" s="16" t="str">
        <f>IFNA(VLOOKUP($A742,Spells!$A$2:$I1002,MATCH(B$3,Spells!$A$1:$I$1,0),FALSE))</f>
        <v/>
      </c>
      <c r="C742" s="16" t="str">
        <f>IFNA(VLOOKUP($A742,Spells!$A$2:$I1002,MATCH(C$3,Spells!$A$1:$I$1,0),FALSE))</f>
        <v/>
      </c>
      <c r="D742" s="16" t="str">
        <f>IFNA(VLOOKUP($A742,Spells!$A$2:$I1002,MATCH(D$3,Spells!$A$1:$I$1,0),FALSE))</f>
        <v/>
      </c>
      <c r="E742" s="16" t="str">
        <f>IFNA(VLOOKUP($A742,Spells!$A$2:$I1002,MATCH(E$3,Spells!$A$1:$I$1,0),FALSE))</f>
        <v/>
      </c>
      <c r="F742" s="16" t="str">
        <f>IFNA(VLOOKUP($A742,Spells!$A$2:$I1002,MATCH(F$3,Spells!$A$1:$I$1,0),FALSE))</f>
        <v/>
      </c>
      <c r="G742" s="16" t="str">
        <f>IFNA(VLOOKUP($A742,Spells!$A$2:$I1002,MATCH(G$3,Spells!$A$1:$I$1,0),FALSE))</f>
        <v/>
      </c>
      <c r="H742" s="16" t="str">
        <f>IFNA(VLOOKUP($A742,Spells!$A$2:$I1002,MATCH(H$3,Spells!$A$1:$I$1,0),FALSE))</f>
        <v/>
      </c>
    </row>
    <row r="743">
      <c r="A743" s="16"/>
      <c r="B743" s="16" t="str">
        <f>IFNA(VLOOKUP($A743,Spells!$A$2:$I1002,MATCH(B$3,Spells!$A$1:$I$1,0),FALSE))</f>
        <v/>
      </c>
      <c r="C743" s="16" t="str">
        <f>IFNA(VLOOKUP($A743,Spells!$A$2:$I1002,MATCH(C$3,Spells!$A$1:$I$1,0),FALSE))</f>
        <v/>
      </c>
      <c r="D743" s="16" t="str">
        <f>IFNA(VLOOKUP($A743,Spells!$A$2:$I1002,MATCH(D$3,Spells!$A$1:$I$1,0),FALSE))</f>
        <v/>
      </c>
      <c r="E743" s="16" t="str">
        <f>IFNA(VLOOKUP($A743,Spells!$A$2:$I1002,MATCH(E$3,Spells!$A$1:$I$1,0),FALSE))</f>
        <v/>
      </c>
      <c r="F743" s="16" t="str">
        <f>IFNA(VLOOKUP($A743,Spells!$A$2:$I1002,MATCH(F$3,Spells!$A$1:$I$1,0),FALSE))</f>
        <v/>
      </c>
      <c r="G743" s="16" t="str">
        <f>IFNA(VLOOKUP($A743,Spells!$A$2:$I1002,MATCH(G$3,Spells!$A$1:$I$1,0),FALSE))</f>
        <v/>
      </c>
      <c r="H743" s="16" t="str">
        <f>IFNA(VLOOKUP($A743,Spells!$A$2:$I1002,MATCH(H$3,Spells!$A$1:$I$1,0),FALSE))</f>
        <v/>
      </c>
    </row>
    <row r="744">
      <c r="A744" s="16"/>
      <c r="B744" s="16" t="str">
        <f>IFNA(VLOOKUP($A744,Spells!$A$2:$I1002,MATCH(B$3,Spells!$A$1:$I$1,0),FALSE))</f>
        <v/>
      </c>
      <c r="C744" s="16" t="str">
        <f>IFNA(VLOOKUP($A744,Spells!$A$2:$I1002,MATCH(C$3,Spells!$A$1:$I$1,0),FALSE))</f>
        <v/>
      </c>
      <c r="D744" s="16" t="str">
        <f>IFNA(VLOOKUP($A744,Spells!$A$2:$I1002,MATCH(D$3,Spells!$A$1:$I$1,0),FALSE))</f>
        <v/>
      </c>
      <c r="E744" s="16" t="str">
        <f>IFNA(VLOOKUP($A744,Spells!$A$2:$I1002,MATCH(E$3,Spells!$A$1:$I$1,0),FALSE))</f>
        <v/>
      </c>
      <c r="F744" s="16" t="str">
        <f>IFNA(VLOOKUP($A744,Spells!$A$2:$I1002,MATCH(F$3,Spells!$A$1:$I$1,0),FALSE))</f>
        <v/>
      </c>
      <c r="G744" s="16" t="str">
        <f>IFNA(VLOOKUP($A744,Spells!$A$2:$I1002,MATCH(G$3,Spells!$A$1:$I$1,0),FALSE))</f>
        <v/>
      </c>
      <c r="H744" s="16" t="str">
        <f>IFNA(VLOOKUP($A744,Spells!$A$2:$I1002,MATCH(H$3,Spells!$A$1:$I$1,0),FALSE))</f>
        <v/>
      </c>
    </row>
    <row r="745">
      <c r="A745" s="16"/>
      <c r="B745" s="16" t="str">
        <f>IFNA(VLOOKUP($A745,Spells!$A$2:$I1002,MATCH(B$3,Spells!$A$1:$I$1,0),FALSE))</f>
        <v/>
      </c>
      <c r="C745" s="16" t="str">
        <f>IFNA(VLOOKUP($A745,Spells!$A$2:$I1002,MATCH(C$3,Spells!$A$1:$I$1,0),FALSE))</f>
        <v/>
      </c>
      <c r="D745" s="16" t="str">
        <f>IFNA(VLOOKUP($A745,Spells!$A$2:$I1002,MATCH(D$3,Spells!$A$1:$I$1,0),FALSE))</f>
        <v/>
      </c>
      <c r="E745" s="16" t="str">
        <f>IFNA(VLOOKUP($A745,Spells!$A$2:$I1002,MATCH(E$3,Spells!$A$1:$I$1,0),FALSE))</f>
        <v/>
      </c>
      <c r="F745" s="16" t="str">
        <f>IFNA(VLOOKUP($A745,Spells!$A$2:$I1002,MATCH(F$3,Spells!$A$1:$I$1,0),FALSE))</f>
        <v/>
      </c>
      <c r="G745" s="16" t="str">
        <f>IFNA(VLOOKUP($A745,Spells!$A$2:$I1002,MATCH(G$3,Spells!$A$1:$I$1,0),FALSE))</f>
        <v/>
      </c>
      <c r="H745" s="16" t="str">
        <f>IFNA(VLOOKUP($A745,Spells!$A$2:$I1002,MATCH(H$3,Spells!$A$1:$I$1,0),FALSE))</f>
        <v/>
      </c>
    </row>
    <row r="746">
      <c r="A746" s="16"/>
      <c r="B746" s="16" t="str">
        <f>IFNA(VLOOKUP($A746,Spells!$A$2:$I1002,MATCH(B$3,Spells!$A$1:$I$1,0),FALSE))</f>
        <v/>
      </c>
      <c r="C746" s="16" t="str">
        <f>IFNA(VLOOKUP($A746,Spells!$A$2:$I1002,MATCH(C$3,Spells!$A$1:$I$1,0),FALSE))</f>
        <v/>
      </c>
      <c r="D746" s="16" t="str">
        <f>IFNA(VLOOKUP($A746,Spells!$A$2:$I1002,MATCH(D$3,Spells!$A$1:$I$1,0),FALSE))</f>
        <v/>
      </c>
      <c r="E746" s="16" t="str">
        <f>IFNA(VLOOKUP($A746,Spells!$A$2:$I1002,MATCH(E$3,Spells!$A$1:$I$1,0),FALSE))</f>
        <v/>
      </c>
      <c r="F746" s="16" t="str">
        <f>IFNA(VLOOKUP($A746,Spells!$A$2:$I1002,MATCH(F$3,Spells!$A$1:$I$1,0),FALSE))</f>
        <v/>
      </c>
      <c r="G746" s="16" t="str">
        <f>IFNA(VLOOKUP($A746,Spells!$A$2:$I1002,MATCH(G$3,Spells!$A$1:$I$1,0),FALSE))</f>
        <v/>
      </c>
      <c r="H746" s="16" t="str">
        <f>IFNA(VLOOKUP($A746,Spells!$A$2:$I1002,MATCH(H$3,Spells!$A$1:$I$1,0),FALSE))</f>
        <v/>
      </c>
    </row>
    <row r="747">
      <c r="A747" s="16"/>
      <c r="B747" s="16" t="str">
        <f>IFNA(VLOOKUP($A747,Spells!$A$2:$I1002,MATCH(B$3,Spells!$A$1:$I$1,0),FALSE))</f>
        <v/>
      </c>
      <c r="C747" s="16" t="str">
        <f>IFNA(VLOOKUP($A747,Spells!$A$2:$I1002,MATCH(C$3,Spells!$A$1:$I$1,0),FALSE))</f>
        <v/>
      </c>
      <c r="D747" s="16" t="str">
        <f>IFNA(VLOOKUP($A747,Spells!$A$2:$I1002,MATCH(D$3,Spells!$A$1:$I$1,0),FALSE))</f>
        <v/>
      </c>
      <c r="E747" s="16" t="str">
        <f>IFNA(VLOOKUP($A747,Spells!$A$2:$I1002,MATCH(E$3,Spells!$A$1:$I$1,0),FALSE))</f>
        <v/>
      </c>
      <c r="F747" s="16" t="str">
        <f>IFNA(VLOOKUP($A747,Spells!$A$2:$I1002,MATCH(F$3,Spells!$A$1:$I$1,0),FALSE))</f>
        <v/>
      </c>
      <c r="G747" s="16" t="str">
        <f>IFNA(VLOOKUP($A747,Spells!$A$2:$I1002,MATCH(G$3,Spells!$A$1:$I$1,0),FALSE))</f>
        <v/>
      </c>
      <c r="H747" s="16" t="str">
        <f>IFNA(VLOOKUP($A747,Spells!$A$2:$I1002,MATCH(H$3,Spells!$A$1:$I$1,0),FALSE))</f>
        <v/>
      </c>
    </row>
    <row r="748">
      <c r="A748" s="16"/>
      <c r="B748" s="16" t="str">
        <f>IFNA(VLOOKUP($A748,Spells!$A$2:$I1002,MATCH(B$3,Spells!$A$1:$I$1,0),FALSE))</f>
        <v/>
      </c>
      <c r="C748" s="16" t="str">
        <f>IFNA(VLOOKUP($A748,Spells!$A$2:$I1002,MATCH(C$3,Spells!$A$1:$I$1,0),FALSE))</f>
        <v/>
      </c>
      <c r="D748" s="16" t="str">
        <f>IFNA(VLOOKUP($A748,Spells!$A$2:$I1002,MATCH(D$3,Spells!$A$1:$I$1,0),FALSE))</f>
        <v/>
      </c>
      <c r="E748" s="16" t="str">
        <f>IFNA(VLOOKUP($A748,Spells!$A$2:$I1002,MATCH(E$3,Spells!$A$1:$I$1,0),FALSE))</f>
        <v/>
      </c>
      <c r="F748" s="16" t="str">
        <f>IFNA(VLOOKUP($A748,Spells!$A$2:$I1002,MATCH(F$3,Spells!$A$1:$I$1,0),FALSE))</f>
        <v/>
      </c>
      <c r="G748" s="16" t="str">
        <f>IFNA(VLOOKUP($A748,Spells!$A$2:$I1002,MATCH(G$3,Spells!$A$1:$I$1,0),FALSE))</f>
        <v/>
      </c>
      <c r="H748" s="16" t="str">
        <f>IFNA(VLOOKUP($A748,Spells!$A$2:$I1002,MATCH(H$3,Spells!$A$1:$I$1,0),FALSE))</f>
        <v/>
      </c>
    </row>
    <row r="749">
      <c r="A749" s="16"/>
      <c r="B749" s="16" t="str">
        <f>IFNA(VLOOKUP($A749,Spells!$A$2:$I1002,MATCH(B$3,Spells!$A$1:$I$1,0),FALSE))</f>
        <v/>
      </c>
      <c r="C749" s="16" t="str">
        <f>IFNA(VLOOKUP($A749,Spells!$A$2:$I1002,MATCH(C$3,Spells!$A$1:$I$1,0),FALSE))</f>
        <v/>
      </c>
      <c r="D749" s="16" t="str">
        <f>IFNA(VLOOKUP($A749,Spells!$A$2:$I1002,MATCH(D$3,Spells!$A$1:$I$1,0),FALSE))</f>
        <v/>
      </c>
      <c r="E749" s="16" t="str">
        <f>IFNA(VLOOKUP($A749,Spells!$A$2:$I1002,MATCH(E$3,Spells!$A$1:$I$1,0),FALSE))</f>
        <v/>
      </c>
      <c r="F749" s="16" t="str">
        <f>IFNA(VLOOKUP($A749,Spells!$A$2:$I1002,MATCH(F$3,Spells!$A$1:$I$1,0),FALSE))</f>
        <v/>
      </c>
      <c r="G749" s="16" t="str">
        <f>IFNA(VLOOKUP($A749,Spells!$A$2:$I1002,MATCH(G$3,Spells!$A$1:$I$1,0),FALSE))</f>
        <v/>
      </c>
      <c r="H749" s="16" t="str">
        <f>IFNA(VLOOKUP($A749,Spells!$A$2:$I1002,MATCH(H$3,Spells!$A$1:$I$1,0),FALSE))</f>
        <v/>
      </c>
    </row>
    <row r="750">
      <c r="A750" s="16"/>
      <c r="B750" s="16" t="str">
        <f>IFNA(VLOOKUP($A750,Spells!$A$2:$I1002,MATCH(B$3,Spells!$A$1:$I$1,0),FALSE))</f>
        <v/>
      </c>
      <c r="C750" s="16" t="str">
        <f>IFNA(VLOOKUP($A750,Spells!$A$2:$I1002,MATCH(C$3,Spells!$A$1:$I$1,0),FALSE))</f>
        <v/>
      </c>
      <c r="D750" s="16" t="str">
        <f>IFNA(VLOOKUP($A750,Spells!$A$2:$I1002,MATCH(D$3,Spells!$A$1:$I$1,0),FALSE))</f>
        <v/>
      </c>
      <c r="E750" s="16" t="str">
        <f>IFNA(VLOOKUP($A750,Spells!$A$2:$I1002,MATCH(E$3,Spells!$A$1:$I$1,0),FALSE))</f>
        <v/>
      </c>
      <c r="F750" s="16" t="str">
        <f>IFNA(VLOOKUP($A750,Spells!$A$2:$I1002,MATCH(F$3,Spells!$A$1:$I$1,0),FALSE))</f>
        <v/>
      </c>
      <c r="G750" s="16" t="str">
        <f>IFNA(VLOOKUP($A750,Spells!$A$2:$I1002,MATCH(G$3,Spells!$A$1:$I$1,0),FALSE))</f>
        <v/>
      </c>
      <c r="H750" s="16" t="str">
        <f>IFNA(VLOOKUP($A750,Spells!$A$2:$I1002,MATCH(H$3,Spells!$A$1:$I$1,0),FALSE))</f>
        <v/>
      </c>
    </row>
    <row r="751">
      <c r="A751" s="16"/>
      <c r="B751" s="16" t="str">
        <f>IFNA(VLOOKUP($A751,Spells!$A$2:$I1002,MATCH(B$3,Spells!$A$1:$I$1,0),FALSE))</f>
        <v/>
      </c>
      <c r="C751" s="16" t="str">
        <f>IFNA(VLOOKUP($A751,Spells!$A$2:$I1002,MATCH(C$3,Spells!$A$1:$I$1,0),FALSE))</f>
        <v/>
      </c>
      <c r="D751" s="16" t="str">
        <f>IFNA(VLOOKUP($A751,Spells!$A$2:$I1002,MATCH(D$3,Spells!$A$1:$I$1,0),FALSE))</f>
        <v/>
      </c>
      <c r="E751" s="16" t="str">
        <f>IFNA(VLOOKUP($A751,Spells!$A$2:$I1002,MATCH(E$3,Spells!$A$1:$I$1,0),FALSE))</f>
        <v/>
      </c>
      <c r="F751" s="16" t="str">
        <f>IFNA(VLOOKUP($A751,Spells!$A$2:$I1002,MATCH(F$3,Spells!$A$1:$I$1,0),FALSE))</f>
        <v/>
      </c>
      <c r="G751" s="16" t="str">
        <f>IFNA(VLOOKUP($A751,Spells!$A$2:$I1002,MATCH(G$3,Spells!$A$1:$I$1,0),FALSE))</f>
        <v/>
      </c>
      <c r="H751" s="16" t="str">
        <f>IFNA(VLOOKUP($A751,Spells!$A$2:$I1002,MATCH(H$3,Spells!$A$1:$I$1,0),FALSE))</f>
        <v/>
      </c>
    </row>
    <row r="752">
      <c r="A752" s="16"/>
      <c r="B752" s="16" t="str">
        <f>IFNA(VLOOKUP($A752,Spells!$A$2:$I1002,MATCH(B$3,Spells!$A$1:$I$1,0),FALSE))</f>
        <v/>
      </c>
      <c r="C752" s="16" t="str">
        <f>IFNA(VLOOKUP($A752,Spells!$A$2:$I1002,MATCH(C$3,Spells!$A$1:$I$1,0),FALSE))</f>
        <v/>
      </c>
      <c r="D752" s="16" t="str">
        <f>IFNA(VLOOKUP($A752,Spells!$A$2:$I1002,MATCH(D$3,Spells!$A$1:$I$1,0),FALSE))</f>
        <v/>
      </c>
      <c r="E752" s="16" t="str">
        <f>IFNA(VLOOKUP($A752,Spells!$A$2:$I1002,MATCH(E$3,Spells!$A$1:$I$1,0),FALSE))</f>
        <v/>
      </c>
      <c r="F752" s="16" t="str">
        <f>IFNA(VLOOKUP($A752,Spells!$A$2:$I1002,MATCH(F$3,Spells!$A$1:$I$1,0),FALSE))</f>
        <v/>
      </c>
      <c r="G752" s="16" t="str">
        <f>IFNA(VLOOKUP($A752,Spells!$A$2:$I1002,MATCH(G$3,Spells!$A$1:$I$1,0),FALSE))</f>
        <v/>
      </c>
      <c r="H752" s="16" t="str">
        <f>IFNA(VLOOKUP($A752,Spells!$A$2:$I1002,MATCH(H$3,Spells!$A$1:$I$1,0),FALSE))</f>
        <v/>
      </c>
    </row>
    <row r="753">
      <c r="A753" s="16"/>
      <c r="B753" s="16" t="str">
        <f>IFNA(VLOOKUP($A753,Spells!$A$2:$I1002,MATCH(B$3,Spells!$A$1:$I$1,0),FALSE))</f>
        <v/>
      </c>
      <c r="C753" s="16" t="str">
        <f>IFNA(VLOOKUP($A753,Spells!$A$2:$I1002,MATCH(C$3,Spells!$A$1:$I$1,0),FALSE))</f>
        <v/>
      </c>
      <c r="D753" s="16" t="str">
        <f>IFNA(VLOOKUP($A753,Spells!$A$2:$I1002,MATCH(D$3,Spells!$A$1:$I$1,0),FALSE))</f>
        <v/>
      </c>
      <c r="E753" s="16" t="str">
        <f>IFNA(VLOOKUP($A753,Spells!$A$2:$I1002,MATCH(E$3,Spells!$A$1:$I$1,0),FALSE))</f>
        <v/>
      </c>
      <c r="F753" s="16" t="str">
        <f>IFNA(VLOOKUP($A753,Spells!$A$2:$I1002,MATCH(F$3,Spells!$A$1:$I$1,0),FALSE))</f>
        <v/>
      </c>
      <c r="G753" s="16" t="str">
        <f>IFNA(VLOOKUP($A753,Spells!$A$2:$I1002,MATCH(G$3,Spells!$A$1:$I$1,0),FALSE))</f>
        <v/>
      </c>
      <c r="H753" s="16" t="str">
        <f>IFNA(VLOOKUP($A753,Spells!$A$2:$I1002,MATCH(H$3,Spells!$A$1:$I$1,0),FALSE))</f>
        <v/>
      </c>
    </row>
    <row r="754">
      <c r="A754" s="16"/>
      <c r="B754" s="16" t="str">
        <f>IFNA(VLOOKUP($A754,Spells!$A$2:$I1002,MATCH(B$3,Spells!$A$1:$I$1,0),FALSE))</f>
        <v/>
      </c>
      <c r="C754" s="16" t="str">
        <f>IFNA(VLOOKUP($A754,Spells!$A$2:$I1002,MATCH(C$3,Spells!$A$1:$I$1,0),FALSE))</f>
        <v/>
      </c>
      <c r="D754" s="16" t="str">
        <f>IFNA(VLOOKUP($A754,Spells!$A$2:$I1002,MATCH(D$3,Spells!$A$1:$I$1,0),FALSE))</f>
        <v/>
      </c>
      <c r="E754" s="16" t="str">
        <f>IFNA(VLOOKUP($A754,Spells!$A$2:$I1002,MATCH(E$3,Spells!$A$1:$I$1,0),FALSE))</f>
        <v/>
      </c>
      <c r="F754" s="16" t="str">
        <f>IFNA(VLOOKUP($A754,Spells!$A$2:$I1002,MATCH(F$3,Spells!$A$1:$I$1,0),FALSE))</f>
        <v/>
      </c>
      <c r="G754" s="16" t="str">
        <f>IFNA(VLOOKUP($A754,Spells!$A$2:$I1002,MATCH(G$3,Spells!$A$1:$I$1,0),FALSE))</f>
        <v/>
      </c>
      <c r="H754" s="16" t="str">
        <f>IFNA(VLOOKUP($A754,Spells!$A$2:$I1002,MATCH(H$3,Spells!$A$1:$I$1,0),FALSE))</f>
        <v/>
      </c>
    </row>
    <row r="755">
      <c r="A755" s="16"/>
      <c r="B755" s="16" t="str">
        <f>IFNA(VLOOKUP($A755,Spells!$A$2:$I1002,MATCH(B$3,Spells!$A$1:$I$1,0),FALSE))</f>
        <v/>
      </c>
      <c r="C755" s="16" t="str">
        <f>IFNA(VLOOKUP($A755,Spells!$A$2:$I1002,MATCH(C$3,Spells!$A$1:$I$1,0),FALSE))</f>
        <v/>
      </c>
      <c r="D755" s="16" t="str">
        <f>IFNA(VLOOKUP($A755,Spells!$A$2:$I1002,MATCH(D$3,Spells!$A$1:$I$1,0),FALSE))</f>
        <v/>
      </c>
      <c r="E755" s="16" t="str">
        <f>IFNA(VLOOKUP($A755,Spells!$A$2:$I1002,MATCH(E$3,Spells!$A$1:$I$1,0),FALSE))</f>
        <v/>
      </c>
      <c r="F755" s="16" t="str">
        <f>IFNA(VLOOKUP($A755,Spells!$A$2:$I1002,MATCH(F$3,Spells!$A$1:$I$1,0),FALSE))</f>
        <v/>
      </c>
      <c r="G755" s="16" t="str">
        <f>IFNA(VLOOKUP($A755,Spells!$A$2:$I1002,MATCH(G$3,Spells!$A$1:$I$1,0),FALSE))</f>
        <v/>
      </c>
      <c r="H755" s="16" t="str">
        <f>IFNA(VLOOKUP($A755,Spells!$A$2:$I1002,MATCH(H$3,Spells!$A$1:$I$1,0),FALSE))</f>
        <v/>
      </c>
    </row>
    <row r="756">
      <c r="A756" s="16"/>
      <c r="B756" s="16" t="str">
        <f>IFNA(VLOOKUP($A756,Spells!$A$2:$I1002,MATCH(B$3,Spells!$A$1:$I$1,0),FALSE))</f>
        <v/>
      </c>
      <c r="C756" s="16" t="str">
        <f>IFNA(VLOOKUP($A756,Spells!$A$2:$I1002,MATCH(C$3,Spells!$A$1:$I$1,0),FALSE))</f>
        <v/>
      </c>
      <c r="D756" s="16" t="str">
        <f>IFNA(VLOOKUP($A756,Spells!$A$2:$I1002,MATCH(D$3,Spells!$A$1:$I$1,0),FALSE))</f>
        <v/>
      </c>
      <c r="E756" s="16" t="str">
        <f>IFNA(VLOOKUP($A756,Spells!$A$2:$I1002,MATCH(E$3,Spells!$A$1:$I$1,0),FALSE))</f>
        <v/>
      </c>
      <c r="F756" s="16" t="str">
        <f>IFNA(VLOOKUP($A756,Spells!$A$2:$I1002,MATCH(F$3,Spells!$A$1:$I$1,0),FALSE))</f>
        <v/>
      </c>
      <c r="G756" s="16" t="str">
        <f>IFNA(VLOOKUP($A756,Spells!$A$2:$I1002,MATCH(G$3,Spells!$A$1:$I$1,0),FALSE))</f>
        <v/>
      </c>
      <c r="H756" s="16" t="str">
        <f>IFNA(VLOOKUP($A756,Spells!$A$2:$I1002,MATCH(H$3,Spells!$A$1:$I$1,0),FALSE))</f>
        <v/>
      </c>
    </row>
    <row r="757">
      <c r="A757" s="16"/>
      <c r="B757" s="16" t="str">
        <f>IFNA(VLOOKUP($A757,Spells!$A$2:$I1002,MATCH(B$3,Spells!$A$1:$I$1,0),FALSE))</f>
        <v/>
      </c>
      <c r="C757" s="16" t="str">
        <f>IFNA(VLOOKUP($A757,Spells!$A$2:$I1002,MATCH(C$3,Spells!$A$1:$I$1,0),FALSE))</f>
        <v/>
      </c>
      <c r="D757" s="16" t="str">
        <f>IFNA(VLOOKUP($A757,Spells!$A$2:$I1002,MATCH(D$3,Spells!$A$1:$I$1,0),FALSE))</f>
        <v/>
      </c>
      <c r="E757" s="16" t="str">
        <f>IFNA(VLOOKUP($A757,Spells!$A$2:$I1002,MATCH(E$3,Spells!$A$1:$I$1,0),FALSE))</f>
        <v/>
      </c>
      <c r="F757" s="16" t="str">
        <f>IFNA(VLOOKUP($A757,Spells!$A$2:$I1002,MATCH(F$3,Spells!$A$1:$I$1,0),FALSE))</f>
        <v/>
      </c>
      <c r="G757" s="16" t="str">
        <f>IFNA(VLOOKUP($A757,Spells!$A$2:$I1002,MATCH(G$3,Spells!$A$1:$I$1,0),FALSE))</f>
        <v/>
      </c>
      <c r="H757" s="16" t="str">
        <f>IFNA(VLOOKUP($A757,Spells!$A$2:$I1002,MATCH(H$3,Spells!$A$1:$I$1,0),FALSE))</f>
        <v/>
      </c>
    </row>
    <row r="758">
      <c r="A758" s="16"/>
      <c r="B758" s="16" t="str">
        <f>IFNA(VLOOKUP($A758,Spells!$A$2:$I1002,MATCH(B$3,Spells!$A$1:$I$1,0),FALSE))</f>
        <v/>
      </c>
      <c r="C758" s="16" t="str">
        <f>IFNA(VLOOKUP($A758,Spells!$A$2:$I1002,MATCH(C$3,Spells!$A$1:$I$1,0),FALSE))</f>
        <v/>
      </c>
      <c r="D758" s="16" t="str">
        <f>IFNA(VLOOKUP($A758,Spells!$A$2:$I1002,MATCH(D$3,Spells!$A$1:$I$1,0),FALSE))</f>
        <v/>
      </c>
      <c r="E758" s="16" t="str">
        <f>IFNA(VLOOKUP($A758,Spells!$A$2:$I1002,MATCH(E$3,Spells!$A$1:$I$1,0),FALSE))</f>
        <v/>
      </c>
      <c r="F758" s="16" t="str">
        <f>IFNA(VLOOKUP($A758,Spells!$A$2:$I1002,MATCH(F$3,Spells!$A$1:$I$1,0),FALSE))</f>
        <v/>
      </c>
      <c r="G758" s="16" t="str">
        <f>IFNA(VLOOKUP($A758,Spells!$A$2:$I1002,MATCH(G$3,Spells!$A$1:$I$1,0),FALSE))</f>
        <v/>
      </c>
      <c r="H758" s="16" t="str">
        <f>IFNA(VLOOKUP($A758,Spells!$A$2:$I1002,MATCH(H$3,Spells!$A$1:$I$1,0),FALSE))</f>
        <v/>
      </c>
    </row>
    <row r="759">
      <c r="A759" s="16"/>
      <c r="B759" s="16" t="str">
        <f>IFNA(VLOOKUP($A759,Spells!$A$2:$I1002,MATCH(B$3,Spells!$A$1:$I$1,0),FALSE))</f>
        <v/>
      </c>
      <c r="C759" s="16" t="str">
        <f>IFNA(VLOOKUP($A759,Spells!$A$2:$I1002,MATCH(C$3,Spells!$A$1:$I$1,0),FALSE))</f>
        <v/>
      </c>
      <c r="D759" s="16" t="str">
        <f>IFNA(VLOOKUP($A759,Spells!$A$2:$I1002,MATCH(D$3,Spells!$A$1:$I$1,0),FALSE))</f>
        <v/>
      </c>
      <c r="E759" s="16" t="str">
        <f>IFNA(VLOOKUP($A759,Spells!$A$2:$I1002,MATCH(E$3,Spells!$A$1:$I$1,0),FALSE))</f>
        <v/>
      </c>
      <c r="F759" s="16" t="str">
        <f>IFNA(VLOOKUP($A759,Spells!$A$2:$I1002,MATCH(F$3,Spells!$A$1:$I$1,0),FALSE))</f>
        <v/>
      </c>
      <c r="G759" s="16" t="str">
        <f>IFNA(VLOOKUP($A759,Spells!$A$2:$I1002,MATCH(G$3,Spells!$A$1:$I$1,0),FALSE))</f>
        <v/>
      </c>
      <c r="H759" s="16" t="str">
        <f>IFNA(VLOOKUP($A759,Spells!$A$2:$I1002,MATCH(H$3,Spells!$A$1:$I$1,0),FALSE))</f>
        <v/>
      </c>
    </row>
    <row r="760">
      <c r="A760" s="16"/>
      <c r="B760" s="16" t="str">
        <f>IFNA(VLOOKUP($A760,Spells!$A$2:$I1002,MATCH(B$3,Spells!$A$1:$I$1,0),FALSE))</f>
        <v/>
      </c>
      <c r="C760" s="16" t="str">
        <f>IFNA(VLOOKUP($A760,Spells!$A$2:$I1002,MATCH(C$3,Spells!$A$1:$I$1,0),FALSE))</f>
        <v/>
      </c>
      <c r="D760" s="16" t="str">
        <f>IFNA(VLOOKUP($A760,Spells!$A$2:$I1002,MATCH(D$3,Spells!$A$1:$I$1,0),FALSE))</f>
        <v/>
      </c>
      <c r="E760" s="16" t="str">
        <f>IFNA(VLOOKUP($A760,Spells!$A$2:$I1002,MATCH(E$3,Spells!$A$1:$I$1,0),FALSE))</f>
        <v/>
      </c>
      <c r="F760" s="16" t="str">
        <f>IFNA(VLOOKUP($A760,Spells!$A$2:$I1002,MATCH(F$3,Spells!$A$1:$I$1,0),FALSE))</f>
        <v/>
      </c>
      <c r="G760" s="16" t="str">
        <f>IFNA(VLOOKUP($A760,Spells!$A$2:$I1002,MATCH(G$3,Spells!$A$1:$I$1,0),FALSE))</f>
        <v/>
      </c>
      <c r="H760" s="16" t="str">
        <f>IFNA(VLOOKUP($A760,Spells!$A$2:$I1002,MATCH(H$3,Spells!$A$1:$I$1,0),FALSE))</f>
        <v/>
      </c>
    </row>
    <row r="761">
      <c r="A761" s="16"/>
      <c r="B761" s="16" t="str">
        <f>IFNA(VLOOKUP($A761,Spells!$A$2:$I1002,MATCH(B$3,Spells!$A$1:$I$1,0),FALSE))</f>
        <v/>
      </c>
      <c r="C761" s="16" t="str">
        <f>IFNA(VLOOKUP($A761,Spells!$A$2:$I1002,MATCH(C$3,Spells!$A$1:$I$1,0),FALSE))</f>
        <v/>
      </c>
      <c r="D761" s="16" t="str">
        <f>IFNA(VLOOKUP($A761,Spells!$A$2:$I1002,MATCH(D$3,Spells!$A$1:$I$1,0),FALSE))</f>
        <v/>
      </c>
      <c r="E761" s="16" t="str">
        <f>IFNA(VLOOKUP($A761,Spells!$A$2:$I1002,MATCH(E$3,Spells!$A$1:$I$1,0),FALSE))</f>
        <v/>
      </c>
      <c r="F761" s="16" t="str">
        <f>IFNA(VLOOKUP($A761,Spells!$A$2:$I1002,MATCH(F$3,Spells!$A$1:$I$1,0),FALSE))</f>
        <v/>
      </c>
      <c r="G761" s="16" t="str">
        <f>IFNA(VLOOKUP($A761,Spells!$A$2:$I1002,MATCH(G$3,Spells!$A$1:$I$1,0),FALSE))</f>
        <v/>
      </c>
      <c r="H761" s="16" t="str">
        <f>IFNA(VLOOKUP($A761,Spells!$A$2:$I1002,MATCH(H$3,Spells!$A$1:$I$1,0),FALSE))</f>
        <v/>
      </c>
    </row>
    <row r="762">
      <c r="A762" s="16"/>
      <c r="B762" s="16" t="str">
        <f>IFNA(VLOOKUP($A762,Spells!$A$2:$I1002,MATCH(B$3,Spells!$A$1:$I$1,0),FALSE))</f>
        <v/>
      </c>
      <c r="C762" s="16" t="str">
        <f>IFNA(VLOOKUP($A762,Spells!$A$2:$I1002,MATCH(C$3,Spells!$A$1:$I$1,0),FALSE))</f>
        <v/>
      </c>
      <c r="D762" s="16" t="str">
        <f>IFNA(VLOOKUP($A762,Spells!$A$2:$I1002,MATCH(D$3,Spells!$A$1:$I$1,0),FALSE))</f>
        <v/>
      </c>
      <c r="E762" s="16" t="str">
        <f>IFNA(VLOOKUP($A762,Spells!$A$2:$I1002,MATCH(E$3,Spells!$A$1:$I$1,0),FALSE))</f>
        <v/>
      </c>
      <c r="F762" s="16" t="str">
        <f>IFNA(VLOOKUP($A762,Spells!$A$2:$I1002,MATCH(F$3,Spells!$A$1:$I$1,0),FALSE))</f>
        <v/>
      </c>
      <c r="G762" s="16" t="str">
        <f>IFNA(VLOOKUP($A762,Spells!$A$2:$I1002,MATCH(G$3,Spells!$A$1:$I$1,0),FALSE))</f>
        <v/>
      </c>
      <c r="H762" s="16" t="str">
        <f>IFNA(VLOOKUP($A762,Spells!$A$2:$I1002,MATCH(H$3,Spells!$A$1:$I$1,0),FALSE))</f>
        <v/>
      </c>
    </row>
    <row r="763">
      <c r="A763" s="16"/>
      <c r="B763" s="16" t="str">
        <f>IFNA(VLOOKUP($A763,Spells!$A$2:$I1002,MATCH(B$3,Spells!$A$1:$I$1,0),FALSE))</f>
        <v/>
      </c>
      <c r="C763" s="16" t="str">
        <f>IFNA(VLOOKUP($A763,Spells!$A$2:$I1002,MATCH(C$3,Spells!$A$1:$I$1,0),FALSE))</f>
        <v/>
      </c>
      <c r="D763" s="16" t="str">
        <f>IFNA(VLOOKUP($A763,Spells!$A$2:$I1002,MATCH(D$3,Spells!$A$1:$I$1,0),FALSE))</f>
        <v/>
      </c>
      <c r="E763" s="16" t="str">
        <f>IFNA(VLOOKUP($A763,Spells!$A$2:$I1002,MATCH(E$3,Spells!$A$1:$I$1,0),FALSE))</f>
        <v/>
      </c>
      <c r="F763" s="16" t="str">
        <f>IFNA(VLOOKUP($A763,Spells!$A$2:$I1002,MATCH(F$3,Spells!$A$1:$I$1,0),FALSE))</f>
        <v/>
      </c>
      <c r="G763" s="16" t="str">
        <f>IFNA(VLOOKUP($A763,Spells!$A$2:$I1002,MATCH(G$3,Spells!$A$1:$I$1,0),FALSE))</f>
        <v/>
      </c>
      <c r="H763" s="16" t="str">
        <f>IFNA(VLOOKUP($A763,Spells!$A$2:$I1002,MATCH(H$3,Spells!$A$1:$I$1,0),FALSE))</f>
        <v/>
      </c>
    </row>
    <row r="764">
      <c r="A764" s="16"/>
      <c r="B764" s="16" t="str">
        <f>IFNA(VLOOKUP($A764,Spells!$A$2:$I1002,MATCH(B$3,Spells!$A$1:$I$1,0),FALSE))</f>
        <v/>
      </c>
      <c r="C764" s="16" t="str">
        <f>IFNA(VLOOKUP($A764,Spells!$A$2:$I1002,MATCH(C$3,Spells!$A$1:$I$1,0),FALSE))</f>
        <v/>
      </c>
      <c r="D764" s="16" t="str">
        <f>IFNA(VLOOKUP($A764,Spells!$A$2:$I1002,MATCH(D$3,Spells!$A$1:$I$1,0),FALSE))</f>
        <v/>
      </c>
      <c r="E764" s="16" t="str">
        <f>IFNA(VLOOKUP($A764,Spells!$A$2:$I1002,MATCH(E$3,Spells!$A$1:$I$1,0),FALSE))</f>
        <v/>
      </c>
      <c r="F764" s="16" t="str">
        <f>IFNA(VLOOKUP($A764,Spells!$A$2:$I1002,MATCH(F$3,Spells!$A$1:$I$1,0),FALSE))</f>
        <v/>
      </c>
      <c r="G764" s="16" t="str">
        <f>IFNA(VLOOKUP($A764,Spells!$A$2:$I1002,MATCH(G$3,Spells!$A$1:$I$1,0),FALSE))</f>
        <v/>
      </c>
      <c r="H764" s="16" t="str">
        <f>IFNA(VLOOKUP($A764,Spells!$A$2:$I1002,MATCH(H$3,Spells!$A$1:$I$1,0),FALSE))</f>
        <v/>
      </c>
    </row>
    <row r="765">
      <c r="A765" s="16"/>
      <c r="B765" s="16" t="str">
        <f>IFNA(VLOOKUP($A765,Spells!$A$2:$I1002,MATCH(B$3,Spells!$A$1:$I$1,0),FALSE))</f>
        <v/>
      </c>
      <c r="C765" s="16" t="str">
        <f>IFNA(VLOOKUP($A765,Spells!$A$2:$I1002,MATCH(C$3,Spells!$A$1:$I$1,0),FALSE))</f>
        <v/>
      </c>
      <c r="D765" s="16" t="str">
        <f>IFNA(VLOOKUP($A765,Spells!$A$2:$I1002,MATCH(D$3,Spells!$A$1:$I$1,0),FALSE))</f>
        <v/>
      </c>
      <c r="E765" s="16" t="str">
        <f>IFNA(VLOOKUP($A765,Spells!$A$2:$I1002,MATCH(E$3,Spells!$A$1:$I$1,0),FALSE))</f>
        <v/>
      </c>
      <c r="F765" s="16" t="str">
        <f>IFNA(VLOOKUP($A765,Spells!$A$2:$I1002,MATCH(F$3,Spells!$A$1:$I$1,0),FALSE))</f>
        <v/>
      </c>
      <c r="G765" s="16" t="str">
        <f>IFNA(VLOOKUP($A765,Spells!$A$2:$I1002,MATCH(G$3,Spells!$A$1:$I$1,0),FALSE))</f>
        <v/>
      </c>
      <c r="H765" s="16" t="str">
        <f>IFNA(VLOOKUP($A765,Spells!$A$2:$I1002,MATCH(H$3,Spells!$A$1:$I$1,0),FALSE))</f>
        <v/>
      </c>
    </row>
    <row r="766">
      <c r="A766" s="16"/>
      <c r="B766" s="16" t="str">
        <f>IFNA(VLOOKUP($A766,Spells!$A$2:$I1002,MATCH(B$3,Spells!$A$1:$I$1,0),FALSE))</f>
        <v/>
      </c>
      <c r="C766" s="16" t="str">
        <f>IFNA(VLOOKUP($A766,Spells!$A$2:$I1002,MATCH(C$3,Spells!$A$1:$I$1,0),FALSE))</f>
        <v/>
      </c>
      <c r="D766" s="16" t="str">
        <f>IFNA(VLOOKUP($A766,Spells!$A$2:$I1002,MATCH(D$3,Spells!$A$1:$I$1,0),FALSE))</f>
        <v/>
      </c>
      <c r="E766" s="16" t="str">
        <f>IFNA(VLOOKUP($A766,Spells!$A$2:$I1002,MATCH(E$3,Spells!$A$1:$I$1,0),FALSE))</f>
        <v/>
      </c>
      <c r="F766" s="16" t="str">
        <f>IFNA(VLOOKUP($A766,Spells!$A$2:$I1002,MATCH(F$3,Spells!$A$1:$I$1,0),FALSE))</f>
        <v/>
      </c>
      <c r="G766" s="16" t="str">
        <f>IFNA(VLOOKUP($A766,Spells!$A$2:$I1002,MATCH(G$3,Spells!$A$1:$I$1,0),FALSE))</f>
        <v/>
      </c>
      <c r="H766" s="16" t="str">
        <f>IFNA(VLOOKUP($A766,Spells!$A$2:$I1002,MATCH(H$3,Spells!$A$1:$I$1,0),FALSE))</f>
        <v/>
      </c>
    </row>
    <row r="767">
      <c r="A767" s="16"/>
      <c r="B767" s="16" t="str">
        <f>IFNA(VLOOKUP($A767,Spells!$A$2:$I1002,MATCH(B$3,Spells!$A$1:$I$1,0),FALSE))</f>
        <v/>
      </c>
      <c r="C767" s="16" t="str">
        <f>IFNA(VLOOKUP($A767,Spells!$A$2:$I1002,MATCH(C$3,Spells!$A$1:$I$1,0),FALSE))</f>
        <v/>
      </c>
      <c r="D767" s="16" t="str">
        <f>IFNA(VLOOKUP($A767,Spells!$A$2:$I1002,MATCH(D$3,Spells!$A$1:$I$1,0),FALSE))</f>
        <v/>
      </c>
      <c r="E767" s="16" t="str">
        <f>IFNA(VLOOKUP($A767,Spells!$A$2:$I1002,MATCH(E$3,Spells!$A$1:$I$1,0),FALSE))</f>
        <v/>
      </c>
      <c r="F767" s="16" t="str">
        <f>IFNA(VLOOKUP($A767,Spells!$A$2:$I1002,MATCH(F$3,Spells!$A$1:$I$1,0),FALSE))</f>
        <v/>
      </c>
      <c r="G767" s="16" t="str">
        <f>IFNA(VLOOKUP($A767,Spells!$A$2:$I1002,MATCH(G$3,Spells!$A$1:$I$1,0),FALSE))</f>
        <v/>
      </c>
      <c r="H767" s="16" t="str">
        <f>IFNA(VLOOKUP($A767,Spells!$A$2:$I1002,MATCH(H$3,Spells!$A$1:$I$1,0),FALSE))</f>
        <v/>
      </c>
    </row>
    <row r="768">
      <c r="A768" s="16"/>
      <c r="B768" s="16" t="str">
        <f>IFNA(VLOOKUP($A768,Spells!$A$2:$I1002,MATCH(B$3,Spells!$A$1:$I$1,0),FALSE))</f>
        <v/>
      </c>
      <c r="C768" s="16" t="str">
        <f>IFNA(VLOOKUP($A768,Spells!$A$2:$I1002,MATCH(C$3,Spells!$A$1:$I$1,0),FALSE))</f>
        <v/>
      </c>
      <c r="D768" s="16" t="str">
        <f>IFNA(VLOOKUP($A768,Spells!$A$2:$I1002,MATCH(D$3,Spells!$A$1:$I$1,0),FALSE))</f>
        <v/>
      </c>
      <c r="E768" s="16" t="str">
        <f>IFNA(VLOOKUP($A768,Spells!$A$2:$I1002,MATCH(E$3,Spells!$A$1:$I$1,0),FALSE))</f>
        <v/>
      </c>
      <c r="F768" s="16" t="str">
        <f>IFNA(VLOOKUP($A768,Spells!$A$2:$I1002,MATCH(F$3,Spells!$A$1:$I$1,0),FALSE))</f>
        <v/>
      </c>
      <c r="G768" s="16" t="str">
        <f>IFNA(VLOOKUP($A768,Spells!$A$2:$I1002,MATCH(G$3,Spells!$A$1:$I$1,0),FALSE))</f>
        <v/>
      </c>
      <c r="H768" s="16" t="str">
        <f>IFNA(VLOOKUP($A768,Spells!$A$2:$I1002,MATCH(H$3,Spells!$A$1:$I$1,0),FALSE))</f>
        <v/>
      </c>
    </row>
    <row r="769">
      <c r="A769" s="16"/>
      <c r="B769" s="16" t="str">
        <f>IFNA(VLOOKUP($A769,Spells!$A$2:$I1002,MATCH(B$3,Spells!$A$1:$I$1,0),FALSE))</f>
        <v/>
      </c>
      <c r="C769" s="16" t="str">
        <f>IFNA(VLOOKUP($A769,Spells!$A$2:$I1002,MATCH(C$3,Spells!$A$1:$I$1,0),FALSE))</f>
        <v/>
      </c>
      <c r="D769" s="16" t="str">
        <f>IFNA(VLOOKUP($A769,Spells!$A$2:$I1002,MATCH(D$3,Spells!$A$1:$I$1,0),FALSE))</f>
        <v/>
      </c>
      <c r="E769" s="16" t="str">
        <f>IFNA(VLOOKUP($A769,Spells!$A$2:$I1002,MATCH(E$3,Spells!$A$1:$I$1,0),FALSE))</f>
        <v/>
      </c>
      <c r="F769" s="16" t="str">
        <f>IFNA(VLOOKUP($A769,Spells!$A$2:$I1002,MATCH(F$3,Spells!$A$1:$I$1,0),FALSE))</f>
        <v/>
      </c>
      <c r="G769" s="16" t="str">
        <f>IFNA(VLOOKUP($A769,Spells!$A$2:$I1002,MATCH(G$3,Spells!$A$1:$I$1,0),FALSE))</f>
        <v/>
      </c>
      <c r="H769" s="16" t="str">
        <f>IFNA(VLOOKUP($A769,Spells!$A$2:$I1002,MATCH(H$3,Spells!$A$1:$I$1,0),FALSE))</f>
        <v/>
      </c>
    </row>
    <row r="770">
      <c r="A770" s="16"/>
      <c r="B770" s="16" t="str">
        <f>IFNA(VLOOKUP($A770,Spells!$A$2:$I1002,MATCH(B$3,Spells!$A$1:$I$1,0),FALSE))</f>
        <v/>
      </c>
      <c r="C770" s="16" t="str">
        <f>IFNA(VLOOKUP($A770,Spells!$A$2:$I1002,MATCH(C$3,Spells!$A$1:$I$1,0),FALSE))</f>
        <v/>
      </c>
      <c r="D770" s="16" t="str">
        <f>IFNA(VLOOKUP($A770,Spells!$A$2:$I1002,MATCH(D$3,Spells!$A$1:$I$1,0),FALSE))</f>
        <v/>
      </c>
      <c r="E770" s="16" t="str">
        <f>IFNA(VLOOKUP($A770,Spells!$A$2:$I1002,MATCH(E$3,Spells!$A$1:$I$1,0),FALSE))</f>
        <v/>
      </c>
      <c r="F770" s="16" t="str">
        <f>IFNA(VLOOKUP($A770,Spells!$A$2:$I1002,MATCH(F$3,Spells!$A$1:$I$1,0),FALSE))</f>
        <v/>
      </c>
      <c r="G770" s="16" t="str">
        <f>IFNA(VLOOKUP($A770,Spells!$A$2:$I1002,MATCH(G$3,Spells!$A$1:$I$1,0),FALSE))</f>
        <v/>
      </c>
      <c r="H770" s="16" t="str">
        <f>IFNA(VLOOKUP($A770,Spells!$A$2:$I1002,MATCH(H$3,Spells!$A$1:$I$1,0),FALSE))</f>
        <v/>
      </c>
    </row>
    <row r="771">
      <c r="A771" s="16"/>
      <c r="B771" s="16" t="str">
        <f>IFNA(VLOOKUP($A771,Spells!$A$2:$I1002,MATCH(B$3,Spells!$A$1:$I$1,0),FALSE))</f>
        <v/>
      </c>
      <c r="C771" s="16" t="str">
        <f>IFNA(VLOOKUP($A771,Spells!$A$2:$I1002,MATCH(C$3,Spells!$A$1:$I$1,0),FALSE))</f>
        <v/>
      </c>
      <c r="D771" s="16" t="str">
        <f>IFNA(VLOOKUP($A771,Spells!$A$2:$I1002,MATCH(D$3,Spells!$A$1:$I$1,0),FALSE))</f>
        <v/>
      </c>
      <c r="E771" s="16" t="str">
        <f>IFNA(VLOOKUP($A771,Spells!$A$2:$I1002,MATCH(E$3,Spells!$A$1:$I$1,0),FALSE))</f>
        <v/>
      </c>
      <c r="F771" s="16" t="str">
        <f>IFNA(VLOOKUP($A771,Spells!$A$2:$I1002,MATCH(F$3,Spells!$A$1:$I$1,0),FALSE))</f>
        <v/>
      </c>
      <c r="G771" s="16" t="str">
        <f>IFNA(VLOOKUP($A771,Spells!$A$2:$I1002,MATCH(G$3,Spells!$A$1:$I$1,0),FALSE))</f>
        <v/>
      </c>
      <c r="H771" s="16" t="str">
        <f>IFNA(VLOOKUP($A771,Spells!$A$2:$I1002,MATCH(H$3,Spells!$A$1:$I$1,0),FALSE))</f>
        <v/>
      </c>
    </row>
    <row r="772">
      <c r="A772" s="16"/>
      <c r="B772" s="16" t="str">
        <f>IFNA(VLOOKUP($A772,Spells!$A$2:$I1002,MATCH(B$3,Spells!$A$1:$I$1,0),FALSE))</f>
        <v/>
      </c>
      <c r="C772" s="16" t="str">
        <f>IFNA(VLOOKUP($A772,Spells!$A$2:$I1002,MATCH(C$3,Spells!$A$1:$I$1,0),FALSE))</f>
        <v/>
      </c>
      <c r="D772" s="16" t="str">
        <f>IFNA(VLOOKUP($A772,Spells!$A$2:$I1002,MATCH(D$3,Spells!$A$1:$I$1,0),FALSE))</f>
        <v/>
      </c>
      <c r="E772" s="16" t="str">
        <f>IFNA(VLOOKUP($A772,Spells!$A$2:$I1002,MATCH(E$3,Spells!$A$1:$I$1,0),FALSE))</f>
        <v/>
      </c>
      <c r="F772" s="16" t="str">
        <f>IFNA(VLOOKUP($A772,Spells!$A$2:$I1002,MATCH(F$3,Spells!$A$1:$I$1,0),FALSE))</f>
        <v/>
      </c>
      <c r="G772" s="16" t="str">
        <f>IFNA(VLOOKUP($A772,Spells!$A$2:$I1002,MATCH(G$3,Spells!$A$1:$I$1,0),FALSE))</f>
        <v/>
      </c>
      <c r="H772" s="16" t="str">
        <f>IFNA(VLOOKUP($A772,Spells!$A$2:$I1002,MATCH(H$3,Spells!$A$1:$I$1,0),FALSE))</f>
        <v/>
      </c>
    </row>
    <row r="773">
      <c r="A773" s="16"/>
      <c r="B773" s="16" t="str">
        <f>IFNA(VLOOKUP($A773,Spells!$A$2:$I1002,MATCH(B$3,Spells!$A$1:$I$1,0),FALSE))</f>
        <v/>
      </c>
      <c r="C773" s="16" t="str">
        <f>IFNA(VLOOKUP($A773,Spells!$A$2:$I1002,MATCH(C$3,Spells!$A$1:$I$1,0),FALSE))</f>
        <v/>
      </c>
      <c r="D773" s="16" t="str">
        <f>IFNA(VLOOKUP($A773,Spells!$A$2:$I1002,MATCH(D$3,Spells!$A$1:$I$1,0),FALSE))</f>
        <v/>
      </c>
      <c r="E773" s="16" t="str">
        <f>IFNA(VLOOKUP($A773,Spells!$A$2:$I1002,MATCH(E$3,Spells!$A$1:$I$1,0),FALSE))</f>
        <v/>
      </c>
      <c r="F773" s="16" t="str">
        <f>IFNA(VLOOKUP($A773,Spells!$A$2:$I1002,MATCH(F$3,Spells!$A$1:$I$1,0),FALSE))</f>
        <v/>
      </c>
      <c r="G773" s="16" t="str">
        <f>IFNA(VLOOKUP($A773,Spells!$A$2:$I1002,MATCH(G$3,Spells!$A$1:$I$1,0),FALSE))</f>
        <v/>
      </c>
      <c r="H773" s="16" t="str">
        <f>IFNA(VLOOKUP($A773,Spells!$A$2:$I1002,MATCH(H$3,Spells!$A$1:$I$1,0),FALSE))</f>
        <v/>
      </c>
    </row>
    <row r="774">
      <c r="A774" s="16"/>
      <c r="B774" s="16" t="str">
        <f>IFNA(VLOOKUP($A774,Spells!$A$2:$I1002,MATCH(B$3,Spells!$A$1:$I$1,0),FALSE))</f>
        <v/>
      </c>
      <c r="C774" s="16" t="str">
        <f>IFNA(VLOOKUP($A774,Spells!$A$2:$I1002,MATCH(C$3,Spells!$A$1:$I$1,0),FALSE))</f>
        <v/>
      </c>
      <c r="D774" s="16" t="str">
        <f>IFNA(VLOOKUP($A774,Spells!$A$2:$I1002,MATCH(D$3,Spells!$A$1:$I$1,0),FALSE))</f>
        <v/>
      </c>
      <c r="E774" s="16" t="str">
        <f>IFNA(VLOOKUP($A774,Spells!$A$2:$I1002,MATCH(E$3,Spells!$A$1:$I$1,0),FALSE))</f>
        <v/>
      </c>
      <c r="F774" s="16" t="str">
        <f>IFNA(VLOOKUP($A774,Spells!$A$2:$I1002,MATCH(F$3,Spells!$A$1:$I$1,0),FALSE))</f>
        <v/>
      </c>
      <c r="G774" s="16" t="str">
        <f>IFNA(VLOOKUP($A774,Spells!$A$2:$I1002,MATCH(G$3,Spells!$A$1:$I$1,0),FALSE))</f>
        <v/>
      </c>
      <c r="H774" s="16" t="str">
        <f>IFNA(VLOOKUP($A774,Spells!$A$2:$I1002,MATCH(H$3,Spells!$A$1:$I$1,0),FALSE))</f>
        <v/>
      </c>
    </row>
    <row r="775">
      <c r="A775" s="16"/>
      <c r="B775" s="16" t="str">
        <f>IFNA(VLOOKUP($A775,Spells!$A$2:$I1002,MATCH(B$3,Spells!$A$1:$I$1,0),FALSE))</f>
        <v/>
      </c>
      <c r="C775" s="16" t="str">
        <f>IFNA(VLOOKUP($A775,Spells!$A$2:$I1002,MATCH(C$3,Spells!$A$1:$I$1,0),FALSE))</f>
        <v/>
      </c>
      <c r="D775" s="16" t="str">
        <f>IFNA(VLOOKUP($A775,Spells!$A$2:$I1002,MATCH(D$3,Spells!$A$1:$I$1,0),FALSE))</f>
        <v/>
      </c>
      <c r="E775" s="16" t="str">
        <f>IFNA(VLOOKUP($A775,Spells!$A$2:$I1002,MATCH(E$3,Spells!$A$1:$I$1,0),FALSE))</f>
        <v/>
      </c>
      <c r="F775" s="16" t="str">
        <f>IFNA(VLOOKUP($A775,Spells!$A$2:$I1002,MATCH(F$3,Spells!$A$1:$I$1,0),FALSE))</f>
        <v/>
      </c>
      <c r="G775" s="16" t="str">
        <f>IFNA(VLOOKUP($A775,Spells!$A$2:$I1002,MATCH(G$3,Spells!$A$1:$I$1,0),FALSE))</f>
        <v/>
      </c>
      <c r="H775" s="16" t="str">
        <f>IFNA(VLOOKUP($A775,Spells!$A$2:$I1002,MATCH(H$3,Spells!$A$1:$I$1,0),FALSE))</f>
        <v/>
      </c>
    </row>
    <row r="776">
      <c r="A776" s="16"/>
      <c r="B776" s="16" t="str">
        <f>IFNA(VLOOKUP($A776,Spells!$A$2:$I1002,MATCH(B$3,Spells!$A$1:$I$1,0),FALSE))</f>
        <v/>
      </c>
      <c r="C776" s="16" t="str">
        <f>IFNA(VLOOKUP($A776,Spells!$A$2:$I1002,MATCH(C$3,Spells!$A$1:$I$1,0),FALSE))</f>
        <v/>
      </c>
      <c r="D776" s="16" t="str">
        <f>IFNA(VLOOKUP($A776,Spells!$A$2:$I1002,MATCH(D$3,Spells!$A$1:$I$1,0),FALSE))</f>
        <v/>
      </c>
      <c r="E776" s="16" t="str">
        <f>IFNA(VLOOKUP($A776,Spells!$A$2:$I1002,MATCH(E$3,Spells!$A$1:$I$1,0),FALSE))</f>
        <v/>
      </c>
      <c r="F776" s="16" t="str">
        <f>IFNA(VLOOKUP($A776,Spells!$A$2:$I1002,MATCH(F$3,Spells!$A$1:$I$1,0),FALSE))</f>
        <v/>
      </c>
      <c r="G776" s="16" t="str">
        <f>IFNA(VLOOKUP($A776,Spells!$A$2:$I1002,MATCH(G$3,Spells!$A$1:$I$1,0),FALSE))</f>
        <v/>
      </c>
      <c r="H776" s="16" t="str">
        <f>IFNA(VLOOKUP($A776,Spells!$A$2:$I1002,MATCH(H$3,Spells!$A$1:$I$1,0),FALSE))</f>
        <v/>
      </c>
    </row>
    <row r="777">
      <c r="A777" s="16"/>
      <c r="B777" s="16" t="str">
        <f>IFNA(VLOOKUP($A777,Spells!$A$2:$I1002,MATCH(B$3,Spells!$A$1:$I$1,0),FALSE))</f>
        <v/>
      </c>
      <c r="C777" s="16" t="str">
        <f>IFNA(VLOOKUP($A777,Spells!$A$2:$I1002,MATCH(C$3,Spells!$A$1:$I$1,0),FALSE))</f>
        <v/>
      </c>
      <c r="D777" s="16" t="str">
        <f>IFNA(VLOOKUP($A777,Spells!$A$2:$I1002,MATCH(D$3,Spells!$A$1:$I$1,0),FALSE))</f>
        <v/>
      </c>
      <c r="E777" s="16" t="str">
        <f>IFNA(VLOOKUP($A777,Spells!$A$2:$I1002,MATCH(E$3,Spells!$A$1:$I$1,0),FALSE))</f>
        <v/>
      </c>
      <c r="F777" s="16" t="str">
        <f>IFNA(VLOOKUP($A777,Spells!$A$2:$I1002,MATCH(F$3,Spells!$A$1:$I$1,0),FALSE))</f>
        <v/>
      </c>
      <c r="G777" s="16" t="str">
        <f>IFNA(VLOOKUP($A777,Spells!$A$2:$I1002,MATCH(G$3,Spells!$A$1:$I$1,0),FALSE))</f>
        <v/>
      </c>
      <c r="H777" s="16" t="str">
        <f>IFNA(VLOOKUP($A777,Spells!$A$2:$I1002,MATCH(H$3,Spells!$A$1:$I$1,0),FALSE))</f>
        <v/>
      </c>
    </row>
    <row r="778">
      <c r="A778" s="16"/>
      <c r="B778" s="16" t="str">
        <f>IFNA(VLOOKUP($A778,Spells!$A$2:$I1002,MATCH(B$3,Spells!$A$1:$I$1,0),FALSE))</f>
        <v/>
      </c>
      <c r="C778" s="16" t="str">
        <f>IFNA(VLOOKUP($A778,Spells!$A$2:$I1002,MATCH(C$3,Spells!$A$1:$I$1,0),FALSE))</f>
        <v/>
      </c>
      <c r="D778" s="16" t="str">
        <f>IFNA(VLOOKUP($A778,Spells!$A$2:$I1002,MATCH(D$3,Spells!$A$1:$I$1,0),FALSE))</f>
        <v/>
      </c>
      <c r="E778" s="16" t="str">
        <f>IFNA(VLOOKUP($A778,Spells!$A$2:$I1002,MATCH(E$3,Spells!$A$1:$I$1,0),FALSE))</f>
        <v/>
      </c>
      <c r="F778" s="16" t="str">
        <f>IFNA(VLOOKUP($A778,Spells!$A$2:$I1002,MATCH(F$3,Spells!$A$1:$I$1,0),FALSE))</f>
        <v/>
      </c>
      <c r="G778" s="16" t="str">
        <f>IFNA(VLOOKUP($A778,Spells!$A$2:$I1002,MATCH(G$3,Spells!$A$1:$I$1,0),FALSE))</f>
        <v/>
      </c>
      <c r="H778" s="16" t="str">
        <f>IFNA(VLOOKUP($A778,Spells!$A$2:$I1002,MATCH(H$3,Spells!$A$1:$I$1,0),FALSE))</f>
        <v/>
      </c>
    </row>
    <row r="779">
      <c r="A779" s="16"/>
      <c r="B779" s="16" t="str">
        <f>IFNA(VLOOKUP($A779,Spells!$A$2:$I1002,MATCH(B$3,Spells!$A$1:$I$1,0),FALSE))</f>
        <v/>
      </c>
      <c r="C779" s="16" t="str">
        <f>IFNA(VLOOKUP($A779,Spells!$A$2:$I1002,MATCH(C$3,Spells!$A$1:$I$1,0),FALSE))</f>
        <v/>
      </c>
      <c r="D779" s="16" t="str">
        <f>IFNA(VLOOKUP($A779,Spells!$A$2:$I1002,MATCH(D$3,Spells!$A$1:$I$1,0),FALSE))</f>
        <v/>
      </c>
      <c r="E779" s="16" t="str">
        <f>IFNA(VLOOKUP($A779,Spells!$A$2:$I1002,MATCH(E$3,Spells!$A$1:$I$1,0),FALSE))</f>
        <v/>
      </c>
      <c r="F779" s="16" t="str">
        <f>IFNA(VLOOKUP($A779,Spells!$A$2:$I1002,MATCH(F$3,Spells!$A$1:$I$1,0),FALSE))</f>
        <v/>
      </c>
      <c r="G779" s="16" t="str">
        <f>IFNA(VLOOKUP($A779,Spells!$A$2:$I1002,MATCH(G$3,Spells!$A$1:$I$1,0),FALSE))</f>
        <v/>
      </c>
      <c r="H779" s="16" t="str">
        <f>IFNA(VLOOKUP($A779,Spells!$A$2:$I1002,MATCH(H$3,Spells!$A$1:$I$1,0),FALSE))</f>
        <v/>
      </c>
    </row>
    <row r="780">
      <c r="A780" s="16"/>
      <c r="B780" s="16" t="str">
        <f>IFNA(VLOOKUP($A780,Spells!$A$2:$I1002,MATCH(B$3,Spells!$A$1:$I$1,0),FALSE))</f>
        <v/>
      </c>
      <c r="C780" s="16" t="str">
        <f>IFNA(VLOOKUP($A780,Spells!$A$2:$I1002,MATCH(C$3,Spells!$A$1:$I$1,0),FALSE))</f>
        <v/>
      </c>
      <c r="D780" s="16" t="str">
        <f>IFNA(VLOOKUP($A780,Spells!$A$2:$I1002,MATCH(D$3,Spells!$A$1:$I$1,0),FALSE))</f>
        <v/>
      </c>
      <c r="E780" s="16" t="str">
        <f>IFNA(VLOOKUP($A780,Spells!$A$2:$I1002,MATCH(E$3,Spells!$A$1:$I$1,0),FALSE))</f>
        <v/>
      </c>
      <c r="F780" s="16" t="str">
        <f>IFNA(VLOOKUP($A780,Spells!$A$2:$I1002,MATCH(F$3,Spells!$A$1:$I$1,0),FALSE))</f>
        <v/>
      </c>
      <c r="G780" s="16" t="str">
        <f>IFNA(VLOOKUP($A780,Spells!$A$2:$I1002,MATCH(G$3,Spells!$A$1:$I$1,0),FALSE))</f>
        <v/>
      </c>
      <c r="H780" s="16" t="str">
        <f>IFNA(VLOOKUP($A780,Spells!$A$2:$I1002,MATCH(H$3,Spells!$A$1:$I$1,0),FALSE))</f>
        <v/>
      </c>
    </row>
    <row r="781">
      <c r="A781" s="16"/>
      <c r="B781" s="16" t="str">
        <f>IFNA(VLOOKUP($A781,Spells!$A$2:$I1002,MATCH(B$3,Spells!$A$1:$I$1,0),FALSE))</f>
        <v/>
      </c>
      <c r="C781" s="16" t="str">
        <f>IFNA(VLOOKUP($A781,Spells!$A$2:$I1002,MATCH(C$3,Spells!$A$1:$I$1,0),FALSE))</f>
        <v/>
      </c>
      <c r="D781" s="16" t="str">
        <f>IFNA(VLOOKUP($A781,Spells!$A$2:$I1002,MATCH(D$3,Spells!$A$1:$I$1,0),FALSE))</f>
        <v/>
      </c>
      <c r="E781" s="16" t="str">
        <f>IFNA(VLOOKUP($A781,Spells!$A$2:$I1002,MATCH(E$3,Spells!$A$1:$I$1,0),FALSE))</f>
        <v/>
      </c>
      <c r="F781" s="16" t="str">
        <f>IFNA(VLOOKUP($A781,Spells!$A$2:$I1002,MATCH(F$3,Spells!$A$1:$I$1,0),FALSE))</f>
        <v/>
      </c>
      <c r="G781" s="16" t="str">
        <f>IFNA(VLOOKUP($A781,Spells!$A$2:$I1002,MATCH(G$3,Spells!$A$1:$I$1,0),FALSE))</f>
        <v/>
      </c>
      <c r="H781" s="16" t="str">
        <f>IFNA(VLOOKUP($A781,Spells!$A$2:$I1002,MATCH(H$3,Spells!$A$1:$I$1,0),FALSE))</f>
        <v/>
      </c>
    </row>
    <row r="782">
      <c r="A782" s="16"/>
      <c r="B782" s="16" t="str">
        <f>IFNA(VLOOKUP($A782,Spells!$A$2:$I1002,MATCH(B$3,Spells!$A$1:$I$1,0),FALSE))</f>
        <v/>
      </c>
      <c r="C782" s="16" t="str">
        <f>IFNA(VLOOKUP($A782,Spells!$A$2:$I1002,MATCH(C$3,Spells!$A$1:$I$1,0),FALSE))</f>
        <v/>
      </c>
      <c r="D782" s="16" t="str">
        <f>IFNA(VLOOKUP($A782,Spells!$A$2:$I1002,MATCH(D$3,Spells!$A$1:$I$1,0),FALSE))</f>
        <v/>
      </c>
      <c r="E782" s="16" t="str">
        <f>IFNA(VLOOKUP($A782,Spells!$A$2:$I1002,MATCH(E$3,Spells!$A$1:$I$1,0),FALSE))</f>
        <v/>
      </c>
      <c r="F782" s="16" t="str">
        <f>IFNA(VLOOKUP($A782,Spells!$A$2:$I1002,MATCH(F$3,Spells!$A$1:$I$1,0),FALSE))</f>
        <v/>
      </c>
      <c r="G782" s="16" t="str">
        <f>IFNA(VLOOKUP($A782,Spells!$A$2:$I1002,MATCH(G$3,Spells!$A$1:$I$1,0),FALSE))</f>
        <v/>
      </c>
      <c r="H782" s="16" t="str">
        <f>IFNA(VLOOKUP($A782,Spells!$A$2:$I1002,MATCH(H$3,Spells!$A$1:$I$1,0),FALSE))</f>
        <v/>
      </c>
    </row>
    <row r="783">
      <c r="A783" s="16"/>
      <c r="B783" s="16" t="str">
        <f>IFNA(VLOOKUP($A783,Spells!$A$2:$I1002,MATCH(B$3,Spells!$A$1:$I$1,0),FALSE))</f>
        <v/>
      </c>
      <c r="C783" s="16" t="str">
        <f>IFNA(VLOOKUP($A783,Spells!$A$2:$I1002,MATCH(C$3,Spells!$A$1:$I$1,0),FALSE))</f>
        <v/>
      </c>
      <c r="D783" s="16" t="str">
        <f>IFNA(VLOOKUP($A783,Spells!$A$2:$I1002,MATCH(D$3,Spells!$A$1:$I$1,0),FALSE))</f>
        <v/>
      </c>
      <c r="E783" s="16" t="str">
        <f>IFNA(VLOOKUP($A783,Spells!$A$2:$I1002,MATCH(E$3,Spells!$A$1:$I$1,0),FALSE))</f>
        <v/>
      </c>
      <c r="F783" s="16" t="str">
        <f>IFNA(VLOOKUP($A783,Spells!$A$2:$I1002,MATCH(F$3,Spells!$A$1:$I$1,0),FALSE))</f>
        <v/>
      </c>
      <c r="G783" s="16" t="str">
        <f>IFNA(VLOOKUP($A783,Spells!$A$2:$I1002,MATCH(G$3,Spells!$A$1:$I$1,0),FALSE))</f>
        <v/>
      </c>
      <c r="H783" s="16" t="str">
        <f>IFNA(VLOOKUP($A783,Spells!$A$2:$I1002,MATCH(H$3,Spells!$A$1:$I$1,0),FALSE))</f>
        <v/>
      </c>
    </row>
    <row r="784">
      <c r="A784" s="16"/>
      <c r="B784" s="16" t="str">
        <f>IFNA(VLOOKUP($A784,Spells!$A$2:$I1002,MATCH(B$3,Spells!$A$1:$I$1,0),FALSE))</f>
        <v/>
      </c>
      <c r="C784" s="16" t="str">
        <f>IFNA(VLOOKUP($A784,Spells!$A$2:$I1002,MATCH(C$3,Spells!$A$1:$I$1,0),FALSE))</f>
        <v/>
      </c>
      <c r="D784" s="16" t="str">
        <f>IFNA(VLOOKUP($A784,Spells!$A$2:$I1002,MATCH(D$3,Spells!$A$1:$I$1,0),FALSE))</f>
        <v/>
      </c>
      <c r="E784" s="16" t="str">
        <f>IFNA(VLOOKUP($A784,Spells!$A$2:$I1002,MATCH(E$3,Spells!$A$1:$I$1,0),FALSE))</f>
        <v/>
      </c>
      <c r="F784" s="16" t="str">
        <f>IFNA(VLOOKUP($A784,Spells!$A$2:$I1002,MATCH(F$3,Spells!$A$1:$I$1,0),FALSE))</f>
        <v/>
      </c>
      <c r="G784" s="16" t="str">
        <f>IFNA(VLOOKUP($A784,Spells!$A$2:$I1002,MATCH(G$3,Spells!$A$1:$I$1,0),FALSE))</f>
        <v/>
      </c>
      <c r="H784" s="16" t="str">
        <f>IFNA(VLOOKUP($A784,Spells!$A$2:$I1002,MATCH(H$3,Spells!$A$1:$I$1,0),FALSE))</f>
        <v/>
      </c>
    </row>
    <row r="785">
      <c r="A785" s="16"/>
      <c r="B785" s="16" t="str">
        <f>IFNA(VLOOKUP($A785,Spells!$A$2:$I1002,MATCH(B$3,Spells!$A$1:$I$1,0),FALSE))</f>
        <v/>
      </c>
      <c r="C785" s="16" t="str">
        <f>IFNA(VLOOKUP($A785,Spells!$A$2:$I1002,MATCH(C$3,Spells!$A$1:$I$1,0),FALSE))</f>
        <v/>
      </c>
      <c r="D785" s="16" t="str">
        <f>IFNA(VLOOKUP($A785,Spells!$A$2:$I1002,MATCH(D$3,Spells!$A$1:$I$1,0),FALSE))</f>
        <v/>
      </c>
      <c r="E785" s="16" t="str">
        <f>IFNA(VLOOKUP($A785,Spells!$A$2:$I1002,MATCH(E$3,Spells!$A$1:$I$1,0),FALSE))</f>
        <v/>
      </c>
      <c r="F785" s="16" t="str">
        <f>IFNA(VLOOKUP($A785,Spells!$A$2:$I1002,MATCH(F$3,Spells!$A$1:$I$1,0),FALSE))</f>
        <v/>
      </c>
      <c r="G785" s="16" t="str">
        <f>IFNA(VLOOKUP($A785,Spells!$A$2:$I1002,MATCH(G$3,Spells!$A$1:$I$1,0),FALSE))</f>
        <v/>
      </c>
      <c r="H785" s="16" t="str">
        <f>IFNA(VLOOKUP($A785,Spells!$A$2:$I1002,MATCH(H$3,Spells!$A$1:$I$1,0),FALSE))</f>
        <v/>
      </c>
    </row>
    <row r="786">
      <c r="A786" s="16"/>
      <c r="B786" s="16" t="str">
        <f>IFNA(VLOOKUP($A786,Spells!$A$2:$I1002,MATCH(B$3,Spells!$A$1:$I$1,0),FALSE))</f>
        <v/>
      </c>
      <c r="C786" s="16" t="str">
        <f>IFNA(VLOOKUP($A786,Spells!$A$2:$I1002,MATCH(C$3,Spells!$A$1:$I$1,0),FALSE))</f>
        <v/>
      </c>
      <c r="D786" s="16" t="str">
        <f>IFNA(VLOOKUP($A786,Spells!$A$2:$I1002,MATCH(D$3,Spells!$A$1:$I$1,0),FALSE))</f>
        <v/>
      </c>
      <c r="E786" s="16" t="str">
        <f>IFNA(VLOOKUP($A786,Spells!$A$2:$I1002,MATCH(E$3,Spells!$A$1:$I$1,0),FALSE))</f>
        <v/>
      </c>
      <c r="F786" s="16" t="str">
        <f>IFNA(VLOOKUP($A786,Spells!$A$2:$I1002,MATCH(F$3,Spells!$A$1:$I$1,0),FALSE))</f>
        <v/>
      </c>
      <c r="G786" s="16" t="str">
        <f>IFNA(VLOOKUP($A786,Spells!$A$2:$I1002,MATCH(G$3,Spells!$A$1:$I$1,0),FALSE))</f>
        <v/>
      </c>
      <c r="H786" s="16" t="str">
        <f>IFNA(VLOOKUP($A786,Spells!$A$2:$I1002,MATCH(H$3,Spells!$A$1:$I$1,0),FALSE))</f>
        <v/>
      </c>
    </row>
    <row r="787">
      <c r="A787" s="16"/>
      <c r="B787" s="16" t="str">
        <f>IFNA(VLOOKUP($A787,Spells!$A$2:$I1002,MATCH(B$3,Spells!$A$1:$I$1,0),FALSE))</f>
        <v/>
      </c>
      <c r="C787" s="16" t="str">
        <f>IFNA(VLOOKUP($A787,Spells!$A$2:$I1002,MATCH(C$3,Spells!$A$1:$I$1,0),FALSE))</f>
        <v/>
      </c>
      <c r="D787" s="16" t="str">
        <f>IFNA(VLOOKUP($A787,Spells!$A$2:$I1002,MATCH(D$3,Spells!$A$1:$I$1,0),FALSE))</f>
        <v/>
      </c>
      <c r="E787" s="16" t="str">
        <f>IFNA(VLOOKUP($A787,Spells!$A$2:$I1002,MATCH(E$3,Spells!$A$1:$I$1,0),FALSE))</f>
        <v/>
      </c>
      <c r="F787" s="16" t="str">
        <f>IFNA(VLOOKUP($A787,Spells!$A$2:$I1002,MATCH(F$3,Spells!$A$1:$I$1,0),FALSE))</f>
        <v/>
      </c>
      <c r="G787" s="16" t="str">
        <f>IFNA(VLOOKUP($A787,Spells!$A$2:$I1002,MATCH(G$3,Spells!$A$1:$I$1,0),FALSE))</f>
        <v/>
      </c>
      <c r="H787" s="16" t="str">
        <f>IFNA(VLOOKUP($A787,Spells!$A$2:$I1002,MATCH(H$3,Spells!$A$1:$I$1,0),FALSE))</f>
        <v/>
      </c>
    </row>
    <row r="788">
      <c r="A788" s="16"/>
      <c r="B788" s="16" t="str">
        <f>IFNA(VLOOKUP($A788,Spells!$A$2:$I1002,MATCH(B$3,Spells!$A$1:$I$1,0),FALSE))</f>
        <v/>
      </c>
      <c r="C788" s="16" t="str">
        <f>IFNA(VLOOKUP($A788,Spells!$A$2:$I1002,MATCH(C$3,Spells!$A$1:$I$1,0),FALSE))</f>
        <v/>
      </c>
      <c r="D788" s="16" t="str">
        <f>IFNA(VLOOKUP($A788,Spells!$A$2:$I1002,MATCH(D$3,Spells!$A$1:$I$1,0),FALSE))</f>
        <v/>
      </c>
      <c r="E788" s="16" t="str">
        <f>IFNA(VLOOKUP($A788,Spells!$A$2:$I1002,MATCH(E$3,Spells!$A$1:$I$1,0),FALSE))</f>
        <v/>
      </c>
      <c r="F788" s="16" t="str">
        <f>IFNA(VLOOKUP($A788,Spells!$A$2:$I1002,MATCH(F$3,Spells!$A$1:$I$1,0),FALSE))</f>
        <v/>
      </c>
      <c r="G788" s="16" t="str">
        <f>IFNA(VLOOKUP($A788,Spells!$A$2:$I1002,MATCH(G$3,Spells!$A$1:$I$1,0),FALSE))</f>
        <v/>
      </c>
      <c r="H788" s="16" t="str">
        <f>IFNA(VLOOKUP($A788,Spells!$A$2:$I1002,MATCH(H$3,Spells!$A$1:$I$1,0),FALSE))</f>
        <v/>
      </c>
    </row>
    <row r="789">
      <c r="A789" s="16"/>
      <c r="B789" s="16" t="str">
        <f>IFNA(VLOOKUP($A789,Spells!$A$2:$I1002,MATCH(B$3,Spells!$A$1:$I$1,0),FALSE))</f>
        <v/>
      </c>
      <c r="C789" s="16" t="str">
        <f>IFNA(VLOOKUP($A789,Spells!$A$2:$I1002,MATCH(C$3,Spells!$A$1:$I$1,0),FALSE))</f>
        <v/>
      </c>
      <c r="D789" s="16" t="str">
        <f>IFNA(VLOOKUP($A789,Spells!$A$2:$I1002,MATCH(D$3,Spells!$A$1:$I$1,0),FALSE))</f>
        <v/>
      </c>
      <c r="E789" s="16" t="str">
        <f>IFNA(VLOOKUP($A789,Spells!$A$2:$I1002,MATCH(E$3,Spells!$A$1:$I$1,0),FALSE))</f>
        <v/>
      </c>
      <c r="F789" s="16" t="str">
        <f>IFNA(VLOOKUP($A789,Spells!$A$2:$I1002,MATCH(F$3,Spells!$A$1:$I$1,0),FALSE))</f>
        <v/>
      </c>
      <c r="G789" s="16" t="str">
        <f>IFNA(VLOOKUP($A789,Spells!$A$2:$I1002,MATCH(G$3,Spells!$A$1:$I$1,0),FALSE))</f>
        <v/>
      </c>
      <c r="H789" s="16" t="str">
        <f>IFNA(VLOOKUP($A789,Spells!$A$2:$I1002,MATCH(H$3,Spells!$A$1:$I$1,0),FALSE))</f>
        <v/>
      </c>
    </row>
    <row r="790">
      <c r="A790" s="16"/>
      <c r="B790" s="16" t="str">
        <f>IFNA(VLOOKUP($A790,Spells!$A$2:$I1002,MATCH(B$3,Spells!$A$1:$I$1,0),FALSE))</f>
        <v/>
      </c>
      <c r="C790" s="16" t="str">
        <f>IFNA(VLOOKUP($A790,Spells!$A$2:$I1002,MATCH(C$3,Spells!$A$1:$I$1,0),FALSE))</f>
        <v/>
      </c>
      <c r="D790" s="16" t="str">
        <f>IFNA(VLOOKUP($A790,Spells!$A$2:$I1002,MATCH(D$3,Spells!$A$1:$I$1,0),FALSE))</f>
        <v/>
      </c>
      <c r="E790" s="16" t="str">
        <f>IFNA(VLOOKUP($A790,Spells!$A$2:$I1002,MATCH(E$3,Spells!$A$1:$I$1,0),FALSE))</f>
        <v/>
      </c>
      <c r="F790" s="16" t="str">
        <f>IFNA(VLOOKUP($A790,Spells!$A$2:$I1002,MATCH(F$3,Spells!$A$1:$I$1,0),FALSE))</f>
        <v/>
      </c>
      <c r="G790" s="16" t="str">
        <f>IFNA(VLOOKUP($A790,Spells!$A$2:$I1002,MATCH(G$3,Spells!$A$1:$I$1,0),FALSE))</f>
        <v/>
      </c>
      <c r="H790" s="16" t="str">
        <f>IFNA(VLOOKUP($A790,Spells!$A$2:$I1002,MATCH(H$3,Spells!$A$1:$I$1,0),FALSE))</f>
        <v/>
      </c>
    </row>
    <row r="791">
      <c r="A791" s="16"/>
      <c r="B791" s="16" t="str">
        <f>IFNA(VLOOKUP($A791,Spells!$A$2:$I1002,MATCH(B$3,Spells!$A$1:$I$1,0),FALSE))</f>
        <v/>
      </c>
      <c r="C791" s="16" t="str">
        <f>IFNA(VLOOKUP($A791,Spells!$A$2:$I1002,MATCH(C$3,Spells!$A$1:$I$1,0),FALSE))</f>
        <v/>
      </c>
      <c r="D791" s="16" t="str">
        <f>IFNA(VLOOKUP($A791,Spells!$A$2:$I1002,MATCH(D$3,Spells!$A$1:$I$1,0),FALSE))</f>
        <v/>
      </c>
      <c r="E791" s="16" t="str">
        <f>IFNA(VLOOKUP($A791,Spells!$A$2:$I1002,MATCH(E$3,Spells!$A$1:$I$1,0),FALSE))</f>
        <v/>
      </c>
      <c r="F791" s="16" t="str">
        <f>IFNA(VLOOKUP($A791,Spells!$A$2:$I1002,MATCH(F$3,Spells!$A$1:$I$1,0),FALSE))</f>
        <v/>
      </c>
      <c r="G791" s="16" t="str">
        <f>IFNA(VLOOKUP($A791,Spells!$A$2:$I1002,MATCH(G$3,Spells!$A$1:$I$1,0),FALSE))</f>
        <v/>
      </c>
      <c r="H791" s="16" t="str">
        <f>IFNA(VLOOKUP($A791,Spells!$A$2:$I1002,MATCH(H$3,Spells!$A$1:$I$1,0),FALSE))</f>
        <v/>
      </c>
    </row>
    <row r="792">
      <c r="A792" s="16"/>
      <c r="B792" s="16" t="str">
        <f>IFNA(VLOOKUP($A792,Spells!$A$2:$I1002,MATCH(B$3,Spells!$A$1:$I$1,0),FALSE))</f>
        <v/>
      </c>
      <c r="C792" s="16" t="str">
        <f>IFNA(VLOOKUP($A792,Spells!$A$2:$I1002,MATCH(C$3,Spells!$A$1:$I$1,0),FALSE))</f>
        <v/>
      </c>
      <c r="D792" s="16" t="str">
        <f>IFNA(VLOOKUP($A792,Spells!$A$2:$I1002,MATCH(D$3,Spells!$A$1:$I$1,0),FALSE))</f>
        <v/>
      </c>
      <c r="E792" s="16" t="str">
        <f>IFNA(VLOOKUP($A792,Spells!$A$2:$I1002,MATCH(E$3,Spells!$A$1:$I$1,0),FALSE))</f>
        <v/>
      </c>
      <c r="F792" s="16" t="str">
        <f>IFNA(VLOOKUP($A792,Spells!$A$2:$I1002,MATCH(F$3,Spells!$A$1:$I$1,0),FALSE))</f>
        <v/>
      </c>
      <c r="G792" s="16" t="str">
        <f>IFNA(VLOOKUP($A792,Spells!$A$2:$I1002,MATCH(G$3,Spells!$A$1:$I$1,0),FALSE))</f>
        <v/>
      </c>
      <c r="H792" s="16" t="str">
        <f>IFNA(VLOOKUP($A792,Spells!$A$2:$I1002,MATCH(H$3,Spells!$A$1:$I$1,0),FALSE))</f>
        <v/>
      </c>
    </row>
    <row r="793">
      <c r="A793" s="16"/>
      <c r="B793" s="16" t="str">
        <f>IFNA(VLOOKUP($A793,Spells!$A$2:$I1002,MATCH(B$3,Spells!$A$1:$I$1,0),FALSE))</f>
        <v/>
      </c>
      <c r="C793" s="16" t="str">
        <f>IFNA(VLOOKUP($A793,Spells!$A$2:$I1002,MATCH(C$3,Spells!$A$1:$I$1,0),FALSE))</f>
        <v/>
      </c>
      <c r="D793" s="16" t="str">
        <f>IFNA(VLOOKUP($A793,Spells!$A$2:$I1002,MATCH(D$3,Spells!$A$1:$I$1,0),FALSE))</f>
        <v/>
      </c>
      <c r="E793" s="16" t="str">
        <f>IFNA(VLOOKUP($A793,Spells!$A$2:$I1002,MATCH(E$3,Spells!$A$1:$I$1,0),FALSE))</f>
        <v/>
      </c>
      <c r="F793" s="16" t="str">
        <f>IFNA(VLOOKUP($A793,Spells!$A$2:$I1002,MATCH(F$3,Spells!$A$1:$I$1,0),FALSE))</f>
        <v/>
      </c>
      <c r="G793" s="16" t="str">
        <f>IFNA(VLOOKUP($A793,Spells!$A$2:$I1002,MATCH(G$3,Spells!$A$1:$I$1,0),FALSE))</f>
        <v/>
      </c>
      <c r="H793" s="16" t="str">
        <f>IFNA(VLOOKUP($A793,Spells!$A$2:$I1002,MATCH(H$3,Spells!$A$1:$I$1,0),FALSE))</f>
        <v/>
      </c>
    </row>
    <row r="794">
      <c r="A794" s="16"/>
      <c r="B794" s="16" t="str">
        <f>IFNA(VLOOKUP($A794,Spells!$A$2:$I1002,MATCH(B$3,Spells!$A$1:$I$1,0),FALSE))</f>
        <v/>
      </c>
      <c r="C794" s="16" t="str">
        <f>IFNA(VLOOKUP($A794,Spells!$A$2:$I1002,MATCH(C$3,Spells!$A$1:$I$1,0),FALSE))</f>
        <v/>
      </c>
      <c r="D794" s="16" t="str">
        <f>IFNA(VLOOKUP($A794,Spells!$A$2:$I1002,MATCH(D$3,Spells!$A$1:$I$1,0),FALSE))</f>
        <v/>
      </c>
      <c r="E794" s="16" t="str">
        <f>IFNA(VLOOKUP($A794,Spells!$A$2:$I1002,MATCH(E$3,Spells!$A$1:$I$1,0),FALSE))</f>
        <v/>
      </c>
      <c r="F794" s="16" t="str">
        <f>IFNA(VLOOKUP($A794,Spells!$A$2:$I1002,MATCH(F$3,Spells!$A$1:$I$1,0),FALSE))</f>
        <v/>
      </c>
      <c r="G794" s="16" t="str">
        <f>IFNA(VLOOKUP($A794,Spells!$A$2:$I1002,MATCH(G$3,Spells!$A$1:$I$1,0),FALSE))</f>
        <v/>
      </c>
      <c r="H794" s="16" t="str">
        <f>IFNA(VLOOKUP($A794,Spells!$A$2:$I1002,MATCH(H$3,Spells!$A$1:$I$1,0),FALSE))</f>
        <v/>
      </c>
    </row>
    <row r="795">
      <c r="A795" s="16"/>
      <c r="B795" s="16" t="str">
        <f>IFNA(VLOOKUP($A795,Spells!$A$2:$I1002,MATCH(B$3,Spells!$A$1:$I$1,0),FALSE))</f>
        <v/>
      </c>
      <c r="C795" s="16" t="str">
        <f>IFNA(VLOOKUP($A795,Spells!$A$2:$I1002,MATCH(C$3,Spells!$A$1:$I$1,0),FALSE))</f>
        <v/>
      </c>
      <c r="D795" s="16" t="str">
        <f>IFNA(VLOOKUP($A795,Spells!$A$2:$I1002,MATCH(D$3,Spells!$A$1:$I$1,0),FALSE))</f>
        <v/>
      </c>
      <c r="E795" s="16" t="str">
        <f>IFNA(VLOOKUP($A795,Spells!$A$2:$I1002,MATCH(E$3,Spells!$A$1:$I$1,0),FALSE))</f>
        <v/>
      </c>
      <c r="F795" s="16" t="str">
        <f>IFNA(VLOOKUP($A795,Spells!$A$2:$I1002,MATCH(F$3,Spells!$A$1:$I$1,0),FALSE))</f>
        <v/>
      </c>
      <c r="G795" s="16" t="str">
        <f>IFNA(VLOOKUP($A795,Spells!$A$2:$I1002,MATCH(G$3,Spells!$A$1:$I$1,0),FALSE))</f>
        <v/>
      </c>
      <c r="H795" s="16" t="str">
        <f>IFNA(VLOOKUP($A795,Spells!$A$2:$I1002,MATCH(H$3,Spells!$A$1:$I$1,0),FALSE))</f>
        <v/>
      </c>
    </row>
    <row r="796">
      <c r="A796" s="16"/>
      <c r="B796" s="16" t="str">
        <f>IFNA(VLOOKUP($A796,Spells!$A$2:$I1002,MATCH(B$3,Spells!$A$1:$I$1,0),FALSE))</f>
        <v/>
      </c>
      <c r="C796" s="16" t="str">
        <f>IFNA(VLOOKUP($A796,Spells!$A$2:$I1002,MATCH(C$3,Spells!$A$1:$I$1,0),FALSE))</f>
        <v/>
      </c>
      <c r="D796" s="16" t="str">
        <f>IFNA(VLOOKUP($A796,Spells!$A$2:$I1002,MATCH(D$3,Spells!$A$1:$I$1,0),FALSE))</f>
        <v/>
      </c>
      <c r="E796" s="16" t="str">
        <f>IFNA(VLOOKUP($A796,Spells!$A$2:$I1002,MATCH(E$3,Spells!$A$1:$I$1,0),FALSE))</f>
        <v/>
      </c>
      <c r="F796" s="16" t="str">
        <f>IFNA(VLOOKUP($A796,Spells!$A$2:$I1002,MATCH(F$3,Spells!$A$1:$I$1,0),FALSE))</f>
        <v/>
      </c>
      <c r="G796" s="16" t="str">
        <f>IFNA(VLOOKUP($A796,Spells!$A$2:$I1002,MATCH(G$3,Spells!$A$1:$I$1,0),FALSE))</f>
        <v/>
      </c>
      <c r="H796" s="16" t="str">
        <f>IFNA(VLOOKUP($A796,Spells!$A$2:$I1002,MATCH(H$3,Spells!$A$1:$I$1,0),FALSE))</f>
        <v/>
      </c>
    </row>
    <row r="797">
      <c r="A797" s="16"/>
      <c r="B797" s="16" t="str">
        <f>IFNA(VLOOKUP($A797,Spells!$A$2:$I1002,MATCH(B$3,Spells!$A$1:$I$1,0),FALSE))</f>
        <v/>
      </c>
      <c r="C797" s="16" t="str">
        <f>IFNA(VLOOKUP($A797,Spells!$A$2:$I1002,MATCH(C$3,Spells!$A$1:$I$1,0),FALSE))</f>
        <v/>
      </c>
      <c r="D797" s="16" t="str">
        <f>IFNA(VLOOKUP($A797,Spells!$A$2:$I1002,MATCH(D$3,Spells!$A$1:$I$1,0),FALSE))</f>
        <v/>
      </c>
      <c r="E797" s="16" t="str">
        <f>IFNA(VLOOKUP($A797,Spells!$A$2:$I1002,MATCH(E$3,Spells!$A$1:$I$1,0),FALSE))</f>
        <v/>
      </c>
      <c r="F797" s="16" t="str">
        <f>IFNA(VLOOKUP($A797,Spells!$A$2:$I1002,MATCH(F$3,Spells!$A$1:$I$1,0),FALSE))</f>
        <v/>
      </c>
      <c r="G797" s="16" t="str">
        <f>IFNA(VLOOKUP($A797,Spells!$A$2:$I1002,MATCH(G$3,Spells!$A$1:$I$1,0),FALSE))</f>
        <v/>
      </c>
      <c r="H797" s="16" t="str">
        <f>IFNA(VLOOKUP($A797,Spells!$A$2:$I1002,MATCH(H$3,Spells!$A$1:$I$1,0),FALSE))</f>
        <v/>
      </c>
    </row>
    <row r="798">
      <c r="A798" s="16"/>
      <c r="B798" s="16" t="str">
        <f>IFNA(VLOOKUP($A798,Spells!$A$2:$I1002,MATCH(B$3,Spells!$A$1:$I$1,0),FALSE))</f>
        <v/>
      </c>
      <c r="C798" s="16" t="str">
        <f>IFNA(VLOOKUP($A798,Spells!$A$2:$I1002,MATCH(C$3,Spells!$A$1:$I$1,0),FALSE))</f>
        <v/>
      </c>
      <c r="D798" s="16" t="str">
        <f>IFNA(VLOOKUP($A798,Spells!$A$2:$I1002,MATCH(D$3,Spells!$A$1:$I$1,0),FALSE))</f>
        <v/>
      </c>
      <c r="E798" s="16" t="str">
        <f>IFNA(VLOOKUP($A798,Spells!$A$2:$I1002,MATCH(E$3,Spells!$A$1:$I$1,0),FALSE))</f>
        <v/>
      </c>
      <c r="F798" s="16" t="str">
        <f>IFNA(VLOOKUP($A798,Spells!$A$2:$I1002,MATCH(F$3,Spells!$A$1:$I$1,0),FALSE))</f>
        <v/>
      </c>
      <c r="G798" s="16" t="str">
        <f>IFNA(VLOOKUP($A798,Spells!$A$2:$I1002,MATCH(G$3,Spells!$A$1:$I$1,0),FALSE))</f>
        <v/>
      </c>
      <c r="H798" s="16" t="str">
        <f>IFNA(VLOOKUP($A798,Spells!$A$2:$I1002,MATCH(H$3,Spells!$A$1:$I$1,0),FALSE))</f>
        <v/>
      </c>
    </row>
    <row r="799">
      <c r="A799" s="16"/>
      <c r="B799" s="16" t="str">
        <f>IFNA(VLOOKUP($A799,Spells!$A$2:$I1002,MATCH(B$3,Spells!$A$1:$I$1,0),FALSE))</f>
        <v/>
      </c>
      <c r="C799" s="16" t="str">
        <f>IFNA(VLOOKUP($A799,Spells!$A$2:$I1002,MATCH(C$3,Spells!$A$1:$I$1,0),FALSE))</f>
        <v/>
      </c>
      <c r="D799" s="16" t="str">
        <f>IFNA(VLOOKUP($A799,Spells!$A$2:$I1002,MATCH(D$3,Spells!$A$1:$I$1,0),FALSE))</f>
        <v/>
      </c>
      <c r="E799" s="16" t="str">
        <f>IFNA(VLOOKUP($A799,Spells!$A$2:$I1002,MATCH(E$3,Spells!$A$1:$I$1,0),FALSE))</f>
        <v/>
      </c>
      <c r="F799" s="16" t="str">
        <f>IFNA(VLOOKUP($A799,Spells!$A$2:$I1002,MATCH(F$3,Spells!$A$1:$I$1,0),FALSE))</f>
        <v/>
      </c>
      <c r="G799" s="16" t="str">
        <f>IFNA(VLOOKUP($A799,Spells!$A$2:$I1002,MATCH(G$3,Spells!$A$1:$I$1,0),FALSE))</f>
        <v/>
      </c>
      <c r="H799" s="16" t="str">
        <f>IFNA(VLOOKUP($A799,Spells!$A$2:$I1002,MATCH(H$3,Spells!$A$1:$I$1,0),FALSE))</f>
        <v/>
      </c>
    </row>
    <row r="800">
      <c r="A800" s="16"/>
      <c r="B800" s="16" t="str">
        <f>IFNA(VLOOKUP($A800,Spells!$A$2:$I1002,MATCH(B$3,Spells!$A$1:$I$1,0),FALSE))</f>
        <v/>
      </c>
      <c r="C800" s="16" t="str">
        <f>IFNA(VLOOKUP($A800,Spells!$A$2:$I1002,MATCH(C$3,Spells!$A$1:$I$1,0),FALSE))</f>
        <v/>
      </c>
      <c r="D800" s="16" t="str">
        <f>IFNA(VLOOKUP($A800,Spells!$A$2:$I1002,MATCH(D$3,Spells!$A$1:$I$1,0),FALSE))</f>
        <v/>
      </c>
      <c r="E800" s="16" t="str">
        <f>IFNA(VLOOKUP($A800,Spells!$A$2:$I1002,MATCH(E$3,Spells!$A$1:$I$1,0),FALSE))</f>
        <v/>
      </c>
      <c r="F800" s="16" t="str">
        <f>IFNA(VLOOKUP($A800,Spells!$A$2:$I1002,MATCH(F$3,Spells!$A$1:$I$1,0),FALSE))</f>
        <v/>
      </c>
      <c r="G800" s="16" t="str">
        <f>IFNA(VLOOKUP($A800,Spells!$A$2:$I1002,MATCH(G$3,Spells!$A$1:$I$1,0),FALSE))</f>
        <v/>
      </c>
      <c r="H800" s="16" t="str">
        <f>IFNA(VLOOKUP($A800,Spells!$A$2:$I1002,MATCH(H$3,Spells!$A$1:$I$1,0),FALSE))</f>
        <v/>
      </c>
    </row>
  </sheetData>
  <mergeCells count="1">
    <mergeCell ref="A1:H1"/>
  </mergeCells>
  <conditionalFormatting sqref="A4:A1002">
    <cfRule type="expression" dxfId="2" priority="1">
      <formula>COUNTIF($A$4:$A1002,A4)&gt;1</formula>
    </cfRule>
  </conditionalFormatting>
  <dataValidations>
    <dataValidation type="list" allowBlank="1" showErrorMessage="1" sqref="A4:A800">
      <formula1>Spells!$A$2:$A1002</formula1>
    </dataValidation>
  </dataValidation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274E13"/>
    <outlinePr summaryBelow="0" summaryRight="0"/>
  </sheetPr>
  <sheetViews>
    <sheetView workbookViewId="0"/>
  </sheetViews>
  <sheetFormatPr customHeight="1" defaultColWidth="12.63" defaultRowHeight="15.75"/>
  <cols>
    <col customWidth="1" min="1" max="1" width="31.25"/>
    <col customWidth="1" min="2" max="2" width="65.63"/>
    <col customWidth="1" min="3" max="3" width="32.13"/>
  </cols>
  <sheetData>
    <row r="1">
      <c r="A1" s="91" t="str">
        <f>IFERROR(__xludf.DUMMYFUNCTION("IMPORTRANGE(""https://docs.google.com/spreadsheets/d/""&amp;Config!B1,""Achievments!A:E"")"),"Name")</f>
        <v>Name</v>
      </c>
      <c r="B1" s="91" t="str">
        <f>IFERROR(__xludf.DUMMYFUNCTION("""COMPUTED_VALUE"""),"Requirement")</f>
        <v>Requirement</v>
      </c>
      <c r="C1" s="91" t="str">
        <f>IFERROR(__xludf.DUMMYFUNCTION("""COMPUTED_VALUE"""),"Ability")</f>
        <v>Ability</v>
      </c>
      <c r="D1" s="91" t="str">
        <f>IFERROR(__xludf.DUMMYFUNCTION("""COMPUTED_VALUE"""),"Rarity")</f>
        <v>Rarity</v>
      </c>
      <c r="E1" s="91" t="str">
        <f>IFERROR(__xludf.DUMMYFUNCTION("""COMPUTED_VALUE"""),"Value")</f>
        <v>Value</v>
      </c>
      <c r="F1" s="38" t="s">
        <v>258</v>
      </c>
      <c r="G1" s="38" t="s">
        <v>259</v>
      </c>
      <c r="H1" s="91"/>
      <c r="I1" s="91"/>
      <c r="J1" s="91"/>
    </row>
    <row r="2">
      <c r="A2" s="16" t="str">
        <f>IFERROR(__xludf.DUMMYFUNCTION("""COMPUTED_VALUE"""),"Monster Slayer")</f>
        <v>Monster Slayer</v>
      </c>
      <c r="B2" s="16" t="str">
        <f>IFERROR(__xludf.DUMMYFUNCTION("""COMPUTED_VALUE"""),"Defeat 100 creatures in a row without taking a rest or dying.")</f>
        <v>Defeat 100 creatures in a row without taking a rest or dying.</v>
      </c>
      <c r="C2" s="16" t="str">
        <f>IFERROR(__xludf.DUMMYFUNCTION("""COMPUTED_VALUE"""),"Plus 5 additional Intimidation")</f>
        <v>Plus 5 additional Intimidation</v>
      </c>
      <c r="D2" s="16" t="str">
        <f>IFERROR(__xludf.DUMMYFUNCTION("""COMPUTED_VALUE"""),"Rare")</f>
        <v>Rare</v>
      </c>
      <c r="E2" s="16">
        <f>IFERROR(__xludf.DUMMYFUNCTION("""COMPUTED_VALUE"""),100.0)</f>
        <v>100</v>
      </c>
      <c r="F2" s="14">
        <v>0.0</v>
      </c>
      <c r="G2" s="14" t="b">
        <v>0</v>
      </c>
    </row>
    <row r="3">
      <c r="A3" s="16" t="str">
        <f>IFERROR(__xludf.DUMMYFUNCTION("""COMPUTED_VALUE"""),"Bond of Love")</f>
        <v>Bond of Love</v>
      </c>
      <c r="B3" s="16" t="str">
        <f>IFERROR(__xludf.DUMMYFUNCTION("""COMPUTED_VALUE"""),"Perform a marriage event with another player character or npc.")</f>
        <v>Perform a marriage event with another player character or npc.</v>
      </c>
      <c r="C3" s="16" t="str">
        <f>IFERROR(__xludf.DUMMYFUNCTION("""COMPUTED_VALUE"""),"if your level is less then the player or npc you bonded with you gain X2 HP and X2 SP until one player or npc is equal to the other player or npc's level. ")</f>
        <v>if your level is less then the player or npc you bonded with you gain X2 HP and X2 SP until one player or npc is equal to the other player or npc's level. </v>
      </c>
      <c r="D3" s="16" t="str">
        <f>IFERROR(__xludf.DUMMYFUNCTION("""COMPUTED_VALUE"""),"Common")</f>
        <v>Common</v>
      </c>
      <c r="E3" s="16">
        <f>IFERROR(__xludf.DUMMYFUNCTION("""COMPUTED_VALUE"""),0.0)</f>
        <v>0</v>
      </c>
      <c r="F3" s="14">
        <v>0.0</v>
      </c>
      <c r="G3" s="14" t="b">
        <v>0</v>
      </c>
    </row>
    <row r="4">
      <c r="A4" s="16" t="str">
        <f>IFERROR(__xludf.DUMMYFUNCTION("""COMPUTED_VALUE"""),"Crafter")</f>
        <v>Crafter</v>
      </c>
      <c r="B4" s="16" t="str">
        <f>IFERROR(__xludf.DUMMYFUNCTION("""COMPUTED_VALUE"""),"Perform 3 quests for the same crafter.")</f>
        <v>Perform 3 quests for the same crafter.</v>
      </c>
      <c r="C4" s="16" t="str">
        <f>IFERROR(__xludf.DUMMYFUNCTION("""COMPUTED_VALUE"""),"Gain the Crafter Sub-Class")</f>
        <v>Gain the Crafter Sub-Class</v>
      </c>
      <c r="D4" s="16" t="str">
        <f>IFERROR(__xludf.DUMMYFUNCTION("""COMPUTED_VALUE"""),"Common")</f>
        <v>Common</v>
      </c>
      <c r="E4" s="16">
        <f>IFERROR(__xludf.DUMMYFUNCTION("""COMPUTED_VALUE"""),3.0)</f>
        <v>3</v>
      </c>
      <c r="F4" s="14">
        <v>0.0</v>
      </c>
      <c r="G4" s="14" t="b">
        <v>0</v>
      </c>
    </row>
    <row r="5">
      <c r="A5" s="16" t="str">
        <f>IFERROR(__xludf.DUMMYFUNCTION("""COMPUTED_VALUE"""),"Blacksmith")</f>
        <v>Blacksmith</v>
      </c>
      <c r="B5" s="16" t="str">
        <f>IFERROR(__xludf.DUMMYFUNCTION("""COMPUTED_VALUE"""),"Perform 3 quest for the same blacksmith")</f>
        <v>Perform 3 quest for the same blacksmith</v>
      </c>
      <c r="C5" s="16" t="str">
        <f>IFERROR(__xludf.DUMMYFUNCTION("""COMPUTED_VALUE"""),"Gain the Blacksmith Sub-Class")</f>
        <v>Gain the Blacksmith Sub-Class</v>
      </c>
      <c r="D5" s="16" t="str">
        <f>IFERROR(__xludf.DUMMYFUNCTION("""COMPUTED_VALUE"""),"Common")</f>
        <v>Common</v>
      </c>
      <c r="E5" s="16">
        <f>IFERROR(__xludf.DUMMYFUNCTION("""COMPUTED_VALUE"""),3.0)</f>
        <v>3</v>
      </c>
      <c r="F5" s="14">
        <v>0.0</v>
      </c>
      <c r="G5" s="14" t="b">
        <v>0</v>
      </c>
    </row>
    <row r="6">
      <c r="A6" s="16" t="str">
        <f>IFERROR(__xludf.DUMMYFUNCTION("""COMPUTED_VALUE"""),"Enchanter ")</f>
        <v>Enchanter </v>
      </c>
      <c r="B6" s="16" t="str">
        <f>IFERROR(__xludf.DUMMYFUNCTION("""COMPUTED_VALUE"""),"Perform 3 quests for the same enchanter.")</f>
        <v>Perform 3 quests for the same enchanter.</v>
      </c>
      <c r="C6" s="16" t="str">
        <f>IFERROR(__xludf.DUMMYFUNCTION("""COMPUTED_VALUE"""),"Gain the Enchanter Sub-Class")</f>
        <v>Gain the Enchanter Sub-Class</v>
      </c>
      <c r="D6" s="16" t="str">
        <f>IFERROR(__xludf.DUMMYFUNCTION("""COMPUTED_VALUE"""),"Common")</f>
        <v>Common</v>
      </c>
      <c r="E6" s="16">
        <f>IFERROR(__xludf.DUMMYFUNCTION("""COMPUTED_VALUE"""),3.0)</f>
        <v>3</v>
      </c>
      <c r="F6" s="14">
        <v>0.0</v>
      </c>
      <c r="G6" s="14" t="b">
        <v>0</v>
      </c>
    </row>
    <row r="7">
      <c r="A7" s="16" t="str">
        <f>IFERROR(__xludf.DUMMYFUNCTION("""COMPUTED_VALUE"""),"Alchemist")</f>
        <v>Alchemist</v>
      </c>
      <c r="B7" s="16" t="str">
        <f>IFERROR(__xludf.DUMMYFUNCTION("""COMPUTED_VALUE"""),"Perform 3 quests for the same alchemist.")</f>
        <v>Perform 3 quests for the same alchemist.</v>
      </c>
      <c r="C7" s="16" t="str">
        <f>IFERROR(__xludf.DUMMYFUNCTION("""COMPUTED_VALUE"""),"Gain the Alchemist Sub-Class")</f>
        <v>Gain the Alchemist Sub-Class</v>
      </c>
      <c r="D7" s="16" t="str">
        <f>IFERROR(__xludf.DUMMYFUNCTION("""COMPUTED_VALUE"""),"Common")</f>
        <v>Common</v>
      </c>
      <c r="E7" s="16">
        <f>IFERROR(__xludf.DUMMYFUNCTION("""COMPUTED_VALUE"""),3.0)</f>
        <v>3</v>
      </c>
      <c r="F7" s="14">
        <v>0.0</v>
      </c>
      <c r="G7" s="14" t="b">
        <v>0</v>
      </c>
    </row>
    <row r="8">
      <c r="A8" s="16" t="str">
        <f>IFERROR(__xludf.DUMMYFUNCTION("""COMPUTED_VALUE"""),"Chef")</f>
        <v>Chef</v>
      </c>
      <c r="B8" s="16" t="str">
        <f>IFERROR(__xludf.DUMMYFUNCTION("""COMPUTED_VALUE"""),"Perform 3 quests for the same chef.")</f>
        <v>Perform 3 quests for the same chef.</v>
      </c>
      <c r="C8" s="16" t="str">
        <f>IFERROR(__xludf.DUMMYFUNCTION("""COMPUTED_VALUE"""),"Gain the Chef Sub-Class")</f>
        <v>Gain the Chef Sub-Class</v>
      </c>
      <c r="D8" s="16" t="str">
        <f>IFERROR(__xludf.DUMMYFUNCTION("""COMPUTED_VALUE"""),"Common")</f>
        <v>Common</v>
      </c>
      <c r="E8" s="16">
        <f>IFERROR(__xludf.DUMMYFUNCTION("""COMPUTED_VALUE"""),3.0)</f>
        <v>3</v>
      </c>
      <c r="F8" s="14">
        <v>0.0</v>
      </c>
      <c r="G8" s="14" t="b">
        <v>0</v>
      </c>
    </row>
    <row r="9">
      <c r="A9" s="16" t="str">
        <f>IFERROR(__xludf.DUMMYFUNCTION("""COMPUTED_VALUE"""),"Breeder")</f>
        <v>Breeder</v>
      </c>
      <c r="B9" s="16" t="str">
        <f>IFERROR(__xludf.DUMMYFUNCTION("""COMPUTED_VALUE"""),"Perform 3 quests for the same breeder.")</f>
        <v>Perform 3 quests for the same breeder.</v>
      </c>
      <c r="C9" s="16" t="str">
        <f>IFERROR(__xludf.DUMMYFUNCTION("""COMPUTED_VALUE"""),"Gain the Breeder Sub-Class")</f>
        <v>Gain the Breeder Sub-Class</v>
      </c>
      <c r="D9" s="16" t="str">
        <f>IFERROR(__xludf.DUMMYFUNCTION("""COMPUTED_VALUE"""),"Common")</f>
        <v>Common</v>
      </c>
      <c r="E9" s="16">
        <f>IFERROR(__xludf.DUMMYFUNCTION("""COMPUTED_VALUE"""),3.0)</f>
        <v>3</v>
      </c>
      <c r="F9" s="14">
        <v>0.0</v>
      </c>
      <c r="G9" s="14" t="b">
        <v>0</v>
      </c>
    </row>
    <row r="10">
      <c r="A10" s="16" t="str">
        <f>IFERROR(__xludf.DUMMYFUNCTION("""COMPUTED_VALUE"""),"Spira Guard")</f>
        <v>Spira Guard</v>
      </c>
      <c r="B10" s="16" t="str">
        <f>IFERROR(__xludf.DUMMYFUNCTION("""COMPUTED_VALUE"""),"Perform 3 quests for the same Spira Guard.")</f>
        <v>Perform 3 quests for the same Spira Guard.</v>
      </c>
      <c r="C10" s="16" t="str">
        <f>IFERROR(__xludf.DUMMYFUNCTION("""COMPUTED_VALUE"""),"Gain the Spira Guard Sub-Class")</f>
        <v>Gain the Spira Guard Sub-Class</v>
      </c>
      <c r="D10" s="16" t="str">
        <f>IFERROR(__xludf.DUMMYFUNCTION("""COMPUTED_VALUE"""),"Common")</f>
        <v>Common</v>
      </c>
      <c r="E10" s="16">
        <f>IFERROR(__xludf.DUMMYFUNCTION("""COMPUTED_VALUE"""),3.0)</f>
        <v>3</v>
      </c>
      <c r="F10" s="14">
        <v>0.0</v>
      </c>
      <c r="G10" s="14" t="b">
        <v>0</v>
      </c>
    </row>
    <row r="11">
      <c r="A11" s="16" t="str">
        <f>IFERROR(__xludf.DUMMYFUNCTION("""COMPUTED_VALUE"""),"Frozen Body")</f>
        <v>Frozen Body</v>
      </c>
      <c r="B11" s="16" t="str">
        <f>IFERROR(__xludf.DUMMYFUNCTION("""COMPUTED_VALUE"""),"Die while frozen")</f>
        <v>Die while frozen</v>
      </c>
      <c r="C11" s="16" t="str">
        <f>IFERROR(__xludf.DUMMYFUNCTION("""COMPUTED_VALUE"""),"Immune to Water damage.")</f>
        <v>Immune to Water damage.</v>
      </c>
      <c r="D11" s="16" t="str">
        <f>IFERROR(__xludf.DUMMYFUNCTION("""COMPUTED_VALUE"""),"Uncommon")</f>
        <v>Uncommon</v>
      </c>
      <c r="E11" s="16">
        <f>IFERROR(__xludf.DUMMYFUNCTION("""COMPUTED_VALUE"""),0.0)</f>
        <v>0</v>
      </c>
      <c r="F11" s="14">
        <v>0.0</v>
      </c>
      <c r="G11" s="14" t="b">
        <v>0</v>
      </c>
    </row>
    <row r="12">
      <c r="A12" s="16" t="str">
        <f>IFERROR(__xludf.DUMMYFUNCTION("""COMPUTED_VALUE"""),"Dragon Tamer")</f>
        <v>Dragon Tamer</v>
      </c>
      <c r="B12" s="16" t="str">
        <f>IFERROR(__xludf.DUMMYFUNCTION("""COMPUTED_VALUE"""),"Succesfully tamed 3 dragons.")</f>
        <v>Succesfully tamed 3 dragons.</v>
      </c>
      <c r="C12" s="16" t="str">
        <f>IFERROR(__xludf.DUMMYFUNCTION("""COMPUTED_VALUE"""),"Can give up your turn to give a companion another turn if the companion is a dragon.")</f>
        <v>Can give up your turn to give a companion another turn if the companion is a dragon.</v>
      </c>
      <c r="D12" s="16" t="str">
        <f>IFERROR(__xludf.DUMMYFUNCTION("""COMPUTED_VALUE"""),"Uncommon")</f>
        <v>Uncommon</v>
      </c>
      <c r="E12" s="16">
        <f>IFERROR(__xludf.DUMMYFUNCTION("""COMPUTED_VALUE"""),3.0)</f>
        <v>3</v>
      </c>
      <c r="F12" s="14">
        <v>0.0</v>
      </c>
      <c r="G12" s="14" t="b">
        <v>0</v>
      </c>
    </row>
    <row r="13">
      <c r="A13" s="16" t="str">
        <f>IFERROR(__xludf.DUMMYFUNCTION("""COMPUTED_VALUE"""),"Researcher ")</f>
        <v>Researcher </v>
      </c>
      <c r="B13" s="16" t="str">
        <f>IFERROR(__xludf.DUMMYFUNCTION("""COMPUTED_VALUE"""),"Get to the end of 20 dungeons.")</f>
        <v>Get to the end of 20 dungeons.</v>
      </c>
      <c r="C13" s="16" t="str">
        <f>IFERROR(__xludf.DUMMYFUNCTION("""COMPUTED_VALUE"""),"You may reroll once while determining the tier of a chest.")</f>
        <v>You may reroll once while determining the tier of a chest.</v>
      </c>
      <c r="D13" s="16" t="str">
        <f>IFERROR(__xludf.DUMMYFUNCTION("""COMPUTED_VALUE"""),"Uncommon")</f>
        <v>Uncommon</v>
      </c>
      <c r="E13" s="16">
        <f>IFERROR(__xludf.DUMMYFUNCTION("""COMPUTED_VALUE"""),20.0)</f>
        <v>20</v>
      </c>
      <c r="F13" s="14">
        <v>0.0</v>
      </c>
      <c r="G13" s="14" t="b">
        <v>0</v>
      </c>
    </row>
    <row r="14">
      <c r="A14" s="16" t="str">
        <f>IFERROR(__xludf.DUMMYFUNCTION("""COMPUTED_VALUE"""),"Sage ")</f>
        <v>Sage </v>
      </c>
      <c r="B14" s="16" t="str">
        <f>IFERROR(__xludf.DUMMYFUNCTION("""COMPUTED_VALUE"""),"Find 20+ scrolls in a single adventure.")</f>
        <v>Find 20+ scrolls in a single adventure.</v>
      </c>
      <c r="C14" s="16" t="str">
        <f>IFERROR(__xludf.DUMMYFUNCTION("""COMPUTED_VALUE"""),"Duplicate a spell scroll for 1,000G")</f>
        <v>Duplicate a spell scroll for 1,000G</v>
      </c>
      <c r="D14" s="16" t="str">
        <f>IFERROR(__xludf.DUMMYFUNCTION("""COMPUTED_VALUE"""),"Rare")</f>
        <v>Rare</v>
      </c>
      <c r="E14" s="16">
        <f>IFERROR(__xludf.DUMMYFUNCTION("""COMPUTED_VALUE"""),20.0)</f>
        <v>20</v>
      </c>
      <c r="F14" s="14">
        <v>0.0</v>
      </c>
      <c r="G14" s="14" t="b">
        <v>0</v>
      </c>
    </row>
    <row r="15">
      <c r="A15" s="16" t="str">
        <f>IFERROR(__xludf.DUMMYFUNCTION("""COMPUTED_VALUE"""),"More Souls!")</f>
        <v>More Souls!</v>
      </c>
      <c r="B15" s="16" t="str">
        <f>IFERROR(__xludf.DUMMYFUNCTION("""COMPUTED_VALUE"""),"Collect 1000 souls.")</f>
        <v>Collect 1000 souls.</v>
      </c>
      <c r="C15" s="16" t="str">
        <f>IFERROR(__xludf.DUMMYFUNCTION("""COMPUTED_VALUE"""),"Guaranteed an extra soul each battle if the enemy drops a soul.")</f>
        <v>Guaranteed an extra soul each battle if the enemy drops a soul.</v>
      </c>
      <c r="D15" s="16" t="str">
        <f>IFERROR(__xludf.DUMMYFUNCTION("""COMPUTED_VALUE"""),"Rare")</f>
        <v>Rare</v>
      </c>
      <c r="E15" s="16">
        <f>IFERROR(__xludf.DUMMYFUNCTION("""COMPUTED_VALUE"""),1000.0)</f>
        <v>1000</v>
      </c>
      <c r="F15" s="14">
        <v>0.0</v>
      </c>
      <c r="G15" s="14" t="b">
        <v>0</v>
      </c>
    </row>
    <row r="16">
      <c r="A16" s="16" t="str">
        <f>IFERROR(__xludf.DUMMYFUNCTION("""COMPUTED_VALUE"""),"I am God!")</f>
        <v>I am God!</v>
      </c>
      <c r="B16" s="16" t="str">
        <f>IFERROR(__xludf.DUMMYFUNCTION("""COMPUTED_VALUE"""),"Reach level 24,000 and request permission from the current DM/GM.")</f>
        <v>Reach level 24,000 and request permission from the current DM/GM.</v>
      </c>
      <c r="C16" s="16" t="str">
        <f>IFERROR(__xludf.DUMMYFUNCTION("""COMPUTED_VALUE"""),"You take no damage, you are unaffected by spells/powers, and/or status effects, you become level 100,000,000, any target you attack dies instantly, they cannot resist or be immune to your attacks. You are unnafected by Item/equipment abilities, you can no"&amp;" longer take part in quests, events, or get loot drops or treasure chest loot.")</f>
        <v>You take no damage, you are unaffected by spells/powers, and/or status effects, you become level 100,000,000, any target you attack dies instantly, they cannot resist or be immune to your attacks. You are unnafected by Item/equipment abilities, you can no longer take part in quests, events, or get loot drops or treasure chest loot.</v>
      </c>
      <c r="D16" s="16" t="str">
        <f>IFERROR(__xludf.DUMMYFUNCTION("""COMPUTED_VALUE"""),"Legendary")</f>
        <v>Legendary</v>
      </c>
      <c r="E16" s="16">
        <f>IFERROR(__xludf.DUMMYFUNCTION("""COMPUTED_VALUE"""),24000.0)</f>
        <v>24000</v>
      </c>
      <c r="F16" s="14">
        <v>0.0</v>
      </c>
      <c r="G16" s="14" t="b">
        <v>0</v>
      </c>
    </row>
    <row r="17">
      <c r="A17" s="16" t="str">
        <f>IFERROR(__xludf.DUMMYFUNCTION("""COMPUTED_VALUE"""),"Herb Hunter")</f>
        <v>Herb Hunter</v>
      </c>
      <c r="B17" s="16" t="str">
        <f>IFERROR(__xludf.DUMMYFUNCTION("""COMPUTED_VALUE"""),"Collect 100 herbs")</f>
        <v>Collect 100 herbs</v>
      </c>
      <c r="C17" s="16" t="str">
        <f>IFERROR(__xludf.DUMMYFUNCTION("""COMPUTED_VALUE"""),"You will receive a duplicate of the herb you found/chose while searching for herbs.")</f>
        <v>You will receive a duplicate of the herb you found/chose while searching for herbs.</v>
      </c>
      <c r="D17" s="16" t="str">
        <f>IFERROR(__xludf.DUMMYFUNCTION("""COMPUTED_VALUE"""),"Common")</f>
        <v>Common</v>
      </c>
      <c r="E17" s="16">
        <f>IFERROR(__xludf.DUMMYFUNCTION("""COMPUTED_VALUE"""),100.0)</f>
        <v>100</v>
      </c>
      <c r="F17" s="14">
        <v>0.0</v>
      </c>
      <c r="G17" s="14" t="b">
        <v>0</v>
      </c>
    </row>
    <row r="18">
      <c r="A18" s="16" t="str">
        <f>IFERROR(__xludf.DUMMYFUNCTION("""COMPUTED_VALUE"""),"I'm The Boss")</f>
        <v>I'm The Boss</v>
      </c>
      <c r="B18" s="16" t="str">
        <f>IFERROR(__xludf.DUMMYFUNCTION("""COMPUTED_VALUE"""),"Consume 5 souls from 20 different bosses and gain their transformation spell.")</f>
        <v>Consume 5 souls from 20 different bosses and gain their transformation spell.</v>
      </c>
      <c r="C18" s="16" t="str">
        <f>IFERROR(__xludf.DUMMYFUNCTION("""COMPUTED_VALUE"""),"None")</f>
        <v>None</v>
      </c>
      <c r="D18" s="16" t="str">
        <f>IFERROR(__xludf.DUMMYFUNCTION("""COMPUTED_VALUE"""),"Rare")</f>
        <v>Rare</v>
      </c>
      <c r="E18" s="16">
        <f>IFERROR(__xludf.DUMMYFUNCTION("""COMPUTED_VALUE"""),20.0)</f>
        <v>20</v>
      </c>
      <c r="F18" s="14">
        <v>0.0</v>
      </c>
      <c r="G18" s="14" t="b">
        <v>0</v>
      </c>
    </row>
    <row r="19">
      <c r="A19" s="16" t="str">
        <f>IFERROR(__xludf.DUMMYFUNCTION("""COMPUTED_VALUE"""),"Dungeoneer")</f>
        <v>Dungeoneer</v>
      </c>
      <c r="B19" s="16" t="str">
        <f>IFERROR(__xludf.DUMMYFUNCTION("""COMPUTED_VALUE"""),"Defeat a dungeon without dying or taking any damage.")</f>
        <v>Defeat a dungeon without dying or taking any damage.</v>
      </c>
      <c r="C19" s="16" t="str">
        <f>IFERROR(__xludf.DUMMYFUNCTION("""COMPUTED_VALUE"""),"If you die in a dungeon you may fight the enemies in the current room once more instead of going back to the begining of the dungeon. This ability can be applied once per floor in a dungeon.")</f>
        <v>If you die in a dungeon you may fight the enemies in the current room once more instead of going back to the begining of the dungeon. This ability can be applied once per floor in a dungeon.</v>
      </c>
      <c r="D19" s="16" t="str">
        <f>IFERROR(__xludf.DUMMYFUNCTION("""COMPUTED_VALUE"""),"Legendary")</f>
        <v>Legendary</v>
      </c>
      <c r="E19" s="16">
        <f>IFERROR(__xludf.DUMMYFUNCTION("""COMPUTED_VALUE"""),0.0)</f>
        <v>0</v>
      </c>
      <c r="F19" s="14">
        <v>0.0</v>
      </c>
      <c r="G19" s="14" t="b">
        <v>0</v>
      </c>
    </row>
    <row r="20">
      <c r="A20" s="16" t="str">
        <f>IFERROR(__xludf.DUMMYFUNCTION("""COMPUTED_VALUE"""),"Welcome to The Land of Spira")</f>
        <v>Welcome to The Land of Spira</v>
      </c>
      <c r="B20" s="16" t="str">
        <f>IFERROR(__xludf.DUMMYFUNCTION("""COMPUTED_VALUE"""),"Play The Phantom of Spira for the first time.")</f>
        <v>Play The Phantom of Spira for the first time.</v>
      </c>
      <c r="C20" s="16" t="str">
        <f>IFERROR(__xludf.DUMMYFUNCTION("""COMPUTED_VALUE"""),"None")</f>
        <v>None</v>
      </c>
      <c r="D20" s="16" t="str">
        <f>IFERROR(__xludf.DUMMYFUNCTION("""COMPUTED_VALUE"""),"Common")</f>
        <v>Common</v>
      </c>
      <c r="E20" s="16">
        <f>IFERROR(__xludf.DUMMYFUNCTION("""COMPUTED_VALUE"""),0.0)</f>
        <v>0</v>
      </c>
      <c r="F20" s="14">
        <v>0.0</v>
      </c>
      <c r="G20" s="14" t="b">
        <v>1</v>
      </c>
    </row>
    <row r="21">
      <c r="A21" s="16" t="str">
        <f>IFERROR(__xludf.DUMMYFUNCTION("""COMPUTED_VALUE"""),"An Unexpected Presence ")</f>
        <v>An Unexpected Presence </v>
      </c>
      <c r="B21" s="16" t="str">
        <f>IFERROR(__xludf.DUMMYFUNCTION("""COMPUTED_VALUE"""),"Meet the 2 co-founders of The Phantom of Spira in game or in person.")</f>
        <v>Meet the 2 co-founders of The Phantom of Spira in game or in person.</v>
      </c>
      <c r="C21" s="16" t="str">
        <f>IFERROR(__xludf.DUMMYFUNCTION("""COMPUTED_VALUE"""),"None")</f>
        <v>None</v>
      </c>
      <c r="D21" s="16" t="str">
        <f>IFERROR(__xludf.DUMMYFUNCTION("""COMPUTED_VALUE"""),"Legendary")</f>
        <v>Legendary</v>
      </c>
      <c r="E21" s="16">
        <f>IFERROR(__xludf.DUMMYFUNCTION("""COMPUTED_VALUE"""),2.0)</f>
        <v>2</v>
      </c>
      <c r="F21" s="14">
        <v>0.0</v>
      </c>
      <c r="G21" s="14" t="b">
        <v>0</v>
      </c>
    </row>
    <row r="22">
      <c r="A22" s="16" t="str">
        <f>IFERROR(__xludf.DUMMYFUNCTION("""COMPUTED_VALUE"""),"An Unexpected Traveler")</f>
        <v>An Unexpected Traveler</v>
      </c>
      <c r="B22" s="16" t="str">
        <f>IFERROR(__xludf.DUMMYFUNCTION("""COMPUTED_VALUE"""),"Partake in a TPOS game session with a game developer.")</f>
        <v>Partake in a TPOS game session with a game developer.</v>
      </c>
      <c r="C22" s="16" t="str">
        <f>IFERROR(__xludf.DUMMYFUNCTION("""COMPUTED_VALUE"""),"None")</f>
        <v>None</v>
      </c>
      <c r="D22" s="16" t="str">
        <f>IFERROR(__xludf.DUMMYFUNCTION("""COMPUTED_VALUE"""),"Common")</f>
        <v>Common</v>
      </c>
      <c r="E22" s="16">
        <f>IFERROR(__xludf.DUMMYFUNCTION("""COMPUTED_VALUE"""),0.0)</f>
        <v>0</v>
      </c>
      <c r="F22" s="14">
        <v>0.0</v>
      </c>
      <c r="G22" s="14" t="b">
        <v>0</v>
      </c>
    </row>
    <row r="23">
      <c r="A23" s="16" t="str">
        <f>IFERROR(__xludf.DUMMYFUNCTION("""COMPUTED_VALUE"""),"Make a Wish")</f>
        <v>Make a Wish</v>
      </c>
      <c r="B23" s="16" t="str">
        <f>IFERROR(__xludf.DUMMYFUNCTION("""COMPUTED_VALUE"""),"Encounter the rare seahorse within the ocean of Spira.")</f>
        <v>Encounter the rare seahorse within the ocean of Spira.</v>
      </c>
      <c r="C23" s="16" t="str">
        <f>IFERROR(__xludf.DUMMYFUNCTION("""COMPUTED_VALUE"""),"None")</f>
        <v>None</v>
      </c>
      <c r="D23" s="16" t="str">
        <f>IFERROR(__xludf.DUMMYFUNCTION("""COMPUTED_VALUE"""),"Rare")</f>
        <v>Rare</v>
      </c>
      <c r="E23" s="16">
        <f>IFERROR(__xludf.DUMMYFUNCTION("""COMPUTED_VALUE"""),0.0)</f>
        <v>0</v>
      </c>
      <c r="F23" s="14">
        <v>0.0</v>
      </c>
      <c r="G23" s="14" t="b">
        <v>0</v>
      </c>
    </row>
    <row r="24">
      <c r="A24" s="16" t="str">
        <f>IFERROR(__xludf.DUMMYFUNCTION("""COMPUTED_VALUE"""),"RUN!")</f>
        <v>RUN!</v>
      </c>
      <c r="B24" s="16" t="str">
        <f>IFERROR(__xludf.DUMMYFUNCTION("""COMPUTED_VALUE"""),"Flee from battle succesfully 50 times.")</f>
        <v>Flee from battle succesfully 50 times.</v>
      </c>
      <c r="C24" s="16" t="str">
        <f>IFERROR(__xludf.DUMMYFUNCTION("""COMPUTED_VALUE"""),"Plus 5 additional mobility.")</f>
        <v>Plus 5 additional mobility.</v>
      </c>
      <c r="D24" s="16" t="str">
        <f>IFERROR(__xludf.DUMMYFUNCTION("""COMPUTED_VALUE"""),"Rare")</f>
        <v>Rare</v>
      </c>
      <c r="E24" s="16">
        <f>IFERROR(__xludf.DUMMYFUNCTION("""COMPUTED_VALUE"""),50.0)</f>
        <v>50</v>
      </c>
      <c r="F24" s="14">
        <v>0.0</v>
      </c>
      <c r="G24" s="14" t="b">
        <v>0</v>
      </c>
    </row>
    <row r="25">
      <c r="A25" s="16" t="str">
        <f>IFERROR(__xludf.DUMMYFUNCTION("""COMPUTED_VALUE"""),"Not Guilty!")</f>
        <v>Not Guilty!</v>
      </c>
      <c r="B25" s="16" t="str">
        <f>IFERROR(__xludf.DUMMYFUNCTION("""COMPUTED_VALUE"""),"Convince a judge that you were wrongfully accused of a crime.")</f>
        <v>Convince a judge that you were wrongfully accused of a crime.</v>
      </c>
      <c r="C25" s="16" t="str">
        <f>IFERROR(__xludf.DUMMYFUNCTION("""COMPUTED_VALUE"""),"Plus 5 additional charisma")</f>
        <v>Plus 5 additional charisma</v>
      </c>
      <c r="D25" s="16" t="str">
        <f>IFERROR(__xludf.DUMMYFUNCTION("""COMPUTED_VALUE"""),"Rare")</f>
        <v>Rare</v>
      </c>
      <c r="E25" s="16">
        <f>IFERROR(__xludf.DUMMYFUNCTION("""COMPUTED_VALUE"""),0.0)</f>
        <v>0</v>
      </c>
      <c r="F25" s="14">
        <v>0.0</v>
      </c>
      <c r="G25" s="14" t="b">
        <v>0</v>
      </c>
    </row>
    <row r="26">
      <c r="A26" s="16" t="str">
        <f>IFERROR(__xludf.DUMMYFUNCTION("""COMPUTED_VALUE"""),"Commiting crimes against Spira are we?")</f>
        <v>Commiting crimes against Spira are we?</v>
      </c>
      <c r="B26" s="16" t="str">
        <f>IFERROR(__xludf.DUMMYFUNCTION("""COMPUTED_VALUE"""),"Arrest 100 NPC's and/or players.")</f>
        <v>Arrest 100 NPC's and/or players.</v>
      </c>
      <c r="C26" s="16" t="str">
        <f>IFERROR(__xludf.DUMMYFUNCTION("""COMPUTED_VALUE"""),"Plus 5 additional mobility while arresting a target.")</f>
        <v>Plus 5 additional mobility while arresting a target.</v>
      </c>
      <c r="D26" s="16" t="str">
        <f>IFERROR(__xludf.DUMMYFUNCTION("""COMPUTED_VALUE"""),"Uncommon")</f>
        <v>Uncommon</v>
      </c>
      <c r="E26" s="16">
        <f>IFERROR(__xludf.DUMMYFUNCTION("""COMPUTED_VALUE"""),100.0)</f>
        <v>100</v>
      </c>
      <c r="F26" s="14">
        <v>0.0</v>
      </c>
      <c r="G26" s="14" t="b">
        <v>0</v>
      </c>
    </row>
    <row r="27">
      <c r="A27" s="16" t="str">
        <f>IFERROR(__xludf.DUMMYFUNCTION("""COMPUTED_VALUE"""),"Peek A Boo, I see you")</f>
        <v>Peek A Boo, I see you</v>
      </c>
      <c r="B27" s="16" t="str">
        <f>IFERROR(__xludf.DUMMYFUNCTION("""COMPUTED_VALUE"""),"Prevent 100 possesions")</f>
        <v>Prevent 100 possesions</v>
      </c>
      <c r="C27" s="16" t="str">
        <f>IFERROR(__xludf.DUMMYFUNCTION("""COMPUTED_VALUE"""),"None")</f>
        <v>None</v>
      </c>
      <c r="D27" s="16" t="str">
        <f>IFERROR(__xludf.DUMMYFUNCTION("""COMPUTED_VALUE"""),"Uncommon")</f>
        <v>Uncommon</v>
      </c>
      <c r="E27" s="16">
        <f>IFERROR(__xludf.DUMMYFUNCTION("""COMPUTED_VALUE"""),100.0)</f>
        <v>100</v>
      </c>
      <c r="F27" s="14">
        <v>0.0</v>
      </c>
      <c r="G27" s="14" t="b">
        <v>0</v>
      </c>
    </row>
    <row r="28">
      <c r="A28" s="16" t="str">
        <f>IFERROR(__xludf.DUMMYFUNCTION("""COMPUTED_VALUE"""),"Can't Catch Me!")</f>
        <v>Can't Catch Me!</v>
      </c>
      <c r="B28" s="16" t="str">
        <f>IFERROR(__xludf.DUMMYFUNCTION("""COMPUTED_VALUE"""),"Dodge 100 enemy attacks using your evasion.")</f>
        <v>Dodge 100 enemy attacks using your evasion.</v>
      </c>
      <c r="C28" s="16" t="str">
        <f>IFERROR(__xludf.DUMMYFUNCTION("""COMPUTED_VALUE"""),"Plus 5 additional evasion.")</f>
        <v>Plus 5 additional evasion.</v>
      </c>
      <c r="D28" s="16" t="str">
        <f>IFERROR(__xludf.DUMMYFUNCTION("""COMPUTED_VALUE"""),"Uncommon")</f>
        <v>Uncommon</v>
      </c>
      <c r="E28" s="16">
        <f>IFERROR(__xludf.DUMMYFUNCTION("""COMPUTED_VALUE"""),100.0)</f>
        <v>100</v>
      </c>
      <c r="F28" s="14">
        <v>0.0</v>
      </c>
      <c r="G28" s="14" t="b">
        <v>0</v>
      </c>
    </row>
    <row r="29">
      <c r="A29" s="16" t="str">
        <f>IFERROR(__xludf.DUMMYFUNCTION("""COMPUTED_VALUE"""),"Master Blacksmith")</f>
        <v>Master Blacksmith</v>
      </c>
      <c r="B29" s="16" t="str">
        <f>IFERROR(__xludf.DUMMYFUNCTION("""COMPUTED_VALUE"""),"Forge 1000 items")</f>
        <v>Forge 1000 items</v>
      </c>
      <c r="C29" s="16" t="str">
        <f>IFERROR(__xludf.DUMMYFUNCTION("""COMPUTED_VALUE"""),"Plus 5 to your forging rolls.")</f>
        <v>Plus 5 to your forging rolls.</v>
      </c>
      <c r="D29" s="16" t="str">
        <f>IFERROR(__xludf.DUMMYFUNCTION("""COMPUTED_VALUE"""),"Rare")</f>
        <v>Rare</v>
      </c>
      <c r="E29" s="16">
        <f>IFERROR(__xludf.DUMMYFUNCTION("""COMPUTED_VALUE"""),1000.0)</f>
        <v>1000</v>
      </c>
      <c r="F29" s="14">
        <v>0.0</v>
      </c>
      <c r="G29" s="14" t="b">
        <v>0</v>
      </c>
    </row>
    <row r="30">
      <c r="A30" s="16" t="str">
        <f>IFERROR(__xludf.DUMMYFUNCTION("""COMPUTED_VALUE"""),"Third Time's The Charm")</f>
        <v>Third Time's The Charm</v>
      </c>
      <c r="B30" s="16" t="str">
        <f>IFERROR(__xludf.DUMMYFUNCTION("""COMPUTED_VALUE"""),"Beat any boss on the third attempt")</f>
        <v>Beat any boss on the third attempt</v>
      </c>
      <c r="C30" s="16" t="str">
        <f>IFERROR(__xludf.DUMMYFUNCTION("""COMPUTED_VALUE"""),"None")</f>
        <v>None</v>
      </c>
      <c r="D30" s="16" t="str">
        <f>IFERROR(__xludf.DUMMYFUNCTION("""COMPUTED_VALUE"""),"Uncommon")</f>
        <v>Uncommon</v>
      </c>
      <c r="E30" s="16">
        <f>IFERROR(__xludf.DUMMYFUNCTION("""COMPUTED_VALUE"""),0.0)</f>
        <v>0</v>
      </c>
      <c r="F30" s="14">
        <v>0.0</v>
      </c>
      <c r="G30" s="14" t="b">
        <v>0</v>
      </c>
    </row>
    <row r="31">
      <c r="A31" s="16" t="str">
        <f>IFERROR(__xludf.DUMMYFUNCTION("""COMPUTED_VALUE"""),"First Try")</f>
        <v>First Try</v>
      </c>
      <c r="B31" s="16" t="str">
        <f>IFERROR(__xludf.DUMMYFUNCTION("""COMPUTED_VALUE"""),"Beat any boss equal or greater than your level on the first attempt")</f>
        <v>Beat any boss equal or greater than your level on the first attempt</v>
      </c>
      <c r="C31" s="16" t="str">
        <f>IFERROR(__xludf.DUMMYFUNCTION("""COMPUTED_VALUE"""),"None")</f>
        <v>None</v>
      </c>
      <c r="D31" s="16" t="str">
        <f>IFERROR(__xludf.DUMMYFUNCTION("""COMPUTED_VALUE"""),"Rare")</f>
        <v>Rare</v>
      </c>
      <c r="E31" s="16">
        <f>IFERROR(__xludf.DUMMYFUNCTION("""COMPUTED_VALUE"""),0.0)</f>
        <v>0</v>
      </c>
      <c r="F31" s="14">
        <v>0.0</v>
      </c>
      <c r="G31" s="14" t="b">
        <v>0</v>
      </c>
    </row>
    <row r="32">
      <c r="A32" s="16" t="str">
        <f>IFERROR(__xludf.DUMMYFUNCTION("""COMPUTED_VALUE"""),"It's Party time!")</f>
        <v>It's Party time!</v>
      </c>
      <c r="B32" s="16" t="str">
        <f>IFERROR(__xludf.DUMMYFUNCTION("""COMPUTED_VALUE"""),"Restore 100 party members HP and SP.")</f>
        <v>Restore 100 party members HP and SP.</v>
      </c>
      <c r="C32" s="16" t="str">
        <f>IFERROR(__xludf.DUMMYFUNCTION("""COMPUTED_VALUE"""),"Double the HP and SP you gain when restoring HP or SP to self or targets.")</f>
        <v>Double the HP and SP you gain when restoring HP or SP to self or targets.</v>
      </c>
      <c r="D32" s="16" t="str">
        <f>IFERROR(__xludf.DUMMYFUNCTION("""COMPUTED_VALUE"""),"Uncommon")</f>
        <v>Uncommon</v>
      </c>
      <c r="E32" s="16">
        <f>IFERROR(__xludf.DUMMYFUNCTION("""COMPUTED_VALUE"""),100.0)</f>
        <v>100</v>
      </c>
      <c r="F32" s="14">
        <v>0.0</v>
      </c>
      <c r="G32" s="14" t="b">
        <v>0</v>
      </c>
    </row>
    <row r="33">
      <c r="A33" s="16" t="str">
        <f>IFERROR(__xludf.DUMMYFUNCTION("""COMPUTED_VALUE"""),"Can't Touch This")</f>
        <v>Can't Touch This</v>
      </c>
      <c r="B33" s="16" t="str">
        <f>IFERROR(__xludf.DUMMYFUNCTION("""COMPUTED_VALUE"""),"Dodge 5+ attacks in a row")</f>
        <v>Dodge 5+ attacks in a row</v>
      </c>
      <c r="C33" s="16" t="str">
        <f>IFERROR(__xludf.DUMMYFUNCTION("""COMPUTED_VALUE"""),"Plus 5 additional evasion.")</f>
        <v>Plus 5 additional evasion.</v>
      </c>
      <c r="D33" s="16" t="str">
        <f>IFERROR(__xludf.DUMMYFUNCTION("""COMPUTED_VALUE"""),"Rare")</f>
        <v>Rare</v>
      </c>
      <c r="E33" s="16">
        <f>IFERROR(__xludf.DUMMYFUNCTION("""COMPUTED_VALUE"""),5.0)</f>
        <v>5</v>
      </c>
      <c r="F33" s="14">
        <v>0.0</v>
      </c>
      <c r="G33" s="14" t="b">
        <v>0</v>
      </c>
    </row>
    <row r="34">
      <c r="A34" s="16" t="str">
        <f>IFERROR(__xludf.DUMMYFUNCTION("""COMPUTED_VALUE"""),"No Where To Go?")</f>
        <v>No Where To Go?</v>
      </c>
      <c r="B34" s="16" t="str">
        <f>IFERROR(__xludf.DUMMYFUNCTION("""COMPUTED_VALUE"""),"Stun 100 enemies.")</f>
        <v>Stun 100 enemies.</v>
      </c>
      <c r="C34" s="16" t="str">
        <f>IFERROR(__xludf.DUMMYFUNCTION("""COMPUTED_VALUE"""),"Stunned enemies are stunned for an additional round.")</f>
        <v>Stunned enemies are stunned for an additional round.</v>
      </c>
      <c r="D34" s="16" t="str">
        <f>IFERROR(__xludf.DUMMYFUNCTION("""COMPUTED_VALUE"""),"Rare")</f>
        <v>Rare</v>
      </c>
      <c r="E34" s="16">
        <f>IFERROR(__xludf.DUMMYFUNCTION("""COMPUTED_VALUE"""),100.0)</f>
        <v>100</v>
      </c>
      <c r="F34" s="14">
        <v>0.0</v>
      </c>
      <c r="G34" s="14" t="b">
        <v>0</v>
      </c>
    </row>
    <row r="35">
      <c r="A35" s="16" t="str">
        <f>IFERROR(__xludf.DUMMYFUNCTION("""COMPUTED_VALUE"""),"Globetrotter")</f>
        <v>Globetrotter</v>
      </c>
      <c r="B35" s="16" t="str">
        <f>IFERROR(__xludf.DUMMYFUNCTION("""COMPUTED_VALUE"""),"Visit every named area in The Land of Spira, Abstara, and Solreach.")</f>
        <v>Visit every named area in The Land of Spira, Abstara, and Solreach.</v>
      </c>
      <c r="C35" s="16" t="str">
        <f>IFERROR(__xludf.DUMMYFUNCTION("""COMPUTED_VALUE"""),"None")</f>
        <v>None</v>
      </c>
      <c r="D35" s="16" t="str">
        <f>IFERROR(__xludf.DUMMYFUNCTION("""COMPUTED_VALUE"""),"Legendary")</f>
        <v>Legendary</v>
      </c>
      <c r="E35" s="16">
        <f>IFERROR(__xludf.DUMMYFUNCTION("""COMPUTED_VALUE"""),0.0)</f>
        <v>0</v>
      </c>
      <c r="F35" s="14">
        <v>0.0</v>
      </c>
      <c r="G35" s="14" t="b">
        <v>0</v>
      </c>
    </row>
    <row r="36">
      <c r="A36" s="16" t="str">
        <f>IFERROR(__xludf.DUMMYFUNCTION("""COMPUTED_VALUE"""),"The Forzen Realm")</f>
        <v>The Forzen Realm</v>
      </c>
      <c r="B36" s="16" t="str">
        <f>IFERROR(__xludf.DUMMYFUNCTION("""COMPUTED_VALUE"""),"Freeze all enemies during  battle and kill them without them unfreezing.")</f>
        <v>Freeze all enemies during  battle and kill them without them unfreezing.</v>
      </c>
      <c r="C36" s="16" t="str">
        <f>IFERROR(__xludf.DUMMYFUNCTION("""COMPUTED_VALUE"""),"None")</f>
        <v>None</v>
      </c>
      <c r="D36" s="16" t="str">
        <f>IFERROR(__xludf.DUMMYFUNCTION("""COMPUTED_VALUE"""),"Rare")</f>
        <v>Rare</v>
      </c>
      <c r="E36" s="16">
        <f>IFERROR(__xludf.DUMMYFUNCTION("""COMPUTED_VALUE"""),0.0)</f>
        <v>0</v>
      </c>
      <c r="F36" s="14">
        <v>0.0</v>
      </c>
      <c r="G36" s="14" t="b">
        <v>0</v>
      </c>
    </row>
    <row r="37">
      <c r="A37" s="16" t="str">
        <f>IFERROR(__xludf.DUMMYFUNCTION("""COMPUTED_VALUE"""),"World Weary Traveler")</f>
        <v>World Weary Traveler</v>
      </c>
      <c r="B37" s="16" t="str">
        <f>IFERROR(__xludf.DUMMYFUNCTION("""COMPUTED_VALUE"""),"Spend 1000 in game days traveling")</f>
        <v>Spend 1000 in game days traveling</v>
      </c>
      <c r="C37" s="16" t="str">
        <f>IFERROR(__xludf.DUMMYFUNCTION("""COMPUTED_VALUE"""),"15% chance of a bad day being neutral during each bad day of travel.")</f>
        <v>15% chance of a bad day being neutral during each bad day of travel.</v>
      </c>
      <c r="D37" s="16" t="str">
        <f>IFERROR(__xludf.DUMMYFUNCTION("""COMPUTED_VALUE"""),"Legendary")</f>
        <v>Legendary</v>
      </c>
      <c r="E37" s="16">
        <f>IFERROR(__xludf.DUMMYFUNCTION("""COMPUTED_VALUE"""),1000.0)</f>
        <v>1000</v>
      </c>
      <c r="F37" s="14">
        <v>0.0</v>
      </c>
      <c r="G37" s="14" t="b">
        <v>0</v>
      </c>
    </row>
    <row r="38">
      <c r="A38" s="16" t="str">
        <f>IFERROR(__xludf.DUMMYFUNCTION("""COMPUTED_VALUE"""),"Long Distance Sprint")</f>
        <v>Long Distance Sprint</v>
      </c>
      <c r="B38" s="16" t="str">
        <f>IFERROR(__xludf.DUMMYFUNCTION("""COMPUTED_VALUE"""),"Travel 35 days in a single journey.")</f>
        <v>Travel 35 days in a single journey.</v>
      </c>
      <c r="C38" s="16" t="str">
        <f>IFERROR(__xludf.DUMMYFUNCTION("""COMPUTED_VALUE"""),"Capable of subtracting one bad day of travel for journeys over 15 days of travel")</f>
        <v>Capable of subtracting one bad day of travel for journeys over 15 days of travel</v>
      </c>
      <c r="D38" s="16" t="str">
        <f>IFERROR(__xludf.DUMMYFUNCTION("""COMPUTED_VALUE"""),"Legendary")</f>
        <v>Legendary</v>
      </c>
      <c r="E38" s="16">
        <f>IFERROR(__xludf.DUMMYFUNCTION("""COMPUTED_VALUE"""),35.0)</f>
        <v>35</v>
      </c>
      <c r="F38" s="14">
        <v>0.0</v>
      </c>
      <c r="G38" s="14" t="b">
        <v>0</v>
      </c>
    </row>
    <row r="39">
      <c r="A39" s="16" t="str">
        <f>IFERROR(__xludf.DUMMYFUNCTION("""COMPUTED_VALUE"""),"Experienced Breeder")</f>
        <v>Experienced Breeder</v>
      </c>
      <c r="B39" s="16" t="str">
        <f>IFERROR(__xludf.DUMMYFUNCTION("""COMPUTED_VALUE"""),"Hatch 50 different eggs.")</f>
        <v>Hatch 50 different eggs.</v>
      </c>
      <c r="C39" s="16" t="str">
        <f>IFERROR(__xludf.DUMMYFUNCTION("""COMPUTED_VALUE"""),"Half the days of travel for hatching eggs.")</f>
        <v>Half the days of travel for hatching eggs.</v>
      </c>
      <c r="D39" s="16" t="str">
        <f>IFERROR(__xludf.DUMMYFUNCTION("""COMPUTED_VALUE"""),"Legendary")</f>
        <v>Legendary</v>
      </c>
      <c r="E39" s="16">
        <f>IFERROR(__xludf.DUMMYFUNCTION("""COMPUTED_VALUE"""),50.0)</f>
        <v>50</v>
      </c>
      <c r="F39" s="14">
        <v>0.0</v>
      </c>
      <c r="G39" s="14" t="b">
        <v>0</v>
      </c>
    </row>
    <row r="40">
      <c r="A40" s="16" t="str">
        <f>IFERROR(__xludf.DUMMYFUNCTION("""COMPUTED_VALUE"""),"A Pirate's Life For Me")</f>
        <v>A Pirate's Life For Me</v>
      </c>
      <c r="B40" s="16" t="str">
        <f>IFERROR(__xludf.DUMMYFUNCTION("""COMPUTED_VALUE"""),"Take 10 ships' cargo for yourself")</f>
        <v>Take 10 ships' cargo for yourself</v>
      </c>
      <c r="C40" s="16" t="str">
        <f>IFERROR(__xludf.DUMMYFUNCTION("""COMPUTED_VALUE"""),"None")</f>
        <v>None</v>
      </c>
      <c r="D40" s="16" t="str">
        <f>IFERROR(__xludf.DUMMYFUNCTION("""COMPUTED_VALUE"""),"Legendary")</f>
        <v>Legendary</v>
      </c>
      <c r="E40" s="16">
        <f>IFERROR(__xludf.DUMMYFUNCTION("""COMPUTED_VALUE"""),10.0)</f>
        <v>10</v>
      </c>
      <c r="F40" s="14">
        <v>0.0</v>
      </c>
      <c r="G40" s="14" t="b">
        <v>0</v>
      </c>
    </row>
    <row r="41">
      <c r="A41" s="16" t="str">
        <f>IFERROR(__xludf.DUMMYFUNCTION("""COMPUTED_VALUE"""),"Sea Legs")</f>
        <v>Sea Legs</v>
      </c>
      <c r="B41" s="16" t="str">
        <f>IFERROR(__xludf.DUMMYFUNCTION("""COMPUTED_VALUE"""),"Spend 100 days sailing.")</f>
        <v>Spend 100 days sailing.</v>
      </c>
      <c r="C41" s="16" t="str">
        <f>IFERROR(__xludf.DUMMYFUNCTION("""COMPUTED_VALUE"""),"deduct d5 days from the current journey while traveling in the ocean.")</f>
        <v>deduct d5 days from the current journey while traveling in the ocean.</v>
      </c>
      <c r="D41" s="16" t="str">
        <f>IFERROR(__xludf.DUMMYFUNCTION("""COMPUTED_VALUE"""),"Rare")</f>
        <v>Rare</v>
      </c>
      <c r="E41" s="16">
        <f>IFERROR(__xludf.DUMMYFUNCTION("""COMPUTED_VALUE"""),100.0)</f>
        <v>100</v>
      </c>
      <c r="F41" s="14">
        <v>0.0</v>
      </c>
      <c r="G41" s="14" t="b">
        <v>0</v>
      </c>
    </row>
    <row r="42">
      <c r="A42" s="16" t="str">
        <f>IFERROR(__xludf.DUMMYFUNCTION("""COMPUTED_VALUE"""),"Bare Knuckle Brawler")</f>
        <v>Bare Knuckle Brawler</v>
      </c>
      <c r="B42" s="16" t="str">
        <f>IFERROR(__xludf.DUMMYFUNCTION("""COMPUTED_VALUE"""),"Defeat 100 enemies without using weapons or spells.")</f>
        <v>Defeat 100 enemies without using weapons or spells.</v>
      </c>
      <c r="C42" s="16" t="str">
        <f>IFERROR(__xludf.DUMMYFUNCTION("""COMPUTED_VALUE"""),"X5 additional damage when attacking with a natural attack.")</f>
        <v>X5 additional damage when attacking with a natural attack.</v>
      </c>
      <c r="D42" s="16" t="str">
        <f>IFERROR(__xludf.DUMMYFUNCTION("""COMPUTED_VALUE"""),"Rare")</f>
        <v>Rare</v>
      </c>
      <c r="E42" s="16">
        <f>IFERROR(__xludf.DUMMYFUNCTION("""COMPUTED_VALUE"""),100.0)</f>
        <v>100</v>
      </c>
      <c r="F42" s="14">
        <v>0.0</v>
      </c>
      <c r="G42" s="14" t="b">
        <v>0</v>
      </c>
    </row>
    <row r="43">
      <c r="A43" s="16" t="str">
        <f>IFERROR(__xludf.DUMMYFUNCTION("""COMPUTED_VALUE"""),"Excelent Food!")</f>
        <v>Excelent Food!</v>
      </c>
      <c r="B43" s="16" t="str">
        <f>IFERROR(__xludf.DUMMYFUNCTION("""COMPUTED_VALUE"""),"Prepare 100 meals in a row without burning any food.")</f>
        <v>Prepare 100 meals in a row without burning any food.</v>
      </c>
      <c r="C43" s="16" t="str">
        <f>IFERROR(__xludf.DUMMYFUNCTION("""COMPUTED_VALUE"""),"Plus 5 to your prep rolls while cooking.")</f>
        <v>Plus 5 to your prep rolls while cooking.</v>
      </c>
      <c r="D43" s="16" t="str">
        <f>IFERROR(__xludf.DUMMYFUNCTION("""COMPUTED_VALUE"""),"Rare")</f>
        <v>Rare</v>
      </c>
      <c r="E43" s="16">
        <f>IFERROR(__xludf.DUMMYFUNCTION("""COMPUTED_VALUE"""),100.0)</f>
        <v>100</v>
      </c>
      <c r="F43" s="14">
        <v>0.0</v>
      </c>
      <c r="G43" s="14" t="b">
        <v>0</v>
      </c>
    </row>
    <row r="44">
      <c r="A44" s="16" t="str">
        <f>IFERROR(__xludf.DUMMYFUNCTION("""COMPUTED_VALUE"""),"Exterminator")</f>
        <v>Exterminator</v>
      </c>
      <c r="B44" s="16" t="str">
        <f>IFERROR(__xludf.DUMMYFUNCTION("""COMPUTED_VALUE"""),"Win a battle against 10+ enemies")</f>
        <v>Win a battle against 10+ enemies</v>
      </c>
      <c r="C44" s="16" t="str">
        <f>IFERROR(__xludf.DUMMYFUNCTION("""COMPUTED_VALUE"""),"Perform an additional action during your turn in battles involving 10+ enemies")</f>
        <v>Perform an additional action during your turn in battles involving 10+ enemies</v>
      </c>
      <c r="D44" s="16" t="str">
        <f>IFERROR(__xludf.DUMMYFUNCTION("""COMPUTED_VALUE"""),"Rare")</f>
        <v>Rare</v>
      </c>
      <c r="E44" s="16">
        <f>IFERROR(__xludf.DUMMYFUNCTION("""COMPUTED_VALUE"""),10.0)</f>
        <v>10</v>
      </c>
      <c r="F44" s="14">
        <v>0.0</v>
      </c>
      <c r="G44" s="14" t="b">
        <v>0</v>
      </c>
    </row>
    <row r="45">
      <c r="A45" s="16" t="str">
        <f>IFERROR(__xludf.DUMMYFUNCTION("""COMPUTED_VALUE"""),"Peace Treaty")</f>
        <v>Peace Treaty</v>
      </c>
      <c r="B45" s="16" t="str">
        <f>IFERROR(__xludf.DUMMYFUNCTION("""COMPUTED_VALUE"""),"De-escalate 100 npc's from engaing you or the party in a battle.")</f>
        <v>De-escalate 100 npc's from engaing you or the party in a battle.</v>
      </c>
      <c r="C45" s="16" t="str">
        <f>IFERROR(__xludf.DUMMYFUNCTION("""COMPUTED_VALUE"""),"Plus 5 additional charisma.")</f>
        <v>Plus 5 additional charisma.</v>
      </c>
      <c r="D45" s="16" t="str">
        <f>IFERROR(__xludf.DUMMYFUNCTION("""COMPUTED_VALUE"""),"Uncommon")</f>
        <v>Uncommon</v>
      </c>
      <c r="E45" s="16">
        <f>IFERROR(__xludf.DUMMYFUNCTION("""COMPUTED_VALUE"""),100.0)</f>
        <v>100</v>
      </c>
      <c r="F45" s="14">
        <v>0.0</v>
      </c>
      <c r="G45" s="14" t="b">
        <v>0</v>
      </c>
    </row>
    <row r="46">
      <c r="A46" s="16" t="str">
        <f>IFERROR(__xludf.DUMMYFUNCTION("""COMPUTED_VALUE"""),"Up, Down, Up, Down, Up, Down...")</f>
        <v>Up, Down, Up, Down, Up, Down...</v>
      </c>
      <c r="B46" s="16" t="str">
        <f>IFERROR(__xludf.DUMMYFUNCTION("""COMPUTED_VALUE"""),"Win a battle where you died and were revived 3+ times")</f>
        <v>Win a battle where you died and were revived 3+ times</v>
      </c>
      <c r="C46" s="16" t="str">
        <f>IFERROR(__xludf.DUMMYFUNCTION("""COMPUTED_VALUE"""),"None")</f>
        <v>None</v>
      </c>
      <c r="D46" s="16" t="str">
        <f>IFERROR(__xludf.DUMMYFUNCTION("""COMPUTED_VALUE"""),"Rare")</f>
        <v>Rare</v>
      </c>
      <c r="E46" s="16">
        <f>IFERROR(__xludf.DUMMYFUNCTION("""COMPUTED_VALUE"""),3.0)</f>
        <v>3</v>
      </c>
      <c r="F46" s="14">
        <v>0.0</v>
      </c>
      <c r="G46" s="14" t="b">
        <v>0</v>
      </c>
    </row>
    <row r="47">
      <c r="A47" s="16" t="str">
        <f>IFERROR(__xludf.DUMMYFUNCTION("""COMPUTED_VALUE"""),"One Punch")</f>
        <v>One Punch</v>
      </c>
      <c r="B47" s="16" t="str">
        <f>IFERROR(__xludf.DUMMYFUNCTION("""COMPUTED_VALUE"""),"Defeat a boss in a single Attack")</f>
        <v>Defeat a boss in a single Attack</v>
      </c>
      <c r="C47" s="16" t="str">
        <f>IFERROR(__xludf.DUMMYFUNCTION("""COMPUTED_VALUE"""),"None")</f>
        <v>None</v>
      </c>
      <c r="D47" s="16" t="str">
        <f>IFERROR(__xludf.DUMMYFUNCTION("""COMPUTED_VALUE"""),"Rare")</f>
        <v>Rare</v>
      </c>
      <c r="E47" s="16">
        <f>IFERROR(__xludf.DUMMYFUNCTION("""COMPUTED_VALUE"""),0.0)</f>
        <v>0</v>
      </c>
      <c r="F47" s="14">
        <v>0.0</v>
      </c>
      <c r="G47" s="14" t="b">
        <v>0</v>
      </c>
    </row>
    <row r="48">
      <c r="A48" s="16" t="str">
        <f>IFERROR(__xludf.DUMMYFUNCTION("""COMPUTED_VALUE"""),"Crooked Cop")</f>
        <v>Crooked Cop</v>
      </c>
      <c r="B48" s="16" t="str">
        <f>IFERROR(__xludf.DUMMYFUNCTION("""COMPUTED_VALUE"""),"Be both a guard and a criminal")</f>
        <v>Be both a guard and a criminal</v>
      </c>
      <c r="C48" s="16" t="str">
        <f>IFERROR(__xludf.DUMMYFUNCTION("""COMPUTED_VALUE"""),"None")</f>
        <v>None</v>
      </c>
      <c r="D48" s="16" t="str">
        <f>IFERROR(__xludf.DUMMYFUNCTION("""COMPUTED_VALUE"""),"Rare")</f>
        <v>Rare</v>
      </c>
      <c r="E48" s="16">
        <f>IFERROR(__xludf.DUMMYFUNCTION("""COMPUTED_VALUE"""),0.0)</f>
        <v>0</v>
      </c>
      <c r="F48" s="14">
        <v>0.0</v>
      </c>
      <c r="G48" s="14" t="b">
        <v>0</v>
      </c>
    </row>
    <row r="49">
      <c r="A49" s="16" t="str">
        <f>IFERROR(__xludf.DUMMYFUNCTION("""COMPUTED_VALUE"""),"Robber Baron")</f>
        <v>Robber Baron</v>
      </c>
      <c r="B49" s="16" t="str">
        <f>IFERROR(__xludf.DUMMYFUNCTION("""COMPUTED_VALUE"""),"Rob 100 banks of 100,000,000G or more.")</f>
        <v>Rob 100 banks of 100,000,000G or more.</v>
      </c>
      <c r="C49" s="16" t="str">
        <f>IFERROR(__xludf.DUMMYFUNCTION("""COMPUTED_VALUE"""),"Increase the amount of chances to fail by 1.")</f>
        <v>Increase the amount of chances to fail by 1.</v>
      </c>
      <c r="D49" s="16" t="str">
        <f>IFERROR(__xludf.DUMMYFUNCTION("""COMPUTED_VALUE"""),"Legendary")</f>
        <v>Legendary</v>
      </c>
      <c r="E49" s="16">
        <f>IFERROR(__xludf.DUMMYFUNCTION("""COMPUTED_VALUE"""),100.0)</f>
        <v>100</v>
      </c>
      <c r="F49" s="14">
        <v>0.0</v>
      </c>
      <c r="G49" s="14" t="b">
        <v>0</v>
      </c>
    </row>
    <row r="50">
      <c r="A50" s="16" t="str">
        <f>IFERROR(__xludf.DUMMYFUNCTION("""COMPUTED_VALUE"""),"Incredible Bash Siblings")</f>
        <v>Incredible Bash Siblings</v>
      </c>
      <c r="B50" s="16" t="str">
        <f>IFERROR(__xludf.DUMMYFUNCTION("""COMPUTED_VALUE"""),"Engage in a PvP encounter involving 4+ players")</f>
        <v>Engage in a PvP encounter involving 4+ players</v>
      </c>
      <c r="C50" s="16" t="str">
        <f>IFERROR(__xludf.DUMMYFUNCTION("""COMPUTED_VALUE"""),"None")</f>
        <v>None</v>
      </c>
      <c r="D50" s="16" t="str">
        <f>IFERROR(__xludf.DUMMYFUNCTION("""COMPUTED_VALUE"""),"Rare")</f>
        <v>Rare</v>
      </c>
      <c r="E50" s="16">
        <f>IFERROR(__xludf.DUMMYFUNCTION("""COMPUTED_VALUE"""),0.0)</f>
        <v>0</v>
      </c>
      <c r="F50" s="14">
        <v>0.0</v>
      </c>
      <c r="G50" s="14" t="b">
        <v>0</v>
      </c>
    </row>
    <row r="51">
      <c r="A51" s="16" t="str">
        <f>IFERROR(__xludf.DUMMYFUNCTION("""COMPUTED_VALUE"""),"Stolen Goods")</f>
        <v>Stolen Goods</v>
      </c>
      <c r="B51" s="16" t="str">
        <f>IFERROR(__xludf.DUMMYFUNCTION("""COMPUTED_VALUE"""),"Steal over 100,000,000G from 50 npc's or players.")</f>
        <v>Steal over 100,000,000G from 50 npc's or players.</v>
      </c>
      <c r="C51" s="16" t="str">
        <f>IFERROR(__xludf.DUMMYFUNCTION("""COMPUTED_VALUE"""),"None")</f>
        <v>None</v>
      </c>
      <c r="D51" s="16" t="str">
        <f>IFERROR(__xludf.DUMMYFUNCTION("""COMPUTED_VALUE"""),"Rare")</f>
        <v>Rare</v>
      </c>
      <c r="E51" s="16">
        <f>IFERROR(__xludf.DUMMYFUNCTION("""COMPUTED_VALUE"""),50.0)</f>
        <v>50</v>
      </c>
      <c r="F51" s="14">
        <v>0.0</v>
      </c>
      <c r="G51" s="14" t="b">
        <v>0</v>
      </c>
    </row>
    <row r="52">
      <c r="A52" s="16" t="str">
        <f>IFERROR(__xludf.DUMMYFUNCTION("""COMPUTED_VALUE"""),"A Royal Guest")</f>
        <v>A Royal Guest</v>
      </c>
      <c r="B52" s="16" t="str">
        <f>IFERROR(__xludf.DUMMYFUNCTION("""COMPUTED_VALUE"""),"Receive a gift from royalty")</f>
        <v>Receive a gift from royalty</v>
      </c>
      <c r="C52" s="16" t="str">
        <f>IFERROR(__xludf.DUMMYFUNCTION("""COMPUTED_VALUE"""),"None")</f>
        <v>None</v>
      </c>
      <c r="D52" s="16" t="str">
        <f>IFERROR(__xludf.DUMMYFUNCTION("""COMPUTED_VALUE"""),"Uncommon")</f>
        <v>Uncommon</v>
      </c>
      <c r="E52" s="16">
        <f>IFERROR(__xludf.DUMMYFUNCTION("""COMPUTED_VALUE"""),0.0)</f>
        <v>0</v>
      </c>
      <c r="F52" s="14">
        <v>0.0</v>
      </c>
      <c r="G52" s="14" t="b">
        <v>0</v>
      </c>
    </row>
    <row r="53">
      <c r="A53" s="16" t="str">
        <f>IFERROR(__xludf.DUMMYFUNCTION("""COMPUTED_VALUE"""),"Reborn")</f>
        <v>Reborn</v>
      </c>
      <c r="B53" s="16" t="str">
        <f>IFERROR(__xludf.DUMMYFUNCTION("""COMPUTED_VALUE"""),"Create a new character after your old character was wiped between versions of TPOS.")</f>
        <v>Create a new character after your old character was wiped between versions of TPOS.</v>
      </c>
      <c r="C53" s="16" t="str">
        <f>IFERROR(__xludf.DUMMYFUNCTION("""COMPUTED_VALUE"""),"None")</f>
        <v>None</v>
      </c>
      <c r="D53" s="16" t="str">
        <f>IFERROR(__xludf.DUMMYFUNCTION("""COMPUTED_VALUE"""),"Rare")</f>
        <v>Rare</v>
      </c>
      <c r="E53" s="16">
        <f>IFERROR(__xludf.DUMMYFUNCTION("""COMPUTED_VALUE"""),0.0)</f>
        <v>0</v>
      </c>
      <c r="F53" s="14">
        <v>0.0</v>
      </c>
      <c r="G53" s="14" t="b">
        <v>0</v>
      </c>
    </row>
    <row r="54">
      <c r="A54" s="16" t="str">
        <f>IFERROR(__xludf.DUMMYFUNCTION("""COMPUTED_VALUE"""),"Undeather")</f>
        <v>Undeather</v>
      </c>
      <c r="B54" s="16" t="str">
        <f>IFERROR(__xludf.DUMMYFUNCTION("""COMPUTED_VALUE"""),"Spread the undead status to another character")</f>
        <v>Spread the undead status to another character</v>
      </c>
      <c r="C54" s="16" t="str">
        <f>IFERROR(__xludf.DUMMYFUNCTION("""COMPUTED_VALUE"""),"None")</f>
        <v>None</v>
      </c>
      <c r="D54" s="16" t="str">
        <f>IFERROR(__xludf.DUMMYFUNCTION("""COMPUTED_VALUE"""),"Uncommon")</f>
        <v>Uncommon</v>
      </c>
      <c r="E54" s="16">
        <f>IFERROR(__xludf.DUMMYFUNCTION("""COMPUTED_VALUE"""),0.0)</f>
        <v>0</v>
      </c>
      <c r="F54" s="14">
        <v>0.0</v>
      </c>
      <c r="G54" s="14" t="b">
        <v>0</v>
      </c>
    </row>
    <row r="55">
      <c r="A55" s="16" t="str">
        <f>IFERROR(__xludf.DUMMYFUNCTION("""COMPUTED_VALUE"""),"i Am Holy")</f>
        <v>i Am Holy</v>
      </c>
      <c r="B55" s="16" t="str">
        <f>IFERROR(__xludf.DUMMYFUNCTION("""COMPUTED_VALUE"""),"Find a way to escape the corrupt forest without dying.")</f>
        <v>Find a way to escape the corrupt forest without dying.</v>
      </c>
      <c r="C55" s="16" t="str">
        <f>IFERROR(__xludf.DUMMYFUNCTION("""COMPUTED_VALUE"""),"None")</f>
        <v>None</v>
      </c>
      <c r="D55" s="16" t="str">
        <f>IFERROR(__xludf.DUMMYFUNCTION("""COMPUTED_VALUE"""),"Legendary")</f>
        <v>Legendary</v>
      </c>
      <c r="E55" s="16">
        <f>IFERROR(__xludf.DUMMYFUNCTION("""COMPUTED_VALUE"""),0.0)</f>
        <v>0</v>
      </c>
      <c r="F55" s="14">
        <v>0.0</v>
      </c>
      <c r="G55" s="14" t="b">
        <v>0</v>
      </c>
    </row>
    <row r="56">
      <c r="A56" s="16" t="str">
        <f>IFERROR(__xludf.DUMMYFUNCTION("""COMPUTED_VALUE"""),"Ring King")</f>
        <v>Ring King</v>
      </c>
      <c r="B56" s="16" t="str">
        <f>IFERROR(__xludf.DUMMYFUNCTION("""COMPUTED_VALUE"""),"Have every ring slot filled")</f>
        <v>Have every ring slot filled</v>
      </c>
      <c r="C56" s="16" t="str">
        <f>IFERROR(__xludf.DUMMYFUNCTION("""COMPUTED_VALUE"""),"None")</f>
        <v>None</v>
      </c>
      <c r="D56" s="16" t="str">
        <f>IFERROR(__xludf.DUMMYFUNCTION("""COMPUTED_VALUE"""),"Uncommon")</f>
        <v>Uncommon</v>
      </c>
      <c r="E56" s="16">
        <f>IFERROR(__xludf.DUMMYFUNCTION("""COMPUTED_VALUE"""),0.0)</f>
        <v>0</v>
      </c>
      <c r="F56" s="14">
        <v>0.0</v>
      </c>
      <c r="G56" s="14" t="b">
        <v>0</v>
      </c>
    </row>
    <row r="57">
      <c r="A57" s="16" t="str">
        <f>IFERROR(__xludf.DUMMYFUNCTION("""COMPUTED_VALUE"""),"International Incident")</f>
        <v>International Incident</v>
      </c>
      <c r="B57" s="16" t="str">
        <f>IFERROR(__xludf.DUMMYFUNCTION("""COMPUTED_VALUE"""),"Cause a war between two nations")</f>
        <v>Cause a war between two nations</v>
      </c>
      <c r="C57" s="16" t="str">
        <f>IFERROR(__xludf.DUMMYFUNCTION("""COMPUTED_VALUE"""),"None")</f>
        <v>None</v>
      </c>
      <c r="D57" s="16" t="str">
        <f>IFERROR(__xludf.DUMMYFUNCTION("""COMPUTED_VALUE"""),"Legendary")</f>
        <v>Legendary</v>
      </c>
      <c r="E57" s="16">
        <f>IFERROR(__xludf.DUMMYFUNCTION("""COMPUTED_VALUE"""),0.0)</f>
        <v>0</v>
      </c>
      <c r="F57" s="14">
        <v>0.0</v>
      </c>
      <c r="G57" s="14" t="b">
        <v>0</v>
      </c>
    </row>
    <row r="58">
      <c r="A58" s="16" t="str">
        <f>IFERROR(__xludf.DUMMYFUNCTION("""COMPUTED_VALUE"""),"Getting Away")</f>
        <v>Getting Away</v>
      </c>
      <c r="B58" s="16" t="str">
        <f>IFERROR(__xludf.DUMMYFUNCTION("""COMPUTED_VALUE"""),"Commit murder without being arrested")</f>
        <v>Commit murder without being arrested</v>
      </c>
      <c r="C58" s="16" t="str">
        <f>IFERROR(__xludf.DUMMYFUNCTION("""COMPUTED_VALUE"""),"None")</f>
        <v>None</v>
      </c>
      <c r="D58" s="16" t="str">
        <f>IFERROR(__xludf.DUMMYFUNCTION("""COMPUTED_VALUE"""),"Uncommon")</f>
        <v>Uncommon</v>
      </c>
      <c r="E58" s="16">
        <f>IFERROR(__xludf.DUMMYFUNCTION("""COMPUTED_VALUE"""),0.0)</f>
        <v>0</v>
      </c>
      <c r="F58" s="14">
        <v>0.0</v>
      </c>
      <c r="G58" s="14" t="b">
        <v>0</v>
      </c>
    </row>
    <row r="59">
      <c r="A59" s="16" t="str">
        <f>IFERROR(__xludf.DUMMYFUNCTION("""COMPUTED_VALUE"""),"Let Me Through")</f>
        <v>Let Me Through</v>
      </c>
      <c r="B59" s="16" t="str">
        <f>IFERROR(__xludf.DUMMYFUNCTION("""COMPUTED_VALUE"""),"Persuade 100 guards.")</f>
        <v>Persuade 100 guards.</v>
      </c>
      <c r="C59" s="16" t="str">
        <f>IFERROR(__xludf.DUMMYFUNCTION("""COMPUTED_VALUE"""),"Plus 5 additional charisma when persuading a guard.")</f>
        <v>Plus 5 additional charisma when persuading a guard.</v>
      </c>
      <c r="D59" s="16" t="str">
        <f>IFERROR(__xludf.DUMMYFUNCTION("""COMPUTED_VALUE"""),"Rare")</f>
        <v>Rare</v>
      </c>
      <c r="E59" s="16">
        <f>IFERROR(__xludf.DUMMYFUNCTION("""COMPUTED_VALUE"""),100.0)</f>
        <v>100</v>
      </c>
      <c r="F59" s="14">
        <v>0.0</v>
      </c>
      <c r="G59" s="14" t="b">
        <v>0</v>
      </c>
    </row>
    <row r="60">
      <c r="A60" s="16" t="str">
        <f>IFERROR(__xludf.DUMMYFUNCTION("""COMPUTED_VALUE"""),"I Ain't Afraid of No...")</f>
        <v>I Ain't Afraid of No...</v>
      </c>
      <c r="B60" s="16" t="str">
        <f>IFERROR(__xludf.DUMMYFUNCTION("""COMPUTED_VALUE"""),"Survive the Earthquake spell on 3 seperate occasions")</f>
        <v>Survive the Earthquake spell on 3 seperate occasions</v>
      </c>
      <c r="C60" s="16" t="str">
        <f>IFERROR(__xludf.DUMMYFUNCTION("""COMPUTED_VALUE"""),"20% chance of being unaffected by Earthquake")</f>
        <v>20% chance of being unaffected by Earthquake</v>
      </c>
      <c r="D60" s="16" t="str">
        <f>IFERROR(__xludf.DUMMYFUNCTION("""COMPUTED_VALUE"""),"Legendary")</f>
        <v>Legendary</v>
      </c>
      <c r="E60" s="16">
        <f>IFERROR(__xludf.DUMMYFUNCTION("""COMPUTED_VALUE"""),3.0)</f>
        <v>3</v>
      </c>
      <c r="F60" s="14">
        <v>0.0</v>
      </c>
      <c r="G60" s="14" t="b">
        <v>0</v>
      </c>
    </row>
    <row r="61">
      <c r="A61" s="16" t="str">
        <f>IFERROR(__xludf.DUMMYFUNCTION("""COMPUTED_VALUE"""),"Star Master")</f>
        <v>Star Master</v>
      </c>
      <c r="B61" s="16" t="str">
        <f>IFERROR(__xludf.DUMMYFUNCTION("""COMPUTED_VALUE"""),"Acquire all astrals spells without knowing them natuarlly ")</f>
        <v>Acquire all astrals spells without knowing them natuarlly </v>
      </c>
      <c r="C61" s="16" t="str">
        <f>IFERROR(__xludf.DUMMYFUNCTION("""COMPUTED_VALUE"""),"None")</f>
        <v>None</v>
      </c>
      <c r="D61" s="16" t="str">
        <f>IFERROR(__xludf.DUMMYFUNCTION("""COMPUTED_VALUE"""),"Rare")</f>
        <v>Rare</v>
      </c>
      <c r="E61" s="16">
        <f>IFERROR(__xludf.DUMMYFUNCTION("""COMPUTED_VALUE"""),0.0)</f>
        <v>0</v>
      </c>
      <c r="F61" s="14">
        <v>0.0</v>
      </c>
      <c r="G61" s="14" t="b">
        <v>0</v>
      </c>
    </row>
    <row r="62">
      <c r="A62" s="16" t="str">
        <f>IFERROR(__xludf.DUMMYFUNCTION("""COMPUTED_VALUE"""),"Arena Brawler")</f>
        <v>Arena Brawler</v>
      </c>
      <c r="B62" s="16" t="str">
        <f>IFERROR(__xludf.DUMMYFUNCTION("""COMPUTED_VALUE"""),"Become the Arena Champion in any PVP Arena.")</f>
        <v>Become the Arena Champion in any PVP Arena.</v>
      </c>
      <c r="C62" s="16" t="str">
        <f>IFERROR(__xludf.DUMMYFUNCTION("""COMPUTED_VALUE"""),"""Arena Champion"" Title")</f>
        <v>"Arena Champion" Title</v>
      </c>
      <c r="D62" s="16" t="str">
        <f>IFERROR(__xludf.DUMMYFUNCTION("""COMPUTED_VALUE"""),"Uncommon")</f>
        <v>Uncommon</v>
      </c>
      <c r="E62" s="16">
        <f>IFERROR(__xludf.DUMMYFUNCTION("""COMPUTED_VALUE"""),0.0)</f>
        <v>0</v>
      </c>
      <c r="F62" s="14">
        <v>0.0</v>
      </c>
      <c r="G62" s="14" t="b">
        <v>0</v>
      </c>
    </row>
    <row r="63">
      <c r="A63" s="16" t="str">
        <f>IFERROR(__xludf.DUMMYFUNCTION("""COMPUTED_VALUE"""),"Arena Defender")</f>
        <v>Arena Defender</v>
      </c>
      <c r="B63" s="16" t="str">
        <f>IFERROR(__xludf.DUMMYFUNCTION("""COMPUTED_VALUE"""),"Become the Arena Champion twice in any PVP Arena.")</f>
        <v>Become the Arena Champion twice in any PVP Arena.</v>
      </c>
      <c r="C63" s="16" t="str">
        <f>IFERROR(__xludf.DUMMYFUNCTION("""COMPUTED_VALUE"""),"None")</f>
        <v>None</v>
      </c>
      <c r="D63" s="16" t="str">
        <f>IFERROR(__xludf.DUMMYFUNCTION("""COMPUTED_VALUE"""),"Uncommon")</f>
        <v>Uncommon</v>
      </c>
      <c r="E63" s="16">
        <f>IFERROR(__xludf.DUMMYFUNCTION("""COMPUTED_VALUE"""),2.0)</f>
        <v>2</v>
      </c>
      <c r="F63" s="14">
        <v>0.0</v>
      </c>
      <c r="G63" s="14" t="b">
        <v>0</v>
      </c>
    </row>
    <row r="64">
      <c r="A64" s="16" t="str">
        <f>IFERROR(__xludf.DUMMYFUNCTION("""COMPUTED_VALUE"""),"Arena Commander")</f>
        <v>Arena Commander</v>
      </c>
      <c r="B64" s="16" t="str">
        <f>IFERROR(__xludf.DUMMYFUNCTION("""COMPUTED_VALUE"""),"Become the Arena Champion 3+ times in any PVP Arena.")</f>
        <v>Become the Arena Champion 3+ times in any PVP Arena.</v>
      </c>
      <c r="C64" s="16" t="str">
        <f>IFERROR(__xludf.DUMMYFUNCTION("""COMPUTED_VALUE"""),"""Arena Commander"" Title")</f>
        <v>"Arena Commander" Title</v>
      </c>
      <c r="D64" s="16" t="str">
        <f>IFERROR(__xludf.DUMMYFUNCTION("""COMPUTED_VALUE"""),"Rare")</f>
        <v>Rare</v>
      </c>
      <c r="E64" s="16">
        <f>IFERROR(__xludf.DUMMYFUNCTION("""COMPUTED_VALUE"""),3.0)</f>
        <v>3</v>
      </c>
      <c r="F64" s="14">
        <v>0.0</v>
      </c>
      <c r="G64" s="14" t="b">
        <v>0</v>
      </c>
    </row>
    <row r="65">
      <c r="A65" s="16" t="str">
        <f>IFERROR(__xludf.DUMMYFUNCTION("""COMPUTED_VALUE"""),"Arena Master")</f>
        <v>Arena Master</v>
      </c>
      <c r="B65" s="16" t="str">
        <f>IFERROR(__xludf.DUMMYFUNCTION("""COMPUTED_VALUE"""),"Become the Arena Champion 3+ Times in every PVP Arena.")</f>
        <v>Become the Arena Champion 3+ Times in every PVP Arena.</v>
      </c>
      <c r="C65" s="16" t="str">
        <f>IFERROR(__xludf.DUMMYFUNCTION("""COMPUTED_VALUE"""),"""Arena Master"" Title")</f>
        <v>"Arena Master" Title</v>
      </c>
      <c r="D65" s="16" t="str">
        <f>IFERROR(__xludf.DUMMYFUNCTION("""COMPUTED_VALUE"""),"Legendary")</f>
        <v>Legendary</v>
      </c>
      <c r="E65" s="16">
        <f>IFERROR(__xludf.DUMMYFUNCTION("""COMPUTED_VALUE"""),3.0)</f>
        <v>3</v>
      </c>
      <c r="F65" s="14">
        <v>0.0</v>
      </c>
      <c r="G65" s="14" t="b">
        <v>0</v>
      </c>
    </row>
    <row r="66">
      <c r="A66" s="16" t="str">
        <f>IFERROR(__xludf.DUMMYFUNCTION("""COMPUTED_VALUE"""),"Banished to a Distant Land")</f>
        <v>Banished to a Distant Land</v>
      </c>
      <c r="B66" s="16" t="str">
        <f>IFERROR(__xludf.DUMMYFUNCTION("""COMPUTED_VALUE"""),"Witness a player get banned from The Phantom of Spira while partaking in the current session.")</f>
        <v>Witness a player get banned from The Phantom of Spira while partaking in the current session.</v>
      </c>
      <c r="C66" s="16" t="str">
        <f>IFERROR(__xludf.DUMMYFUNCTION("""COMPUTED_VALUE"""),"None")</f>
        <v>None</v>
      </c>
      <c r="D66" s="16" t="str">
        <f>IFERROR(__xludf.DUMMYFUNCTION("""COMPUTED_VALUE"""),"Legendary")</f>
        <v>Legendary</v>
      </c>
      <c r="E66" s="16">
        <f>IFERROR(__xludf.DUMMYFUNCTION("""COMPUTED_VALUE"""),0.0)</f>
        <v>0</v>
      </c>
      <c r="F66" s="14">
        <v>0.0</v>
      </c>
      <c r="G66" s="14" t="b">
        <v>0</v>
      </c>
    </row>
    <row r="67">
      <c r="A67" s="16" t="str">
        <f>IFERROR(__xludf.DUMMYFUNCTION("""COMPUTED_VALUE"""),"Miner")</f>
        <v>Miner</v>
      </c>
      <c r="B67" s="16" t="str">
        <f>IFERROR(__xludf.DUMMYFUNCTION("""COMPUTED_VALUE"""),"Perform 3 quests for the same Miner.")</f>
        <v>Perform 3 quests for the same Miner.</v>
      </c>
      <c r="C67" s="16" t="str">
        <f>IFERROR(__xludf.DUMMYFUNCTION("""COMPUTED_VALUE"""),"Gain the Miner Sub-Class")</f>
        <v>Gain the Miner Sub-Class</v>
      </c>
      <c r="D67" s="16" t="str">
        <f>IFERROR(__xludf.DUMMYFUNCTION("""COMPUTED_VALUE"""),"Common")</f>
        <v>Common</v>
      </c>
      <c r="E67" s="16">
        <f>IFERROR(__xludf.DUMMYFUNCTION("""COMPUTED_VALUE"""),3.0)</f>
        <v>3</v>
      </c>
      <c r="F67" s="14">
        <v>0.0</v>
      </c>
      <c r="G67" s="14" t="b">
        <v>0</v>
      </c>
    </row>
    <row r="68">
      <c r="A68" s="16" t="str">
        <f>IFERROR(__xludf.DUMMYFUNCTION("""COMPUTED_VALUE"""),"Farmer")</f>
        <v>Farmer</v>
      </c>
      <c r="B68" s="16" t="str">
        <f>IFERROR(__xludf.DUMMYFUNCTION("""COMPUTED_VALUE"""),"Perform 3 quests for the same Farmer")</f>
        <v>Perform 3 quests for the same Farmer</v>
      </c>
      <c r="C68" s="16" t="str">
        <f>IFERROR(__xludf.DUMMYFUNCTION("""COMPUTED_VALUE"""),"Gain the Farmer Sub-Class")</f>
        <v>Gain the Farmer Sub-Class</v>
      </c>
      <c r="D68" s="16" t="str">
        <f>IFERROR(__xludf.DUMMYFUNCTION("""COMPUTED_VALUE"""),"Common")</f>
        <v>Common</v>
      </c>
      <c r="E68" s="16">
        <f>IFERROR(__xludf.DUMMYFUNCTION("""COMPUTED_VALUE"""),3.0)</f>
        <v>3</v>
      </c>
      <c r="F68" s="14">
        <v>0.0</v>
      </c>
      <c r="G68" s="14" t="b">
        <v>0</v>
      </c>
    </row>
    <row r="69">
      <c r="A69" s="16" t="str">
        <f>IFERROR(__xludf.DUMMYFUNCTION("""COMPUTED_VALUE"""),"Instant Credit")</f>
        <v>Instant Credit</v>
      </c>
      <c r="B69" s="16" t="str">
        <f>IFERROR(__xludf.DUMMYFUNCTION("""COMPUTED_VALUE"""),"Obtain a loan from a bank in The Land of Spira")</f>
        <v>Obtain a loan from a bank in The Land of Spira</v>
      </c>
      <c r="C69" s="16" t="str">
        <f>IFERROR(__xludf.DUMMYFUNCTION("""COMPUTED_VALUE"""),"None")</f>
        <v>None</v>
      </c>
      <c r="D69" s="16" t="str">
        <f>IFERROR(__xludf.DUMMYFUNCTION("""COMPUTED_VALUE"""),"Common")</f>
        <v>Common</v>
      </c>
      <c r="E69" s="16">
        <f>IFERROR(__xludf.DUMMYFUNCTION("""COMPUTED_VALUE"""),0.0)</f>
        <v>0</v>
      </c>
      <c r="F69" s="14">
        <v>0.0</v>
      </c>
      <c r="G69" s="14" t="b">
        <v>0</v>
      </c>
    </row>
    <row r="70">
      <c r="A70" s="16" t="str">
        <f>IFERROR(__xludf.DUMMYFUNCTION("""COMPUTED_VALUE"""),"Responsible Tax Payer")</f>
        <v>Responsible Tax Payer</v>
      </c>
      <c r="B70" s="16" t="str">
        <f>IFERROR(__xludf.DUMMYFUNCTION("""COMPUTED_VALUE"""),"Pay back a loan you got from a bank in The Land of Spira in the amount of time specified.")</f>
        <v>Pay back a loan you got from a bank in The Land of Spira in the amount of time specified.</v>
      </c>
      <c r="C70" s="16" t="str">
        <f>IFERROR(__xludf.DUMMYFUNCTION("""COMPUTED_VALUE"""),"None")</f>
        <v>None</v>
      </c>
      <c r="D70" s="16" t="str">
        <f>IFERROR(__xludf.DUMMYFUNCTION("""COMPUTED_VALUE"""),"Common")</f>
        <v>Common</v>
      </c>
      <c r="E70" s="16">
        <f>IFERROR(__xludf.DUMMYFUNCTION("""COMPUTED_VALUE"""),1.0)</f>
        <v>1</v>
      </c>
      <c r="F70" s="14">
        <v>0.0</v>
      </c>
      <c r="G70" s="14" t="b">
        <v>0</v>
      </c>
    </row>
    <row r="71">
      <c r="A71" s="16" t="str">
        <f>IFERROR(__xludf.DUMMYFUNCTION("""COMPUTED_VALUE"""),"i Really Do Love Money")</f>
        <v>i Really Do Love Money</v>
      </c>
      <c r="B71" s="16" t="str">
        <f>IFERROR(__xludf.DUMMYFUNCTION("""COMPUTED_VALUE"""),"Obtain a loan from a bank in The Land of Spira worth 100,000,000,000G or more and successfully pay it back in the time specified.")</f>
        <v>Obtain a loan from a bank in The Land of Spira worth 100,000,000,000G or more and successfully pay it back in the time specified.</v>
      </c>
      <c r="C71" s="16" t="str">
        <f>IFERROR(__xludf.DUMMYFUNCTION("""COMPUTED_VALUE"""),"""Patriotic Debtor"" Title")</f>
        <v>"Patriotic Debtor" Title</v>
      </c>
      <c r="D71" s="16" t="str">
        <f>IFERROR(__xludf.DUMMYFUNCTION("""COMPUTED_VALUE"""),"Legendary")</f>
        <v>Legendary</v>
      </c>
      <c r="E71" s="16">
        <f>IFERROR(__xludf.DUMMYFUNCTION("""COMPUTED_VALUE"""),1.0)</f>
        <v>1</v>
      </c>
      <c r="F71" s="14">
        <v>0.0</v>
      </c>
      <c r="G71" s="14" t="b">
        <v>0</v>
      </c>
    </row>
    <row r="72">
      <c r="A72" s="16" t="str">
        <f>IFERROR(__xludf.DUMMYFUNCTION("""COMPUTED_VALUE"""),"Pumking")</f>
        <v>Pumking</v>
      </c>
      <c r="B72" s="16" t="str">
        <f>IFERROR(__xludf.DUMMYFUNCTION("""COMPUTED_VALUE"""),"Complete the Halloween Event.")</f>
        <v>Complete the Halloween Event.</v>
      </c>
      <c r="C72" s="16" t="str">
        <f>IFERROR(__xludf.DUMMYFUNCTION("""COMPUTED_VALUE"""),"""The Spooky One"" Title")</f>
        <v>"The Spooky One" Title</v>
      </c>
      <c r="D72" s="16" t="str">
        <f>IFERROR(__xludf.DUMMYFUNCTION("""COMPUTED_VALUE"""),"Rare")</f>
        <v>Rare</v>
      </c>
      <c r="E72" s="16">
        <f>IFERROR(__xludf.DUMMYFUNCTION("""COMPUTED_VALUE"""),7.0)</f>
        <v>7</v>
      </c>
      <c r="F72" s="14">
        <v>0.0</v>
      </c>
      <c r="G72" s="14" t="b">
        <v>0</v>
      </c>
    </row>
    <row r="73">
      <c r="A73" s="16" t="str">
        <f>IFERROR(__xludf.DUMMYFUNCTION("""COMPUTED_VALUE"""),"Lost and Found")</f>
        <v>Lost and Found</v>
      </c>
      <c r="B73" s="16" t="str">
        <f>IFERROR(__xludf.DUMMYFUNCTION("""COMPUTED_VALUE"""),"Find and return 100 Lost Children to their parents during travel.")</f>
        <v>Find and return 100 Lost Children to their parents during travel.</v>
      </c>
      <c r="C73" s="16" t="str">
        <f>IFERROR(__xludf.DUMMYFUNCTION("""COMPUTED_VALUE"""),"Gain 100,000G per Lost Child found and returned to their parents during travel.")</f>
        <v>Gain 100,000G per Lost Child found and returned to their parents during travel.</v>
      </c>
      <c r="D73" s="16" t="str">
        <f>IFERROR(__xludf.DUMMYFUNCTION("""COMPUTED_VALUE"""),"Rare")</f>
        <v>Rare</v>
      </c>
      <c r="E73" s="16">
        <f>IFERROR(__xludf.DUMMYFUNCTION("""COMPUTED_VALUE"""),100.0)</f>
        <v>100</v>
      </c>
      <c r="F73" s="14">
        <v>0.0</v>
      </c>
      <c r="G73" s="14" t="b">
        <v>0</v>
      </c>
    </row>
    <row r="74">
      <c r="A74" s="16" t="str">
        <f>IFERROR(__xludf.DUMMYFUNCTION("""COMPUTED_VALUE"""),"A Helping Hand")</f>
        <v>A Helping Hand</v>
      </c>
      <c r="B74" s="16" t="str">
        <f>IFERROR(__xludf.DUMMYFUNCTION("""COMPUTED_VALUE"""),"Give 100,000G to 100 Beggars during travel.")</f>
        <v>Give 100,000G to 100 Beggars during travel.</v>
      </c>
      <c r="C74" s="16" t="str">
        <f>IFERROR(__xludf.DUMMYFUNCTION("""COMPUTED_VALUE"""),"""Generous Donor"" Title")</f>
        <v>"Generous Donor" Title</v>
      </c>
      <c r="D74" s="16" t="str">
        <f>IFERROR(__xludf.DUMMYFUNCTION("""COMPUTED_VALUE"""),"Rare")</f>
        <v>Rare</v>
      </c>
      <c r="E74" s="16">
        <f>IFERROR(__xludf.DUMMYFUNCTION("""COMPUTED_VALUE"""),100.0)</f>
        <v>100</v>
      </c>
      <c r="F74" s="14">
        <v>0.0</v>
      </c>
      <c r="G74" s="14" t="b">
        <v>0</v>
      </c>
    </row>
    <row r="75">
      <c r="A75" s="16" t="str">
        <f>IFERROR(__xludf.DUMMYFUNCTION("""COMPUTED_VALUE"""),"Dimensional Traveler")</f>
        <v>Dimensional Traveler</v>
      </c>
      <c r="B75" s="16" t="str">
        <f>IFERROR(__xludf.DUMMYFUNCTION("""COMPUTED_VALUE"""),"Use 50 portals of any kind during travel.")</f>
        <v>Use 50 portals of any kind during travel.</v>
      </c>
      <c r="C75" s="16" t="str">
        <f>IFERROR(__xludf.DUMMYFUNCTION("""COMPUTED_VALUE"""),"None")</f>
        <v>None</v>
      </c>
      <c r="D75" s="16" t="str">
        <f>IFERROR(__xludf.DUMMYFUNCTION("""COMPUTED_VALUE"""),"Uncommon")</f>
        <v>Uncommon</v>
      </c>
      <c r="E75" s="16">
        <f>IFERROR(__xludf.DUMMYFUNCTION("""COMPUTED_VALUE"""),50.0)</f>
        <v>50</v>
      </c>
      <c r="F75" s="14">
        <v>0.0</v>
      </c>
      <c r="G75" s="14" t="b">
        <v>0</v>
      </c>
    </row>
    <row r="76">
      <c r="A76" s="16" t="str">
        <f>IFERROR(__xludf.DUMMYFUNCTION("""COMPUTED_VALUE"""),"Bourgeoisie Home Owner")</f>
        <v>Bourgeoisie Home Owner</v>
      </c>
      <c r="B76" s="16" t="str">
        <f>IFERROR(__xludf.DUMMYFUNCTION("""COMPUTED_VALUE"""),"Buy a House or Shop worth at least 1,000,000,000 Gilders")</f>
        <v>Buy a House or Shop worth at least 1,000,000,000 Gilders</v>
      </c>
      <c r="C76" s="16" t="str">
        <f>IFERROR(__xludf.DUMMYFUNCTION("""COMPUTED_VALUE"""),"""Bourgeoisie Home Owner"" Title")</f>
        <v>"Bourgeoisie Home Owner" Title</v>
      </c>
      <c r="D76" s="16" t="str">
        <f>IFERROR(__xludf.DUMMYFUNCTION("""COMPUTED_VALUE"""),"Legendary")</f>
        <v>Legendary</v>
      </c>
      <c r="E76" s="16">
        <f>IFERROR(__xludf.DUMMYFUNCTION("""COMPUTED_VALUE"""),0.0)</f>
        <v>0</v>
      </c>
      <c r="F76" s="14">
        <v>0.0</v>
      </c>
      <c r="G76" s="14" t="b">
        <v>0</v>
      </c>
    </row>
    <row r="77">
      <c r="A77" s="16"/>
      <c r="B77" s="16"/>
      <c r="C77" s="16"/>
      <c r="D77" s="16"/>
      <c r="E77" s="16"/>
      <c r="F77" s="14">
        <v>0.0</v>
      </c>
      <c r="G77" s="14" t="b">
        <v>0</v>
      </c>
    </row>
    <row r="78">
      <c r="A78" s="16"/>
      <c r="B78" s="16"/>
      <c r="C78" s="16"/>
      <c r="D78" s="16"/>
      <c r="E78" s="16"/>
      <c r="F78" s="14">
        <v>0.0</v>
      </c>
      <c r="G78" s="14" t="b">
        <v>0</v>
      </c>
    </row>
    <row r="79">
      <c r="A79" s="16"/>
      <c r="B79" s="16"/>
      <c r="C79" s="16"/>
      <c r="D79" s="16"/>
      <c r="E79" s="16"/>
      <c r="F79" s="14">
        <v>0.0</v>
      </c>
      <c r="G79" s="14" t="b">
        <v>0</v>
      </c>
    </row>
    <row r="80">
      <c r="A80" s="16"/>
      <c r="B80" s="16"/>
      <c r="C80" s="16"/>
      <c r="D80" s="16"/>
      <c r="E80" s="16"/>
      <c r="F80" s="14">
        <v>0.0</v>
      </c>
      <c r="G80" s="14" t="b">
        <v>0</v>
      </c>
    </row>
    <row r="81">
      <c r="A81" s="16"/>
      <c r="B81" s="16"/>
      <c r="C81" s="16"/>
      <c r="D81" s="16"/>
      <c r="E81" s="16"/>
      <c r="F81" s="14">
        <v>0.0</v>
      </c>
      <c r="G81" s="14" t="b">
        <v>0</v>
      </c>
    </row>
    <row r="82">
      <c r="A82" s="16"/>
      <c r="B82" s="16"/>
      <c r="C82" s="16"/>
      <c r="D82" s="16"/>
      <c r="E82" s="16"/>
      <c r="F82" s="14">
        <v>0.0</v>
      </c>
      <c r="G82" s="14" t="b">
        <v>0</v>
      </c>
    </row>
    <row r="83">
      <c r="A83" s="16"/>
      <c r="B83" s="16"/>
      <c r="C83" s="16"/>
      <c r="D83" s="16"/>
      <c r="E83" s="16"/>
      <c r="F83" s="14">
        <v>0.0</v>
      </c>
      <c r="G83" s="14" t="b">
        <v>0</v>
      </c>
    </row>
    <row r="84">
      <c r="A84" s="16"/>
      <c r="B84" s="16"/>
      <c r="C84" s="16"/>
      <c r="D84" s="16"/>
      <c r="E84" s="16"/>
      <c r="F84" s="14">
        <v>0.0</v>
      </c>
      <c r="G84" s="14" t="b">
        <v>0</v>
      </c>
    </row>
    <row r="85">
      <c r="A85" s="16"/>
      <c r="B85" s="16"/>
      <c r="C85" s="16"/>
      <c r="D85" s="16"/>
      <c r="E85" s="16"/>
      <c r="F85" s="14">
        <v>0.0</v>
      </c>
      <c r="G85" s="14" t="b">
        <v>0</v>
      </c>
    </row>
    <row r="86">
      <c r="A86" s="16"/>
      <c r="B86" s="16"/>
      <c r="C86" s="16"/>
      <c r="D86" s="16"/>
      <c r="E86" s="16"/>
      <c r="F86" s="14">
        <v>0.0</v>
      </c>
      <c r="G86" s="14" t="b">
        <v>0</v>
      </c>
    </row>
    <row r="87">
      <c r="A87" s="16"/>
      <c r="B87" s="16"/>
      <c r="C87" s="16"/>
      <c r="D87" s="16"/>
      <c r="E87" s="16"/>
      <c r="F87" s="14">
        <v>0.0</v>
      </c>
      <c r="G87" s="14" t="b">
        <v>0</v>
      </c>
    </row>
    <row r="88">
      <c r="A88" s="16"/>
      <c r="B88" s="16"/>
      <c r="C88" s="16"/>
      <c r="D88" s="16"/>
      <c r="E88" s="16"/>
      <c r="F88" s="14">
        <v>0.0</v>
      </c>
      <c r="G88" s="14" t="b">
        <v>0</v>
      </c>
    </row>
    <row r="89">
      <c r="A89" s="16"/>
      <c r="B89" s="16"/>
      <c r="C89" s="16"/>
      <c r="D89" s="16"/>
      <c r="E89" s="16"/>
      <c r="F89" s="14">
        <v>0.0</v>
      </c>
      <c r="G89" s="14" t="b">
        <v>0</v>
      </c>
    </row>
    <row r="90">
      <c r="A90" s="16"/>
      <c r="B90" s="16"/>
      <c r="C90" s="16"/>
      <c r="D90" s="16"/>
      <c r="E90" s="16"/>
      <c r="F90" s="14">
        <v>0.0</v>
      </c>
      <c r="G90" s="14" t="b">
        <v>0</v>
      </c>
    </row>
    <row r="91">
      <c r="A91" s="16"/>
      <c r="B91" s="16"/>
      <c r="C91" s="16"/>
      <c r="D91" s="16"/>
      <c r="E91" s="16"/>
      <c r="F91" s="14">
        <v>0.0</v>
      </c>
      <c r="G91" s="14" t="b">
        <v>0</v>
      </c>
    </row>
    <row r="92">
      <c r="A92" s="16"/>
      <c r="B92" s="16"/>
      <c r="C92" s="16"/>
      <c r="D92" s="16"/>
      <c r="E92" s="16"/>
      <c r="F92" s="14">
        <v>0.0</v>
      </c>
      <c r="G92" s="14" t="b">
        <v>0</v>
      </c>
    </row>
    <row r="93">
      <c r="A93" s="16"/>
      <c r="B93" s="16"/>
      <c r="C93" s="16"/>
      <c r="D93" s="16"/>
      <c r="E93" s="16"/>
      <c r="F93" s="14">
        <v>0.0</v>
      </c>
      <c r="G93" s="14" t="b">
        <v>0</v>
      </c>
    </row>
    <row r="94">
      <c r="A94" s="16"/>
      <c r="B94" s="16"/>
      <c r="C94" s="16"/>
      <c r="D94" s="16"/>
      <c r="E94" s="16"/>
      <c r="F94" s="14">
        <v>0.0</v>
      </c>
      <c r="G94" s="14" t="b">
        <v>0</v>
      </c>
    </row>
    <row r="95">
      <c r="A95" s="16"/>
      <c r="B95" s="16"/>
      <c r="C95" s="16"/>
      <c r="D95" s="16"/>
      <c r="E95" s="16"/>
      <c r="F95" s="14">
        <v>0.0</v>
      </c>
      <c r="G95" s="14" t="b">
        <v>0</v>
      </c>
    </row>
    <row r="96">
      <c r="A96" s="16"/>
      <c r="B96" s="16"/>
      <c r="C96" s="16"/>
      <c r="D96" s="16"/>
      <c r="E96" s="16"/>
      <c r="F96" s="14">
        <v>0.0</v>
      </c>
      <c r="G96" s="14" t="b">
        <v>0</v>
      </c>
    </row>
    <row r="97">
      <c r="A97" s="16"/>
      <c r="B97" s="16"/>
      <c r="C97" s="16"/>
      <c r="D97" s="16"/>
      <c r="E97" s="16"/>
      <c r="F97" s="14">
        <v>0.0</v>
      </c>
      <c r="G97" s="14" t="b">
        <v>0</v>
      </c>
    </row>
    <row r="98">
      <c r="A98" s="16"/>
      <c r="B98" s="16"/>
      <c r="C98" s="16"/>
      <c r="D98" s="16"/>
      <c r="E98" s="16"/>
      <c r="F98" s="14">
        <v>0.0</v>
      </c>
      <c r="G98" s="14" t="b">
        <v>0</v>
      </c>
    </row>
    <row r="99">
      <c r="A99" s="16"/>
      <c r="B99" s="16"/>
      <c r="C99" s="16"/>
      <c r="D99" s="16"/>
      <c r="E99" s="16"/>
      <c r="F99" s="14">
        <v>0.0</v>
      </c>
      <c r="G99" s="14" t="b">
        <v>0</v>
      </c>
    </row>
    <row r="100">
      <c r="A100" s="16"/>
      <c r="B100" s="16"/>
      <c r="C100" s="16"/>
      <c r="D100" s="16"/>
      <c r="E100" s="16"/>
      <c r="F100" s="14">
        <v>0.0</v>
      </c>
      <c r="G100" s="14" t="b">
        <v>0</v>
      </c>
    </row>
    <row r="101">
      <c r="A101" s="16"/>
      <c r="B101" s="16"/>
      <c r="C101" s="16"/>
      <c r="D101" s="16"/>
      <c r="E101" s="16"/>
      <c r="F101" s="14">
        <v>0.0</v>
      </c>
      <c r="G101" s="14" t="b">
        <v>0</v>
      </c>
    </row>
    <row r="102">
      <c r="A102" s="16"/>
      <c r="B102" s="16"/>
      <c r="C102" s="16"/>
      <c r="D102" s="16"/>
      <c r="E102" s="16"/>
      <c r="F102" s="14">
        <v>0.0</v>
      </c>
      <c r="G102" s="14" t="b">
        <v>0</v>
      </c>
    </row>
    <row r="103">
      <c r="A103" s="16"/>
      <c r="B103" s="16"/>
      <c r="C103" s="16"/>
      <c r="D103" s="16"/>
      <c r="E103" s="16"/>
      <c r="F103" s="14">
        <v>0.0</v>
      </c>
      <c r="G103" s="14" t="b">
        <v>0</v>
      </c>
    </row>
    <row r="104">
      <c r="A104" s="16"/>
      <c r="B104" s="16"/>
      <c r="C104" s="16"/>
      <c r="D104" s="16"/>
      <c r="E104" s="16"/>
      <c r="F104" s="14">
        <v>0.0</v>
      </c>
      <c r="G104" s="14" t="b">
        <v>0</v>
      </c>
    </row>
    <row r="105">
      <c r="A105" s="16"/>
      <c r="B105" s="16"/>
      <c r="C105" s="16"/>
      <c r="D105" s="16"/>
      <c r="E105" s="16"/>
      <c r="F105" s="14">
        <v>0.0</v>
      </c>
      <c r="G105" s="14" t="b">
        <v>0</v>
      </c>
    </row>
    <row r="106">
      <c r="A106" s="16"/>
      <c r="B106" s="16"/>
      <c r="C106" s="16"/>
      <c r="D106" s="16"/>
      <c r="E106" s="16"/>
      <c r="F106" s="14">
        <v>0.0</v>
      </c>
      <c r="G106" s="14" t="b">
        <v>0</v>
      </c>
    </row>
    <row r="107">
      <c r="A107" s="16"/>
      <c r="B107" s="16"/>
      <c r="C107" s="16"/>
      <c r="D107" s="16"/>
      <c r="E107" s="16"/>
      <c r="F107" s="14">
        <v>0.0</v>
      </c>
      <c r="G107" s="14" t="b">
        <v>0</v>
      </c>
    </row>
    <row r="108">
      <c r="A108" s="16"/>
      <c r="B108" s="16"/>
      <c r="C108" s="16"/>
      <c r="D108" s="16"/>
      <c r="E108" s="16"/>
      <c r="F108" s="14">
        <v>0.0</v>
      </c>
      <c r="G108" s="14" t="b">
        <v>0</v>
      </c>
    </row>
    <row r="109">
      <c r="A109" s="16"/>
      <c r="B109" s="16"/>
      <c r="C109" s="16"/>
      <c r="D109" s="16"/>
      <c r="E109" s="16"/>
      <c r="F109" s="14">
        <v>0.0</v>
      </c>
      <c r="G109" s="14" t="b">
        <v>0</v>
      </c>
    </row>
    <row r="110">
      <c r="A110" s="16"/>
      <c r="B110" s="16"/>
      <c r="C110" s="16"/>
      <c r="D110" s="16"/>
      <c r="E110" s="16"/>
      <c r="F110" s="14">
        <v>0.0</v>
      </c>
      <c r="G110" s="14" t="b">
        <v>0</v>
      </c>
    </row>
    <row r="111">
      <c r="A111" s="16"/>
      <c r="B111" s="16"/>
      <c r="C111" s="16"/>
      <c r="D111" s="16"/>
      <c r="E111" s="16"/>
      <c r="F111" s="14">
        <v>0.0</v>
      </c>
      <c r="G111" s="14" t="b">
        <v>0</v>
      </c>
    </row>
    <row r="112">
      <c r="A112" s="16"/>
      <c r="B112" s="16"/>
      <c r="C112" s="16"/>
      <c r="D112" s="16"/>
      <c r="E112" s="16"/>
      <c r="F112" s="14">
        <v>0.0</v>
      </c>
      <c r="G112" s="14" t="b">
        <v>0</v>
      </c>
    </row>
    <row r="113">
      <c r="A113" s="16"/>
      <c r="B113" s="16"/>
      <c r="C113" s="16"/>
      <c r="D113" s="16"/>
      <c r="E113" s="16"/>
      <c r="F113" s="14">
        <v>0.0</v>
      </c>
      <c r="G113" s="14" t="b">
        <v>0</v>
      </c>
    </row>
    <row r="114">
      <c r="A114" s="16"/>
      <c r="B114" s="16"/>
      <c r="C114" s="16"/>
      <c r="D114" s="16"/>
      <c r="E114" s="16"/>
      <c r="F114" s="14">
        <v>0.0</v>
      </c>
      <c r="G114" s="14" t="b">
        <v>0</v>
      </c>
    </row>
    <row r="115">
      <c r="A115" s="16"/>
      <c r="B115" s="16"/>
      <c r="C115" s="16"/>
      <c r="D115" s="16"/>
      <c r="E115" s="16"/>
      <c r="F115" s="14">
        <v>0.0</v>
      </c>
      <c r="G115" s="14" t="b">
        <v>0</v>
      </c>
    </row>
    <row r="116">
      <c r="A116" s="16"/>
      <c r="B116" s="16"/>
      <c r="C116" s="16"/>
      <c r="D116" s="16"/>
      <c r="E116" s="16"/>
      <c r="F116" s="14">
        <v>0.0</v>
      </c>
      <c r="G116" s="14" t="b">
        <v>0</v>
      </c>
    </row>
    <row r="117">
      <c r="A117" s="16"/>
      <c r="B117" s="16"/>
      <c r="C117" s="16"/>
      <c r="D117" s="16"/>
      <c r="E117" s="16"/>
      <c r="F117" s="14">
        <v>0.0</v>
      </c>
      <c r="G117" s="14" t="b">
        <v>0</v>
      </c>
    </row>
    <row r="118">
      <c r="A118" s="16"/>
      <c r="B118" s="16"/>
      <c r="C118" s="16"/>
      <c r="D118" s="16"/>
      <c r="E118" s="16"/>
      <c r="F118" s="14">
        <v>0.0</v>
      </c>
      <c r="G118" s="14" t="b">
        <v>0</v>
      </c>
    </row>
    <row r="119">
      <c r="A119" s="16"/>
      <c r="B119" s="16"/>
      <c r="C119" s="16"/>
      <c r="D119" s="16"/>
      <c r="E119" s="16"/>
      <c r="F119" s="14">
        <v>0.0</v>
      </c>
      <c r="G119" s="14" t="b">
        <v>0</v>
      </c>
    </row>
    <row r="120">
      <c r="A120" s="16"/>
      <c r="B120" s="16"/>
      <c r="C120" s="16"/>
      <c r="D120" s="16"/>
      <c r="E120" s="16"/>
      <c r="F120" s="14">
        <v>0.0</v>
      </c>
      <c r="G120" s="14" t="b">
        <v>0</v>
      </c>
    </row>
    <row r="121">
      <c r="A121" s="16"/>
      <c r="B121" s="16"/>
      <c r="C121" s="16"/>
      <c r="D121" s="16"/>
      <c r="E121" s="16"/>
      <c r="F121" s="14">
        <v>0.0</v>
      </c>
      <c r="G121" s="14" t="b">
        <v>0</v>
      </c>
    </row>
    <row r="122">
      <c r="A122" s="16"/>
      <c r="B122" s="16"/>
      <c r="C122" s="16"/>
      <c r="D122" s="16"/>
      <c r="E122" s="16"/>
      <c r="F122" s="14">
        <v>0.0</v>
      </c>
      <c r="G122" s="14" t="b">
        <v>0</v>
      </c>
    </row>
    <row r="123">
      <c r="A123" s="16"/>
      <c r="B123" s="16"/>
      <c r="C123" s="16"/>
      <c r="D123" s="16"/>
      <c r="E123" s="16"/>
      <c r="F123" s="14">
        <v>0.0</v>
      </c>
      <c r="G123" s="14" t="b">
        <v>0</v>
      </c>
    </row>
    <row r="124">
      <c r="A124" s="16"/>
      <c r="B124" s="16"/>
      <c r="C124" s="16"/>
      <c r="D124" s="16"/>
      <c r="E124" s="16"/>
      <c r="F124" s="14">
        <v>0.0</v>
      </c>
      <c r="G124" s="14" t="b">
        <v>0</v>
      </c>
    </row>
    <row r="125">
      <c r="A125" s="16"/>
      <c r="B125" s="16"/>
      <c r="C125" s="16"/>
      <c r="D125" s="16"/>
      <c r="E125" s="16"/>
      <c r="F125" s="14">
        <v>0.0</v>
      </c>
      <c r="G125" s="14" t="b">
        <v>0</v>
      </c>
    </row>
    <row r="126">
      <c r="A126" s="16"/>
      <c r="B126" s="16"/>
      <c r="C126" s="16"/>
      <c r="D126" s="16"/>
      <c r="E126" s="16"/>
      <c r="F126" s="14">
        <v>0.0</v>
      </c>
      <c r="G126" s="14" t="b">
        <v>0</v>
      </c>
    </row>
    <row r="127">
      <c r="A127" s="16"/>
      <c r="B127" s="16"/>
      <c r="C127" s="16"/>
      <c r="D127" s="16"/>
      <c r="E127" s="16"/>
      <c r="F127" s="14">
        <v>0.0</v>
      </c>
      <c r="G127" s="14" t="b">
        <v>0</v>
      </c>
    </row>
    <row r="128">
      <c r="A128" s="16"/>
      <c r="B128" s="16"/>
      <c r="C128" s="16"/>
      <c r="D128" s="16"/>
      <c r="E128" s="16"/>
      <c r="F128" s="14">
        <v>0.0</v>
      </c>
      <c r="G128" s="14" t="b">
        <v>0</v>
      </c>
    </row>
    <row r="129">
      <c r="A129" s="16"/>
      <c r="B129" s="16"/>
      <c r="C129" s="16"/>
      <c r="D129" s="16"/>
      <c r="E129" s="16"/>
      <c r="F129" s="14">
        <v>0.0</v>
      </c>
      <c r="G129" s="14" t="b">
        <v>0</v>
      </c>
    </row>
    <row r="130">
      <c r="A130" s="16"/>
      <c r="B130" s="16"/>
      <c r="C130" s="16"/>
      <c r="D130" s="16"/>
      <c r="E130" s="16"/>
      <c r="F130" s="14">
        <v>0.0</v>
      </c>
      <c r="G130" s="14" t="b">
        <v>0</v>
      </c>
    </row>
    <row r="131">
      <c r="A131" s="16"/>
      <c r="B131" s="16"/>
      <c r="C131" s="16"/>
      <c r="D131" s="16"/>
      <c r="E131" s="16"/>
      <c r="F131" s="14">
        <v>0.0</v>
      </c>
      <c r="G131" s="14" t="b">
        <v>0</v>
      </c>
    </row>
    <row r="132">
      <c r="A132" s="16"/>
      <c r="B132" s="16"/>
      <c r="C132" s="16"/>
      <c r="D132" s="16"/>
      <c r="E132" s="16"/>
      <c r="F132" s="14">
        <v>0.0</v>
      </c>
      <c r="G132" s="14" t="b">
        <v>0</v>
      </c>
    </row>
    <row r="133">
      <c r="A133" s="16"/>
      <c r="B133" s="16"/>
      <c r="C133" s="16"/>
      <c r="D133" s="16"/>
      <c r="E133" s="16"/>
      <c r="F133" s="14">
        <v>0.0</v>
      </c>
      <c r="G133" s="14" t="b">
        <v>0</v>
      </c>
    </row>
    <row r="134">
      <c r="A134" s="16"/>
      <c r="B134" s="16"/>
      <c r="C134" s="16"/>
      <c r="D134" s="16"/>
      <c r="E134" s="16"/>
      <c r="F134" s="14">
        <v>0.0</v>
      </c>
      <c r="G134" s="14" t="b">
        <v>0</v>
      </c>
    </row>
    <row r="135">
      <c r="A135" s="16"/>
      <c r="B135" s="16"/>
      <c r="C135" s="16"/>
      <c r="D135" s="16"/>
      <c r="E135" s="16"/>
      <c r="F135" s="14">
        <v>0.0</v>
      </c>
      <c r="G135" s="14" t="b">
        <v>0</v>
      </c>
    </row>
    <row r="136">
      <c r="A136" s="16"/>
      <c r="B136" s="16"/>
      <c r="C136" s="16"/>
      <c r="D136" s="16"/>
      <c r="E136" s="16"/>
      <c r="F136" s="14">
        <v>0.0</v>
      </c>
      <c r="G136" s="14" t="b">
        <v>0</v>
      </c>
    </row>
    <row r="137">
      <c r="A137" s="16"/>
      <c r="B137" s="16"/>
      <c r="C137" s="16"/>
      <c r="D137" s="16"/>
      <c r="E137" s="16"/>
      <c r="F137" s="14">
        <v>0.0</v>
      </c>
      <c r="G137" s="14" t="b">
        <v>0</v>
      </c>
    </row>
    <row r="138">
      <c r="A138" s="16"/>
      <c r="B138" s="16"/>
      <c r="C138" s="16"/>
      <c r="D138" s="16"/>
      <c r="E138" s="16"/>
      <c r="F138" s="14">
        <v>0.0</v>
      </c>
      <c r="G138" s="14" t="b">
        <v>0</v>
      </c>
    </row>
    <row r="139">
      <c r="A139" s="16"/>
      <c r="B139" s="16"/>
      <c r="C139" s="16"/>
      <c r="D139" s="16"/>
      <c r="E139" s="16"/>
      <c r="F139" s="14">
        <v>0.0</v>
      </c>
      <c r="G139" s="14" t="b">
        <v>0</v>
      </c>
    </row>
    <row r="140">
      <c r="A140" s="16"/>
      <c r="B140" s="16"/>
      <c r="C140" s="16"/>
      <c r="D140" s="16"/>
      <c r="E140" s="16"/>
      <c r="F140" s="14">
        <v>0.0</v>
      </c>
      <c r="G140" s="14" t="b">
        <v>0</v>
      </c>
    </row>
    <row r="141">
      <c r="A141" s="16"/>
      <c r="B141" s="16"/>
      <c r="C141" s="16"/>
      <c r="D141" s="16"/>
      <c r="E141" s="16"/>
      <c r="F141" s="14">
        <v>0.0</v>
      </c>
      <c r="G141" s="14" t="b">
        <v>0</v>
      </c>
    </row>
    <row r="142">
      <c r="A142" s="16"/>
      <c r="B142" s="16"/>
      <c r="C142" s="16"/>
      <c r="D142" s="16"/>
      <c r="E142" s="16"/>
      <c r="F142" s="14">
        <v>0.0</v>
      </c>
      <c r="G142" s="14" t="b">
        <v>0</v>
      </c>
    </row>
    <row r="143">
      <c r="A143" s="16"/>
      <c r="B143" s="16"/>
      <c r="C143" s="16"/>
      <c r="D143" s="16"/>
      <c r="E143" s="16"/>
      <c r="F143" s="14">
        <v>0.0</v>
      </c>
      <c r="G143" s="14" t="b">
        <v>0</v>
      </c>
    </row>
    <row r="144">
      <c r="A144" s="16"/>
      <c r="B144" s="16"/>
      <c r="C144" s="16"/>
      <c r="D144" s="16"/>
      <c r="E144" s="16"/>
      <c r="F144" s="14">
        <v>0.0</v>
      </c>
      <c r="G144" s="14" t="b">
        <v>0</v>
      </c>
    </row>
    <row r="145">
      <c r="A145" s="16"/>
      <c r="B145" s="16"/>
      <c r="C145" s="16"/>
      <c r="D145" s="16"/>
      <c r="E145" s="16"/>
      <c r="F145" s="14">
        <v>0.0</v>
      </c>
      <c r="G145" s="14" t="b">
        <v>0</v>
      </c>
    </row>
    <row r="146">
      <c r="A146" s="16"/>
      <c r="B146" s="16"/>
      <c r="C146" s="16"/>
      <c r="D146" s="16"/>
      <c r="E146" s="16"/>
      <c r="F146" s="14">
        <v>0.0</v>
      </c>
      <c r="G146" s="14" t="b">
        <v>0</v>
      </c>
    </row>
    <row r="147">
      <c r="A147" s="16"/>
      <c r="B147" s="16"/>
      <c r="C147" s="16"/>
      <c r="D147" s="16"/>
      <c r="E147" s="16"/>
      <c r="F147" s="14">
        <v>0.0</v>
      </c>
      <c r="G147" s="14" t="b">
        <v>0</v>
      </c>
    </row>
    <row r="148">
      <c r="A148" s="16"/>
      <c r="B148" s="16"/>
      <c r="C148" s="16"/>
      <c r="D148" s="16"/>
      <c r="E148" s="16"/>
      <c r="F148" s="14">
        <v>0.0</v>
      </c>
      <c r="G148" s="14" t="b">
        <v>0</v>
      </c>
    </row>
    <row r="149">
      <c r="A149" s="16"/>
      <c r="B149" s="16"/>
      <c r="C149" s="16"/>
      <c r="D149" s="16"/>
      <c r="E149" s="16"/>
      <c r="F149" s="14">
        <v>0.0</v>
      </c>
      <c r="G149" s="14" t="b">
        <v>0</v>
      </c>
    </row>
    <row r="150">
      <c r="A150" s="16"/>
      <c r="B150" s="16"/>
      <c r="C150" s="16"/>
      <c r="D150" s="16"/>
      <c r="E150" s="16"/>
      <c r="F150" s="14">
        <v>0.0</v>
      </c>
      <c r="G150" s="14" t="b">
        <v>0</v>
      </c>
    </row>
    <row r="151">
      <c r="A151" s="16"/>
      <c r="B151" s="16"/>
      <c r="C151" s="16"/>
      <c r="D151" s="16"/>
      <c r="E151" s="16"/>
      <c r="F151" s="14">
        <v>0.0</v>
      </c>
      <c r="G151" s="14" t="b">
        <v>0</v>
      </c>
    </row>
    <row r="152">
      <c r="A152" s="16"/>
      <c r="B152" s="16"/>
      <c r="C152" s="16"/>
      <c r="D152" s="16"/>
      <c r="E152" s="16"/>
      <c r="F152" s="14">
        <v>0.0</v>
      </c>
      <c r="G152" s="14" t="b">
        <v>0</v>
      </c>
    </row>
    <row r="153">
      <c r="A153" s="16"/>
      <c r="B153" s="16"/>
      <c r="C153" s="16"/>
      <c r="D153" s="16"/>
      <c r="E153" s="16"/>
      <c r="F153" s="14">
        <v>0.0</v>
      </c>
      <c r="G153" s="14" t="b">
        <v>0</v>
      </c>
    </row>
    <row r="154">
      <c r="A154" s="16"/>
      <c r="B154" s="16"/>
      <c r="C154" s="16"/>
      <c r="D154" s="16"/>
      <c r="E154" s="16"/>
      <c r="F154" s="14">
        <v>0.0</v>
      </c>
      <c r="G154" s="14" t="b">
        <v>0</v>
      </c>
    </row>
    <row r="155">
      <c r="A155" s="16"/>
      <c r="B155" s="16"/>
      <c r="C155" s="16"/>
      <c r="D155" s="16"/>
      <c r="E155" s="16"/>
      <c r="F155" s="14">
        <v>0.0</v>
      </c>
      <c r="G155" s="14" t="b">
        <v>0</v>
      </c>
    </row>
    <row r="156">
      <c r="A156" s="16"/>
      <c r="B156" s="16"/>
      <c r="C156" s="16"/>
      <c r="D156" s="16"/>
      <c r="E156" s="16"/>
      <c r="F156" s="14">
        <v>0.0</v>
      </c>
      <c r="G156" s="14" t="b">
        <v>0</v>
      </c>
    </row>
    <row r="157">
      <c r="A157" s="16"/>
      <c r="B157" s="16"/>
      <c r="C157" s="16"/>
      <c r="D157" s="16"/>
      <c r="E157" s="16"/>
      <c r="F157" s="14">
        <v>0.0</v>
      </c>
      <c r="G157" s="14" t="b">
        <v>0</v>
      </c>
    </row>
    <row r="158">
      <c r="A158" s="16"/>
      <c r="B158" s="16"/>
      <c r="C158" s="16"/>
      <c r="D158" s="16"/>
      <c r="E158" s="16"/>
      <c r="F158" s="14">
        <v>0.0</v>
      </c>
      <c r="G158" s="14" t="b">
        <v>0</v>
      </c>
    </row>
    <row r="159">
      <c r="A159" s="16"/>
      <c r="B159" s="16"/>
      <c r="C159" s="16"/>
      <c r="D159" s="16"/>
      <c r="E159" s="16"/>
      <c r="F159" s="14">
        <v>0.0</v>
      </c>
      <c r="G159" s="14" t="b">
        <v>0</v>
      </c>
    </row>
    <row r="160">
      <c r="A160" s="16"/>
      <c r="B160" s="16"/>
      <c r="C160" s="16"/>
      <c r="D160" s="16"/>
      <c r="E160" s="16"/>
      <c r="F160" s="14">
        <v>0.0</v>
      </c>
      <c r="G160" s="14" t="b">
        <v>0</v>
      </c>
    </row>
    <row r="161">
      <c r="A161" s="16"/>
      <c r="B161" s="16"/>
      <c r="C161" s="16"/>
      <c r="D161" s="16"/>
      <c r="E161" s="16"/>
      <c r="F161" s="14">
        <v>0.0</v>
      </c>
      <c r="G161" s="14" t="b">
        <v>0</v>
      </c>
    </row>
    <row r="162">
      <c r="A162" s="16"/>
      <c r="B162" s="16"/>
      <c r="C162" s="16"/>
      <c r="D162" s="16"/>
      <c r="E162" s="16"/>
      <c r="F162" s="14">
        <v>0.0</v>
      </c>
      <c r="G162" s="14" t="b">
        <v>0</v>
      </c>
    </row>
    <row r="163">
      <c r="A163" s="16"/>
      <c r="B163" s="16"/>
      <c r="C163" s="16"/>
      <c r="D163" s="16"/>
      <c r="E163" s="16"/>
      <c r="F163" s="14">
        <v>0.0</v>
      </c>
      <c r="G163" s="14" t="b">
        <v>0</v>
      </c>
    </row>
    <row r="164">
      <c r="A164" s="16"/>
      <c r="B164" s="16"/>
      <c r="C164" s="16"/>
      <c r="D164" s="16"/>
      <c r="E164" s="16"/>
      <c r="F164" s="14">
        <v>0.0</v>
      </c>
      <c r="G164" s="14" t="b">
        <v>0</v>
      </c>
    </row>
    <row r="165">
      <c r="A165" s="16"/>
      <c r="B165" s="16"/>
      <c r="C165" s="16"/>
      <c r="D165" s="16"/>
      <c r="E165" s="16"/>
      <c r="F165" s="14">
        <v>0.0</v>
      </c>
      <c r="G165" s="14" t="b">
        <v>0</v>
      </c>
    </row>
    <row r="166">
      <c r="A166" s="16"/>
      <c r="B166" s="16"/>
      <c r="C166" s="16"/>
      <c r="D166" s="16"/>
      <c r="E166" s="16"/>
      <c r="F166" s="14">
        <v>0.0</v>
      </c>
      <c r="G166" s="14" t="b">
        <v>0</v>
      </c>
    </row>
    <row r="167">
      <c r="A167" s="16"/>
      <c r="B167" s="16"/>
      <c r="C167" s="16"/>
      <c r="D167" s="16"/>
      <c r="E167" s="16"/>
      <c r="F167" s="14">
        <v>0.0</v>
      </c>
      <c r="G167" s="14" t="b">
        <v>0</v>
      </c>
    </row>
    <row r="168">
      <c r="A168" s="16"/>
      <c r="B168" s="16"/>
      <c r="C168" s="16"/>
      <c r="D168" s="16"/>
      <c r="E168" s="16"/>
      <c r="F168" s="14">
        <v>0.0</v>
      </c>
      <c r="G168" s="14" t="b">
        <v>0</v>
      </c>
    </row>
    <row r="169">
      <c r="A169" s="16"/>
      <c r="B169" s="16"/>
      <c r="C169" s="16"/>
      <c r="D169" s="16"/>
      <c r="E169" s="16"/>
      <c r="F169" s="14">
        <v>0.0</v>
      </c>
      <c r="G169" s="14" t="b">
        <v>0</v>
      </c>
    </row>
    <row r="170">
      <c r="A170" s="16"/>
      <c r="B170" s="16"/>
      <c r="C170" s="16"/>
      <c r="D170" s="16"/>
      <c r="E170" s="16"/>
      <c r="F170" s="14">
        <v>0.0</v>
      </c>
      <c r="G170" s="14" t="b">
        <v>0</v>
      </c>
    </row>
    <row r="171">
      <c r="A171" s="16"/>
      <c r="B171" s="16"/>
      <c r="C171" s="16"/>
      <c r="D171" s="16"/>
      <c r="E171" s="16"/>
      <c r="F171" s="14">
        <v>0.0</v>
      </c>
      <c r="G171" s="14" t="b">
        <v>0</v>
      </c>
    </row>
    <row r="172">
      <c r="A172" s="16"/>
      <c r="B172" s="16"/>
      <c r="C172" s="16"/>
      <c r="D172" s="16"/>
      <c r="E172" s="16"/>
      <c r="F172" s="14">
        <v>0.0</v>
      </c>
      <c r="G172" s="14" t="b">
        <v>0</v>
      </c>
    </row>
    <row r="173">
      <c r="A173" s="16"/>
      <c r="B173" s="16"/>
      <c r="C173" s="16"/>
      <c r="D173" s="16"/>
      <c r="E173" s="16"/>
      <c r="F173" s="14">
        <v>0.0</v>
      </c>
      <c r="G173" s="14" t="b">
        <v>0</v>
      </c>
    </row>
    <row r="174">
      <c r="A174" s="16"/>
      <c r="B174" s="16"/>
      <c r="C174" s="16"/>
      <c r="D174" s="16"/>
      <c r="E174" s="16"/>
      <c r="F174" s="14">
        <v>0.0</v>
      </c>
      <c r="G174" s="14" t="b">
        <v>0</v>
      </c>
    </row>
    <row r="175">
      <c r="A175" s="16"/>
      <c r="B175" s="16"/>
      <c r="C175" s="16"/>
      <c r="D175" s="16"/>
      <c r="E175" s="16"/>
      <c r="F175" s="14">
        <v>0.0</v>
      </c>
      <c r="G175" s="14" t="b">
        <v>0</v>
      </c>
    </row>
    <row r="176">
      <c r="A176" s="16"/>
      <c r="B176" s="16"/>
      <c r="C176" s="16"/>
      <c r="D176" s="16"/>
      <c r="E176" s="16"/>
      <c r="F176" s="14">
        <v>0.0</v>
      </c>
      <c r="G176" s="14" t="b">
        <v>0</v>
      </c>
    </row>
    <row r="177">
      <c r="A177" s="16"/>
      <c r="B177" s="16"/>
      <c r="C177" s="16"/>
      <c r="D177" s="16"/>
      <c r="E177" s="16"/>
      <c r="F177" s="14">
        <v>0.0</v>
      </c>
      <c r="G177" s="14" t="b">
        <v>0</v>
      </c>
    </row>
    <row r="178">
      <c r="A178" s="16"/>
      <c r="B178" s="16"/>
      <c r="C178" s="16"/>
      <c r="D178" s="16"/>
      <c r="E178" s="16"/>
      <c r="F178" s="14">
        <v>0.0</v>
      </c>
      <c r="G178" s="14" t="b">
        <v>0</v>
      </c>
    </row>
    <row r="179">
      <c r="A179" s="16"/>
      <c r="B179" s="16"/>
      <c r="C179" s="16"/>
      <c r="D179" s="16"/>
      <c r="E179" s="16"/>
      <c r="F179" s="14">
        <v>0.0</v>
      </c>
      <c r="G179" s="14" t="b">
        <v>0</v>
      </c>
    </row>
    <row r="180">
      <c r="A180" s="16"/>
      <c r="B180" s="16"/>
      <c r="C180" s="16"/>
      <c r="D180" s="16"/>
      <c r="E180" s="16"/>
      <c r="F180" s="14">
        <v>0.0</v>
      </c>
      <c r="G180" s="14" t="b">
        <v>0</v>
      </c>
    </row>
    <row r="181">
      <c r="A181" s="16"/>
      <c r="B181" s="16"/>
      <c r="C181" s="16"/>
      <c r="D181" s="16"/>
      <c r="E181" s="16"/>
      <c r="F181" s="14">
        <v>0.0</v>
      </c>
      <c r="G181" s="14" t="b">
        <v>0</v>
      </c>
    </row>
    <row r="182">
      <c r="A182" s="16"/>
      <c r="B182" s="16"/>
      <c r="C182" s="16"/>
      <c r="D182" s="16"/>
      <c r="E182" s="16"/>
      <c r="F182" s="14">
        <v>0.0</v>
      </c>
      <c r="G182" s="14" t="b">
        <v>0</v>
      </c>
    </row>
    <row r="183">
      <c r="A183" s="16"/>
      <c r="B183" s="16"/>
      <c r="C183" s="16"/>
      <c r="D183" s="16"/>
      <c r="E183" s="16"/>
      <c r="F183" s="14">
        <v>0.0</v>
      </c>
      <c r="G183" s="14" t="b">
        <v>0</v>
      </c>
    </row>
    <row r="184">
      <c r="A184" s="16"/>
      <c r="B184" s="16"/>
      <c r="C184" s="16"/>
      <c r="D184" s="16"/>
      <c r="E184" s="16"/>
      <c r="F184" s="14">
        <v>0.0</v>
      </c>
      <c r="G184" s="14" t="b">
        <v>0</v>
      </c>
    </row>
    <row r="185">
      <c r="A185" s="16"/>
      <c r="B185" s="16"/>
      <c r="C185" s="16"/>
      <c r="D185" s="16"/>
      <c r="E185" s="16"/>
      <c r="F185" s="14">
        <v>0.0</v>
      </c>
      <c r="G185" s="14" t="b">
        <v>0</v>
      </c>
    </row>
    <row r="186">
      <c r="A186" s="16"/>
      <c r="B186" s="16"/>
      <c r="C186" s="16"/>
      <c r="D186" s="16"/>
      <c r="E186" s="16"/>
      <c r="F186" s="14">
        <v>0.0</v>
      </c>
      <c r="G186" s="14" t="b">
        <v>0</v>
      </c>
    </row>
    <row r="187">
      <c r="A187" s="16"/>
      <c r="B187" s="16"/>
      <c r="C187" s="16"/>
      <c r="D187" s="16"/>
      <c r="E187" s="16"/>
      <c r="F187" s="14">
        <v>0.0</v>
      </c>
      <c r="G187" s="14" t="b">
        <v>0</v>
      </c>
    </row>
    <row r="188">
      <c r="A188" s="16"/>
      <c r="B188" s="16"/>
      <c r="C188" s="16"/>
      <c r="D188" s="16"/>
      <c r="E188" s="16"/>
      <c r="F188" s="14">
        <v>0.0</v>
      </c>
      <c r="G188" s="14" t="b">
        <v>0</v>
      </c>
    </row>
    <row r="189">
      <c r="A189" s="16"/>
      <c r="B189" s="16"/>
      <c r="C189" s="16"/>
      <c r="D189" s="16"/>
      <c r="E189" s="16"/>
      <c r="F189" s="14">
        <v>0.0</v>
      </c>
      <c r="G189" s="14" t="b">
        <v>0</v>
      </c>
    </row>
    <row r="190">
      <c r="A190" s="16"/>
      <c r="B190" s="16"/>
      <c r="C190" s="16"/>
      <c r="D190" s="16"/>
      <c r="E190" s="16"/>
      <c r="F190" s="14">
        <v>0.0</v>
      </c>
      <c r="G190" s="14" t="b">
        <v>0</v>
      </c>
    </row>
    <row r="191">
      <c r="A191" s="16"/>
      <c r="B191" s="16"/>
      <c r="C191" s="16"/>
      <c r="D191" s="16"/>
      <c r="E191" s="16"/>
      <c r="F191" s="14">
        <v>0.0</v>
      </c>
      <c r="G191" s="14" t="b">
        <v>0</v>
      </c>
    </row>
    <row r="192">
      <c r="A192" s="16"/>
      <c r="B192" s="16"/>
      <c r="C192" s="16"/>
      <c r="D192" s="16"/>
      <c r="E192" s="16"/>
      <c r="F192" s="14">
        <v>0.0</v>
      </c>
      <c r="G192" s="14" t="b">
        <v>0</v>
      </c>
    </row>
    <row r="193">
      <c r="A193" s="16"/>
      <c r="B193" s="16"/>
      <c r="C193" s="16"/>
      <c r="D193" s="16"/>
      <c r="E193" s="16"/>
      <c r="F193" s="14">
        <v>0.0</v>
      </c>
      <c r="G193" s="14" t="b">
        <v>0</v>
      </c>
    </row>
    <row r="194">
      <c r="A194" s="16"/>
      <c r="B194" s="16"/>
      <c r="C194" s="16"/>
      <c r="D194" s="16"/>
      <c r="E194" s="16"/>
      <c r="F194" s="14">
        <v>0.0</v>
      </c>
      <c r="G194" s="14" t="b">
        <v>0</v>
      </c>
    </row>
    <row r="195">
      <c r="A195" s="16"/>
      <c r="B195" s="16"/>
      <c r="C195" s="16"/>
      <c r="D195" s="16"/>
      <c r="E195" s="16"/>
      <c r="F195" s="14">
        <v>0.0</v>
      </c>
      <c r="G195" s="14" t="b">
        <v>0</v>
      </c>
    </row>
    <row r="196">
      <c r="A196" s="16"/>
      <c r="B196" s="16"/>
      <c r="C196" s="16"/>
      <c r="D196" s="16"/>
      <c r="E196" s="16"/>
      <c r="F196" s="14">
        <v>0.0</v>
      </c>
      <c r="G196" s="14" t="b">
        <v>0</v>
      </c>
    </row>
    <row r="197">
      <c r="A197" s="16"/>
      <c r="B197" s="16"/>
      <c r="C197" s="16"/>
      <c r="D197" s="16"/>
      <c r="E197" s="16"/>
      <c r="F197" s="14">
        <v>0.0</v>
      </c>
      <c r="G197" s="14" t="b">
        <v>0</v>
      </c>
    </row>
    <row r="198">
      <c r="A198" s="16"/>
      <c r="B198" s="16"/>
      <c r="C198" s="16"/>
      <c r="D198" s="16"/>
      <c r="E198" s="16"/>
      <c r="F198" s="14">
        <v>0.0</v>
      </c>
      <c r="G198" s="14" t="b">
        <v>0</v>
      </c>
    </row>
    <row r="199">
      <c r="A199" s="16"/>
      <c r="B199" s="16"/>
      <c r="C199" s="16"/>
      <c r="D199" s="16"/>
      <c r="E199" s="16"/>
      <c r="F199" s="14">
        <v>0.0</v>
      </c>
      <c r="G199" s="14" t="b">
        <v>0</v>
      </c>
    </row>
    <row r="200">
      <c r="A200" s="16"/>
      <c r="B200" s="16"/>
      <c r="C200" s="16"/>
      <c r="D200" s="16"/>
      <c r="E200" s="16"/>
      <c r="F200" s="14">
        <v>0.0</v>
      </c>
      <c r="G200" s="14" t="b">
        <v>0</v>
      </c>
    </row>
    <row r="201">
      <c r="A201" s="16"/>
      <c r="B201" s="16"/>
      <c r="C201" s="16"/>
      <c r="D201" s="16"/>
      <c r="E201" s="16"/>
      <c r="F201" s="14">
        <v>0.0</v>
      </c>
      <c r="G201" s="14" t="b">
        <v>0</v>
      </c>
    </row>
    <row r="202">
      <c r="A202" s="16"/>
      <c r="B202" s="16"/>
      <c r="C202" s="16"/>
      <c r="D202" s="16"/>
      <c r="E202" s="16"/>
      <c r="F202" s="14">
        <v>0.0</v>
      </c>
      <c r="G202" s="14" t="b">
        <v>0</v>
      </c>
    </row>
    <row r="203">
      <c r="A203" s="16"/>
      <c r="B203" s="16"/>
      <c r="C203" s="16"/>
      <c r="D203" s="16"/>
      <c r="E203" s="16"/>
      <c r="F203" s="14">
        <v>0.0</v>
      </c>
      <c r="G203" s="14" t="b">
        <v>0</v>
      </c>
    </row>
    <row r="204">
      <c r="A204" s="16"/>
      <c r="B204" s="16"/>
      <c r="C204" s="16"/>
      <c r="D204" s="16"/>
      <c r="E204" s="16"/>
      <c r="F204" s="14">
        <v>0.0</v>
      </c>
      <c r="G204" s="14" t="b">
        <v>0</v>
      </c>
    </row>
    <row r="205">
      <c r="A205" s="16"/>
      <c r="B205" s="16"/>
      <c r="C205" s="16"/>
      <c r="D205" s="16"/>
      <c r="E205" s="16"/>
      <c r="F205" s="14">
        <v>0.0</v>
      </c>
      <c r="G205" s="14" t="b">
        <v>0</v>
      </c>
    </row>
    <row r="206">
      <c r="A206" s="16"/>
      <c r="B206" s="16"/>
      <c r="C206" s="16"/>
      <c r="D206" s="16"/>
      <c r="E206" s="16"/>
      <c r="F206" s="14">
        <v>0.0</v>
      </c>
      <c r="G206" s="14" t="b">
        <v>0</v>
      </c>
    </row>
    <row r="207">
      <c r="A207" s="16"/>
      <c r="B207" s="16"/>
      <c r="C207" s="16"/>
      <c r="D207" s="16"/>
      <c r="E207" s="16"/>
      <c r="F207" s="14">
        <v>0.0</v>
      </c>
      <c r="G207" s="14" t="b">
        <v>0</v>
      </c>
    </row>
    <row r="208">
      <c r="A208" s="16"/>
      <c r="B208" s="16"/>
      <c r="C208" s="16"/>
      <c r="D208" s="16"/>
      <c r="E208" s="16"/>
      <c r="F208" s="14">
        <v>0.0</v>
      </c>
      <c r="G208" s="14" t="b">
        <v>0</v>
      </c>
    </row>
    <row r="209">
      <c r="A209" s="16"/>
      <c r="B209" s="16"/>
      <c r="C209" s="16"/>
      <c r="D209" s="16"/>
      <c r="E209" s="16"/>
      <c r="F209" s="14">
        <v>0.0</v>
      </c>
      <c r="G209" s="14" t="b">
        <v>0</v>
      </c>
    </row>
    <row r="210">
      <c r="A210" s="16"/>
      <c r="B210" s="16"/>
      <c r="C210" s="16"/>
      <c r="D210" s="16"/>
      <c r="E210" s="16"/>
      <c r="F210" s="14">
        <v>0.0</v>
      </c>
      <c r="G210" s="14" t="b">
        <v>0</v>
      </c>
    </row>
    <row r="211">
      <c r="A211" s="16"/>
      <c r="B211" s="16"/>
      <c r="C211" s="16"/>
      <c r="D211" s="16"/>
      <c r="E211" s="16"/>
      <c r="F211" s="14">
        <v>0.0</v>
      </c>
      <c r="G211" s="14" t="b">
        <v>0</v>
      </c>
    </row>
    <row r="212">
      <c r="A212" s="16"/>
      <c r="B212" s="16"/>
      <c r="C212" s="16"/>
      <c r="D212" s="16"/>
      <c r="E212" s="16"/>
      <c r="F212" s="14">
        <v>0.0</v>
      </c>
      <c r="G212" s="14" t="b">
        <v>0</v>
      </c>
    </row>
    <row r="213">
      <c r="A213" s="16"/>
      <c r="B213" s="16"/>
      <c r="C213" s="16"/>
      <c r="D213" s="16"/>
      <c r="E213" s="16"/>
      <c r="F213" s="14">
        <v>0.0</v>
      </c>
      <c r="G213" s="14" t="b">
        <v>0</v>
      </c>
    </row>
    <row r="214">
      <c r="A214" s="16"/>
      <c r="B214" s="16"/>
      <c r="C214" s="16"/>
      <c r="D214" s="16"/>
      <c r="E214" s="16"/>
      <c r="F214" s="14">
        <v>0.0</v>
      </c>
      <c r="G214" s="14" t="b">
        <v>0</v>
      </c>
    </row>
    <row r="215">
      <c r="A215" s="16"/>
      <c r="B215" s="16"/>
      <c r="C215" s="16"/>
      <c r="D215" s="16"/>
      <c r="E215" s="16"/>
      <c r="F215" s="14">
        <v>0.0</v>
      </c>
      <c r="G215" s="14" t="b">
        <v>0</v>
      </c>
    </row>
    <row r="216">
      <c r="A216" s="16"/>
      <c r="B216" s="16"/>
      <c r="C216" s="16"/>
      <c r="D216" s="16"/>
      <c r="E216" s="16"/>
      <c r="F216" s="14">
        <v>0.0</v>
      </c>
      <c r="G216" s="14" t="b">
        <v>0</v>
      </c>
    </row>
    <row r="217">
      <c r="A217" s="16"/>
      <c r="B217" s="16"/>
      <c r="C217" s="16"/>
      <c r="D217" s="16"/>
      <c r="E217" s="16"/>
      <c r="F217" s="14">
        <v>0.0</v>
      </c>
      <c r="G217" s="14" t="b">
        <v>0</v>
      </c>
    </row>
    <row r="218">
      <c r="A218" s="16"/>
      <c r="B218" s="16"/>
      <c r="C218" s="16"/>
      <c r="D218" s="16"/>
      <c r="E218" s="16"/>
      <c r="F218" s="14">
        <v>0.0</v>
      </c>
      <c r="G218" s="14" t="b">
        <v>0</v>
      </c>
    </row>
    <row r="219">
      <c r="A219" s="16"/>
      <c r="B219" s="16"/>
      <c r="C219" s="16"/>
      <c r="D219" s="16"/>
      <c r="E219" s="16"/>
      <c r="F219" s="14">
        <v>0.0</v>
      </c>
      <c r="G219" s="14" t="b">
        <v>0</v>
      </c>
    </row>
    <row r="220">
      <c r="A220" s="16"/>
      <c r="B220" s="16"/>
      <c r="C220" s="16"/>
      <c r="D220" s="16"/>
      <c r="E220" s="16"/>
      <c r="F220" s="14">
        <v>0.0</v>
      </c>
      <c r="G220" s="14" t="b">
        <v>0</v>
      </c>
    </row>
    <row r="221">
      <c r="A221" s="16"/>
      <c r="B221" s="16"/>
      <c r="C221" s="16"/>
      <c r="D221" s="16"/>
      <c r="E221" s="16"/>
      <c r="F221" s="14">
        <v>0.0</v>
      </c>
      <c r="G221" s="14" t="b">
        <v>0</v>
      </c>
    </row>
    <row r="222">
      <c r="A222" s="16"/>
      <c r="B222" s="16"/>
      <c r="C222" s="16"/>
      <c r="D222" s="16"/>
      <c r="E222" s="16"/>
      <c r="F222" s="14">
        <v>0.0</v>
      </c>
      <c r="G222" s="14" t="b">
        <v>0</v>
      </c>
    </row>
    <row r="223">
      <c r="A223" s="16"/>
      <c r="B223" s="16"/>
      <c r="C223" s="16"/>
      <c r="D223" s="16"/>
      <c r="E223" s="16"/>
      <c r="F223" s="14">
        <v>0.0</v>
      </c>
      <c r="G223" s="14" t="b">
        <v>0</v>
      </c>
    </row>
    <row r="224">
      <c r="A224" s="16"/>
      <c r="B224" s="16"/>
      <c r="C224" s="16"/>
      <c r="D224" s="16"/>
      <c r="E224" s="16"/>
      <c r="F224" s="14">
        <v>0.0</v>
      </c>
      <c r="G224" s="14" t="b">
        <v>0</v>
      </c>
    </row>
    <row r="225">
      <c r="A225" s="16"/>
      <c r="B225" s="16"/>
      <c r="C225" s="16"/>
      <c r="D225" s="16"/>
      <c r="E225" s="16"/>
      <c r="F225" s="14">
        <v>0.0</v>
      </c>
      <c r="G225" s="14" t="b">
        <v>0</v>
      </c>
    </row>
    <row r="226">
      <c r="A226" s="16"/>
      <c r="B226" s="16"/>
      <c r="C226" s="16"/>
      <c r="D226" s="16"/>
      <c r="E226" s="16"/>
      <c r="F226" s="14">
        <v>0.0</v>
      </c>
      <c r="G226" s="14" t="b">
        <v>0</v>
      </c>
    </row>
    <row r="227">
      <c r="A227" s="16"/>
      <c r="B227" s="16"/>
      <c r="C227" s="16"/>
      <c r="D227" s="16"/>
      <c r="E227" s="16"/>
      <c r="F227" s="14">
        <v>0.0</v>
      </c>
      <c r="G227" s="14" t="b">
        <v>0</v>
      </c>
    </row>
    <row r="228">
      <c r="A228" s="16"/>
      <c r="B228" s="16"/>
      <c r="C228" s="16"/>
      <c r="D228" s="16"/>
      <c r="E228" s="16"/>
      <c r="F228" s="14">
        <v>0.0</v>
      </c>
      <c r="G228" s="14" t="b">
        <v>0</v>
      </c>
    </row>
    <row r="229">
      <c r="A229" s="16"/>
      <c r="B229" s="16"/>
      <c r="C229" s="16"/>
      <c r="D229" s="16"/>
      <c r="E229" s="16"/>
      <c r="F229" s="14">
        <v>0.0</v>
      </c>
      <c r="G229" s="14" t="b">
        <v>0</v>
      </c>
    </row>
    <row r="230">
      <c r="A230" s="16"/>
      <c r="B230" s="16"/>
      <c r="C230" s="16"/>
      <c r="D230" s="16"/>
      <c r="E230" s="16"/>
      <c r="F230" s="14">
        <v>0.0</v>
      </c>
      <c r="G230" s="14" t="b">
        <v>0</v>
      </c>
    </row>
    <row r="231">
      <c r="A231" s="16"/>
      <c r="B231" s="16"/>
      <c r="C231" s="16"/>
      <c r="D231" s="16"/>
      <c r="E231" s="16"/>
      <c r="F231" s="14">
        <v>0.0</v>
      </c>
      <c r="G231" s="14" t="b">
        <v>0</v>
      </c>
    </row>
    <row r="232">
      <c r="A232" s="16"/>
      <c r="B232" s="16"/>
      <c r="C232" s="16"/>
      <c r="D232" s="16"/>
      <c r="E232" s="16"/>
      <c r="F232" s="14">
        <v>0.0</v>
      </c>
      <c r="G232" s="14" t="b">
        <v>0</v>
      </c>
    </row>
    <row r="233">
      <c r="A233" s="16"/>
      <c r="B233" s="16"/>
      <c r="C233" s="16"/>
      <c r="D233" s="16"/>
      <c r="E233" s="16"/>
      <c r="F233" s="14">
        <v>0.0</v>
      </c>
      <c r="G233" s="14" t="b">
        <v>0</v>
      </c>
    </row>
    <row r="234">
      <c r="A234" s="16"/>
      <c r="B234" s="16"/>
      <c r="C234" s="16"/>
      <c r="D234" s="16"/>
      <c r="E234" s="16"/>
      <c r="F234" s="14">
        <v>0.0</v>
      </c>
      <c r="G234" s="14" t="b">
        <v>0</v>
      </c>
    </row>
    <row r="235">
      <c r="A235" s="16"/>
      <c r="B235" s="16"/>
      <c r="C235" s="16"/>
      <c r="D235" s="16"/>
      <c r="E235" s="16"/>
      <c r="F235" s="14">
        <v>0.0</v>
      </c>
      <c r="G235" s="14" t="b">
        <v>0</v>
      </c>
    </row>
    <row r="236">
      <c r="A236" s="16"/>
      <c r="B236" s="16"/>
      <c r="C236" s="16"/>
      <c r="D236" s="16"/>
      <c r="E236" s="16"/>
      <c r="F236" s="14">
        <v>0.0</v>
      </c>
      <c r="G236" s="14" t="b">
        <v>0</v>
      </c>
    </row>
    <row r="237">
      <c r="A237" s="16"/>
      <c r="B237" s="16"/>
      <c r="C237" s="16"/>
      <c r="D237" s="16"/>
      <c r="E237" s="16"/>
      <c r="F237" s="14">
        <v>0.0</v>
      </c>
      <c r="G237" s="14" t="b">
        <v>0</v>
      </c>
    </row>
    <row r="238">
      <c r="A238" s="16"/>
      <c r="B238" s="16"/>
      <c r="C238" s="16"/>
      <c r="D238" s="16"/>
      <c r="E238" s="16"/>
      <c r="F238" s="14">
        <v>0.0</v>
      </c>
      <c r="G238" s="14" t="b">
        <v>0</v>
      </c>
    </row>
    <row r="239">
      <c r="A239" s="16"/>
      <c r="B239" s="16"/>
      <c r="C239" s="16"/>
      <c r="D239" s="16"/>
      <c r="E239" s="16"/>
      <c r="F239" s="14">
        <v>0.0</v>
      </c>
      <c r="G239" s="14" t="b">
        <v>0</v>
      </c>
    </row>
    <row r="240">
      <c r="A240" s="16"/>
      <c r="B240" s="16"/>
      <c r="C240" s="16"/>
      <c r="D240" s="16"/>
      <c r="E240" s="16"/>
      <c r="F240" s="14">
        <v>0.0</v>
      </c>
      <c r="G240" s="14" t="b">
        <v>0</v>
      </c>
    </row>
    <row r="241">
      <c r="A241" s="16"/>
      <c r="B241" s="16"/>
      <c r="C241" s="16"/>
      <c r="D241" s="16"/>
      <c r="E241" s="16"/>
      <c r="F241" s="14">
        <v>0.0</v>
      </c>
      <c r="G241" s="14" t="b">
        <v>0</v>
      </c>
    </row>
    <row r="242">
      <c r="A242" s="16"/>
      <c r="B242" s="16"/>
      <c r="C242" s="16"/>
      <c r="D242" s="16"/>
      <c r="E242" s="16"/>
      <c r="F242" s="14">
        <v>0.0</v>
      </c>
      <c r="G242" s="14" t="b">
        <v>0</v>
      </c>
    </row>
    <row r="243">
      <c r="A243" s="16"/>
      <c r="B243" s="16"/>
      <c r="C243" s="16"/>
      <c r="D243" s="16"/>
      <c r="E243" s="16"/>
      <c r="F243" s="14">
        <v>0.0</v>
      </c>
      <c r="G243" s="14" t="b">
        <v>0</v>
      </c>
    </row>
    <row r="244">
      <c r="A244" s="16"/>
      <c r="B244" s="16"/>
      <c r="C244" s="16"/>
      <c r="D244" s="16"/>
      <c r="E244" s="16"/>
      <c r="F244" s="14">
        <v>0.0</v>
      </c>
      <c r="G244" s="14" t="b">
        <v>0</v>
      </c>
    </row>
    <row r="245">
      <c r="A245" s="16"/>
      <c r="B245" s="16"/>
      <c r="C245" s="16"/>
      <c r="D245" s="16"/>
      <c r="E245" s="16"/>
      <c r="F245" s="14">
        <v>0.0</v>
      </c>
      <c r="G245" s="14" t="b">
        <v>0</v>
      </c>
    </row>
    <row r="246">
      <c r="A246" s="16"/>
      <c r="B246" s="16"/>
      <c r="C246" s="16"/>
      <c r="D246" s="16"/>
      <c r="E246" s="16"/>
      <c r="F246" s="14">
        <v>0.0</v>
      </c>
      <c r="G246" s="14" t="b">
        <v>0</v>
      </c>
    </row>
    <row r="247">
      <c r="A247" s="16"/>
      <c r="B247" s="16"/>
      <c r="C247" s="16"/>
      <c r="D247" s="16"/>
      <c r="E247" s="16"/>
      <c r="F247" s="14">
        <v>0.0</v>
      </c>
      <c r="G247" s="14" t="b">
        <v>0</v>
      </c>
    </row>
    <row r="248">
      <c r="A248" s="16"/>
      <c r="B248" s="16"/>
      <c r="C248" s="16"/>
      <c r="D248" s="16"/>
      <c r="E248" s="16"/>
      <c r="F248" s="14">
        <v>0.0</v>
      </c>
      <c r="G248" s="14" t="b">
        <v>0</v>
      </c>
    </row>
    <row r="249">
      <c r="A249" s="16"/>
      <c r="B249" s="16"/>
      <c r="C249" s="16"/>
      <c r="D249" s="16"/>
      <c r="E249" s="16"/>
      <c r="F249" s="14">
        <v>0.0</v>
      </c>
      <c r="G249" s="14" t="b">
        <v>0</v>
      </c>
    </row>
    <row r="250">
      <c r="A250" s="16"/>
      <c r="B250" s="16"/>
      <c r="C250" s="16"/>
      <c r="D250" s="16"/>
      <c r="E250" s="16"/>
      <c r="F250" s="14">
        <v>0.0</v>
      </c>
      <c r="G250" s="14" t="b">
        <v>0</v>
      </c>
    </row>
    <row r="251">
      <c r="A251" s="16"/>
      <c r="B251" s="16"/>
      <c r="C251" s="16"/>
      <c r="D251" s="16"/>
      <c r="E251" s="16"/>
      <c r="F251" s="14">
        <v>0.0</v>
      </c>
      <c r="G251" s="14" t="b">
        <v>0</v>
      </c>
    </row>
    <row r="252">
      <c r="A252" s="16"/>
      <c r="B252" s="16"/>
      <c r="C252" s="16"/>
      <c r="D252" s="16"/>
      <c r="E252" s="16"/>
      <c r="F252" s="14">
        <v>0.0</v>
      </c>
      <c r="G252" s="14" t="b">
        <v>0</v>
      </c>
    </row>
    <row r="253">
      <c r="A253" s="16"/>
      <c r="B253" s="16"/>
      <c r="C253" s="16"/>
      <c r="D253" s="16"/>
      <c r="E253" s="16"/>
      <c r="F253" s="14">
        <v>0.0</v>
      </c>
      <c r="G253" s="14" t="b">
        <v>0</v>
      </c>
    </row>
    <row r="254">
      <c r="A254" s="16"/>
      <c r="B254" s="16"/>
      <c r="C254" s="16"/>
      <c r="D254" s="16"/>
      <c r="E254" s="16"/>
      <c r="F254" s="14">
        <v>0.0</v>
      </c>
      <c r="G254" s="14" t="b">
        <v>0</v>
      </c>
    </row>
    <row r="255">
      <c r="A255" s="16"/>
      <c r="B255" s="16"/>
      <c r="C255" s="16"/>
      <c r="D255" s="16"/>
      <c r="E255" s="16"/>
      <c r="F255" s="14">
        <v>0.0</v>
      </c>
      <c r="G255" s="14" t="b">
        <v>0</v>
      </c>
    </row>
    <row r="256">
      <c r="A256" s="16"/>
      <c r="B256" s="16"/>
      <c r="C256" s="16"/>
      <c r="D256" s="16"/>
      <c r="E256" s="16"/>
      <c r="F256" s="14">
        <v>0.0</v>
      </c>
      <c r="G256" s="14" t="b">
        <v>0</v>
      </c>
    </row>
    <row r="257">
      <c r="A257" s="16"/>
      <c r="B257" s="16"/>
      <c r="C257" s="16"/>
      <c r="D257" s="16"/>
      <c r="E257" s="16"/>
      <c r="F257" s="14">
        <v>0.0</v>
      </c>
      <c r="G257" s="14" t="b">
        <v>0</v>
      </c>
    </row>
    <row r="258">
      <c r="A258" s="16"/>
      <c r="B258" s="16"/>
      <c r="C258" s="16"/>
      <c r="D258" s="16"/>
      <c r="E258" s="16"/>
      <c r="F258" s="14">
        <v>0.0</v>
      </c>
      <c r="G258" s="14" t="b">
        <v>0</v>
      </c>
    </row>
    <row r="259">
      <c r="A259" s="16"/>
      <c r="B259" s="16"/>
      <c r="C259" s="16"/>
      <c r="D259" s="16"/>
      <c r="E259" s="16"/>
      <c r="F259" s="14">
        <v>0.0</v>
      </c>
      <c r="G259" s="14" t="b">
        <v>0</v>
      </c>
    </row>
    <row r="260">
      <c r="A260" s="16"/>
      <c r="B260" s="16"/>
      <c r="C260" s="16"/>
      <c r="D260" s="16"/>
      <c r="E260" s="16"/>
      <c r="F260" s="14">
        <v>0.0</v>
      </c>
      <c r="G260" s="14" t="b">
        <v>0</v>
      </c>
    </row>
    <row r="261">
      <c r="A261" s="16"/>
      <c r="B261" s="16"/>
      <c r="C261" s="16"/>
      <c r="D261" s="16"/>
      <c r="E261" s="16"/>
      <c r="F261" s="14">
        <v>0.0</v>
      </c>
      <c r="G261" s="14" t="b">
        <v>0</v>
      </c>
    </row>
    <row r="262">
      <c r="A262" s="16"/>
      <c r="B262" s="16"/>
      <c r="C262" s="16"/>
      <c r="D262" s="16"/>
      <c r="E262" s="16"/>
      <c r="F262" s="14">
        <v>0.0</v>
      </c>
      <c r="G262" s="14" t="b">
        <v>0</v>
      </c>
    </row>
    <row r="263">
      <c r="A263" s="16"/>
      <c r="B263" s="16"/>
      <c r="C263" s="16"/>
      <c r="D263" s="16"/>
      <c r="E263" s="16"/>
      <c r="F263" s="14">
        <v>0.0</v>
      </c>
      <c r="G263" s="14" t="b">
        <v>0</v>
      </c>
    </row>
    <row r="264">
      <c r="A264" s="16"/>
      <c r="B264" s="16"/>
      <c r="C264" s="16"/>
      <c r="D264" s="16"/>
      <c r="E264" s="16"/>
      <c r="F264" s="14">
        <v>0.0</v>
      </c>
      <c r="G264" s="14" t="b">
        <v>0</v>
      </c>
    </row>
    <row r="265">
      <c r="A265" s="16"/>
      <c r="B265" s="16"/>
      <c r="C265" s="16"/>
      <c r="D265" s="16"/>
      <c r="E265" s="16"/>
      <c r="F265" s="14">
        <v>0.0</v>
      </c>
      <c r="G265" s="14" t="b">
        <v>0</v>
      </c>
    </row>
    <row r="266">
      <c r="A266" s="16"/>
      <c r="B266" s="16"/>
      <c r="C266" s="16"/>
      <c r="D266" s="16"/>
      <c r="E266" s="16"/>
      <c r="F266" s="14">
        <v>0.0</v>
      </c>
      <c r="G266" s="14" t="b">
        <v>0</v>
      </c>
    </row>
    <row r="267">
      <c r="A267" s="16"/>
      <c r="B267" s="16"/>
      <c r="C267" s="16"/>
      <c r="D267" s="16"/>
      <c r="E267" s="16"/>
      <c r="F267" s="14">
        <v>0.0</v>
      </c>
      <c r="G267" s="14" t="b">
        <v>0</v>
      </c>
    </row>
    <row r="268">
      <c r="A268" s="16"/>
      <c r="B268" s="16"/>
      <c r="C268" s="16"/>
      <c r="D268" s="16"/>
      <c r="E268" s="16"/>
      <c r="F268" s="14">
        <v>0.0</v>
      </c>
      <c r="G268" s="14" t="b">
        <v>0</v>
      </c>
    </row>
    <row r="269">
      <c r="A269" s="16"/>
      <c r="B269" s="16"/>
      <c r="C269" s="16"/>
      <c r="D269" s="16"/>
      <c r="E269" s="16"/>
      <c r="F269" s="14">
        <v>0.0</v>
      </c>
      <c r="G269" s="14" t="b">
        <v>0</v>
      </c>
    </row>
    <row r="270">
      <c r="A270" s="16"/>
      <c r="B270" s="16"/>
      <c r="C270" s="16"/>
      <c r="D270" s="16"/>
      <c r="E270" s="16"/>
      <c r="F270" s="14">
        <v>0.0</v>
      </c>
      <c r="G270" s="14" t="b">
        <v>0</v>
      </c>
    </row>
    <row r="271">
      <c r="A271" s="16"/>
      <c r="B271" s="16"/>
      <c r="C271" s="16"/>
      <c r="D271" s="16"/>
      <c r="E271" s="16"/>
      <c r="F271" s="14">
        <v>0.0</v>
      </c>
      <c r="G271" s="14" t="b">
        <v>0</v>
      </c>
    </row>
    <row r="272">
      <c r="A272" s="16"/>
      <c r="B272" s="16"/>
      <c r="C272" s="16"/>
      <c r="D272" s="16"/>
      <c r="E272" s="16"/>
      <c r="F272" s="14">
        <v>0.0</v>
      </c>
      <c r="G272" s="14" t="b">
        <v>0</v>
      </c>
    </row>
    <row r="273">
      <c r="A273" s="16"/>
      <c r="B273" s="16"/>
      <c r="C273" s="16"/>
      <c r="D273" s="16"/>
      <c r="E273" s="16"/>
      <c r="F273" s="14">
        <v>0.0</v>
      </c>
      <c r="G273" s="14" t="b">
        <v>0</v>
      </c>
    </row>
    <row r="274">
      <c r="A274" s="16"/>
      <c r="B274" s="16"/>
      <c r="C274" s="16"/>
      <c r="D274" s="16"/>
      <c r="E274" s="16"/>
      <c r="F274" s="14">
        <v>0.0</v>
      </c>
      <c r="G274" s="14" t="b">
        <v>0</v>
      </c>
    </row>
    <row r="275">
      <c r="A275" s="16"/>
      <c r="B275" s="16"/>
      <c r="C275" s="16"/>
      <c r="D275" s="16"/>
      <c r="E275" s="16"/>
      <c r="F275" s="14">
        <v>0.0</v>
      </c>
      <c r="G275" s="14" t="b">
        <v>0</v>
      </c>
    </row>
    <row r="276">
      <c r="A276" s="16"/>
      <c r="B276" s="16"/>
      <c r="C276" s="16"/>
      <c r="D276" s="16"/>
      <c r="E276" s="16"/>
      <c r="F276" s="14">
        <v>0.0</v>
      </c>
      <c r="G276" s="14" t="b">
        <v>0</v>
      </c>
    </row>
    <row r="277">
      <c r="A277" s="16"/>
      <c r="B277" s="16"/>
      <c r="C277" s="16"/>
      <c r="D277" s="16"/>
      <c r="E277" s="16"/>
      <c r="F277" s="14">
        <v>0.0</v>
      </c>
      <c r="G277" s="14" t="b">
        <v>0</v>
      </c>
    </row>
    <row r="278">
      <c r="A278" s="16"/>
      <c r="B278" s="16"/>
      <c r="C278" s="16"/>
      <c r="D278" s="16"/>
      <c r="E278" s="16"/>
      <c r="F278" s="14">
        <v>0.0</v>
      </c>
      <c r="G278" s="14" t="b">
        <v>0</v>
      </c>
    </row>
    <row r="279">
      <c r="A279" s="16"/>
      <c r="B279" s="16"/>
      <c r="C279" s="16"/>
      <c r="D279" s="16"/>
      <c r="E279" s="16"/>
      <c r="F279" s="14">
        <v>0.0</v>
      </c>
      <c r="G279" s="14" t="b">
        <v>0</v>
      </c>
    </row>
    <row r="280">
      <c r="A280" s="16"/>
      <c r="B280" s="16"/>
      <c r="C280" s="16"/>
      <c r="D280" s="16"/>
      <c r="E280" s="16"/>
      <c r="F280" s="14">
        <v>0.0</v>
      </c>
      <c r="G280" s="14" t="b">
        <v>0</v>
      </c>
    </row>
    <row r="281">
      <c r="A281" s="16"/>
      <c r="B281" s="16"/>
      <c r="C281" s="16"/>
      <c r="D281" s="16"/>
      <c r="E281" s="16"/>
      <c r="F281" s="14">
        <v>0.0</v>
      </c>
      <c r="G281" s="14" t="b">
        <v>0</v>
      </c>
    </row>
    <row r="282">
      <c r="A282" s="16"/>
      <c r="B282" s="16"/>
      <c r="C282" s="16"/>
      <c r="D282" s="16"/>
      <c r="E282" s="16"/>
      <c r="F282" s="14">
        <v>0.0</v>
      </c>
      <c r="G282" s="14" t="b">
        <v>0</v>
      </c>
    </row>
    <row r="283">
      <c r="A283" s="16"/>
      <c r="B283" s="16"/>
      <c r="C283" s="16"/>
      <c r="D283" s="16"/>
      <c r="E283" s="16"/>
      <c r="F283" s="14">
        <v>0.0</v>
      </c>
      <c r="G283" s="14" t="b">
        <v>0</v>
      </c>
    </row>
    <row r="284">
      <c r="A284" s="16"/>
      <c r="B284" s="16"/>
      <c r="C284" s="16"/>
      <c r="D284" s="16"/>
      <c r="E284" s="16"/>
      <c r="F284" s="14">
        <v>0.0</v>
      </c>
      <c r="G284" s="14" t="b">
        <v>0</v>
      </c>
    </row>
    <row r="285">
      <c r="A285" s="16"/>
      <c r="B285" s="16"/>
      <c r="C285" s="16"/>
      <c r="D285" s="16"/>
      <c r="E285" s="16"/>
      <c r="F285" s="14">
        <v>0.0</v>
      </c>
      <c r="G285" s="14" t="b">
        <v>0</v>
      </c>
    </row>
    <row r="286">
      <c r="A286" s="16"/>
      <c r="B286" s="16"/>
      <c r="C286" s="16"/>
      <c r="D286" s="16"/>
      <c r="E286" s="16"/>
      <c r="F286" s="14">
        <v>0.0</v>
      </c>
      <c r="G286" s="14" t="b">
        <v>0</v>
      </c>
    </row>
    <row r="287">
      <c r="A287" s="16"/>
      <c r="B287" s="16"/>
      <c r="C287" s="16"/>
      <c r="D287" s="16"/>
      <c r="E287" s="16"/>
      <c r="F287" s="14">
        <v>0.0</v>
      </c>
      <c r="G287" s="14" t="b">
        <v>0</v>
      </c>
    </row>
    <row r="288">
      <c r="A288" s="16"/>
      <c r="B288" s="16"/>
      <c r="C288" s="16"/>
      <c r="D288" s="16"/>
      <c r="E288" s="16"/>
      <c r="F288" s="14">
        <v>0.0</v>
      </c>
      <c r="G288" s="14" t="b">
        <v>0</v>
      </c>
    </row>
    <row r="289">
      <c r="A289" s="16"/>
      <c r="B289" s="16"/>
      <c r="C289" s="16"/>
      <c r="D289" s="16"/>
      <c r="E289" s="16"/>
      <c r="F289" s="14">
        <v>0.0</v>
      </c>
      <c r="G289" s="14" t="b">
        <v>0</v>
      </c>
    </row>
    <row r="290">
      <c r="A290" s="16"/>
      <c r="B290" s="16"/>
      <c r="C290" s="16"/>
      <c r="D290" s="16"/>
      <c r="E290" s="16"/>
      <c r="F290" s="14">
        <v>0.0</v>
      </c>
      <c r="G290" s="14" t="b">
        <v>0</v>
      </c>
    </row>
    <row r="291">
      <c r="A291" s="16"/>
      <c r="B291" s="16"/>
      <c r="C291" s="16"/>
      <c r="D291" s="16"/>
      <c r="E291" s="16"/>
      <c r="F291" s="14">
        <v>0.0</v>
      </c>
      <c r="G291" s="14" t="b">
        <v>0</v>
      </c>
    </row>
    <row r="292">
      <c r="A292" s="16"/>
      <c r="B292" s="16"/>
      <c r="C292" s="16"/>
      <c r="D292" s="16"/>
      <c r="E292" s="16"/>
      <c r="F292" s="14">
        <v>0.0</v>
      </c>
      <c r="G292" s="14" t="b">
        <v>0</v>
      </c>
    </row>
    <row r="293">
      <c r="A293" s="16"/>
      <c r="B293" s="16"/>
      <c r="C293" s="16"/>
      <c r="D293" s="16"/>
      <c r="E293" s="16"/>
      <c r="F293" s="14">
        <v>0.0</v>
      </c>
      <c r="G293" s="14" t="b">
        <v>0</v>
      </c>
    </row>
    <row r="294">
      <c r="A294" s="16"/>
      <c r="B294" s="16"/>
      <c r="C294" s="16"/>
      <c r="D294" s="16"/>
      <c r="E294" s="16"/>
      <c r="F294" s="14">
        <v>0.0</v>
      </c>
      <c r="G294" s="14" t="b">
        <v>0</v>
      </c>
    </row>
    <row r="295">
      <c r="A295" s="16"/>
      <c r="B295" s="16"/>
      <c r="C295" s="16"/>
      <c r="D295" s="16"/>
      <c r="E295" s="16"/>
      <c r="F295" s="14">
        <v>0.0</v>
      </c>
      <c r="G295" s="14" t="b">
        <v>0</v>
      </c>
    </row>
    <row r="296">
      <c r="A296" s="16"/>
      <c r="B296" s="16"/>
      <c r="C296" s="16"/>
      <c r="D296" s="16"/>
      <c r="E296" s="16"/>
      <c r="F296" s="14">
        <v>0.0</v>
      </c>
      <c r="G296" s="14" t="b">
        <v>0</v>
      </c>
    </row>
    <row r="297">
      <c r="A297" s="16"/>
      <c r="B297" s="16"/>
      <c r="C297" s="16"/>
      <c r="D297" s="16"/>
      <c r="E297" s="16"/>
      <c r="F297" s="14">
        <v>0.0</v>
      </c>
      <c r="G297" s="14" t="b">
        <v>0</v>
      </c>
    </row>
    <row r="298">
      <c r="A298" s="16"/>
      <c r="B298" s="16"/>
      <c r="C298" s="16"/>
      <c r="D298" s="16"/>
      <c r="E298" s="16"/>
      <c r="F298" s="14">
        <v>0.0</v>
      </c>
      <c r="G298" s="14" t="b">
        <v>0</v>
      </c>
    </row>
    <row r="299">
      <c r="A299" s="16"/>
      <c r="B299" s="16"/>
      <c r="C299" s="16"/>
      <c r="D299" s="16"/>
      <c r="E299" s="16"/>
      <c r="F299" s="14">
        <v>0.0</v>
      </c>
      <c r="G299" s="14" t="b">
        <v>0</v>
      </c>
    </row>
    <row r="300">
      <c r="A300" s="16"/>
      <c r="B300" s="16"/>
      <c r="C300" s="16"/>
      <c r="D300" s="16"/>
      <c r="E300" s="16"/>
      <c r="F300" s="14">
        <v>0.0</v>
      </c>
      <c r="G300" s="14" t="b">
        <v>0</v>
      </c>
    </row>
    <row r="301">
      <c r="A301" s="16"/>
      <c r="B301" s="16"/>
      <c r="C301" s="16"/>
      <c r="D301" s="16"/>
      <c r="E301" s="16"/>
      <c r="F301" s="14">
        <v>0.0</v>
      </c>
      <c r="G301" s="14" t="b">
        <v>0</v>
      </c>
    </row>
    <row r="302">
      <c r="A302" s="16"/>
      <c r="B302" s="16"/>
      <c r="C302" s="16"/>
      <c r="D302" s="16"/>
      <c r="E302" s="16"/>
      <c r="F302" s="14">
        <v>0.0</v>
      </c>
      <c r="G302" s="14" t="b">
        <v>0</v>
      </c>
    </row>
    <row r="303">
      <c r="A303" s="16"/>
      <c r="B303" s="16"/>
      <c r="C303" s="16"/>
      <c r="D303" s="16"/>
      <c r="E303" s="16"/>
      <c r="F303" s="14">
        <v>0.0</v>
      </c>
      <c r="G303" s="14" t="b">
        <v>0</v>
      </c>
    </row>
    <row r="304">
      <c r="A304" s="16"/>
      <c r="B304" s="16"/>
      <c r="C304" s="16"/>
      <c r="D304" s="16"/>
      <c r="E304" s="16"/>
      <c r="F304" s="14">
        <v>0.0</v>
      </c>
      <c r="G304" s="14" t="b">
        <v>0</v>
      </c>
    </row>
    <row r="305">
      <c r="A305" s="16"/>
      <c r="B305" s="16"/>
      <c r="C305" s="16"/>
      <c r="D305" s="16"/>
      <c r="E305" s="16"/>
      <c r="F305" s="14">
        <v>0.0</v>
      </c>
      <c r="G305" s="14" t="b">
        <v>0</v>
      </c>
    </row>
    <row r="306">
      <c r="A306" s="16"/>
      <c r="B306" s="16"/>
      <c r="C306" s="16"/>
      <c r="D306" s="16"/>
      <c r="E306" s="16"/>
      <c r="F306" s="14">
        <v>0.0</v>
      </c>
      <c r="G306" s="14" t="b">
        <v>0</v>
      </c>
    </row>
    <row r="307">
      <c r="A307" s="16"/>
      <c r="B307" s="16"/>
      <c r="C307" s="16"/>
      <c r="D307" s="16"/>
      <c r="E307" s="16"/>
      <c r="F307" s="14">
        <v>0.0</v>
      </c>
      <c r="G307" s="14" t="b">
        <v>0</v>
      </c>
    </row>
    <row r="308">
      <c r="A308" s="16"/>
      <c r="B308" s="16"/>
      <c r="C308" s="16"/>
      <c r="D308" s="16"/>
      <c r="E308" s="16"/>
      <c r="F308" s="14">
        <v>0.0</v>
      </c>
      <c r="G308" s="14" t="b">
        <v>0</v>
      </c>
    </row>
    <row r="309">
      <c r="A309" s="16"/>
      <c r="B309" s="16"/>
      <c r="C309" s="16"/>
      <c r="D309" s="16"/>
      <c r="E309" s="16"/>
      <c r="F309" s="14">
        <v>0.0</v>
      </c>
      <c r="G309" s="14" t="b">
        <v>0</v>
      </c>
    </row>
    <row r="310">
      <c r="A310" s="16"/>
      <c r="B310" s="16"/>
      <c r="C310" s="16"/>
      <c r="D310" s="16"/>
      <c r="E310" s="16"/>
      <c r="F310" s="14">
        <v>0.0</v>
      </c>
      <c r="G310" s="14" t="b">
        <v>0</v>
      </c>
    </row>
    <row r="311">
      <c r="A311" s="16"/>
      <c r="B311" s="16"/>
      <c r="C311" s="16"/>
      <c r="D311" s="16"/>
      <c r="E311" s="16"/>
      <c r="F311" s="14">
        <v>0.0</v>
      </c>
      <c r="G311" s="14" t="b">
        <v>0</v>
      </c>
    </row>
    <row r="312">
      <c r="A312" s="16"/>
      <c r="B312" s="16"/>
      <c r="C312" s="16"/>
      <c r="D312" s="16"/>
      <c r="E312" s="16"/>
      <c r="F312" s="14">
        <v>0.0</v>
      </c>
      <c r="G312" s="14" t="b">
        <v>0</v>
      </c>
    </row>
    <row r="313">
      <c r="A313" s="16"/>
      <c r="B313" s="16"/>
      <c r="C313" s="16"/>
      <c r="D313" s="16"/>
      <c r="E313" s="16"/>
      <c r="F313" s="14">
        <v>0.0</v>
      </c>
      <c r="G313" s="14" t="b">
        <v>0</v>
      </c>
    </row>
    <row r="314">
      <c r="A314" s="16"/>
      <c r="B314" s="16"/>
      <c r="C314" s="16"/>
      <c r="D314" s="16"/>
      <c r="E314" s="16"/>
      <c r="F314" s="14">
        <v>0.0</v>
      </c>
      <c r="G314" s="14" t="b">
        <v>0</v>
      </c>
    </row>
    <row r="315">
      <c r="A315" s="16"/>
      <c r="B315" s="16"/>
      <c r="C315" s="16"/>
      <c r="D315" s="16"/>
      <c r="E315" s="16"/>
      <c r="F315" s="14">
        <v>0.0</v>
      </c>
      <c r="G315" s="14" t="b">
        <v>0</v>
      </c>
    </row>
    <row r="316">
      <c r="A316" s="16"/>
      <c r="B316" s="16"/>
      <c r="C316" s="16"/>
      <c r="D316" s="16"/>
      <c r="E316" s="16"/>
      <c r="F316" s="14">
        <v>0.0</v>
      </c>
      <c r="G316" s="14" t="b">
        <v>0</v>
      </c>
    </row>
    <row r="317">
      <c r="A317" s="16"/>
      <c r="B317" s="16"/>
      <c r="C317" s="16"/>
      <c r="D317" s="16"/>
      <c r="E317" s="16"/>
      <c r="F317" s="14">
        <v>0.0</v>
      </c>
      <c r="G317" s="14" t="b">
        <v>0</v>
      </c>
    </row>
    <row r="318">
      <c r="A318" s="16"/>
      <c r="B318" s="16"/>
      <c r="C318" s="16"/>
      <c r="D318" s="16"/>
      <c r="E318" s="16"/>
      <c r="F318" s="14">
        <v>0.0</v>
      </c>
      <c r="G318" s="14" t="b">
        <v>0</v>
      </c>
    </row>
    <row r="319">
      <c r="A319" s="16"/>
      <c r="B319" s="16"/>
      <c r="C319" s="16"/>
      <c r="D319" s="16"/>
      <c r="E319" s="16"/>
      <c r="F319" s="14">
        <v>0.0</v>
      </c>
      <c r="G319" s="14" t="b">
        <v>0</v>
      </c>
    </row>
    <row r="320">
      <c r="A320" s="16"/>
      <c r="B320" s="16"/>
      <c r="C320" s="16"/>
      <c r="D320" s="16"/>
      <c r="E320" s="16"/>
      <c r="F320" s="14">
        <v>0.0</v>
      </c>
      <c r="G320" s="14" t="b">
        <v>0</v>
      </c>
    </row>
    <row r="321">
      <c r="A321" s="16"/>
      <c r="B321" s="16"/>
      <c r="C321" s="16"/>
      <c r="D321" s="16"/>
      <c r="E321" s="16"/>
      <c r="F321" s="14">
        <v>0.0</v>
      </c>
      <c r="G321" s="14" t="b">
        <v>0</v>
      </c>
    </row>
    <row r="322">
      <c r="A322" s="16"/>
      <c r="B322" s="16"/>
      <c r="C322" s="16"/>
      <c r="D322" s="16"/>
      <c r="E322" s="16"/>
      <c r="F322" s="14">
        <v>0.0</v>
      </c>
      <c r="G322" s="14" t="b">
        <v>0</v>
      </c>
    </row>
    <row r="323">
      <c r="A323" s="16"/>
      <c r="B323" s="16"/>
      <c r="C323" s="16"/>
      <c r="D323" s="16"/>
      <c r="E323" s="16"/>
      <c r="F323" s="14">
        <v>0.0</v>
      </c>
      <c r="G323" s="14" t="b">
        <v>0</v>
      </c>
    </row>
    <row r="324">
      <c r="A324" s="16"/>
      <c r="B324" s="16"/>
      <c r="C324" s="16"/>
      <c r="D324" s="16"/>
      <c r="E324" s="16"/>
      <c r="F324" s="14">
        <v>0.0</v>
      </c>
      <c r="G324" s="14" t="b">
        <v>0</v>
      </c>
    </row>
    <row r="325">
      <c r="A325" s="16"/>
      <c r="B325" s="16"/>
      <c r="C325" s="16"/>
      <c r="D325" s="16"/>
      <c r="E325" s="16"/>
      <c r="F325" s="14">
        <v>0.0</v>
      </c>
      <c r="G325" s="14" t="b">
        <v>0</v>
      </c>
    </row>
    <row r="326">
      <c r="A326" s="16"/>
      <c r="B326" s="16"/>
      <c r="C326" s="16"/>
      <c r="D326" s="16"/>
      <c r="E326" s="16"/>
      <c r="F326" s="14">
        <v>0.0</v>
      </c>
      <c r="G326" s="14" t="b">
        <v>0</v>
      </c>
    </row>
    <row r="327">
      <c r="A327" s="16"/>
      <c r="B327" s="16"/>
      <c r="C327" s="16"/>
      <c r="D327" s="16"/>
      <c r="E327" s="16"/>
      <c r="F327" s="14">
        <v>0.0</v>
      </c>
      <c r="G327" s="14" t="b">
        <v>0</v>
      </c>
    </row>
    <row r="328">
      <c r="A328" s="16"/>
      <c r="B328" s="16"/>
      <c r="C328" s="16"/>
      <c r="D328" s="16"/>
      <c r="E328" s="16"/>
      <c r="F328" s="14">
        <v>0.0</v>
      </c>
      <c r="G328" s="14" t="b">
        <v>0</v>
      </c>
    </row>
    <row r="329">
      <c r="A329" s="16"/>
      <c r="B329" s="16"/>
      <c r="C329" s="16"/>
      <c r="D329" s="16"/>
      <c r="E329" s="16"/>
      <c r="F329" s="14">
        <v>0.0</v>
      </c>
      <c r="G329" s="14" t="b">
        <v>0</v>
      </c>
    </row>
    <row r="330">
      <c r="A330" s="16"/>
      <c r="B330" s="16"/>
      <c r="C330" s="16"/>
      <c r="D330" s="16"/>
      <c r="E330" s="16"/>
      <c r="F330" s="14">
        <v>0.0</v>
      </c>
      <c r="G330" s="14" t="b">
        <v>0</v>
      </c>
    </row>
    <row r="331">
      <c r="A331" s="16"/>
      <c r="B331" s="16"/>
      <c r="C331" s="16"/>
      <c r="D331" s="16"/>
      <c r="E331" s="16"/>
      <c r="F331" s="14">
        <v>0.0</v>
      </c>
      <c r="G331" s="14" t="b">
        <v>0</v>
      </c>
    </row>
    <row r="332">
      <c r="A332" s="16"/>
      <c r="B332" s="16"/>
      <c r="C332" s="16"/>
      <c r="D332" s="16"/>
      <c r="E332" s="16"/>
      <c r="F332" s="14">
        <v>0.0</v>
      </c>
      <c r="G332" s="14" t="b">
        <v>0</v>
      </c>
    </row>
    <row r="333">
      <c r="A333" s="16"/>
      <c r="B333" s="16"/>
      <c r="C333" s="16"/>
      <c r="D333" s="16"/>
      <c r="E333" s="16"/>
      <c r="F333" s="14">
        <v>0.0</v>
      </c>
      <c r="G333" s="14" t="b">
        <v>0</v>
      </c>
    </row>
    <row r="334">
      <c r="A334" s="16"/>
      <c r="B334" s="16"/>
      <c r="C334" s="16"/>
      <c r="D334" s="16"/>
      <c r="E334" s="16"/>
      <c r="F334" s="14">
        <v>0.0</v>
      </c>
      <c r="G334" s="14" t="b">
        <v>0</v>
      </c>
    </row>
    <row r="335">
      <c r="A335" s="16"/>
      <c r="B335" s="16"/>
      <c r="C335" s="16"/>
      <c r="D335" s="16"/>
      <c r="E335" s="16"/>
      <c r="F335" s="14">
        <v>0.0</v>
      </c>
      <c r="G335" s="14" t="b">
        <v>0</v>
      </c>
    </row>
    <row r="336">
      <c r="A336" s="16"/>
      <c r="B336" s="16"/>
      <c r="C336" s="16"/>
      <c r="D336" s="16"/>
      <c r="E336" s="16"/>
      <c r="F336" s="14">
        <v>0.0</v>
      </c>
      <c r="G336" s="14" t="b">
        <v>0</v>
      </c>
    </row>
    <row r="337">
      <c r="A337" s="16"/>
      <c r="B337" s="16"/>
      <c r="C337" s="16"/>
      <c r="D337" s="16"/>
      <c r="E337" s="16"/>
      <c r="F337" s="14">
        <v>0.0</v>
      </c>
      <c r="G337" s="14" t="b">
        <v>0</v>
      </c>
    </row>
    <row r="338">
      <c r="A338" s="16"/>
      <c r="B338" s="16"/>
      <c r="C338" s="16"/>
      <c r="D338" s="16"/>
      <c r="E338" s="16"/>
      <c r="F338" s="14">
        <v>0.0</v>
      </c>
      <c r="G338" s="14" t="b">
        <v>0</v>
      </c>
    </row>
    <row r="339">
      <c r="A339" s="16"/>
      <c r="B339" s="16"/>
      <c r="C339" s="16"/>
      <c r="D339" s="16"/>
      <c r="E339" s="16"/>
      <c r="F339" s="14">
        <v>0.0</v>
      </c>
      <c r="G339" s="14" t="b">
        <v>0</v>
      </c>
    </row>
    <row r="340">
      <c r="A340" s="16"/>
      <c r="B340" s="16"/>
      <c r="C340" s="16"/>
      <c r="D340" s="16"/>
      <c r="E340" s="16"/>
      <c r="F340" s="14">
        <v>0.0</v>
      </c>
      <c r="G340" s="14" t="b">
        <v>0</v>
      </c>
    </row>
    <row r="341">
      <c r="A341" s="16"/>
      <c r="B341" s="16"/>
      <c r="C341" s="16"/>
      <c r="D341" s="16"/>
      <c r="E341" s="16"/>
      <c r="F341" s="14">
        <v>0.0</v>
      </c>
      <c r="G341" s="14" t="b">
        <v>0</v>
      </c>
    </row>
    <row r="342">
      <c r="A342" s="16"/>
      <c r="B342" s="16"/>
      <c r="C342" s="16"/>
      <c r="D342" s="16"/>
      <c r="E342" s="16"/>
      <c r="F342" s="14">
        <v>0.0</v>
      </c>
      <c r="G342" s="14" t="b">
        <v>0</v>
      </c>
    </row>
    <row r="343">
      <c r="A343" s="16"/>
      <c r="B343" s="16"/>
      <c r="C343" s="16"/>
      <c r="D343" s="16"/>
      <c r="E343" s="16"/>
      <c r="F343" s="14">
        <v>0.0</v>
      </c>
      <c r="G343" s="14" t="b">
        <v>0</v>
      </c>
    </row>
    <row r="344">
      <c r="A344" s="16"/>
      <c r="B344" s="16"/>
      <c r="C344" s="16"/>
      <c r="D344" s="16"/>
      <c r="E344" s="16"/>
      <c r="F344" s="14">
        <v>0.0</v>
      </c>
      <c r="G344" s="14" t="b">
        <v>0</v>
      </c>
    </row>
    <row r="345">
      <c r="A345" s="16"/>
      <c r="B345" s="16"/>
      <c r="C345" s="16"/>
      <c r="D345" s="16"/>
      <c r="E345" s="16"/>
      <c r="F345" s="14">
        <v>0.0</v>
      </c>
      <c r="G345" s="14" t="b">
        <v>0</v>
      </c>
    </row>
    <row r="346">
      <c r="A346" s="16"/>
      <c r="B346" s="16"/>
      <c r="C346" s="16"/>
      <c r="D346" s="16"/>
      <c r="E346" s="16"/>
      <c r="F346" s="14">
        <v>0.0</v>
      </c>
      <c r="G346" s="14" t="b">
        <v>0</v>
      </c>
    </row>
    <row r="347">
      <c r="A347" s="16"/>
      <c r="B347" s="16"/>
      <c r="C347" s="16"/>
      <c r="D347" s="16"/>
      <c r="E347" s="16"/>
      <c r="F347" s="14">
        <v>0.0</v>
      </c>
      <c r="G347" s="14" t="b">
        <v>0</v>
      </c>
    </row>
    <row r="348">
      <c r="A348" s="16"/>
      <c r="B348" s="16"/>
      <c r="C348" s="16"/>
      <c r="D348" s="16"/>
      <c r="E348" s="16"/>
      <c r="F348" s="14">
        <v>0.0</v>
      </c>
      <c r="G348" s="14" t="b">
        <v>0</v>
      </c>
    </row>
    <row r="349">
      <c r="A349" s="16"/>
      <c r="B349" s="16"/>
      <c r="C349" s="16"/>
      <c r="D349" s="16"/>
      <c r="E349" s="16"/>
      <c r="F349" s="14">
        <v>0.0</v>
      </c>
      <c r="G349" s="14" t="b">
        <v>0</v>
      </c>
    </row>
    <row r="350">
      <c r="A350" s="16"/>
      <c r="B350" s="16"/>
      <c r="C350" s="16"/>
      <c r="D350" s="16"/>
      <c r="E350" s="16"/>
      <c r="F350" s="14">
        <v>0.0</v>
      </c>
      <c r="G350" s="14" t="b">
        <v>0</v>
      </c>
    </row>
    <row r="351">
      <c r="A351" s="16"/>
      <c r="B351" s="16"/>
      <c r="C351" s="16"/>
      <c r="D351" s="16"/>
      <c r="E351" s="16"/>
      <c r="F351" s="14">
        <v>0.0</v>
      </c>
      <c r="G351" s="14" t="b">
        <v>0</v>
      </c>
    </row>
    <row r="352">
      <c r="A352" s="16"/>
      <c r="B352" s="16"/>
      <c r="C352" s="16"/>
      <c r="D352" s="16"/>
      <c r="E352" s="16"/>
      <c r="F352" s="14">
        <v>0.0</v>
      </c>
      <c r="G352" s="14" t="b">
        <v>0</v>
      </c>
    </row>
    <row r="353">
      <c r="A353" s="16"/>
      <c r="B353" s="16"/>
      <c r="C353" s="16"/>
      <c r="D353" s="16"/>
      <c r="E353" s="16"/>
      <c r="F353" s="14">
        <v>0.0</v>
      </c>
      <c r="G353" s="14" t="b">
        <v>0</v>
      </c>
    </row>
    <row r="354">
      <c r="A354" s="16"/>
      <c r="B354" s="16"/>
      <c r="C354" s="16"/>
      <c r="D354" s="16"/>
      <c r="E354" s="16"/>
      <c r="F354" s="14">
        <v>0.0</v>
      </c>
      <c r="G354" s="14" t="b">
        <v>0</v>
      </c>
    </row>
    <row r="355">
      <c r="A355" s="16"/>
      <c r="B355" s="16"/>
      <c r="C355" s="16"/>
      <c r="D355" s="16"/>
      <c r="E355" s="16"/>
      <c r="F355" s="14">
        <v>0.0</v>
      </c>
      <c r="G355" s="14" t="b">
        <v>0</v>
      </c>
    </row>
    <row r="356">
      <c r="A356" s="16"/>
      <c r="B356" s="16"/>
      <c r="C356" s="16"/>
      <c r="D356" s="16"/>
      <c r="E356" s="16"/>
      <c r="F356" s="14">
        <v>0.0</v>
      </c>
      <c r="G356" s="14" t="b">
        <v>0</v>
      </c>
    </row>
    <row r="357">
      <c r="A357" s="16"/>
      <c r="B357" s="16"/>
      <c r="C357" s="16"/>
      <c r="D357" s="16"/>
      <c r="E357" s="16"/>
      <c r="F357" s="14">
        <v>0.0</v>
      </c>
      <c r="G357" s="14" t="b">
        <v>0</v>
      </c>
    </row>
    <row r="358">
      <c r="A358" s="16"/>
      <c r="B358" s="16"/>
      <c r="C358" s="16"/>
      <c r="D358" s="16"/>
      <c r="E358" s="16"/>
      <c r="F358" s="14">
        <v>0.0</v>
      </c>
      <c r="G358" s="14" t="b">
        <v>0</v>
      </c>
    </row>
    <row r="359">
      <c r="A359" s="16"/>
      <c r="B359" s="16"/>
      <c r="C359" s="16"/>
      <c r="D359" s="16"/>
      <c r="E359" s="16"/>
      <c r="F359" s="14">
        <v>0.0</v>
      </c>
      <c r="G359" s="14" t="b">
        <v>0</v>
      </c>
    </row>
    <row r="360">
      <c r="A360" s="16"/>
      <c r="B360" s="16"/>
      <c r="C360" s="16"/>
      <c r="D360" s="16"/>
      <c r="E360" s="16"/>
      <c r="F360" s="14">
        <v>0.0</v>
      </c>
      <c r="G360" s="14" t="b">
        <v>0</v>
      </c>
    </row>
    <row r="361">
      <c r="A361" s="16"/>
      <c r="B361" s="16"/>
      <c r="C361" s="16"/>
      <c r="D361" s="16"/>
      <c r="E361" s="16"/>
      <c r="F361" s="14">
        <v>0.0</v>
      </c>
      <c r="G361" s="14" t="b">
        <v>0</v>
      </c>
    </row>
    <row r="362">
      <c r="A362" s="16"/>
      <c r="B362" s="16"/>
      <c r="C362" s="16"/>
      <c r="D362" s="16"/>
      <c r="E362" s="16"/>
      <c r="F362" s="14">
        <v>0.0</v>
      </c>
      <c r="G362" s="14" t="b">
        <v>0</v>
      </c>
    </row>
    <row r="363">
      <c r="A363" s="16"/>
      <c r="B363" s="16"/>
      <c r="C363" s="16"/>
      <c r="D363" s="16"/>
      <c r="E363" s="16"/>
      <c r="F363" s="14">
        <v>0.0</v>
      </c>
      <c r="G363" s="14" t="b">
        <v>0</v>
      </c>
    </row>
    <row r="364">
      <c r="A364" s="16"/>
      <c r="B364" s="16"/>
      <c r="C364" s="16"/>
      <c r="D364" s="16"/>
      <c r="E364" s="16"/>
      <c r="F364" s="14">
        <v>0.0</v>
      </c>
      <c r="G364" s="14" t="b">
        <v>0</v>
      </c>
    </row>
    <row r="365">
      <c r="A365" s="16"/>
      <c r="B365" s="16"/>
      <c r="C365" s="16"/>
      <c r="D365" s="16"/>
      <c r="E365" s="16"/>
      <c r="F365" s="14">
        <v>0.0</v>
      </c>
      <c r="G365" s="14" t="b">
        <v>0</v>
      </c>
    </row>
    <row r="366">
      <c r="A366" s="16"/>
      <c r="B366" s="16"/>
      <c r="C366" s="16"/>
      <c r="D366" s="16"/>
      <c r="E366" s="16"/>
      <c r="F366" s="14">
        <v>0.0</v>
      </c>
      <c r="G366" s="14" t="b">
        <v>0</v>
      </c>
    </row>
    <row r="367">
      <c r="A367" s="16"/>
      <c r="B367" s="16"/>
      <c r="C367" s="16"/>
      <c r="D367" s="16"/>
      <c r="E367" s="16"/>
      <c r="F367" s="14">
        <v>0.0</v>
      </c>
      <c r="G367" s="14" t="b">
        <v>0</v>
      </c>
    </row>
    <row r="368">
      <c r="A368" s="16"/>
      <c r="B368" s="16"/>
      <c r="C368" s="16"/>
      <c r="D368" s="16"/>
      <c r="E368" s="16"/>
      <c r="F368" s="14">
        <v>0.0</v>
      </c>
      <c r="G368" s="14" t="b">
        <v>0</v>
      </c>
    </row>
    <row r="369">
      <c r="A369" s="16"/>
      <c r="B369" s="16"/>
      <c r="C369" s="16"/>
      <c r="D369" s="16"/>
      <c r="E369" s="16"/>
      <c r="F369" s="14">
        <v>0.0</v>
      </c>
      <c r="G369" s="14" t="b">
        <v>0</v>
      </c>
    </row>
    <row r="370">
      <c r="A370" s="16"/>
      <c r="B370" s="16"/>
      <c r="C370" s="16"/>
      <c r="D370" s="16"/>
      <c r="E370" s="16"/>
      <c r="F370" s="14">
        <v>0.0</v>
      </c>
      <c r="G370" s="14" t="b">
        <v>0</v>
      </c>
    </row>
    <row r="371">
      <c r="A371" s="16"/>
      <c r="B371" s="16"/>
      <c r="C371" s="16"/>
      <c r="D371" s="16"/>
      <c r="E371" s="16"/>
      <c r="F371" s="14">
        <v>0.0</v>
      </c>
      <c r="G371" s="14" t="b">
        <v>0</v>
      </c>
    </row>
    <row r="372">
      <c r="A372" s="16"/>
      <c r="B372" s="16"/>
      <c r="C372" s="16"/>
      <c r="D372" s="16"/>
      <c r="E372" s="16"/>
      <c r="F372" s="14">
        <v>0.0</v>
      </c>
      <c r="G372" s="14" t="b">
        <v>0</v>
      </c>
    </row>
    <row r="373">
      <c r="A373" s="16"/>
      <c r="B373" s="16"/>
      <c r="C373" s="16"/>
      <c r="D373" s="16"/>
      <c r="E373" s="16"/>
      <c r="F373" s="14">
        <v>0.0</v>
      </c>
      <c r="G373" s="14" t="b">
        <v>0</v>
      </c>
    </row>
    <row r="374">
      <c r="A374" s="16"/>
      <c r="B374" s="16"/>
      <c r="C374" s="16"/>
      <c r="D374" s="16"/>
      <c r="E374" s="16"/>
      <c r="F374" s="14">
        <v>0.0</v>
      </c>
      <c r="G374" s="14" t="b">
        <v>0</v>
      </c>
    </row>
    <row r="375">
      <c r="A375" s="16"/>
      <c r="B375" s="16"/>
      <c r="C375" s="16"/>
      <c r="D375" s="16"/>
      <c r="E375" s="16"/>
      <c r="F375" s="14">
        <v>0.0</v>
      </c>
      <c r="G375" s="14" t="b">
        <v>0</v>
      </c>
    </row>
    <row r="376">
      <c r="A376" s="16"/>
      <c r="B376" s="16"/>
      <c r="C376" s="16"/>
      <c r="D376" s="16"/>
      <c r="E376" s="16"/>
      <c r="F376" s="14">
        <v>0.0</v>
      </c>
      <c r="G376" s="14" t="b">
        <v>0</v>
      </c>
    </row>
    <row r="377">
      <c r="A377" s="16"/>
      <c r="B377" s="16"/>
      <c r="C377" s="16"/>
      <c r="D377" s="16"/>
      <c r="E377" s="16"/>
      <c r="F377" s="14">
        <v>0.0</v>
      </c>
      <c r="G377" s="14" t="b">
        <v>0</v>
      </c>
    </row>
    <row r="378">
      <c r="A378" s="16"/>
      <c r="B378" s="16"/>
      <c r="C378" s="16"/>
      <c r="D378" s="16"/>
      <c r="E378" s="16"/>
      <c r="F378" s="14">
        <v>0.0</v>
      </c>
      <c r="G378" s="14" t="b">
        <v>0</v>
      </c>
    </row>
    <row r="379">
      <c r="A379" s="16"/>
      <c r="B379" s="16"/>
      <c r="C379" s="16"/>
      <c r="D379" s="16"/>
      <c r="E379" s="16"/>
      <c r="F379" s="14">
        <v>0.0</v>
      </c>
      <c r="G379" s="14" t="b">
        <v>0</v>
      </c>
    </row>
    <row r="380">
      <c r="A380" s="16"/>
      <c r="B380" s="16"/>
      <c r="C380" s="16"/>
      <c r="D380" s="16"/>
      <c r="E380" s="16"/>
      <c r="F380" s="14">
        <v>0.0</v>
      </c>
      <c r="G380" s="14" t="b">
        <v>0</v>
      </c>
    </row>
    <row r="381">
      <c r="A381" s="16"/>
      <c r="B381" s="16"/>
      <c r="C381" s="16"/>
      <c r="D381" s="16"/>
      <c r="E381" s="16"/>
      <c r="F381" s="14">
        <v>0.0</v>
      </c>
      <c r="G381" s="14" t="b">
        <v>0</v>
      </c>
    </row>
    <row r="382">
      <c r="A382" s="16"/>
      <c r="B382" s="16"/>
      <c r="C382" s="16"/>
      <c r="D382" s="16"/>
      <c r="E382" s="16"/>
      <c r="F382" s="14">
        <v>0.0</v>
      </c>
      <c r="G382" s="14" t="b">
        <v>0</v>
      </c>
    </row>
    <row r="383">
      <c r="A383" s="16"/>
      <c r="B383" s="16"/>
      <c r="C383" s="16"/>
      <c r="D383" s="16"/>
      <c r="E383" s="16"/>
      <c r="F383" s="14">
        <v>0.0</v>
      </c>
      <c r="G383" s="14" t="b">
        <v>0</v>
      </c>
    </row>
    <row r="384">
      <c r="A384" s="16"/>
      <c r="B384" s="16"/>
      <c r="C384" s="16"/>
      <c r="D384" s="16"/>
      <c r="E384" s="16"/>
      <c r="F384" s="14">
        <v>0.0</v>
      </c>
      <c r="G384" s="14" t="b">
        <v>0</v>
      </c>
    </row>
    <row r="385">
      <c r="A385" s="16"/>
      <c r="B385" s="16"/>
      <c r="C385" s="16"/>
      <c r="D385" s="16"/>
      <c r="E385" s="16"/>
      <c r="F385" s="14">
        <v>0.0</v>
      </c>
      <c r="G385" s="14" t="b">
        <v>0</v>
      </c>
    </row>
    <row r="386">
      <c r="A386" s="16"/>
      <c r="B386" s="16"/>
      <c r="C386" s="16"/>
      <c r="D386" s="16"/>
      <c r="E386" s="16"/>
      <c r="F386" s="14">
        <v>0.0</v>
      </c>
      <c r="G386" s="14" t="b">
        <v>0</v>
      </c>
    </row>
    <row r="387">
      <c r="A387" s="16"/>
      <c r="B387" s="16"/>
      <c r="C387" s="16"/>
      <c r="D387" s="16"/>
      <c r="E387" s="16"/>
      <c r="F387" s="14">
        <v>0.0</v>
      </c>
      <c r="G387" s="14" t="b">
        <v>0</v>
      </c>
    </row>
    <row r="388">
      <c r="A388" s="16"/>
      <c r="B388" s="16"/>
      <c r="C388" s="16"/>
      <c r="D388" s="16"/>
      <c r="E388" s="16"/>
      <c r="F388" s="14">
        <v>0.0</v>
      </c>
      <c r="G388" s="14" t="b">
        <v>0</v>
      </c>
    </row>
    <row r="389">
      <c r="A389" s="16"/>
      <c r="B389" s="16"/>
      <c r="C389" s="16"/>
      <c r="D389" s="16"/>
      <c r="E389" s="16"/>
      <c r="F389" s="14">
        <v>0.0</v>
      </c>
      <c r="G389" s="14" t="b">
        <v>0</v>
      </c>
    </row>
    <row r="390">
      <c r="A390" s="16"/>
      <c r="B390" s="16"/>
      <c r="C390" s="16"/>
      <c r="D390" s="16"/>
      <c r="E390" s="16"/>
      <c r="F390" s="14">
        <v>0.0</v>
      </c>
      <c r="G390" s="14" t="b">
        <v>0</v>
      </c>
    </row>
    <row r="391">
      <c r="A391" s="16"/>
      <c r="B391" s="16"/>
      <c r="C391" s="16"/>
      <c r="D391" s="16"/>
      <c r="E391" s="16"/>
      <c r="F391" s="14">
        <v>0.0</v>
      </c>
      <c r="G391" s="14" t="b">
        <v>0</v>
      </c>
    </row>
    <row r="392">
      <c r="A392" s="16"/>
      <c r="B392" s="16"/>
      <c r="C392" s="16"/>
      <c r="D392" s="16"/>
      <c r="E392" s="16"/>
      <c r="F392" s="14">
        <v>0.0</v>
      </c>
      <c r="G392" s="14" t="b">
        <v>0</v>
      </c>
    </row>
    <row r="393">
      <c r="A393" s="16"/>
      <c r="B393" s="16"/>
      <c r="C393" s="16"/>
      <c r="D393" s="16"/>
      <c r="E393" s="16"/>
      <c r="F393" s="14">
        <v>0.0</v>
      </c>
      <c r="G393" s="14" t="b">
        <v>0</v>
      </c>
    </row>
    <row r="394">
      <c r="A394" s="16"/>
      <c r="B394" s="16"/>
      <c r="C394" s="16"/>
      <c r="D394" s="16"/>
      <c r="E394" s="16"/>
      <c r="F394" s="14">
        <v>0.0</v>
      </c>
      <c r="G394" s="14" t="b">
        <v>0</v>
      </c>
    </row>
    <row r="395">
      <c r="A395" s="16"/>
      <c r="B395" s="16"/>
      <c r="C395" s="16"/>
      <c r="D395" s="16"/>
      <c r="E395" s="16"/>
      <c r="F395" s="14">
        <v>0.0</v>
      </c>
      <c r="G395" s="14" t="b">
        <v>0</v>
      </c>
    </row>
    <row r="396">
      <c r="A396" s="16"/>
      <c r="B396" s="16"/>
      <c r="C396" s="16"/>
      <c r="D396" s="16"/>
      <c r="E396" s="16"/>
      <c r="F396" s="14">
        <v>0.0</v>
      </c>
      <c r="G396" s="14" t="b">
        <v>0</v>
      </c>
    </row>
    <row r="397">
      <c r="A397" s="16"/>
      <c r="B397" s="16"/>
      <c r="C397" s="16"/>
      <c r="D397" s="16"/>
      <c r="E397" s="16"/>
      <c r="F397" s="14">
        <v>0.0</v>
      </c>
      <c r="G397" s="14" t="b">
        <v>0</v>
      </c>
    </row>
    <row r="398">
      <c r="A398" s="16"/>
      <c r="B398" s="16"/>
      <c r="C398" s="16"/>
      <c r="D398" s="16"/>
      <c r="E398" s="16"/>
      <c r="F398" s="14">
        <v>0.0</v>
      </c>
      <c r="G398" s="14" t="b">
        <v>0</v>
      </c>
    </row>
    <row r="399">
      <c r="A399" s="16"/>
      <c r="B399" s="16"/>
      <c r="C399" s="16"/>
      <c r="D399" s="16"/>
      <c r="E399" s="16"/>
      <c r="F399" s="14">
        <v>0.0</v>
      </c>
      <c r="G399" s="14" t="b">
        <v>0</v>
      </c>
    </row>
    <row r="400">
      <c r="A400" s="16"/>
      <c r="B400" s="16"/>
      <c r="C400" s="16"/>
      <c r="D400" s="16"/>
      <c r="E400" s="16"/>
      <c r="F400" s="14">
        <v>0.0</v>
      </c>
      <c r="G400" s="14" t="b">
        <v>0</v>
      </c>
    </row>
    <row r="401">
      <c r="A401" s="16"/>
      <c r="B401" s="16"/>
      <c r="C401" s="16"/>
      <c r="D401" s="16"/>
      <c r="E401" s="16"/>
      <c r="F401" s="14">
        <v>0.0</v>
      </c>
      <c r="G401" s="14" t="b">
        <v>0</v>
      </c>
    </row>
    <row r="402">
      <c r="A402" s="16"/>
      <c r="B402" s="16"/>
      <c r="C402" s="16"/>
      <c r="D402" s="16"/>
      <c r="E402" s="16"/>
      <c r="F402" s="14">
        <v>0.0</v>
      </c>
      <c r="G402" s="14" t="b">
        <v>0</v>
      </c>
    </row>
    <row r="403">
      <c r="A403" s="16"/>
      <c r="B403" s="16"/>
      <c r="C403" s="16"/>
      <c r="D403" s="16"/>
      <c r="E403" s="16"/>
      <c r="F403" s="14">
        <v>0.0</v>
      </c>
      <c r="G403" s="14" t="b">
        <v>0</v>
      </c>
    </row>
    <row r="404">
      <c r="A404" s="16"/>
      <c r="B404" s="16"/>
      <c r="C404" s="16"/>
      <c r="D404" s="16"/>
      <c r="E404" s="16"/>
      <c r="F404" s="14">
        <v>0.0</v>
      </c>
      <c r="G404" s="14" t="b">
        <v>0</v>
      </c>
    </row>
    <row r="405">
      <c r="A405" s="16"/>
      <c r="B405" s="16"/>
      <c r="C405" s="16"/>
      <c r="D405" s="16"/>
      <c r="E405" s="16"/>
      <c r="F405" s="14">
        <v>0.0</v>
      </c>
      <c r="G405" s="14" t="b">
        <v>0</v>
      </c>
    </row>
    <row r="406">
      <c r="A406" s="16"/>
      <c r="B406" s="16"/>
      <c r="C406" s="16"/>
      <c r="D406" s="16"/>
      <c r="E406" s="16"/>
      <c r="F406" s="14">
        <v>0.0</v>
      </c>
      <c r="G406" s="14" t="b">
        <v>0</v>
      </c>
    </row>
    <row r="407">
      <c r="A407" s="16"/>
      <c r="B407" s="16"/>
      <c r="C407" s="16"/>
      <c r="D407" s="16"/>
      <c r="E407" s="16"/>
      <c r="F407" s="14">
        <v>0.0</v>
      </c>
      <c r="G407" s="14" t="b">
        <v>0</v>
      </c>
    </row>
    <row r="408">
      <c r="A408" s="16"/>
      <c r="B408" s="16"/>
      <c r="C408" s="16"/>
      <c r="D408" s="16"/>
      <c r="E408" s="16"/>
      <c r="F408" s="14">
        <v>0.0</v>
      </c>
      <c r="G408" s="14" t="b">
        <v>0</v>
      </c>
    </row>
    <row r="409">
      <c r="A409" s="16"/>
      <c r="B409" s="16"/>
      <c r="C409" s="16"/>
      <c r="D409" s="16"/>
      <c r="E409" s="16"/>
      <c r="F409" s="14">
        <v>0.0</v>
      </c>
      <c r="G409" s="14" t="b">
        <v>0</v>
      </c>
    </row>
    <row r="410">
      <c r="A410" s="16"/>
      <c r="B410" s="16"/>
      <c r="C410" s="16"/>
      <c r="D410" s="16"/>
      <c r="E410" s="16"/>
      <c r="F410" s="14">
        <v>0.0</v>
      </c>
      <c r="G410" s="14" t="b">
        <v>0</v>
      </c>
    </row>
    <row r="411">
      <c r="A411" s="16"/>
      <c r="B411" s="16"/>
      <c r="C411" s="16"/>
      <c r="D411" s="16"/>
      <c r="E411" s="16"/>
      <c r="F411" s="14">
        <v>0.0</v>
      </c>
      <c r="G411" s="14" t="b">
        <v>0</v>
      </c>
    </row>
    <row r="412">
      <c r="A412" s="16"/>
      <c r="B412" s="16"/>
      <c r="C412" s="16"/>
      <c r="D412" s="16"/>
      <c r="E412" s="16"/>
      <c r="F412" s="14">
        <v>0.0</v>
      </c>
      <c r="G412" s="14" t="b">
        <v>0</v>
      </c>
    </row>
    <row r="413">
      <c r="A413" s="16"/>
      <c r="B413" s="16"/>
      <c r="C413" s="16"/>
      <c r="D413" s="16"/>
      <c r="E413" s="16"/>
      <c r="F413" s="14">
        <v>0.0</v>
      </c>
      <c r="G413" s="14" t="b">
        <v>0</v>
      </c>
    </row>
    <row r="414">
      <c r="A414" s="16"/>
      <c r="B414" s="16"/>
      <c r="C414" s="16"/>
      <c r="D414" s="16"/>
      <c r="E414" s="16"/>
      <c r="F414" s="14">
        <v>0.0</v>
      </c>
      <c r="G414" s="14" t="b">
        <v>0</v>
      </c>
    </row>
    <row r="415">
      <c r="A415" s="16"/>
      <c r="B415" s="16"/>
      <c r="C415" s="16"/>
      <c r="D415" s="16"/>
      <c r="E415" s="16"/>
      <c r="F415" s="14">
        <v>0.0</v>
      </c>
      <c r="G415" s="14" t="b">
        <v>0</v>
      </c>
    </row>
    <row r="416">
      <c r="A416" s="16"/>
      <c r="B416" s="16"/>
      <c r="C416" s="16"/>
      <c r="D416" s="16"/>
      <c r="E416" s="16"/>
      <c r="F416" s="14">
        <v>0.0</v>
      </c>
      <c r="G416" s="14" t="b">
        <v>0</v>
      </c>
    </row>
    <row r="417">
      <c r="A417" s="16"/>
      <c r="B417" s="16"/>
      <c r="C417" s="16"/>
      <c r="D417" s="16"/>
      <c r="E417" s="16"/>
      <c r="F417" s="14">
        <v>0.0</v>
      </c>
      <c r="G417" s="14" t="b">
        <v>0</v>
      </c>
    </row>
    <row r="418">
      <c r="A418" s="16"/>
      <c r="B418" s="16"/>
      <c r="C418" s="16"/>
      <c r="D418" s="16"/>
      <c r="E418" s="16"/>
      <c r="F418" s="14">
        <v>0.0</v>
      </c>
      <c r="G418" s="14" t="b">
        <v>0</v>
      </c>
    </row>
    <row r="419">
      <c r="A419" s="16"/>
      <c r="B419" s="16"/>
      <c r="C419" s="16"/>
      <c r="D419" s="16"/>
      <c r="E419" s="16"/>
      <c r="F419" s="14">
        <v>0.0</v>
      </c>
      <c r="G419" s="14" t="b">
        <v>0</v>
      </c>
    </row>
    <row r="420">
      <c r="A420" s="16"/>
      <c r="B420" s="16"/>
      <c r="C420" s="16"/>
      <c r="D420" s="16"/>
      <c r="E420" s="16"/>
      <c r="F420" s="14">
        <v>0.0</v>
      </c>
      <c r="G420" s="14" t="b">
        <v>0</v>
      </c>
    </row>
    <row r="421">
      <c r="A421" s="16"/>
      <c r="B421" s="16"/>
      <c r="C421" s="16"/>
      <c r="D421" s="16"/>
      <c r="E421" s="16"/>
      <c r="F421" s="14">
        <v>0.0</v>
      </c>
      <c r="G421" s="14" t="b">
        <v>0</v>
      </c>
    </row>
    <row r="422">
      <c r="A422" s="16"/>
      <c r="B422" s="16"/>
      <c r="C422" s="16"/>
      <c r="D422" s="16"/>
      <c r="E422" s="16"/>
      <c r="F422" s="14">
        <v>0.0</v>
      </c>
      <c r="G422" s="14" t="b">
        <v>0</v>
      </c>
    </row>
    <row r="423">
      <c r="A423" s="16"/>
      <c r="B423" s="16"/>
      <c r="C423" s="16"/>
      <c r="D423" s="16"/>
      <c r="E423" s="16"/>
      <c r="F423" s="14">
        <v>0.0</v>
      </c>
      <c r="G423" s="14" t="b">
        <v>0</v>
      </c>
    </row>
    <row r="424">
      <c r="A424" s="16"/>
      <c r="B424" s="16"/>
      <c r="C424" s="16"/>
      <c r="D424" s="16"/>
      <c r="E424" s="16"/>
      <c r="F424" s="14">
        <v>0.0</v>
      </c>
      <c r="G424" s="14" t="b">
        <v>0</v>
      </c>
    </row>
    <row r="425">
      <c r="A425" s="16"/>
      <c r="B425" s="16"/>
      <c r="C425" s="16"/>
      <c r="D425" s="16"/>
      <c r="E425" s="16"/>
      <c r="F425" s="14">
        <v>0.0</v>
      </c>
      <c r="G425" s="14" t="b">
        <v>0</v>
      </c>
    </row>
    <row r="426">
      <c r="A426" s="16"/>
      <c r="B426" s="16"/>
      <c r="C426" s="16"/>
      <c r="D426" s="16"/>
      <c r="E426" s="16"/>
      <c r="F426" s="14">
        <v>0.0</v>
      </c>
      <c r="G426" s="14" t="b">
        <v>0</v>
      </c>
    </row>
    <row r="427">
      <c r="A427" s="16"/>
      <c r="B427" s="16"/>
      <c r="C427" s="16"/>
      <c r="D427" s="16"/>
      <c r="E427" s="16"/>
      <c r="F427" s="14">
        <v>0.0</v>
      </c>
      <c r="G427" s="14" t="b">
        <v>0</v>
      </c>
    </row>
    <row r="428">
      <c r="A428" s="16"/>
      <c r="B428" s="16"/>
      <c r="C428" s="16"/>
      <c r="D428" s="16"/>
      <c r="E428" s="16"/>
      <c r="F428" s="14">
        <v>0.0</v>
      </c>
      <c r="G428" s="14" t="b">
        <v>0</v>
      </c>
    </row>
    <row r="429">
      <c r="A429" s="16"/>
      <c r="B429" s="16"/>
      <c r="C429" s="16"/>
      <c r="D429" s="16"/>
      <c r="E429" s="16"/>
      <c r="F429" s="14">
        <v>0.0</v>
      </c>
      <c r="G429" s="14" t="b">
        <v>0</v>
      </c>
    </row>
    <row r="430">
      <c r="A430" s="16"/>
      <c r="B430" s="16"/>
      <c r="C430" s="16"/>
      <c r="D430" s="16"/>
      <c r="E430" s="16"/>
      <c r="F430" s="14">
        <v>0.0</v>
      </c>
      <c r="G430" s="14" t="b">
        <v>0</v>
      </c>
    </row>
    <row r="431">
      <c r="A431" s="16"/>
      <c r="B431" s="16"/>
      <c r="C431" s="16"/>
      <c r="D431" s="16"/>
      <c r="E431" s="16"/>
      <c r="F431" s="14">
        <v>0.0</v>
      </c>
      <c r="G431" s="14" t="b">
        <v>0</v>
      </c>
    </row>
    <row r="432">
      <c r="A432" s="16"/>
      <c r="B432" s="16"/>
      <c r="C432" s="16"/>
      <c r="D432" s="16"/>
      <c r="E432" s="16"/>
      <c r="F432" s="14">
        <v>0.0</v>
      </c>
      <c r="G432" s="14" t="b">
        <v>0</v>
      </c>
    </row>
    <row r="433">
      <c r="A433" s="16"/>
      <c r="B433" s="16"/>
      <c r="C433" s="16"/>
      <c r="D433" s="16"/>
      <c r="E433" s="16"/>
      <c r="F433" s="14">
        <v>0.0</v>
      </c>
      <c r="G433" s="14" t="b">
        <v>0</v>
      </c>
    </row>
    <row r="434">
      <c r="A434" s="16"/>
      <c r="B434" s="16"/>
      <c r="C434" s="16"/>
      <c r="D434" s="16"/>
      <c r="E434" s="16"/>
      <c r="F434" s="14">
        <v>0.0</v>
      </c>
      <c r="G434" s="14" t="b">
        <v>0</v>
      </c>
    </row>
    <row r="435">
      <c r="A435" s="16"/>
      <c r="B435" s="16"/>
      <c r="C435" s="16"/>
      <c r="D435" s="16"/>
      <c r="E435" s="16"/>
      <c r="F435" s="14">
        <v>0.0</v>
      </c>
      <c r="G435" s="14" t="b">
        <v>0</v>
      </c>
    </row>
    <row r="436">
      <c r="A436" s="16"/>
      <c r="B436" s="16"/>
      <c r="C436" s="16"/>
      <c r="D436" s="16"/>
      <c r="E436" s="16"/>
      <c r="F436" s="14">
        <v>0.0</v>
      </c>
      <c r="G436" s="14" t="b">
        <v>0</v>
      </c>
    </row>
    <row r="437">
      <c r="A437" s="16"/>
      <c r="B437" s="16"/>
      <c r="C437" s="16"/>
      <c r="D437" s="16"/>
      <c r="E437" s="16"/>
      <c r="F437" s="14">
        <v>0.0</v>
      </c>
      <c r="G437" s="14" t="b">
        <v>0</v>
      </c>
    </row>
    <row r="438">
      <c r="A438" s="16"/>
      <c r="B438" s="16"/>
      <c r="C438" s="16"/>
      <c r="D438" s="16"/>
      <c r="E438" s="16"/>
      <c r="F438" s="14">
        <v>0.0</v>
      </c>
      <c r="G438" s="14" t="b">
        <v>0</v>
      </c>
    </row>
    <row r="439">
      <c r="A439" s="16"/>
      <c r="B439" s="16"/>
      <c r="C439" s="16"/>
      <c r="D439" s="16"/>
      <c r="E439" s="16"/>
      <c r="F439" s="14">
        <v>0.0</v>
      </c>
      <c r="G439" s="14" t="b">
        <v>0</v>
      </c>
    </row>
    <row r="440">
      <c r="A440" s="16"/>
      <c r="B440" s="16"/>
      <c r="C440" s="16"/>
      <c r="D440" s="16"/>
      <c r="E440" s="16"/>
      <c r="F440" s="14">
        <v>0.0</v>
      </c>
      <c r="G440" s="14" t="b">
        <v>0</v>
      </c>
    </row>
    <row r="441">
      <c r="A441" s="16"/>
      <c r="B441" s="16"/>
      <c r="C441" s="16"/>
      <c r="D441" s="16"/>
      <c r="E441" s="16"/>
      <c r="F441" s="14">
        <v>0.0</v>
      </c>
      <c r="G441" s="14" t="b">
        <v>0</v>
      </c>
    </row>
    <row r="442">
      <c r="A442" s="16"/>
      <c r="B442" s="16"/>
      <c r="C442" s="16"/>
      <c r="D442" s="16"/>
      <c r="E442" s="16"/>
      <c r="F442" s="14">
        <v>0.0</v>
      </c>
      <c r="G442" s="14" t="b">
        <v>0</v>
      </c>
    </row>
    <row r="443">
      <c r="A443" s="16"/>
      <c r="B443" s="16"/>
      <c r="C443" s="16"/>
      <c r="D443" s="16"/>
      <c r="E443" s="16"/>
      <c r="F443" s="14">
        <v>0.0</v>
      </c>
      <c r="G443" s="14" t="b">
        <v>0</v>
      </c>
    </row>
    <row r="444">
      <c r="A444" s="16"/>
      <c r="B444" s="16"/>
      <c r="C444" s="16"/>
      <c r="D444" s="16"/>
      <c r="E444" s="16"/>
      <c r="F444" s="14">
        <v>0.0</v>
      </c>
      <c r="G444" s="14" t="b">
        <v>0</v>
      </c>
    </row>
    <row r="445">
      <c r="A445" s="16"/>
      <c r="B445" s="16"/>
      <c r="C445" s="16"/>
      <c r="D445" s="16"/>
      <c r="E445" s="16"/>
      <c r="F445" s="14">
        <v>0.0</v>
      </c>
      <c r="G445" s="14" t="b">
        <v>0</v>
      </c>
    </row>
    <row r="446">
      <c r="A446" s="16"/>
      <c r="B446" s="16"/>
      <c r="C446" s="16"/>
      <c r="D446" s="16"/>
      <c r="E446" s="16"/>
      <c r="F446" s="14">
        <v>0.0</v>
      </c>
      <c r="G446" s="14" t="b">
        <v>0</v>
      </c>
    </row>
    <row r="447">
      <c r="A447" s="16"/>
      <c r="B447" s="16"/>
      <c r="C447" s="16"/>
      <c r="D447" s="16"/>
      <c r="E447" s="16"/>
      <c r="F447" s="14">
        <v>0.0</v>
      </c>
      <c r="G447" s="14" t="b">
        <v>0</v>
      </c>
    </row>
    <row r="448">
      <c r="A448" s="16"/>
      <c r="B448" s="16"/>
      <c r="C448" s="16"/>
      <c r="D448" s="16"/>
      <c r="E448" s="16"/>
      <c r="F448" s="14">
        <v>0.0</v>
      </c>
      <c r="G448" s="14" t="b">
        <v>0</v>
      </c>
    </row>
    <row r="449">
      <c r="A449" s="16"/>
      <c r="B449" s="16"/>
      <c r="C449" s="16"/>
      <c r="D449" s="16"/>
      <c r="E449" s="16"/>
      <c r="F449" s="14">
        <v>0.0</v>
      </c>
      <c r="G449" s="14" t="b">
        <v>0</v>
      </c>
    </row>
    <row r="450">
      <c r="A450" s="16"/>
      <c r="B450" s="16"/>
      <c r="C450" s="16"/>
      <c r="D450" s="16"/>
      <c r="E450" s="16"/>
      <c r="F450" s="14">
        <v>0.0</v>
      </c>
      <c r="G450" s="14" t="b">
        <v>0</v>
      </c>
    </row>
    <row r="451">
      <c r="A451" s="16"/>
      <c r="B451" s="16"/>
      <c r="C451" s="16"/>
      <c r="D451" s="16"/>
      <c r="E451" s="16"/>
      <c r="F451" s="14">
        <v>0.0</v>
      </c>
      <c r="G451" s="14" t="b">
        <v>0</v>
      </c>
    </row>
    <row r="452">
      <c r="A452" s="16"/>
      <c r="B452" s="16"/>
      <c r="C452" s="16"/>
      <c r="D452" s="16"/>
      <c r="E452" s="16"/>
      <c r="F452" s="14">
        <v>0.0</v>
      </c>
      <c r="G452" s="14" t="b">
        <v>0</v>
      </c>
    </row>
    <row r="453">
      <c r="A453" s="16"/>
      <c r="B453" s="16"/>
      <c r="C453" s="16"/>
      <c r="D453" s="16"/>
      <c r="E453" s="16"/>
      <c r="F453" s="14">
        <v>0.0</v>
      </c>
      <c r="G453" s="14" t="b">
        <v>0</v>
      </c>
    </row>
    <row r="454">
      <c r="A454" s="16"/>
      <c r="B454" s="16"/>
      <c r="C454" s="16"/>
      <c r="D454" s="16"/>
      <c r="E454" s="16"/>
      <c r="F454" s="14">
        <v>0.0</v>
      </c>
      <c r="G454" s="14" t="b">
        <v>0</v>
      </c>
    </row>
    <row r="455">
      <c r="A455" s="16"/>
      <c r="B455" s="16"/>
      <c r="C455" s="16"/>
      <c r="D455" s="16"/>
      <c r="E455" s="16"/>
      <c r="F455" s="14">
        <v>0.0</v>
      </c>
      <c r="G455" s="14" t="b">
        <v>0</v>
      </c>
    </row>
    <row r="456">
      <c r="A456" s="16"/>
      <c r="B456" s="16"/>
      <c r="C456" s="16"/>
      <c r="D456" s="16"/>
      <c r="E456" s="16"/>
      <c r="F456" s="14">
        <v>0.0</v>
      </c>
      <c r="G456" s="14" t="b">
        <v>0</v>
      </c>
    </row>
    <row r="457">
      <c r="A457" s="16"/>
      <c r="B457" s="16"/>
      <c r="C457" s="16"/>
      <c r="D457" s="16"/>
      <c r="E457" s="16"/>
      <c r="F457" s="14">
        <v>0.0</v>
      </c>
      <c r="G457" s="14" t="b">
        <v>0</v>
      </c>
    </row>
    <row r="458">
      <c r="A458" s="16"/>
      <c r="B458" s="16"/>
      <c r="C458" s="16"/>
      <c r="D458" s="16"/>
      <c r="E458" s="16"/>
      <c r="F458" s="14">
        <v>0.0</v>
      </c>
      <c r="G458" s="14" t="b">
        <v>0</v>
      </c>
    </row>
    <row r="459">
      <c r="A459" s="16"/>
      <c r="B459" s="16"/>
      <c r="C459" s="16"/>
      <c r="D459" s="16"/>
      <c r="E459" s="16"/>
      <c r="F459" s="14">
        <v>0.0</v>
      </c>
      <c r="G459" s="14" t="b">
        <v>0</v>
      </c>
    </row>
    <row r="460">
      <c r="A460" s="16"/>
      <c r="B460" s="16"/>
      <c r="C460" s="16"/>
      <c r="D460" s="16"/>
      <c r="E460" s="16"/>
      <c r="F460" s="14">
        <v>0.0</v>
      </c>
      <c r="G460" s="14" t="b">
        <v>0</v>
      </c>
    </row>
    <row r="461">
      <c r="A461" s="16"/>
      <c r="B461" s="16"/>
      <c r="C461" s="16"/>
      <c r="D461" s="16"/>
      <c r="E461" s="16"/>
      <c r="F461" s="14">
        <v>0.0</v>
      </c>
      <c r="G461" s="14" t="b">
        <v>0</v>
      </c>
    </row>
    <row r="462">
      <c r="A462" s="16"/>
      <c r="B462" s="16"/>
      <c r="C462" s="16"/>
      <c r="D462" s="16"/>
      <c r="E462" s="16"/>
      <c r="F462" s="14">
        <v>0.0</v>
      </c>
      <c r="G462" s="14" t="b">
        <v>0</v>
      </c>
    </row>
    <row r="463">
      <c r="A463" s="16"/>
      <c r="B463" s="16"/>
      <c r="C463" s="16"/>
      <c r="D463" s="16"/>
      <c r="E463" s="16"/>
      <c r="F463" s="14">
        <v>0.0</v>
      </c>
      <c r="G463" s="14" t="b">
        <v>0</v>
      </c>
    </row>
    <row r="464">
      <c r="A464" s="16"/>
      <c r="B464" s="16"/>
      <c r="C464" s="16"/>
      <c r="D464" s="16"/>
      <c r="E464" s="16"/>
      <c r="F464" s="14">
        <v>0.0</v>
      </c>
      <c r="G464" s="14" t="b">
        <v>0</v>
      </c>
    </row>
    <row r="465">
      <c r="A465" s="16"/>
      <c r="B465" s="16"/>
      <c r="C465" s="16"/>
      <c r="D465" s="16"/>
      <c r="E465" s="16"/>
      <c r="F465" s="14">
        <v>0.0</v>
      </c>
      <c r="G465" s="14" t="b">
        <v>0</v>
      </c>
    </row>
    <row r="466">
      <c r="A466" s="16"/>
      <c r="B466" s="16"/>
      <c r="C466" s="16"/>
      <c r="D466" s="16"/>
      <c r="E466" s="16"/>
      <c r="F466" s="14">
        <v>0.0</v>
      </c>
      <c r="G466" s="14" t="b">
        <v>0</v>
      </c>
    </row>
    <row r="467">
      <c r="A467" s="16"/>
      <c r="B467" s="16"/>
      <c r="C467" s="16"/>
      <c r="D467" s="16"/>
      <c r="E467" s="16"/>
      <c r="F467" s="14">
        <v>0.0</v>
      </c>
      <c r="G467" s="14" t="b">
        <v>0</v>
      </c>
    </row>
    <row r="468">
      <c r="A468" s="16"/>
      <c r="B468" s="16"/>
      <c r="C468" s="16"/>
      <c r="D468" s="16"/>
      <c r="E468" s="16"/>
      <c r="F468" s="14">
        <v>0.0</v>
      </c>
      <c r="G468" s="14" t="b">
        <v>0</v>
      </c>
    </row>
    <row r="469">
      <c r="A469" s="16"/>
      <c r="B469" s="16"/>
      <c r="C469" s="16"/>
      <c r="D469" s="16"/>
      <c r="E469" s="16"/>
      <c r="F469" s="14">
        <v>0.0</v>
      </c>
      <c r="G469" s="14" t="b">
        <v>0</v>
      </c>
    </row>
    <row r="470">
      <c r="A470" s="16"/>
      <c r="B470" s="16"/>
      <c r="C470" s="16"/>
      <c r="D470" s="16"/>
      <c r="E470" s="16"/>
      <c r="F470" s="14">
        <v>0.0</v>
      </c>
      <c r="G470" s="14" t="b">
        <v>0</v>
      </c>
    </row>
    <row r="471">
      <c r="A471" s="16"/>
      <c r="B471" s="16"/>
      <c r="C471" s="16"/>
      <c r="D471" s="16"/>
      <c r="E471" s="16"/>
      <c r="F471" s="14">
        <v>0.0</v>
      </c>
      <c r="G471" s="14" t="b">
        <v>0</v>
      </c>
    </row>
    <row r="472">
      <c r="A472" s="16"/>
      <c r="B472" s="16"/>
      <c r="C472" s="16"/>
      <c r="D472" s="16"/>
      <c r="E472" s="16"/>
      <c r="F472" s="14">
        <v>0.0</v>
      </c>
      <c r="G472" s="14" t="b">
        <v>0</v>
      </c>
    </row>
    <row r="473">
      <c r="A473" s="16"/>
      <c r="B473" s="16"/>
      <c r="C473" s="16"/>
      <c r="D473" s="16"/>
      <c r="E473" s="16"/>
      <c r="F473" s="14">
        <v>0.0</v>
      </c>
      <c r="G473" s="14" t="b">
        <v>0</v>
      </c>
    </row>
    <row r="474">
      <c r="A474" s="16"/>
      <c r="B474" s="16"/>
      <c r="C474" s="16"/>
      <c r="D474" s="16"/>
      <c r="E474" s="16"/>
      <c r="F474" s="14">
        <v>0.0</v>
      </c>
      <c r="G474" s="14" t="b">
        <v>0</v>
      </c>
    </row>
    <row r="475">
      <c r="A475" s="16"/>
      <c r="B475" s="16"/>
      <c r="C475" s="16"/>
      <c r="D475" s="16"/>
      <c r="E475" s="16"/>
      <c r="F475" s="14">
        <v>0.0</v>
      </c>
      <c r="G475" s="14" t="b">
        <v>0</v>
      </c>
    </row>
    <row r="476">
      <c r="A476" s="16"/>
      <c r="B476" s="16"/>
      <c r="C476" s="16"/>
      <c r="D476" s="16"/>
      <c r="E476" s="16"/>
      <c r="F476" s="14">
        <v>0.0</v>
      </c>
      <c r="G476" s="14" t="b">
        <v>0</v>
      </c>
    </row>
    <row r="477">
      <c r="A477" s="16"/>
      <c r="B477" s="16"/>
      <c r="C477" s="16"/>
      <c r="D477" s="16"/>
      <c r="E477" s="16"/>
      <c r="F477" s="14">
        <v>0.0</v>
      </c>
      <c r="G477" s="14" t="b">
        <v>0</v>
      </c>
    </row>
    <row r="478">
      <c r="A478" s="16"/>
      <c r="B478" s="16"/>
      <c r="C478" s="16"/>
      <c r="D478" s="16"/>
      <c r="E478" s="16"/>
      <c r="F478" s="14">
        <v>0.0</v>
      </c>
      <c r="G478" s="14" t="b">
        <v>0</v>
      </c>
    </row>
    <row r="479">
      <c r="A479" s="16"/>
      <c r="B479" s="16"/>
      <c r="C479" s="16"/>
      <c r="D479" s="16"/>
      <c r="E479" s="16"/>
      <c r="F479" s="14">
        <v>0.0</v>
      </c>
      <c r="G479" s="14" t="b">
        <v>0</v>
      </c>
    </row>
    <row r="480">
      <c r="A480" s="16"/>
      <c r="B480" s="16"/>
      <c r="C480" s="16"/>
      <c r="D480" s="16"/>
      <c r="E480" s="16"/>
      <c r="F480" s="14">
        <v>0.0</v>
      </c>
      <c r="G480" s="14" t="b">
        <v>0</v>
      </c>
    </row>
    <row r="481">
      <c r="A481" s="16"/>
      <c r="B481" s="16"/>
      <c r="C481" s="16"/>
      <c r="D481" s="16"/>
      <c r="E481" s="16"/>
      <c r="F481" s="14">
        <v>0.0</v>
      </c>
      <c r="G481" s="14" t="b">
        <v>0</v>
      </c>
    </row>
    <row r="482">
      <c r="A482" s="16"/>
      <c r="B482" s="16"/>
      <c r="C482" s="16"/>
      <c r="D482" s="16"/>
      <c r="E482" s="16"/>
      <c r="F482" s="14">
        <v>0.0</v>
      </c>
      <c r="G482" s="14" t="b">
        <v>0</v>
      </c>
    </row>
    <row r="483">
      <c r="A483" s="16"/>
      <c r="B483" s="16"/>
      <c r="C483" s="16"/>
      <c r="D483" s="16"/>
      <c r="E483" s="16"/>
      <c r="F483" s="14">
        <v>0.0</v>
      </c>
      <c r="G483" s="14" t="b">
        <v>0</v>
      </c>
    </row>
    <row r="484">
      <c r="A484" s="16"/>
      <c r="B484" s="16"/>
      <c r="C484" s="16"/>
      <c r="D484" s="16"/>
      <c r="E484" s="16"/>
      <c r="F484" s="14">
        <v>0.0</v>
      </c>
      <c r="G484" s="14" t="b">
        <v>0</v>
      </c>
    </row>
    <row r="485">
      <c r="A485" s="16"/>
      <c r="B485" s="16"/>
      <c r="C485" s="16"/>
      <c r="D485" s="16"/>
      <c r="E485" s="16"/>
      <c r="F485" s="14">
        <v>0.0</v>
      </c>
      <c r="G485" s="14" t="b">
        <v>0</v>
      </c>
    </row>
    <row r="486">
      <c r="A486" s="16"/>
      <c r="B486" s="16"/>
      <c r="C486" s="16"/>
      <c r="D486" s="16"/>
      <c r="E486" s="16"/>
      <c r="F486" s="14">
        <v>0.0</v>
      </c>
      <c r="G486" s="14" t="b">
        <v>0</v>
      </c>
    </row>
    <row r="487">
      <c r="A487" s="16"/>
      <c r="B487" s="16"/>
      <c r="C487" s="16"/>
      <c r="D487" s="16"/>
      <c r="E487" s="16"/>
      <c r="F487" s="14">
        <v>0.0</v>
      </c>
      <c r="G487" s="14" t="b">
        <v>0</v>
      </c>
    </row>
    <row r="488">
      <c r="A488" s="16"/>
      <c r="B488" s="16"/>
      <c r="C488" s="16"/>
      <c r="D488" s="16"/>
      <c r="E488" s="16"/>
      <c r="F488" s="14">
        <v>0.0</v>
      </c>
      <c r="G488" s="14" t="b">
        <v>0</v>
      </c>
    </row>
    <row r="489">
      <c r="A489" s="16"/>
      <c r="B489" s="16"/>
      <c r="C489" s="16"/>
      <c r="D489" s="16"/>
      <c r="E489" s="16"/>
      <c r="F489" s="14">
        <v>0.0</v>
      </c>
      <c r="G489" s="14" t="b">
        <v>0</v>
      </c>
    </row>
    <row r="490">
      <c r="A490" s="16"/>
      <c r="B490" s="16"/>
      <c r="C490" s="16"/>
      <c r="D490" s="16"/>
      <c r="E490" s="16"/>
      <c r="F490" s="14">
        <v>0.0</v>
      </c>
      <c r="G490" s="14" t="b">
        <v>0</v>
      </c>
    </row>
    <row r="491">
      <c r="A491" s="16"/>
      <c r="B491" s="16"/>
      <c r="C491" s="16"/>
      <c r="D491" s="16"/>
      <c r="E491" s="16"/>
      <c r="F491" s="14">
        <v>0.0</v>
      </c>
      <c r="G491" s="14" t="b">
        <v>0</v>
      </c>
    </row>
    <row r="492">
      <c r="A492" s="16"/>
      <c r="B492" s="16"/>
      <c r="C492" s="16"/>
      <c r="D492" s="16"/>
      <c r="E492" s="16"/>
      <c r="F492" s="14">
        <v>0.0</v>
      </c>
      <c r="G492" s="14" t="b">
        <v>0</v>
      </c>
    </row>
    <row r="493">
      <c r="A493" s="16"/>
      <c r="B493" s="16"/>
      <c r="C493" s="16"/>
      <c r="D493" s="16"/>
      <c r="E493" s="16"/>
      <c r="F493" s="14">
        <v>0.0</v>
      </c>
      <c r="G493" s="14" t="b">
        <v>0</v>
      </c>
    </row>
    <row r="494">
      <c r="A494" s="16"/>
      <c r="B494" s="16"/>
      <c r="C494" s="16"/>
      <c r="D494" s="16"/>
      <c r="E494" s="16"/>
      <c r="F494" s="14">
        <v>0.0</v>
      </c>
      <c r="G494" s="14" t="b">
        <v>0</v>
      </c>
    </row>
    <row r="495">
      <c r="A495" s="16"/>
      <c r="B495" s="16"/>
      <c r="C495" s="16"/>
      <c r="D495" s="16"/>
      <c r="E495" s="16"/>
      <c r="F495" s="14">
        <v>0.0</v>
      </c>
      <c r="G495" s="14" t="b">
        <v>0</v>
      </c>
    </row>
    <row r="496">
      <c r="A496" s="16"/>
      <c r="B496" s="16"/>
      <c r="C496" s="16"/>
      <c r="D496" s="16"/>
      <c r="E496" s="16"/>
      <c r="F496" s="14">
        <v>0.0</v>
      </c>
      <c r="G496" s="14" t="b">
        <v>0</v>
      </c>
    </row>
    <row r="497">
      <c r="A497" s="16"/>
      <c r="B497" s="16"/>
      <c r="C497" s="16"/>
      <c r="D497" s="16"/>
      <c r="E497" s="16"/>
      <c r="F497" s="14">
        <v>0.0</v>
      </c>
      <c r="G497" s="14" t="b">
        <v>0</v>
      </c>
    </row>
    <row r="498">
      <c r="A498" s="16"/>
      <c r="B498" s="16"/>
      <c r="C498" s="16"/>
      <c r="D498" s="16"/>
      <c r="E498" s="16"/>
      <c r="F498" s="14">
        <v>0.0</v>
      </c>
      <c r="G498" s="14" t="b">
        <v>0</v>
      </c>
    </row>
    <row r="499">
      <c r="A499" s="16"/>
      <c r="B499" s="16"/>
      <c r="C499" s="16"/>
      <c r="D499" s="16"/>
      <c r="E499" s="16"/>
      <c r="F499" s="14">
        <v>0.0</v>
      </c>
      <c r="G499" s="14" t="b">
        <v>0</v>
      </c>
    </row>
    <row r="500">
      <c r="A500" s="16"/>
      <c r="B500" s="16"/>
      <c r="C500" s="16"/>
      <c r="D500" s="16"/>
      <c r="E500" s="16"/>
      <c r="F500" s="14">
        <v>0.0</v>
      </c>
      <c r="G500" s="14" t="b">
        <v>0</v>
      </c>
    </row>
    <row r="501">
      <c r="A501" s="16"/>
      <c r="B501" s="16"/>
      <c r="C501" s="16"/>
      <c r="D501" s="16"/>
      <c r="E501" s="16"/>
      <c r="F501" s="14">
        <v>0.0</v>
      </c>
      <c r="G501" s="14" t="b">
        <v>0</v>
      </c>
    </row>
    <row r="502">
      <c r="A502" s="16"/>
      <c r="B502" s="16"/>
      <c r="C502" s="16"/>
      <c r="D502" s="16"/>
      <c r="E502" s="16"/>
      <c r="F502" s="14">
        <v>0.0</v>
      </c>
      <c r="G502" s="14" t="b">
        <v>0</v>
      </c>
    </row>
    <row r="503">
      <c r="A503" s="16"/>
      <c r="B503" s="16"/>
      <c r="C503" s="16"/>
      <c r="D503" s="16"/>
      <c r="E503" s="16"/>
      <c r="F503" s="14">
        <v>0.0</v>
      </c>
      <c r="G503" s="14" t="b">
        <v>0</v>
      </c>
    </row>
    <row r="504">
      <c r="A504" s="16"/>
      <c r="B504" s="16"/>
      <c r="C504" s="16"/>
      <c r="D504" s="16"/>
      <c r="E504" s="16"/>
      <c r="F504" s="14">
        <v>0.0</v>
      </c>
      <c r="G504" s="14" t="b">
        <v>0</v>
      </c>
    </row>
    <row r="505">
      <c r="A505" s="16"/>
      <c r="B505" s="16"/>
      <c r="C505" s="16"/>
      <c r="D505" s="16"/>
      <c r="E505" s="16"/>
      <c r="F505" s="14">
        <v>0.0</v>
      </c>
      <c r="G505" s="14" t="b">
        <v>0</v>
      </c>
    </row>
    <row r="506">
      <c r="A506" s="16"/>
      <c r="B506" s="16"/>
      <c r="C506" s="16"/>
      <c r="D506" s="16"/>
      <c r="E506" s="16"/>
      <c r="F506" s="14">
        <v>0.0</v>
      </c>
      <c r="G506" s="14" t="b">
        <v>0</v>
      </c>
    </row>
    <row r="507">
      <c r="A507" s="16"/>
      <c r="B507" s="16"/>
      <c r="C507" s="16"/>
      <c r="D507" s="16"/>
      <c r="E507" s="16"/>
      <c r="F507" s="14">
        <v>0.0</v>
      </c>
      <c r="G507" s="14" t="b">
        <v>0</v>
      </c>
    </row>
    <row r="508">
      <c r="A508" s="16"/>
      <c r="B508" s="16"/>
      <c r="C508" s="16"/>
      <c r="D508" s="16"/>
      <c r="E508" s="16"/>
      <c r="F508" s="14">
        <v>0.0</v>
      </c>
      <c r="G508" s="14" t="b">
        <v>0</v>
      </c>
    </row>
    <row r="509">
      <c r="A509" s="16"/>
      <c r="B509" s="16"/>
      <c r="C509" s="16"/>
      <c r="D509" s="16"/>
      <c r="E509" s="16"/>
      <c r="F509" s="14">
        <v>0.0</v>
      </c>
      <c r="G509" s="14" t="b">
        <v>0</v>
      </c>
    </row>
    <row r="510">
      <c r="A510" s="16"/>
      <c r="B510" s="16"/>
      <c r="C510" s="16"/>
      <c r="D510" s="16"/>
      <c r="E510" s="16"/>
      <c r="F510" s="14">
        <v>0.0</v>
      </c>
      <c r="G510" s="14" t="b">
        <v>0</v>
      </c>
    </row>
    <row r="511">
      <c r="A511" s="16"/>
      <c r="B511" s="16"/>
      <c r="C511" s="16"/>
      <c r="D511" s="16"/>
      <c r="E511" s="16"/>
      <c r="F511" s="14">
        <v>0.0</v>
      </c>
      <c r="G511" s="14" t="b">
        <v>0</v>
      </c>
    </row>
    <row r="512">
      <c r="A512" s="16"/>
      <c r="B512" s="16"/>
      <c r="C512" s="16"/>
      <c r="D512" s="16"/>
      <c r="E512" s="16"/>
      <c r="F512" s="14">
        <v>0.0</v>
      </c>
      <c r="G512" s="14" t="b">
        <v>0</v>
      </c>
    </row>
    <row r="513">
      <c r="A513" s="16"/>
      <c r="B513" s="16"/>
      <c r="C513" s="16"/>
      <c r="D513" s="16"/>
      <c r="E513" s="16"/>
      <c r="F513" s="14">
        <v>0.0</v>
      </c>
      <c r="G513" s="14" t="b">
        <v>0</v>
      </c>
    </row>
    <row r="514">
      <c r="A514" s="16"/>
      <c r="B514" s="16"/>
      <c r="C514" s="16"/>
      <c r="D514" s="16"/>
      <c r="E514" s="16"/>
      <c r="F514" s="14">
        <v>0.0</v>
      </c>
      <c r="G514" s="14" t="b">
        <v>0</v>
      </c>
    </row>
    <row r="515">
      <c r="A515" s="16"/>
      <c r="B515" s="16"/>
      <c r="C515" s="16"/>
      <c r="D515" s="16"/>
      <c r="E515" s="16"/>
      <c r="F515" s="14">
        <v>0.0</v>
      </c>
      <c r="G515" s="14" t="b">
        <v>0</v>
      </c>
    </row>
    <row r="516">
      <c r="A516" s="16"/>
      <c r="B516" s="16"/>
      <c r="C516" s="16"/>
      <c r="D516" s="16"/>
      <c r="E516" s="16"/>
      <c r="F516" s="14">
        <v>0.0</v>
      </c>
      <c r="G516" s="14" t="b">
        <v>0</v>
      </c>
    </row>
    <row r="517">
      <c r="A517" s="16"/>
      <c r="B517" s="16"/>
      <c r="C517" s="16"/>
      <c r="D517" s="16"/>
      <c r="E517" s="16"/>
      <c r="F517" s="14">
        <v>0.0</v>
      </c>
      <c r="G517" s="14" t="b">
        <v>0</v>
      </c>
    </row>
    <row r="518">
      <c r="A518" s="16"/>
      <c r="B518" s="16"/>
      <c r="C518" s="16"/>
      <c r="D518" s="16"/>
      <c r="E518" s="16"/>
      <c r="F518" s="14">
        <v>0.0</v>
      </c>
      <c r="G518" s="14" t="b">
        <v>0</v>
      </c>
    </row>
    <row r="519">
      <c r="A519" s="16"/>
      <c r="B519" s="16"/>
      <c r="C519" s="16"/>
      <c r="D519" s="16"/>
      <c r="E519" s="16"/>
      <c r="F519" s="14">
        <v>0.0</v>
      </c>
      <c r="G519" s="14" t="b">
        <v>0</v>
      </c>
    </row>
    <row r="520">
      <c r="A520" s="16"/>
      <c r="B520" s="16"/>
      <c r="C520" s="16"/>
      <c r="D520" s="16"/>
      <c r="E520" s="16"/>
      <c r="F520" s="14">
        <v>0.0</v>
      </c>
      <c r="G520" s="14" t="b">
        <v>0</v>
      </c>
    </row>
    <row r="521">
      <c r="A521" s="16"/>
      <c r="B521" s="16"/>
      <c r="C521" s="16"/>
      <c r="D521" s="16"/>
      <c r="E521" s="16"/>
      <c r="F521" s="14">
        <v>0.0</v>
      </c>
      <c r="G521" s="14" t="b">
        <v>0</v>
      </c>
    </row>
    <row r="522">
      <c r="A522" s="16"/>
      <c r="B522" s="16"/>
      <c r="C522" s="16"/>
      <c r="D522" s="16"/>
      <c r="E522" s="16"/>
      <c r="F522" s="14">
        <v>0.0</v>
      </c>
      <c r="G522" s="14" t="b">
        <v>0</v>
      </c>
    </row>
    <row r="523">
      <c r="A523" s="16"/>
      <c r="B523" s="16"/>
      <c r="C523" s="16"/>
      <c r="D523" s="16"/>
      <c r="E523" s="16"/>
      <c r="F523" s="14">
        <v>0.0</v>
      </c>
      <c r="G523" s="14" t="b">
        <v>0</v>
      </c>
    </row>
    <row r="524">
      <c r="A524" s="16"/>
      <c r="B524" s="16"/>
      <c r="C524" s="16"/>
      <c r="D524" s="16"/>
      <c r="E524" s="16"/>
      <c r="F524" s="14">
        <v>0.0</v>
      </c>
      <c r="G524" s="14" t="b">
        <v>0</v>
      </c>
    </row>
    <row r="525">
      <c r="A525" s="16"/>
      <c r="B525" s="16"/>
      <c r="C525" s="16"/>
      <c r="D525" s="16"/>
      <c r="E525" s="16"/>
      <c r="F525" s="14">
        <v>0.0</v>
      </c>
      <c r="G525" s="14" t="b">
        <v>0</v>
      </c>
    </row>
    <row r="526">
      <c r="A526" s="16"/>
      <c r="B526" s="16"/>
      <c r="C526" s="16"/>
      <c r="D526" s="16"/>
      <c r="E526" s="16"/>
      <c r="F526" s="14">
        <v>0.0</v>
      </c>
      <c r="G526" s="14" t="b">
        <v>0</v>
      </c>
    </row>
    <row r="527">
      <c r="A527" s="16"/>
      <c r="B527" s="16"/>
      <c r="C527" s="16"/>
      <c r="D527" s="16"/>
      <c r="E527" s="16"/>
      <c r="F527" s="14">
        <v>0.0</v>
      </c>
      <c r="G527" s="14" t="b">
        <v>0</v>
      </c>
    </row>
    <row r="528">
      <c r="A528" s="16"/>
      <c r="B528" s="16"/>
      <c r="C528" s="16"/>
      <c r="D528" s="16"/>
      <c r="E528" s="16"/>
      <c r="F528" s="14">
        <v>0.0</v>
      </c>
      <c r="G528" s="14" t="b">
        <v>0</v>
      </c>
    </row>
    <row r="529">
      <c r="A529" s="16"/>
      <c r="B529" s="16"/>
      <c r="C529" s="16"/>
      <c r="D529" s="16"/>
      <c r="E529" s="16"/>
      <c r="F529" s="14">
        <v>0.0</v>
      </c>
      <c r="G529" s="14" t="b">
        <v>0</v>
      </c>
    </row>
    <row r="530">
      <c r="A530" s="16"/>
      <c r="B530" s="16"/>
      <c r="C530" s="16"/>
      <c r="D530" s="16"/>
      <c r="E530" s="16"/>
      <c r="F530" s="14">
        <v>0.0</v>
      </c>
      <c r="G530" s="14" t="b">
        <v>0</v>
      </c>
    </row>
    <row r="531">
      <c r="A531" s="16"/>
      <c r="B531" s="16"/>
      <c r="C531" s="16"/>
      <c r="D531" s="16"/>
      <c r="E531" s="16"/>
      <c r="F531" s="14">
        <v>0.0</v>
      </c>
      <c r="G531" s="14" t="b">
        <v>0</v>
      </c>
    </row>
    <row r="532">
      <c r="A532" s="16"/>
      <c r="B532" s="16"/>
      <c r="C532" s="16"/>
      <c r="D532" s="16"/>
      <c r="E532" s="16"/>
      <c r="F532" s="14">
        <v>0.0</v>
      </c>
      <c r="G532" s="14" t="b">
        <v>0</v>
      </c>
    </row>
    <row r="533">
      <c r="A533" s="16"/>
      <c r="B533" s="16"/>
      <c r="C533" s="16"/>
      <c r="D533" s="16"/>
      <c r="E533" s="16"/>
      <c r="F533" s="14">
        <v>0.0</v>
      </c>
      <c r="G533" s="14" t="b">
        <v>0</v>
      </c>
    </row>
    <row r="534">
      <c r="A534" s="16"/>
      <c r="B534" s="16"/>
      <c r="C534" s="16"/>
      <c r="D534" s="16"/>
      <c r="E534" s="16"/>
      <c r="F534" s="14">
        <v>0.0</v>
      </c>
      <c r="G534" s="14" t="b">
        <v>0</v>
      </c>
    </row>
    <row r="535">
      <c r="A535" s="16"/>
      <c r="B535" s="16"/>
      <c r="C535" s="16"/>
      <c r="D535" s="16"/>
      <c r="E535" s="16"/>
      <c r="F535" s="14">
        <v>0.0</v>
      </c>
      <c r="G535" s="14" t="b">
        <v>0</v>
      </c>
    </row>
    <row r="536">
      <c r="A536" s="16"/>
      <c r="B536" s="16"/>
      <c r="C536" s="16"/>
      <c r="D536" s="16"/>
      <c r="E536" s="16"/>
      <c r="F536" s="14">
        <v>0.0</v>
      </c>
      <c r="G536" s="14" t="b">
        <v>0</v>
      </c>
    </row>
    <row r="537">
      <c r="A537" s="16"/>
      <c r="B537" s="16"/>
      <c r="C537" s="16"/>
      <c r="D537" s="16"/>
      <c r="E537" s="16"/>
      <c r="F537" s="14">
        <v>0.0</v>
      </c>
      <c r="G537" s="14" t="b">
        <v>0</v>
      </c>
    </row>
    <row r="538">
      <c r="A538" s="16"/>
      <c r="B538" s="16"/>
      <c r="C538" s="16"/>
      <c r="D538" s="16"/>
      <c r="E538" s="16"/>
      <c r="F538" s="14">
        <v>0.0</v>
      </c>
      <c r="G538" s="14" t="b">
        <v>0</v>
      </c>
    </row>
    <row r="539">
      <c r="A539" s="16"/>
      <c r="B539" s="16"/>
      <c r="C539" s="16"/>
      <c r="D539" s="16"/>
      <c r="E539" s="16"/>
      <c r="F539" s="14">
        <v>0.0</v>
      </c>
      <c r="G539" s="14" t="b">
        <v>0</v>
      </c>
    </row>
    <row r="540">
      <c r="A540" s="16"/>
      <c r="B540" s="16"/>
      <c r="C540" s="16"/>
      <c r="D540" s="16"/>
      <c r="E540" s="16"/>
      <c r="F540" s="14">
        <v>0.0</v>
      </c>
      <c r="G540" s="14" t="b">
        <v>0</v>
      </c>
    </row>
    <row r="541">
      <c r="A541" s="16"/>
      <c r="B541" s="16"/>
      <c r="C541" s="16"/>
      <c r="D541" s="16"/>
      <c r="E541" s="16"/>
      <c r="F541" s="14">
        <v>0.0</v>
      </c>
      <c r="G541" s="14" t="b">
        <v>0</v>
      </c>
    </row>
    <row r="542">
      <c r="A542" s="16"/>
      <c r="B542" s="16"/>
      <c r="C542" s="16"/>
      <c r="D542" s="16"/>
      <c r="E542" s="16"/>
      <c r="F542" s="14">
        <v>0.0</v>
      </c>
      <c r="G542" s="14" t="b">
        <v>0</v>
      </c>
    </row>
    <row r="543">
      <c r="A543" s="16"/>
      <c r="B543" s="16"/>
      <c r="C543" s="16"/>
      <c r="D543" s="16"/>
      <c r="E543" s="16"/>
      <c r="F543" s="14">
        <v>0.0</v>
      </c>
      <c r="G543" s="14" t="b">
        <v>0</v>
      </c>
    </row>
    <row r="544">
      <c r="A544" s="16"/>
      <c r="B544" s="16"/>
      <c r="C544" s="16"/>
      <c r="D544" s="16"/>
      <c r="E544" s="16"/>
      <c r="F544" s="14">
        <v>0.0</v>
      </c>
      <c r="G544" s="14" t="b">
        <v>0</v>
      </c>
    </row>
    <row r="545">
      <c r="A545" s="16"/>
      <c r="B545" s="16"/>
      <c r="C545" s="16"/>
      <c r="D545" s="16"/>
      <c r="E545" s="16"/>
      <c r="F545" s="14">
        <v>0.0</v>
      </c>
      <c r="G545" s="14" t="b">
        <v>0</v>
      </c>
    </row>
    <row r="546">
      <c r="A546" s="16"/>
      <c r="B546" s="16"/>
      <c r="C546" s="16"/>
      <c r="D546" s="16"/>
      <c r="E546" s="16"/>
      <c r="F546" s="14">
        <v>0.0</v>
      </c>
      <c r="G546" s="14" t="b">
        <v>0</v>
      </c>
    </row>
    <row r="547">
      <c r="A547" s="16"/>
      <c r="B547" s="16"/>
      <c r="C547" s="16"/>
      <c r="D547" s="16"/>
      <c r="E547" s="16"/>
      <c r="F547" s="14">
        <v>0.0</v>
      </c>
      <c r="G547" s="14" t="b">
        <v>0</v>
      </c>
    </row>
    <row r="548">
      <c r="A548" s="16"/>
      <c r="B548" s="16"/>
      <c r="C548" s="16"/>
      <c r="D548" s="16"/>
      <c r="E548" s="16"/>
      <c r="F548" s="14">
        <v>0.0</v>
      </c>
      <c r="G548" s="14" t="b">
        <v>0</v>
      </c>
    </row>
    <row r="549">
      <c r="A549" s="16"/>
      <c r="B549" s="16"/>
      <c r="C549" s="16"/>
      <c r="D549" s="16"/>
      <c r="E549" s="16"/>
      <c r="F549" s="14">
        <v>0.0</v>
      </c>
      <c r="G549" s="14" t="b">
        <v>0</v>
      </c>
    </row>
    <row r="550">
      <c r="A550" s="16"/>
      <c r="B550" s="16"/>
      <c r="C550" s="16"/>
      <c r="D550" s="16"/>
      <c r="E550" s="16"/>
      <c r="F550" s="14">
        <v>0.0</v>
      </c>
      <c r="G550" s="14" t="b">
        <v>0</v>
      </c>
    </row>
    <row r="551">
      <c r="A551" s="16"/>
      <c r="B551" s="16"/>
      <c r="C551" s="16"/>
      <c r="D551" s="16"/>
      <c r="E551" s="16"/>
      <c r="F551" s="14">
        <v>0.0</v>
      </c>
      <c r="G551" s="14" t="b">
        <v>0</v>
      </c>
    </row>
    <row r="552">
      <c r="A552" s="16"/>
      <c r="B552" s="16"/>
      <c r="C552" s="16"/>
      <c r="D552" s="16"/>
      <c r="E552" s="16"/>
      <c r="F552" s="14">
        <v>0.0</v>
      </c>
      <c r="G552" s="14" t="b">
        <v>0</v>
      </c>
    </row>
    <row r="553">
      <c r="A553" s="16"/>
      <c r="B553" s="16"/>
      <c r="C553" s="16"/>
      <c r="D553" s="16"/>
      <c r="E553" s="16"/>
      <c r="F553" s="14">
        <v>0.0</v>
      </c>
      <c r="G553" s="14" t="b">
        <v>0</v>
      </c>
    </row>
    <row r="554">
      <c r="A554" s="16"/>
      <c r="B554" s="16"/>
      <c r="C554" s="16"/>
      <c r="D554" s="16"/>
      <c r="E554" s="16"/>
      <c r="F554" s="14">
        <v>0.0</v>
      </c>
      <c r="G554" s="14" t="b">
        <v>0</v>
      </c>
    </row>
    <row r="555">
      <c r="A555" s="16"/>
      <c r="B555" s="16"/>
      <c r="C555" s="16"/>
      <c r="D555" s="16"/>
      <c r="E555" s="16"/>
      <c r="F555" s="14">
        <v>0.0</v>
      </c>
      <c r="G555" s="14" t="b">
        <v>0</v>
      </c>
    </row>
    <row r="556">
      <c r="A556" s="16"/>
      <c r="B556" s="16"/>
      <c r="C556" s="16"/>
      <c r="D556" s="16"/>
      <c r="E556" s="16"/>
      <c r="F556" s="14">
        <v>0.0</v>
      </c>
      <c r="G556" s="14" t="b">
        <v>0</v>
      </c>
    </row>
    <row r="557">
      <c r="A557" s="16"/>
      <c r="B557" s="16"/>
      <c r="C557" s="16"/>
      <c r="D557" s="16"/>
      <c r="E557" s="16"/>
      <c r="F557" s="14">
        <v>0.0</v>
      </c>
      <c r="G557" s="14" t="b">
        <v>0</v>
      </c>
    </row>
    <row r="558">
      <c r="A558" s="16"/>
      <c r="B558" s="16"/>
      <c r="C558" s="16"/>
      <c r="D558" s="16"/>
      <c r="E558" s="16"/>
      <c r="F558" s="14">
        <v>0.0</v>
      </c>
      <c r="G558" s="14" t="b">
        <v>0</v>
      </c>
    </row>
    <row r="559">
      <c r="A559" s="16"/>
      <c r="B559" s="16"/>
      <c r="C559" s="16"/>
      <c r="D559" s="16"/>
      <c r="E559" s="16"/>
      <c r="F559" s="14">
        <v>0.0</v>
      </c>
      <c r="G559" s="14" t="b">
        <v>0</v>
      </c>
    </row>
    <row r="560">
      <c r="A560" s="16"/>
      <c r="B560" s="16"/>
      <c r="C560" s="16"/>
      <c r="D560" s="16"/>
      <c r="E560" s="16"/>
      <c r="F560" s="14">
        <v>0.0</v>
      </c>
      <c r="G560" s="14" t="b">
        <v>0</v>
      </c>
    </row>
    <row r="561">
      <c r="A561" s="16"/>
      <c r="B561" s="16"/>
      <c r="C561" s="16"/>
      <c r="D561" s="16"/>
      <c r="E561" s="16"/>
      <c r="F561" s="14">
        <v>0.0</v>
      </c>
      <c r="G561" s="14" t="b">
        <v>0</v>
      </c>
    </row>
    <row r="562">
      <c r="A562" s="16"/>
      <c r="B562" s="16"/>
      <c r="C562" s="16"/>
      <c r="D562" s="16"/>
      <c r="E562" s="16"/>
      <c r="F562" s="14">
        <v>0.0</v>
      </c>
      <c r="G562" s="14" t="b">
        <v>0</v>
      </c>
    </row>
    <row r="563">
      <c r="A563" s="16"/>
      <c r="B563" s="16"/>
      <c r="C563" s="16"/>
      <c r="D563" s="16"/>
      <c r="E563" s="16"/>
      <c r="F563" s="14">
        <v>0.0</v>
      </c>
      <c r="G563" s="14" t="b">
        <v>0</v>
      </c>
    </row>
    <row r="564">
      <c r="A564" s="16"/>
      <c r="B564" s="16"/>
      <c r="C564" s="16"/>
      <c r="D564" s="16"/>
      <c r="E564" s="16"/>
      <c r="F564" s="14">
        <v>0.0</v>
      </c>
      <c r="G564" s="14" t="b">
        <v>0</v>
      </c>
    </row>
    <row r="565">
      <c r="A565" s="16"/>
      <c r="B565" s="16"/>
      <c r="C565" s="16"/>
      <c r="D565" s="16"/>
      <c r="E565" s="16"/>
      <c r="F565" s="14">
        <v>0.0</v>
      </c>
      <c r="G565" s="14" t="b">
        <v>0</v>
      </c>
    </row>
    <row r="566">
      <c r="A566" s="16"/>
      <c r="B566" s="16"/>
      <c r="C566" s="16"/>
      <c r="D566" s="16"/>
      <c r="E566" s="16"/>
      <c r="F566" s="14">
        <v>0.0</v>
      </c>
      <c r="G566" s="14" t="b">
        <v>0</v>
      </c>
    </row>
    <row r="567">
      <c r="A567" s="16"/>
      <c r="B567" s="16"/>
      <c r="C567" s="16"/>
      <c r="D567" s="16"/>
      <c r="E567" s="16"/>
      <c r="F567" s="14">
        <v>0.0</v>
      </c>
      <c r="G567" s="14" t="b">
        <v>0</v>
      </c>
    </row>
    <row r="568">
      <c r="A568" s="16"/>
      <c r="B568" s="16"/>
      <c r="C568" s="16"/>
      <c r="D568" s="16"/>
      <c r="E568" s="16"/>
      <c r="F568" s="14">
        <v>0.0</v>
      </c>
      <c r="G568" s="14" t="b">
        <v>0</v>
      </c>
    </row>
    <row r="569">
      <c r="A569" s="16"/>
      <c r="B569" s="16"/>
      <c r="C569" s="16"/>
      <c r="D569" s="16"/>
      <c r="E569" s="16"/>
      <c r="F569" s="14">
        <v>0.0</v>
      </c>
      <c r="G569" s="14" t="b">
        <v>0</v>
      </c>
    </row>
    <row r="570">
      <c r="A570" s="16"/>
      <c r="B570" s="16"/>
      <c r="C570" s="16"/>
      <c r="D570" s="16"/>
      <c r="E570" s="16"/>
      <c r="F570" s="14">
        <v>0.0</v>
      </c>
      <c r="G570" s="14" t="b">
        <v>0</v>
      </c>
    </row>
    <row r="571">
      <c r="A571" s="16"/>
      <c r="B571" s="16"/>
      <c r="C571" s="16"/>
      <c r="D571" s="16"/>
      <c r="E571" s="16"/>
      <c r="F571" s="14">
        <v>0.0</v>
      </c>
      <c r="G571" s="14" t="b">
        <v>0</v>
      </c>
    </row>
    <row r="572">
      <c r="A572" s="16"/>
      <c r="B572" s="16"/>
      <c r="C572" s="16"/>
      <c r="D572" s="16"/>
      <c r="E572" s="16"/>
      <c r="F572" s="14">
        <v>0.0</v>
      </c>
      <c r="G572" s="14" t="b">
        <v>0</v>
      </c>
    </row>
    <row r="573">
      <c r="A573" s="16"/>
      <c r="B573" s="16"/>
      <c r="C573" s="16"/>
      <c r="D573" s="16"/>
      <c r="E573" s="16"/>
      <c r="F573" s="14">
        <v>0.0</v>
      </c>
      <c r="G573" s="14" t="b">
        <v>0</v>
      </c>
    </row>
    <row r="574">
      <c r="A574" s="16"/>
      <c r="B574" s="16"/>
      <c r="C574" s="16"/>
      <c r="D574" s="16"/>
      <c r="E574" s="16"/>
      <c r="F574" s="14">
        <v>0.0</v>
      </c>
      <c r="G574" s="14" t="b">
        <v>0</v>
      </c>
    </row>
    <row r="575">
      <c r="A575" s="16"/>
      <c r="B575" s="16"/>
      <c r="C575" s="16"/>
      <c r="D575" s="16"/>
      <c r="E575" s="16"/>
      <c r="F575" s="14">
        <v>0.0</v>
      </c>
      <c r="G575" s="14" t="b">
        <v>0</v>
      </c>
    </row>
    <row r="576">
      <c r="A576" s="16"/>
      <c r="B576" s="16"/>
      <c r="C576" s="16"/>
      <c r="D576" s="16"/>
      <c r="E576" s="16"/>
      <c r="F576" s="14">
        <v>0.0</v>
      </c>
      <c r="G576" s="14" t="b">
        <v>0</v>
      </c>
    </row>
    <row r="577">
      <c r="A577" s="16"/>
      <c r="B577" s="16"/>
      <c r="C577" s="16"/>
      <c r="D577" s="16"/>
      <c r="E577" s="16"/>
      <c r="F577" s="14">
        <v>0.0</v>
      </c>
      <c r="G577" s="14" t="b">
        <v>0</v>
      </c>
    </row>
    <row r="578">
      <c r="A578" s="16"/>
      <c r="B578" s="16"/>
      <c r="C578" s="16"/>
      <c r="D578" s="16"/>
      <c r="E578" s="16"/>
      <c r="F578" s="14">
        <v>0.0</v>
      </c>
      <c r="G578" s="14" t="b">
        <v>0</v>
      </c>
    </row>
    <row r="579">
      <c r="A579" s="16"/>
      <c r="B579" s="16"/>
      <c r="C579" s="16"/>
      <c r="D579" s="16"/>
      <c r="E579" s="16"/>
      <c r="F579" s="14">
        <v>0.0</v>
      </c>
      <c r="G579" s="14" t="b">
        <v>0</v>
      </c>
    </row>
    <row r="580">
      <c r="A580" s="16"/>
      <c r="B580" s="16"/>
      <c r="C580" s="16"/>
      <c r="D580" s="16"/>
      <c r="E580" s="16"/>
      <c r="F580" s="14">
        <v>0.0</v>
      </c>
      <c r="G580" s="14" t="b">
        <v>0</v>
      </c>
    </row>
    <row r="581">
      <c r="A581" s="16"/>
      <c r="B581" s="16"/>
      <c r="C581" s="16"/>
      <c r="D581" s="16"/>
      <c r="E581" s="16"/>
      <c r="F581" s="14">
        <v>0.0</v>
      </c>
      <c r="G581" s="14" t="b">
        <v>0</v>
      </c>
    </row>
    <row r="582">
      <c r="A582" s="16"/>
      <c r="B582" s="16"/>
      <c r="C582" s="16"/>
      <c r="D582" s="16"/>
      <c r="E582" s="16"/>
      <c r="F582" s="14">
        <v>0.0</v>
      </c>
      <c r="G582" s="14" t="b">
        <v>0</v>
      </c>
    </row>
    <row r="583">
      <c r="A583" s="16"/>
      <c r="B583" s="16"/>
      <c r="C583" s="16"/>
      <c r="D583" s="16"/>
      <c r="E583" s="16"/>
      <c r="F583" s="14">
        <v>0.0</v>
      </c>
      <c r="G583" s="14" t="b">
        <v>0</v>
      </c>
    </row>
    <row r="584">
      <c r="A584" s="16"/>
      <c r="B584" s="16"/>
      <c r="C584" s="16"/>
      <c r="D584" s="16"/>
      <c r="E584" s="16"/>
      <c r="F584" s="14">
        <v>0.0</v>
      </c>
      <c r="G584" s="14" t="b">
        <v>0</v>
      </c>
    </row>
    <row r="585">
      <c r="A585" s="16"/>
      <c r="B585" s="16"/>
      <c r="C585" s="16"/>
      <c r="D585" s="16"/>
      <c r="E585" s="16"/>
      <c r="F585" s="14">
        <v>0.0</v>
      </c>
      <c r="G585" s="14" t="b">
        <v>0</v>
      </c>
    </row>
    <row r="586">
      <c r="A586" s="16"/>
      <c r="B586" s="16"/>
      <c r="C586" s="16"/>
      <c r="D586" s="16"/>
      <c r="E586" s="16"/>
      <c r="F586" s="14">
        <v>0.0</v>
      </c>
      <c r="G586" s="14" t="b">
        <v>0</v>
      </c>
    </row>
    <row r="587">
      <c r="A587" s="16"/>
      <c r="B587" s="16"/>
      <c r="C587" s="16"/>
      <c r="D587" s="16"/>
      <c r="E587" s="16"/>
      <c r="F587" s="14">
        <v>0.0</v>
      </c>
      <c r="G587" s="14" t="b">
        <v>0</v>
      </c>
    </row>
    <row r="588">
      <c r="A588" s="16"/>
      <c r="B588" s="16"/>
      <c r="C588" s="16"/>
      <c r="D588" s="16"/>
      <c r="E588" s="16"/>
      <c r="F588" s="14">
        <v>0.0</v>
      </c>
      <c r="G588" s="14" t="b">
        <v>0</v>
      </c>
    </row>
    <row r="589">
      <c r="A589" s="16"/>
      <c r="B589" s="16"/>
      <c r="C589" s="16"/>
      <c r="D589" s="16"/>
      <c r="E589" s="16"/>
      <c r="F589" s="14">
        <v>0.0</v>
      </c>
      <c r="G589" s="14" t="b">
        <v>0</v>
      </c>
    </row>
    <row r="590">
      <c r="A590" s="16"/>
      <c r="B590" s="16"/>
      <c r="C590" s="16"/>
      <c r="D590" s="16"/>
      <c r="E590" s="16"/>
      <c r="F590" s="14">
        <v>0.0</v>
      </c>
      <c r="G590" s="14" t="b">
        <v>0</v>
      </c>
    </row>
    <row r="591">
      <c r="A591" s="16"/>
      <c r="B591" s="16"/>
      <c r="C591" s="16"/>
      <c r="D591" s="16"/>
      <c r="E591" s="16"/>
      <c r="F591" s="14">
        <v>0.0</v>
      </c>
      <c r="G591" s="14" t="b">
        <v>0</v>
      </c>
    </row>
    <row r="592">
      <c r="A592" s="16"/>
      <c r="B592" s="16"/>
      <c r="C592" s="16"/>
      <c r="D592" s="16"/>
      <c r="E592" s="16"/>
      <c r="F592" s="14">
        <v>0.0</v>
      </c>
      <c r="G592" s="14" t="b">
        <v>0</v>
      </c>
    </row>
    <row r="593">
      <c r="A593" s="16"/>
      <c r="B593" s="16"/>
      <c r="C593" s="16"/>
      <c r="D593" s="16"/>
      <c r="E593" s="16"/>
      <c r="F593" s="14">
        <v>0.0</v>
      </c>
      <c r="G593" s="14" t="b">
        <v>0</v>
      </c>
    </row>
    <row r="594">
      <c r="A594" s="16"/>
      <c r="B594" s="16"/>
      <c r="C594" s="16"/>
      <c r="D594" s="16"/>
      <c r="E594" s="16"/>
      <c r="F594" s="14">
        <v>0.0</v>
      </c>
      <c r="G594" s="14" t="b">
        <v>0</v>
      </c>
    </row>
    <row r="595">
      <c r="A595" s="16"/>
      <c r="B595" s="16"/>
      <c r="C595" s="16"/>
      <c r="D595" s="16"/>
      <c r="E595" s="16"/>
      <c r="F595" s="14">
        <v>0.0</v>
      </c>
      <c r="G595" s="14" t="b">
        <v>0</v>
      </c>
    </row>
    <row r="596">
      <c r="A596" s="16"/>
      <c r="B596" s="16"/>
      <c r="C596" s="16"/>
      <c r="D596" s="16"/>
      <c r="E596" s="16"/>
      <c r="F596" s="14">
        <v>0.0</v>
      </c>
      <c r="G596" s="14" t="b">
        <v>0</v>
      </c>
    </row>
    <row r="597">
      <c r="A597" s="16"/>
      <c r="B597" s="16"/>
      <c r="C597" s="16"/>
      <c r="D597" s="16"/>
      <c r="E597" s="16"/>
      <c r="F597" s="14">
        <v>0.0</v>
      </c>
      <c r="G597" s="14" t="b">
        <v>0</v>
      </c>
    </row>
    <row r="598">
      <c r="A598" s="16"/>
      <c r="B598" s="16"/>
      <c r="C598" s="16"/>
      <c r="D598" s="16"/>
      <c r="E598" s="16"/>
      <c r="F598" s="14">
        <v>0.0</v>
      </c>
      <c r="G598" s="14" t="b">
        <v>0</v>
      </c>
    </row>
    <row r="599">
      <c r="A599" s="16"/>
      <c r="B599" s="16"/>
      <c r="C599" s="16"/>
      <c r="D599" s="16"/>
      <c r="E599" s="16"/>
      <c r="F599" s="14">
        <v>0.0</v>
      </c>
      <c r="G599" s="14" t="b">
        <v>0</v>
      </c>
    </row>
    <row r="600">
      <c r="A600" s="16"/>
      <c r="B600" s="16"/>
      <c r="C600" s="16"/>
      <c r="D600" s="16"/>
      <c r="E600" s="16"/>
      <c r="F600" s="14">
        <v>0.0</v>
      </c>
      <c r="G600" s="14" t="b">
        <v>0</v>
      </c>
    </row>
    <row r="601">
      <c r="A601" s="16"/>
      <c r="B601" s="16"/>
      <c r="C601" s="16"/>
      <c r="D601" s="16"/>
      <c r="E601" s="16"/>
      <c r="F601" s="14">
        <v>0.0</v>
      </c>
      <c r="G601" s="14" t="b">
        <v>0</v>
      </c>
    </row>
    <row r="602">
      <c r="A602" s="16"/>
      <c r="B602" s="16"/>
      <c r="C602" s="16"/>
      <c r="D602" s="16"/>
      <c r="E602" s="16"/>
      <c r="F602" s="14">
        <v>0.0</v>
      </c>
      <c r="G602" s="14" t="b">
        <v>0</v>
      </c>
    </row>
    <row r="603">
      <c r="A603" s="16"/>
      <c r="B603" s="16"/>
      <c r="C603" s="16"/>
      <c r="D603" s="16"/>
      <c r="E603" s="16"/>
      <c r="F603" s="14">
        <v>0.0</v>
      </c>
      <c r="G603" s="14" t="b">
        <v>0</v>
      </c>
    </row>
    <row r="604">
      <c r="A604" s="16"/>
      <c r="B604" s="16"/>
      <c r="C604" s="16"/>
      <c r="D604" s="16"/>
      <c r="E604" s="16"/>
      <c r="F604" s="14">
        <v>0.0</v>
      </c>
      <c r="G604" s="14" t="b">
        <v>0</v>
      </c>
    </row>
    <row r="605">
      <c r="A605" s="16"/>
      <c r="B605" s="16"/>
      <c r="C605" s="16"/>
      <c r="D605" s="16"/>
      <c r="E605" s="16"/>
      <c r="F605" s="14">
        <v>0.0</v>
      </c>
      <c r="G605" s="14" t="b">
        <v>0</v>
      </c>
    </row>
    <row r="606">
      <c r="A606" s="16"/>
      <c r="B606" s="16"/>
      <c r="C606" s="16"/>
      <c r="D606" s="16"/>
      <c r="E606" s="16"/>
      <c r="F606" s="14">
        <v>0.0</v>
      </c>
      <c r="G606" s="14" t="b">
        <v>0</v>
      </c>
    </row>
    <row r="607">
      <c r="A607" s="16"/>
      <c r="B607" s="16"/>
      <c r="C607" s="16"/>
      <c r="D607" s="16"/>
      <c r="E607" s="16"/>
      <c r="F607" s="14">
        <v>0.0</v>
      </c>
      <c r="G607" s="14" t="b">
        <v>0</v>
      </c>
    </row>
    <row r="608">
      <c r="A608" s="16"/>
      <c r="B608" s="16"/>
      <c r="C608" s="16"/>
      <c r="D608" s="16"/>
      <c r="E608" s="16"/>
      <c r="F608" s="14">
        <v>0.0</v>
      </c>
      <c r="G608" s="14" t="b">
        <v>0</v>
      </c>
    </row>
    <row r="609">
      <c r="A609" s="16"/>
      <c r="B609" s="16"/>
      <c r="C609" s="16"/>
      <c r="D609" s="16"/>
      <c r="E609" s="16"/>
      <c r="F609" s="14">
        <v>0.0</v>
      </c>
      <c r="G609" s="14" t="b">
        <v>0</v>
      </c>
    </row>
    <row r="610">
      <c r="A610" s="16"/>
      <c r="B610" s="16"/>
      <c r="C610" s="16"/>
      <c r="D610" s="16"/>
      <c r="E610" s="16"/>
      <c r="F610" s="14">
        <v>0.0</v>
      </c>
      <c r="G610" s="14" t="b">
        <v>0</v>
      </c>
    </row>
    <row r="611">
      <c r="A611" s="16"/>
      <c r="B611" s="16"/>
      <c r="C611" s="16"/>
      <c r="D611" s="16"/>
      <c r="E611" s="16"/>
      <c r="F611" s="14">
        <v>0.0</v>
      </c>
      <c r="G611" s="14" t="b">
        <v>0</v>
      </c>
    </row>
    <row r="612">
      <c r="A612" s="16"/>
      <c r="B612" s="16"/>
      <c r="C612" s="16"/>
      <c r="D612" s="16"/>
      <c r="E612" s="16"/>
      <c r="F612" s="14">
        <v>0.0</v>
      </c>
      <c r="G612" s="14" t="b">
        <v>0</v>
      </c>
    </row>
    <row r="613">
      <c r="A613" s="16"/>
      <c r="B613" s="16"/>
      <c r="C613" s="16"/>
      <c r="D613" s="16"/>
      <c r="E613" s="16"/>
      <c r="F613" s="14">
        <v>0.0</v>
      </c>
      <c r="G613" s="14" t="b">
        <v>0</v>
      </c>
    </row>
    <row r="614">
      <c r="A614" s="16"/>
      <c r="B614" s="16"/>
      <c r="C614" s="16"/>
      <c r="D614" s="16"/>
      <c r="E614" s="16"/>
      <c r="F614" s="14">
        <v>0.0</v>
      </c>
      <c r="G614" s="14" t="b">
        <v>0</v>
      </c>
    </row>
    <row r="615">
      <c r="A615" s="16"/>
      <c r="B615" s="16"/>
      <c r="C615" s="16"/>
      <c r="D615" s="16"/>
      <c r="E615" s="16"/>
      <c r="F615" s="14">
        <v>0.0</v>
      </c>
      <c r="G615" s="14" t="b">
        <v>0</v>
      </c>
    </row>
    <row r="616">
      <c r="A616" s="16"/>
      <c r="B616" s="16"/>
      <c r="C616" s="16"/>
      <c r="D616" s="16"/>
      <c r="E616" s="16"/>
      <c r="F616" s="14">
        <v>0.0</v>
      </c>
      <c r="G616" s="14" t="b">
        <v>0</v>
      </c>
    </row>
    <row r="617">
      <c r="A617" s="16"/>
      <c r="B617" s="16"/>
      <c r="C617" s="16"/>
      <c r="D617" s="16"/>
      <c r="E617" s="16"/>
      <c r="F617" s="14">
        <v>0.0</v>
      </c>
      <c r="G617" s="14" t="b">
        <v>0</v>
      </c>
    </row>
    <row r="618">
      <c r="A618" s="16"/>
      <c r="B618" s="16"/>
      <c r="C618" s="16"/>
      <c r="D618" s="16"/>
      <c r="E618" s="16"/>
      <c r="F618" s="14">
        <v>0.0</v>
      </c>
      <c r="G618" s="14" t="b">
        <v>0</v>
      </c>
    </row>
    <row r="619">
      <c r="A619" s="16"/>
      <c r="B619" s="16"/>
      <c r="C619" s="16"/>
      <c r="D619" s="16"/>
      <c r="E619" s="16"/>
      <c r="F619" s="14">
        <v>0.0</v>
      </c>
      <c r="G619" s="14" t="b">
        <v>0</v>
      </c>
    </row>
    <row r="620">
      <c r="A620" s="16"/>
      <c r="B620" s="16"/>
      <c r="C620" s="16"/>
      <c r="D620" s="16"/>
      <c r="E620" s="16"/>
      <c r="F620" s="14">
        <v>0.0</v>
      </c>
      <c r="G620" s="14" t="b">
        <v>0</v>
      </c>
    </row>
    <row r="621">
      <c r="A621" s="16"/>
      <c r="B621" s="16"/>
      <c r="C621" s="16"/>
      <c r="D621" s="16"/>
      <c r="E621" s="16"/>
      <c r="F621" s="14">
        <v>0.0</v>
      </c>
      <c r="G621" s="14" t="b">
        <v>0</v>
      </c>
    </row>
    <row r="622">
      <c r="A622" s="16"/>
      <c r="B622" s="16"/>
      <c r="C622" s="16"/>
      <c r="D622" s="16"/>
      <c r="E622" s="16"/>
      <c r="F622" s="14">
        <v>0.0</v>
      </c>
      <c r="G622" s="14" t="b">
        <v>0</v>
      </c>
    </row>
    <row r="623">
      <c r="A623" s="16"/>
      <c r="B623" s="16"/>
      <c r="C623" s="16"/>
      <c r="D623" s="16"/>
      <c r="E623" s="16"/>
      <c r="F623" s="14">
        <v>0.0</v>
      </c>
      <c r="G623" s="14" t="b">
        <v>0</v>
      </c>
    </row>
    <row r="624">
      <c r="A624" s="16"/>
      <c r="B624" s="16"/>
      <c r="C624" s="16"/>
      <c r="D624" s="16"/>
      <c r="E624" s="16"/>
      <c r="F624" s="14">
        <v>0.0</v>
      </c>
      <c r="G624" s="14" t="b">
        <v>0</v>
      </c>
    </row>
    <row r="625">
      <c r="A625" s="16"/>
      <c r="B625" s="16"/>
      <c r="C625" s="16"/>
      <c r="D625" s="16"/>
      <c r="E625" s="16"/>
      <c r="F625" s="14">
        <v>0.0</v>
      </c>
      <c r="G625" s="14" t="b">
        <v>0</v>
      </c>
    </row>
    <row r="626">
      <c r="A626" s="16"/>
      <c r="B626" s="16"/>
      <c r="C626" s="16"/>
      <c r="D626" s="16"/>
      <c r="E626" s="16"/>
      <c r="F626" s="14">
        <v>0.0</v>
      </c>
      <c r="G626" s="14" t="b">
        <v>0</v>
      </c>
    </row>
    <row r="627">
      <c r="A627" s="16"/>
      <c r="B627" s="16"/>
      <c r="C627" s="16"/>
      <c r="D627" s="16"/>
      <c r="E627" s="16"/>
      <c r="F627" s="14">
        <v>0.0</v>
      </c>
      <c r="G627" s="14" t="b">
        <v>0</v>
      </c>
    </row>
    <row r="628">
      <c r="A628" s="16"/>
      <c r="B628" s="16"/>
      <c r="C628" s="16"/>
      <c r="D628" s="16"/>
      <c r="E628" s="16"/>
      <c r="F628" s="14">
        <v>0.0</v>
      </c>
      <c r="G628" s="14" t="b">
        <v>0</v>
      </c>
    </row>
    <row r="629">
      <c r="A629" s="16"/>
      <c r="B629" s="16"/>
      <c r="C629" s="16"/>
      <c r="D629" s="16"/>
      <c r="E629" s="16"/>
      <c r="F629" s="14">
        <v>0.0</v>
      </c>
      <c r="G629" s="14" t="b">
        <v>0</v>
      </c>
    </row>
    <row r="630">
      <c r="A630" s="16"/>
      <c r="B630" s="16"/>
      <c r="C630" s="16"/>
      <c r="D630" s="16"/>
      <c r="E630" s="16"/>
      <c r="F630" s="14">
        <v>0.0</v>
      </c>
      <c r="G630" s="14" t="b">
        <v>0</v>
      </c>
    </row>
    <row r="631">
      <c r="A631" s="16"/>
      <c r="B631" s="16"/>
      <c r="C631" s="16"/>
      <c r="D631" s="16"/>
      <c r="E631" s="16"/>
      <c r="F631" s="14">
        <v>0.0</v>
      </c>
      <c r="G631" s="14" t="b">
        <v>0</v>
      </c>
    </row>
    <row r="632">
      <c r="A632" s="16"/>
      <c r="B632" s="16"/>
      <c r="C632" s="16"/>
      <c r="D632" s="16"/>
      <c r="E632" s="16"/>
      <c r="F632" s="14">
        <v>0.0</v>
      </c>
      <c r="G632" s="14" t="b">
        <v>0</v>
      </c>
    </row>
    <row r="633">
      <c r="A633" s="16"/>
      <c r="B633" s="16"/>
      <c r="C633" s="16"/>
      <c r="D633" s="16"/>
      <c r="E633" s="16"/>
      <c r="F633" s="14">
        <v>0.0</v>
      </c>
      <c r="G633" s="14" t="b">
        <v>0</v>
      </c>
    </row>
    <row r="634">
      <c r="A634" s="16"/>
      <c r="B634" s="16"/>
      <c r="C634" s="16"/>
      <c r="D634" s="16"/>
      <c r="E634" s="16"/>
      <c r="F634" s="14">
        <v>0.0</v>
      </c>
      <c r="G634" s="14" t="b">
        <v>0</v>
      </c>
    </row>
    <row r="635">
      <c r="A635" s="16"/>
      <c r="B635" s="16"/>
      <c r="C635" s="16"/>
      <c r="D635" s="16"/>
      <c r="E635" s="16"/>
      <c r="F635" s="14">
        <v>0.0</v>
      </c>
      <c r="G635" s="14" t="b">
        <v>0</v>
      </c>
    </row>
    <row r="636">
      <c r="A636" s="16"/>
      <c r="B636" s="16"/>
      <c r="C636" s="16"/>
      <c r="D636" s="16"/>
      <c r="E636" s="16"/>
      <c r="F636" s="14">
        <v>0.0</v>
      </c>
      <c r="G636" s="14" t="b">
        <v>0</v>
      </c>
    </row>
    <row r="637">
      <c r="A637" s="16"/>
      <c r="B637" s="16"/>
      <c r="C637" s="16"/>
      <c r="D637" s="16"/>
      <c r="E637" s="16"/>
      <c r="F637" s="14">
        <v>0.0</v>
      </c>
      <c r="G637" s="14" t="b">
        <v>0</v>
      </c>
    </row>
    <row r="638">
      <c r="A638" s="16"/>
      <c r="B638" s="16"/>
      <c r="C638" s="16"/>
      <c r="D638" s="16"/>
      <c r="E638" s="16"/>
      <c r="F638" s="14">
        <v>0.0</v>
      </c>
      <c r="G638" s="14" t="b">
        <v>0</v>
      </c>
    </row>
    <row r="639">
      <c r="A639" s="16"/>
      <c r="B639" s="16"/>
      <c r="C639" s="16"/>
      <c r="D639" s="16"/>
      <c r="E639" s="16"/>
      <c r="F639" s="14">
        <v>0.0</v>
      </c>
      <c r="G639" s="14" t="b">
        <v>0</v>
      </c>
    </row>
    <row r="640">
      <c r="A640" s="16"/>
      <c r="B640" s="16"/>
      <c r="C640" s="16"/>
      <c r="D640" s="16"/>
      <c r="E640" s="16"/>
      <c r="F640" s="14">
        <v>0.0</v>
      </c>
      <c r="G640" s="14" t="b">
        <v>0</v>
      </c>
    </row>
    <row r="641">
      <c r="A641" s="16"/>
      <c r="B641" s="16"/>
      <c r="C641" s="16"/>
      <c r="D641" s="16"/>
      <c r="E641" s="16"/>
      <c r="F641" s="14">
        <v>0.0</v>
      </c>
      <c r="G641" s="14" t="b">
        <v>0</v>
      </c>
    </row>
    <row r="642">
      <c r="A642" s="16"/>
      <c r="B642" s="16"/>
      <c r="C642" s="16"/>
      <c r="D642" s="16"/>
      <c r="E642" s="16"/>
      <c r="F642" s="14">
        <v>0.0</v>
      </c>
      <c r="G642" s="14" t="b">
        <v>0</v>
      </c>
    </row>
    <row r="643">
      <c r="A643" s="16"/>
      <c r="B643" s="16"/>
      <c r="C643" s="16"/>
      <c r="D643" s="16"/>
      <c r="E643" s="16"/>
      <c r="F643" s="14">
        <v>0.0</v>
      </c>
      <c r="G643" s="14" t="b">
        <v>0</v>
      </c>
    </row>
    <row r="644">
      <c r="A644" s="16"/>
      <c r="B644" s="16"/>
      <c r="C644" s="16"/>
      <c r="D644" s="16"/>
      <c r="E644" s="16"/>
      <c r="F644" s="14">
        <v>0.0</v>
      </c>
      <c r="G644" s="14" t="b">
        <v>0</v>
      </c>
    </row>
    <row r="645">
      <c r="A645" s="16"/>
      <c r="B645" s="16"/>
      <c r="C645" s="16"/>
      <c r="D645" s="16"/>
      <c r="E645" s="16"/>
      <c r="F645" s="14">
        <v>0.0</v>
      </c>
      <c r="G645" s="14" t="b">
        <v>0</v>
      </c>
    </row>
    <row r="646">
      <c r="A646" s="16"/>
      <c r="B646" s="16"/>
      <c r="C646" s="16"/>
      <c r="D646" s="16"/>
      <c r="E646" s="16"/>
      <c r="F646" s="14">
        <v>0.0</v>
      </c>
      <c r="G646" s="14" t="b">
        <v>0</v>
      </c>
    </row>
    <row r="647">
      <c r="A647" s="16"/>
      <c r="B647" s="16"/>
      <c r="C647" s="16"/>
      <c r="D647" s="16"/>
      <c r="E647" s="16"/>
      <c r="F647" s="14">
        <v>0.0</v>
      </c>
      <c r="G647" s="14" t="b">
        <v>0</v>
      </c>
    </row>
    <row r="648">
      <c r="A648" s="16"/>
      <c r="B648" s="16"/>
      <c r="C648" s="16"/>
      <c r="D648" s="16"/>
      <c r="E648" s="16"/>
      <c r="F648" s="14">
        <v>0.0</v>
      </c>
      <c r="G648" s="14" t="b">
        <v>0</v>
      </c>
    </row>
    <row r="649">
      <c r="A649" s="16"/>
      <c r="B649" s="16"/>
      <c r="C649" s="16"/>
      <c r="D649" s="16"/>
      <c r="E649" s="16"/>
      <c r="F649" s="14">
        <v>0.0</v>
      </c>
      <c r="G649" s="14" t="b">
        <v>0</v>
      </c>
    </row>
    <row r="650">
      <c r="A650" s="16"/>
      <c r="B650" s="16"/>
      <c r="C650" s="16"/>
      <c r="D650" s="16"/>
      <c r="E650" s="16"/>
      <c r="F650" s="14">
        <v>0.0</v>
      </c>
      <c r="G650" s="14" t="b">
        <v>0</v>
      </c>
    </row>
    <row r="651">
      <c r="A651" s="16"/>
      <c r="B651" s="16"/>
      <c r="C651" s="16"/>
      <c r="D651" s="16"/>
      <c r="E651" s="16"/>
      <c r="F651" s="14">
        <v>0.0</v>
      </c>
      <c r="G651" s="14" t="b">
        <v>0</v>
      </c>
    </row>
    <row r="652">
      <c r="A652" s="16"/>
      <c r="B652" s="16"/>
      <c r="C652" s="16"/>
      <c r="D652" s="16"/>
      <c r="E652" s="16"/>
      <c r="F652" s="14">
        <v>0.0</v>
      </c>
      <c r="G652" s="14" t="b">
        <v>0</v>
      </c>
    </row>
    <row r="653">
      <c r="A653" s="16"/>
      <c r="B653" s="16"/>
      <c r="C653" s="16"/>
      <c r="D653" s="16"/>
      <c r="E653" s="16"/>
      <c r="F653" s="14">
        <v>0.0</v>
      </c>
      <c r="G653" s="14" t="b">
        <v>0</v>
      </c>
    </row>
    <row r="654">
      <c r="A654" s="16"/>
      <c r="B654" s="16"/>
      <c r="C654" s="16"/>
      <c r="D654" s="16"/>
      <c r="E654" s="16"/>
      <c r="F654" s="14">
        <v>0.0</v>
      </c>
      <c r="G654" s="14" t="b">
        <v>0</v>
      </c>
    </row>
    <row r="655">
      <c r="A655" s="16"/>
      <c r="B655" s="16"/>
      <c r="C655" s="16"/>
      <c r="D655" s="16"/>
      <c r="E655" s="16"/>
      <c r="F655" s="14">
        <v>0.0</v>
      </c>
      <c r="G655" s="14" t="b">
        <v>0</v>
      </c>
    </row>
    <row r="656">
      <c r="A656" s="16"/>
      <c r="B656" s="16"/>
      <c r="C656" s="16"/>
      <c r="D656" s="16"/>
      <c r="E656" s="16"/>
      <c r="F656" s="14">
        <v>0.0</v>
      </c>
      <c r="G656" s="14" t="b">
        <v>0</v>
      </c>
    </row>
    <row r="657">
      <c r="A657" s="16"/>
      <c r="B657" s="16"/>
      <c r="C657" s="16"/>
      <c r="D657" s="16"/>
      <c r="E657" s="16"/>
      <c r="F657" s="14">
        <v>0.0</v>
      </c>
      <c r="G657" s="14" t="b">
        <v>0</v>
      </c>
    </row>
    <row r="658">
      <c r="A658" s="16"/>
      <c r="B658" s="16"/>
      <c r="C658" s="16"/>
      <c r="D658" s="16"/>
      <c r="E658" s="16"/>
      <c r="F658" s="14">
        <v>0.0</v>
      </c>
      <c r="G658" s="14" t="b">
        <v>0</v>
      </c>
    </row>
    <row r="659">
      <c r="A659" s="16"/>
      <c r="B659" s="16"/>
      <c r="C659" s="16"/>
      <c r="D659" s="16"/>
      <c r="E659" s="16"/>
      <c r="F659" s="14">
        <v>0.0</v>
      </c>
      <c r="G659" s="14" t="b">
        <v>0</v>
      </c>
    </row>
    <row r="660">
      <c r="A660" s="16"/>
      <c r="B660" s="16"/>
      <c r="C660" s="16"/>
      <c r="D660" s="16"/>
      <c r="E660" s="16"/>
      <c r="F660" s="14">
        <v>0.0</v>
      </c>
      <c r="G660" s="14" t="b">
        <v>0</v>
      </c>
    </row>
    <row r="661">
      <c r="A661" s="16"/>
      <c r="B661" s="16"/>
      <c r="C661" s="16"/>
      <c r="D661" s="16"/>
      <c r="E661" s="16"/>
      <c r="F661" s="14">
        <v>0.0</v>
      </c>
      <c r="G661" s="14" t="b">
        <v>0</v>
      </c>
    </row>
    <row r="662">
      <c r="A662" s="16"/>
      <c r="B662" s="16"/>
      <c r="C662" s="16"/>
      <c r="D662" s="16"/>
      <c r="E662" s="16"/>
      <c r="F662" s="14">
        <v>0.0</v>
      </c>
      <c r="G662" s="14" t="b">
        <v>0</v>
      </c>
    </row>
    <row r="663">
      <c r="A663" s="16"/>
      <c r="B663" s="16"/>
      <c r="C663" s="16"/>
      <c r="D663" s="16"/>
      <c r="E663" s="16"/>
      <c r="F663" s="14">
        <v>0.0</v>
      </c>
      <c r="G663" s="14" t="b">
        <v>0</v>
      </c>
    </row>
    <row r="664">
      <c r="A664" s="16"/>
      <c r="B664" s="16"/>
      <c r="C664" s="16"/>
      <c r="D664" s="16"/>
      <c r="E664" s="16"/>
      <c r="F664" s="14">
        <v>0.0</v>
      </c>
      <c r="G664" s="14" t="b">
        <v>0</v>
      </c>
    </row>
    <row r="665">
      <c r="A665" s="16"/>
      <c r="B665" s="16"/>
      <c r="C665" s="16"/>
      <c r="D665" s="16"/>
      <c r="E665" s="16"/>
      <c r="F665" s="14">
        <v>0.0</v>
      </c>
      <c r="G665" s="14" t="b">
        <v>0</v>
      </c>
    </row>
    <row r="666">
      <c r="A666" s="16"/>
      <c r="B666" s="16"/>
      <c r="C666" s="16"/>
      <c r="D666" s="16"/>
      <c r="E666" s="16"/>
      <c r="F666" s="14">
        <v>0.0</v>
      </c>
      <c r="G666" s="14" t="b">
        <v>0</v>
      </c>
    </row>
    <row r="667">
      <c r="A667" s="16"/>
      <c r="B667" s="16"/>
      <c r="C667" s="16"/>
      <c r="D667" s="16"/>
      <c r="E667" s="16"/>
      <c r="F667" s="14">
        <v>0.0</v>
      </c>
      <c r="G667" s="14" t="b">
        <v>0</v>
      </c>
    </row>
    <row r="668">
      <c r="A668" s="16"/>
      <c r="B668" s="16"/>
      <c r="C668" s="16"/>
      <c r="D668" s="16"/>
      <c r="E668" s="16"/>
      <c r="F668" s="14">
        <v>0.0</v>
      </c>
      <c r="G668" s="14" t="b">
        <v>0</v>
      </c>
    </row>
    <row r="669">
      <c r="A669" s="16"/>
      <c r="B669" s="16"/>
      <c r="C669" s="16"/>
      <c r="D669" s="16"/>
      <c r="E669" s="16"/>
      <c r="F669" s="14">
        <v>0.0</v>
      </c>
      <c r="G669" s="14" t="b">
        <v>0</v>
      </c>
    </row>
    <row r="670">
      <c r="A670" s="16"/>
      <c r="B670" s="16"/>
      <c r="C670" s="16"/>
      <c r="D670" s="16"/>
      <c r="E670" s="16"/>
      <c r="F670" s="14">
        <v>0.0</v>
      </c>
      <c r="G670" s="14" t="b">
        <v>0</v>
      </c>
    </row>
    <row r="671">
      <c r="A671" s="16"/>
      <c r="B671" s="16"/>
      <c r="C671" s="16"/>
      <c r="D671" s="16"/>
      <c r="E671" s="16"/>
      <c r="F671" s="14">
        <v>0.0</v>
      </c>
      <c r="G671" s="14" t="b">
        <v>0</v>
      </c>
    </row>
    <row r="672">
      <c r="A672" s="16"/>
      <c r="B672" s="16"/>
      <c r="C672" s="16"/>
      <c r="D672" s="16"/>
      <c r="E672" s="16"/>
      <c r="F672" s="14">
        <v>0.0</v>
      </c>
      <c r="G672" s="14" t="b">
        <v>0</v>
      </c>
    </row>
    <row r="673">
      <c r="A673" s="16"/>
      <c r="B673" s="16"/>
      <c r="C673" s="16"/>
      <c r="D673" s="16"/>
      <c r="E673" s="16"/>
      <c r="F673" s="14">
        <v>0.0</v>
      </c>
      <c r="G673" s="14" t="b">
        <v>0</v>
      </c>
    </row>
    <row r="674">
      <c r="A674" s="16"/>
      <c r="B674" s="16"/>
      <c r="C674" s="16"/>
      <c r="D674" s="16"/>
      <c r="E674" s="16"/>
      <c r="F674" s="14">
        <v>0.0</v>
      </c>
      <c r="G674" s="14" t="b">
        <v>0</v>
      </c>
    </row>
    <row r="675">
      <c r="A675" s="16"/>
      <c r="B675" s="16"/>
      <c r="C675" s="16"/>
      <c r="D675" s="16"/>
      <c r="E675" s="16"/>
      <c r="F675" s="14">
        <v>0.0</v>
      </c>
      <c r="G675" s="14" t="b">
        <v>0</v>
      </c>
    </row>
    <row r="676">
      <c r="A676" s="16"/>
      <c r="B676" s="16"/>
      <c r="C676" s="16"/>
      <c r="D676" s="16"/>
      <c r="E676" s="16"/>
      <c r="F676" s="14">
        <v>0.0</v>
      </c>
      <c r="G676" s="14" t="b">
        <v>0</v>
      </c>
    </row>
    <row r="677">
      <c r="A677" s="16"/>
      <c r="B677" s="16"/>
      <c r="C677" s="16"/>
      <c r="D677" s="16"/>
      <c r="E677" s="16"/>
      <c r="F677" s="14">
        <v>0.0</v>
      </c>
      <c r="G677" s="14" t="b">
        <v>0</v>
      </c>
    </row>
    <row r="678">
      <c r="A678" s="16"/>
      <c r="B678" s="16"/>
      <c r="C678" s="16"/>
      <c r="D678" s="16"/>
      <c r="E678" s="16"/>
      <c r="F678" s="14">
        <v>0.0</v>
      </c>
      <c r="G678" s="14" t="b">
        <v>0</v>
      </c>
    </row>
    <row r="679">
      <c r="A679" s="16"/>
      <c r="B679" s="16"/>
      <c r="C679" s="16"/>
      <c r="D679" s="16"/>
      <c r="E679" s="16"/>
      <c r="F679" s="14">
        <v>0.0</v>
      </c>
      <c r="G679" s="14" t="b">
        <v>0</v>
      </c>
    </row>
    <row r="680">
      <c r="A680" s="16"/>
      <c r="B680" s="16"/>
      <c r="C680" s="16"/>
      <c r="D680" s="16"/>
      <c r="E680" s="16"/>
      <c r="F680" s="14">
        <v>0.0</v>
      </c>
      <c r="G680" s="14" t="b">
        <v>0</v>
      </c>
    </row>
    <row r="681">
      <c r="A681" s="16"/>
      <c r="B681" s="16"/>
      <c r="C681" s="16"/>
      <c r="D681" s="16"/>
      <c r="E681" s="16"/>
      <c r="F681" s="14">
        <v>0.0</v>
      </c>
      <c r="G681" s="14" t="b">
        <v>0</v>
      </c>
    </row>
    <row r="682">
      <c r="A682" s="16"/>
      <c r="B682" s="16"/>
      <c r="C682" s="16"/>
      <c r="D682" s="16"/>
      <c r="E682" s="16"/>
      <c r="F682" s="14">
        <v>0.0</v>
      </c>
      <c r="G682" s="14" t="b">
        <v>0</v>
      </c>
    </row>
    <row r="683">
      <c r="A683" s="16"/>
      <c r="B683" s="16"/>
      <c r="C683" s="16"/>
      <c r="D683" s="16"/>
      <c r="E683" s="16"/>
      <c r="F683" s="14">
        <v>0.0</v>
      </c>
      <c r="G683" s="14" t="b">
        <v>0</v>
      </c>
    </row>
    <row r="684">
      <c r="A684" s="16"/>
      <c r="B684" s="16"/>
      <c r="C684" s="16"/>
      <c r="D684" s="16"/>
      <c r="E684" s="16"/>
      <c r="F684" s="14">
        <v>0.0</v>
      </c>
      <c r="G684" s="14" t="b">
        <v>0</v>
      </c>
    </row>
    <row r="685">
      <c r="A685" s="16"/>
      <c r="B685" s="16"/>
      <c r="C685" s="16"/>
      <c r="D685" s="16"/>
      <c r="E685" s="16"/>
      <c r="F685" s="14">
        <v>0.0</v>
      </c>
      <c r="G685" s="14" t="b">
        <v>0</v>
      </c>
    </row>
    <row r="686">
      <c r="A686" s="16"/>
      <c r="B686" s="16"/>
      <c r="C686" s="16"/>
      <c r="D686" s="16"/>
      <c r="E686" s="16"/>
      <c r="F686" s="14">
        <v>0.0</v>
      </c>
      <c r="G686" s="14" t="b">
        <v>0</v>
      </c>
    </row>
    <row r="687">
      <c r="A687" s="16"/>
      <c r="B687" s="16"/>
      <c r="C687" s="16"/>
      <c r="D687" s="16"/>
      <c r="E687" s="16"/>
      <c r="F687" s="14">
        <v>0.0</v>
      </c>
      <c r="G687" s="14" t="b">
        <v>0</v>
      </c>
    </row>
    <row r="688">
      <c r="A688" s="16"/>
      <c r="B688" s="16"/>
      <c r="C688" s="16"/>
      <c r="D688" s="16"/>
      <c r="E688" s="16"/>
      <c r="F688" s="14">
        <v>0.0</v>
      </c>
      <c r="G688" s="14" t="b">
        <v>0</v>
      </c>
    </row>
    <row r="689">
      <c r="A689" s="16"/>
      <c r="B689" s="16"/>
      <c r="C689" s="16"/>
      <c r="D689" s="16"/>
      <c r="E689" s="16"/>
      <c r="F689" s="14">
        <v>0.0</v>
      </c>
      <c r="G689" s="14" t="b">
        <v>0</v>
      </c>
    </row>
    <row r="690">
      <c r="A690" s="16"/>
      <c r="B690" s="16"/>
      <c r="C690" s="16"/>
      <c r="D690" s="16"/>
      <c r="E690" s="16"/>
      <c r="F690" s="14">
        <v>0.0</v>
      </c>
      <c r="G690" s="14" t="b">
        <v>0</v>
      </c>
    </row>
    <row r="691">
      <c r="A691" s="16"/>
      <c r="B691" s="16"/>
      <c r="C691" s="16"/>
      <c r="D691" s="16"/>
      <c r="E691" s="16"/>
      <c r="F691" s="14">
        <v>0.0</v>
      </c>
      <c r="G691" s="14" t="b">
        <v>0</v>
      </c>
    </row>
    <row r="692">
      <c r="A692" s="16"/>
      <c r="B692" s="16"/>
      <c r="C692" s="16"/>
      <c r="D692" s="16"/>
      <c r="E692" s="16"/>
      <c r="F692" s="14">
        <v>0.0</v>
      </c>
      <c r="G692" s="14" t="b">
        <v>0</v>
      </c>
    </row>
    <row r="693">
      <c r="A693" s="16"/>
      <c r="B693" s="16"/>
      <c r="C693" s="16"/>
      <c r="D693" s="16"/>
      <c r="E693" s="16"/>
      <c r="F693" s="14">
        <v>0.0</v>
      </c>
      <c r="G693" s="14" t="b">
        <v>0</v>
      </c>
    </row>
    <row r="694">
      <c r="A694" s="16"/>
      <c r="B694" s="16"/>
      <c r="C694" s="16"/>
      <c r="D694" s="16"/>
      <c r="E694" s="16"/>
      <c r="F694" s="14">
        <v>0.0</v>
      </c>
      <c r="G694" s="14" t="b">
        <v>0</v>
      </c>
    </row>
    <row r="695">
      <c r="A695" s="16"/>
      <c r="B695" s="16"/>
      <c r="C695" s="16"/>
      <c r="D695" s="16"/>
      <c r="E695" s="16"/>
      <c r="F695" s="14">
        <v>0.0</v>
      </c>
      <c r="G695" s="14" t="b">
        <v>0</v>
      </c>
    </row>
    <row r="696">
      <c r="A696" s="16"/>
      <c r="B696" s="16"/>
      <c r="C696" s="16"/>
      <c r="D696" s="16"/>
      <c r="E696" s="16"/>
      <c r="F696" s="14">
        <v>0.0</v>
      </c>
      <c r="G696" s="14" t="b">
        <v>0</v>
      </c>
    </row>
    <row r="697">
      <c r="A697" s="16"/>
      <c r="B697" s="16"/>
      <c r="C697" s="16"/>
      <c r="D697" s="16"/>
      <c r="E697" s="16"/>
      <c r="F697" s="14">
        <v>0.0</v>
      </c>
      <c r="G697" s="14" t="b">
        <v>0</v>
      </c>
    </row>
    <row r="698">
      <c r="A698" s="16"/>
      <c r="B698" s="16"/>
      <c r="C698" s="16"/>
      <c r="D698" s="16"/>
      <c r="E698" s="16"/>
      <c r="F698" s="14">
        <v>0.0</v>
      </c>
      <c r="G698" s="14" t="b">
        <v>0</v>
      </c>
    </row>
    <row r="699">
      <c r="A699" s="16"/>
      <c r="B699" s="16"/>
      <c r="C699" s="16"/>
      <c r="D699" s="16"/>
      <c r="E699" s="16"/>
      <c r="F699" s="14">
        <v>0.0</v>
      </c>
      <c r="G699" s="14" t="b">
        <v>0</v>
      </c>
    </row>
    <row r="700">
      <c r="A700" s="16"/>
      <c r="B700" s="16"/>
      <c r="C700" s="16"/>
      <c r="D700" s="16"/>
      <c r="E700" s="16"/>
      <c r="F700" s="14">
        <v>0.0</v>
      </c>
      <c r="G700" s="14" t="b">
        <v>0</v>
      </c>
    </row>
    <row r="701">
      <c r="A701" s="16"/>
      <c r="B701" s="16"/>
      <c r="C701" s="16"/>
      <c r="D701" s="16"/>
      <c r="E701" s="16"/>
      <c r="F701" s="14">
        <v>0.0</v>
      </c>
      <c r="G701" s="14" t="b">
        <v>0</v>
      </c>
    </row>
    <row r="702">
      <c r="A702" s="16"/>
      <c r="B702" s="16"/>
      <c r="C702" s="16"/>
      <c r="D702" s="16"/>
      <c r="E702" s="16"/>
      <c r="F702" s="14">
        <v>0.0</v>
      </c>
      <c r="G702" s="14" t="b">
        <v>0</v>
      </c>
    </row>
    <row r="703">
      <c r="A703" s="16"/>
      <c r="B703" s="16"/>
      <c r="C703" s="16"/>
      <c r="D703" s="16"/>
      <c r="E703" s="16"/>
      <c r="F703" s="14">
        <v>0.0</v>
      </c>
      <c r="G703" s="14" t="b">
        <v>0</v>
      </c>
    </row>
    <row r="704">
      <c r="A704" s="16"/>
      <c r="B704" s="16"/>
      <c r="C704" s="16"/>
      <c r="D704" s="16"/>
      <c r="E704" s="16"/>
      <c r="F704" s="14">
        <v>0.0</v>
      </c>
      <c r="G704" s="14" t="b">
        <v>0</v>
      </c>
    </row>
    <row r="705">
      <c r="A705" s="16"/>
      <c r="B705" s="16"/>
      <c r="C705" s="16"/>
      <c r="D705" s="16"/>
      <c r="E705" s="16"/>
      <c r="F705" s="14">
        <v>0.0</v>
      </c>
      <c r="G705" s="14" t="b">
        <v>0</v>
      </c>
    </row>
    <row r="706">
      <c r="A706" s="16"/>
      <c r="B706" s="16"/>
      <c r="C706" s="16"/>
      <c r="D706" s="16"/>
      <c r="E706" s="16"/>
      <c r="F706" s="14">
        <v>0.0</v>
      </c>
      <c r="G706" s="14" t="b">
        <v>0</v>
      </c>
    </row>
    <row r="707">
      <c r="A707" s="16"/>
      <c r="B707" s="16"/>
      <c r="C707" s="16"/>
      <c r="D707" s="16"/>
      <c r="E707" s="16"/>
      <c r="F707" s="14">
        <v>0.0</v>
      </c>
      <c r="G707" s="14" t="b">
        <v>0</v>
      </c>
    </row>
    <row r="708">
      <c r="A708" s="16"/>
      <c r="B708" s="16"/>
      <c r="C708" s="16"/>
      <c r="D708" s="16"/>
      <c r="E708" s="16"/>
      <c r="F708" s="14">
        <v>0.0</v>
      </c>
      <c r="G708" s="14" t="b">
        <v>0</v>
      </c>
    </row>
    <row r="709">
      <c r="A709" s="16"/>
      <c r="B709" s="16"/>
      <c r="C709" s="16"/>
      <c r="D709" s="16"/>
      <c r="E709" s="16"/>
      <c r="F709" s="14">
        <v>0.0</v>
      </c>
      <c r="G709" s="14" t="b">
        <v>0</v>
      </c>
    </row>
    <row r="710">
      <c r="A710" s="16"/>
      <c r="B710" s="16"/>
      <c r="C710" s="16"/>
      <c r="D710" s="16"/>
      <c r="E710" s="16"/>
      <c r="F710" s="14">
        <v>0.0</v>
      </c>
      <c r="G710" s="14" t="b">
        <v>0</v>
      </c>
    </row>
    <row r="711">
      <c r="A711" s="16"/>
      <c r="B711" s="16"/>
      <c r="C711" s="16"/>
      <c r="D711" s="16"/>
      <c r="E711" s="16"/>
      <c r="F711" s="14">
        <v>0.0</v>
      </c>
      <c r="G711" s="14" t="b">
        <v>0</v>
      </c>
    </row>
    <row r="712">
      <c r="A712" s="16"/>
      <c r="B712" s="16"/>
      <c r="C712" s="16"/>
      <c r="D712" s="16"/>
      <c r="E712" s="16"/>
      <c r="F712" s="14">
        <v>0.0</v>
      </c>
      <c r="G712" s="14" t="b">
        <v>0</v>
      </c>
    </row>
    <row r="713">
      <c r="A713" s="16"/>
      <c r="B713" s="16"/>
      <c r="C713" s="16"/>
      <c r="D713" s="16"/>
      <c r="E713" s="16"/>
      <c r="F713" s="14">
        <v>0.0</v>
      </c>
      <c r="G713" s="14" t="b">
        <v>0</v>
      </c>
    </row>
    <row r="714">
      <c r="A714" s="16"/>
      <c r="B714" s="16"/>
      <c r="C714" s="16"/>
      <c r="D714" s="16"/>
      <c r="E714" s="16"/>
      <c r="F714" s="14">
        <v>0.0</v>
      </c>
      <c r="G714" s="14" t="b">
        <v>0</v>
      </c>
    </row>
    <row r="715">
      <c r="A715" s="16"/>
      <c r="B715" s="16"/>
      <c r="C715" s="16"/>
      <c r="D715" s="16"/>
      <c r="E715" s="16"/>
      <c r="F715" s="14">
        <v>0.0</v>
      </c>
      <c r="G715" s="14" t="b">
        <v>0</v>
      </c>
    </row>
    <row r="716">
      <c r="A716" s="16"/>
      <c r="B716" s="16"/>
      <c r="C716" s="16"/>
      <c r="D716" s="16"/>
      <c r="E716" s="16"/>
      <c r="F716" s="14">
        <v>0.0</v>
      </c>
      <c r="G716" s="14" t="b">
        <v>0</v>
      </c>
    </row>
    <row r="717">
      <c r="A717" s="16"/>
      <c r="B717" s="16"/>
      <c r="C717" s="16"/>
      <c r="D717" s="16"/>
      <c r="E717" s="16"/>
      <c r="F717" s="14">
        <v>0.0</v>
      </c>
      <c r="G717" s="14" t="b">
        <v>0</v>
      </c>
    </row>
    <row r="718">
      <c r="A718" s="16"/>
      <c r="B718" s="16"/>
      <c r="C718" s="16"/>
      <c r="D718" s="16"/>
      <c r="E718" s="16"/>
      <c r="F718" s="14">
        <v>0.0</v>
      </c>
      <c r="G718" s="14" t="b">
        <v>0</v>
      </c>
    </row>
    <row r="719">
      <c r="A719" s="16"/>
      <c r="B719" s="16"/>
      <c r="C719" s="16"/>
      <c r="D719" s="16"/>
      <c r="E719" s="16"/>
      <c r="F719" s="14">
        <v>0.0</v>
      </c>
      <c r="G719" s="14" t="b">
        <v>0</v>
      </c>
    </row>
    <row r="720">
      <c r="A720" s="16"/>
      <c r="B720" s="16"/>
      <c r="C720" s="16"/>
      <c r="D720" s="16"/>
      <c r="E720" s="16"/>
      <c r="F720" s="14">
        <v>0.0</v>
      </c>
      <c r="G720" s="14" t="b">
        <v>0</v>
      </c>
    </row>
    <row r="721">
      <c r="A721" s="16"/>
      <c r="B721" s="16"/>
      <c r="C721" s="16"/>
      <c r="D721" s="16"/>
      <c r="E721" s="16"/>
      <c r="F721" s="14">
        <v>0.0</v>
      </c>
      <c r="G721" s="14" t="b">
        <v>0</v>
      </c>
    </row>
    <row r="722">
      <c r="A722" s="16"/>
      <c r="B722" s="16"/>
      <c r="C722" s="16"/>
      <c r="D722" s="16"/>
      <c r="E722" s="16"/>
      <c r="F722" s="14">
        <v>0.0</v>
      </c>
      <c r="G722" s="14" t="b">
        <v>0</v>
      </c>
    </row>
    <row r="723">
      <c r="A723" s="16"/>
      <c r="B723" s="16"/>
      <c r="C723" s="16"/>
      <c r="D723" s="16"/>
      <c r="E723" s="16"/>
      <c r="F723" s="14">
        <v>0.0</v>
      </c>
      <c r="G723" s="14" t="b">
        <v>0</v>
      </c>
    </row>
    <row r="724">
      <c r="A724" s="16"/>
      <c r="B724" s="16"/>
      <c r="C724" s="16"/>
      <c r="D724" s="16"/>
      <c r="E724" s="16"/>
      <c r="F724" s="14">
        <v>0.0</v>
      </c>
      <c r="G724" s="14" t="b">
        <v>0</v>
      </c>
    </row>
    <row r="725">
      <c r="A725" s="16"/>
      <c r="B725" s="16"/>
      <c r="C725" s="16"/>
      <c r="D725" s="16"/>
      <c r="E725" s="16"/>
      <c r="F725" s="14">
        <v>0.0</v>
      </c>
      <c r="G725" s="14" t="b">
        <v>0</v>
      </c>
    </row>
    <row r="726">
      <c r="A726" s="16"/>
      <c r="B726" s="16"/>
      <c r="C726" s="16"/>
      <c r="D726" s="16"/>
      <c r="E726" s="16"/>
      <c r="F726" s="14">
        <v>0.0</v>
      </c>
      <c r="G726" s="14" t="b">
        <v>0</v>
      </c>
    </row>
    <row r="727">
      <c r="A727" s="16"/>
      <c r="B727" s="16"/>
      <c r="C727" s="16"/>
      <c r="D727" s="16"/>
      <c r="E727" s="16"/>
      <c r="F727" s="14">
        <v>0.0</v>
      </c>
      <c r="G727" s="14" t="b">
        <v>0</v>
      </c>
    </row>
    <row r="728">
      <c r="A728" s="16"/>
      <c r="B728" s="16"/>
      <c r="C728" s="16"/>
      <c r="D728" s="16"/>
      <c r="E728" s="16"/>
      <c r="F728" s="14">
        <v>0.0</v>
      </c>
      <c r="G728" s="14" t="b">
        <v>0</v>
      </c>
    </row>
    <row r="729">
      <c r="A729" s="16"/>
      <c r="B729" s="16"/>
      <c r="C729" s="16"/>
      <c r="D729" s="16"/>
      <c r="E729" s="16"/>
      <c r="F729" s="14">
        <v>0.0</v>
      </c>
      <c r="G729" s="14" t="b">
        <v>0</v>
      </c>
    </row>
    <row r="730">
      <c r="A730" s="16"/>
      <c r="B730" s="16"/>
      <c r="C730" s="16"/>
      <c r="D730" s="16"/>
      <c r="E730" s="16"/>
      <c r="F730" s="14">
        <v>0.0</v>
      </c>
      <c r="G730" s="14" t="b">
        <v>0</v>
      </c>
    </row>
    <row r="731">
      <c r="A731" s="16"/>
      <c r="B731" s="16"/>
      <c r="C731" s="16"/>
      <c r="D731" s="16"/>
      <c r="E731" s="16"/>
      <c r="F731" s="14">
        <v>0.0</v>
      </c>
      <c r="G731" s="14" t="b">
        <v>0</v>
      </c>
    </row>
    <row r="732">
      <c r="A732" s="16"/>
      <c r="B732" s="16"/>
      <c r="C732" s="16"/>
      <c r="D732" s="16"/>
      <c r="E732" s="16"/>
      <c r="F732" s="14">
        <v>0.0</v>
      </c>
      <c r="G732" s="14" t="b">
        <v>0</v>
      </c>
    </row>
    <row r="733">
      <c r="A733" s="16"/>
      <c r="B733" s="16"/>
      <c r="C733" s="16"/>
      <c r="D733" s="16"/>
      <c r="E733" s="16"/>
      <c r="F733" s="14">
        <v>0.0</v>
      </c>
      <c r="G733" s="14" t="b">
        <v>0</v>
      </c>
    </row>
    <row r="734">
      <c r="A734" s="16"/>
      <c r="B734" s="16"/>
      <c r="C734" s="16"/>
      <c r="D734" s="16"/>
      <c r="E734" s="16"/>
      <c r="F734" s="14">
        <v>0.0</v>
      </c>
      <c r="G734" s="14" t="b">
        <v>0</v>
      </c>
    </row>
    <row r="735">
      <c r="A735" s="16"/>
      <c r="B735" s="16"/>
      <c r="C735" s="16"/>
      <c r="D735" s="16"/>
      <c r="E735" s="16"/>
      <c r="F735" s="14">
        <v>0.0</v>
      </c>
      <c r="G735" s="14" t="b">
        <v>0</v>
      </c>
    </row>
    <row r="736">
      <c r="A736" s="16"/>
      <c r="B736" s="16"/>
      <c r="C736" s="16"/>
      <c r="D736" s="16"/>
      <c r="E736" s="16"/>
      <c r="F736" s="14">
        <v>0.0</v>
      </c>
      <c r="G736" s="14" t="b">
        <v>0</v>
      </c>
    </row>
    <row r="737">
      <c r="A737" s="16"/>
      <c r="B737" s="16"/>
      <c r="C737" s="16"/>
      <c r="D737" s="16"/>
      <c r="E737" s="16"/>
      <c r="F737" s="14">
        <v>0.0</v>
      </c>
      <c r="G737" s="14" t="b">
        <v>0</v>
      </c>
    </row>
    <row r="738">
      <c r="A738" s="16"/>
      <c r="B738" s="16"/>
      <c r="C738" s="16"/>
      <c r="D738" s="16"/>
      <c r="E738" s="16"/>
      <c r="F738" s="14">
        <v>0.0</v>
      </c>
      <c r="G738" s="14" t="b">
        <v>0</v>
      </c>
    </row>
    <row r="739">
      <c r="A739" s="16"/>
      <c r="B739" s="16"/>
      <c r="C739" s="16"/>
      <c r="D739" s="16"/>
      <c r="E739" s="16"/>
      <c r="F739" s="14">
        <v>0.0</v>
      </c>
      <c r="G739" s="14" t="b">
        <v>0</v>
      </c>
    </row>
    <row r="740">
      <c r="A740" s="16"/>
      <c r="B740" s="16"/>
      <c r="C740" s="16"/>
      <c r="D740" s="16"/>
      <c r="E740" s="16"/>
      <c r="F740" s="14">
        <v>0.0</v>
      </c>
      <c r="G740" s="14" t="b">
        <v>0</v>
      </c>
    </row>
    <row r="741">
      <c r="A741" s="16"/>
      <c r="B741" s="16"/>
      <c r="C741" s="16"/>
      <c r="D741" s="16"/>
      <c r="E741" s="16"/>
      <c r="F741" s="14">
        <v>0.0</v>
      </c>
      <c r="G741" s="14" t="b">
        <v>0</v>
      </c>
    </row>
    <row r="742">
      <c r="A742" s="16"/>
      <c r="B742" s="16"/>
      <c r="C742" s="16"/>
      <c r="D742" s="16"/>
      <c r="E742" s="16"/>
      <c r="F742" s="14">
        <v>0.0</v>
      </c>
      <c r="G742" s="14" t="b">
        <v>0</v>
      </c>
    </row>
    <row r="743">
      <c r="A743" s="16"/>
      <c r="B743" s="16"/>
      <c r="C743" s="16"/>
      <c r="D743" s="16"/>
      <c r="E743" s="16"/>
      <c r="F743" s="14">
        <v>0.0</v>
      </c>
      <c r="G743" s="14" t="b">
        <v>0</v>
      </c>
    </row>
    <row r="744">
      <c r="A744" s="16"/>
      <c r="B744" s="16"/>
      <c r="C744" s="16"/>
      <c r="D744" s="16"/>
      <c r="E744" s="16"/>
      <c r="F744" s="14">
        <v>0.0</v>
      </c>
      <c r="G744" s="14" t="b">
        <v>0</v>
      </c>
    </row>
    <row r="745">
      <c r="A745" s="16"/>
      <c r="B745" s="16"/>
      <c r="C745" s="16"/>
      <c r="D745" s="16"/>
      <c r="E745" s="16"/>
      <c r="F745" s="14">
        <v>0.0</v>
      </c>
      <c r="G745" s="14" t="b">
        <v>0</v>
      </c>
    </row>
    <row r="746">
      <c r="A746" s="16"/>
      <c r="B746" s="16"/>
      <c r="C746" s="16"/>
      <c r="D746" s="16"/>
      <c r="E746" s="16"/>
      <c r="F746" s="14">
        <v>0.0</v>
      </c>
      <c r="G746" s="14" t="b">
        <v>0</v>
      </c>
    </row>
    <row r="747">
      <c r="A747" s="16"/>
      <c r="B747" s="16"/>
      <c r="C747" s="16"/>
      <c r="D747" s="16"/>
      <c r="E747" s="16"/>
      <c r="F747" s="14">
        <v>0.0</v>
      </c>
      <c r="G747" s="14" t="b">
        <v>0</v>
      </c>
    </row>
    <row r="748">
      <c r="A748" s="16"/>
      <c r="B748" s="16"/>
      <c r="C748" s="16"/>
      <c r="D748" s="16"/>
      <c r="E748" s="16"/>
      <c r="F748" s="14">
        <v>0.0</v>
      </c>
      <c r="G748" s="14" t="b">
        <v>0</v>
      </c>
    </row>
    <row r="749">
      <c r="A749" s="16"/>
      <c r="B749" s="16"/>
      <c r="C749" s="16"/>
      <c r="D749" s="16"/>
      <c r="E749" s="16"/>
      <c r="F749" s="14">
        <v>0.0</v>
      </c>
      <c r="G749" s="14" t="b">
        <v>0</v>
      </c>
    </row>
    <row r="750">
      <c r="A750" s="16"/>
      <c r="B750" s="16"/>
      <c r="C750" s="16"/>
      <c r="D750" s="16"/>
      <c r="E750" s="16"/>
      <c r="F750" s="14">
        <v>0.0</v>
      </c>
      <c r="G750" s="14" t="b">
        <v>0</v>
      </c>
    </row>
    <row r="751">
      <c r="A751" s="16"/>
      <c r="B751" s="16"/>
      <c r="C751" s="16"/>
      <c r="D751" s="16"/>
      <c r="E751" s="16"/>
      <c r="F751" s="14">
        <v>0.0</v>
      </c>
      <c r="G751" s="14" t="b">
        <v>0</v>
      </c>
    </row>
    <row r="752">
      <c r="A752" s="16"/>
      <c r="B752" s="16"/>
      <c r="C752" s="16"/>
      <c r="D752" s="16"/>
      <c r="E752" s="16"/>
      <c r="F752" s="14">
        <v>0.0</v>
      </c>
      <c r="G752" s="14" t="b">
        <v>0</v>
      </c>
    </row>
    <row r="753">
      <c r="A753" s="16"/>
      <c r="B753" s="16"/>
      <c r="C753" s="16"/>
      <c r="D753" s="16"/>
      <c r="E753" s="16"/>
      <c r="F753" s="14">
        <v>0.0</v>
      </c>
      <c r="G753" s="14" t="b">
        <v>0</v>
      </c>
    </row>
    <row r="754">
      <c r="A754" s="16"/>
      <c r="B754" s="16"/>
      <c r="C754" s="16"/>
      <c r="D754" s="16"/>
      <c r="E754" s="16"/>
      <c r="F754" s="14">
        <v>0.0</v>
      </c>
      <c r="G754" s="14" t="b">
        <v>0</v>
      </c>
    </row>
    <row r="755">
      <c r="A755" s="16"/>
      <c r="B755" s="16"/>
      <c r="C755" s="16"/>
      <c r="D755" s="16"/>
      <c r="E755" s="16"/>
      <c r="F755" s="14">
        <v>0.0</v>
      </c>
      <c r="G755" s="14" t="b">
        <v>0</v>
      </c>
    </row>
    <row r="756">
      <c r="A756" s="16"/>
      <c r="B756" s="16"/>
      <c r="C756" s="16"/>
      <c r="D756" s="16"/>
      <c r="E756" s="16"/>
      <c r="F756" s="14">
        <v>0.0</v>
      </c>
      <c r="G756" s="14" t="b">
        <v>0</v>
      </c>
    </row>
    <row r="757">
      <c r="A757" s="16"/>
      <c r="B757" s="16"/>
      <c r="C757" s="16"/>
      <c r="D757" s="16"/>
      <c r="E757" s="16"/>
      <c r="F757" s="14">
        <v>0.0</v>
      </c>
      <c r="G757" s="14" t="b">
        <v>0</v>
      </c>
    </row>
    <row r="758">
      <c r="A758" s="16"/>
      <c r="B758" s="16"/>
      <c r="C758" s="16"/>
      <c r="D758" s="16"/>
      <c r="E758" s="16"/>
      <c r="F758" s="14">
        <v>0.0</v>
      </c>
      <c r="G758" s="14" t="b">
        <v>0</v>
      </c>
    </row>
    <row r="759">
      <c r="A759" s="16"/>
      <c r="B759" s="16"/>
      <c r="C759" s="16"/>
      <c r="D759" s="16"/>
      <c r="E759" s="16"/>
      <c r="F759" s="14">
        <v>0.0</v>
      </c>
      <c r="G759" s="14" t="b">
        <v>0</v>
      </c>
    </row>
    <row r="760">
      <c r="A760" s="16"/>
      <c r="B760" s="16"/>
      <c r="C760" s="16"/>
      <c r="D760" s="16"/>
      <c r="E760" s="16"/>
      <c r="F760" s="14">
        <v>0.0</v>
      </c>
      <c r="G760" s="14" t="b">
        <v>0</v>
      </c>
    </row>
    <row r="761">
      <c r="A761" s="16"/>
      <c r="B761" s="16"/>
      <c r="C761" s="16"/>
      <c r="D761" s="16"/>
      <c r="E761" s="16"/>
      <c r="F761" s="14">
        <v>0.0</v>
      </c>
      <c r="G761" s="14" t="b">
        <v>0</v>
      </c>
    </row>
    <row r="762">
      <c r="A762" s="16"/>
      <c r="B762" s="16"/>
      <c r="C762" s="16"/>
      <c r="D762" s="16"/>
      <c r="E762" s="16"/>
      <c r="F762" s="14">
        <v>0.0</v>
      </c>
      <c r="G762" s="14" t="b">
        <v>0</v>
      </c>
    </row>
    <row r="763">
      <c r="A763" s="16"/>
      <c r="B763" s="16"/>
      <c r="C763" s="16"/>
      <c r="D763" s="16"/>
      <c r="E763" s="16"/>
      <c r="F763" s="14">
        <v>0.0</v>
      </c>
      <c r="G763" s="14" t="b">
        <v>0</v>
      </c>
    </row>
    <row r="764">
      <c r="A764" s="16"/>
      <c r="B764" s="16"/>
      <c r="C764" s="16"/>
      <c r="D764" s="16"/>
      <c r="E764" s="16"/>
      <c r="F764" s="14">
        <v>0.0</v>
      </c>
      <c r="G764" s="14" t="b">
        <v>0</v>
      </c>
    </row>
    <row r="765">
      <c r="A765" s="16"/>
      <c r="B765" s="16"/>
      <c r="C765" s="16"/>
      <c r="D765" s="16"/>
      <c r="E765" s="16"/>
      <c r="F765" s="14">
        <v>0.0</v>
      </c>
      <c r="G765" s="14" t="b">
        <v>0</v>
      </c>
    </row>
    <row r="766">
      <c r="A766" s="16"/>
      <c r="B766" s="16"/>
      <c r="C766" s="16"/>
      <c r="D766" s="16"/>
      <c r="E766" s="16"/>
      <c r="F766" s="14">
        <v>0.0</v>
      </c>
      <c r="G766" s="14" t="b">
        <v>0</v>
      </c>
    </row>
    <row r="767">
      <c r="A767" s="16"/>
      <c r="B767" s="16"/>
      <c r="C767" s="16"/>
      <c r="D767" s="16"/>
      <c r="E767" s="16"/>
      <c r="F767" s="14">
        <v>0.0</v>
      </c>
      <c r="G767" s="14" t="b">
        <v>0</v>
      </c>
    </row>
    <row r="768">
      <c r="A768" s="16"/>
      <c r="B768" s="16"/>
      <c r="C768" s="16"/>
      <c r="D768" s="16"/>
      <c r="E768" s="16"/>
      <c r="F768" s="14">
        <v>0.0</v>
      </c>
      <c r="G768" s="14" t="b">
        <v>0</v>
      </c>
    </row>
    <row r="769">
      <c r="A769" s="16"/>
      <c r="B769" s="16"/>
      <c r="C769" s="16"/>
      <c r="D769" s="16"/>
      <c r="E769" s="16"/>
      <c r="F769" s="14">
        <v>0.0</v>
      </c>
      <c r="G769" s="14" t="b">
        <v>0</v>
      </c>
    </row>
    <row r="770">
      <c r="A770" s="16"/>
      <c r="B770" s="16"/>
      <c r="C770" s="16"/>
      <c r="D770" s="16"/>
      <c r="E770" s="16"/>
      <c r="F770" s="14">
        <v>0.0</v>
      </c>
      <c r="G770" s="14" t="b">
        <v>0</v>
      </c>
    </row>
    <row r="771">
      <c r="A771" s="16"/>
      <c r="B771" s="16"/>
      <c r="C771" s="16"/>
      <c r="D771" s="16"/>
      <c r="E771" s="16"/>
      <c r="F771" s="14">
        <v>0.0</v>
      </c>
      <c r="G771" s="14" t="b">
        <v>0</v>
      </c>
    </row>
    <row r="772">
      <c r="A772" s="16"/>
      <c r="B772" s="16"/>
      <c r="C772" s="16"/>
      <c r="D772" s="16"/>
      <c r="E772" s="16"/>
      <c r="F772" s="14">
        <v>0.0</v>
      </c>
      <c r="G772" s="14" t="b">
        <v>0</v>
      </c>
    </row>
    <row r="773">
      <c r="A773" s="16"/>
      <c r="B773" s="16"/>
      <c r="C773" s="16"/>
      <c r="D773" s="16"/>
      <c r="E773" s="16"/>
      <c r="F773" s="14">
        <v>0.0</v>
      </c>
      <c r="G773" s="14" t="b">
        <v>0</v>
      </c>
    </row>
    <row r="774">
      <c r="A774" s="16"/>
      <c r="B774" s="16"/>
      <c r="C774" s="16"/>
      <c r="D774" s="16"/>
      <c r="E774" s="16"/>
      <c r="F774" s="14">
        <v>0.0</v>
      </c>
      <c r="G774" s="14" t="b">
        <v>0</v>
      </c>
    </row>
    <row r="775">
      <c r="A775" s="16"/>
      <c r="B775" s="16"/>
      <c r="C775" s="16"/>
      <c r="D775" s="16"/>
      <c r="E775" s="16"/>
      <c r="F775" s="14">
        <v>0.0</v>
      </c>
      <c r="G775" s="14" t="b">
        <v>0</v>
      </c>
    </row>
    <row r="776">
      <c r="A776" s="16"/>
      <c r="B776" s="16"/>
      <c r="C776" s="16"/>
      <c r="D776" s="16"/>
      <c r="E776" s="16"/>
      <c r="F776" s="14">
        <v>0.0</v>
      </c>
      <c r="G776" s="14" t="b">
        <v>0</v>
      </c>
    </row>
    <row r="777">
      <c r="A777" s="16"/>
      <c r="B777" s="16"/>
      <c r="C777" s="16"/>
      <c r="D777" s="16"/>
      <c r="E777" s="16"/>
      <c r="F777" s="14">
        <v>0.0</v>
      </c>
      <c r="G777" s="14" t="b">
        <v>0</v>
      </c>
    </row>
    <row r="778">
      <c r="A778" s="16"/>
      <c r="B778" s="16"/>
      <c r="C778" s="16"/>
      <c r="D778" s="16"/>
      <c r="E778" s="16"/>
      <c r="F778" s="14">
        <v>0.0</v>
      </c>
      <c r="G778" s="14" t="b">
        <v>0</v>
      </c>
    </row>
    <row r="779">
      <c r="A779" s="16"/>
      <c r="B779" s="16"/>
      <c r="C779" s="16"/>
      <c r="D779" s="16"/>
      <c r="E779" s="16"/>
      <c r="F779" s="14">
        <v>0.0</v>
      </c>
      <c r="G779" s="14" t="b">
        <v>0</v>
      </c>
    </row>
    <row r="780">
      <c r="A780" s="16"/>
      <c r="B780" s="16"/>
      <c r="C780" s="16"/>
      <c r="D780" s="16"/>
      <c r="E780" s="16"/>
      <c r="F780" s="14">
        <v>0.0</v>
      </c>
      <c r="G780" s="14" t="b">
        <v>0</v>
      </c>
    </row>
    <row r="781">
      <c r="A781" s="16"/>
      <c r="B781" s="16"/>
      <c r="C781" s="16"/>
      <c r="D781" s="16"/>
      <c r="E781" s="16"/>
      <c r="F781" s="14">
        <v>0.0</v>
      </c>
      <c r="G781" s="14" t="b">
        <v>0</v>
      </c>
    </row>
    <row r="782">
      <c r="A782" s="16"/>
      <c r="B782" s="16"/>
      <c r="C782" s="16"/>
      <c r="D782" s="16"/>
      <c r="E782" s="16"/>
      <c r="F782" s="14">
        <v>0.0</v>
      </c>
      <c r="G782" s="14" t="b">
        <v>0</v>
      </c>
    </row>
    <row r="783">
      <c r="A783" s="16"/>
      <c r="B783" s="16"/>
      <c r="C783" s="16"/>
      <c r="D783" s="16"/>
      <c r="E783" s="16"/>
      <c r="F783" s="14">
        <v>0.0</v>
      </c>
      <c r="G783" s="14" t="b">
        <v>0</v>
      </c>
    </row>
    <row r="784">
      <c r="A784" s="16"/>
      <c r="B784" s="16"/>
      <c r="C784" s="16"/>
      <c r="D784" s="16"/>
      <c r="E784" s="16"/>
      <c r="F784" s="14">
        <v>0.0</v>
      </c>
      <c r="G784" s="14" t="b">
        <v>0</v>
      </c>
    </row>
    <row r="785">
      <c r="A785" s="16"/>
      <c r="B785" s="16"/>
      <c r="C785" s="16"/>
      <c r="D785" s="16"/>
      <c r="E785" s="16"/>
      <c r="F785" s="14">
        <v>0.0</v>
      </c>
      <c r="G785" s="14" t="b">
        <v>0</v>
      </c>
    </row>
    <row r="786">
      <c r="A786" s="16"/>
      <c r="B786" s="16"/>
      <c r="C786" s="16"/>
      <c r="D786" s="16"/>
      <c r="E786" s="16"/>
      <c r="F786" s="14">
        <v>0.0</v>
      </c>
      <c r="G786" s="14" t="b">
        <v>0</v>
      </c>
    </row>
    <row r="787">
      <c r="A787" s="16"/>
      <c r="B787" s="16"/>
      <c r="C787" s="16"/>
      <c r="D787" s="16"/>
      <c r="E787" s="16"/>
      <c r="F787" s="14">
        <v>0.0</v>
      </c>
      <c r="G787" s="14" t="b">
        <v>0</v>
      </c>
    </row>
    <row r="788">
      <c r="A788" s="16"/>
      <c r="B788" s="16"/>
      <c r="C788" s="16"/>
      <c r="D788" s="16"/>
      <c r="E788" s="16"/>
      <c r="F788" s="14">
        <v>0.0</v>
      </c>
      <c r="G788" s="14" t="b">
        <v>0</v>
      </c>
    </row>
    <row r="789">
      <c r="A789" s="16"/>
      <c r="B789" s="16"/>
      <c r="C789" s="16"/>
      <c r="D789" s="16"/>
      <c r="E789" s="16"/>
      <c r="F789" s="14">
        <v>0.0</v>
      </c>
      <c r="G789" s="14" t="b">
        <v>0</v>
      </c>
    </row>
    <row r="790">
      <c r="A790" s="16"/>
      <c r="B790" s="16"/>
      <c r="C790" s="16"/>
      <c r="D790" s="16"/>
      <c r="E790" s="16"/>
      <c r="F790" s="14">
        <v>0.0</v>
      </c>
      <c r="G790" s="14" t="b">
        <v>0</v>
      </c>
    </row>
    <row r="791">
      <c r="A791" s="16"/>
      <c r="B791" s="16"/>
      <c r="C791" s="16"/>
      <c r="D791" s="16"/>
      <c r="E791" s="16"/>
      <c r="F791" s="14">
        <v>0.0</v>
      </c>
      <c r="G791" s="14" t="b">
        <v>0</v>
      </c>
    </row>
    <row r="792">
      <c r="A792" s="16"/>
      <c r="B792" s="16"/>
      <c r="C792" s="16"/>
      <c r="D792" s="16"/>
      <c r="E792" s="16"/>
      <c r="F792" s="14">
        <v>0.0</v>
      </c>
      <c r="G792" s="14" t="b">
        <v>0</v>
      </c>
    </row>
    <row r="793">
      <c r="A793" s="16"/>
      <c r="B793" s="16"/>
      <c r="C793" s="16"/>
      <c r="D793" s="16"/>
      <c r="E793" s="16"/>
      <c r="F793" s="14">
        <v>0.0</v>
      </c>
      <c r="G793" s="14" t="b">
        <v>0</v>
      </c>
    </row>
    <row r="794">
      <c r="A794" s="16"/>
      <c r="B794" s="16"/>
      <c r="C794" s="16"/>
      <c r="D794" s="16"/>
      <c r="E794" s="16"/>
      <c r="F794" s="14">
        <v>0.0</v>
      </c>
      <c r="G794" s="14" t="b">
        <v>0</v>
      </c>
    </row>
    <row r="795">
      <c r="A795" s="16"/>
      <c r="B795" s="16"/>
      <c r="C795" s="16"/>
      <c r="D795" s="16"/>
      <c r="E795" s="16"/>
      <c r="F795" s="14">
        <v>0.0</v>
      </c>
      <c r="G795" s="14" t="b">
        <v>0</v>
      </c>
    </row>
    <row r="796">
      <c r="A796" s="16"/>
      <c r="B796" s="16"/>
      <c r="C796" s="16"/>
      <c r="D796" s="16"/>
      <c r="E796" s="16"/>
      <c r="F796" s="14">
        <v>0.0</v>
      </c>
      <c r="G796" s="14" t="b">
        <v>0</v>
      </c>
    </row>
    <row r="797">
      <c r="A797" s="16"/>
      <c r="B797" s="16"/>
      <c r="C797" s="16"/>
      <c r="D797" s="16"/>
      <c r="E797" s="16"/>
      <c r="F797" s="14">
        <v>0.0</v>
      </c>
      <c r="G797" s="14" t="b">
        <v>0</v>
      </c>
    </row>
    <row r="798">
      <c r="A798" s="16"/>
      <c r="B798" s="16"/>
      <c r="C798" s="16"/>
      <c r="D798" s="16"/>
      <c r="E798" s="16"/>
      <c r="F798" s="14">
        <v>0.0</v>
      </c>
      <c r="G798" s="14" t="b">
        <v>0</v>
      </c>
    </row>
    <row r="799">
      <c r="A799" s="16"/>
      <c r="B799" s="16"/>
      <c r="C799" s="16"/>
      <c r="D799" s="16"/>
      <c r="E799" s="16"/>
      <c r="F799" s="14">
        <v>0.0</v>
      </c>
      <c r="G799" s="14" t="b">
        <v>0</v>
      </c>
    </row>
    <row r="800">
      <c r="A800" s="16"/>
      <c r="B800" s="16"/>
      <c r="C800" s="16"/>
      <c r="D800" s="16"/>
      <c r="E800" s="16"/>
      <c r="F800" s="14">
        <v>0.0</v>
      </c>
      <c r="G800" s="14" t="b">
        <v>0</v>
      </c>
    </row>
    <row r="801">
      <c r="A801" s="16"/>
      <c r="B801" s="16"/>
      <c r="C801" s="16"/>
      <c r="D801" s="16"/>
      <c r="E801" s="16"/>
      <c r="F801" s="14">
        <v>0.0</v>
      </c>
      <c r="G801" s="14" t="b">
        <v>0</v>
      </c>
    </row>
    <row r="802">
      <c r="A802" s="16"/>
      <c r="B802" s="16"/>
      <c r="C802" s="16"/>
      <c r="D802" s="16"/>
      <c r="E802" s="16"/>
      <c r="F802" s="14">
        <v>0.0</v>
      </c>
      <c r="G802" s="14" t="b">
        <v>0</v>
      </c>
    </row>
    <row r="803">
      <c r="A803" s="16"/>
      <c r="B803" s="16"/>
      <c r="C803" s="16"/>
      <c r="D803" s="16"/>
      <c r="E803" s="16"/>
      <c r="F803" s="14">
        <v>0.0</v>
      </c>
      <c r="G803" s="14" t="b">
        <v>0</v>
      </c>
    </row>
    <row r="804">
      <c r="A804" s="16"/>
      <c r="B804" s="16"/>
      <c r="C804" s="16"/>
      <c r="D804" s="16"/>
      <c r="E804" s="16"/>
      <c r="F804" s="14">
        <v>0.0</v>
      </c>
      <c r="G804" s="14" t="b">
        <v>0</v>
      </c>
    </row>
    <row r="805">
      <c r="A805" s="16"/>
      <c r="B805" s="16"/>
      <c r="C805" s="16"/>
      <c r="D805" s="16"/>
      <c r="E805" s="16"/>
      <c r="F805" s="14">
        <v>0.0</v>
      </c>
      <c r="G805" s="14" t="b">
        <v>0</v>
      </c>
    </row>
    <row r="806">
      <c r="A806" s="16"/>
      <c r="B806" s="16"/>
      <c r="C806" s="16"/>
      <c r="D806" s="16"/>
      <c r="E806" s="16"/>
      <c r="F806" s="14">
        <v>0.0</v>
      </c>
      <c r="G806" s="14" t="b">
        <v>0</v>
      </c>
    </row>
    <row r="807">
      <c r="A807" s="16"/>
      <c r="B807" s="16"/>
      <c r="C807" s="16"/>
      <c r="D807" s="16"/>
      <c r="E807" s="16"/>
      <c r="F807" s="14">
        <v>0.0</v>
      </c>
      <c r="G807" s="14" t="b">
        <v>0</v>
      </c>
    </row>
    <row r="808">
      <c r="A808" s="16"/>
      <c r="B808" s="16"/>
      <c r="C808" s="16"/>
      <c r="D808" s="16"/>
      <c r="E808" s="16"/>
      <c r="F808" s="14">
        <v>0.0</v>
      </c>
      <c r="G808" s="14" t="b">
        <v>0</v>
      </c>
    </row>
    <row r="809">
      <c r="A809" s="16"/>
      <c r="B809" s="16"/>
      <c r="C809" s="16"/>
      <c r="D809" s="16"/>
      <c r="E809" s="16"/>
      <c r="F809" s="14">
        <v>0.0</v>
      </c>
      <c r="G809" s="14" t="b">
        <v>0</v>
      </c>
    </row>
    <row r="810">
      <c r="A810" s="16"/>
      <c r="B810" s="16"/>
      <c r="C810" s="16"/>
      <c r="D810" s="16"/>
      <c r="E810" s="16"/>
      <c r="F810" s="14">
        <v>0.0</v>
      </c>
      <c r="G810" s="14" t="b">
        <v>0</v>
      </c>
    </row>
    <row r="811">
      <c r="A811" s="16"/>
      <c r="B811" s="16"/>
      <c r="C811" s="16"/>
      <c r="D811" s="16"/>
      <c r="E811" s="16"/>
      <c r="F811" s="14">
        <v>0.0</v>
      </c>
      <c r="G811" s="14" t="b">
        <v>0</v>
      </c>
    </row>
    <row r="812">
      <c r="A812" s="16"/>
      <c r="B812" s="16"/>
      <c r="C812" s="16"/>
      <c r="D812" s="16"/>
      <c r="E812" s="16"/>
      <c r="F812" s="14">
        <v>0.0</v>
      </c>
      <c r="G812" s="14" t="b">
        <v>0</v>
      </c>
    </row>
    <row r="813">
      <c r="A813" s="16"/>
      <c r="B813" s="16"/>
      <c r="C813" s="16"/>
      <c r="D813" s="16"/>
      <c r="E813" s="16"/>
      <c r="F813" s="14">
        <v>0.0</v>
      </c>
      <c r="G813" s="14" t="b">
        <v>0</v>
      </c>
    </row>
    <row r="814">
      <c r="A814" s="16"/>
      <c r="B814" s="16"/>
      <c r="C814" s="16"/>
      <c r="D814" s="16"/>
      <c r="E814" s="16"/>
      <c r="F814" s="14">
        <v>0.0</v>
      </c>
      <c r="G814" s="14" t="b">
        <v>0</v>
      </c>
    </row>
    <row r="815">
      <c r="A815" s="16"/>
      <c r="B815" s="16"/>
      <c r="C815" s="16"/>
      <c r="D815" s="16"/>
      <c r="E815" s="16"/>
      <c r="F815" s="14">
        <v>0.0</v>
      </c>
      <c r="G815" s="14" t="b">
        <v>0</v>
      </c>
    </row>
    <row r="816">
      <c r="A816" s="16"/>
      <c r="B816" s="16"/>
      <c r="C816" s="16"/>
      <c r="D816" s="16"/>
      <c r="E816" s="16"/>
      <c r="F816" s="14">
        <v>0.0</v>
      </c>
      <c r="G816" s="14" t="b">
        <v>0</v>
      </c>
    </row>
    <row r="817">
      <c r="A817" s="16"/>
      <c r="B817" s="16"/>
      <c r="C817" s="16"/>
      <c r="D817" s="16"/>
      <c r="E817" s="16"/>
      <c r="F817" s="14">
        <v>0.0</v>
      </c>
      <c r="G817" s="14" t="b">
        <v>0</v>
      </c>
    </row>
    <row r="818">
      <c r="A818" s="16"/>
      <c r="B818" s="16"/>
      <c r="C818" s="16"/>
      <c r="D818" s="16"/>
      <c r="E818" s="16"/>
      <c r="F818" s="14">
        <v>0.0</v>
      </c>
      <c r="G818" s="14" t="b">
        <v>0</v>
      </c>
    </row>
    <row r="819">
      <c r="A819" s="16"/>
      <c r="B819" s="16"/>
      <c r="C819" s="16"/>
      <c r="D819" s="16"/>
      <c r="E819" s="16"/>
      <c r="F819" s="14">
        <v>0.0</v>
      </c>
      <c r="G819" s="14" t="b">
        <v>0</v>
      </c>
    </row>
    <row r="820">
      <c r="A820" s="16"/>
      <c r="B820" s="16"/>
      <c r="C820" s="16"/>
      <c r="D820" s="16"/>
      <c r="E820" s="16"/>
      <c r="F820" s="14">
        <v>0.0</v>
      </c>
      <c r="G820" s="14" t="b">
        <v>0</v>
      </c>
    </row>
    <row r="821">
      <c r="A821" s="16"/>
      <c r="B821" s="16"/>
      <c r="C821" s="16"/>
      <c r="D821" s="16"/>
      <c r="E821" s="16"/>
      <c r="F821" s="14">
        <v>0.0</v>
      </c>
      <c r="G821" s="14" t="b">
        <v>0</v>
      </c>
    </row>
    <row r="822">
      <c r="A822" s="16"/>
      <c r="B822" s="16"/>
      <c r="C822" s="16"/>
      <c r="D822" s="16"/>
      <c r="E822" s="16"/>
      <c r="F822" s="14">
        <v>0.0</v>
      </c>
      <c r="G822" s="14" t="b">
        <v>0</v>
      </c>
    </row>
    <row r="823">
      <c r="A823" s="16"/>
      <c r="B823" s="16"/>
      <c r="C823" s="16"/>
      <c r="D823" s="16"/>
      <c r="E823" s="16"/>
      <c r="F823" s="14">
        <v>0.0</v>
      </c>
      <c r="G823" s="14" t="b">
        <v>0</v>
      </c>
    </row>
    <row r="824">
      <c r="A824" s="16"/>
      <c r="B824" s="16"/>
      <c r="C824" s="16"/>
      <c r="D824" s="16"/>
      <c r="E824" s="16"/>
      <c r="F824" s="14">
        <v>0.0</v>
      </c>
      <c r="G824" s="14" t="b">
        <v>0</v>
      </c>
    </row>
    <row r="825">
      <c r="A825" s="16"/>
      <c r="B825" s="16"/>
      <c r="C825" s="16"/>
      <c r="D825" s="16"/>
      <c r="E825" s="16"/>
      <c r="F825" s="14">
        <v>0.0</v>
      </c>
      <c r="G825" s="14" t="b">
        <v>0</v>
      </c>
    </row>
    <row r="826">
      <c r="A826" s="16"/>
      <c r="B826" s="16"/>
      <c r="C826" s="16"/>
      <c r="D826" s="16"/>
      <c r="E826" s="16"/>
      <c r="F826" s="14">
        <v>0.0</v>
      </c>
      <c r="G826" s="14" t="b">
        <v>0</v>
      </c>
    </row>
    <row r="827">
      <c r="A827" s="16"/>
      <c r="B827" s="16"/>
      <c r="C827" s="16"/>
      <c r="D827" s="16"/>
      <c r="E827" s="16"/>
      <c r="F827" s="14">
        <v>0.0</v>
      </c>
      <c r="G827" s="14" t="b">
        <v>0</v>
      </c>
    </row>
    <row r="828">
      <c r="A828" s="16"/>
      <c r="B828" s="16"/>
      <c r="C828" s="16"/>
      <c r="D828" s="16"/>
      <c r="E828" s="16"/>
      <c r="F828" s="14">
        <v>0.0</v>
      </c>
      <c r="G828" s="14" t="b">
        <v>0</v>
      </c>
    </row>
    <row r="829">
      <c r="A829" s="16"/>
      <c r="B829" s="16"/>
      <c r="C829" s="16"/>
      <c r="D829" s="16"/>
      <c r="E829" s="16"/>
      <c r="F829" s="14">
        <v>0.0</v>
      </c>
      <c r="G829" s="14" t="b">
        <v>0</v>
      </c>
    </row>
    <row r="830">
      <c r="A830" s="16"/>
      <c r="B830" s="16"/>
      <c r="C830" s="16"/>
      <c r="D830" s="16"/>
      <c r="E830" s="16"/>
      <c r="F830" s="14">
        <v>0.0</v>
      </c>
      <c r="G830" s="14" t="b">
        <v>0</v>
      </c>
    </row>
    <row r="831">
      <c r="A831" s="16"/>
      <c r="B831" s="16"/>
      <c r="C831" s="16"/>
      <c r="D831" s="16"/>
      <c r="E831" s="16"/>
      <c r="F831" s="14">
        <v>0.0</v>
      </c>
      <c r="G831" s="14" t="b">
        <v>0</v>
      </c>
    </row>
    <row r="832">
      <c r="A832" s="16"/>
      <c r="B832" s="16"/>
      <c r="C832" s="16"/>
      <c r="D832" s="16"/>
      <c r="E832" s="16"/>
      <c r="F832" s="14">
        <v>0.0</v>
      </c>
      <c r="G832" s="14" t="b">
        <v>0</v>
      </c>
    </row>
    <row r="833">
      <c r="A833" s="16"/>
      <c r="B833" s="16"/>
      <c r="C833" s="16"/>
      <c r="D833" s="16"/>
      <c r="E833" s="16"/>
      <c r="F833" s="14">
        <v>0.0</v>
      </c>
      <c r="G833" s="14" t="b">
        <v>0</v>
      </c>
    </row>
    <row r="834">
      <c r="A834" s="16"/>
      <c r="B834" s="16"/>
      <c r="C834" s="16"/>
      <c r="D834" s="16"/>
      <c r="E834" s="16"/>
      <c r="F834" s="14">
        <v>0.0</v>
      </c>
      <c r="G834" s="14" t="b">
        <v>0</v>
      </c>
    </row>
    <row r="835">
      <c r="A835" s="16"/>
      <c r="B835" s="16"/>
      <c r="C835" s="16"/>
      <c r="D835" s="16"/>
      <c r="E835" s="16"/>
      <c r="F835" s="14">
        <v>0.0</v>
      </c>
      <c r="G835" s="14" t="b">
        <v>0</v>
      </c>
    </row>
    <row r="836">
      <c r="A836" s="16"/>
      <c r="B836" s="16"/>
      <c r="C836" s="16"/>
      <c r="D836" s="16"/>
      <c r="E836" s="16"/>
      <c r="F836" s="14">
        <v>0.0</v>
      </c>
      <c r="G836" s="14" t="b">
        <v>0</v>
      </c>
    </row>
    <row r="837">
      <c r="A837" s="16"/>
      <c r="B837" s="16"/>
      <c r="C837" s="16"/>
      <c r="D837" s="16"/>
      <c r="E837" s="16"/>
      <c r="F837" s="14">
        <v>0.0</v>
      </c>
      <c r="G837" s="14" t="b">
        <v>0</v>
      </c>
    </row>
    <row r="838">
      <c r="A838" s="16"/>
      <c r="B838" s="16"/>
      <c r="C838" s="16"/>
      <c r="D838" s="16"/>
      <c r="E838" s="16"/>
      <c r="F838" s="14">
        <v>0.0</v>
      </c>
      <c r="G838" s="14" t="b">
        <v>0</v>
      </c>
    </row>
    <row r="839">
      <c r="A839" s="16"/>
      <c r="B839" s="16"/>
      <c r="C839" s="16"/>
      <c r="D839" s="16"/>
      <c r="E839" s="16"/>
      <c r="F839" s="14">
        <v>0.0</v>
      </c>
      <c r="G839" s="14" t="b">
        <v>0</v>
      </c>
    </row>
    <row r="840">
      <c r="A840" s="16"/>
      <c r="B840" s="16"/>
      <c r="C840" s="16"/>
      <c r="D840" s="16"/>
      <c r="E840" s="16"/>
      <c r="F840" s="14">
        <v>0.0</v>
      </c>
      <c r="G840" s="14" t="b">
        <v>0</v>
      </c>
    </row>
    <row r="841">
      <c r="A841" s="16"/>
      <c r="B841" s="16"/>
      <c r="C841" s="16"/>
      <c r="D841" s="16"/>
      <c r="E841" s="16"/>
      <c r="F841" s="14">
        <v>0.0</v>
      </c>
      <c r="G841" s="14" t="b">
        <v>0</v>
      </c>
    </row>
    <row r="842">
      <c r="A842" s="16"/>
      <c r="B842" s="16"/>
      <c r="C842" s="16"/>
      <c r="D842" s="16"/>
      <c r="E842" s="16"/>
      <c r="F842" s="14">
        <v>0.0</v>
      </c>
      <c r="G842" s="14" t="b">
        <v>0</v>
      </c>
    </row>
    <row r="843">
      <c r="A843" s="16"/>
      <c r="B843" s="16"/>
      <c r="C843" s="16"/>
      <c r="D843" s="16"/>
      <c r="E843" s="16"/>
      <c r="F843" s="14">
        <v>0.0</v>
      </c>
      <c r="G843" s="14" t="b">
        <v>0</v>
      </c>
    </row>
    <row r="844">
      <c r="A844" s="16"/>
      <c r="B844" s="16"/>
      <c r="C844" s="16"/>
      <c r="D844" s="16"/>
      <c r="E844" s="16"/>
      <c r="F844" s="14">
        <v>0.0</v>
      </c>
      <c r="G844" s="14" t="b">
        <v>0</v>
      </c>
    </row>
    <row r="845">
      <c r="A845" s="16"/>
      <c r="B845" s="16"/>
      <c r="C845" s="16"/>
      <c r="D845" s="16"/>
      <c r="E845" s="16"/>
      <c r="F845" s="14">
        <v>0.0</v>
      </c>
      <c r="G845" s="14" t="b">
        <v>0</v>
      </c>
    </row>
    <row r="846">
      <c r="A846" s="16"/>
      <c r="B846" s="16"/>
      <c r="C846" s="16"/>
      <c r="D846" s="16"/>
      <c r="E846" s="16"/>
      <c r="F846" s="14">
        <v>0.0</v>
      </c>
      <c r="G846" s="14" t="b">
        <v>0</v>
      </c>
    </row>
    <row r="847">
      <c r="A847" s="16"/>
      <c r="B847" s="16"/>
      <c r="C847" s="16"/>
      <c r="D847" s="16"/>
      <c r="E847" s="16"/>
      <c r="F847" s="14">
        <v>0.0</v>
      </c>
      <c r="G847" s="14" t="b">
        <v>0</v>
      </c>
    </row>
    <row r="848">
      <c r="A848" s="16"/>
      <c r="B848" s="16"/>
      <c r="C848" s="16"/>
      <c r="D848" s="16"/>
      <c r="E848" s="16"/>
      <c r="F848" s="14">
        <v>0.0</v>
      </c>
      <c r="G848" s="14" t="b">
        <v>0</v>
      </c>
    </row>
    <row r="849">
      <c r="A849" s="16"/>
      <c r="B849" s="16"/>
      <c r="C849" s="16"/>
      <c r="D849" s="16"/>
      <c r="E849" s="16"/>
      <c r="F849" s="14">
        <v>0.0</v>
      </c>
      <c r="G849" s="14" t="b">
        <v>0</v>
      </c>
    </row>
    <row r="850">
      <c r="A850" s="16"/>
      <c r="B850" s="16"/>
      <c r="C850" s="16"/>
      <c r="D850" s="16"/>
      <c r="E850" s="16"/>
      <c r="F850" s="14">
        <v>0.0</v>
      </c>
      <c r="G850" s="14" t="b">
        <v>0</v>
      </c>
    </row>
    <row r="851">
      <c r="A851" s="16"/>
      <c r="B851" s="16"/>
      <c r="C851" s="16"/>
      <c r="D851" s="16"/>
      <c r="E851" s="16"/>
      <c r="F851" s="14">
        <v>0.0</v>
      </c>
      <c r="G851" s="14" t="b">
        <v>0</v>
      </c>
    </row>
    <row r="852">
      <c r="A852" s="16"/>
      <c r="B852" s="16"/>
      <c r="C852" s="16"/>
      <c r="D852" s="16"/>
      <c r="E852" s="16"/>
      <c r="F852" s="14">
        <v>0.0</v>
      </c>
      <c r="G852" s="14" t="b">
        <v>0</v>
      </c>
    </row>
    <row r="853">
      <c r="A853" s="16"/>
      <c r="B853" s="16"/>
      <c r="C853" s="16"/>
      <c r="D853" s="16"/>
      <c r="E853" s="16"/>
      <c r="F853" s="14">
        <v>0.0</v>
      </c>
      <c r="G853" s="14" t="b">
        <v>0</v>
      </c>
    </row>
    <row r="854">
      <c r="A854" s="16"/>
      <c r="B854" s="16"/>
      <c r="C854" s="16"/>
      <c r="D854" s="16"/>
      <c r="E854" s="16"/>
      <c r="F854" s="14">
        <v>0.0</v>
      </c>
      <c r="G854" s="14" t="b">
        <v>0</v>
      </c>
    </row>
    <row r="855">
      <c r="A855" s="16"/>
      <c r="B855" s="16"/>
      <c r="C855" s="16"/>
      <c r="D855" s="16"/>
      <c r="E855" s="16"/>
      <c r="F855" s="14">
        <v>0.0</v>
      </c>
      <c r="G855" s="14" t="b">
        <v>0</v>
      </c>
    </row>
    <row r="856">
      <c r="A856" s="16"/>
      <c r="B856" s="16"/>
      <c r="C856" s="16"/>
      <c r="D856" s="16"/>
      <c r="E856" s="16"/>
      <c r="F856" s="14">
        <v>0.0</v>
      </c>
      <c r="G856" s="14" t="b">
        <v>0</v>
      </c>
    </row>
    <row r="857">
      <c r="A857" s="16"/>
      <c r="B857" s="16"/>
      <c r="C857" s="16"/>
      <c r="D857" s="16"/>
      <c r="E857" s="16"/>
      <c r="F857" s="14">
        <v>0.0</v>
      </c>
      <c r="G857" s="14" t="b">
        <v>0</v>
      </c>
    </row>
    <row r="858">
      <c r="A858" s="16"/>
      <c r="B858" s="16"/>
      <c r="C858" s="16"/>
      <c r="D858" s="16"/>
      <c r="E858" s="16"/>
      <c r="F858" s="14">
        <v>0.0</v>
      </c>
      <c r="G858" s="14" t="b">
        <v>0</v>
      </c>
    </row>
    <row r="859">
      <c r="A859" s="16"/>
      <c r="B859" s="16"/>
      <c r="C859" s="16"/>
      <c r="D859" s="16"/>
      <c r="E859" s="16"/>
      <c r="F859" s="14">
        <v>0.0</v>
      </c>
      <c r="G859" s="14" t="b">
        <v>0</v>
      </c>
    </row>
    <row r="860">
      <c r="A860" s="16"/>
      <c r="B860" s="16"/>
      <c r="C860" s="16"/>
      <c r="D860" s="16"/>
      <c r="E860" s="16"/>
      <c r="F860" s="14">
        <v>0.0</v>
      </c>
      <c r="G860" s="14" t="b">
        <v>0</v>
      </c>
    </row>
    <row r="861">
      <c r="A861" s="16"/>
      <c r="B861" s="16"/>
      <c r="C861" s="16"/>
      <c r="D861" s="16"/>
      <c r="E861" s="16"/>
      <c r="F861" s="14">
        <v>0.0</v>
      </c>
      <c r="G861" s="14" t="b">
        <v>0</v>
      </c>
    </row>
    <row r="862">
      <c r="A862" s="16"/>
      <c r="B862" s="16"/>
      <c r="C862" s="16"/>
      <c r="D862" s="16"/>
      <c r="E862" s="16"/>
      <c r="F862" s="14">
        <v>0.0</v>
      </c>
      <c r="G862" s="14" t="b">
        <v>0</v>
      </c>
    </row>
    <row r="863">
      <c r="A863" s="16"/>
      <c r="B863" s="16"/>
      <c r="C863" s="16"/>
      <c r="D863" s="16"/>
      <c r="E863" s="16"/>
      <c r="F863" s="14">
        <v>0.0</v>
      </c>
      <c r="G863" s="14" t="b">
        <v>0</v>
      </c>
    </row>
    <row r="864">
      <c r="A864" s="16"/>
      <c r="B864" s="16"/>
      <c r="C864" s="16"/>
      <c r="D864" s="16"/>
      <c r="E864" s="16"/>
      <c r="F864" s="14">
        <v>0.0</v>
      </c>
      <c r="G864" s="14" t="b">
        <v>0</v>
      </c>
    </row>
    <row r="865">
      <c r="A865" s="16"/>
      <c r="B865" s="16"/>
      <c r="C865" s="16"/>
      <c r="D865" s="16"/>
      <c r="E865" s="16"/>
      <c r="F865" s="14">
        <v>0.0</v>
      </c>
      <c r="G865" s="14" t="b">
        <v>0</v>
      </c>
    </row>
    <row r="866">
      <c r="A866" s="16"/>
      <c r="B866" s="16"/>
      <c r="C866" s="16"/>
      <c r="D866" s="16"/>
      <c r="E866" s="16"/>
      <c r="F866" s="14">
        <v>0.0</v>
      </c>
      <c r="G866" s="14" t="b">
        <v>0</v>
      </c>
    </row>
    <row r="867">
      <c r="A867" s="16"/>
      <c r="B867" s="16"/>
      <c r="C867" s="16"/>
      <c r="D867" s="16"/>
      <c r="E867" s="16"/>
      <c r="F867" s="14">
        <v>0.0</v>
      </c>
      <c r="G867" s="14" t="b">
        <v>0</v>
      </c>
    </row>
    <row r="868">
      <c r="A868" s="16"/>
      <c r="B868" s="16"/>
      <c r="C868" s="16"/>
      <c r="D868" s="16"/>
      <c r="E868" s="16"/>
      <c r="F868" s="14">
        <v>0.0</v>
      </c>
      <c r="G868" s="14" t="b">
        <v>0</v>
      </c>
    </row>
    <row r="869">
      <c r="A869" s="16"/>
      <c r="B869" s="16"/>
      <c r="C869" s="16"/>
      <c r="D869" s="16"/>
      <c r="E869" s="16"/>
      <c r="F869" s="14">
        <v>0.0</v>
      </c>
      <c r="G869" s="14" t="b">
        <v>0</v>
      </c>
    </row>
    <row r="870">
      <c r="A870" s="16"/>
      <c r="B870" s="16"/>
      <c r="C870" s="16"/>
      <c r="D870" s="16"/>
      <c r="E870" s="16"/>
      <c r="F870" s="14">
        <v>0.0</v>
      </c>
      <c r="G870" s="14" t="b">
        <v>0</v>
      </c>
    </row>
    <row r="871">
      <c r="A871" s="16"/>
      <c r="B871" s="16"/>
      <c r="C871" s="16"/>
      <c r="D871" s="16"/>
      <c r="E871" s="16"/>
      <c r="F871" s="14">
        <v>0.0</v>
      </c>
      <c r="G871" s="14" t="b">
        <v>0</v>
      </c>
    </row>
    <row r="872">
      <c r="A872" s="16"/>
      <c r="B872" s="16"/>
      <c r="C872" s="16"/>
      <c r="D872" s="16"/>
      <c r="E872" s="16"/>
      <c r="F872" s="14">
        <v>0.0</v>
      </c>
      <c r="G872" s="14" t="b">
        <v>0</v>
      </c>
    </row>
    <row r="873">
      <c r="A873" s="16"/>
      <c r="B873" s="16"/>
      <c r="C873" s="16"/>
      <c r="D873" s="16"/>
      <c r="E873" s="16"/>
      <c r="F873" s="14">
        <v>0.0</v>
      </c>
      <c r="G873" s="14" t="b">
        <v>0</v>
      </c>
    </row>
    <row r="874">
      <c r="A874" s="16"/>
      <c r="B874" s="16"/>
      <c r="C874" s="16"/>
      <c r="D874" s="16"/>
      <c r="E874" s="16"/>
      <c r="F874" s="14">
        <v>0.0</v>
      </c>
      <c r="G874" s="14" t="b">
        <v>0</v>
      </c>
    </row>
    <row r="875">
      <c r="A875" s="16"/>
      <c r="B875" s="16"/>
      <c r="C875" s="16"/>
      <c r="D875" s="16"/>
      <c r="E875" s="16"/>
      <c r="F875" s="14">
        <v>0.0</v>
      </c>
      <c r="G875" s="14" t="b">
        <v>0</v>
      </c>
    </row>
    <row r="876">
      <c r="A876" s="16"/>
      <c r="B876" s="16"/>
      <c r="C876" s="16"/>
      <c r="D876" s="16"/>
      <c r="E876" s="16"/>
      <c r="F876" s="14">
        <v>0.0</v>
      </c>
      <c r="G876" s="14" t="b">
        <v>0</v>
      </c>
    </row>
    <row r="877">
      <c r="A877" s="16"/>
      <c r="B877" s="16"/>
      <c r="C877" s="16"/>
      <c r="D877" s="16"/>
      <c r="E877" s="16"/>
      <c r="F877" s="14">
        <v>0.0</v>
      </c>
      <c r="G877" s="14" t="b">
        <v>0</v>
      </c>
    </row>
    <row r="878">
      <c r="A878" s="16"/>
      <c r="B878" s="16"/>
      <c r="C878" s="16"/>
      <c r="D878" s="16"/>
      <c r="E878" s="16"/>
      <c r="F878" s="14">
        <v>0.0</v>
      </c>
      <c r="G878" s="14" t="b">
        <v>0</v>
      </c>
    </row>
    <row r="879">
      <c r="A879" s="16"/>
      <c r="B879" s="16"/>
      <c r="C879" s="16"/>
      <c r="D879" s="16"/>
      <c r="E879" s="16"/>
      <c r="F879" s="14">
        <v>0.0</v>
      </c>
      <c r="G879" s="14" t="b">
        <v>0</v>
      </c>
    </row>
    <row r="880">
      <c r="A880" s="16"/>
      <c r="B880" s="16"/>
      <c r="C880" s="16"/>
      <c r="D880" s="16"/>
      <c r="E880" s="16"/>
      <c r="F880" s="14">
        <v>0.0</v>
      </c>
      <c r="G880" s="14" t="b">
        <v>0</v>
      </c>
    </row>
    <row r="881">
      <c r="A881" s="16"/>
      <c r="B881" s="16"/>
      <c r="C881" s="16"/>
      <c r="D881" s="16"/>
      <c r="E881" s="16"/>
      <c r="F881" s="14">
        <v>0.0</v>
      </c>
      <c r="G881" s="14" t="b">
        <v>0</v>
      </c>
    </row>
    <row r="882">
      <c r="A882" s="16"/>
      <c r="B882" s="16"/>
      <c r="C882" s="16"/>
      <c r="D882" s="16"/>
      <c r="E882" s="16"/>
      <c r="F882" s="14">
        <v>0.0</v>
      </c>
      <c r="G882" s="14" t="b">
        <v>0</v>
      </c>
    </row>
    <row r="883">
      <c r="A883" s="16"/>
      <c r="B883" s="16"/>
      <c r="C883" s="16"/>
      <c r="D883" s="16"/>
      <c r="E883" s="16"/>
      <c r="F883" s="14">
        <v>0.0</v>
      </c>
      <c r="G883" s="14" t="b">
        <v>0</v>
      </c>
    </row>
    <row r="884">
      <c r="A884" s="16"/>
      <c r="B884" s="16"/>
      <c r="C884" s="16"/>
      <c r="D884" s="16"/>
      <c r="E884" s="16"/>
      <c r="F884" s="14">
        <v>0.0</v>
      </c>
      <c r="G884" s="14" t="b">
        <v>0</v>
      </c>
    </row>
    <row r="885">
      <c r="A885" s="16"/>
      <c r="B885" s="16"/>
      <c r="C885" s="16"/>
      <c r="D885" s="16"/>
      <c r="E885" s="16"/>
      <c r="F885" s="14">
        <v>0.0</v>
      </c>
      <c r="G885" s="14" t="b">
        <v>0</v>
      </c>
    </row>
    <row r="886">
      <c r="A886" s="16"/>
      <c r="B886" s="16"/>
      <c r="C886" s="16"/>
      <c r="D886" s="16"/>
      <c r="E886" s="16"/>
      <c r="F886" s="14">
        <v>0.0</v>
      </c>
      <c r="G886" s="14" t="b">
        <v>0</v>
      </c>
    </row>
    <row r="887">
      <c r="A887" s="16"/>
      <c r="B887" s="16"/>
      <c r="C887" s="16"/>
      <c r="D887" s="16"/>
      <c r="E887" s="16"/>
      <c r="F887" s="14">
        <v>0.0</v>
      </c>
      <c r="G887" s="14" t="b">
        <v>0</v>
      </c>
    </row>
    <row r="888">
      <c r="A888" s="16"/>
      <c r="B888" s="16"/>
      <c r="C888" s="16"/>
      <c r="D888" s="16"/>
      <c r="E888" s="16"/>
      <c r="F888" s="14">
        <v>0.0</v>
      </c>
      <c r="G888" s="14" t="b">
        <v>0</v>
      </c>
    </row>
    <row r="889">
      <c r="A889" s="16"/>
      <c r="B889" s="16"/>
      <c r="C889" s="16"/>
      <c r="D889" s="16"/>
      <c r="E889" s="16"/>
      <c r="F889" s="14">
        <v>0.0</v>
      </c>
      <c r="G889" s="14" t="b">
        <v>0</v>
      </c>
    </row>
    <row r="890">
      <c r="A890" s="16"/>
      <c r="B890" s="16"/>
      <c r="C890" s="16"/>
      <c r="D890" s="16"/>
      <c r="E890" s="16"/>
      <c r="F890" s="14">
        <v>0.0</v>
      </c>
      <c r="G890" s="14" t="b">
        <v>0</v>
      </c>
    </row>
    <row r="891">
      <c r="A891" s="16"/>
      <c r="B891" s="16"/>
      <c r="C891" s="16"/>
      <c r="D891" s="16"/>
      <c r="E891" s="16"/>
      <c r="F891" s="14">
        <v>0.0</v>
      </c>
      <c r="G891" s="14" t="b">
        <v>0</v>
      </c>
    </row>
    <row r="892">
      <c r="A892" s="16"/>
      <c r="B892" s="16"/>
      <c r="C892" s="16"/>
      <c r="D892" s="16"/>
      <c r="E892" s="16"/>
      <c r="F892" s="14">
        <v>0.0</v>
      </c>
      <c r="G892" s="14" t="b">
        <v>0</v>
      </c>
    </row>
    <row r="893">
      <c r="A893" s="16"/>
      <c r="B893" s="16"/>
      <c r="C893" s="16"/>
      <c r="D893" s="16"/>
      <c r="E893" s="16"/>
      <c r="F893" s="14">
        <v>0.0</v>
      </c>
      <c r="G893" s="14" t="b">
        <v>0</v>
      </c>
    </row>
    <row r="894">
      <c r="A894" s="16"/>
      <c r="B894" s="16"/>
      <c r="C894" s="16"/>
      <c r="D894" s="16"/>
      <c r="E894" s="16"/>
      <c r="F894" s="14">
        <v>0.0</v>
      </c>
      <c r="G894" s="14" t="b">
        <v>0</v>
      </c>
    </row>
    <row r="895">
      <c r="A895" s="16"/>
      <c r="B895" s="16"/>
      <c r="C895" s="16"/>
      <c r="D895" s="16"/>
      <c r="E895" s="16"/>
      <c r="F895" s="14">
        <v>0.0</v>
      </c>
      <c r="G895" s="14" t="b">
        <v>0</v>
      </c>
    </row>
    <row r="896">
      <c r="A896" s="16"/>
      <c r="B896" s="16"/>
      <c r="C896" s="16"/>
      <c r="D896" s="16"/>
      <c r="E896" s="16"/>
      <c r="F896" s="14">
        <v>0.0</v>
      </c>
      <c r="G896" s="14" t="b">
        <v>0</v>
      </c>
    </row>
    <row r="897">
      <c r="A897" s="16"/>
      <c r="B897" s="16"/>
      <c r="C897" s="16"/>
      <c r="D897" s="16"/>
      <c r="E897" s="16"/>
      <c r="F897" s="14">
        <v>0.0</v>
      </c>
      <c r="G897" s="14" t="b">
        <v>0</v>
      </c>
    </row>
    <row r="898">
      <c r="A898" s="16"/>
      <c r="B898" s="16"/>
      <c r="C898" s="16"/>
      <c r="D898" s="16"/>
      <c r="E898" s="16"/>
      <c r="F898" s="14">
        <v>0.0</v>
      </c>
      <c r="G898" s="14" t="b">
        <v>0</v>
      </c>
    </row>
    <row r="899">
      <c r="A899" s="16"/>
      <c r="B899" s="16"/>
      <c r="C899" s="16"/>
      <c r="D899" s="16"/>
      <c r="E899" s="16"/>
      <c r="F899" s="14">
        <v>0.0</v>
      </c>
      <c r="G899" s="14" t="b">
        <v>0</v>
      </c>
    </row>
    <row r="900">
      <c r="A900" s="16"/>
      <c r="B900" s="16"/>
      <c r="C900" s="16"/>
      <c r="D900" s="16"/>
      <c r="E900" s="16"/>
      <c r="F900" s="14">
        <v>0.0</v>
      </c>
      <c r="G900" s="14" t="b">
        <v>0</v>
      </c>
    </row>
    <row r="901">
      <c r="A901" s="16"/>
      <c r="B901" s="16"/>
      <c r="C901" s="16"/>
      <c r="D901" s="16"/>
      <c r="E901" s="16"/>
      <c r="F901" s="14">
        <v>0.0</v>
      </c>
      <c r="G901" s="14" t="b">
        <v>0</v>
      </c>
    </row>
    <row r="902">
      <c r="A902" s="16"/>
      <c r="B902" s="16"/>
      <c r="C902" s="16"/>
      <c r="D902" s="16"/>
      <c r="E902" s="16"/>
      <c r="F902" s="14">
        <v>0.0</v>
      </c>
      <c r="G902" s="14" t="b">
        <v>0</v>
      </c>
    </row>
    <row r="903">
      <c r="A903" s="16"/>
      <c r="B903" s="16"/>
      <c r="C903" s="16"/>
      <c r="D903" s="16"/>
      <c r="E903" s="16"/>
      <c r="F903" s="14">
        <v>0.0</v>
      </c>
      <c r="G903" s="14" t="b">
        <v>0</v>
      </c>
    </row>
    <row r="904">
      <c r="A904" s="16"/>
      <c r="B904" s="16"/>
      <c r="C904" s="16"/>
      <c r="D904" s="16"/>
      <c r="E904" s="16"/>
      <c r="F904" s="14">
        <v>0.0</v>
      </c>
      <c r="G904" s="14" t="b">
        <v>0</v>
      </c>
    </row>
    <row r="905">
      <c r="A905" s="16"/>
      <c r="B905" s="16"/>
      <c r="C905" s="16"/>
      <c r="D905" s="16"/>
      <c r="E905" s="16"/>
      <c r="F905" s="14">
        <v>0.0</v>
      </c>
      <c r="G905" s="14" t="b">
        <v>0</v>
      </c>
    </row>
    <row r="906">
      <c r="A906" s="16"/>
      <c r="B906" s="16"/>
      <c r="C906" s="16"/>
      <c r="D906" s="16"/>
      <c r="E906" s="16"/>
      <c r="F906" s="14">
        <v>0.0</v>
      </c>
      <c r="G906" s="14" t="b">
        <v>0</v>
      </c>
    </row>
    <row r="907">
      <c r="A907" s="16"/>
      <c r="B907" s="16"/>
      <c r="C907" s="16"/>
      <c r="D907" s="16"/>
      <c r="E907" s="16"/>
      <c r="F907" s="14">
        <v>0.0</v>
      </c>
      <c r="G907" s="14" t="b">
        <v>0</v>
      </c>
    </row>
    <row r="908">
      <c r="A908" s="16"/>
      <c r="B908" s="16"/>
      <c r="C908" s="16"/>
      <c r="D908" s="16"/>
      <c r="E908" s="16"/>
      <c r="F908" s="14">
        <v>0.0</v>
      </c>
      <c r="G908" s="14" t="b">
        <v>0</v>
      </c>
    </row>
    <row r="909">
      <c r="A909" s="16"/>
      <c r="B909" s="16"/>
      <c r="C909" s="16"/>
      <c r="D909" s="16"/>
      <c r="E909" s="16"/>
      <c r="F909" s="14">
        <v>0.0</v>
      </c>
      <c r="G909" s="14" t="b">
        <v>0</v>
      </c>
    </row>
    <row r="910">
      <c r="A910" s="16"/>
      <c r="B910" s="16"/>
      <c r="C910" s="16"/>
      <c r="D910" s="16"/>
      <c r="E910" s="16"/>
      <c r="F910" s="14">
        <v>0.0</v>
      </c>
      <c r="G910" s="14" t="b">
        <v>0</v>
      </c>
    </row>
    <row r="911">
      <c r="A911" s="16"/>
      <c r="B911" s="16"/>
      <c r="C911" s="16"/>
      <c r="D911" s="16"/>
      <c r="E911" s="16"/>
      <c r="F911" s="14">
        <v>0.0</v>
      </c>
      <c r="G911" s="14" t="b">
        <v>0</v>
      </c>
    </row>
    <row r="912">
      <c r="A912" s="16"/>
      <c r="B912" s="16"/>
      <c r="C912" s="16"/>
      <c r="D912" s="16"/>
      <c r="E912" s="16"/>
      <c r="F912" s="14">
        <v>0.0</v>
      </c>
      <c r="G912" s="14" t="b">
        <v>0</v>
      </c>
    </row>
    <row r="913">
      <c r="A913" s="16"/>
      <c r="B913" s="16"/>
      <c r="C913" s="16"/>
      <c r="D913" s="16"/>
      <c r="E913" s="16"/>
      <c r="F913" s="14">
        <v>0.0</v>
      </c>
      <c r="G913" s="14" t="b">
        <v>0</v>
      </c>
    </row>
    <row r="914">
      <c r="A914" s="16"/>
      <c r="B914" s="16"/>
      <c r="C914" s="16"/>
      <c r="D914" s="16"/>
      <c r="E914" s="16"/>
      <c r="F914" s="14">
        <v>0.0</v>
      </c>
      <c r="G914" s="14" t="b">
        <v>0</v>
      </c>
    </row>
    <row r="915">
      <c r="A915" s="16"/>
      <c r="B915" s="16"/>
      <c r="C915" s="16"/>
      <c r="D915" s="16"/>
      <c r="E915" s="16"/>
      <c r="F915" s="14">
        <v>0.0</v>
      </c>
      <c r="G915" s="14" t="b">
        <v>0</v>
      </c>
    </row>
    <row r="916">
      <c r="A916" s="16"/>
      <c r="B916" s="16"/>
      <c r="C916" s="16"/>
      <c r="D916" s="16"/>
      <c r="E916" s="16"/>
      <c r="F916" s="14">
        <v>0.0</v>
      </c>
      <c r="G916" s="14" t="b">
        <v>0</v>
      </c>
    </row>
    <row r="917">
      <c r="A917" s="16"/>
      <c r="B917" s="16"/>
      <c r="C917" s="16"/>
      <c r="D917" s="16"/>
      <c r="E917" s="16"/>
      <c r="F917" s="14">
        <v>0.0</v>
      </c>
      <c r="G917" s="14" t="b">
        <v>0</v>
      </c>
    </row>
    <row r="918">
      <c r="A918" s="16"/>
      <c r="B918" s="16"/>
      <c r="C918" s="16"/>
      <c r="D918" s="16"/>
      <c r="E918" s="16"/>
      <c r="F918" s="14">
        <v>0.0</v>
      </c>
      <c r="G918" s="14" t="b">
        <v>0</v>
      </c>
    </row>
    <row r="919">
      <c r="A919" s="16"/>
      <c r="B919" s="16"/>
      <c r="C919" s="16"/>
      <c r="D919" s="16"/>
      <c r="E919" s="16"/>
      <c r="F919" s="14">
        <v>0.0</v>
      </c>
      <c r="G919" s="14" t="b">
        <v>0</v>
      </c>
    </row>
    <row r="920">
      <c r="A920" s="16"/>
      <c r="B920" s="16"/>
      <c r="C920" s="16"/>
      <c r="D920" s="16"/>
      <c r="E920" s="16"/>
      <c r="F920" s="14">
        <v>0.0</v>
      </c>
      <c r="G920" s="14" t="b">
        <v>0</v>
      </c>
    </row>
    <row r="921">
      <c r="A921" s="16"/>
      <c r="B921" s="16"/>
      <c r="C921" s="16"/>
      <c r="D921" s="16"/>
      <c r="E921" s="16"/>
      <c r="F921" s="14">
        <v>0.0</v>
      </c>
      <c r="G921" s="14" t="b">
        <v>0</v>
      </c>
    </row>
    <row r="922">
      <c r="A922" s="16"/>
      <c r="B922" s="16"/>
      <c r="C922" s="16"/>
      <c r="D922" s="16"/>
      <c r="E922" s="16"/>
      <c r="F922" s="14">
        <v>0.0</v>
      </c>
      <c r="G922" s="14" t="b">
        <v>0</v>
      </c>
    </row>
    <row r="923">
      <c r="A923" s="16"/>
      <c r="B923" s="16"/>
      <c r="C923" s="16"/>
      <c r="D923" s="16"/>
      <c r="E923" s="16"/>
      <c r="F923" s="14">
        <v>0.0</v>
      </c>
      <c r="G923" s="14" t="b">
        <v>0</v>
      </c>
    </row>
    <row r="924">
      <c r="A924" s="16"/>
      <c r="B924" s="16"/>
      <c r="C924" s="16"/>
      <c r="D924" s="16"/>
      <c r="E924" s="16"/>
      <c r="F924" s="14">
        <v>0.0</v>
      </c>
      <c r="G924" s="14" t="b">
        <v>0</v>
      </c>
    </row>
    <row r="925">
      <c r="A925" s="16"/>
      <c r="B925" s="16"/>
      <c r="C925" s="16"/>
      <c r="D925" s="16"/>
      <c r="E925" s="16"/>
      <c r="F925" s="14">
        <v>0.0</v>
      </c>
      <c r="G925" s="14" t="b">
        <v>0</v>
      </c>
    </row>
    <row r="926">
      <c r="A926" s="16"/>
      <c r="B926" s="16"/>
      <c r="C926" s="16"/>
      <c r="D926" s="16"/>
      <c r="E926" s="16"/>
      <c r="F926" s="14">
        <v>0.0</v>
      </c>
      <c r="G926" s="14" t="b">
        <v>0</v>
      </c>
    </row>
    <row r="927">
      <c r="A927" s="16"/>
      <c r="B927" s="16"/>
      <c r="C927" s="16"/>
      <c r="D927" s="16"/>
      <c r="E927" s="16"/>
      <c r="F927" s="14">
        <v>0.0</v>
      </c>
      <c r="G927" s="14" t="b">
        <v>0</v>
      </c>
    </row>
    <row r="928">
      <c r="A928" s="16"/>
      <c r="B928" s="16"/>
      <c r="C928" s="16"/>
      <c r="D928" s="16"/>
      <c r="E928" s="16"/>
      <c r="F928" s="14">
        <v>0.0</v>
      </c>
      <c r="G928" s="14" t="b">
        <v>0</v>
      </c>
    </row>
    <row r="929">
      <c r="A929" s="16"/>
      <c r="B929" s="16"/>
      <c r="C929" s="16"/>
      <c r="D929" s="16"/>
      <c r="E929" s="16"/>
      <c r="F929" s="14">
        <v>0.0</v>
      </c>
      <c r="G929" s="14" t="b">
        <v>0</v>
      </c>
    </row>
    <row r="930">
      <c r="A930" s="16"/>
      <c r="B930" s="16"/>
      <c r="C930" s="16"/>
      <c r="D930" s="16"/>
      <c r="E930" s="16"/>
      <c r="F930" s="14">
        <v>0.0</v>
      </c>
      <c r="G930" s="14" t="b">
        <v>0</v>
      </c>
    </row>
    <row r="931">
      <c r="A931" s="16"/>
      <c r="B931" s="16"/>
      <c r="C931" s="16"/>
      <c r="D931" s="16"/>
      <c r="E931" s="16"/>
      <c r="F931" s="14">
        <v>0.0</v>
      </c>
      <c r="G931" s="14" t="b">
        <v>0</v>
      </c>
    </row>
    <row r="932">
      <c r="A932" s="16"/>
      <c r="B932" s="16"/>
      <c r="C932" s="16"/>
      <c r="D932" s="16"/>
      <c r="E932" s="16"/>
      <c r="F932" s="14">
        <v>0.0</v>
      </c>
      <c r="G932" s="14" t="b">
        <v>0</v>
      </c>
    </row>
    <row r="933">
      <c r="A933" s="16"/>
      <c r="B933" s="16"/>
      <c r="C933" s="16"/>
      <c r="D933" s="16"/>
      <c r="E933" s="16"/>
      <c r="F933" s="14">
        <v>0.0</v>
      </c>
      <c r="G933" s="14" t="b">
        <v>0</v>
      </c>
    </row>
    <row r="934">
      <c r="A934" s="16"/>
      <c r="B934" s="16"/>
      <c r="C934" s="16"/>
      <c r="D934" s="16"/>
      <c r="E934" s="16"/>
      <c r="F934" s="14">
        <v>0.0</v>
      </c>
      <c r="G934" s="14" t="b">
        <v>0</v>
      </c>
    </row>
    <row r="935">
      <c r="A935" s="16"/>
      <c r="B935" s="16"/>
      <c r="C935" s="16"/>
      <c r="D935" s="16"/>
      <c r="E935" s="16"/>
      <c r="F935" s="14">
        <v>0.0</v>
      </c>
      <c r="G935" s="14" t="b">
        <v>0</v>
      </c>
    </row>
    <row r="936">
      <c r="A936" s="16"/>
      <c r="B936" s="16"/>
      <c r="C936" s="16"/>
      <c r="D936" s="16"/>
      <c r="E936" s="16"/>
      <c r="F936" s="14">
        <v>0.0</v>
      </c>
      <c r="G936" s="14" t="b">
        <v>0</v>
      </c>
    </row>
    <row r="937">
      <c r="A937" s="16"/>
      <c r="B937" s="16"/>
      <c r="C937" s="16"/>
      <c r="D937" s="16"/>
      <c r="E937" s="16"/>
      <c r="F937" s="14">
        <v>0.0</v>
      </c>
      <c r="G937" s="14" t="b">
        <v>0</v>
      </c>
    </row>
    <row r="938">
      <c r="A938" s="16"/>
      <c r="B938" s="16"/>
      <c r="C938" s="16"/>
      <c r="D938" s="16"/>
      <c r="E938" s="16"/>
      <c r="F938" s="14">
        <v>0.0</v>
      </c>
      <c r="G938" s="14" t="b">
        <v>0</v>
      </c>
    </row>
    <row r="939">
      <c r="A939" s="16"/>
      <c r="B939" s="16"/>
      <c r="C939" s="16"/>
      <c r="D939" s="16"/>
      <c r="E939" s="16"/>
      <c r="F939" s="14">
        <v>0.0</v>
      </c>
      <c r="G939" s="14" t="b">
        <v>0</v>
      </c>
    </row>
    <row r="940">
      <c r="A940" s="16"/>
      <c r="B940" s="16"/>
      <c r="C940" s="16"/>
      <c r="D940" s="16"/>
      <c r="E940" s="16"/>
      <c r="F940" s="14">
        <v>0.0</v>
      </c>
      <c r="G940" s="14" t="b">
        <v>0</v>
      </c>
    </row>
    <row r="941">
      <c r="A941" s="16"/>
      <c r="B941" s="16"/>
      <c r="C941" s="16"/>
      <c r="D941" s="16"/>
      <c r="E941" s="16"/>
      <c r="F941" s="14">
        <v>0.0</v>
      </c>
      <c r="G941" s="14" t="b">
        <v>0</v>
      </c>
    </row>
    <row r="942">
      <c r="A942" s="16"/>
      <c r="B942" s="16"/>
      <c r="C942" s="16"/>
      <c r="D942" s="16"/>
      <c r="E942" s="16"/>
      <c r="F942" s="14">
        <v>0.0</v>
      </c>
      <c r="G942" s="14" t="b">
        <v>0</v>
      </c>
    </row>
    <row r="943">
      <c r="A943" s="16"/>
      <c r="B943" s="16"/>
      <c r="C943" s="16"/>
      <c r="D943" s="16"/>
      <c r="E943" s="16"/>
      <c r="F943" s="14">
        <v>0.0</v>
      </c>
      <c r="G943" s="14" t="b">
        <v>0</v>
      </c>
    </row>
    <row r="944">
      <c r="A944" s="16"/>
      <c r="B944" s="16"/>
      <c r="C944" s="16"/>
      <c r="D944" s="16"/>
      <c r="E944" s="16"/>
      <c r="F944" s="14">
        <v>0.0</v>
      </c>
      <c r="G944" s="14" t="b">
        <v>0</v>
      </c>
    </row>
    <row r="945">
      <c r="A945" s="16"/>
      <c r="B945" s="16"/>
      <c r="C945" s="16"/>
      <c r="D945" s="16"/>
      <c r="E945" s="16"/>
      <c r="F945" s="14">
        <v>0.0</v>
      </c>
      <c r="G945" s="14" t="b">
        <v>0</v>
      </c>
    </row>
    <row r="946">
      <c r="A946" s="16"/>
      <c r="B946" s="16"/>
      <c r="C946" s="16"/>
      <c r="D946" s="16"/>
      <c r="E946" s="16"/>
      <c r="F946" s="14">
        <v>0.0</v>
      </c>
      <c r="G946" s="14" t="b">
        <v>0</v>
      </c>
    </row>
    <row r="947">
      <c r="A947" s="16"/>
      <c r="B947" s="16"/>
      <c r="C947" s="16"/>
      <c r="D947" s="16"/>
      <c r="E947" s="16"/>
      <c r="F947" s="14">
        <v>0.0</v>
      </c>
      <c r="G947" s="14" t="b">
        <v>0</v>
      </c>
    </row>
    <row r="948">
      <c r="A948" s="16"/>
      <c r="B948" s="16"/>
      <c r="C948" s="16"/>
      <c r="D948" s="16"/>
      <c r="E948" s="16"/>
      <c r="F948" s="14">
        <v>0.0</v>
      </c>
      <c r="G948" s="14" t="b">
        <v>0</v>
      </c>
    </row>
    <row r="949">
      <c r="A949" s="16"/>
      <c r="B949" s="16"/>
      <c r="C949" s="16"/>
      <c r="D949" s="16"/>
      <c r="E949" s="16"/>
      <c r="F949" s="14">
        <v>0.0</v>
      </c>
      <c r="G949" s="14" t="b">
        <v>0</v>
      </c>
    </row>
    <row r="950">
      <c r="A950" s="16"/>
      <c r="B950" s="16"/>
      <c r="C950" s="16"/>
      <c r="D950" s="16"/>
      <c r="E950" s="16"/>
      <c r="F950" s="14">
        <v>0.0</v>
      </c>
      <c r="G950" s="14" t="b">
        <v>0</v>
      </c>
    </row>
    <row r="951">
      <c r="A951" s="16"/>
      <c r="B951" s="16"/>
      <c r="C951" s="16"/>
      <c r="D951" s="16"/>
      <c r="E951" s="16"/>
      <c r="F951" s="14">
        <v>0.0</v>
      </c>
      <c r="G951" s="14" t="b">
        <v>0</v>
      </c>
    </row>
    <row r="952">
      <c r="A952" s="16"/>
      <c r="B952" s="16"/>
      <c r="C952" s="16"/>
      <c r="D952" s="16"/>
      <c r="E952" s="16"/>
      <c r="F952" s="14">
        <v>0.0</v>
      </c>
      <c r="G952" s="14" t="b">
        <v>0</v>
      </c>
    </row>
    <row r="953">
      <c r="A953" s="16"/>
      <c r="B953" s="16"/>
      <c r="C953" s="16"/>
      <c r="D953" s="16"/>
      <c r="E953" s="16"/>
      <c r="F953" s="14">
        <v>0.0</v>
      </c>
      <c r="G953" s="14" t="b">
        <v>0</v>
      </c>
    </row>
    <row r="954">
      <c r="A954" s="16"/>
      <c r="B954" s="16"/>
      <c r="C954" s="16"/>
      <c r="D954" s="16"/>
      <c r="E954" s="16"/>
      <c r="F954" s="14">
        <v>0.0</v>
      </c>
      <c r="G954" s="14" t="b">
        <v>0</v>
      </c>
    </row>
    <row r="955">
      <c r="A955" s="16"/>
      <c r="B955" s="16"/>
      <c r="C955" s="16"/>
      <c r="D955" s="16"/>
      <c r="E955" s="16"/>
      <c r="F955" s="14">
        <v>0.0</v>
      </c>
      <c r="G955" s="14" t="b">
        <v>0</v>
      </c>
    </row>
    <row r="956">
      <c r="A956" s="16"/>
      <c r="B956" s="16"/>
      <c r="C956" s="16"/>
      <c r="D956" s="16"/>
      <c r="E956" s="16"/>
      <c r="F956" s="14">
        <v>0.0</v>
      </c>
      <c r="G956" s="14" t="b">
        <v>0</v>
      </c>
    </row>
    <row r="957">
      <c r="A957" s="16"/>
      <c r="B957" s="16"/>
      <c r="C957" s="16"/>
      <c r="D957" s="16"/>
      <c r="E957" s="16"/>
      <c r="F957" s="14">
        <v>0.0</v>
      </c>
      <c r="G957" s="14" t="b">
        <v>0</v>
      </c>
    </row>
    <row r="958">
      <c r="A958" s="16"/>
      <c r="B958" s="16"/>
      <c r="C958" s="16"/>
      <c r="D958" s="16"/>
      <c r="E958" s="16"/>
      <c r="F958" s="14">
        <v>0.0</v>
      </c>
      <c r="G958" s="14" t="b">
        <v>0</v>
      </c>
    </row>
    <row r="959">
      <c r="A959" s="16"/>
      <c r="B959" s="16"/>
      <c r="C959" s="16"/>
      <c r="D959" s="16"/>
      <c r="E959" s="16"/>
      <c r="F959" s="14">
        <v>0.0</v>
      </c>
      <c r="G959" s="14" t="b">
        <v>0</v>
      </c>
    </row>
    <row r="960">
      <c r="A960" s="16"/>
      <c r="B960" s="16"/>
      <c r="C960" s="16"/>
      <c r="D960" s="16"/>
      <c r="E960" s="16"/>
      <c r="F960" s="14">
        <v>0.0</v>
      </c>
      <c r="G960" s="14" t="b">
        <v>0</v>
      </c>
    </row>
    <row r="961">
      <c r="A961" s="16"/>
      <c r="B961" s="16"/>
      <c r="C961" s="16"/>
      <c r="D961" s="16"/>
      <c r="E961" s="16"/>
      <c r="F961" s="14">
        <v>0.0</v>
      </c>
      <c r="G961" s="14" t="b">
        <v>0</v>
      </c>
    </row>
    <row r="962">
      <c r="A962" s="16"/>
      <c r="B962" s="16"/>
      <c r="C962" s="16"/>
      <c r="D962" s="16"/>
      <c r="E962" s="16"/>
      <c r="F962" s="14">
        <v>0.0</v>
      </c>
      <c r="G962" s="14" t="b">
        <v>0</v>
      </c>
    </row>
    <row r="963">
      <c r="A963" s="16"/>
      <c r="B963" s="16"/>
      <c r="C963" s="16"/>
      <c r="D963" s="16"/>
      <c r="E963" s="16"/>
      <c r="F963" s="14">
        <v>0.0</v>
      </c>
      <c r="G963" s="14" t="b">
        <v>0</v>
      </c>
    </row>
    <row r="964">
      <c r="A964" s="16"/>
      <c r="B964" s="16"/>
      <c r="C964" s="16"/>
      <c r="D964" s="16"/>
      <c r="E964" s="16"/>
      <c r="F964" s="14">
        <v>0.0</v>
      </c>
      <c r="G964" s="14" t="b">
        <v>0</v>
      </c>
    </row>
    <row r="965">
      <c r="A965" s="16"/>
      <c r="B965" s="16"/>
      <c r="C965" s="16"/>
      <c r="D965" s="16"/>
      <c r="E965" s="16"/>
      <c r="F965" s="14">
        <v>0.0</v>
      </c>
      <c r="G965" s="14" t="b">
        <v>0</v>
      </c>
    </row>
    <row r="966">
      <c r="A966" s="16"/>
      <c r="B966" s="16"/>
      <c r="C966" s="16"/>
      <c r="D966" s="16"/>
      <c r="E966" s="16"/>
      <c r="F966" s="14">
        <v>0.0</v>
      </c>
      <c r="G966" s="14" t="b">
        <v>0</v>
      </c>
    </row>
    <row r="967">
      <c r="A967" s="16"/>
      <c r="B967" s="16"/>
      <c r="C967" s="16"/>
      <c r="D967" s="16"/>
      <c r="E967" s="16"/>
      <c r="F967" s="14">
        <v>0.0</v>
      </c>
      <c r="G967" s="14" t="b">
        <v>0</v>
      </c>
    </row>
    <row r="968">
      <c r="A968" s="16"/>
      <c r="B968" s="16"/>
      <c r="C968" s="16"/>
      <c r="D968" s="16"/>
      <c r="E968" s="16"/>
      <c r="F968" s="14">
        <v>0.0</v>
      </c>
      <c r="G968" s="14" t="b">
        <v>0</v>
      </c>
    </row>
    <row r="969">
      <c r="A969" s="16"/>
      <c r="B969" s="16"/>
      <c r="C969" s="16"/>
      <c r="D969" s="16"/>
      <c r="E969" s="16"/>
      <c r="F969" s="14">
        <v>0.0</v>
      </c>
      <c r="G969" s="14" t="b">
        <v>0</v>
      </c>
    </row>
    <row r="970">
      <c r="A970" s="16"/>
      <c r="B970" s="16"/>
      <c r="C970" s="16"/>
      <c r="D970" s="16"/>
      <c r="E970" s="16"/>
      <c r="F970" s="14">
        <v>0.0</v>
      </c>
      <c r="G970" s="14" t="b">
        <v>0</v>
      </c>
    </row>
    <row r="971">
      <c r="A971" s="16"/>
      <c r="B971" s="16"/>
      <c r="C971" s="16"/>
      <c r="D971" s="16"/>
      <c r="E971" s="16"/>
      <c r="F971" s="14">
        <v>0.0</v>
      </c>
      <c r="G971" s="14" t="b">
        <v>0</v>
      </c>
    </row>
    <row r="972">
      <c r="A972" s="16"/>
      <c r="B972" s="16"/>
      <c r="C972" s="16"/>
      <c r="D972" s="16"/>
      <c r="E972" s="16"/>
      <c r="F972" s="14">
        <v>0.0</v>
      </c>
      <c r="G972" s="14" t="b">
        <v>0</v>
      </c>
    </row>
    <row r="973">
      <c r="A973" s="16"/>
      <c r="B973" s="16"/>
      <c r="C973" s="16"/>
      <c r="D973" s="16"/>
      <c r="E973" s="16"/>
      <c r="F973" s="14">
        <v>0.0</v>
      </c>
      <c r="G973" s="14" t="b">
        <v>0</v>
      </c>
    </row>
    <row r="974">
      <c r="A974" s="16"/>
      <c r="B974" s="16"/>
      <c r="C974" s="16"/>
      <c r="D974" s="16"/>
      <c r="E974" s="16"/>
      <c r="F974" s="14">
        <v>0.0</v>
      </c>
      <c r="G974" s="14" t="b">
        <v>0</v>
      </c>
    </row>
    <row r="975">
      <c r="A975" s="16"/>
      <c r="B975" s="16"/>
      <c r="C975" s="16"/>
      <c r="D975" s="16"/>
      <c r="E975" s="16"/>
      <c r="F975" s="14">
        <v>0.0</v>
      </c>
      <c r="G975" s="14" t="b">
        <v>0</v>
      </c>
    </row>
    <row r="976">
      <c r="A976" s="16"/>
      <c r="B976" s="16"/>
      <c r="C976" s="16"/>
      <c r="D976" s="16"/>
      <c r="E976" s="16"/>
      <c r="F976" s="14">
        <v>0.0</v>
      </c>
      <c r="G976" s="14" t="b">
        <v>0</v>
      </c>
    </row>
    <row r="977">
      <c r="A977" s="16"/>
      <c r="B977" s="16"/>
      <c r="C977" s="16"/>
      <c r="D977" s="16"/>
      <c r="E977" s="16"/>
      <c r="F977" s="14">
        <v>0.0</v>
      </c>
      <c r="G977" s="14" t="b">
        <v>0</v>
      </c>
    </row>
    <row r="978">
      <c r="A978" s="16"/>
      <c r="B978" s="16"/>
      <c r="C978" s="16"/>
      <c r="D978" s="16"/>
      <c r="E978" s="16"/>
      <c r="F978" s="14">
        <v>0.0</v>
      </c>
      <c r="G978" s="14" t="b">
        <v>0</v>
      </c>
    </row>
    <row r="979">
      <c r="A979" s="16"/>
      <c r="B979" s="16"/>
      <c r="C979" s="16"/>
      <c r="D979" s="16"/>
      <c r="E979" s="16"/>
      <c r="F979" s="14">
        <v>0.0</v>
      </c>
      <c r="G979" s="14" t="b">
        <v>0</v>
      </c>
    </row>
    <row r="980">
      <c r="A980" s="16"/>
      <c r="B980" s="16"/>
      <c r="C980" s="16"/>
      <c r="D980" s="16"/>
      <c r="E980" s="16"/>
      <c r="F980" s="14">
        <v>0.0</v>
      </c>
      <c r="G980" s="14" t="b">
        <v>0</v>
      </c>
    </row>
    <row r="981">
      <c r="A981" s="16"/>
      <c r="B981" s="16"/>
      <c r="C981" s="16"/>
      <c r="D981" s="16"/>
      <c r="E981" s="16"/>
      <c r="F981" s="14">
        <v>0.0</v>
      </c>
      <c r="G981" s="14" t="b">
        <v>0</v>
      </c>
    </row>
    <row r="982">
      <c r="A982" s="16"/>
      <c r="B982" s="16"/>
      <c r="C982" s="16"/>
      <c r="D982" s="16"/>
      <c r="E982" s="16"/>
      <c r="F982" s="14">
        <v>0.0</v>
      </c>
      <c r="G982" s="14" t="b">
        <v>0</v>
      </c>
    </row>
    <row r="983">
      <c r="A983" s="16"/>
      <c r="B983" s="16"/>
      <c r="C983" s="16"/>
      <c r="D983" s="16"/>
      <c r="E983" s="16"/>
      <c r="F983" s="14">
        <v>0.0</v>
      </c>
      <c r="G983" s="14" t="b">
        <v>0</v>
      </c>
    </row>
    <row r="984">
      <c r="A984" s="16"/>
      <c r="B984" s="16"/>
      <c r="C984" s="16"/>
      <c r="D984" s="16"/>
      <c r="E984" s="16"/>
      <c r="F984" s="14">
        <v>0.0</v>
      </c>
      <c r="G984" s="14" t="b">
        <v>0</v>
      </c>
    </row>
    <row r="985">
      <c r="A985" s="16"/>
      <c r="B985" s="16"/>
      <c r="C985" s="16"/>
      <c r="D985" s="16"/>
      <c r="E985" s="16"/>
      <c r="F985" s="14">
        <v>0.0</v>
      </c>
      <c r="G985" s="14" t="b">
        <v>0</v>
      </c>
    </row>
    <row r="986">
      <c r="A986" s="16"/>
      <c r="B986" s="16"/>
      <c r="C986" s="16"/>
      <c r="D986" s="16"/>
      <c r="E986" s="16"/>
      <c r="F986" s="14">
        <v>0.0</v>
      </c>
      <c r="G986" s="14" t="b">
        <v>0</v>
      </c>
    </row>
    <row r="987">
      <c r="A987" s="16"/>
      <c r="B987" s="16"/>
      <c r="C987" s="16"/>
      <c r="D987" s="16"/>
      <c r="E987" s="16"/>
      <c r="F987" s="14">
        <v>0.0</v>
      </c>
      <c r="G987" s="14" t="b">
        <v>0</v>
      </c>
    </row>
    <row r="988">
      <c r="A988" s="16"/>
      <c r="B988" s="16"/>
      <c r="C988" s="16"/>
      <c r="D988" s="16"/>
      <c r="E988" s="16"/>
      <c r="F988" s="14">
        <v>0.0</v>
      </c>
      <c r="G988" s="14" t="b">
        <v>0</v>
      </c>
    </row>
    <row r="989">
      <c r="A989" s="16"/>
      <c r="B989" s="16"/>
      <c r="C989" s="16"/>
      <c r="D989" s="16"/>
      <c r="E989" s="16"/>
      <c r="F989" s="14">
        <v>0.0</v>
      </c>
      <c r="G989" s="14" t="b">
        <v>0</v>
      </c>
    </row>
    <row r="990">
      <c r="A990" s="16"/>
      <c r="B990" s="16"/>
      <c r="C990" s="16"/>
      <c r="D990" s="16"/>
      <c r="E990" s="16"/>
      <c r="F990" s="14">
        <v>0.0</v>
      </c>
      <c r="G990" s="14" t="b">
        <v>0</v>
      </c>
    </row>
    <row r="991">
      <c r="A991" s="16"/>
      <c r="B991" s="16"/>
      <c r="C991" s="16"/>
      <c r="D991" s="16"/>
      <c r="E991" s="16"/>
      <c r="F991" s="14">
        <v>0.0</v>
      </c>
      <c r="G991" s="14" t="b">
        <v>0</v>
      </c>
    </row>
    <row r="992">
      <c r="A992" s="16"/>
      <c r="B992" s="16"/>
      <c r="C992" s="16"/>
      <c r="D992" s="16"/>
      <c r="E992" s="16"/>
      <c r="F992" s="14">
        <v>0.0</v>
      </c>
      <c r="G992" s="14" t="b">
        <v>0</v>
      </c>
    </row>
    <row r="993">
      <c r="A993" s="16"/>
      <c r="B993" s="16"/>
      <c r="C993" s="16"/>
      <c r="D993" s="16"/>
      <c r="E993" s="16"/>
      <c r="F993" s="14">
        <v>0.0</v>
      </c>
      <c r="G993" s="14" t="b">
        <v>0</v>
      </c>
    </row>
    <row r="994">
      <c r="A994" s="16"/>
      <c r="B994" s="16"/>
      <c r="C994" s="16"/>
      <c r="D994" s="16"/>
      <c r="E994" s="16"/>
      <c r="F994" s="14">
        <v>0.0</v>
      </c>
      <c r="G994" s="14" t="b">
        <v>0</v>
      </c>
    </row>
    <row r="995">
      <c r="A995" s="16"/>
      <c r="B995" s="16"/>
      <c r="C995" s="16"/>
      <c r="D995" s="16"/>
      <c r="E995" s="16"/>
      <c r="F995" s="14">
        <v>0.0</v>
      </c>
      <c r="G995" s="14" t="b">
        <v>0</v>
      </c>
    </row>
    <row r="996">
      <c r="A996" s="16"/>
      <c r="B996" s="16"/>
      <c r="C996" s="16"/>
      <c r="D996" s="16"/>
      <c r="E996" s="16"/>
      <c r="F996" s="14">
        <v>0.0</v>
      </c>
      <c r="G996" s="14" t="b">
        <v>0</v>
      </c>
    </row>
    <row r="997">
      <c r="A997" s="16"/>
      <c r="B997" s="16"/>
      <c r="C997" s="16"/>
      <c r="D997" s="16"/>
      <c r="E997" s="16"/>
      <c r="F997" s="14">
        <v>0.0</v>
      </c>
      <c r="G997" s="14" t="b">
        <v>0</v>
      </c>
    </row>
    <row r="998">
      <c r="A998" s="16"/>
      <c r="B998" s="16"/>
      <c r="C998" s="16"/>
      <c r="D998" s="16"/>
      <c r="E998" s="16"/>
      <c r="F998" s="14">
        <v>0.0</v>
      </c>
      <c r="G998" s="14" t="b">
        <v>0</v>
      </c>
    </row>
    <row r="999">
      <c r="A999" s="16"/>
      <c r="B999" s="16"/>
      <c r="C999" s="16"/>
      <c r="D999" s="16"/>
      <c r="E999" s="16"/>
      <c r="F999" s="14">
        <v>0.0</v>
      </c>
      <c r="G999" s="14" t="b">
        <v>0</v>
      </c>
    </row>
    <row r="1000">
      <c r="A1000" s="16"/>
      <c r="B1000" s="16"/>
      <c r="C1000" s="16"/>
      <c r="D1000" s="16"/>
      <c r="E1000" s="16"/>
      <c r="F1000" s="14">
        <v>0.0</v>
      </c>
      <c r="G1000" s="14" t="b">
        <v>0</v>
      </c>
    </row>
  </sheetData>
  <conditionalFormatting sqref="G2:G1000">
    <cfRule type="expression" dxfId="1" priority="1">
      <formula>AND(if(E2=F2,True,False),G2)</formula>
    </cfRule>
  </conditionalFormatting>
  <conditionalFormatting sqref="G2:G1000">
    <cfRule type="expression" dxfId="0" priority="2">
      <formula>AND(E2&lt;&gt;F2,G2)</formula>
    </cfRule>
  </conditionalFormatting>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8761D"/>
    <outlinePr summaryBelow="0" summaryRight="0"/>
  </sheetPr>
  <sheetViews>
    <sheetView workbookViewId="0"/>
  </sheetViews>
  <sheetFormatPr customHeight="1" defaultColWidth="12.63" defaultRowHeight="15.75"/>
  <cols>
    <col customWidth="1" min="1" max="1" width="31.25"/>
    <col customWidth="1" min="2" max="2" width="65.63"/>
    <col customWidth="1" min="3" max="3" width="32.13"/>
  </cols>
  <sheetData>
    <row r="1">
      <c r="A1" s="91" t="s">
        <v>260</v>
      </c>
      <c r="B1" s="91" t="s">
        <v>261</v>
      </c>
      <c r="C1" s="91" t="s">
        <v>262</v>
      </c>
      <c r="D1" s="91" t="s">
        <v>80</v>
      </c>
      <c r="E1" s="91" t="s">
        <v>263</v>
      </c>
      <c r="F1" s="38" t="s">
        <v>258</v>
      </c>
      <c r="G1" s="39" t="s">
        <v>264</v>
      </c>
      <c r="H1" s="39" t="s">
        <v>265</v>
      </c>
      <c r="I1" s="39" t="s">
        <v>259</v>
      </c>
    </row>
    <row r="2">
      <c r="A2" s="16"/>
      <c r="B2" s="16" t="str">
        <f>IFNA(VLOOKUP($A2,Quests!$A$2:$E1000,MATCH(B$1,Quests!$A$1:$E$1,0),FALSE))</f>
        <v/>
      </c>
      <c r="C2" s="16" t="str">
        <f>IFNA(VLOOKUP($A2,Quests!$A$2:$E1000,MATCH(C$1,Quests!$A$1:$E$1,0),FALSE))</f>
        <v/>
      </c>
      <c r="D2" s="16" t="str">
        <f>IFNA(VLOOKUP($A2,Quests!$A$2:$E1000,MATCH(D$1,Quests!$A$1:$E$1,0),FALSE))</f>
        <v/>
      </c>
      <c r="E2" s="16" t="str">
        <f>IFNA(VLOOKUP($A2,Quests!$A$2:$E1000,MATCH(E$1,Quests!$A$1:$E$1,0),FALSE))</f>
        <v/>
      </c>
      <c r="G2" s="113" t="b">
        <v>0</v>
      </c>
      <c r="H2" s="113" t="b">
        <v>0</v>
      </c>
      <c r="I2" s="113" t="b">
        <v>0</v>
      </c>
    </row>
    <row r="3">
      <c r="A3" s="16"/>
      <c r="B3" s="16" t="str">
        <f>IFNA(VLOOKUP($A3,Quests!$A$2:$E1000,MATCH(B$1,Quests!$A$1:$E$1,0),FALSE))</f>
        <v/>
      </c>
      <c r="C3" s="16" t="str">
        <f>IFNA(VLOOKUP($A3,Quests!$A$2:$E1000,MATCH(C$1,Quests!$A$1:$E$1,0),FALSE))</f>
        <v/>
      </c>
      <c r="D3" s="16" t="str">
        <f>IFNA(VLOOKUP($A3,Quests!$A$2:$E1000,MATCH(D$1,Quests!$A$1:$E$1,0),FALSE))</f>
        <v/>
      </c>
      <c r="E3" s="16" t="str">
        <f>IFNA(VLOOKUP($A3,Quests!$A$2:$E1000,MATCH(E$1,Quests!$A$1:$E$1,0),FALSE))</f>
        <v/>
      </c>
      <c r="G3" s="113" t="b">
        <v>0</v>
      </c>
      <c r="H3" s="113" t="b">
        <v>0</v>
      </c>
      <c r="I3" s="113" t="b">
        <v>0</v>
      </c>
    </row>
    <row r="4">
      <c r="A4" s="16"/>
      <c r="B4" s="16" t="str">
        <f>IFNA(VLOOKUP($A4,Quests!$A$2:$E1000,MATCH(B$1,Quests!$A$1:$E$1,0),FALSE))</f>
        <v/>
      </c>
      <c r="C4" s="16" t="str">
        <f>IFNA(VLOOKUP($A4,Quests!$A$2:$E1000,MATCH(C$1,Quests!$A$1:$E$1,0),FALSE))</f>
        <v/>
      </c>
      <c r="D4" s="16" t="str">
        <f>IFNA(VLOOKUP($A4,Quests!$A$2:$E1000,MATCH(D$1,Quests!$A$1:$E$1,0),FALSE))</f>
        <v/>
      </c>
      <c r="E4" s="16" t="str">
        <f>IFNA(VLOOKUP($A4,Quests!$A$2:$E1000,MATCH(E$1,Quests!$A$1:$E$1,0),FALSE))</f>
        <v/>
      </c>
      <c r="G4" s="113" t="b">
        <v>0</v>
      </c>
      <c r="H4" s="113" t="b">
        <v>0</v>
      </c>
      <c r="I4" s="113" t="b">
        <v>0</v>
      </c>
    </row>
    <row r="5">
      <c r="A5" s="16"/>
      <c r="B5" s="16" t="str">
        <f>IFNA(VLOOKUP($A5,Quests!$A$2:$E1000,MATCH(B$1,Quests!$A$1:$E$1,0),FALSE))</f>
        <v/>
      </c>
      <c r="C5" s="16" t="str">
        <f>IFNA(VLOOKUP($A5,Quests!$A$2:$E1000,MATCH(C$1,Quests!$A$1:$E$1,0),FALSE))</f>
        <v/>
      </c>
      <c r="D5" s="16" t="str">
        <f>IFNA(VLOOKUP($A5,Quests!$A$2:$E1000,MATCH(D$1,Quests!$A$1:$E$1,0),FALSE))</f>
        <v/>
      </c>
      <c r="E5" s="16" t="str">
        <f>IFNA(VLOOKUP($A5,Quests!$A$2:$E1000,MATCH(E$1,Quests!$A$1:$E$1,0),FALSE))</f>
        <v/>
      </c>
      <c r="G5" s="113" t="b">
        <v>0</v>
      </c>
      <c r="H5" s="113" t="b">
        <v>0</v>
      </c>
      <c r="I5" s="113" t="b">
        <v>0</v>
      </c>
    </row>
    <row r="6">
      <c r="A6" s="16"/>
      <c r="B6" s="16" t="str">
        <f>IFNA(VLOOKUP($A6,Quests!$A$2:$E1000,MATCH(B$1,Quests!$A$1:$E$1,0),FALSE))</f>
        <v/>
      </c>
      <c r="C6" s="16" t="str">
        <f>IFNA(VLOOKUP($A6,Quests!$A$2:$E1000,MATCH(C$1,Quests!$A$1:$E$1,0),FALSE))</f>
        <v/>
      </c>
      <c r="D6" s="16" t="str">
        <f>IFNA(VLOOKUP($A6,Quests!$A$2:$E1000,MATCH(D$1,Quests!$A$1:$E$1,0),FALSE))</f>
        <v/>
      </c>
      <c r="E6" s="16" t="str">
        <f>IFNA(VLOOKUP($A6,Quests!$A$2:$E1000,MATCH(E$1,Quests!$A$1:$E$1,0),FALSE))</f>
        <v/>
      </c>
      <c r="G6" s="113" t="b">
        <v>0</v>
      </c>
      <c r="H6" s="113" t="b">
        <v>0</v>
      </c>
      <c r="I6" s="113" t="b">
        <v>0</v>
      </c>
    </row>
    <row r="7">
      <c r="A7" s="16"/>
      <c r="B7" s="16" t="str">
        <f>IFNA(VLOOKUP($A7,Quests!$A$2:$E1000,MATCH(B$1,Quests!$A$1:$E$1,0),FALSE))</f>
        <v/>
      </c>
      <c r="C7" s="16" t="str">
        <f>IFNA(VLOOKUP($A7,Quests!$A$2:$E1000,MATCH(C$1,Quests!$A$1:$E$1,0),FALSE))</f>
        <v/>
      </c>
      <c r="D7" s="16" t="str">
        <f>IFNA(VLOOKUP($A7,Quests!$A$2:$E1000,MATCH(D$1,Quests!$A$1:$E$1,0),FALSE))</f>
        <v/>
      </c>
      <c r="E7" s="16" t="str">
        <f>IFNA(VLOOKUP($A7,Quests!$A$2:$E1000,MATCH(E$1,Quests!$A$1:$E$1,0),FALSE))</f>
        <v/>
      </c>
      <c r="G7" s="113" t="b">
        <v>0</v>
      </c>
      <c r="H7" s="113" t="b">
        <v>0</v>
      </c>
      <c r="I7" s="113" t="b">
        <v>0</v>
      </c>
    </row>
    <row r="8">
      <c r="A8" s="16"/>
      <c r="B8" s="16" t="str">
        <f>IFNA(VLOOKUP($A8,Quests!$A$2:$E1000,MATCH(B$1,Quests!$A$1:$E$1,0),FALSE))</f>
        <v/>
      </c>
      <c r="C8" s="16" t="str">
        <f>IFNA(VLOOKUP($A8,Quests!$A$2:$E1000,MATCH(C$1,Quests!$A$1:$E$1,0),FALSE))</f>
        <v/>
      </c>
      <c r="D8" s="16" t="str">
        <f>IFNA(VLOOKUP($A8,Quests!$A$2:$E1000,MATCH(D$1,Quests!$A$1:$E$1,0),FALSE))</f>
        <v/>
      </c>
      <c r="E8" s="16" t="str">
        <f>IFNA(VLOOKUP($A8,Quests!$A$2:$E1000,MATCH(E$1,Quests!$A$1:$E$1,0),FALSE))</f>
        <v/>
      </c>
      <c r="G8" s="113" t="b">
        <v>0</v>
      </c>
      <c r="H8" s="113" t="b">
        <v>0</v>
      </c>
      <c r="I8" s="113" t="b">
        <v>0</v>
      </c>
    </row>
    <row r="9">
      <c r="A9" s="16"/>
      <c r="B9" s="16" t="str">
        <f>IFNA(VLOOKUP($A9,Quests!$A$2:$E1000,MATCH(B$1,Quests!$A$1:$E$1,0),FALSE))</f>
        <v/>
      </c>
      <c r="C9" s="16" t="str">
        <f>IFNA(VLOOKUP($A9,Quests!$A$2:$E1000,MATCH(C$1,Quests!$A$1:$E$1,0),FALSE))</f>
        <v/>
      </c>
      <c r="D9" s="16" t="str">
        <f>IFNA(VLOOKUP($A9,Quests!$A$2:$E1000,MATCH(D$1,Quests!$A$1:$E$1,0),FALSE))</f>
        <v/>
      </c>
      <c r="E9" s="16" t="str">
        <f>IFNA(VLOOKUP($A9,Quests!$A$2:$E1000,MATCH(E$1,Quests!$A$1:$E$1,0),FALSE))</f>
        <v/>
      </c>
      <c r="G9" s="113" t="b">
        <v>0</v>
      </c>
      <c r="H9" s="113" t="b">
        <v>0</v>
      </c>
      <c r="I9" s="113" t="b">
        <v>0</v>
      </c>
    </row>
    <row r="10">
      <c r="A10" s="16"/>
      <c r="B10" s="16" t="str">
        <f>IFNA(VLOOKUP($A10,Quests!$A$2:$E1000,MATCH(B$1,Quests!$A$1:$E$1,0),FALSE))</f>
        <v/>
      </c>
      <c r="C10" s="16" t="str">
        <f>IFNA(VLOOKUP($A10,Quests!$A$2:$E1000,MATCH(C$1,Quests!$A$1:$E$1,0),FALSE))</f>
        <v/>
      </c>
      <c r="D10" s="16" t="str">
        <f>IFNA(VLOOKUP($A10,Quests!$A$2:$E1000,MATCH(D$1,Quests!$A$1:$E$1,0),FALSE))</f>
        <v/>
      </c>
      <c r="E10" s="16" t="str">
        <f>IFNA(VLOOKUP($A10,Quests!$A$2:$E1000,MATCH(E$1,Quests!$A$1:$E$1,0),FALSE))</f>
        <v/>
      </c>
      <c r="G10" s="113" t="b">
        <v>0</v>
      </c>
      <c r="H10" s="113" t="b">
        <v>0</v>
      </c>
      <c r="I10" s="113" t="b">
        <v>0</v>
      </c>
    </row>
    <row r="11">
      <c r="A11" s="16"/>
      <c r="B11" s="16" t="str">
        <f>IFNA(VLOOKUP($A11,Quests!$A$2:$E1000,MATCH(B$1,Quests!$A$1:$E$1,0),FALSE))</f>
        <v/>
      </c>
      <c r="C11" s="16" t="str">
        <f>IFNA(VLOOKUP($A11,Quests!$A$2:$E1000,MATCH(C$1,Quests!$A$1:$E$1,0),FALSE))</f>
        <v/>
      </c>
      <c r="D11" s="16" t="str">
        <f>IFNA(VLOOKUP($A11,Quests!$A$2:$E1000,MATCH(D$1,Quests!$A$1:$E$1,0),FALSE))</f>
        <v/>
      </c>
      <c r="E11" s="16" t="str">
        <f>IFNA(VLOOKUP($A11,Quests!$A$2:$E1000,MATCH(E$1,Quests!$A$1:$E$1,0),FALSE))</f>
        <v/>
      </c>
      <c r="G11" s="113" t="b">
        <v>0</v>
      </c>
      <c r="H11" s="113" t="b">
        <v>0</v>
      </c>
      <c r="I11" s="113" t="b">
        <v>0</v>
      </c>
    </row>
    <row r="12">
      <c r="A12" s="16"/>
      <c r="B12" s="16" t="str">
        <f>IFNA(VLOOKUP($A12,Quests!$A$2:$E1000,MATCH(B$1,Quests!$A$1:$E$1,0),FALSE))</f>
        <v/>
      </c>
      <c r="C12" s="16" t="str">
        <f>IFNA(VLOOKUP($A12,Quests!$A$2:$E1000,MATCH(C$1,Quests!$A$1:$E$1,0),FALSE))</f>
        <v/>
      </c>
      <c r="D12" s="16" t="str">
        <f>IFNA(VLOOKUP($A12,Quests!$A$2:$E1000,MATCH(D$1,Quests!$A$1:$E$1,0),FALSE))</f>
        <v/>
      </c>
      <c r="E12" s="16" t="str">
        <f>IFNA(VLOOKUP($A12,Quests!$A$2:$E1000,MATCH(E$1,Quests!$A$1:$E$1,0),FALSE))</f>
        <v/>
      </c>
      <c r="G12" s="113" t="b">
        <v>0</v>
      </c>
      <c r="H12" s="113" t="b">
        <v>0</v>
      </c>
      <c r="I12" s="113" t="b">
        <v>0</v>
      </c>
    </row>
    <row r="13">
      <c r="A13" s="16"/>
      <c r="B13" s="16" t="str">
        <f>IFNA(VLOOKUP($A13,Quests!$A$2:$E1000,MATCH(B$1,Quests!$A$1:$E$1,0),FALSE))</f>
        <v/>
      </c>
      <c r="C13" s="16" t="str">
        <f>IFNA(VLOOKUP($A13,Quests!$A$2:$E1000,MATCH(C$1,Quests!$A$1:$E$1,0),FALSE))</f>
        <v/>
      </c>
      <c r="D13" s="16" t="str">
        <f>IFNA(VLOOKUP($A13,Quests!$A$2:$E1000,MATCH(D$1,Quests!$A$1:$E$1,0),FALSE))</f>
        <v/>
      </c>
      <c r="E13" s="16" t="str">
        <f>IFNA(VLOOKUP($A13,Quests!$A$2:$E1000,MATCH(E$1,Quests!$A$1:$E$1,0),FALSE))</f>
        <v/>
      </c>
      <c r="G13" s="113" t="b">
        <v>0</v>
      </c>
      <c r="H13" s="113" t="b">
        <v>0</v>
      </c>
      <c r="I13" s="113" t="b">
        <v>0</v>
      </c>
    </row>
    <row r="14">
      <c r="A14" s="16"/>
      <c r="B14" s="16" t="str">
        <f>IFNA(VLOOKUP($A14,Quests!$A$2:$E1000,MATCH(B$1,Quests!$A$1:$E$1,0),FALSE))</f>
        <v/>
      </c>
      <c r="C14" s="16" t="str">
        <f>IFNA(VLOOKUP($A14,Quests!$A$2:$E1000,MATCH(C$1,Quests!$A$1:$E$1,0),FALSE))</f>
        <v/>
      </c>
      <c r="D14" s="16" t="str">
        <f>IFNA(VLOOKUP($A14,Quests!$A$2:$E1000,MATCH(D$1,Quests!$A$1:$E$1,0),FALSE))</f>
        <v/>
      </c>
      <c r="E14" s="16" t="str">
        <f>IFNA(VLOOKUP($A14,Quests!$A$2:$E1000,MATCH(E$1,Quests!$A$1:$E$1,0),FALSE))</f>
        <v/>
      </c>
      <c r="G14" s="113" t="b">
        <v>0</v>
      </c>
      <c r="H14" s="113" t="b">
        <v>0</v>
      </c>
      <c r="I14" s="113" t="b">
        <v>0</v>
      </c>
    </row>
    <row r="15">
      <c r="A15" s="16"/>
      <c r="B15" s="16" t="str">
        <f>IFNA(VLOOKUP($A15,Quests!$A$2:$E1000,MATCH(B$1,Quests!$A$1:$E$1,0),FALSE))</f>
        <v/>
      </c>
      <c r="C15" s="16" t="str">
        <f>IFNA(VLOOKUP($A15,Quests!$A$2:$E1000,MATCH(C$1,Quests!$A$1:$E$1,0),FALSE))</f>
        <v/>
      </c>
      <c r="D15" s="16" t="str">
        <f>IFNA(VLOOKUP($A15,Quests!$A$2:$E1000,MATCH(D$1,Quests!$A$1:$E$1,0),FALSE))</f>
        <v/>
      </c>
      <c r="E15" s="16" t="str">
        <f>IFNA(VLOOKUP($A15,Quests!$A$2:$E1000,MATCH(E$1,Quests!$A$1:$E$1,0),FALSE))</f>
        <v/>
      </c>
      <c r="G15" s="113" t="b">
        <v>0</v>
      </c>
      <c r="H15" s="113" t="b">
        <v>0</v>
      </c>
      <c r="I15" s="113" t="b">
        <v>0</v>
      </c>
    </row>
    <row r="16">
      <c r="A16" s="16"/>
      <c r="B16" s="16" t="str">
        <f>IFNA(VLOOKUP($A16,Quests!$A$2:$E1000,MATCH(B$1,Quests!$A$1:$E$1,0),FALSE))</f>
        <v/>
      </c>
      <c r="C16" s="16" t="str">
        <f>IFNA(VLOOKUP($A16,Quests!$A$2:$E1000,MATCH(C$1,Quests!$A$1:$E$1,0),FALSE))</f>
        <v/>
      </c>
      <c r="D16" s="16" t="str">
        <f>IFNA(VLOOKUP($A16,Quests!$A$2:$E1000,MATCH(D$1,Quests!$A$1:$E$1,0),FALSE))</f>
        <v/>
      </c>
      <c r="E16" s="16" t="str">
        <f>IFNA(VLOOKUP($A16,Quests!$A$2:$E1000,MATCH(E$1,Quests!$A$1:$E$1,0),FALSE))</f>
        <v/>
      </c>
      <c r="G16" s="113" t="b">
        <v>0</v>
      </c>
      <c r="H16" s="113" t="b">
        <v>0</v>
      </c>
      <c r="I16" s="113" t="b">
        <v>0</v>
      </c>
    </row>
    <row r="17">
      <c r="A17" s="16"/>
      <c r="B17" s="16" t="str">
        <f>IFNA(VLOOKUP($A17,Quests!$A$2:$E1000,MATCH(B$1,Quests!$A$1:$E$1,0),FALSE))</f>
        <v/>
      </c>
      <c r="C17" s="16" t="str">
        <f>IFNA(VLOOKUP($A17,Quests!$A$2:$E1000,MATCH(C$1,Quests!$A$1:$E$1,0),FALSE))</f>
        <v/>
      </c>
      <c r="D17" s="16" t="str">
        <f>IFNA(VLOOKUP($A17,Quests!$A$2:$E1000,MATCH(D$1,Quests!$A$1:$E$1,0),FALSE))</f>
        <v/>
      </c>
      <c r="E17" s="16" t="str">
        <f>IFNA(VLOOKUP($A17,Quests!$A$2:$E1000,MATCH(E$1,Quests!$A$1:$E$1,0),FALSE))</f>
        <v/>
      </c>
      <c r="G17" s="113" t="b">
        <v>0</v>
      </c>
      <c r="H17" s="113" t="b">
        <v>0</v>
      </c>
      <c r="I17" s="113" t="b">
        <v>0</v>
      </c>
    </row>
    <row r="18">
      <c r="A18" s="16"/>
      <c r="B18" s="16" t="str">
        <f>IFNA(VLOOKUP($A18,Quests!$A$2:$E1000,MATCH(B$1,Quests!$A$1:$E$1,0),FALSE))</f>
        <v/>
      </c>
      <c r="C18" s="16" t="str">
        <f>IFNA(VLOOKUP($A18,Quests!$A$2:$E1000,MATCH(C$1,Quests!$A$1:$E$1,0),FALSE))</f>
        <v/>
      </c>
      <c r="D18" s="16" t="str">
        <f>IFNA(VLOOKUP($A18,Quests!$A$2:$E1000,MATCH(D$1,Quests!$A$1:$E$1,0),FALSE))</f>
        <v/>
      </c>
      <c r="E18" s="16" t="str">
        <f>IFNA(VLOOKUP($A18,Quests!$A$2:$E1000,MATCH(E$1,Quests!$A$1:$E$1,0),FALSE))</f>
        <v/>
      </c>
      <c r="G18" s="113" t="b">
        <v>0</v>
      </c>
      <c r="H18" s="113" t="b">
        <v>0</v>
      </c>
      <c r="I18" s="113" t="b">
        <v>0</v>
      </c>
    </row>
    <row r="19">
      <c r="A19" s="16"/>
      <c r="B19" s="16" t="str">
        <f>IFNA(VLOOKUP($A19,Quests!$A$2:$E1000,MATCH(B$1,Quests!$A$1:$E$1,0),FALSE))</f>
        <v/>
      </c>
      <c r="C19" s="16" t="str">
        <f>IFNA(VLOOKUP($A19,Quests!$A$2:$E1000,MATCH(C$1,Quests!$A$1:$E$1,0),FALSE))</f>
        <v/>
      </c>
      <c r="D19" s="16" t="str">
        <f>IFNA(VLOOKUP($A19,Quests!$A$2:$E1000,MATCH(D$1,Quests!$A$1:$E$1,0),FALSE))</f>
        <v/>
      </c>
      <c r="E19" s="16" t="str">
        <f>IFNA(VLOOKUP($A19,Quests!$A$2:$E1000,MATCH(E$1,Quests!$A$1:$E$1,0),FALSE))</f>
        <v/>
      </c>
      <c r="G19" s="113" t="b">
        <v>0</v>
      </c>
      <c r="H19" s="113" t="b">
        <v>0</v>
      </c>
      <c r="I19" s="113" t="b">
        <v>0</v>
      </c>
    </row>
    <row r="20">
      <c r="A20" s="16"/>
      <c r="B20" s="16" t="str">
        <f>IFNA(VLOOKUP($A20,Quests!$A$2:$E1000,MATCH(B$1,Quests!$A$1:$E$1,0),FALSE))</f>
        <v/>
      </c>
      <c r="C20" s="16" t="str">
        <f>IFNA(VLOOKUP($A20,Quests!$A$2:$E1000,MATCH(C$1,Quests!$A$1:$E$1,0),FALSE))</f>
        <v/>
      </c>
      <c r="D20" s="16" t="str">
        <f>IFNA(VLOOKUP($A20,Quests!$A$2:$E1000,MATCH(D$1,Quests!$A$1:$E$1,0),FALSE))</f>
        <v/>
      </c>
      <c r="E20" s="16" t="str">
        <f>IFNA(VLOOKUP($A20,Quests!$A$2:$E1000,MATCH(E$1,Quests!$A$1:$E$1,0),FALSE))</f>
        <v/>
      </c>
      <c r="G20" s="113" t="b">
        <v>0</v>
      </c>
      <c r="H20" s="113" t="b">
        <v>0</v>
      </c>
      <c r="I20" s="113" t="b">
        <v>0</v>
      </c>
    </row>
    <row r="21">
      <c r="A21" s="16"/>
      <c r="B21" s="16" t="str">
        <f>IFNA(VLOOKUP($A21,Quests!$A$2:$E1000,MATCH(B$1,Quests!$A$1:$E$1,0),FALSE))</f>
        <v/>
      </c>
      <c r="C21" s="16" t="str">
        <f>IFNA(VLOOKUP($A21,Quests!$A$2:$E1000,MATCH(C$1,Quests!$A$1:$E$1,0),FALSE))</f>
        <v/>
      </c>
      <c r="D21" s="16" t="str">
        <f>IFNA(VLOOKUP($A21,Quests!$A$2:$E1000,MATCH(D$1,Quests!$A$1:$E$1,0),FALSE))</f>
        <v/>
      </c>
      <c r="E21" s="16" t="str">
        <f>IFNA(VLOOKUP($A21,Quests!$A$2:$E1000,MATCH(E$1,Quests!$A$1:$E$1,0),FALSE))</f>
        <v/>
      </c>
      <c r="G21" s="113" t="b">
        <v>0</v>
      </c>
      <c r="H21" s="113" t="b">
        <v>0</v>
      </c>
      <c r="I21" s="113" t="b">
        <v>0</v>
      </c>
    </row>
    <row r="22">
      <c r="A22" s="16"/>
      <c r="B22" s="16" t="str">
        <f>IFNA(VLOOKUP($A22,Quests!$A$2:$E1000,MATCH(B$1,Quests!$A$1:$E$1,0),FALSE))</f>
        <v/>
      </c>
      <c r="C22" s="16" t="str">
        <f>IFNA(VLOOKUP($A22,Quests!$A$2:$E1000,MATCH(C$1,Quests!$A$1:$E$1,0),FALSE))</f>
        <v/>
      </c>
      <c r="D22" s="16" t="str">
        <f>IFNA(VLOOKUP($A22,Quests!$A$2:$E1000,MATCH(D$1,Quests!$A$1:$E$1,0),FALSE))</f>
        <v/>
      </c>
      <c r="E22" s="16" t="str">
        <f>IFNA(VLOOKUP($A22,Quests!$A$2:$E1000,MATCH(E$1,Quests!$A$1:$E$1,0),FALSE))</f>
        <v/>
      </c>
      <c r="G22" s="113" t="b">
        <v>0</v>
      </c>
      <c r="H22" s="113" t="b">
        <v>0</v>
      </c>
      <c r="I22" s="113" t="b">
        <v>0</v>
      </c>
    </row>
    <row r="23">
      <c r="A23" s="16"/>
      <c r="B23" s="16" t="str">
        <f>IFNA(VLOOKUP($A23,Quests!$A$2:$E1000,MATCH(B$1,Quests!$A$1:$E$1,0),FALSE))</f>
        <v/>
      </c>
      <c r="C23" s="16" t="str">
        <f>IFNA(VLOOKUP($A23,Quests!$A$2:$E1000,MATCH(C$1,Quests!$A$1:$E$1,0),FALSE))</f>
        <v/>
      </c>
      <c r="D23" s="16" t="str">
        <f>IFNA(VLOOKUP($A23,Quests!$A$2:$E1000,MATCH(D$1,Quests!$A$1:$E$1,0),FALSE))</f>
        <v/>
      </c>
      <c r="E23" s="16" t="str">
        <f>IFNA(VLOOKUP($A23,Quests!$A$2:$E1000,MATCH(E$1,Quests!$A$1:$E$1,0),FALSE))</f>
        <v/>
      </c>
      <c r="G23" s="113" t="b">
        <v>0</v>
      </c>
      <c r="H23" s="113" t="b">
        <v>0</v>
      </c>
      <c r="I23" s="113" t="b">
        <v>0</v>
      </c>
    </row>
    <row r="24">
      <c r="A24" s="16"/>
      <c r="B24" s="16" t="str">
        <f>IFNA(VLOOKUP($A24,Quests!$A$2:$E1000,MATCH(B$1,Quests!$A$1:$E$1,0),FALSE))</f>
        <v/>
      </c>
      <c r="C24" s="16" t="str">
        <f>IFNA(VLOOKUP($A24,Quests!$A$2:$E1000,MATCH(C$1,Quests!$A$1:$E$1,0),FALSE))</f>
        <v/>
      </c>
      <c r="D24" s="16" t="str">
        <f>IFNA(VLOOKUP($A24,Quests!$A$2:$E1000,MATCH(D$1,Quests!$A$1:$E$1,0),FALSE))</f>
        <v/>
      </c>
      <c r="E24" s="16" t="str">
        <f>IFNA(VLOOKUP($A24,Quests!$A$2:$E1000,MATCH(E$1,Quests!$A$1:$E$1,0),FALSE))</f>
        <v/>
      </c>
      <c r="G24" s="113" t="b">
        <v>0</v>
      </c>
      <c r="H24" s="113" t="b">
        <v>0</v>
      </c>
      <c r="I24" s="113" t="b">
        <v>0</v>
      </c>
    </row>
    <row r="25">
      <c r="A25" s="16"/>
      <c r="B25" s="16" t="str">
        <f>IFNA(VLOOKUP($A25,Quests!$A$2:$E1000,MATCH(B$1,Quests!$A$1:$E$1,0),FALSE))</f>
        <v/>
      </c>
      <c r="C25" s="16" t="str">
        <f>IFNA(VLOOKUP($A25,Quests!$A$2:$E1000,MATCH(C$1,Quests!$A$1:$E$1,0),FALSE))</f>
        <v/>
      </c>
      <c r="D25" s="16" t="str">
        <f>IFNA(VLOOKUP($A25,Quests!$A$2:$E1000,MATCH(D$1,Quests!$A$1:$E$1,0),FALSE))</f>
        <v/>
      </c>
      <c r="E25" s="16" t="str">
        <f>IFNA(VLOOKUP($A25,Quests!$A$2:$E1000,MATCH(E$1,Quests!$A$1:$E$1,0),FALSE))</f>
        <v/>
      </c>
      <c r="G25" s="113" t="b">
        <v>0</v>
      </c>
      <c r="H25" s="113" t="b">
        <v>0</v>
      </c>
      <c r="I25" s="113" t="b">
        <v>0</v>
      </c>
    </row>
    <row r="26">
      <c r="A26" s="16"/>
      <c r="B26" s="16" t="str">
        <f>IFNA(VLOOKUP($A26,Quests!$A$2:$E1000,MATCH(B$1,Quests!$A$1:$E$1,0),FALSE))</f>
        <v/>
      </c>
      <c r="C26" s="16" t="str">
        <f>IFNA(VLOOKUP($A26,Quests!$A$2:$E1000,MATCH(C$1,Quests!$A$1:$E$1,0),FALSE))</f>
        <v/>
      </c>
      <c r="D26" s="16" t="str">
        <f>IFNA(VLOOKUP($A26,Quests!$A$2:$E1000,MATCH(D$1,Quests!$A$1:$E$1,0),FALSE))</f>
        <v/>
      </c>
      <c r="E26" s="16" t="str">
        <f>IFNA(VLOOKUP($A26,Quests!$A$2:$E1000,MATCH(E$1,Quests!$A$1:$E$1,0),FALSE))</f>
        <v/>
      </c>
      <c r="G26" s="113" t="b">
        <v>0</v>
      </c>
      <c r="H26" s="113" t="b">
        <v>0</v>
      </c>
      <c r="I26" s="113" t="b">
        <v>0</v>
      </c>
    </row>
    <row r="27">
      <c r="A27" s="16"/>
      <c r="B27" s="16" t="str">
        <f>IFNA(VLOOKUP($A27,Quests!$A$2:$E1000,MATCH(B$1,Quests!$A$1:$E$1,0),FALSE))</f>
        <v/>
      </c>
      <c r="C27" s="16" t="str">
        <f>IFNA(VLOOKUP($A27,Quests!$A$2:$E1000,MATCH(C$1,Quests!$A$1:$E$1,0),FALSE))</f>
        <v/>
      </c>
      <c r="D27" s="16" t="str">
        <f>IFNA(VLOOKUP($A27,Quests!$A$2:$E1000,MATCH(D$1,Quests!$A$1:$E$1,0),FALSE))</f>
        <v/>
      </c>
      <c r="E27" s="16" t="str">
        <f>IFNA(VLOOKUP($A27,Quests!$A$2:$E1000,MATCH(E$1,Quests!$A$1:$E$1,0),FALSE))</f>
        <v/>
      </c>
      <c r="G27" s="113" t="b">
        <v>0</v>
      </c>
      <c r="H27" s="113" t="b">
        <v>0</v>
      </c>
      <c r="I27" s="113" t="b">
        <v>0</v>
      </c>
    </row>
    <row r="28">
      <c r="A28" s="16"/>
      <c r="B28" s="16" t="str">
        <f>IFNA(VLOOKUP($A28,Quests!$A$2:$E1000,MATCH(B$1,Quests!$A$1:$E$1,0),FALSE))</f>
        <v/>
      </c>
      <c r="C28" s="16" t="str">
        <f>IFNA(VLOOKUP($A28,Quests!$A$2:$E1000,MATCH(C$1,Quests!$A$1:$E$1,0),FALSE))</f>
        <v/>
      </c>
      <c r="D28" s="16" t="str">
        <f>IFNA(VLOOKUP($A28,Quests!$A$2:$E1000,MATCH(D$1,Quests!$A$1:$E$1,0),FALSE))</f>
        <v/>
      </c>
      <c r="E28" s="16" t="str">
        <f>IFNA(VLOOKUP($A28,Quests!$A$2:$E1000,MATCH(E$1,Quests!$A$1:$E$1,0),FALSE))</f>
        <v/>
      </c>
      <c r="G28" s="113" t="b">
        <v>0</v>
      </c>
      <c r="H28" s="113" t="b">
        <v>0</v>
      </c>
      <c r="I28" s="113" t="b">
        <v>0</v>
      </c>
    </row>
    <row r="29">
      <c r="A29" s="16"/>
      <c r="B29" s="16" t="str">
        <f>IFNA(VLOOKUP($A29,Quests!$A$2:$E1000,MATCH(B$1,Quests!$A$1:$E$1,0),FALSE))</f>
        <v/>
      </c>
      <c r="C29" s="16" t="str">
        <f>IFNA(VLOOKUP($A29,Quests!$A$2:$E1000,MATCH(C$1,Quests!$A$1:$E$1,0),FALSE))</f>
        <v/>
      </c>
      <c r="D29" s="16" t="str">
        <f>IFNA(VLOOKUP($A29,Quests!$A$2:$E1000,MATCH(D$1,Quests!$A$1:$E$1,0),FALSE))</f>
        <v/>
      </c>
      <c r="E29" s="16" t="str">
        <f>IFNA(VLOOKUP($A29,Quests!$A$2:$E1000,MATCH(E$1,Quests!$A$1:$E$1,0),FALSE))</f>
        <v/>
      </c>
      <c r="G29" s="113" t="b">
        <v>0</v>
      </c>
      <c r="H29" s="113" t="b">
        <v>0</v>
      </c>
      <c r="I29" s="113" t="b">
        <v>0</v>
      </c>
    </row>
    <row r="30">
      <c r="A30" s="16"/>
      <c r="B30" s="16" t="str">
        <f>IFNA(VLOOKUP($A30,Quests!$A$2:$E1000,MATCH(B$1,Quests!$A$1:$E$1,0),FALSE))</f>
        <v/>
      </c>
      <c r="C30" s="16" t="str">
        <f>IFNA(VLOOKUP($A30,Quests!$A$2:$E1000,MATCH(C$1,Quests!$A$1:$E$1,0),FALSE))</f>
        <v/>
      </c>
      <c r="D30" s="16" t="str">
        <f>IFNA(VLOOKUP($A30,Quests!$A$2:$E1000,MATCH(D$1,Quests!$A$1:$E$1,0),FALSE))</f>
        <v/>
      </c>
      <c r="E30" s="16" t="str">
        <f>IFNA(VLOOKUP($A30,Quests!$A$2:$E1000,MATCH(E$1,Quests!$A$1:$E$1,0),FALSE))</f>
        <v/>
      </c>
      <c r="G30" s="113" t="b">
        <v>0</v>
      </c>
      <c r="H30" s="113" t="b">
        <v>0</v>
      </c>
      <c r="I30" s="113" t="b">
        <v>0</v>
      </c>
    </row>
    <row r="31">
      <c r="A31" s="16"/>
      <c r="B31" s="16" t="str">
        <f>IFNA(VLOOKUP($A31,Quests!$A$2:$E1000,MATCH(B$1,Quests!$A$1:$E$1,0),FALSE))</f>
        <v/>
      </c>
      <c r="C31" s="16" t="str">
        <f>IFNA(VLOOKUP($A31,Quests!$A$2:$E1000,MATCH(C$1,Quests!$A$1:$E$1,0),FALSE))</f>
        <v/>
      </c>
      <c r="D31" s="16" t="str">
        <f>IFNA(VLOOKUP($A31,Quests!$A$2:$E1000,MATCH(D$1,Quests!$A$1:$E$1,0),FALSE))</f>
        <v/>
      </c>
      <c r="E31" s="16" t="str">
        <f>IFNA(VLOOKUP($A31,Quests!$A$2:$E1000,MATCH(E$1,Quests!$A$1:$E$1,0),FALSE))</f>
        <v/>
      </c>
      <c r="G31" s="113" t="b">
        <v>0</v>
      </c>
      <c r="H31" s="113" t="b">
        <v>0</v>
      </c>
      <c r="I31" s="113" t="b">
        <v>0</v>
      </c>
    </row>
    <row r="32">
      <c r="A32" s="16"/>
      <c r="B32" s="16" t="str">
        <f>IFNA(VLOOKUP($A32,Quests!$A$2:$E1000,MATCH(B$1,Quests!$A$1:$E$1,0),FALSE))</f>
        <v/>
      </c>
      <c r="C32" s="16" t="str">
        <f>IFNA(VLOOKUP($A32,Quests!$A$2:$E1000,MATCH(C$1,Quests!$A$1:$E$1,0),FALSE))</f>
        <v/>
      </c>
      <c r="D32" s="16" t="str">
        <f>IFNA(VLOOKUP($A32,Quests!$A$2:$E1000,MATCH(D$1,Quests!$A$1:$E$1,0),FALSE))</f>
        <v/>
      </c>
      <c r="E32" s="16" t="str">
        <f>IFNA(VLOOKUP($A32,Quests!$A$2:$E1000,MATCH(E$1,Quests!$A$1:$E$1,0),FALSE))</f>
        <v/>
      </c>
      <c r="G32" s="113" t="b">
        <v>0</v>
      </c>
      <c r="H32" s="113" t="b">
        <v>0</v>
      </c>
      <c r="I32" s="113" t="b">
        <v>0</v>
      </c>
    </row>
    <row r="33">
      <c r="A33" s="16"/>
      <c r="B33" s="16" t="str">
        <f>IFNA(VLOOKUP($A33,Quests!$A$2:$E1000,MATCH(B$1,Quests!$A$1:$E$1,0),FALSE))</f>
        <v/>
      </c>
      <c r="C33" s="16" t="str">
        <f>IFNA(VLOOKUP($A33,Quests!$A$2:$E1000,MATCH(C$1,Quests!$A$1:$E$1,0),FALSE))</f>
        <v/>
      </c>
      <c r="D33" s="16" t="str">
        <f>IFNA(VLOOKUP($A33,Quests!$A$2:$E1000,MATCH(D$1,Quests!$A$1:$E$1,0),FALSE))</f>
        <v/>
      </c>
      <c r="E33" s="16" t="str">
        <f>IFNA(VLOOKUP($A33,Quests!$A$2:$E1000,MATCH(E$1,Quests!$A$1:$E$1,0),FALSE))</f>
        <v/>
      </c>
      <c r="G33" s="113" t="b">
        <v>0</v>
      </c>
      <c r="H33" s="113" t="b">
        <v>0</v>
      </c>
      <c r="I33" s="113" t="b">
        <v>0</v>
      </c>
    </row>
    <row r="34">
      <c r="A34" s="16"/>
      <c r="B34" s="16" t="str">
        <f>IFNA(VLOOKUP($A34,Quests!$A$2:$E1000,MATCH(B$1,Quests!$A$1:$E$1,0),FALSE))</f>
        <v/>
      </c>
      <c r="C34" s="16" t="str">
        <f>IFNA(VLOOKUP($A34,Quests!$A$2:$E1000,MATCH(C$1,Quests!$A$1:$E$1,0),FALSE))</f>
        <v/>
      </c>
      <c r="D34" s="16" t="str">
        <f>IFNA(VLOOKUP($A34,Quests!$A$2:$E1000,MATCH(D$1,Quests!$A$1:$E$1,0),FALSE))</f>
        <v/>
      </c>
      <c r="E34" s="16" t="str">
        <f>IFNA(VLOOKUP($A34,Quests!$A$2:$E1000,MATCH(E$1,Quests!$A$1:$E$1,0),FALSE))</f>
        <v/>
      </c>
      <c r="G34" s="113" t="b">
        <v>0</v>
      </c>
      <c r="H34" s="113" t="b">
        <v>0</v>
      </c>
      <c r="I34" s="113" t="b">
        <v>0</v>
      </c>
    </row>
    <row r="35">
      <c r="A35" s="16"/>
      <c r="B35" s="16" t="str">
        <f>IFNA(VLOOKUP($A35,Quests!$A$2:$E1000,MATCH(B$1,Quests!$A$1:$E$1,0),FALSE))</f>
        <v/>
      </c>
      <c r="C35" s="16" t="str">
        <f>IFNA(VLOOKUP($A35,Quests!$A$2:$E1000,MATCH(C$1,Quests!$A$1:$E$1,0),FALSE))</f>
        <v/>
      </c>
      <c r="D35" s="16" t="str">
        <f>IFNA(VLOOKUP($A35,Quests!$A$2:$E1000,MATCH(D$1,Quests!$A$1:$E$1,0),FALSE))</f>
        <v/>
      </c>
      <c r="E35" s="16" t="str">
        <f>IFNA(VLOOKUP($A35,Quests!$A$2:$E1000,MATCH(E$1,Quests!$A$1:$E$1,0),FALSE))</f>
        <v/>
      </c>
      <c r="G35" s="113" t="b">
        <v>0</v>
      </c>
      <c r="H35" s="113" t="b">
        <v>0</v>
      </c>
      <c r="I35" s="113" t="b">
        <v>0</v>
      </c>
    </row>
    <row r="36">
      <c r="A36" s="16"/>
      <c r="B36" s="16" t="str">
        <f>IFNA(VLOOKUP($A36,Quests!$A$2:$E1000,MATCH(B$1,Quests!$A$1:$E$1,0),FALSE))</f>
        <v/>
      </c>
      <c r="C36" s="16" t="str">
        <f>IFNA(VLOOKUP($A36,Quests!$A$2:$E1000,MATCH(C$1,Quests!$A$1:$E$1,0),FALSE))</f>
        <v/>
      </c>
      <c r="D36" s="16" t="str">
        <f>IFNA(VLOOKUP($A36,Quests!$A$2:$E1000,MATCH(D$1,Quests!$A$1:$E$1,0),FALSE))</f>
        <v/>
      </c>
      <c r="E36" s="16" t="str">
        <f>IFNA(VLOOKUP($A36,Quests!$A$2:$E1000,MATCH(E$1,Quests!$A$1:$E$1,0),FALSE))</f>
        <v/>
      </c>
      <c r="G36" s="113" t="b">
        <v>0</v>
      </c>
      <c r="H36" s="113" t="b">
        <v>0</v>
      </c>
      <c r="I36" s="113" t="b">
        <v>0</v>
      </c>
    </row>
    <row r="37">
      <c r="A37" s="16"/>
      <c r="B37" s="16" t="str">
        <f>IFNA(VLOOKUP($A37,Quests!$A$2:$E1000,MATCH(B$1,Quests!$A$1:$E$1,0),FALSE))</f>
        <v/>
      </c>
      <c r="C37" s="16" t="str">
        <f>IFNA(VLOOKUP($A37,Quests!$A$2:$E1000,MATCH(C$1,Quests!$A$1:$E$1,0),FALSE))</f>
        <v/>
      </c>
      <c r="D37" s="16" t="str">
        <f>IFNA(VLOOKUP($A37,Quests!$A$2:$E1000,MATCH(D$1,Quests!$A$1:$E$1,0),FALSE))</f>
        <v/>
      </c>
      <c r="E37" s="16" t="str">
        <f>IFNA(VLOOKUP($A37,Quests!$A$2:$E1000,MATCH(E$1,Quests!$A$1:$E$1,0),FALSE))</f>
        <v/>
      </c>
      <c r="G37" s="113" t="b">
        <v>0</v>
      </c>
      <c r="H37" s="113" t="b">
        <v>0</v>
      </c>
      <c r="I37" s="113" t="b">
        <v>0</v>
      </c>
    </row>
    <row r="38">
      <c r="A38" s="16"/>
      <c r="B38" s="16" t="str">
        <f>IFNA(VLOOKUP($A38,Quests!$A$2:$E1000,MATCH(B$1,Quests!$A$1:$E$1,0),FALSE))</f>
        <v/>
      </c>
      <c r="C38" s="16" t="str">
        <f>IFNA(VLOOKUP($A38,Quests!$A$2:$E1000,MATCH(C$1,Quests!$A$1:$E$1,0),FALSE))</f>
        <v/>
      </c>
      <c r="D38" s="16" t="str">
        <f>IFNA(VLOOKUP($A38,Quests!$A$2:$E1000,MATCH(D$1,Quests!$A$1:$E$1,0),FALSE))</f>
        <v/>
      </c>
      <c r="E38" s="16" t="str">
        <f>IFNA(VLOOKUP($A38,Quests!$A$2:$E1000,MATCH(E$1,Quests!$A$1:$E$1,0),FALSE))</f>
        <v/>
      </c>
      <c r="G38" s="113" t="b">
        <v>0</v>
      </c>
      <c r="H38" s="113" t="b">
        <v>0</v>
      </c>
      <c r="I38" s="113" t="b">
        <v>0</v>
      </c>
    </row>
    <row r="39">
      <c r="A39" s="16"/>
      <c r="B39" s="16" t="str">
        <f>IFNA(VLOOKUP($A39,Quests!$A$2:$E1000,MATCH(B$1,Quests!$A$1:$E$1,0),FALSE))</f>
        <v/>
      </c>
      <c r="C39" s="16" t="str">
        <f>IFNA(VLOOKUP($A39,Quests!$A$2:$E1000,MATCH(C$1,Quests!$A$1:$E$1,0),FALSE))</f>
        <v/>
      </c>
      <c r="D39" s="16" t="str">
        <f>IFNA(VLOOKUP($A39,Quests!$A$2:$E1000,MATCH(D$1,Quests!$A$1:$E$1,0),FALSE))</f>
        <v/>
      </c>
      <c r="E39" s="16" t="str">
        <f>IFNA(VLOOKUP($A39,Quests!$A$2:$E1000,MATCH(E$1,Quests!$A$1:$E$1,0),FALSE))</f>
        <v/>
      </c>
      <c r="G39" s="113" t="b">
        <v>0</v>
      </c>
      <c r="H39" s="113" t="b">
        <v>0</v>
      </c>
      <c r="I39" s="113" t="b">
        <v>0</v>
      </c>
    </row>
    <row r="40">
      <c r="A40" s="16"/>
      <c r="B40" s="16" t="str">
        <f>IFNA(VLOOKUP($A40,Quests!$A$2:$E1000,MATCH(B$1,Quests!$A$1:$E$1,0),FALSE))</f>
        <v/>
      </c>
      <c r="C40" s="16" t="str">
        <f>IFNA(VLOOKUP($A40,Quests!$A$2:$E1000,MATCH(C$1,Quests!$A$1:$E$1,0),FALSE))</f>
        <v/>
      </c>
      <c r="D40" s="16" t="str">
        <f>IFNA(VLOOKUP($A40,Quests!$A$2:$E1000,MATCH(D$1,Quests!$A$1:$E$1,0),FALSE))</f>
        <v/>
      </c>
      <c r="E40" s="16" t="str">
        <f>IFNA(VLOOKUP($A40,Quests!$A$2:$E1000,MATCH(E$1,Quests!$A$1:$E$1,0),FALSE))</f>
        <v/>
      </c>
      <c r="G40" s="113" t="b">
        <v>0</v>
      </c>
      <c r="H40" s="113" t="b">
        <v>0</v>
      </c>
      <c r="I40" s="113" t="b">
        <v>0</v>
      </c>
    </row>
    <row r="41">
      <c r="A41" s="16"/>
      <c r="B41" s="16" t="str">
        <f>IFNA(VLOOKUP($A41,Quests!$A$2:$E1000,MATCH(B$1,Quests!$A$1:$E$1,0),FALSE))</f>
        <v/>
      </c>
      <c r="C41" s="16" t="str">
        <f>IFNA(VLOOKUP($A41,Quests!$A$2:$E1000,MATCH(C$1,Quests!$A$1:$E$1,0),FALSE))</f>
        <v/>
      </c>
      <c r="D41" s="16" t="str">
        <f>IFNA(VLOOKUP($A41,Quests!$A$2:$E1000,MATCH(D$1,Quests!$A$1:$E$1,0),FALSE))</f>
        <v/>
      </c>
      <c r="E41" s="16" t="str">
        <f>IFNA(VLOOKUP($A41,Quests!$A$2:$E1000,MATCH(E$1,Quests!$A$1:$E$1,0),FALSE))</f>
        <v/>
      </c>
      <c r="G41" s="113" t="b">
        <v>0</v>
      </c>
      <c r="H41" s="113" t="b">
        <v>0</v>
      </c>
      <c r="I41" s="113" t="b">
        <v>0</v>
      </c>
    </row>
    <row r="42">
      <c r="A42" s="16"/>
      <c r="B42" s="16" t="str">
        <f>IFNA(VLOOKUP($A42,Quests!$A$2:$E1000,MATCH(B$1,Quests!$A$1:$E$1,0),FALSE))</f>
        <v/>
      </c>
      <c r="C42" s="16" t="str">
        <f>IFNA(VLOOKUP($A42,Quests!$A$2:$E1000,MATCH(C$1,Quests!$A$1:$E$1,0),FALSE))</f>
        <v/>
      </c>
      <c r="D42" s="16" t="str">
        <f>IFNA(VLOOKUP($A42,Quests!$A$2:$E1000,MATCH(D$1,Quests!$A$1:$E$1,0),FALSE))</f>
        <v/>
      </c>
      <c r="E42" s="16" t="str">
        <f>IFNA(VLOOKUP($A42,Quests!$A$2:$E1000,MATCH(E$1,Quests!$A$1:$E$1,0),FALSE))</f>
        <v/>
      </c>
      <c r="G42" s="113" t="b">
        <v>0</v>
      </c>
      <c r="H42" s="113" t="b">
        <v>0</v>
      </c>
      <c r="I42" s="113" t="b">
        <v>0</v>
      </c>
    </row>
    <row r="43">
      <c r="A43" s="16"/>
      <c r="B43" s="16" t="str">
        <f>IFNA(VLOOKUP($A43,Quests!$A$2:$E1000,MATCH(B$1,Quests!$A$1:$E$1,0),FALSE))</f>
        <v/>
      </c>
      <c r="C43" s="16" t="str">
        <f>IFNA(VLOOKUP($A43,Quests!$A$2:$E1000,MATCH(C$1,Quests!$A$1:$E$1,0),FALSE))</f>
        <v/>
      </c>
      <c r="D43" s="16" t="str">
        <f>IFNA(VLOOKUP($A43,Quests!$A$2:$E1000,MATCH(D$1,Quests!$A$1:$E$1,0),FALSE))</f>
        <v/>
      </c>
      <c r="E43" s="16" t="str">
        <f>IFNA(VLOOKUP($A43,Quests!$A$2:$E1000,MATCH(E$1,Quests!$A$1:$E$1,0),FALSE))</f>
        <v/>
      </c>
      <c r="G43" s="113" t="b">
        <v>0</v>
      </c>
      <c r="H43" s="113" t="b">
        <v>0</v>
      </c>
      <c r="I43" s="113" t="b">
        <v>0</v>
      </c>
    </row>
    <row r="44">
      <c r="A44" s="16"/>
      <c r="B44" s="16" t="str">
        <f>IFNA(VLOOKUP($A44,Quests!$A$2:$E1000,MATCH(B$1,Quests!$A$1:$E$1,0),FALSE))</f>
        <v/>
      </c>
      <c r="C44" s="16" t="str">
        <f>IFNA(VLOOKUP($A44,Quests!$A$2:$E1000,MATCH(C$1,Quests!$A$1:$E$1,0),FALSE))</f>
        <v/>
      </c>
      <c r="D44" s="16" t="str">
        <f>IFNA(VLOOKUP($A44,Quests!$A$2:$E1000,MATCH(D$1,Quests!$A$1:$E$1,0),FALSE))</f>
        <v/>
      </c>
      <c r="E44" s="16" t="str">
        <f>IFNA(VLOOKUP($A44,Quests!$A$2:$E1000,MATCH(E$1,Quests!$A$1:$E$1,0),FALSE))</f>
        <v/>
      </c>
      <c r="G44" s="113" t="b">
        <v>0</v>
      </c>
      <c r="H44" s="113" t="b">
        <v>0</v>
      </c>
      <c r="I44" s="113" t="b">
        <v>0</v>
      </c>
    </row>
    <row r="45">
      <c r="A45" s="16"/>
      <c r="B45" s="16" t="str">
        <f>IFNA(VLOOKUP($A45,Quests!$A$2:$E1000,MATCH(B$1,Quests!$A$1:$E$1,0),FALSE))</f>
        <v/>
      </c>
      <c r="C45" s="16" t="str">
        <f>IFNA(VLOOKUP($A45,Quests!$A$2:$E1000,MATCH(C$1,Quests!$A$1:$E$1,0),FALSE))</f>
        <v/>
      </c>
      <c r="D45" s="16" t="str">
        <f>IFNA(VLOOKUP($A45,Quests!$A$2:$E1000,MATCH(D$1,Quests!$A$1:$E$1,0),FALSE))</f>
        <v/>
      </c>
      <c r="E45" s="16" t="str">
        <f>IFNA(VLOOKUP($A45,Quests!$A$2:$E1000,MATCH(E$1,Quests!$A$1:$E$1,0),FALSE))</f>
        <v/>
      </c>
      <c r="G45" s="113" t="b">
        <v>0</v>
      </c>
      <c r="H45" s="113" t="b">
        <v>0</v>
      </c>
      <c r="I45" s="113" t="b">
        <v>0</v>
      </c>
    </row>
    <row r="46">
      <c r="A46" s="16"/>
      <c r="B46" s="16" t="str">
        <f>IFNA(VLOOKUP($A46,Quests!$A$2:$E1000,MATCH(B$1,Quests!$A$1:$E$1,0),FALSE))</f>
        <v/>
      </c>
      <c r="C46" s="16" t="str">
        <f>IFNA(VLOOKUP($A46,Quests!$A$2:$E1000,MATCH(C$1,Quests!$A$1:$E$1,0),FALSE))</f>
        <v/>
      </c>
      <c r="D46" s="16" t="str">
        <f>IFNA(VLOOKUP($A46,Quests!$A$2:$E1000,MATCH(D$1,Quests!$A$1:$E$1,0),FALSE))</f>
        <v/>
      </c>
      <c r="E46" s="16" t="str">
        <f>IFNA(VLOOKUP($A46,Quests!$A$2:$E1000,MATCH(E$1,Quests!$A$1:$E$1,0),FALSE))</f>
        <v/>
      </c>
      <c r="G46" s="113" t="b">
        <v>0</v>
      </c>
      <c r="H46" s="113" t="b">
        <v>0</v>
      </c>
      <c r="I46" s="113" t="b">
        <v>0</v>
      </c>
    </row>
    <row r="47">
      <c r="A47" s="16"/>
      <c r="B47" s="16" t="str">
        <f>IFNA(VLOOKUP($A47,Quests!$A$2:$E1000,MATCH(B$1,Quests!$A$1:$E$1,0),FALSE))</f>
        <v/>
      </c>
      <c r="C47" s="16" t="str">
        <f>IFNA(VLOOKUP($A47,Quests!$A$2:$E1000,MATCH(C$1,Quests!$A$1:$E$1,0),FALSE))</f>
        <v/>
      </c>
      <c r="D47" s="16" t="str">
        <f>IFNA(VLOOKUP($A47,Quests!$A$2:$E1000,MATCH(D$1,Quests!$A$1:$E$1,0),FALSE))</f>
        <v/>
      </c>
      <c r="E47" s="16" t="str">
        <f>IFNA(VLOOKUP($A47,Quests!$A$2:$E1000,MATCH(E$1,Quests!$A$1:$E$1,0),FALSE))</f>
        <v/>
      </c>
      <c r="G47" s="113" t="b">
        <v>0</v>
      </c>
      <c r="H47" s="113" t="b">
        <v>0</v>
      </c>
      <c r="I47" s="113" t="b">
        <v>0</v>
      </c>
    </row>
    <row r="48">
      <c r="A48" s="16"/>
      <c r="B48" s="16" t="str">
        <f>IFNA(VLOOKUP($A48,Quests!$A$2:$E1000,MATCH(B$1,Quests!$A$1:$E$1,0),FALSE))</f>
        <v/>
      </c>
      <c r="C48" s="16" t="str">
        <f>IFNA(VLOOKUP($A48,Quests!$A$2:$E1000,MATCH(C$1,Quests!$A$1:$E$1,0),FALSE))</f>
        <v/>
      </c>
      <c r="D48" s="16" t="str">
        <f>IFNA(VLOOKUP($A48,Quests!$A$2:$E1000,MATCH(D$1,Quests!$A$1:$E$1,0),FALSE))</f>
        <v/>
      </c>
      <c r="E48" s="16" t="str">
        <f>IFNA(VLOOKUP($A48,Quests!$A$2:$E1000,MATCH(E$1,Quests!$A$1:$E$1,0),FALSE))</f>
        <v/>
      </c>
      <c r="G48" s="113" t="b">
        <v>0</v>
      </c>
      <c r="H48" s="113" t="b">
        <v>0</v>
      </c>
      <c r="I48" s="113" t="b">
        <v>0</v>
      </c>
    </row>
    <row r="49">
      <c r="A49" s="16"/>
      <c r="B49" s="16" t="str">
        <f>IFNA(VLOOKUP($A49,Quests!$A$2:$E1000,MATCH(B$1,Quests!$A$1:$E$1,0),FALSE))</f>
        <v/>
      </c>
      <c r="C49" s="16" t="str">
        <f>IFNA(VLOOKUP($A49,Quests!$A$2:$E1000,MATCH(C$1,Quests!$A$1:$E$1,0),FALSE))</f>
        <v/>
      </c>
      <c r="D49" s="16" t="str">
        <f>IFNA(VLOOKUP($A49,Quests!$A$2:$E1000,MATCH(D$1,Quests!$A$1:$E$1,0),FALSE))</f>
        <v/>
      </c>
      <c r="E49" s="16" t="str">
        <f>IFNA(VLOOKUP($A49,Quests!$A$2:$E1000,MATCH(E$1,Quests!$A$1:$E$1,0),FALSE))</f>
        <v/>
      </c>
      <c r="G49" s="113" t="b">
        <v>0</v>
      </c>
      <c r="H49" s="113" t="b">
        <v>0</v>
      </c>
      <c r="I49" s="113" t="b">
        <v>0</v>
      </c>
    </row>
    <row r="50">
      <c r="A50" s="16"/>
      <c r="B50" s="16" t="str">
        <f>IFNA(VLOOKUP($A50,Quests!$A$2:$E1000,MATCH(B$1,Quests!$A$1:$E$1,0),FALSE))</f>
        <v/>
      </c>
      <c r="C50" s="16" t="str">
        <f>IFNA(VLOOKUP($A50,Quests!$A$2:$E1000,MATCH(C$1,Quests!$A$1:$E$1,0),FALSE))</f>
        <v/>
      </c>
      <c r="D50" s="16" t="str">
        <f>IFNA(VLOOKUP($A50,Quests!$A$2:$E1000,MATCH(D$1,Quests!$A$1:$E$1,0),FALSE))</f>
        <v/>
      </c>
      <c r="E50" s="16" t="str">
        <f>IFNA(VLOOKUP($A50,Quests!$A$2:$E1000,MATCH(E$1,Quests!$A$1:$E$1,0),FALSE))</f>
        <v/>
      </c>
      <c r="G50" s="113" t="b">
        <v>0</v>
      </c>
      <c r="H50" s="113" t="b">
        <v>0</v>
      </c>
      <c r="I50" s="113" t="b">
        <v>0</v>
      </c>
    </row>
    <row r="51">
      <c r="A51" s="16"/>
      <c r="B51" s="16" t="str">
        <f>IFNA(VLOOKUP($A51,Quests!$A$2:$E1000,MATCH(B$1,Quests!$A$1:$E$1,0),FALSE))</f>
        <v/>
      </c>
      <c r="C51" s="16" t="str">
        <f>IFNA(VLOOKUP($A51,Quests!$A$2:$E1000,MATCH(C$1,Quests!$A$1:$E$1,0),FALSE))</f>
        <v/>
      </c>
      <c r="D51" s="16" t="str">
        <f>IFNA(VLOOKUP($A51,Quests!$A$2:$E1000,MATCH(D$1,Quests!$A$1:$E$1,0),FALSE))</f>
        <v/>
      </c>
      <c r="E51" s="16" t="str">
        <f>IFNA(VLOOKUP($A51,Quests!$A$2:$E1000,MATCH(E$1,Quests!$A$1:$E$1,0),FALSE))</f>
        <v/>
      </c>
      <c r="G51" s="113" t="b">
        <v>0</v>
      </c>
      <c r="H51" s="113" t="b">
        <v>0</v>
      </c>
      <c r="I51" s="113" t="b">
        <v>0</v>
      </c>
    </row>
    <row r="52">
      <c r="A52" s="16"/>
      <c r="B52" s="16" t="str">
        <f>IFNA(VLOOKUP($A52,Quests!$A$2:$E1000,MATCH(B$1,Quests!$A$1:$E$1,0),FALSE))</f>
        <v/>
      </c>
      <c r="C52" s="16" t="str">
        <f>IFNA(VLOOKUP($A52,Quests!$A$2:$E1000,MATCH(C$1,Quests!$A$1:$E$1,0),FALSE))</f>
        <v/>
      </c>
      <c r="D52" s="16" t="str">
        <f>IFNA(VLOOKUP($A52,Quests!$A$2:$E1000,MATCH(D$1,Quests!$A$1:$E$1,0),FALSE))</f>
        <v/>
      </c>
      <c r="E52" s="16" t="str">
        <f>IFNA(VLOOKUP($A52,Quests!$A$2:$E1000,MATCH(E$1,Quests!$A$1:$E$1,0),FALSE))</f>
        <v/>
      </c>
      <c r="G52" s="113" t="b">
        <v>0</v>
      </c>
      <c r="H52" s="113" t="b">
        <v>0</v>
      </c>
      <c r="I52" s="113" t="b">
        <v>0</v>
      </c>
    </row>
    <row r="53">
      <c r="A53" s="16"/>
      <c r="B53" s="16" t="str">
        <f>IFNA(VLOOKUP($A53,Quests!$A$2:$E1000,MATCH(B$1,Quests!$A$1:$E$1,0),FALSE))</f>
        <v/>
      </c>
      <c r="C53" s="16" t="str">
        <f>IFNA(VLOOKUP($A53,Quests!$A$2:$E1000,MATCH(C$1,Quests!$A$1:$E$1,0),FALSE))</f>
        <v/>
      </c>
      <c r="D53" s="16" t="str">
        <f>IFNA(VLOOKUP($A53,Quests!$A$2:$E1000,MATCH(D$1,Quests!$A$1:$E$1,0),FALSE))</f>
        <v/>
      </c>
      <c r="E53" s="16" t="str">
        <f>IFNA(VLOOKUP($A53,Quests!$A$2:$E1000,MATCH(E$1,Quests!$A$1:$E$1,0),FALSE))</f>
        <v/>
      </c>
      <c r="G53" s="113" t="b">
        <v>0</v>
      </c>
      <c r="H53" s="113" t="b">
        <v>0</v>
      </c>
      <c r="I53" s="113" t="b">
        <v>0</v>
      </c>
    </row>
    <row r="54">
      <c r="A54" s="16"/>
      <c r="B54" s="16" t="str">
        <f>IFNA(VLOOKUP($A54,Quests!$A$2:$E1000,MATCH(B$1,Quests!$A$1:$E$1,0),FALSE))</f>
        <v/>
      </c>
      <c r="C54" s="16" t="str">
        <f>IFNA(VLOOKUP($A54,Quests!$A$2:$E1000,MATCH(C$1,Quests!$A$1:$E$1,0),FALSE))</f>
        <v/>
      </c>
      <c r="D54" s="16" t="str">
        <f>IFNA(VLOOKUP($A54,Quests!$A$2:$E1000,MATCH(D$1,Quests!$A$1:$E$1,0),FALSE))</f>
        <v/>
      </c>
      <c r="E54" s="16" t="str">
        <f>IFNA(VLOOKUP($A54,Quests!$A$2:$E1000,MATCH(E$1,Quests!$A$1:$E$1,0),FALSE))</f>
        <v/>
      </c>
      <c r="G54" s="113" t="b">
        <v>0</v>
      </c>
      <c r="H54" s="113" t="b">
        <v>0</v>
      </c>
      <c r="I54" s="113" t="b">
        <v>0</v>
      </c>
    </row>
    <row r="55">
      <c r="A55" s="16"/>
      <c r="B55" s="16" t="str">
        <f>IFNA(VLOOKUP($A55,Quests!$A$2:$E1000,MATCH(B$1,Quests!$A$1:$E$1,0),FALSE))</f>
        <v/>
      </c>
      <c r="C55" s="16" t="str">
        <f>IFNA(VLOOKUP($A55,Quests!$A$2:$E1000,MATCH(C$1,Quests!$A$1:$E$1,0),FALSE))</f>
        <v/>
      </c>
      <c r="D55" s="16" t="str">
        <f>IFNA(VLOOKUP($A55,Quests!$A$2:$E1000,MATCH(D$1,Quests!$A$1:$E$1,0),FALSE))</f>
        <v/>
      </c>
      <c r="E55" s="16" t="str">
        <f>IFNA(VLOOKUP($A55,Quests!$A$2:$E1000,MATCH(E$1,Quests!$A$1:$E$1,0),FALSE))</f>
        <v/>
      </c>
      <c r="G55" s="113" t="b">
        <v>0</v>
      </c>
      <c r="H55" s="113" t="b">
        <v>0</v>
      </c>
      <c r="I55" s="113" t="b">
        <v>0</v>
      </c>
    </row>
    <row r="56">
      <c r="A56" s="16"/>
      <c r="B56" s="16" t="str">
        <f>IFNA(VLOOKUP($A56,Quests!$A$2:$E1000,MATCH(B$1,Quests!$A$1:$E$1,0),FALSE))</f>
        <v/>
      </c>
      <c r="C56" s="16" t="str">
        <f>IFNA(VLOOKUP($A56,Quests!$A$2:$E1000,MATCH(C$1,Quests!$A$1:$E$1,0),FALSE))</f>
        <v/>
      </c>
      <c r="D56" s="16" t="str">
        <f>IFNA(VLOOKUP($A56,Quests!$A$2:$E1000,MATCH(D$1,Quests!$A$1:$E$1,0),FALSE))</f>
        <v/>
      </c>
      <c r="E56" s="16" t="str">
        <f>IFNA(VLOOKUP($A56,Quests!$A$2:$E1000,MATCH(E$1,Quests!$A$1:$E$1,0),FALSE))</f>
        <v/>
      </c>
      <c r="G56" s="113" t="b">
        <v>0</v>
      </c>
      <c r="H56" s="113" t="b">
        <v>0</v>
      </c>
      <c r="I56" s="113" t="b">
        <v>0</v>
      </c>
    </row>
    <row r="57">
      <c r="A57" s="16"/>
      <c r="B57" s="16" t="str">
        <f>IFNA(VLOOKUP($A57,Quests!$A$2:$E1000,MATCH(B$1,Quests!$A$1:$E$1,0),FALSE))</f>
        <v/>
      </c>
      <c r="C57" s="16" t="str">
        <f>IFNA(VLOOKUP($A57,Quests!$A$2:$E1000,MATCH(C$1,Quests!$A$1:$E$1,0),FALSE))</f>
        <v/>
      </c>
      <c r="D57" s="16" t="str">
        <f>IFNA(VLOOKUP($A57,Quests!$A$2:$E1000,MATCH(D$1,Quests!$A$1:$E$1,0),FALSE))</f>
        <v/>
      </c>
      <c r="E57" s="16" t="str">
        <f>IFNA(VLOOKUP($A57,Quests!$A$2:$E1000,MATCH(E$1,Quests!$A$1:$E$1,0),FALSE))</f>
        <v/>
      </c>
      <c r="G57" s="113" t="b">
        <v>0</v>
      </c>
      <c r="H57" s="113" t="b">
        <v>0</v>
      </c>
      <c r="I57" s="113" t="b">
        <v>0</v>
      </c>
    </row>
    <row r="58">
      <c r="A58" s="16"/>
      <c r="B58" s="16" t="str">
        <f>IFNA(VLOOKUP($A58,Quests!$A$2:$E1000,MATCH(B$1,Quests!$A$1:$E$1,0),FALSE))</f>
        <v/>
      </c>
      <c r="C58" s="16" t="str">
        <f>IFNA(VLOOKUP($A58,Quests!$A$2:$E1000,MATCH(C$1,Quests!$A$1:$E$1,0),FALSE))</f>
        <v/>
      </c>
      <c r="D58" s="16" t="str">
        <f>IFNA(VLOOKUP($A58,Quests!$A$2:$E1000,MATCH(D$1,Quests!$A$1:$E$1,0),FALSE))</f>
        <v/>
      </c>
      <c r="E58" s="16" t="str">
        <f>IFNA(VLOOKUP($A58,Quests!$A$2:$E1000,MATCH(E$1,Quests!$A$1:$E$1,0),FALSE))</f>
        <v/>
      </c>
      <c r="G58" s="113" t="b">
        <v>0</v>
      </c>
      <c r="H58" s="113" t="b">
        <v>0</v>
      </c>
      <c r="I58" s="113" t="b">
        <v>0</v>
      </c>
    </row>
    <row r="59">
      <c r="A59" s="16"/>
      <c r="B59" s="16" t="str">
        <f>IFNA(VLOOKUP($A59,Quests!$A$2:$E1000,MATCH(B$1,Quests!$A$1:$E$1,0),FALSE))</f>
        <v/>
      </c>
      <c r="C59" s="16" t="str">
        <f>IFNA(VLOOKUP($A59,Quests!$A$2:$E1000,MATCH(C$1,Quests!$A$1:$E$1,0),FALSE))</f>
        <v/>
      </c>
      <c r="D59" s="16" t="str">
        <f>IFNA(VLOOKUP($A59,Quests!$A$2:$E1000,MATCH(D$1,Quests!$A$1:$E$1,0),FALSE))</f>
        <v/>
      </c>
      <c r="E59" s="16" t="str">
        <f>IFNA(VLOOKUP($A59,Quests!$A$2:$E1000,MATCH(E$1,Quests!$A$1:$E$1,0),FALSE))</f>
        <v/>
      </c>
      <c r="G59" s="113" t="b">
        <v>0</v>
      </c>
      <c r="H59" s="113" t="b">
        <v>0</v>
      </c>
      <c r="I59" s="113" t="b">
        <v>0</v>
      </c>
    </row>
    <row r="60">
      <c r="A60" s="16"/>
      <c r="B60" s="16" t="str">
        <f>IFNA(VLOOKUP($A60,Quests!$A$2:$E1000,MATCH(B$1,Quests!$A$1:$E$1,0),FALSE))</f>
        <v/>
      </c>
      <c r="C60" s="16" t="str">
        <f>IFNA(VLOOKUP($A60,Quests!$A$2:$E1000,MATCH(C$1,Quests!$A$1:$E$1,0),FALSE))</f>
        <v/>
      </c>
      <c r="D60" s="16" t="str">
        <f>IFNA(VLOOKUP($A60,Quests!$A$2:$E1000,MATCH(D$1,Quests!$A$1:$E$1,0),FALSE))</f>
        <v/>
      </c>
      <c r="E60" s="16" t="str">
        <f>IFNA(VLOOKUP($A60,Quests!$A$2:$E1000,MATCH(E$1,Quests!$A$1:$E$1,0),FALSE))</f>
        <v/>
      </c>
      <c r="G60" s="113" t="b">
        <v>0</v>
      </c>
      <c r="H60" s="113" t="b">
        <v>0</v>
      </c>
      <c r="I60" s="113" t="b">
        <v>0</v>
      </c>
    </row>
    <row r="61">
      <c r="A61" s="16"/>
      <c r="B61" s="16" t="str">
        <f>IFNA(VLOOKUP($A61,Quests!$A$2:$E1000,MATCH(B$1,Quests!$A$1:$E$1,0),FALSE))</f>
        <v/>
      </c>
      <c r="C61" s="16" t="str">
        <f>IFNA(VLOOKUP($A61,Quests!$A$2:$E1000,MATCH(C$1,Quests!$A$1:$E$1,0),FALSE))</f>
        <v/>
      </c>
      <c r="D61" s="16" t="str">
        <f>IFNA(VLOOKUP($A61,Quests!$A$2:$E1000,MATCH(D$1,Quests!$A$1:$E$1,0),FALSE))</f>
        <v/>
      </c>
      <c r="E61" s="16" t="str">
        <f>IFNA(VLOOKUP($A61,Quests!$A$2:$E1000,MATCH(E$1,Quests!$A$1:$E$1,0),FALSE))</f>
        <v/>
      </c>
      <c r="G61" s="113" t="b">
        <v>0</v>
      </c>
      <c r="H61" s="113" t="b">
        <v>0</v>
      </c>
      <c r="I61" s="113" t="b">
        <v>0</v>
      </c>
    </row>
    <row r="62">
      <c r="A62" s="16"/>
      <c r="B62" s="16" t="str">
        <f>IFNA(VLOOKUP($A62,Quests!$A$2:$E1000,MATCH(B$1,Quests!$A$1:$E$1,0),FALSE))</f>
        <v/>
      </c>
      <c r="C62" s="16" t="str">
        <f>IFNA(VLOOKUP($A62,Quests!$A$2:$E1000,MATCH(C$1,Quests!$A$1:$E$1,0),FALSE))</f>
        <v/>
      </c>
      <c r="D62" s="16" t="str">
        <f>IFNA(VLOOKUP($A62,Quests!$A$2:$E1000,MATCH(D$1,Quests!$A$1:$E$1,0),FALSE))</f>
        <v/>
      </c>
      <c r="E62" s="16" t="str">
        <f>IFNA(VLOOKUP($A62,Quests!$A$2:$E1000,MATCH(E$1,Quests!$A$1:$E$1,0),FALSE))</f>
        <v/>
      </c>
      <c r="G62" s="113" t="b">
        <v>0</v>
      </c>
      <c r="H62" s="113" t="b">
        <v>0</v>
      </c>
      <c r="I62" s="113" t="b">
        <v>0</v>
      </c>
    </row>
    <row r="63">
      <c r="A63" s="16"/>
      <c r="B63" s="16" t="str">
        <f>IFNA(VLOOKUP($A63,Quests!$A$2:$E1000,MATCH(B$1,Quests!$A$1:$E$1,0),FALSE))</f>
        <v/>
      </c>
      <c r="C63" s="16" t="str">
        <f>IFNA(VLOOKUP($A63,Quests!$A$2:$E1000,MATCH(C$1,Quests!$A$1:$E$1,0),FALSE))</f>
        <v/>
      </c>
      <c r="D63" s="16" t="str">
        <f>IFNA(VLOOKUP($A63,Quests!$A$2:$E1000,MATCH(D$1,Quests!$A$1:$E$1,0),FALSE))</f>
        <v/>
      </c>
      <c r="E63" s="16" t="str">
        <f>IFNA(VLOOKUP($A63,Quests!$A$2:$E1000,MATCH(E$1,Quests!$A$1:$E$1,0),FALSE))</f>
        <v/>
      </c>
      <c r="G63" s="113" t="b">
        <v>0</v>
      </c>
      <c r="H63" s="113" t="b">
        <v>0</v>
      </c>
      <c r="I63" s="113" t="b">
        <v>0</v>
      </c>
    </row>
    <row r="64">
      <c r="A64" s="16"/>
      <c r="B64" s="16" t="str">
        <f>IFNA(VLOOKUP($A64,Quests!$A$2:$E1000,MATCH(B$1,Quests!$A$1:$E$1,0),FALSE))</f>
        <v/>
      </c>
      <c r="C64" s="16" t="str">
        <f>IFNA(VLOOKUP($A64,Quests!$A$2:$E1000,MATCH(C$1,Quests!$A$1:$E$1,0),FALSE))</f>
        <v/>
      </c>
      <c r="D64" s="16" t="str">
        <f>IFNA(VLOOKUP($A64,Quests!$A$2:$E1000,MATCH(D$1,Quests!$A$1:$E$1,0),FALSE))</f>
        <v/>
      </c>
      <c r="E64" s="16" t="str">
        <f>IFNA(VLOOKUP($A64,Quests!$A$2:$E1000,MATCH(E$1,Quests!$A$1:$E$1,0),FALSE))</f>
        <v/>
      </c>
      <c r="G64" s="113" t="b">
        <v>0</v>
      </c>
      <c r="H64" s="113" t="b">
        <v>0</v>
      </c>
      <c r="I64" s="113" t="b">
        <v>0</v>
      </c>
    </row>
    <row r="65">
      <c r="A65" s="16"/>
      <c r="B65" s="16" t="str">
        <f>IFNA(VLOOKUP($A65,Quests!$A$2:$E1000,MATCH(B$1,Quests!$A$1:$E$1,0),FALSE))</f>
        <v/>
      </c>
      <c r="C65" s="16" t="str">
        <f>IFNA(VLOOKUP($A65,Quests!$A$2:$E1000,MATCH(C$1,Quests!$A$1:$E$1,0),FALSE))</f>
        <v/>
      </c>
      <c r="D65" s="16" t="str">
        <f>IFNA(VLOOKUP($A65,Quests!$A$2:$E1000,MATCH(D$1,Quests!$A$1:$E$1,0),FALSE))</f>
        <v/>
      </c>
      <c r="E65" s="16" t="str">
        <f>IFNA(VLOOKUP($A65,Quests!$A$2:$E1000,MATCH(E$1,Quests!$A$1:$E$1,0),FALSE))</f>
        <v/>
      </c>
      <c r="G65" s="113" t="b">
        <v>0</v>
      </c>
      <c r="H65" s="113" t="b">
        <v>0</v>
      </c>
      <c r="I65" s="113" t="b">
        <v>0</v>
      </c>
    </row>
    <row r="66">
      <c r="A66" s="16"/>
      <c r="B66" s="16" t="str">
        <f>IFNA(VLOOKUP($A66,Quests!$A$2:$E1000,MATCH(B$1,Quests!$A$1:$E$1,0),FALSE))</f>
        <v/>
      </c>
      <c r="C66" s="16" t="str">
        <f>IFNA(VLOOKUP($A66,Quests!$A$2:$E1000,MATCH(C$1,Quests!$A$1:$E$1,0),FALSE))</f>
        <v/>
      </c>
      <c r="D66" s="16" t="str">
        <f>IFNA(VLOOKUP($A66,Quests!$A$2:$E1000,MATCH(D$1,Quests!$A$1:$E$1,0),FALSE))</f>
        <v/>
      </c>
      <c r="E66" s="16" t="str">
        <f>IFNA(VLOOKUP($A66,Quests!$A$2:$E1000,MATCH(E$1,Quests!$A$1:$E$1,0),FALSE))</f>
        <v/>
      </c>
      <c r="G66" s="113" t="b">
        <v>0</v>
      </c>
      <c r="H66" s="113" t="b">
        <v>0</v>
      </c>
      <c r="I66" s="113" t="b">
        <v>0</v>
      </c>
    </row>
    <row r="67">
      <c r="A67" s="16"/>
      <c r="B67" s="16" t="str">
        <f>IFNA(VLOOKUP($A67,Quests!$A$2:$E1000,MATCH(B$1,Quests!$A$1:$E$1,0),FALSE))</f>
        <v/>
      </c>
      <c r="C67" s="16" t="str">
        <f>IFNA(VLOOKUP($A67,Quests!$A$2:$E1000,MATCH(C$1,Quests!$A$1:$E$1,0),FALSE))</f>
        <v/>
      </c>
      <c r="D67" s="16" t="str">
        <f>IFNA(VLOOKUP($A67,Quests!$A$2:$E1000,MATCH(D$1,Quests!$A$1:$E$1,0),FALSE))</f>
        <v/>
      </c>
      <c r="E67" s="16" t="str">
        <f>IFNA(VLOOKUP($A67,Quests!$A$2:$E1000,MATCH(E$1,Quests!$A$1:$E$1,0),FALSE))</f>
        <v/>
      </c>
      <c r="G67" s="113" t="b">
        <v>0</v>
      </c>
      <c r="H67" s="113" t="b">
        <v>0</v>
      </c>
      <c r="I67" s="113" t="b">
        <v>0</v>
      </c>
    </row>
    <row r="68">
      <c r="A68" s="16"/>
      <c r="B68" s="16" t="str">
        <f>IFNA(VLOOKUP($A68,Quests!$A$2:$E1000,MATCH(B$1,Quests!$A$1:$E$1,0),FALSE))</f>
        <v/>
      </c>
      <c r="C68" s="16" t="str">
        <f>IFNA(VLOOKUP($A68,Quests!$A$2:$E1000,MATCH(C$1,Quests!$A$1:$E$1,0),FALSE))</f>
        <v/>
      </c>
      <c r="D68" s="16" t="str">
        <f>IFNA(VLOOKUP($A68,Quests!$A$2:$E1000,MATCH(D$1,Quests!$A$1:$E$1,0),FALSE))</f>
        <v/>
      </c>
      <c r="E68" s="16" t="str">
        <f>IFNA(VLOOKUP($A68,Quests!$A$2:$E1000,MATCH(E$1,Quests!$A$1:$E$1,0),FALSE))</f>
        <v/>
      </c>
      <c r="G68" s="114" t="b">
        <v>0</v>
      </c>
      <c r="H68" s="114" t="b">
        <v>0</v>
      </c>
      <c r="I68" s="114" t="b">
        <v>0</v>
      </c>
    </row>
    <row r="69">
      <c r="A69" s="16"/>
      <c r="B69" s="16" t="str">
        <f>IFNA(VLOOKUP($A69,Quests!$A$2:$E1000,MATCH(B$1,Quests!$A$1:$E$1,0),FALSE))</f>
        <v/>
      </c>
      <c r="C69" s="16" t="str">
        <f>IFNA(VLOOKUP($A69,Quests!$A$2:$E1000,MATCH(C$1,Quests!$A$1:$E$1,0),FALSE))</f>
        <v/>
      </c>
      <c r="D69" s="16" t="str">
        <f>IFNA(VLOOKUP($A69,Quests!$A$2:$E1000,MATCH(D$1,Quests!$A$1:$E$1,0),FALSE))</f>
        <v/>
      </c>
      <c r="E69" s="16" t="str">
        <f>IFNA(VLOOKUP($A69,Quests!$A$2:$E1000,MATCH(E$1,Quests!$A$1:$E$1,0),FALSE))</f>
        <v/>
      </c>
      <c r="G69" s="114" t="b">
        <v>0</v>
      </c>
      <c r="H69" s="114" t="b">
        <v>0</v>
      </c>
      <c r="I69" s="114" t="b">
        <v>0</v>
      </c>
    </row>
    <row r="70">
      <c r="A70" s="16"/>
      <c r="B70" s="16" t="str">
        <f>IFNA(VLOOKUP($A70,Quests!$A$2:$E1000,MATCH(B$1,Quests!$A$1:$E$1,0),FALSE))</f>
        <v/>
      </c>
      <c r="C70" s="16" t="str">
        <f>IFNA(VLOOKUP($A70,Quests!$A$2:$E1000,MATCH(C$1,Quests!$A$1:$E$1,0),FALSE))</f>
        <v/>
      </c>
      <c r="D70" s="16" t="str">
        <f>IFNA(VLOOKUP($A70,Quests!$A$2:$E1000,MATCH(D$1,Quests!$A$1:$E$1,0),FALSE))</f>
        <v/>
      </c>
      <c r="E70" s="16" t="str">
        <f>IFNA(VLOOKUP($A70,Quests!$A$2:$E1000,MATCH(E$1,Quests!$A$1:$E$1,0),FALSE))</f>
        <v/>
      </c>
      <c r="G70" s="114" t="b">
        <v>0</v>
      </c>
      <c r="H70" s="114" t="b">
        <v>0</v>
      </c>
      <c r="I70" s="114" t="b">
        <v>0</v>
      </c>
    </row>
    <row r="71">
      <c r="A71" s="16"/>
      <c r="B71" s="16" t="str">
        <f>IFNA(VLOOKUP($A71,Quests!$A$2:$E1000,MATCH(B$1,Quests!$A$1:$E$1,0),FALSE))</f>
        <v/>
      </c>
      <c r="C71" s="16" t="str">
        <f>IFNA(VLOOKUP($A71,Quests!$A$2:$E1000,MATCH(C$1,Quests!$A$1:$E$1,0),FALSE))</f>
        <v/>
      </c>
      <c r="D71" s="16" t="str">
        <f>IFNA(VLOOKUP($A71,Quests!$A$2:$E1000,MATCH(D$1,Quests!$A$1:$E$1,0),FALSE))</f>
        <v/>
      </c>
      <c r="E71" s="16" t="str">
        <f>IFNA(VLOOKUP($A71,Quests!$A$2:$E1000,MATCH(E$1,Quests!$A$1:$E$1,0),FALSE))</f>
        <v/>
      </c>
      <c r="G71" s="114" t="b">
        <v>0</v>
      </c>
      <c r="H71" s="114" t="b">
        <v>0</v>
      </c>
      <c r="I71" s="114" t="b">
        <v>0</v>
      </c>
    </row>
    <row r="72">
      <c r="A72" s="16"/>
      <c r="B72" s="16" t="str">
        <f>IFNA(VLOOKUP($A72,Quests!$A$2:$E1000,MATCH(B$1,Quests!$A$1:$E$1,0),FALSE))</f>
        <v/>
      </c>
      <c r="C72" s="16" t="str">
        <f>IFNA(VLOOKUP($A72,Quests!$A$2:$E1000,MATCH(C$1,Quests!$A$1:$E$1,0),FALSE))</f>
        <v/>
      </c>
      <c r="D72" s="16" t="str">
        <f>IFNA(VLOOKUP($A72,Quests!$A$2:$E1000,MATCH(D$1,Quests!$A$1:$E$1,0),FALSE))</f>
        <v/>
      </c>
      <c r="E72" s="16" t="str">
        <f>IFNA(VLOOKUP($A72,Quests!$A$2:$E1000,MATCH(E$1,Quests!$A$1:$E$1,0),FALSE))</f>
        <v/>
      </c>
      <c r="G72" s="114" t="b">
        <v>0</v>
      </c>
      <c r="H72" s="114" t="b">
        <v>0</v>
      </c>
      <c r="I72" s="114" t="b">
        <v>0</v>
      </c>
    </row>
    <row r="73">
      <c r="A73" s="16"/>
      <c r="B73" s="16" t="str">
        <f>IFNA(VLOOKUP($A73,Quests!$A$2:$E1000,MATCH(B$1,Quests!$A$1:$E$1,0),FALSE))</f>
        <v/>
      </c>
      <c r="C73" s="16" t="str">
        <f>IFNA(VLOOKUP($A73,Quests!$A$2:$E1000,MATCH(C$1,Quests!$A$1:$E$1,0),FALSE))</f>
        <v/>
      </c>
      <c r="D73" s="16" t="str">
        <f>IFNA(VLOOKUP($A73,Quests!$A$2:$E1000,MATCH(D$1,Quests!$A$1:$E$1,0),FALSE))</f>
        <v/>
      </c>
      <c r="E73" s="16" t="str">
        <f>IFNA(VLOOKUP($A73,Quests!$A$2:$E1000,MATCH(E$1,Quests!$A$1:$E$1,0),FALSE))</f>
        <v/>
      </c>
      <c r="G73" s="114" t="b">
        <v>0</v>
      </c>
      <c r="H73" s="114" t="b">
        <v>0</v>
      </c>
      <c r="I73" s="114" t="b">
        <v>0</v>
      </c>
    </row>
    <row r="74">
      <c r="A74" s="16"/>
      <c r="B74" s="16" t="str">
        <f>IFNA(VLOOKUP($A74,Quests!$A$2:$E1000,MATCH(B$1,Quests!$A$1:$E$1,0),FALSE))</f>
        <v/>
      </c>
      <c r="C74" s="16" t="str">
        <f>IFNA(VLOOKUP($A74,Quests!$A$2:$E1000,MATCH(C$1,Quests!$A$1:$E$1,0),FALSE))</f>
        <v/>
      </c>
      <c r="D74" s="16" t="str">
        <f>IFNA(VLOOKUP($A74,Quests!$A$2:$E1000,MATCH(D$1,Quests!$A$1:$E$1,0),FALSE))</f>
        <v/>
      </c>
      <c r="E74" s="16" t="str">
        <f>IFNA(VLOOKUP($A74,Quests!$A$2:$E1000,MATCH(E$1,Quests!$A$1:$E$1,0),FALSE))</f>
        <v/>
      </c>
      <c r="G74" s="114" t="b">
        <v>0</v>
      </c>
      <c r="H74" s="114" t="b">
        <v>0</v>
      </c>
      <c r="I74" s="114" t="b">
        <v>0</v>
      </c>
    </row>
    <row r="75">
      <c r="A75" s="16"/>
      <c r="B75" s="16" t="str">
        <f>IFNA(VLOOKUP($A75,Quests!$A$2:$E1000,MATCH(B$1,Quests!$A$1:$E$1,0),FALSE))</f>
        <v/>
      </c>
      <c r="C75" s="16" t="str">
        <f>IFNA(VLOOKUP($A75,Quests!$A$2:$E1000,MATCH(C$1,Quests!$A$1:$E$1,0),FALSE))</f>
        <v/>
      </c>
      <c r="D75" s="16" t="str">
        <f>IFNA(VLOOKUP($A75,Quests!$A$2:$E1000,MATCH(D$1,Quests!$A$1:$E$1,0),FALSE))</f>
        <v/>
      </c>
      <c r="E75" s="16" t="str">
        <f>IFNA(VLOOKUP($A75,Quests!$A$2:$E1000,MATCH(E$1,Quests!$A$1:$E$1,0),FALSE))</f>
        <v/>
      </c>
      <c r="G75" s="114" t="b">
        <v>0</v>
      </c>
      <c r="H75" s="114" t="b">
        <v>0</v>
      </c>
      <c r="I75" s="114" t="b">
        <v>0</v>
      </c>
    </row>
    <row r="76">
      <c r="A76" s="16"/>
      <c r="B76" s="16" t="str">
        <f>IFNA(VLOOKUP($A76,Quests!$A$2:$E1000,MATCH(B$1,Quests!$A$1:$E$1,0),FALSE))</f>
        <v/>
      </c>
      <c r="C76" s="16" t="str">
        <f>IFNA(VLOOKUP($A76,Quests!$A$2:$E1000,MATCH(C$1,Quests!$A$1:$E$1,0),FALSE))</f>
        <v/>
      </c>
      <c r="D76" s="16" t="str">
        <f>IFNA(VLOOKUP($A76,Quests!$A$2:$E1000,MATCH(D$1,Quests!$A$1:$E$1,0),FALSE))</f>
        <v/>
      </c>
      <c r="E76" s="16" t="str">
        <f>IFNA(VLOOKUP($A76,Quests!$A$2:$E1000,MATCH(E$1,Quests!$A$1:$E$1,0),FALSE))</f>
        <v/>
      </c>
      <c r="G76" s="114" t="b">
        <v>0</v>
      </c>
      <c r="H76" s="114" t="b">
        <v>0</v>
      </c>
      <c r="I76" s="114" t="b">
        <v>0</v>
      </c>
    </row>
    <row r="77">
      <c r="A77" s="16"/>
      <c r="B77" s="16" t="str">
        <f>IFNA(VLOOKUP($A77,Quests!$A$2:$E1000,MATCH(B$1,Quests!$A$1:$E$1,0),FALSE))</f>
        <v/>
      </c>
      <c r="C77" s="16" t="str">
        <f>IFNA(VLOOKUP($A77,Quests!$A$2:$E1000,MATCH(C$1,Quests!$A$1:$E$1,0),FALSE))</f>
        <v/>
      </c>
      <c r="D77" s="16" t="str">
        <f>IFNA(VLOOKUP($A77,Quests!$A$2:$E1000,MATCH(D$1,Quests!$A$1:$E$1,0),FALSE))</f>
        <v/>
      </c>
      <c r="E77" s="16" t="str">
        <f>IFNA(VLOOKUP($A77,Quests!$A$2:$E1000,MATCH(E$1,Quests!$A$1:$E$1,0),FALSE))</f>
        <v/>
      </c>
      <c r="G77" s="114" t="b">
        <v>0</v>
      </c>
      <c r="H77" s="114" t="b">
        <v>0</v>
      </c>
      <c r="I77" s="114" t="b">
        <v>0</v>
      </c>
    </row>
    <row r="78">
      <c r="A78" s="16"/>
      <c r="B78" s="16" t="str">
        <f>IFNA(VLOOKUP($A78,Quests!$A$2:$E1000,MATCH(B$1,Quests!$A$1:$E$1,0),FALSE))</f>
        <v/>
      </c>
      <c r="C78" s="16" t="str">
        <f>IFNA(VLOOKUP($A78,Quests!$A$2:$E1000,MATCH(C$1,Quests!$A$1:$E$1,0),FALSE))</f>
        <v/>
      </c>
      <c r="D78" s="16" t="str">
        <f>IFNA(VLOOKUP($A78,Quests!$A$2:$E1000,MATCH(D$1,Quests!$A$1:$E$1,0),FALSE))</f>
        <v/>
      </c>
      <c r="E78" s="16" t="str">
        <f>IFNA(VLOOKUP($A78,Quests!$A$2:$E1000,MATCH(E$1,Quests!$A$1:$E$1,0),FALSE))</f>
        <v/>
      </c>
      <c r="G78" s="114" t="b">
        <v>0</v>
      </c>
      <c r="H78" s="114" t="b">
        <v>0</v>
      </c>
      <c r="I78" s="114" t="b">
        <v>0</v>
      </c>
    </row>
    <row r="79">
      <c r="A79" s="16"/>
      <c r="B79" s="16" t="str">
        <f>IFNA(VLOOKUP($A79,Quests!$A$2:$E1000,MATCH(B$1,Quests!$A$1:$E$1,0),FALSE))</f>
        <v/>
      </c>
      <c r="C79" s="16" t="str">
        <f>IFNA(VLOOKUP($A79,Quests!$A$2:$E1000,MATCH(C$1,Quests!$A$1:$E$1,0),FALSE))</f>
        <v/>
      </c>
      <c r="D79" s="16" t="str">
        <f>IFNA(VLOOKUP($A79,Quests!$A$2:$E1000,MATCH(D$1,Quests!$A$1:$E$1,0),FALSE))</f>
        <v/>
      </c>
      <c r="E79" s="16" t="str">
        <f>IFNA(VLOOKUP($A79,Quests!$A$2:$E1000,MATCH(E$1,Quests!$A$1:$E$1,0),FALSE))</f>
        <v/>
      </c>
      <c r="G79" s="114" t="b">
        <v>0</v>
      </c>
      <c r="H79" s="114" t="b">
        <v>0</v>
      </c>
      <c r="I79" s="114" t="b">
        <v>0</v>
      </c>
    </row>
    <row r="80">
      <c r="A80" s="16"/>
      <c r="B80" s="16" t="str">
        <f>IFNA(VLOOKUP($A80,Quests!$A$2:$E1000,MATCH(B$1,Quests!$A$1:$E$1,0),FALSE))</f>
        <v/>
      </c>
      <c r="C80" s="16" t="str">
        <f>IFNA(VLOOKUP($A80,Quests!$A$2:$E1000,MATCH(C$1,Quests!$A$1:$E$1,0),FALSE))</f>
        <v/>
      </c>
      <c r="D80" s="16" t="str">
        <f>IFNA(VLOOKUP($A80,Quests!$A$2:$E1000,MATCH(D$1,Quests!$A$1:$E$1,0),FALSE))</f>
        <v/>
      </c>
      <c r="E80" s="16" t="str">
        <f>IFNA(VLOOKUP($A80,Quests!$A$2:$E1000,MATCH(E$1,Quests!$A$1:$E$1,0),FALSE))</f>
        <v/>
      </c>
      <c r="G80" s="114" t="b">
        <v>0</v>
      </c>
      <c r="H80" s="114" t="b">
        <v>0</v>
      </c>
      <c r="I80" s="114" t="b">
        <v>0</v>
      </c>
    </row>
    <row r="81">
      <c r="A81" s="16"/>
      <c r="B81" s="16" t="str">
        <f>IFNA(VLOOKUP($A81,Quests!$A$2:$E1000,MATCH(B$1,Quests!$A$1:$E$1,0),FALSE))</f>
        <v/>
      </c>
      <c r="C81" s="16" t="str">
        <f>IFNA(VLOOKUP($A81,Quests!$A$2:$E1000,MATCH(C$1,Quests!$A$1:$E$1,0),FALSE))</f>
        <v/>
      </c>
      <c r="D81" s="16" t="str">
        <f>IFNA(VLOOKUP($A81,Quests!$A$2:$E1000,MATCH(D$1,Quests!$A$1:$E$1,0),FALSE))</f>
        <v/>
      </c>
      <c r="E81" s="16" t="str">
        <f>IFNA(VLOOKUP($A81,Quests!$A$2:$E1000,MATCH(E$1,Quests!$A$1:$E$1,0),FALSE))</f>
        <v/>
      </c>
      <c r="G81" s="114" t="b">
        <v>0</v>
      </c>
      <c r="H81" s="114" t="b">
        <v>0</v>
      </c>
      <c r="I81" s="114" t="b">
        <v>0</v>
      </c>
    </row>
    <row r="82">
      <c r="A82" s="16"/>
      <c r="B82" s="16" t="str">
        <f>IFNA(VLOOKUP($A82,Quests!$A$2:$E1000,MATCH(B$1,Quests!$A$1:$E$1,0),FALSE))</f>
        <v/>
      </c>
      <c r="C82" s="16" t="str">
        <f>IFNA(VLOOKUP($A82,Quests!$A$2:$E1000,MATCH(C$1,Quests!$A$1:$E$1,0),FALSE))</f>
        <v/>
      </c>
      <c r="D82" s="16" t="str">
        <f>IFNA(VLOOKUP($A82,Quests!$A$2:$E1000,MATCH(D$1,Quests!$A$1:$E$1,0),FALSE))</f>
        <v/>
      </c>
      <c r="E82" s="16" t="str">
        <f>IFNA(VLOOKUP($A82,Quests!$A$2:$E1000,MATCH(E$1,Quests!$A$1:$E$1,0),FALSE))</f>
        <v/>
      </c>
      <c r="G82" s="114" t="b">
        <v>0</v>
      </c>
      <c r="H82" s="114" t="b">
        <v>0</v>
      </c>
      <c r="I82" s="114" t="b">
        <v>0</v>
      </c>
    </row>
    <row r="83">
      <c r="A83" s="16"/>
      <c r="B83" s="16" t="str">
        <f>IFNA(VLOOKUP($A83,Quests!$A$2:$E1000,MATCH(B$1,Quests!$A$1:$E$1,0),FALSE))</f>
        <v/>
      </c>
      <c r="C83" s="16" t="str">
        <f>IFNA(VLOOKUP($A83,Quests!$A$2:$E1000,MATCH(C$1,Quests!$A$1:$E$1,0),FALSE))</f>
        <v/>
      </c>
      <c r="D83" s="16" t="str">
        <f>IFNA(VLOOKUP($A83,Quests!$A$2:$E1000,MATCH(D$1,Quests!$A$1:$E$1,0),FALSE))</f>
        <v/>
      </c>
      <c r="E83" s="16" t="str">
        <f>IFNA(VLOOKUP($A83,Quests!$A$2:$E1000,MATCH(E$1,Quests!$A$1:$E$1,0),FALSE))</f>
        <v/>
      </c>
      <c r="G83" s="114" t="b">
        <v>0</v>
      </c>
      <c r="H83" s="114" t="b">
        <v>0</v>
      </c>
      <c r="I83" s="114" t="b">
        <v>0</v>
      </c>
    </row>
    <row r="84">
      <c r="A84" s="16"/>
      <c r="B84" s="16" t="str">
        <f>IFNA(VLOOKUP($A84,Quests!$A$2:$E1000,MATCH(B$1,Quests!$A$1:$E$1,0),FALSE))</f>
        <v/>
      </c>
      <c r="C84" s="16" t="str">
        <f>IFNA(VLOOKUP($A84,Quests!$A$2:$E1000,MATCH(C$1,Quests!$A$1:$E$1,0),FALSE))</f>
        <v/>
      </c>
      <c r="D84" s="16" t="str">
        <f>IFNA(VLOOKUP($A84,Quests!$A$2:$E1000,MATCH(D$1,Quests!$A$1:$E$1,0),FALSE))</f>
        <v/>
      </c>
      <c r="E84" s="16" t="str">
        <f>IFNA(VLOOKUP($A84,Quests!$A$2:$E1000,MATCH(E$1,Quests!$A$1:$E$1,0),FALSE))</f>
        <v/>
      </c>
      <c r="G84" s="114" t="b">
        <v>0</v>
      </c>
      <c r="H84" s="114" t="b">
        <v>0</v>
      </c>
      <c r="I84" s="114" t="b">
        <v>0</v>
      </c>
    </row>
    <row r="85">
      <c r="A85" s="16"/>
      <c r="B85" s="16" t="str">
        <f>IFNA(VLOOKUP($A85,Quests!$A$2:$E1000,MATCH(B$1,Quests!$A$1:$E$1,0),FALSE))</f>
        <v/>
      </c>
      <c r="C85" s="16" t="str">
        <f>IFNA(VLOOKUP($A85,Quests!$A$2:$E1000,MATCH(C$1,Quests!$A$1:$E$1,0),FALSE))</f>
        <v/>
      </c>
      <c r="D85" s="16" t="str">
        <f>IFNA(VLOOKUP($A85,Quests!$A$2:$E1000,MATCH(D$1,Quests!$A$1:$E$1,0),FALSE))</f>
        <v/>
      </c>
      <c r="E85" s="16" t="str">
        <f>IFNA(VLOOKUP($A85,Quests!$A$2:$E1000,MATCH(E$1,Quests!$A$1:$E$1,0),FALSE))</f>
        <v/>
      </c>
      <c r="G85" s="114" t="b">
        <v>0</v>
      </c>
      <c r="H85" s="114" t="b">
        <v>0</v>
      </c>
      <c r="I85" s="114" t="b">
        <v>0</v>
      </c>
    </row>
    <row r="86">
      <c r="A86" s="16"/>
      <c r="B86" s="16" t="str">
        <f>IFNA(VLOOKUP($A86,Quests!$A$2:$E1000,MATCH(B$1,Quests!$A$1:$E$1,0),FALSE))</f>
        <v/>
      </c>
      <c r="C86" s="16" t="str">
        <f>IFNA(VLOOKUP($A86,Quests!$A$2:$E1000,MATCH(C$1,Quests!$A$1:$E$1,0),FALSE))</f>
        <v/>
      </c>
      <c r="D86" s="16" t="str">
        <f>IFNA(VLOOKUP($A86,Quests!$A$2:$E1000,MATCH(D$1,Quests!$A$1:$E$1,0),FALSE))</f>
        <v/>
      </c>
      <c r="E86" s="16" t="str">
        <f>IFNA(VLOOKUP($A86,Quests!$A$2:$E1000,MATCH(E$1,Quests!$A$1:$E$1,0),FALSE))</f>
        <v/>
      </c>
      <c r="G86" s="114" t="b">
        <v>0</v>
      </c>
      <c r="H86" s="114" t="b">
        <v>0</v>
      </c>
      <c r="I86" s="114" t="b">
        <v>0</v>
      </c>
    </row>
    <row r="87">
      <c r="A87" s="16"/>
      <c r="B87" s="16" t="str">
        <f>IFNA(VLOOKUP($A87,Quests!$A$2:$E1000,MATCH(B$1,Quests!$A$1:$E$1,0),FALSE))</f>
        <v/>
      </c>
      <c r="C87" s="16" t="str">
        <f>IFNA(VLOOKUP($A87,Quests!$A$2:$E1000,MATCH(C$1,Quests!$A$1:$E$1,0),FALSE))</f>
        <v/>
      </c>
      <c r="D87" s="16" t="str">
        <f>IFNA(VLOOKUP($A87,Quests!$A$2:$E1000,MATCH(D$1,Quests!$A$1:$E$1,0),FALSE))</f>
        <v/>
      </c>
      <c r="E87" s="16" t="str">
        <f>IFNA(VLOOKUP($A87,Quests!$A$2:$E1000,MATCH(E$1,Quests!$A$1:$E$1,0),FALSE))</f>
        <v/>
      </c>
      <c r="G87" s="114" t="b">
        <v>0</v>
      </c>
      <c r="H87" s="114" t="b">
        <v>0</v>
      </c>
      <c r="I87" s="114" t="b">
        <v>0</v>
      </c>
    </row>
    <row r="88">
      <c r="A88" s="16"/>
      <c r="B88" s="16" t="str">
        <f>IFNA(VLOOKUP($A88,Quests!$A$2:$E1000,MATCH(B$1,Quests!$A$1:$E$1,0),FALSE))</f>
        <v/>
      </c>
      <c r="C88" s="16" t="str">
        <f>IFNA(VLOOKUP($A88,Quests!$A$2:$E1000,MATCH(C$1,Quests!$A$1:$E$1,0),FALSE))</f>
        <v/>
      </c>
      <c r="D88" s="16" t="str">
        <f>IFNA(VLOOKUP($A88,Quests!$A$2:$E1000,MATCH(D$1,Quests!$A$1:$E$1,0),FALSE))</f>
        <v/>
      </c>
      <c r="E88" s="16" t="str">
        <f>IFNA(VLOOKUP($A88,Quests!$A$2:$E1000,MATCH(E$1,Quests!$A$1:$E$1,0),FALSE))</f>
        <v/>
      </c>
      <c r="G88" s="114" t="b">
        <v>0</v>
      </c>
      <c r="H88" s="114" t="b">
        <v>0</v>
      </c>
      <c r="I88" s="114" t="b">
        <v>0</v>
      </c>
    </row>
    <row r="89">
      <c r="A89" s="16"/>
      <c r="B89" s="16" t="str">
        <f>IFNA(VLOOKUP($A89,Quests!$A$2:$E1000,MATCH(B$1,Quests!$A$1:$E$1,0),FALSE))</f>
        <v/>
      </c>
      <c r="C89" s="16" t="str">
        <f>IFNA(VLOOKUP($A89,Quests!$A$2:$E1000,MATCH(C$1,Quests!$A$1:$E$1,0),FALSE))</f>
        <v/>
      </c>
      <c r="D89" s="16" t="str">
        <f>IFNA(VLOOKUP($A89,Quests!$A$2:$E1000,MATCH(D$1,Quests!$A$1:$E$1,0),FALSE))</f>
        <v/>
      </c>
      <c r="E89" s="16" t="str">
        <f>IFNA(VLOOKUP($A89,Quests!$A$2:$E1000,MATCH(E$1,Quests!$A$1:$E$1,0),FALSE))</f>
        <v/>
      </c>
      <c r="G89" s="114" t="b">
        <v>0</v>
      </c>
      <c r="H89" s="114" t="b">
        <v>0</v>
      </c>
      <c r="I89" s="114" t="b">
        <v>0</v>
      </c>
    </row>
    <row r="90">
      <c r="A90" s="16"/>
      <c r="B90" s="16" t="str">
        <f>IFNA(VLOOKUP($A90,Quests!$A$2:$E1000,MATCH(B$1,Quests!$A$1:$E$1,0),FALSE))</f>
        <v/>
      </c>
      <c r="C90" s="16" t="str">
        <f>IFNA(VLOOKUP($A90,Quests!$A$2:$E1000,MATCH(C$1,Quests!$A$1:$E$1,0),FALSE))</f>
        <v/>
      </c>
      <c r="D90" s="16" t="str">
        <f>IFNA(VLOOKUP($A90,Quests!$A$2:$E1000,MATCH(D$1,Quests!$A$1:$E$1,0),FALSE))</f>
        <v/>
      </c>
      <c r="E90" s="16" t="str">
        <f>IFNA(VLOOKUP($A90,Quests!$A$2:$E1000,MATCH(E$1,Quests!$A$1:$E$1,0),FALSE))</f>
        <v/>
      </c>
      <c r="G90" s="114" t="b">
        <v>0</v>
      </c>
      <c r="H90" s="114" t="b">
        <v>0</v>
      </c>
      <c r="I90" s="114" t="b">
        <v>0</v>
      </c>
    </row>
    <row r="91">
      <c r="A91" s="16"/>
      <c r="B91" s="16" t="str">
        <f>IFNA(VLOOKUP($A91,Quests!$A$2:$E1000,MATCH(B$1,Quests!$A$1:$E$1,0),FALSE))</f>
        <v/>
      </c>
      <c r="C91" s="16" t="str">
        <f>IFNA(VLOOKUP($A91,Quests!$A$2:$E1000,MATCH(C$1,Quests!$A$1:$E$1,0),FALSE))</f>
        <v/>
      </c>
      <c r="D91" s="16" t="str">
        <f>IFNA(VLOOKUP($A91,Quests!$A$2:$E1000,MATCH(D$1,Quests!$A$1:$E$1,0),FALSE))</f>
        <v/>
      </c>
      <c r="E91" s="16" t="str">
        <f>IFNA(VLOOKUP($A91,Quests!$A$2:$E1000,MATCH(E$1,Quests!$A$1:$E$1,0),FALSE))</f>
        <v/>
      </c>
      <c r="G91" s="114" t="b">
        <v>0</v>
      </c>
      <c r="H91" s="114" t="b">
        <v>0</v>
      </c>
      <c r="I91" s="114" t="b">
        <v>0</v>
      </c>
    </row>
    <row r="92">
      <c r="A92" s="16"/>
      <c r="B92" s="16" t="str">
        <f>IFNA(VLOOKUP($A92,Quests!$A$2:$E1000,MATCH(B$1,Quests!$A$1:$E$1,0),FALSE))</f>
        <v/>
      </c>
      <c r="C92" s="16" t="str">
        <f>IFNA(VLOOKUP($A92,Quests!$A$2:$E1000,MATCH(C$1,Quests!$A$1:$E$1,0),FALSE))</f>
        <v/>
      </c>
      <c r="D92" s="16" t="str">
        <f>IFNA(VLOOKUP($A92,Quests!$A$2:$E1000,MATCH(D$1,Quests!$A$1:$E$1,0),FALSE))</f>
        <v/>
      </c>
      <c r="E92" s="16" t="str">
        <f>IFNA(VLOOKUP($A92,Quests!$A$2:$E1000,MATCH(E$1,Quests!$A$1:$E$1,0),FALSE))</f>
        <v/>
      </c>
      <c r="G92" s="114" t="b">
        <v>0</v>
      </c>
      <c r="H92" s="114" t="b">
        <v>0</v>
      </c>
      <c r="I92" s="114" t="b">
        <v>0</v>
      </c>
    </row>
    <row r="93">
      <c r="A93" s="16"/>
      <c r="B93" s="16" t="str">
        <f>IFNA(VLOOKUP($A93,Quests!$A$2:$E1000,MATCH(B$1,Quests!$A$1:$E$1,0),FALSE))</f>
        <v/>
      </c>
      <c r="C93" s="16" t="str">
        <f>IFNA(VLOOKUP($A93,Quests!$A$2:$E1000,MATCH(C$1,Quests!$A$1:$E$1,0),FALSE))</f>
        <v/>
      </c>
      <c r="D93" s="16" t="str">
        <f>IFNA(VLOOKUP($A93,Quests!$A$2:$E1000,MATCH(D$1,Quests!$A$1:$E$1,0),FALSE))</f>
        <v/>
      </c>
      <c r="E93" s="16" t="str">
        <f>IFNA(VLOOKUP($A93,Quests!$A$2:$E1000,MATCH(E$1,Quests!$A$1:$E$1,0),FALSE))</f>
        <v/>
      </c>
      <c r="G93" s="114" t="b">
        <v>0</v>
      </c>
      <c r="H93" s="114" t="b">
        <v>0</v>
      </c>
      <c r="I93" s="114" t="b">
        <v>0</v>
      </c>
    </row>
    <row r="94">
      <c r="A94" s="16"/>
      <c r="B94" s="16" t="str">
        <f>IFNA(VLOOKUP($A94,Quests!$A$2:$E1000,MATCH(B$1,Quests!$A$1:$E$1,0),FALSE))</f>
        <v/>
      </c>
      <c r="C94" s="16" t="str">
        <f>IFNA(VLOOKUP($A94,Quests!$A$2:$E1000,MATCH(C$1,Quests!$A$1:$E$1,0),FALSE))</f>
        <v/>
      </c>
      <c r="D94" s="16" t="str">
        <f>IFNA(VLOOKUP($A94,Quests!$A$2:$E1000,MATCH(D$1,Quests!$A$1:$E$1,0),FALSE))</f>
        <v/>
      </c>
      <c r="E94" s="16" t="str">
        <f>IFNA(VLOOKUP($A94,Quests!$A$2:$E1000,MATCH(E$1,Quests!$A$1:$E$1,0),FALSE))</f>
        <v/>
      </c>
      <c r="G94" s="114" t="b">
        <v>0</v>
      </c>
      <c r="H94" s="114" t="b">
        <v>0</v>
      </c>
      <c r="I94" s="114" t="b">
        <v>0</v>
      </c>
    </row>
    <row r="95">
      <c r="A95" s="16"/>
      <c r="B95" s="16" t="str">
        <f>IFNA(VLOOKUP($A95,Quests!$A$2:$E1000,MATCH(B$1,Quests!$A$1:$E$1,0),FALSE))</f>
        <v/>
      </c>
      <c r="C95" s="16" t="str">
        <f>IFNA(VLOOKUP($A95,Quests!$A$2:$E1000,MATCH(C$1,Quests!$A$1:$E$1,0),FALSE))</f>
        <v/>
      </c>
      <c r="D95" s="16" t="str">
        <f>IFNA(VLOOKUP($A95,Quests!$A$2:$E1000,MATCH(D$1,Quests!$A$1:$E$1,0),FALSE))</f>
        <v/>
      </c>
      <c r="E95" s="16" t="str">
        <f>IFNA(VLOOKUP($A95,Quests!$A$2:$E1000,MATCH(E$1,Quests!$A$1:$E$1,0),FALSE))</f>
        <v/>
      </c>
      <c r="G95" s="114" t="b">
        <v>0</v>
      </c>
      <c r="H95" s="114" t="b">
        <v>0</v>
      </c>
      <c r="I95" s="114" t="b">
        <v>0</v>
      </c>
    </row>
    <row r="96">
      <c r="A96" s="16"/>
      <c r="B96" s="16" t="str">
        <f>IFNA(VLOOKUP($A96,Quests!$A$2:$E1000,MATCH(B$1,Quests!$A$1:$E$1,0),FALSE))</f>
        <v/>
      </c>
      <c r="C96" s="16" t="str">
        <f>IFNA(VLOOKUP($A96,Quests!$A$2:$E1000,MATCH(C$1,Quests!$A$1:$E$1,0),FALSE))</f>
        <v/>
      </c>
      <c r="D96" s="16" t="str">
        <f>IFNA(VLOOKUP($A96,Quests!$A$2:$E1000,MATCH(D$1,Quests!$A$1:$E$1,0),FALSE))</f>
        <v/>
      </c>
      <c r="E96" s="16" t="str">
        <f>IFNA(VLOOKUP($A96,Quests!$A$2:$E1000,MATCH(E$1,Quests!$A$1:$E$1,0),FALSE))</f>
        <v/>
      </c>
      <c r="G96" s="114" t="b">
        <v>0</v>
      </c>
      <c r="H96" s="114" t="b">
        <v>0</v>
      </c>
      <c r="I96" s="114" t="b">
        <v>0</v>
      </c>
    </row>
    <row r="97">
      <c r="A97" s="16"/>
      <c r="B97" s="16" t="str">
        <f>IFNA(VLOOKUP($A97,Quests!$A$2:$E1000,MATCH(B$1,Quests!$A$1:$E$1,0),FALSE))</f>
        <v/>
      </c>
      <c r="C97" s="16" t="str">
        <f>IFNA(VLOOKUP($A97,Quests!$A$2:$E1000,MATCH(C$1,Quests!$A$1:$E$1,0),FALSE))</f>
        <v/>
      </c>
      <c r="D97" s="16" t="str">
        <f>IFNA(VLOOKUP($A97,Quests!$A$2:$E1000,MATCH(D$1,Quests!$A$1:$E$1,0),FALSE))</f>
        <v/>
      </c>
      <c r="E97" s="16" t="str">
        <f>IFNA(VLOOKUP($A97,Quests!$A$2:$E1000,MATCH(E$1,Quests!$A$1:$E$1,0),FALSE))</f>
        <v/>
      </c>
      <c r="G97" s="114" t="b">
        <v>0</v>
      </c>
      <c r="H97" s="114" t="b">
        <v>0</v>
      </c>
      <c r="I97" s="114" t="b">
        <v>0</v>
      </c>
    </row>
    <row r="98">
      <c r="A98" s="16"/>
      <c r="B98" s="16" t="str">
        <f>IFNA(VLOOKUP($A98,Quests!$A$2:$E1000,MATCH(B$1,Quests!$A$1:$E$1,0),FALSE))</f>
        <v/>
      </c>
      <c r="C98" s="16" t="str">
        <f>IFNA(VLOOKUP($A98,Quests!$A$2:$E1000,MATCH(C$1,Quests!$A$1:$E$1,0),FALSE))</f>
        <v/>
      </c>
      <c r="D98" s="16" t="str">
        <f>IFNA(VLOOKUP($A98,Quests!$A$2:$E1000,MATCH(D$1,Quests!$A$1:$E$1,0),FALSE))</f>
        <v/>
      </c>
      <c r="E98" s="16" t="str">
        <f>IFNA(VLOOKUP($A98,Quests!$A$2:$E1000,MATCH(E$1,Quests!$A$1:$E$1,0),FALSE))</f>
        <v/>
      </c>
      <c r="G98" s="114" t="b">
        <v>0</v>
      </c>
      <c r="H98" s="114" t="b">
        <v>0</v>
      </c>
      <c r="I98" s="114" t="b">
        <v>0</v>
      </c>
    </row>
    <row r="99">
      <c r="A99" s="16"/>
      <c r="B99" s="16" t="str">
        <f>IFNA(VLOOKUP($A99,Quests!$A$2:$E1000,MATCH(B$1,Quests!$A$1:$E$1,0),FALSE))</f>
        <v/>
      </c>
      <c r="C99" s="16" t="str">
        <f>IFNA(VLOOKUP($A99,Quests!$A$2:$E1000,MATCH(C$1,Quests!$A$1:$E$1,0),FALSE))</f>
        <v/>
      </c>
      <c r="D99" s="16" t="str">
        <f>IFNA(VLOOKUP($A99,Quests!$A$2:$E1000,MATCH(D$1,Quests!$A$1:$E$1,0),FALSE))</f>
        <v/>
      </c>
      <c r="E99" s="16" t="str">
        <f>IFNA(VLOOKUP($A99,Quests!$A$2:$E1000,MATCH(E$1,Quests!$A$1:$E$1,0),FALSE))</f>
        <v/>
      </c>
      <c r="G99" s="114" t="b">
        <v>0</v>
      </c>
      <c r="H99" s="114" t="b">
        <v>0</v>
      </c>
      <c r="I99" s="114" t="b">
        <v>0</v>
      </c>
    </row>
    <row r="100">
      <c r="A100" s="16"/>
      <c r="B100" s="16" t="str">
        <f>IFNA(VLOOKUP($A100,Quests!$A$2:$E1000,MATCH(B$1,Quests!$A$1:$E$1,0),FALSE))</f>
        <v/>
      </c>
      <c r="C100" s="16" t="str">
        <f>IFNA(VLOOKUP($A100,Quests!$A$2:$E1000,MATCH(C$1,Quests!$A$1:$E$1,0),FALSE))</f>
        <v/>
      </c>
      <c r="D100" s="16" t="str">
        <f>IFNA(VLOOKUP($A100,Quests!$A$2:$E1000,MATCH(D$1,Quests!$A$1:$E$1,0),FALSE))</f>
        <v/>
      </c>
      <c r="E100" s="16" t="str">
        <f>IFNA(VLOOKUP($A100,Quests!$A$2:$E1000,MATCH(E$1,Quests!$A$1:$E$1,0),FALSE))</f>
        <v/>
      </c>
      <c r="G100" s="114" t="b">
        <v>0</v>
      </c>
      <c r="H100" s="114" t="b">
        <v>0</v>
      </c>
      <c r="I100" s="114" t="b">
        <v>0</v>
      </c>
    </row>
    <row r="101">
      <c r="A101" s="16"/>
      <c r="B101" s="16" t="str">
        <f>IFNA(VLOOKUP($A101,Quests!$A$2:$E1000,MATCH(B$1,Quests!$A$1:$E$1,0),FALSE))</f>
        <v/>
      </c>
      <c r="C101" s="16" t="str">
        <f>IFNA(VLOOKUP($A101,Quests!$A$2:$E1000,MATCH(C$1,Quests!$A$1:$E$1,0),FALSE))</f>
        <v/>
      </c>
      <c r="D101" s="16" t="str">
        <f>IFNA(VLOOKUP($A101,Quests!$A$2:$E1000,MATCH(D$1,Quests!$A$1:$E$1,0),FALSE))</f>
        <v/>
      </c>
      <c r="E101" s="16" t="str">
        <f>IFNA(VLOOKUP($A101,Quests!$A$2:$E1000,MATCH(E$1,Quests!$A$1:$E$1,0),FALSE))</f>
        <v/>
      </c>
      <c r="G101" s="114" t="b">
        <v>0</v>
      </c>
      <c r="H101" s="114" t="b">
        <v>0</v>
      </c>
      <c r="I101" s="114" t="b">
        <v>0</v>
      </c>
    </row>
    <row r="102">
      <c r="A102" s="16"/>
      <c r="B102" s="16" t="str">
        <f>IFNA(VLOOKUP($A102,Quests!$A$2:$E1000,MATCH(B$1,Quests!$A$1:$E$1,0),FALSE))</f>
        <v/>
      </c>
      <c r="C102" s="16" t="str">
        <f>IFNA(VLOOKUP($A102,Quests!$A$2:$E1000,MATCH(C$1,Quests!$A$1:$E$1,0),FALSE))</f>
        <v/>
      </c>
      <c r="D102" s="16" t="str">
        <f>IFNA(VLOOKUP($A102,Quests!$A$2:$E1000,MATCH(D$1,Quests!$A$1:$E$1,0),FALSE))</f>
        <v/>
      </c>
      <c r="E102" s="16" t="str">
        <f>IFNA(VLOOKUP($A102,Quests!$A$2:$E1000,MATCH(E$1,Quests!$A$1:$E$1,0),FALSE))</f>
        <v/>
      </c>
      <c r="G102" s="114" t="b">
        <v>0</v>
      </c>
      <c r="H102" s="114" t="b">
        <v>0</v>
      </c>
      <c r="I102" s="114" t="b">
        <v>0</v>
      </c>
    </row>
    <row r="103">
      <c r="A103" s="16"/>
      <c r="B103" s="16" t="str">
        <f>IFNA(VLOOKUP($A103,Quests!$A$2:$E1000,MATCH(B$1,Quests!$A$1:$E$1,0),FALSE))</f>
        <v/>
      </c>
      <c r="C103" s="16" t="str">
        <f>IFNA(VLOOKUP($A103,Quests!$A$2:$E1000,MATCH(C$1,Quests!$A$1:$E$1,0),FALSE))</f>
        <v/>
      </c>
      <c r="D103" s="16" t="str">
        <f>IFNA(VLOOKUP($A103,Quests!$A$2:$E1000,MATCH(D$1,Quests!$A$1:$E$1,0),FALSE))</f>
        <v/>
      </c>
      <c r="E103" s="16" t="str">
        <f>IFNA(VLOOKUP($A103,Quests!$A$2:$E1000,MATCH(E$1,Quests!$A$1:$E$1,0),FALSE))</f>
        <v/>
      </c>
      <c r="G103" s="114" t="b">
        <v>0</v>
      </c>
      <c r="H103" s="114" t="b">
        <v>0</v>
      </c>
      <c r="I103" s="114" t="b">
        <v>0</v>
      </c>
    </row>
    <row r="104">
      <c r="A104" s="16"/>
      <c r="B104" s="16" t="str">
        <f>IFNA(VLOOKUP($A104,Quests!$A$2:$E1000,MATCH(B$1,Quests!$A$1:$E$1,0),FALSE))</f>
        <v/>
      </c>
      <c r="C104" s="16" t="str">
        <f>IFNA(VLOOKUP($A104,Quests!$A$2:$E1000,MATCH(C$1,Quests!$A$1:$E$1,0),FALSE))</f>
        <v/>
      </c>
      <c r="D104" s="16" t="str">
        <f>IFNA(VLOOKUP($A104,Quests!$A$2:$E1000,MATCH(D$1,Quests!$A$1:$E$1,0),FALSE))</f>
        <v/>
      </c>
      <c r="E104" s="16" t="str">
        <f>IFNA(VLOOKUP($A104,Quests!$A$2:$E1000,MATCH(E$1,Quests!$A$1:$E$1,0),FALSE))</f>
        <v/>
      </c>
      <c r="G104" s="114" t="b">
        <v>0</v>
      </c>
      <c r="H104" s="114" t="b">
        <v>0</v>
      </c>
      <c r="I104" s="114" t="b">
        <v>0</v>
      </c>
    </row>
    <row r="105">
      <c r="A105" s="16"/>
      <c r="B105" s="16" t="str">
        <f>IFNA(VLOOKUP($A105,Quests!$A$2:$E1000,MATCH(B$1,Quests!$A$1:$E$1,0),FALSE))</f>
        <v/>
      </c>
      <c r="C105" s="16" t="str">
        <f>IFNA(VLOOKUP($A105,Quests!$A$2:$E1000,MATCH(C$1,Quests!$A$1:$E$1,0),FALSE))</f>
        <v/>
      </c>
      <c r="D105" s="16" t="str">
        <f>IFNA(VLOOKUP($A105,Quests!$A$2:$E1000,MATCH(D$1,Quests!$A$1:$E$1,0),FALSE))</f>
        <v/>
      </c>
      <c r="E105" s="16" t="str">
        <f>IFNA(VLOOKUP($A105,Quests!$A$2:$E1000,MATCH(E$1,Quests!$A$1:$E$1,0),FALSE))</f>
        <v/>
      </c>
      <c r="G105" s="114" t="b">
        <v>0</v>
      </c>
      <c r="H105" s="114" t="b">
        <v>0</v>
      </c>
      <c r="I105" s="114" t="b">
        <v>0</v>
      </c>
    </row>
    <row r="106">
      <c r="A106" s="16"/>
      <c r="B106" s="16" t="str">
        <f>IFNA(VLOOKUP($A106,Quests!$A$2:$E1000,MATCH(B$1,Quests!$A$1:$E$1,0),FALSE))</f>
        <v/>
      </c>
      <c r="C106" s="16" t="str">
        <f>IFNA(VLOOKUP($A106,Quests!$A$2:$E1000,MATCH(C$1,Quests!$A$1:$E$1,0),FALSE))</f>
        <v/>
      </c>
      <c r="D106" s="16" t="str">
        <f>IFNA(VLOOKUP($A106,Quests!$A$2:$E1000,MATCH(D$1,Quests!$A$1:$E$1,0),FALSE))</f>
        <v/>
      </c>
      <c r="E106" s="16" t="str">
        <f>IFNA(VLOOKUP($A106,Quests!$A$2:$E1000,MATCH(E$1,Quests!$A$1:$E$1,0),FALSE))</f>
        <v/>
      </c>
      <c r="G106" s="114" t="b">
        <v>0</v>
      </c>
      <c r="H106" s="114" t="b">
        <v>0</v>
      </c>
      <c r="I106" s="114" t="b">
        <v>0</v>
      </c>
    </row>
    <row r="107">
      <c r="A107" s="16"/>
      <c r="B107" s="16" t="str">
        <f>IFNA(VLOOKUP($A107,Quests!$A$2:$E1000,MATCH(B$1,Quests!$A$1:$E$1,0),FALSE))</f>
        <v/>
      </c>
      <c r="C107" s="16" t="str">
        <f>IFNA(VLOOKUP($A107,Quests!$A$2:$E1000,MATCH(C$1,Quests!$A$1:$E$1,0),FALSE))</f>
        <v/>
      </c>
      <c r="D107" s="16" t="str">
        <f>IFNA(VLOOKUP($A107,Quests!$A$2:$E1000,MATCH(D$1,Quests!$A$1:$E$1,0),FALSE))</f>
        <v/>
      </c>
      <c r="E107" s="16" t="str">
        <f>IFNA(VLOOKUP($A107,Quests!$A$2:$E1000,MATCH(E$1,Quests!$A$1:$E$1,0),FALSE))</f>
        <v/>
      </c>
      <c r="G107" s="114" t="b">
        <v>0</v>
      </c>
      <c r="H107" s="114" t="b">
        <v>0</v>
      </c>
      <c r="I107" s="114" t="b">
        <v>0</v>
      </c>
    </row>
    <row r="108">
      <c r="A108" s="16"/>
      <c r="B108" s="16" t="str">
        <f>IFNA(VLOOKUP($A108,Quests!$A$2:$E1000,MATCH(B$1,Quests!$A$1:$E$1,0),FALSE))</f>
        <v/>
      </c>
      <c r="C108" s="16" t="str">
        <f>IFNA(VLOOKUP($A108,Quests!$A$2:$E1000,MATCH(C$1,Quests!$A$1:$E$1,0),FALSE))</f>
        <v/>
      </c>
      <c r="D108" s="16" t="str">
        <f>IFNA(VLOOKUP($A108,Quests!$A$2:$E1000,MATCH(D$1,Quests!$A$1:$E$1,0),FALSE))</f>
        <v/>
      </c>
      <c r="E108" s="16" t="str">
        <f>IFNA(VLOOKUP($A108,Quests!$A$2:$E1000,MATCH(E$1,Quests!$A$1:$E$1,0),FALSE))</f>
        <v/>
      </c>
      <c r="G108" s="114" t="b">
        <v>0</v>
      </c>
      <c r="H108" s="114" t="b">
        <v>0</v>
      </c>
      <c r="I108" s="114" t="b">
        <v>0</v>
      </c>
    </row>
    <row r="109">
      <c r="A109" s="16"/>
      <c r="B109" s="16" t="str">
        <f>IFNA(VLOOKUP($A109,Quests!$A$2:$E1000,MATCH(B$1,Quests!$A$1:$E$1,0),FALSE))</f>
        <v/>
      </c>
      <c r="C109" s="16" t="str">
        <f>IFNA(VLOOKUP($A109,Quests!$A$2:$E1000,MATCH(C$1,Quests!$A$1:$E$1,0),FALSE))</f>
        <v/>
      </c>
      <c r="D109" s="16" t="str">
        <f>IFNA(VLOOKUP($A109,Quests!$A$2:$E1000,MATCH(D$1,Quests!$A$1:$E$1,0),FALSE))</f>
        <v/>
      </c>
      <c r="E109" s="16" t="str">
        <f>IFNA(VLOOKUP($A109,Quests!$A$2:$E1000,MATCH(E$1,Quests!$A$1:$E$1,0),FALSE))</f>
        <v/>
      </c>
      <c r="G109" s="114" t="b">
        <v>0</v>
      </c>
      <c r="H109" s="114" t="b">
        <v>0</v>
      </c>
      <c r="I109" s="114" t="b">
        <v>0</v>
      </c>
    </row>
    <row r="110">
      <c r="A110" s="16"/>
      <c r="B110" s="16" t="str">
        <f>IFNA(VLOOKUP($A110,Quests!$A$2:$E1000,MATCH(B$1,Quests!$A$1:$E$1,0),FALSE))</f>
        <v/>
      </c>
      <c r="C110" s="16" t="str">
        <f>IFNA(VLOOKUP($A110,Quests!$A$2:$E1000,MATCH(C$1,Quests!$A$1:$E$1,0),FALSE))</f>
        <v/>
      </c>
      <c r="D110" s="16" t="str">
        <f>IFNA(VLOOKUP($A110,Quests!$A$2:$E1000,MATCH(D$1,Quests!$A$1:$E$1,0),FALSE))</f>
        <v/>
      </c>
      <c r="E110" s="16" t="str">
        <f>IFNA(VLOOKUP($A110,Quests!$A$2:$E1000,MATCH(E$1,Quests!$A$1:$E$1,0),FALSE))</f>
        <v/>
      </c>
      <c r="G110" s="114" t="b">
        <v>0</v>
      </c>
      <c r="H110" s="114" t="b">
        <v>0</v>
      </c>
      <c r="I110" s="114" t="b">
        <v>0</v>
      </c>
    </row>
    <row r="111">
      <c r="A111" s="16"/>
      <c r="B111" s="16" t="str">
        <f>IFNA(VLOOKUP($A111,Quests!$A$2:$E1000,MATCH(B$1,Quests!$A$1:$E$1,0),FALSE))</f>
        <v/>
      </c>
      <c r="C111" s="16" t="str">
        <f>IFNA(VLOOKUP($A111,Quests!$A$2:$E1000,MATCH(C$1,Quests!$A$1:$E$1,0),FALSE))</f>
        <v/>
      </c>
      <c r="D111" s="16" t="str">
        <f>IFNA(VLOOKUP($A111,Quests!$A$2:$E1000,MATCH(D$1,Quests!$A$1:$E$1,0),FALSE))</f>
        <v/>
      </c>
      <c r="E111" s="16" t="str">
        <f>IFNA(VLOOKUP($A111,Quests!$A$2:$E1000,MATCH(E$1,Quests!$A$1:$E$1,0),FALSE))</f>
        <v/>
      </c>
      <c r="G111" s="114" t="b">
        <v>0</v>
      </c>
      <c r="H111" s="114" t="b">
        <v>0</v>
      </c>
      <c r="I111" s="114" t="b">
        <v>0</v>
      </c>
    </row>
    <row r="112">
      <c r="A112" s="16"/>
      <c r="B112" s="16" t="str">
        <f>IFNA(VLOOKUP($A112,Quests!$A$2:$E1000,MATCH(B$1,Quests!$A$1:$E$1,0),FALSE))</f>
        <v/>
      </c>
      <c r="C112" s="16" t="str">
        <f>IFNA(VLOOKUP($A112,Quests!$A$2:$E1000,MATCH(C$1,Quests!$A$1:$E$1,0),FALSE))</f>
        <v/>
      </c>
      <c r="D112" s="16" t="str">
        <f>IFNA(VLOOKUP($A112,Quests!$A$2:$E1000,MATCH(D$1,Quests!$A$1:$E$1,0),FALSE))</f>
        <v/>
      </c>
      <c r="E112" s="16" t="str">
        <f>IFNA(VLOOKUP($A112,Quests!$A$2:$E1000,MATCH(E$1,Quests!$A$1:$E$1,0),FALSE))</f>
        <v/>
      </c>
      <c r="G112" s="114" t="b">
        <v>0</v>
      </c>
      <c r="H112" s="114" t="b">
        <v>0</v>
      </c>
      <c r="I112" s="114" t="b">
        <v>0</v>
      </c>
    </row>
    <row r="113">
      <c r="A113" s="16"/>
      <c r="B113" s="16" t="str">
        <f>IFNA(VLOOKUP($A113,Quests!$A$2:$E1000,MATCH(B$1,Quests!$A$1:$E$1,0),FALSE))</f>
        <v/>
      </c>
      <c r="C113" s="16" t="str">
        <f>IFNA(VLOOKUP($A113,Quests!$A$2:$E1000,MATCH(C$1,Quests!$A$1:$E$1,0),FALSE))</f>
        <v/>
      </c>
      <c r="D113" s="16" t="str">
        <f>IFNA(VLOOKUP($A113,Quests!$A$2:$E1000,MATCH(D$1,Quests!$A$1:$E$1,0),FALSE))</f>
        <v/>
      </c>
      <c r="E113" s="16" t="str">
        <f>IFNA(VLOOKUP($A113,Quests!$A$2:$E1000,MATCH(E$1,Quests!$A$1:$E$1,0),FALSE))</f>
        <v/>
      </c>
      <c r="G113" s="114" t="b">
        <v>0</v>
      </c>
      <c r="H113" s="114" t="b">
        <v>0</v>
      </c>
      <c r="I113" s="114" t="b">
        <v>0</v>
      </c>
    </row>
    <row r="114">
      <c r="A114" s="16"/>
      <c r="B114" s="16" t="str">
        <f>IFNA(VLOOKUP($A114,Quests!$A$2:$E1000,MATCH(B$1,Quests!$A$1:$E$1,0),FALSE))</f>
        <v/>
      </c>
      <c r="C114" s="16" t="str">
        <f>IFNA(VLOOKUP($A114,Quests!$A$2:$E1000,MATCH(C$1,Quests!$A$1:$E$1,0),FALSE))</f>
        <v/>
      </c>
      <c r="D114" s="16" t="str">
        <f>IFNA(VLOOKUP($A114,Quests!$A$2:$E1000,MATCH(D$1,Quests!$A$1:$E$1,0),FALSE))</f>
        <v/>
      </c>
      <c r="E114" s="16" t="str">
        <f>IFNA(VLOOKUP($A114,Quests!$A$2:$E1000,MATCH(E$1,Quests!$A$1:$E$1,0),FALSE))</f>
        <v/>
      </c>
      <c r="G114" s="114" t="b">
        <v>0</v>
      </c>
      <c r="H114" s="114" t="b">
        <v>0</v>
      </c>
      <c r="I114" s="114" t="b">
        <v>0</v>
      </c>
    </row>
    <row r="115">
      <c r="A115" s="16"/>
      <c r="B115" s="16" t="str">
        <f>IFNA(VLOOKUP($A115,Quests!$A$2:$E1000,MATCH(B$1,Quests!$A$1:$E$1,0),FALSE))</f>
        <v/>
      </c>
      <c r="C115" s="16" t="str">
        <f>IFNA(VLOOKUP($A115,Quests!$A$2:$E1000,MATCH(C$1,Quests!$A$1:$E$1,0),FALSE))</f>
        <v/>
      </c>
      <c r="D115" s="16" t="str">
        <f>IFNA(VLOOKUP($A115,Quests!$A$2:$E1000,MATCH(D$1,Quests!$A$1:$E$1,0),FALSE))</f>
        <v/>
      </c>
      <c r="E115" s="16" t="str">
        <f>IFNA(VLOOKUP($A115,Quests!$A$2:$E1000,MATCH(E$1,Quests!$A$1:$E$1,0),FALSE))</f>
        <v/>
      </c>
      <c r="G115" s="114" t="b">
        <v>0</v>
      </c>
      <c r="H115" s="114" t="b">
        <v>0</v>
      </c>
      <c r="I115" s="114" t="b">
        <v>0</v>
      </c>
    </row>
    <row r="116">
      <c r="A116" s="16"/>
      <c r="B116" s="16" t="str">
        <f>IFNA(VLOOKUP($A116,Quests!$A$2:$E1000,MATCH(B$1,Quests!$A$1:$E$1,0),FALSE))</f>
        <v/>
      </c>
      <c r="C116" s="16" t="str">
        <f>IFNA(VLOOKUP($A116,Quests!$A$2:$E1000,MATCH(C$1,Quests!$A$1:$E$1,0),FALSE))</f>
        <v/>
      </c>
      <c r="D116" s="16" t="str">
        <f>IFNA(VLOOKUP($A116,Quests!$A$2:$E1000,MATCH(D$1,Quests!$A$1:$E$1,0),FALSE))</f>
        <v/>
      </c>
      <c r="E116" s="16" t="str">
        <f>IFNA(VLOOKUP($A116,Quests!$A$2:$E1000,MATCH(E$1,Quests!$A$1:$E$1,0),FALSE))</f>
        <v/>
      </c>
      <c r="G116" s="114" t="b">
        <v>0</v>
      </c>
      <c r="H116" s="114" t="b">
        <v>0</v>
      </c>
      <c r="I116" s="114" t="b">
        <v>0</v>
      </c>
    </row>
    <row r="117">
      <c r="A117" s="16"/>
      <c r="B117" s="16" t="str">
        <f>IFNA(VLOOKUP($A117,Quests!$A$2:$E1000,MATCH(B$1,Quests!$A$1:$E$1,0),FALSE))</f>
        <v/>
      </c>
      <c r="C117" s="16" t="str">
        <f>IFNA(VLOOKUP($A117,Quests!$A$2:$E1000,MATCH(C$1,Quests!$A$1:$E$1,0),FALSE))</f>
        <v/>
      </c>
      <c r="D117" s="16" t="str">
        <f>IFNA(VLOOKUP($A117,Quests!$A$2:$E1000,MATCH(D$1,Quests!$A$1:$E$1,0),FALSE))</f>
        <v/>
      </c>
      <c r="E117" s="16" t="str">
        <f>IFNA(VLOOKUP($A117,Quests!$A$2:$E1000,MATCH(E$1,Quests!$A$1:$E$1,0),FALSE))</f>
        <v/>
      </c>
      <c r="G117" s="114" t="b">
        <v>0</v>
      </c>
      <c r="H117" s="114" t="b">
        <v>0</v>
      </c>
      <c r="I117" s="114" t="b">
        <v>0</v>
      </c>
    </row>
    <row r="118">
      <c r="A118" s="16"/>
      <c r="B118" s="16" t="str">
        <f>IFNA(VLOOKUP($A118,Quests!$A$2:$E1000,MATCH(B$1,Quests!$A$1:$E$1,0),FALSE))</f>
        <v/>
      </c>
      <c r="C118" s="16" t="str">
        <f>IFNA(VLOOKUP($A118,Quests!$A$2:$E1000,MATCH(C$1,Quests!$A$1:$E$1,0),FALSE))</f>
        <v/>
      </c>
      <c r="D118" s="16" t="str">
        <f>IFNA(VLOOKUP($A118,Quests!$A$2:$E1000,MATCH(D$1,Quests!$A$1:$E$1,0),FALSE))</f>
        <v/>
      </c>
      <c r="E118" s="16" t="str">
        <f>IFNA(VLOOKUP($A118,Quests!$A$2:$E1000,MATCH(E$1,Quests!$A$1:$E$1,0),FALSE))</f>
        <v/>
      </c>
      <c r="G118" s="114" t="b">
        <v>0</v>
      </c>
      <c r="H118" s="114" t="b">
        <v>0</v>
      </c>
      <c r="I118" s="114" t="b">
        <v>0</v>
      </c>
    </row>
    <row r="119">
      <c r="A119" s="16"/>
      <c r="B119" s="16" t="str">
        <f>IFNA(VLOOKUP($A119,Quests!$A$2:$E1000,MATCH(B$1,Quests!$A$1:$E$1,0),FALSE))</f>
        <v/>
      </c>
      <c r="C119" s="16" t="str">
        <f>IFNA(VLOOKUP($A119,Quests!$A$2:$E1000,MATCH(C$1,Quests!$A$1:$E$1,0),FALSE))</f>
        <v/>
      </c>
      <c r="D119" s="16" t="str">
        <f>IFNA(VLOOKUP($A119,Quests!$A$2:$E1000,MATCH(D$1,Quests!$A$1:$E$1,0),FALSE))</f>
        <v/>
      </c>
      <c r="E119" s="16" t="str">
        <f>IFNA(VLOOKUP($A119,Quests!$A$2:$E1000,MATCH(E$1,Quests!$A$1:$E$1,0),FALSE))</f>
        <v/>
      </c>
      <c r="G119" s="114" t="b">
        <v>0</v>
      </c>
      <c r="H119" s="114" t="b">
        <v>0</v>
      </c>
      <c r="I119" s="114" t="b">
        <v>0</v>
      </c>
    </row>
    <row r="120">
      <c r="A120" s="16"/>
      <c r="B120" s="16" t="str">
        <f>IFNA(VLOOKUP($A120,Quests!$A$2:$E1000,MATCH(B$1,Quests!$A$1:$E$1,0),FALSE))</f>
        <v/>
      </c>
      <c r="C120" s="16" t="str">
        <f>IFNA(VLOOKUP($A120,Quests!$A$2:$E1000,MATCH(C$1,Quests!$A$1:$E$1,0),FALSE))</f>
        <v/>
      </c>
      <c r="D120" s="16" t="str">
        <f>IFNA(VLOOKUP($A120,Quests!$A$2:$E1000,MATCH(D$1,Quests!$A$1:$E$1,0),FALSE))</f>
        <v/>
      </c>
      <c r="E120" s="16" t="str">
        <f>IFNA(VLOOKUP($A120,Quests!$A$2:$E1000,MATCH(E$1,Quests!$A$1:$E$1,0),FALSE))</f>
        <v/>
      </c>
      <c r="G120" s="114" t="b">
        <v>0</v>
      </c>
      <c r="H120" s="114" t="b">
        <v>0</v>
      </c>
      <c r="I120" s="114" t="b">
        <v>0</v>
      </c>
    </row>
    <row r="121">
      <c r="A121" s="16"/>
      <c r="B121" s="16" t="str">
        <f>IFNA(VLOOKUP($A121,Quests!$A$2:$E1000,MATCH(B$1,Quests!$A$1:$E$1,0),FALSE))</f>
        <v/>
      </c>
      <c r="C121" s="16" t="str">
        <f>IFNA(VLOOKUP($A121,Quests!$A$2:$E1000,MATCH(C$1,Quests!$A$1:$E$1,0),FALSE))</f>
        <v/>
      </c>
      <c r="D121" s="16" t="str">
        <f>IFNA(VLOOKUP($A121,Quests!$A$2:$E1000,MATCH(D$1,Quests!$A$1:$E$1,0),FALSE))</f>
        <v/>
      </c>
      <c r="E121" s="16" t="str">
        <f>IFNA(VLOOKUP($A121,Quests!$A$2:$E1000,MATCH(E$1,Quests!$A$1:$E$1,0),FALSE))</f>
        <v/>
      </c>
      <c r="G121" s="114" t="b">
        <v>0</v>
      </c>
      <c r="H121" s="114" t="b">
        <v>0</v>
      </c>
      <c r="I121" s="114" t="b">
        <v>0</v>
      </c>
    </row>
    <row r="122">
      <c r="A122" s="16"/>
      <c r="B122" s="16" t="str">
        <f>IFNA(VLOOKUP($A122,Quests!$A$2:$E1000,MATCH(B$1,Quests!$A$1:$E$1,0),FALSE))</f>
        <v/>
      </c>
      <c r="C122" s="16" t="str">
        <f>IFNA(VLOOKUP($A122,Quests!$A$2:$E1000,MATCH(C$1,Quests!$A$1:$E$1,0),FALSE))</f>
        <v/>
      </c>
      <c r="D122" s="16" t="str">
        <f>IFNA(VLOOKUP($A122,Quests!$A$2:$E1000,MATCH(D$1,Quests!$A$1:$E$1,0),FALSE))</f>
        <v/>
      </c>
      <c r="E122" s="16" t="str">
        <f>IFNA(VLOOKUP($A122,Quests!$A$2:$E1000,MATCH(E$1,Quests!$A$1:$E$1,0),FALSE))</f>
        <v/>
      </c>
      <c r="G122" s="114" t="b">
        <v>0</v>
      </c>
      <c r="H122" s="114" t="b">
        <v>0</v>
      </c>
      <c r="I122" s="114" t="b">
        <v>0</v>
      </c>
    </row>
    <row r="123">
      <c r="A123" s="16"/>
      <c r="B123" s="16" t="str">
        <f>IFNA(VLOOKUP($A123,Quests!$A$2:$E1000,MATCH(B$1,Quests!$A$1:$E$1,0),FALSE))</f>
        <v/>
      </c>
      <c r="C123" s="16" t="str">
        <f>IFNA(VLOOKUP($A123,Quests!$A$2:$E1000,MATCH(C$1,Quests!$A$1:$E$1,0),FALSE))</f>
        <v/>
      </c>
      <c r="D123" s="16" t="str">
        <f>IFNA(VLOOKUP($A123,Quests!$A$2:$E1000,MATCH(D$1,Quests!$A$1:$E$1,0),FALSE))</f>
        <v/>
      </c>
      <c r="E123" s="16" t="str">
        <f>IFNA(VLOOKUP($A123,Quests!$A$2:$E1000,MATCH(E$1,Quests!$A$1:$E$1,0),FALSE))</f>
        <v/>
      </c>
      <c r="G123" s="114" t="b">
        <v>0</v>
      </c>
      <c r="H123" s="114" t="b">
        <v>0</v>
      </c>
      <c r="I123" s="114" t="b">
        <v>0</v>
      </c>
    </row>
    <row r="124">
      <c r="A124" s="16"/>
      <c r="B124" s="16" t="str">
        <f>IFNA(VLOOKUP($A124,Quests!$A$2:$E1000,MATCH(B$1,Quests!$A$1:$E$1,0),FALSE))</f>
        <v/>
      </c>
      <c r="C124" s="16" t="str">
        <f>IFNA(VLOOKUP($A124,Quests!$A$2:$E1000,MATCH(C$1,Quests!$A$1:$E$1,0),FALSE))</f>
        <v/>
      </c>
      <c r="D124" s="16" t="str">
        <f>IFNA(VLOOKUP($A124,Quests!$A$2:$E1000,MATCH(D$1,Quests!$A$1:$E$1,0),FALSE))</f>
        <v/>
      </c>
      <c r="E124" s="16" t="str">
        <f>IFNA(VLOOKUP($A124,Quests!$A$2:$E1000,MATCH(E$1,Quests!$A$1:$E$1,0),FALSE))</f>
        <v/>
      </c>
      <c r="G124" s="114" t="b">
        <v>0</v>
      </c>
      <c r="H124" s="114" t="b">
        <v>0</v>
      </c>
      <c r="I124" s="114" t="b">
        <v>0</v>
      </c>
    </row>
    <row r="125">
      <c r="A125" s="16"/>
      <c r="B125" s="16" t="str">
        <f>IFNA(VLOOKUP($A125,Quests!$A$2:$E1000,MATCH(B$1,Quests!$A$1:$E$1,0),FALSE))</f>
        <v/>
      </c>
      <c r="C125" s="16" t="str">
        <f>IFNA(VLOOKUP($A125,Quests!$A$2:$E1000,MATCH(C$1,Quests!$A$1:$E$1,0),FALSE))</f>
        <v/>
      </c>
      <c r="D125" s="16" t="str">
        <f>IFNA(VLOOKUP($A125,Quests!$A$2:$E1000,MATCH(D$1,Quests!$A$1:$E$1,0),FALSE))</f>
        <v/>
      </c>
      <c r="E125" s="16" t="str">
        <f>IFNA(VLOOKUP($A125,Quests!$A$2:$E1000,MATCH(E$1,Quests!$A$1:$E$1,0),FALSE))</f>
        <v/>
      </c>
      <c r="G125" s="114" t="b">
        <v>0</v>
      </c>
      <c r="H125" s="114" t="b">
        <v>0</v>
      </c>
      <c r="I125" s="114" t="b">
        <v>0</v>
      </c>
    </row>
    <row r="126">
      <c r="A126" s="16"/>
      <c r="B126" s="16" t="str">
        <f>IFNA(VLOOKUP($A126,Quests!$A$2:$E1000,MATCH(B$1,Quests!$A$1:$E$1,0),FALSE))</f>
        <v/>
      </c>
      <c r="C126" s="16" t="str">
        <f>IFNA(VLOOKUP($A126,Quests!$A$2:$E1000,MATCH(C$1,Quests!$A$1:$E$1,0),FALSE))</f>
        <v/>
      </c>
      <c r="D126" s="16" t="str">
        <f>IFNA(VLOOKUP($A126,Quests!$A$2:$E1000,MATCH(D$1,Quests!$A$1:$E$1,0),FALSE))</f>
        <v/>
      </c>
      <c r="E126" s="16" t="str">
        <f>IFNA(VLOOKUP($A126,Quests!$A$2:$E1000,MATCH(E$1,Quests!$A$1:$E$1,0),FALSE))</f>
        <v/>
      </c>
      <c r="G126" s="114" t="b">
        <v>0</v>
      </c>
      <c r="H126" s="114" t="b">
        <v>0</v>
      </c>
      <c r="I126" s="114" t="b">
        <v>0</v>
      </c>
    </row>
    <row r="127">
      <c r="A127" s="16"/>
      <c r="B127" s="16" t="str">
        <f>IFNA(VLOOKUP($A127,Quests!$A$2:$E1000,MATCH(B$1,Quests!$A$1:$E$1,0),FALSE))</f>
        <v/>
      </c>
      <c r="C127" s="16" t="str">
        <f>IFNA(VLOOKUP($A127,Quests!$A$2:$E1000,MATCH(C$1,Quests!$A$1:$E$1,0),FALSE))</f>
        <v/>
      </c>
      <c r="D127" s="16" t="str">
        <f>IFNA(VLOOKUP($A127,Quests!$A$2:$E1000,MATCH(D$1,Quests!$A$1:$E$1,0),FALSE))</f>
        <v/>
      </c>
      <c r="E127" s="16" t="str">
        <f>IFNA(VLOOKUP($A127,Quests!$A$2:$E1000,MATCH(E$1,Quests!$A$1:$E$1,0),FALSE))</f>
        <v/>
      </c>
      <c r="G127" s="114" t="b">
        <v>0</v>
      </c>
      <c r="H127" s="114" t="b">
        <v>0</v>
      </c>
      <c r="I127" s="114" t="b">
        <v>0</v>
      </c>
    </row>
    <row r="128">
      <c r="A128" s="16"/>
      <c r="B128" s="16" t="str">
        <f>IFNA(VLOOKUP($A128,Quests!$A$2:$E1000,MATCH(B$1,Quests!$A$1:$E$1,0),FALSE))</f>
        <v/>
      </c>
      <c r="C128" s="16" t="str">
        <f>IFNA(VLOOKUP($A128,Quests!$A$2:$E1000,MATCH(C$1,Quests!$A$1:$E$1,0),FALSE))</f>
        <v/>
      </c>
      <c r="D128" s="16" t="str">
        <f>IFNA(VLOOKUP($A128,Quests!$A$2:$E1000,MATCH(D$1,Quests!$A$1:$E$1,0),FALSE))</f>
        <v/>
      </c>
      <c r="E128" s="16" t="str">
        <f>IFNA(VLOOKUP($A128,Quests!$A$2:$E1000,MATCH(E$1,Quests!$A$1:$E$1,0),FALSE))</f>
        <v/>
      </c>
      <c r="G128" s="114" t="b">
        <v>0</v>
      </c>
      <c r="H128" s="114" t="b">
        <v>0</v>
      </c>
      <c r="I128" s="114" t="b">
        <v>0</v>
      </c>
    </row>
    <row r="129">
      <c r="A129" s="16"/>
      <c r="B129" s="16" t="str">
        <f>IFNA(VLOOKUP($A129,Quests!$A$2:$E1000,MATCH(B$1,Quests!$A$1:$E$1,0),FALSE))</f>
        <v/>
      </c>
      <c r="C129" s="16" t="str">
        <f>IFNA(VLOOKUP($A129,Quests!$A$2:$E1000,MATCH(C$1,Quests!$A$1:$E$1,0),FALSE))</f>
        <v/>
      </c>
      <c r="D129" s="16" t="str">
        <f>IFNA(VLOOKUP($A129,Quests!$A$2:$E1000,MATCH(D$1,Quests!$A$1:$E$1,0),FALSE))</f>
        <v/>
      </c>
      <c r="E129" s="16" t="str">
        <f>IFNA(VLOOKUP($A129,Quests!$A$2:$E1000,MATCH(E$1,Quests!$A$1:$E$1,0),FALSE))</f>
        <v/>
      </c>
      <c r="G129" s="114" t="b">
        <v>0</v>
      </c>
      <c r="H129" s="114" t="b">
        <v>0</v>
      </c>
      <c r="I129" s="114" t="b">
        <v>0</v>
      </c>
    </row>
    <row r="130">
      <c r="A130" s="16"/>
      <c r="B130" s="16" t="str">
        <f>IFNA(VLOOKUP($A130,Quests!$A$2:$E1000,MATCH(B$1,Quests!$A$1:$E$1,0),FALSE))</f>
        <v/>
      </c>
      <c r="C130" s="16" t="str">
        <f>IFNA(VLOOKUP($A130,Quests!$A$2:$E1000,MATCH(C$1,Quests!$A$1:$E$1,0),FALSE))</f>
        <v/>
      </c>
      <c r="D130" s="16" t="str">
        <f>IFNA(VLOOKUP($A130,Quests!$A$2:$E1000,MATCH(D$1,Quests!$A$1:$E$1,0),FALSE))</f>
        <v/>
      </c>
      <c r="E130" s="16" t="str">
        <f>IFNA(VLOOKUP($A130,Quests!$A$2:$E1000,MATCH(E$1,Quests!$A$1:$E$1,0),FALSE))</f>
        <v/>
      </c>
      <c r="G130" s="114" t="b">
        <v>0</v>
      </c>
      <c r="H130" s="114" t="b">
        <v>0</v>
      </c>
      <c r="I130" s="114" t="b">
        <v>0</v>
      </c>
    </row>
    <row r="131">
      <c r="A131" s="16"/>
      <c r="B131" s="16" t="str">
        <f>IFNA(VLOOKUP($A131,Quests!$A$2:$E1000,MATCH(B$1,Quests!$A$1:$E$1,0),FALSE))</f>
        <v/>
      </c>
      <c r="C131" s="16" t="str">
        <f>IFNA(VLOOKUP($A131,Quests!$A$2:$E1000,MATCH(C$1,Quests!$A$1:$E$1,0),FALSE))</f>
        <v/>
      </c>
      <c r="D131" s="16" t="str">
        <f>IFNA(VLOOKUP($A131,Quests!$A$2:$E1000,MATCH(D$1,Quests!$A$1:$E$1,0),FALSE))</f>
        <v/>
      </c>
      <c r="E131" s="16" t="str">
        <f>IFNA(VLOOKUP($A131,Quests!$A$2:$E1000,MATCH(E$1,Quests!$A$1:$E$1,0),FALSE))</f>
        <v/>
      </c>
      <c r="G131" s="114" t="b">
        <v>0</v>
      </c>
      <c r="H131" s="114" t="b">
        <v>0</v>
      </c>
      <c r="I131" s="114" t="b">
        <v>0</v>
      </c>
    </row>
    <row r="132">
      <c r="A132" s="16"/>
      <c r="B132" s="16" t="str">
        <f>IFNA(VLOOKUP($A132,Quests!$A$2:$E1000,MATCH(B$1,Quests!$A$1:$E$1,0),FALSE))</f>
        <v/>
      </c>
      <c r="C132" s="16" t="str">
        <f>IFNA(VLOOKUP($A132,Quests!$A$2:$E1000,MATCH(C$1,Quests!$A$1:$E$1,0),FALSE))</f>
        <v/>
      </c>
      <c r="D132" s="16" t="str">
        <f>IFNA(VLOOKUP($A132,Quests!$A$2:$E1000,MATCH(D$1,Quests!$A$1:$E$1,0),FALSE))</f>
        <v/>
      </c>
      <c r="E132" s="16" t="str">
        <f>IFNA(VLOOKUP($A132,Quests!$A$2:$E1000,MATCH(E$1,Quests!$A$1:$E$1,0),FALSE))</f>
        <v/>
      </c>
      <c r="G132" s="114" t="b">
        <v>0</v>
      </c>
      <c r="H132" s="114" t="b">
        <v>0</v>
      </c>
      <c r="I132" s="114" t="b">
        <v>0</v>
      </c>
    </row>
    <row r="133">
      <c r="A133" s="16"/>
      <c r="B133" s="16" t="str">
        <f>IFNA(VLOOKUP($A133,Quests!$A$2:$E1000,MATCH(B$1,Quests!$A$1:$E$1,0),FALSE))</f>
        <v/>
      </c>
      <c r="C133" s="16" t="str">
        <f>IFNA(VLOOKUP($A133,Quests!$A$2:$E1000,MATCH(C$1,Quests!$A$1:$E$1,0),FALSE))</f>
        <v/>
      </c>
      <c r="D133" s="16" t="str">
        <f>IFNA(VLOOKUP($A133,Quests!$A$2:$E1000,MATCH(D$1,Quests!$A$1:$E$1,0),FALSE))</f>
        <v/>
      </c>
      <c r="E133" s="16" t="str">
        <f>IFNA(VLOOKUP($A133,Quests!$A$2:$E1000,MATCH(E$1,Quests!$A$1:$E$1,0),FALSE))</f>
        <v/>
      </c>
      <c r="G133" s="114" t="b">
        <v>0</v>
      </c>
      <c r="H133" s="114" t="b">
        <v>0</v>
      </c>
      <c r="I133" s="114" t="b">
        <v>0</v>
      </c>
    </row>
    <row r="134">
      <c r="A134" s="16"/>
      <c r="B134" s="16" t="str">
        <f>IFNA(VLOOKUP($A134,Quests!$A$2:$E1000,MATCH(B$1,Quests!$A$1:$E$1,0),FALSE))</f>
        <v/>
      </c>
      <c r="C134" s="16" t="str">
        <f>IFNA(VLOOKUP($A134,Quests!$A$2:$E1000,MATCH(C$1,Quests!$A$1:$E$1,0),FALSE))</f>
        <v/>
      </c>
      <c r="D134" s="16" t="str">
        <f>IFNA(VLOOKUP($A134,Quests!$A$2:$E1000,MATCH(D$1,Quests!$A$1:$E$1,0),FALSE))</f>
        <v/>
      </c>
      <c r="E134" s="16" t="str">
        <f>IFNA(VLOOKUP($A134,Quests!$A$2:$E1000,MATCH(E$1,Quests!$A$1:$E$1,0),FALSE))</f>
        <v/>
      </c>
      <c r="G134" s="114" t="b">
        <v>0</v>
      </c>
      <c r="H134" s="114" t="b">
        <v>0</v>
      </c>
      <c r="I134" s="114" t="b">
        <v>0</v>
      </c>
    </row>
    <row r="135">
      <c r="A135" s="16"/>
      <c r="B135" s="16" t="str">
        <f>IFNA(VLOOKUP($A135,Quests!$A$2:$E1000,MATCH(B$1,Quests!$A$1:$E$1,0),FALSE))</f>
        <v/>
      </c>
      <c r="C135" s="16" t="str">
        <f>IFNA(VLOOKUP($A135,Quests!$A$2:$E1000,MATCH(C$1,Quests!$A$1:$E$1,0),FALSE))</f>
        <v/>
      </c>
      <c r="D135" s="16" t="str">
        <f>IFNA(VLOOKUP($A135,Quests!$A$2:$E1000,MATCH(D$1,Quests!$A$1:$E$1,0),FALSE))</f>
        <v/>
      </c>
      <c r="E135" s="16" t="str">
        <f>IFNA(VLOOKUP($A135,Quests!$A$2:$E1000,MATCH(E$1,Quests!$A$1:$E$1,0),FALSE))</f>
        <v/>
      </c>
      <c r="G135" s="114" t="b">
        <v>0</v>
      </c>
      <c r="H135" s="114" t="b">
        <v>0</v>
      </c>
      <c r="I135" s="114" t="b">
        <v>0</v>
      </c>
    </row>
    <row r="136">
      <c r="A136" s="16"/>
      <c r="B136" s="16" t="str">
        <f>IFNA(VLOOKUP($A136,Quests!$A$2:$E1000,MATCH(B$1,Quests!$A$1:$E$1,0),FALSE))</f>
        <v/>
      </c>
      <c r="C136" s="16" t="str">
        <f>IFNA(VLOOKUP($A136,Quests!$A$2:$E1000,MATCH(C$1,Quests!$A$1:$E$1,0),FALSE))</f>
        <v/>
      </c>
      <c r="D136" s="16" t="str">
        <f>IFNA(VLOOKUP($A136,Quests!$A$2:$E1000,MATCH(D$1,Quests!$A$1:$E$1,0),FALSE))</f>
        <v/>
      </c>
      <c r="E136" s="16" t="str">
        <f>IFNA(VLOOKUP($A136,Quests!$A$2:$E1000,MATCH(E$1,Quests!$A$1:$E$1,0),FALSE))</f>
        <v/>
      </c>
      <c r="G136" s="114" t="b">
        <v>0</v>
      </c>
      <c r="H136" s="114" t="b">
        <v>0</v>
      </c>
      <c r="I136" s="114" t="b">
        <v>0</v>
      </c>
    </row>
    <row r="137">
      <c r="A137" s="16"/>
      <c r="B137" s="16" t="str">
        <f>IFNA(VLOOKUP($A137,Quests!$A$2:$E1000,MATCH(B$1,Quests!$A$1:$E$1,0),FALSE))</f>
        <v/>
      </c>
      <c r="C137" s="16" t="str">
        <f>IFNA(VLOOKUP($A137,Quests!$A$2:$E1000,MATCH(C$1,Quests!$A$1:$E$1,0),FALSE))</f>
        <v/>
      </c>
      <c r="D137" s="16" t="str">
        <f>IFNA(VLOOKUP($A137,Quests!$A$2:$E1000,MATCH(D$1,Quests!$A$1:$E$1,0),FALSE))</f>
        <v/>
      </c>
      <c r="E137" s="16" t="str">
        <f>IFNA(VLOOKUP($A137,Quests!$A$2:$E1000,MATCH(E$1,Quests!$A$1:$E$1,0),FALSE))</f>
        <v/>
      </c>
      <c r="G137" s="114" t="b">
        <v>0</v>
      </c>
      <c r="H137" s="114" t="b">
        <v>0</v>
      </c>
      <c r="I137" s="114" t="b">
        <v>0</v>
      </c>
    </row>
    <row r="138">
      <c r="A138" s="16"/>
      <c r="B138" s="16" t="str">
        <f>IFNA(VLOOKUP($A138,Quests!$A$2:$E1000,MATCH(B$1,Quests!$A$1:$E$1,0),FALSE))</f>
        <v/>
      </c>
      <c r="C138" s="16" t="str">
        <f>IFNA(VLOOKUP($A138,Quests!$A$2:$E1000,MATCH(C$1,Quests!$A$1:$E$1,0),FALSE))</f>
        <v/>
      </c>
      <c r="D138" s="16" t="str">
        <f>IFNA(VLOOKUP($A138,Quests!$A$2:$E1000,MATCH(D$1,Quests!$A$1:$E$1,0),FALSE))</f>
        <v/>
      </c>
      <c r="E138" s="16" t="str">
        <f>IFNA(VLOOKUP($A138,Quests!$A$2:$E1000,MATCH(E$1,Quests!$A$1:$E$1,0),FALSE))</f>
        <v/>
      </c>
      <c r="G138" s="114" t="b">
        <v>0</v>
      </c>
      <c r="H138" s="114" t="b">
        <v>0</v>
      </c>
      <c r="I138" s="114" t="b">
        <v>0</v>
      </c>
    </row>
    <row r="139">
      <c r="A139" s="16"/>
      <c r="B139" s="16" t="str">
        <f>IFNA(VLOOKUP($A139,Quests!$A$2:$E1000,MATCH(B$1,Quests!$A$1:$E$1,0),FALSE))</f>
        <v/>
      </c>
      <c r="C139" s="16" t="str">
        <f>IFNA(VLOOKUP($A139,Quests!$A$2:$E1000,MATCH(C$1,Quests!$A$1:$E$1,0),FALSE))</f>
        <v/>
      </c>
      <c r="D139" s="16" t="str">
        <f>IFNA(VLOOKUP($A139,Quests!$A$2:$E1000,MATCH(D$1,Quests!$A$1:$E$1,0),FALSE))</f>
        <v/>
      </c>
      <c r="E139" s="16" t="str">
        <f>IFNA(VLOOKUP($A139,Quests!$A$2:$E1000,MATCH(E$1,Quests!$A$1:$E$1,0),FALSE))</f>
        <v/>
      </c>
      <c r="G139" s="114" t="b">
        <v>0</v>
      </c>
      <c r="H139" s="114" t="b">
        <v>0</v>
      </c>
      <c r="I139" s="114" t="b">
        <v>0</v>
      </c>
    </row>
    <row r="140">
      <c r="A140" s="16"/>
      <c r="B140" s="16" t="str">
        <f>IFNA(VLOOKUP($A140,Quests!$A$2:$E1000,MATCH(B$1,Quests!$A$1:$E$1,0),FALSE))</f>
        <v/>
      </c>
      <c r="C140" s="16" t="str">
        <f>IFNA(VLOOKUP($A140,Quests!$A$2:$E1000,MATCH(C$1,Quests!$A$1:$E$1,0),FALSE))</f>
        <v/>
      </c>
      <c r="D140" s="16" t="str">
        <f>IFNA(VLOOKUP($A140,Quests!$A$2:$E1000,MATCH(D$1,Quests!$A$1:$E$1,0),FALSE))</f>
        <v/>
      </c>
      <c r="E140" s="16" t="str">
        <f>IFNA(VLOOKUP($A140,Quests!$A$2:$E1000,MATCH(E$1,Quests!$A$1:$E$1,0),FALSE))</f>
        <v/>
      </c>
      <c r="G140" s="114" t="b">
        <v>0</v>
      </c>
      <c r="H140" s="114" t="b">
        <v>0</v>
      </c>
      <c r="I140" s="114" t="b">
        <v>0</v>
      </c>
    </row>
    <row r="141">
      <c r="A141" s="16"/>
      <c r="B141" s="16" t="str">
        <f>IFNA(VLOOKUP($A141,Quests!$A$2:$E1000,MATCH(B$1,Quests!$A$1:$E$1,0),FALSE))</f>
        <v/>
      </c>
      <c r="C141" s="16" t="str">
        <f>IFNA(VLOOKUP($A141,Quests!$A$2:$E1000,MATCH(C$1,Quests!$A$1:$E$1,0),FALSE))</f>
        <v/>
      </c>
      <c r="D141" s="16" t="str">
        <f>IFNA(VLOOKUP($A141,Quests!$A$2:$E1000,MATCH(D$1,Quests!$A$1:$E$1,0),FALSE))</f>
        <v/>
      </c>
      <c r="E141" s="16" t="str">
        <f>IFNA(VLOOKUP($A141,Quests!$A$2:$E1000,MATCH(E$1,Quests!$A$1:$E$1,0),FALSE))</f>
        <v/>
      </c>
      <c r="G141" s="114" t="b">
        <v>0</v>
      </c>
      <c r="H141" s="114" t="b">
        <v>0</v>
      </c>
      <c r="I141" s="114" t="b">
        <v>0</v>
      </c>
    </row>
    <row r="142">
      <c r="A142" s="16"/>
      <c r="B142" s="16" t="str">
        <f>IFNA(VLOOKUP($A142,Quests!$A$2:$E1000,MATCH(B$1,Quests!$A$1:$E$1,0),FALSE))</f>
        <v/>
      </c>
      <c r="C142" s="16" t="str">
        <f>IFNA(VLOOKUP($A142,Quests!$A$2:$E1000,MATCH(C$1,Quests!$A$1:$E$1,0),FALSE))</f>
        <v/>
      </c>
      <c r="D142" s="16" t="str">
        <f>IFNA(VLOOKUP($A142,Quests!$A$2:$E1000,MATCH(D$1,Quests!$A$1:$E$1,0),FALSE))</f>
        <v/>
      </c>
      <c r="E142" s="16" t="str">
        <f>IFNA(VLOOKUP($A142,Quests!$A$2:$E1000,MATCH(E$1,Quests!$A$1:$E$1,0),FALSE))</f>
        <v/>
      </c>
      <c r="G142" s="114" t="b">
        <v>0</v>
      </c>
      <c r="H142" s="114" t="b">
        <v>0</v>
      </c>
      <c r="I142" s="114" t="b">
        <v>0</v>
      </c>
    </row>
    <row r="143">
      <c r="A143" s="16"/>
      <c r="B143" s="16" t="str">
        <f>IFNA(VLOOKUP($A143,Quests!$A$2:$E1000,MATCH(B$1,Quests!$A$1:$E$1,0),FALSE))</f>
        <v/>
      </c>
      <c r="C143" s="16" t="str">
        <f>IFNA(VLOOKUP($A143,Quests!$A$2:$E1000,MATCH(C$1,Quests!$A$1:$E$1,0),FALSE))</f>
        <v/>
      </c>
      <c r="D143" s="16" t="str">
        <f>IFNA(VLOOKUP($A143,Quests!$A$2:$E1000,MATCH(D$1,Quests!$A$1:$E$1,0),FALSE))</f>
        <v/>
      </c>
      <c r="E143" s="16" t="str">
        <f>IFNA(VLOOKUP($A143,Quests!$A$2:$E1000,MATCH(E$1,Quests!$A$1:$E$1,0),FALSE))</f>
        <v/>
      </c>
      <c r="G143" s="114" t="b">
        <v>0</v>
      </c>
      <c r="H143" s="114" t="b">
        <v>0</v>
      </c>
      <c r="I143" s="114" t="b">
        <v>0</v>
      </c>
    </row>
    <row r="144">
      <c r="A144" s="16"/>
      <c r="B144" s="16" t="str">
        <f>IFNA(VLOOKUP($A144,Quests!$A$2:$E1000,MATCH(B$1,Quests!$A$1:$E$1,0),FALSE))</f>
        <v/>
      </c>
      <c r="C144" s="16" t="str">
        <f>IFNA(VLOOKUP($A144,Quests!$A$2:$E1000,MATCH(C$1,Quests!$A$1:$E$1,0),FALSE))</f>
        <v/>
      </c>
      <c r="D144" s="16" t="str">
        <f>IFNA(VLOOKUP($A144,Quests!$A$2:$E1000,MATCH(D$1,Quests!$A$1:$E$1,0),FALSE))</f>
        <v/>
      </c>
      <c r="E144" s="16" t="str">
        <f>IFNA(VLOOKUP($A144,Quests!$A$2:$E1000,MATCH(E$1,Quests!$A$1:$E$1,0),FALSE))</f>
        <v/>
      </c>
      <c r="G144" s="114" t="b">
        <v>0</v>
      </c>
      <c r="H144" s="114" t="b">
        <v>0</v>
      </c>
      <c r="I144" s="114" t="b">
        <v>0</v>
      </c>
    </row>
    <row r="145">
      <c r="A145" s="16"/>
      <c r="B145" s="16" t="str">
        <f>IFNA(VLOOKUP($A145,Quests!$A$2:$E1000,MATCH(B$1,Quests!$A$1:$E$1,0),FALSE))</f>
        <v/>
      </c>
      <c r="C145" s="16" t="str">
        <f>IFNA(VLOOKUP($A145,Quests!$A$2:$E1000,MATCH(C$1,Quests!$A$1:$E$1,0),FALSE))</f>
        <v/>
      </c>
      <c r="D145" s="16" t="str">
        <f>IFNA(VLOOKUP($A145,Quests!$A$2:$E1000,MATCH(D$1,Quests!$A$1:$E$1,0),FALSE))</f>
        <v/>
      </c>
      <c r="E145" s="16" t="str">
        <f>IFNA(VLOOKUP($A145,Quests!$A$2:$E1000,MATCH(E$1,Quests!$A$1:$E$1,0),FALSE))</f>
        <v/>
      </c>
      <c r="G145" s="114" t="b">
        <v>0</v>
      </c>
      <c r="H145" s="114" t="b">
        <v>0</v>
      </c>
      <c r="I145" s="114" t="b">
        <v>0</v>
      </c>
    </row>
    <row r="146">
      <c r="A146" s="16"/>
      <c r="B146" s="16" t="str">
        <f>IFNA(VLOOKUP($A146,Quests!$A$2:$E1000,MATCH(B$1,Quests!$A$1:$E$1,0),FALSE))</f>
        <v/>
      </c>
      <c r="C146" s="16" t="str">
        <f>IFNA(VLOOKUP($A146,Quests!$A$2:$E1000,MATCH(C$1,Quests!$A$1:$E$1,0),FALSE))</f>
        <v/>
      </c>
      <c r="D146" s="16" t="str">
        <f>IFNA(VLOOKUP($A146,Quests!$A$2:$E1000,MATCH(D$1,Quests!$A$1:$E$1,0),FALSE))</f>
        <v/>
      </c>
      <c r="E146" s="16" t="str">
        <f>IFNA(VLOOKUP($A146,Quests!$A$2:$E1000,MATCH(E$1,Quests!$A$1:$E$1,0),FALSE))</f>
        <v/>
      </c>
      <c r="G146" s="114" t="b">
        <v>0</v>
      </c>
      <c r="H146" s="114" t="b">
        <v>0</v>
      </c>
      <c r="I146" s="114" t="b">
        <v>0</v>
      </c>
    </row>
    <row r="147">
      <c r="A147" s="16"/>
      <c r="B147" s="16" t="str">
        <f>IFNA(VLOOKUP($A147,Quests!$A$2:$E1000,MATCH(B$1,Quests!$A$1:$E$1,0),FALSE))</f>
        <v/>
      </c>
      <c r="C147" s="16" t="str">
        <f>IFNA(VLOOKUP($A147,Quests!$A$2:$E1000,MATCH(C$1,Quests!$A$1:$E$1,0),FALSE))</f>
        <v/>
      </c>
      <c r="D147" s="16" t="str">
        <f>IFNA(VLOOKUP($A147,Quests!$A$2:$E1000,MATCH(D$1,Quests!$A$1:$E$1,0),FALSE))</f>
        <v/>
      </c>
      <c r="E147" s="16" t="str">
        <f>IFNA(VLOOKUP($A147,Quests!$A$2:$E1000,MATCH(E$1,Quests!$A$1:$E$1,0),FALSE))</f>
        <v/>
      </c>
      <c r="G147" s="114" t="b">
        <v>0</v>
      </c>
      <c r="H147" s="114" t="b">
        <v>0</v>
      </c>
      <c r="I147" s="114" t="b">
        <v>0</v>
      </c>
    </row>
    <row r="148">
      <c r="A148" s="16"/>
      <c r="B148" s="16" t="str">
        <f>IFNA(VLOOKUP($A148,Quests!$A$2:$E1000,MATCH(B$1,Quests!$A$1:$E$1,0),FALSE))</f>
        <v/>
      </c>
      <c r="C148" s="16" t="str">
        <f>IFNA(VLOOKUP($A148,Quests!$A$2:$E1000,MATCH(C$1,Quests!$A$1:$E$1,0),FALSE))</f>
        <v/>
      </c>
      <c r="D148" s="16" t="str">
        <f>IFNA(VLOOKUP($A148,Quests!$A$2:$E1000,MATCH(D$1,Quests!$A$1:$E$1,0),FALSE))</f>
        <v/>
      </c>
      <c r="E148" s="16" t="str">
        <f>IFNA(VLOOKUP($A148,Quests!$A$2:$E1000,MATCH(E$1,Quests!$A$1:$E$1,0),FALSE))</f>
        <v/>
      </c>
      <c r="G148" s="114" t="b">
        <v>0</v>
      </c>
      <c r="H148" s="114" t="b">
        <v>0</v>
      </c>
      <c r="I148" s="114" t="b">
        <v>0</v>
      </c>
    </row>
    <row r="149">
      <c r="A149" s="16"/>
      <c r="B149" s="16" t="str">
        <f>IFNA(VLOOKUP($A149,Quests!$A$2:$E1000,MATCH(B$1,Quests!$A$1:$E$1,0),FALSE))</f>
        <v/>
      </c>
      <c r="C149" s="16" t="str">
        <f>IFNA(VLOOKUP($A149,Quests!$A$2:$E1000,MATCH(C$1,Quests!$A$1:$E$1,0),FALSE))</f>
        <v/>
      </c>
      <c r="D149" s="16" t="str">
        <f>IFNA(VLOOKUP($A149,Quests!$A$2:$E1000,MATCH(D$1,Quests!$A$1:$E$1,0),FALSE))</f>
        <v/>
      </c>
      <c r="E149" s="16" t="str">
        <f>IFNA(VLOOKUP($A149,Quests!$A$2:$E1000,MATCH(E$1,Quests!$A$1:$E$1,0),FALSE))</f>
        <v/>
      </c>
      <c r="G149" s="114" t="b">
        <v>0</v>
      </c>
      <c r="H149" s="114" t="b">
        <v>0</v>
      </c>
      <c r="I149" s="114" t="b">
        <v>0</v>
      </c>
    </row>
    <row r="150">
      <c r="A150" s="16"/>
      <c r="B150" s="16" t="str">
        <f>IFNA(VLOOKUP($A150,Quests!$A$2:$E1000,MATCH(B$1,Quests!$A$1:$E$1,0),FALSE))</f>
        <v/>
      </c>
      <c r="C150" s="16" t="str">
        <f>IFNA(VLOOKUP($A150,Quests!$A$2:$E1000,MATCH(C$1,Quests!$A$1:$E$1,0),FALSE))</f>
        <v/>
      </c>
      <c r="D150" s="16" t="str">
        <f>IFNA(VLOOKUP($A150,Quests!$A$2:$E1000,MATCH(D$1,Quests!$A$1:$E$1,0),FALSE))</f>
        <v/>
      </c>
      <c r="E150" s="16" t="str">
        <f>IFNA(VLOOKUP($A150,Quests!$A$2:$E1000,MATCH(E$1,Quests!$A$1:$E$1,0),FALSE))</f>
        <v/>
      </c>
      <c r="G150" s="114" t="b">
        <v>0</v>
      </c>
      <c r="H150" s="114" t="b">
        <v>0</v>
      </c>
      <c r="I150" s="114" t="b">
        <v>0</v>
      </c>
    </row>
    <row r="151">
      <c r="A151" s="16"/>
      <c r="B151" s="16" t="str">
        <f>IFNA(VLOOKUP($A151,Quests!$A$2:$E1000,MATCH(B$1,Quests!$A$1:$E$1,0),FALSE))</f>
        <v/>
      </c>
      <c r="C151" s="16" t="str">
        <f>IFNA(VLOOKUP($A151,Quests!$A$2:$E1000,MATCH(C$1,Quests!$A$1:$E$1,0),FALSE))</f>
        <v/>
      </c>
      <c r="D151" s="16" t="str">
        <f>IFNA(VLOOKUP($A151,Quests!$A$2:$E1000,MATCH(D$1,Quests!$A$1:$E$1,0),FALSE))</f>
        <v/>
      </c>
      <c r="E151" s="16" t="str">
        <f>IFNA(VLOOKUP($A151,Quests!$A$2:$E1000,MATCH(E$1,Quests!$A$1:$E$1,0),FALSE))</f>
        <v/>
      </c>
      <c r="G151" s="114" t="b">
        <v>0</v>
      </c>
      <c r="H151" s="114" t="b">
        <v>0</v>
      </c>
      <c r="I151" s="114" t="b">
        <v>0</v>
      </c>
    </row>
    <row r="152">
      <c r="A152" s="16"/>
      <c r="B152" s="16" t="str">
        <f>IFNA(VLOOKUP($A152,Quests!$A$2:$E1000,MATCH(B$1,Quests!$A$1:$E$1,0),FALSE))</f>
        <v/>
      </c>
      <c r="C152" s="16" t="str">
        <f>IFNA(VLOOKUP($A152,Quests!$A$2:$E1000,MATCH(C$1,Quests!$A$1:$E$1,0),FALSE))</f>
        <v/>
      </c>
      <c r="D152" s="16" t="str">
        <f>IFNA(VLOOKUP($A152,Quests!$A$2:$E1000,MATCH(D$1,Quests!$A$1:$E$1,0),FALSE))</f>
        <v/>
      </c>
      <c r="E152" s="16" t="str">
        <f>IFNA(VLOOKUP($A152,Quests!$A$2:$E1000,MATCH(E$1,Quests!$A$1:$E$1,0),FALSE))</f>
        <v/>
      </c>
      <c r="G152" s="114" t="b">
        <v>0</v>
      </c>
      <c r="H152" s="114" t="b">
        <v>0</v>
      </c>
      <c r="I152" s="114" t="b">
        <v>0</v>
      </c>
    </row>
    <row r="153">
      <c r="A153" s="16"/>
      <c r="B153" s="16" t="str">
        <f>IFNA(VLOOKUP($A153,Quests!$A$2:$E1000,MATCH(B$1,Quests!$A$1:$E$1,0),FALSE))</f>
        <v/>
      </c>
      <c r="C153" s="16" t="str">
        <f>IFNA(VLOOKUP($A153,Quests!$A$2:$E1000,MATCH(C$1,Quests!$A$1:$E$1,0),FALSE))</f>
        <v/>
      </c>
      <c r="D153" s="16" t="str">
        <f>IFNA(VLOOKUP($A153,Quests!$A$2:$E1000,MATCH(D$1,Quests!$A$1:$E$1,0),FALSE))</f>
        <v/>
      </c>
      <c r="E153" s="16" t="str">
        <f>IFNA(VLOOKUP($A153,Quests!$A$2:$E1000,MATCH(E$1,Quests!$A$1:$E$1,0),FALSE))</f>
        <v/>
      </c>
      <c r="G153" s="114" t="b">
        <v>0</v>
      </c>
      <c r="H153" s="114" t="b">
        <v>0</v>
      </c>
      <c r="I153" s="114" t="b">
        <v>0</v>
      </c>
    </row>
    <row r="154">
      <c r="A154" s="16"/>
      <c r="B154" s="16" t="str">
        <f>IFNA(VLOOKUP($A154,Quests!$A$2:$E1000,MATCH(B$1,Quests!$A$1:$E$1,0),FALSE))</f>
        <v/>
      </c>
      <c r="C154" s="16" t="str">
        <f>IFNA(VLOOKUP($A154,Quests!$A$2:$E1000,MATCH(C$1,Quests!$A$1:$E$1,0),FALSE))</f>
        <v/>
      </c>
      <c r="D154" s="16" t="str">
        <f>IFNA(VLOOKUP($A154,Quests!$A$2:$E1000,MATCH(D$1,Quests!$A$1:$E$1,0),FALSE))</f>
        <v/>
      </c>
      <c r="E154" s="16" t="str">
        <f>IFNA(VLOOKUP($A154,Quests!$A$2:$E1000,MATCH(E$1,Quests!$A$1:$E$1,0),FALSE))</f>
        <v/>
      </c>
      <c r="G154" s="114" t="b">
        <v>0</v>
      </c>
      <c r="H154" s="114" t="b">
        <v>0</v>
      </c>
      <c r="I154" s="114" t="b">
        <v>0</v>
      </c>
    </row>
    <row r="155">
      <c r="A155" s="16"/>
      <c r="B155" s="16" t="str">
        <f>IFNA(VLOOKUP($A155,Quests!$A$2:$E1000,MATCH(B$1,Quests!$A$1:$E$1,0),FALSE))</f>
        <v/>
      </c>
      <c r="C155" s="16" t="str">
        <f>IFNA(VLOOKUP($A155,Quests!$A$2:$E1000,MATCH(C$1,Quests!$A$1:$E$1,0),FALSE))</f>
        <v/>
      </c>
      <c r="D155" s="16" t="str">
        <f>IFNA(VLOOKUP($A155,Quests!$A$2:$E1000,MATCH(D$1,Quests!$A$1:$E$1,0),FALSE))</f>
        <v/>
      </c>
      <c r="E155" s="16" t="str">
        <f>IFNA(VLOOKUP($A155,Quests!$A$2:$E1000,MATCH(E$1,Quests!$A$1:$E$1,0),FALSE))</f>
        <v/>
      </c>
      <c r="G155" s="114" t="b">
        <v>0</v>
      </c>
      <c r="H155" s="114" t="b">
        <v>0</v>
      </c>
      <c r="I155" s="114" t="b">
        <v>0</v>
      </c>
    </row>
    <row r="156">
      <c r="A156" s="16"/>
      <c r="B156" s="16" t="str">
        <f>IFNA(VLOOKUP($A156,Quests!$A$2:$E1000,MATCH(B$1,Quests!$A$1:$E$1,0),FALSE))</f>
        <v/>
      </c>
      <c r="C156" s="16" t="str">
        <f>IFNA(VLOOKUP($A156,Quests!$A$2:$E1000,MATCH(C$1,Quests!$A$1:$E$1,0),FALSE))</f>
        <v/>
      </c>
      <c r="D156" s="16" t="str">
        <f>IFNA(VLOOKUP($A156,Quests!$A$2:$E1000,MATCH(D$1,Quests!$A$1:$E$1,0),FALSE))</f>
        <v/>
      </c>
      <c r="E156" s="16" t="str">
        <f>IFNA(VLOOKUP($A156,Quests!$A$2:$E1000,MATCH(E$1,Quests!$A$1:$E$1,0),FALSE))</f>
        <v/>
      </c>
      <c r="G156" s="114" t="b">
        <v>0</v>
      </c>
      <c r="H156" s="114" t="b">
        <v>0</v>
      </c>
      <c r="I156" s="114" t="b">
        <v>0</v>
      </c>
    </row>
    <row r="157">
      <c r="A157" s="16"/>
      <c r="B157" s="16" t="str">
        <f>IFNA(VLOOKUP($A157,Quests!$A$2:$E1000,MATCH(B$1,Quests!$A$1:$E$1,0),FALSE))</f>
        <v/>
      </c>
      <c r="C157" s="16" t="str">
        <f>IFNA(VLOOKUP($A157,Quests!$A$2:$E1000,MATCH(C$1,Quests!$A$1:$E$1,0),FALSE))</f>
        <v/>
      </c>
      <c r="D157" s="16" t="str">
        <f>IFNA(VLOOKUP($A157,Quests!$A$2:$E1000,MATCH(D$1,Quests!$A$1:$E$1,0),FALSE))</f>
        <v/>
      </c>
      <c r="E157" s="16" t="str">
        <f>IFNA(VLOOKUP($A157,Quests!$A$2:$E1000,MATCH(E$1,Quests!$A$1:$E$1,0),FALSE))</f>
        <v/>
      </c>
      <c r="G157" s="114" t="b">
        <v>0</v>
      </c>
      <c r="H157" s="114" t="b">
        <v>0</v>
      </c>
      <c r="I157" s="114" t="b">
        <v>0</v>
      </c>
    </row>
    <row r="158">
      <c r="A158" s="16"/>
      <c r="B158" s="16" t="str">
        <f>IFNA(VLOOKUP($A158,Quests!$A$2:$E1000,MATCH(B$1,Quests!$A$1:$E$1,0),FALSE))</f>
        <v/>
      </c>
      <c r="C158" s="16" t="str">
        <f>IFNA(VLOOKUP($A158,Quests!$A$2:$E1000,MATCH(C$1,Quests!$A$1:$E$1,0),FALSE))</f>
        <v/>
      </c>
      <c r="D158" s="16" t="str">
        <f>IFNA(VLOOKUP($A158,Quests!$A$2:$E1000,MATCH(D$1,Quests!$A$1:$E$1,0),FALSE))</f>
        <v/>
      </c>
      <c r="E158" s="16" t="str">
        <f>IFNA(VLOOKUP($A158,Quests!$A$2:$E1000,MATCH(E$1,Quests!$A$1:$E$1,0),FALSE))</f>
        <v/>
      </c>
      <c r="G158" s="114" t="b">
        <v>0</v>
      </c>
      <c r="H158" s="114" t="b">
        <v>0</v>
      </c>
      <c r="I158" s="114" t="b">
        <v>0</v>
      </c>
    </row>
    <row r="159">
      <c r="A159" s="16"/>
      <c r="B159" s="16" t="str">
        <f>IFNA(VLOOKUP($A159,Quests!$A$2:$E1000,MATCH(B$1,Quests!$A$1:$E$1,0),FALSE))</f>
        <v/>
      </c>
      <c r="C159" s="16" t="str">
        <f>IFNA(VLOOKUP($A159,Quests!$A$2:$E1000,MATCH(C$1,Quests!$A$1:$E$1,0),FALSE))</f>
        <v/>
      </c>
      <c r="D159" s="16" t="str">
        <f>IFNA(VLOOKUP($A159,Quests!$A$2:$E1000,MATCH(D$1,Quests!$A$1:$E$1,0),FALSE))</f>
        <v/>
      </c>
      <c r="E159" s="16" t="str">
        <f>IFNA(VLOOKUP($A159,Quests!$A$2:$E1000,MATCH(E$1,Quests!$A$1:$E$1,0),FALSE))</f>
        <v/>
      </c>
      <c r="G159" s="114" t="b">
        <v>0</v>
      </c>
      <c r="H159" s="114" t="b">
        <v>0</v>
      </c>
      <c r="I159" s="114" t="b">
        <v>0</v>
      </c>
    </row>
    <row r="160">
      <c r="A160" s="16"/>
      <c r="B160" s="16" t="str">
        <f>IFNA(VLOOKUP($A160,Quests!$A$2:$E1000,MATCH(B$1,Quests!$A$1:$E$1,0),FALSE))</f>
        <v/>
      </c>
      <c r="C160" s="16" t="str">
        <f>IFNA(VLOOKUP($A160,Quests!$A$2:$E1000,MATCH(C$1,Quests!$A$1:$E$1,0),FALSE))</f>
        <v/>
      </c>
      <c r="D160" s="16" t="str">
        <f>IFNA(VLOOKUP($A160,Quests!$A$2:$E1000,MATCH(D$1,Quests!$A$1:$E$1,0),FALSE))</f>
        <v/>
      </c>
      <c r="E160" s="16" t="str">
        <f>IFNA(VLOOKUP($A160,Quests!$A$2:$E1000,MATCH(E$1,Quests!$A$1:$E$1,0),FALSE))</f>
        <v/>
      </c>
      <c r="G160" s="114" t="b">
        <v>0</v>
      </c>
      <c r="H160" s="114" t="b">
        <v>0</v>
      </c>
      <c r="I160" s="114" t="b">
        <v>0</v>
      </c>
    </row>
    <row r="161">
      <c r="A161" s="16"/>
      <c r="B161" s="16" t="str">
        <f>IFNA(VLOOKUP($A161,Quests!$A$2:$E1000,MATCH(B$1,Quests!$A$1:$E$1,0),FALSE))</f>
        <v/>
      </c>
      <c r="C161" s="16" t="str">
        <f>IFNA(VLOOKUP($A161,Quests!$A$2:$E1000,MATCH(C$1,Quests!$A$1:$E$1,0),FALSE))</f>
        <v/>
      </c>
      <c r="D161" s="16" t="str">
        <f>IFNA(VLOOKUP($A161,Quests!$A$2:$E1000,MATCH(D$1,Quests!$A$1:$E$1,0),FALSE))</f>
        <v/>
      </c>
      <c r="E161" s="16" t="str">
        <f>IFNA(VLOOKUP($A161,Quests!$A$2:$E1000,MATCH(E$1,Quests!$A$1:$E$1,0),FALSE))</f>
        <v/>
      </c>
      <c r="G161" s="114" t="b">
        <v>0</v>
      </c>
      <c r="H161" s="114" t="b">
        <v>0</v>
      </c>
      <c r="I161" s="114" t="b">
        <v>0</v>
      </c>
    </row>
    <row r="162">
      <c r="A162" s="16"/>
      <c r="B162" s="16" t="str">
        <f>IFNA(VLOOKUP($A162,Quests!$A$2:$E1000,MATCH(B$1,Quests!$A$1:$E$1,0),FALSE))</f>
        <v/>
      </c>
      <c r="C162" s="16" t="str">
        <f>IFNA(VLOOKUP($A162,Quests!$A$2:$E1000,MATCH(C$1,Quests!$A$1:$E$1,0),FALSE))</f>
        <v/>
      </c>
      <c r="D162" s="16" t="str">
        <f>IFNA(VLOOKUP($A162,Quests!$A$2:$E1000,MATCH(D$1,Quests!$A$1:$E$1,0),FALSE))</f>
        <v/>
      </c>
      <c r="E162" s="16" t="str">
        <f>IFNA(VLOOKUP($A162,Quests!$A$2:$E1000,MATCH(E$1,Quests!$A$1:$E$1,0),FALSE))</f>
        <v/>
      </c>
      <c r="G162" s="114" t="b">
        <v>0</v>
      </c>
      <c r="H162" s="114" t="b">
        <v>0</v>
      </c>
      <c r="I162" s="114" t="b">
        <v>0</v>
      </c>
    </row>
    <row r="163">
      <c r="A163" s="16"/>
      <c r="B163" s="16" t="str">
        <f>IFNA(VLOOKUP($A163,Quests!$A$2:$E1000,MATCH(B$1,Quests!$A$1:$E$1,0),FALSE))</f>
        <v/>
      </c>
      <c r="C163" s="16" t="str">
        <f>IFNA(VLOOKUP($A163,Quests!$A$2:$E1000,MATCH(C$1,Quests!$A$1:$E$1,0),FALSE))</f>
        <v/>
      </c>
      <c r="D163" s="16" t="str">
        <f>IFNA(VLOOKUP($A163,Quests!$A$2:$E1000,MATCH(D$1,Quests!$A$1:$E$1,0),FALSE))</f>
        <v/>
      </c>
      <c r="E163" s="16" t="str">
        <f>IFNA(VLOOKUP($A163,Quests!$A$2:$E1000,MATCH(E$1,Quests!$A$1:$E$1,0),FALSE))</f>
        <v/>
      </c>
      <c r="G163" s="114" t="b">
        <v>0</v>
      </c>
      <c r="H163" s="114" t="b">
        <v>0</v>
      </c>
      <c r="I163" s="114" t="b">
        <v>0</v>
      </c>
    </row>
    <row r="164">
      <c r="A164" s="16"/>
      <c r="B164" s="16" t="str">
        <f>IFNA(VLOOKUP($A164,Quests!$A$2:$E1000,MATCH(B$1,Quests!$A$1:$E$1,0),FALSE))</f>
        <v/>
      </c>
      <c r="C164" s="16" t="str">
        <f>IFNA(VLOOKUP($A164,Quests!$A$2:$E1000,MATCH(C$1,Quests!$A$1:$E$1,0),FALSE))</f>
        <v/>
      </c>
      <c r="D164" s="16" t="str">
        <f>IFNA(VLOOKUP($A164,Quests!$A$2:$E1000,MATCH(D$1,Quests!$A$1:$E$1,0),FALSE))</f>
        <v/>
      </c>
      <c r="E164" s="16" t="str">
        <f>IFNA(VLOOKUP($A164,Quests!$A$2:$E1000,MATCH(E$1,Quests!$A$1:$E$1,0),FALSE))</f>
        <v/>
      </c>
      <c r="G164" s="114" t="b">
        <v>0</v>
      </c>
      <c r="H164" s="114" t="b">
        <v>0</v>
      </c>
      <c r="I164" s="114" t="b">
        <v>0</v>
      </c>
    </row>
    <row r="165">
      <c r="A165" s="16"/>
      <c r="B165" s="16" t="str">
        <f>IFNA(VLOOKUP($A165,Quests!$A$2:$E1000,MATCH(B$1,Quests!$A$1:$E$1,0),FALSE))</f>
        <v/>
      </c>
      <c r="C165" s="16" t="str">
        <f>IFNA(VLOOKUP($A165,Quests!$A$2:$E1000,MATCH(C$1,Quests!$A$1:$E$1,0),FALSE))</f>
        <v/>
      </c>
      <c r="D165" s="16" t="str">
        <f>IFNA(VLOOKUP($A165,Quests!$A$2:$E1000,MATCH(D$1,Quests!$A$1:$E$1,0),FALSE))</f>
        <v/>
      </c>
      <c r="E165" s="16" t="str">
        <f>IFNA(VLOOKUP($A165,Quests!$A$2:$E1000,MATCH(E$1,Quests!$A$1:$E$1,0),FALSE))</f>
        <v/>
      </c>
      <c r="G165" s="114" t="b">
        <v>0</v>
      </c>
      <c r="H165" s="114" t="b">
        <v>0</v>
      </c>
      <c r="I165" s="114" t="b">
        <v>0</v>
      </c>
    </row>
    <row r="166">
      <c r="A166" s="16"/>
      <c r="B166" s="16" t="str">
        <f>IFNA(VLOOKUP($A166,Quests!$A$2:$E1000,MATCH(B$1,Quests!$A$1:$E$1,0),FALSE))</f>
        <v/>
      </c>
      <c r="C166" s="16" t="str">
        <f>IFNA(VLOOKUP($A166,Quests!$A$2:$E1000,MATCH(C$1,Quests!$A$1:$E$1,0),FALSE))</f>
        <v/>
      </c>
      <c r="D166" s="16" t="str">
        <f>IFNA(VLOOKUP($A166,Quests!$A$2:$E1000,MATCH(D$1,Quests!$A$1:$E$1,0),FALSE))</f>
        <v/>
      </c>
      <c r="E166" s="16" t="str">
        <f>IFNA(VLOOKUP($A166,Quests!$A$2:$E1000,MATCH(E$1,Quests!$A$1:$E$1,0),FALSE))</f>
        <v/>
      </c>
      <c r="G166" s="114" t="b">
        <v>0</v>
      </c>
      <c r="H166" s="114" t="b">
        <v>0</v>
      </c>
      <c r="I166" s="114" t="b">
        <v>0</v>
      </c>
    </row>
    <row r="167">
      <c r="A167" s="16"/>
      <c r="B167" s="16" t="str">
        <f>IFNA(VLOOKUP($A167,Quests!$A$2:$E1000,MATCH(B$1,Quests!$A$1:$E$1,0),FALSE))</f>
        <v/>
      </c>
      <c r="C167" s="16" t="str">
        <f>IFNA(VLOOKUP($A167,Quests!$A$2:$E1000,MATCH(C$1,Quests!$A$1:$E$1,0),FALSE))</f>
        <v/>
      </c>
      <c r="D167" s="16" t="str">
        <f>IFNA(VLOOKUP($A167,Quests!$A$2:$E1000,MATCH(D$1,Quests!$A$1:$E$1,0),FALSE))</f>
        <v/>
      </c>
      <c r="E167" s="16" t="str">
        <f>IFNA(VLOOKUP($A167,Quests!$A$2:$E1000,MATCH(E$1,Quests!$A$1:$E$1,0),FALSE))</f>
        <v/>
      </c>
      <c r="G167" s="114" t="b">
        <v>0</v>
      </c>
      <c r="H167" s="114" t="b">
        <v>0</v>
      </c>
      <c r="I167" s="114" t="b">
        <v>0</v>
      </c>
    </row>
    <row r="168">
      <c r="A168" s="16"/>
      <c r="B168" s="16" t="str">
        <f>IFNA(VLOOKUP($A168,Quests!$A$2:$E1000,MATCH(B$1,Quests!$A$1:$E$1,0),FALSE))</f>
        <v/>
      </c>
      <c r="C168" s="16" t="str">
        <f>IFNA(VLOOKUP($A168,Quests!$A$2:$E1000,MATCH(C$1,Quests!$A$1:$E$1,0),FALSE))</f>
        <v/>
      </c>
      <c r="D168" s="16" t="str">
        <f>IFNA(VLOOKUP($A168,Quests!$A$2:$E1000,MATCH(D$1,Quests!$A$1:$E$1,0),FALSE))</f>
        <v/>
      </c>
      <c r="E168" s="16" t="str">
        <f>IFNA(VLOOKUP($A168,Quests!$A$2:$E1000,MATCH(E$1,Quests!$A$1:$E$1,0),FALSE))</f>
        <v/>
      </c>
      <c r="G168" s="114" t="b">
        <v>0</v>
      </c>
      <c r="H168" s="114" t="b">
        <v>0</v>
      </c>
      <c r="I168" s="114" t="b">
        <v>0</v>
      </c>
    </row>
    <row r="169">
      <c r="A169" s="16"/>
      <c r="B169" s="16" t="str">
        <f>IFNA(VLOOKUP($A169,Quests!$A$2:$E1000,MATCH(B$1,Quests!$A$1:$E$1,0),FALSE))</f>
        <v/>
      </c>
      <c r="C169" s="16" t="str">
        <f>IFNA(VLOOKUP($A169,Quests!$A$2:$E1000,MATCH(C$1,Quests!$A$1:$E$1,0),FALSE))</f>
        <v/>
      </c>
      <c r="D169" s="16" t="str">
        <f>IFNA(VLOOKUP($A169,Quests!$A$2:$E1000,MATCH(D$1,Quests!$A$1:$E$1,0),FALSE))</f>
        <v/>
      </c>
      <c r="E169" s="16" t="str">
        <f>IFNA(VLOOKUP($A169,Quests!$A$2:$E1000,MATCH(E$1,Quests!$A$1:$E$1,0),FALSE))</f>
        <v/>
      </c>
      <c r="G169" s="114" t="b">
        <v>0</v>
      </c>
      <c r="H169" s="114" t="b">
        <v>0</v>
      </c>
      <c r="I169" s="114" t="b">
        <v>0</v>
      </c>
    </row>
    <row r="170">
      <c r="A170" s="16"/>
      <c r="B170" s="16" t="str">
        <f>IFNA(VLOOKUP($A170,Quests!$A$2:$E1000,MATCH(B$1,Quests!$A$1:$E$1,0),FALSE))</f>
        <v/>
      </c>
      <c r="C170" s="16" t="str">
        <f>IFNA(VLOOKUP($A170,Quests!$A$2:$E1000,MATCH(C$1,Quests!$A$1:$E$1,0),FALSE))</f>
        <v/>
      </c>
      <c r="D170" s="16" t="str">
        <f>IFNA(VLOOKUP($A170,Quests!$A$2:$E1000,MATCH(D$1,Quests!$A$1:$E$1,0),FALSE))</f>
        <v/>
      </c>
      <c r="E170" s="16" t="str">
        <f>IFNA(VLOOKUP($A170,Quests!$A$2:$E1000,MATCH(E$1,Quests!$A$1:$E$1,0),FALSE))</f>
        <v/>
      </c>
      <c r="G170" s="114" t="b">
        <v>0</v>
      </c>
      <c r="H170" s="114" t="b">
        <v>0</v>
      </c>
      <c r="I170" s="114" t="b">
        <v>0</v>
      </c>
    </row>
    <row r="171">
      <c r="A171" s="16"/>
      <c r="B171" s="16" t="str">
        <f>IFNA(VLOOKUP($A171,Quests!$A$2:$E1000,MATCH(B$1,Quests!$A$1:$E$1,0),FALSE))</f>
        <v/>
      </c>
      <c r="C171" s="16" t="str">
        <f>IFNA(VLOOKUP($A171,Quests!$A$2:$E1000,MATCH(C$1,Quests!$A$1:$E$1,0),FALSE))</f>
        <v/>
      </c>
      <c r="D171" s="16" t="str">
        <f>IFNA(VLOOKUP($A171,Quests!$A$2:$E1000,MATCH(D$1,Quests!$A$1:$E$1,0),FALSE))</f>
        <v/>
      </c>
      <c r="E171" s="16" t="str">
        <f>IFNA(VLOOKUP($A171,Quests!$A$2:$E1000,MATCH(E$1,Quests!$A$1:$E$1,0),FALSE))</f>
        <v/>
      </c>
      <c r="G171" s="114" t="b">
        <v>0</v>
      </c>
      <c r="H171" s="114" t="b">
        <v>0</v>
      </c>
      <c r="I171" s="114" t="b">
        <v>0</v>
      </c>
    </row>
    <row r="172">
      <c r="A172" s="16"/>
      <c r="B172" s="16" t="str">
        <f>IFNA(VLOOKUP($A172,Quests!$A$2:$E1000,MATCH(B$1,Quests!$A$1:$E$1,0),FALSE))</f>
        <v/>
      </c>
      <c r="C172" s="16" t="str">
        <f>IFNA(VLOOKUP($A172,Quests!$A$2:$E1000,MATCH(C$1,Quests!$A$1:$E$1,0),FALSE))</f>
        <v/>
      </c>
      <c r="D172" s="16" t="str">
        <f>IFNA(VLOOKUP($A172,Quests!$A$2:$E1000,MATCH(D$1,Quests!$A$1:$E$1,0),FALSE))</f>
        <v/>
      </c>
      <c r="E172" s="16" t="str">
        <f>IFNA(VLOOKUP($A172,Quests!$A$2:$E1000,MATCH(E$1,Quests!$A$1:$E$1,0),FALSE))</f>
        <v/>
      </c>
      <c r="G172" s="114" t="b">
        <v>0</v>
      </c>
      <c r="H172" s="114" t="b">
        <v>0</v>
      </c>
      <c r="I172" s="114" t="b">
        <v>0</v>
      </c>
    </row>
    <row r="173">
      <c r="A173" s="16"/>
      <c r="B173" s="16" t="str">
        <f>IFNA(VLOOKUP($A173,Quests!$A$2:$E1000,MATCH(B$1,Quests!$A$1:$E$1,0),FALSE))</f>
        <v/>
      </c>
      <c r="C173" s="16" t="str">
        <f>IFNA(VLOOKUP($A173,Quests!$A$2:$E1000,MATCH(C$1,Quests!$A$1:$E$1,0),FALSE))</f>
        <v/>
      </c>
      <c r="D173" s="16" t="str">
        <f>IFNA(VLOOKUP($A173,Quests!$A$2:$E1000,MATCH(D$1,Quests!$A$1:$E$1,0),FALSE))</f>
        <v/>
      </c>
      <c r="E173" s="16" t="str">
        <f>IFNA(VLOOKUP($A173,Quests!$A$2:$E1000,MATCH(E$1,Quests!$A$1:$E$1,0),FALSE))</f>
        <v/>
      </c>
      <c r="G173" s="114" t="b">
        <v>0</v>
      </c>
      <c r="H173" s="114" t="b">
        <v>0</v>
      </c>
      <c r="I173" s="114" t="b">
        <v>0</v>
      </c>
    </row>
    <row r="174">
      <c r="A174" s="16"/>
      <c r="B174" s="16" t="str">
        <f>IFNA(VLOOKUP($A174,Quests!$A$2:$E1000,MATCH(B$1,Quests!$A$1:$E$1,0),FALSE))</f>
        <v/>
      </c>
      <c r="C174" s="16" t="str">
        <f>IFNA(VLOOKUP($A174,Quests!$A$2:$E1000,MATCH(C$1,Quests!$A$1:$E$1,0),FALSE))</f>
        <v/>
      </c>
      <c r="D174" s="16" t="str">
        <f>IFNA(VLOOKUP($A174,Quests!$A$2:$E1000,MATCH(D$1,Quests!$A$1:$E$1,0),FALSE))</f>
        <v/>
      </c>
      <c r="E174" s="16" t="str">
        <f>IFNA(VLOOKUP($A174,Quests!$A$2:$E1000,MATCH(E$1,Quests!$A$1:$E$1,0),FALSE))</f>
        <v/>
      </c>
      <c r="G174" s="114" t="b">
        <v>0</v>
      </c>
      <c r="H174" s="114" t="b">
        <v>0</v>
      </c>
      <c r="I174" s="114" t="b">
        <v>0</v>
      </c>
    </row>
    <row r="175">
      <c r="A175" s="16"/>
      <c r="B175" s="16" t="str">
        <f>IFNA(VLOOKUP($A175,Quests!$A$2:$E1000,MATCH(B$1,Quests!$A$1:$E$1,0),FALSE))</f>
        <v/>
      </c>
      <c r="C175" s="16" t="str">
        <f>IFNA(VLOOKUP($A175,Quests!$A$2:$E1000,MATCH(C$1,Quests!$A$1:$E$1,0),FALSE))</f>
        <v/>
      </c>
      <c r="D175" s="16" t="str">
        <f>IFNA(VLOOKUP($A175,Quests!$A$2:$E1000,MATCH(D$1,Quests!$A$1:$E$1,0),FALSE))</f>
        <v/>
      </c>
      <c r="E175" s="16" t="str">
        <f>IFNA(VLOOKUP($A175,Quests!$A$2:$E1000,MATCH(E$1,Quests!$A$1:$E$1,0),FALSE))</f>
        <v/>
      </c>
      <c r="G175" s="114" t="b">
        <v>0</v>
      </c>
      <c r="H175" s="114" t="b">
        <v>0</v>
      </c>
      <c r="I175" s="114" t="b">
        <v>0</v>
      </c>
    </row>
    <row r="176">
      <c r="A176" s="16"/>
      <c r="B176" s="16" t="str">
        <f>IFNA(VLOOKUP($A176,Quests!$A$2:$E1000,MATCH(B$1,Quests!$A$1:$E$1,0),FALSE))</f>
        <v/>
      </c>
      <c r="C176" s="16" t="str">
        <f>IFNA(VLOOKUP($A176,Quests!$A$2:$E1000,MATCH(C$1,Quests!$A$1:$E$1,0),FALSE))</f>
        <v/>
      </c>
      <c r="D176" s="16" t="str">
        <f>IFNA(VLOOKUP($A176,Quests!$A$2:$E1000,MATCH(D$1,Quests!$A$1:$E$1,0),FALSE))</f>
        <v/>
      </c>
      <c r="E176" s="16" t="str">
        <f>IFNA(VLOOKUP($A176,Quests!$A$2:$E1000,MATCH(E$1,Quests!$A$1:$E$1,0),FALSE))</f>
        <v/>
      </c>
      <c r="G176" s="114" t="b">
        <v>0</v>
      </c>
      <c r="H176" s="114" t="b">
        <v>0</v>
      </c>
      <c r="I176" s="114" t="b">
        <v>0</v>
      </c>
    </row>
    <row r="177">
      <c r="A177" s="16"/>
      <c r="B177" s="16" t="str">
        <f>IFNA(VLOOKUP($A177,Quests!$A$2:$E1000,MATCH(B$1,Quests!$A$1:$E$1,0),FALSE))</f>
        <v/>
      </c>
      <c r="C177" s="16" t="str">
        <f>IFNA(VLOOKUP($A177,Quests!$A$2:$E1000,MATCH(C$1,Quests!$A$1:$E$1,0),FALSE))</f>
        <v/>
      </c>
      <c r="D177" s="16" t="str">
        <f>IFNA(VLOOKUP($A177,Quests!$A$2:$E1000,MATCH(D$1,Quests!$A$1:$E$1,0),FALSE))</f>
        <v/>
      </c>
      <c r="E177" s="16" t="str">
        <f>IFNA(VLOOKUP($A177,Quests!$A$2:$E1000,MATCH(E$1,Quests!$A$1:$E$1,0),FALSE))</f>
        <v/>
      </c>
      <c r="G177" s="114" t="b">
        <v>0</v>
      </c>
      <c r="H177" s="114" t="b">
        <v>0</v>
      </c>
      <c r="I177" s="114" t="b">
        <v>0</v>
      </c>
    </row>
    <row r="178">
      <c r="A178" s="16"/>
      <c r="B178" s="16" t="str">
        <f>IFNA(VLOOKUP($A178,Quests!$A$2:$E1000,MATCH(B$1,Quests!$A$1:$E$1,0),FALSE))</f>
        <v/>
      </c>
      <c r="C178" s="16" t="str">
        <f>IFNA(VLOOKUP($A178,Quests!$A$2:$E1000,MATCH(C$1,Quests!$A$1:$E$1,0),FALSE))</f>
        <v/>
      </c>
      <c r="D178" s="16" t="str">
        <f>IFNA(VLOOKUP($A178,Quests!$A$2:$E1000,MATCH(D$1,Quests!$A$1:$E$1,0),FALSE))</f>
        <v/>
      </c>
      <c r="E178" s="16" t="str">
        <f>IFNA(VLOOKUP($A178,Quests!$A$2:$E1000,MATCH(E$1,Quests!$A$1:$E$1,0),FALSE))</f>
        <v/>
      </c>
      <c r="G178" s="114" t="b">
        <v>0</v>
      </c>
      <c r="H178" s="114" t="b">
        <v>0</v>
      </c>
      <c r="I178" s="114" t="b">
        <v>0</v>
      </c>
    </row>
    <row r="179">
      <c r="A179" s="16"/>
      <c r="B179" s="16" t="str">
        <f>IFNA(VLOOKUP($A179,Quests!$A$2:$E1000,MATCH(B$1,Quests!$A$1:$E$1,0),FALSE))</f>
        <v/>
      </c>
      <c r="C179" s="16" t="str">
        <f>IFNA(VLOOKUP($A179,Quests!$A$2:$E1000,MATCH(C$1,Quests!$A$1:$E$1,0),FALSE))</f>
        <v/>
      </c>
      <c r="D179" s="16" t="str">
        <f>IFNA(VLOOKUP($A179,Quests!$A$2:$E1000,MATCH(D$1,Quests!$A$1:$E$1,0),FALSE))</f>
        <v/>
      </c>
      <c r="E179" s="16" t="str">
        <f>IFNA(VLOOKUP($A179,Quests!$A$2:$E1000,MATCH(E$1,Quests!$A$1:$E$1,0),FALSE))</f>
        <v/>
      </c>
      <c r="G179" s="114" t="b">
        <v>0</v>
      </c>
      <c r="H179" s="114" t="b">
        <v>0</v>
      </c>
      <c r="I179" s="114" t="b">
        <v>0</v>
      </c>
    </row>
    <row r="180">
      <c r="A180" s="16"/>
      <c r="B180" s="16" t="str">
        <f>IFNA(VLOOKUP($A180,Quests!$A$2:$E1000,MATCH(B$1,Quests!$A$1:$E$1,0),FALSE))</f>
        <v/>
      </c>
      <c r="C180" s="16" t="str">
        <f>IFNA(VLOOKUP($A180,Quests!$A$2:$E1000,MATCH(C$1,Quests!$A$1:$E$1,0),FALSE))</f>
        <v/>
      </c>
      <c r="D180" s="16" t="str">
        <f>IFNA(VLOOKUP($A180,Quests!$A$2:$E1000,MATCH(D$1,Quests!$A$1:$E$1,0),FALSE))</f>
        <v/>
      </c>
      <c r="E180" s="16" t="str">
        <f>IFNA(VLOOKUP($A180,Quests!$A$2:$E1000,MATCH(E$1,Quests!$A$1:$E$1,0),FALSE))</f>
        <v/>
      </c>
      <c r="G180" s="114" t="b">
        <v>0</v>
      </c>
      <c r="H180" s="114" t="b">
        <v>0</v>
      </c>
      <c r="I180" s="114" t="b">
        <v>0</v>
      </c>
    </row>
    <row r="181">
      <c r="A181" s="16"/>
      <c r="B181" s="16" t="str">
        <f>IFNA(VLOOKUP($A181,Quests!$A$2:$E1000,MATCH(B$1,Quests!$A$1:$E$1,0),FALSE))</f>
        <v/>
      </c>
      <c r="C181" s="16" t="str">
        <f>IFNA(VLOOKUP($A181,Quests!$A$2:$E1000,MATCH(C$1,Quests!$A$1:$E$1,0),FALSE))</f>
        <v/>
      </c>
      <c r="D181" s="16" t="str">
        <f>IFNA(VLOOKUP($A181,Quests!$A$2:$E1000,MATCH(D$1,Quests!$A$1:$E$1,0),FALSE))</f>
        <v/>
      </c>
      <c r="E181" s="16" t="str">
        <f>IFNA(VLOOKUP($A181,Quests!$A$2:$E1000,MATCH(E$1,Quests!$A$1:$E$1,0),FALSE))</f>
        <v/>
      </c>
      <c r="G181" s="114" t="b">
        <v>0</v>
      </c>
      <c r="H181" s="114" t="b">
        <v>0</v>
      </c>
      <c r="I181" s="114" t="b">
        <v>0</v>
      </c>
    </row>
    <row r="182">
      <c r="A182" s="16"/>
      <c r="B182" s="16" t="str">
        <f>IFNA(VLOOKUP($A182,Quests!$A$2:$E1000,MATCH(B$1,Quests!$A$1:$E$1,0),FALSE))</f>
        <v/>
      </c>
      <c r="C182" s="16" t="str">
        <f>IFNA(VLOOKUP($A182,Quests!$A$2:$E1000,MATCH(C$1,Quests!$A$1:$E$1,0),FALSE))</f>
        <v/>
      </c>
      <c r="D182" s="16" t="str">
        <f>IFNA(VLOOKUP($A182,Quests!$A$2:$E1000,MATCH(D$1,Quests!$A$1:$E$1,0),FALSE))</f>
        <v/>
      </c>
      <c r="E182" s="16" t="str">
        <f>IFNA(VLOOKUP($A182,Quests!$A$2:$E1000,MATCH(E$1,Quests!$A$1:$E$1,0),FALSE))</f>
        <v/>
      </c>
      <c r="G182" s="114" t="b">
        <v>0</v>
      </c>
      <c r="H182" s="114" t="b">
        <v>0</v>
      </c>
      <c r="I182" s="114" t="b">
        <v>0</v>
      </c>
    </row>
    <row r="183">
      <c r="A183" s="16"/>
      <c r="B183" s="16" t="str">
        <f>IFNA(VLOOKUP($A183,Quests!$A$2:$E1000,MATCH(B$1,Quests!$A$1:$E$1,0),FALSE))</f>
        <v/>
      </c>
      <c r="C183" s="16" t="str">
        <f>IFNA(VLOOKUP($A183,Quests!$A$2:$E1000,MATCH(C$1,Quests!$A$1:$E$1,0),FALSE))</f>
        <v/>
      </c>
      <c r="D183" s="16" t="str">
        <f>IFNA(VLOOKUP($A183,Quests!$A$2:$E1000,MATCH(D$1,Quests!$A$1:$E$1,0),FALSE))</f>
        <v/>
      </c>
      <c r="E183" s="16" t="str">
        <f>IFNA(VLOOKUP($A183,Quests!$A$2:$E1000,MATCH(E$1,Quests!$A$1:$E$1,0),FALSE))</f>
        <v/>
      </c>
      <c r="G183" s="114" t="b">
        <v>0</v>
      </c>
      <c r="H183" s="114" t="b">
        <v>0</v>
      </c>
      <c r="I183" s="114" t="b">
        <v>0</v>
      </c>
    </row>
    <row r="184">
      <c r="A184" s="16"/>
      <c r="B184" s="16" t="str">
        <f>IFNA(VLOOKUP($A184,Quests!$A$2:$E1000,MATCH(B$1,Quests!$A$1:$E$1,0),FALSE))</f>
        <v/>
      </c>
      <c r="C184" s="16" t="str">
        <f>IFNA(VLOOKUP($A184,Quests!$A$2:$E1000,MATCH(C$1,Quests!$A$1:$E$1,0),FALSE))</f>
        <v/>
      </c>
      <c r="D184" s="16" t="str">
        <f>IFNA(VLOOKUP($A184,Quests!$A$2:$E1000,MATCH(D$1,Quests!$A$1:$E$1,0),FALSE))</f>
        <v/>
      </c>
      <c r="E184" s="16" t="str">
        <f>IFNA(VLOOKUP($A184,Quests!$A$2:$E1000,MATCH(E$1,Quests!$A$1:$E$1,0),FALSE))</f>
        <v/>
      </c>
      <c r="G184" s="114" t="b">
        <v>0</v>
      </c>
      <c r="H184" s="114" t="b">
        <v>0</v>
      </c>
      <c r="I184" s="114" t="b">
        <v>0</v>
      </c>
    </row>
    <row r="185">
      <c r="A185" s="16"/>
      <c r="B185" s="16" t="str">
        <f>IFNA(VLOOKUP($A185,Quests!$A$2:$E1000,MATCH(B$1,Quests!$A$1:$E$1,0),FALSE))</f>
        <v/>
      </c>
      <c r="C185" s="16" t="str">
        <f>IFNA(VLOOKUP($A185,Quests!$A$2:$E1000,MATCH(C$1,Quests!$A$1:$E$1,0),FALSE))</f>
        <v/>
      </c>
      <c r="D185" s="16" t="str">
        <f>IFNA(VLOOKUP($A185,Quests!$A$2:$E1000,MATCH(D$1,Quests!$A$1:$E$1,0),FALSE))</f>
        <v/>
      </c>
      <c r="E185" s="16" t="str">
        <f>IFNA(VLOOKUP($A185,Quests!$A$2:$E1000,MATCH(E$1,Quests!$A$1:$E$1,0),FALSE))</f>
        <v/>
      </c>
      <c r="G185" s="114" t="b">
        <v>0</v>
      </c>
      <c r="H185" s="114" t="b">
        <v>0</v>
      </c>
      <c r="I185" s="114" t="b">
        <v>0</v>
      </c>
    </row>
    <row r="186">
      <c r="A186" s="16"/>
      <c r="B186" s="16" t="str">
        <f>IFNA(VLOOKUP($A186,Quests!$A$2:$E1000,MATCH(B$1,Quests!$A$1:$E$1,0),FALSE))</f>
        <v/>
      </c>
      <c r="C186" s="16" t="str">
        <f>IFNA(VLOOKUP($A186,Quests!$A$2:$E1000,MATCH(C$1,Quests!$A$1:$E$1,0),FALSE))</f>
        <v/>
      </c>
      <c r="D186" s="16" t="str">
        <f>IFNA(VLOOKUP($A186,Quests!$A$2:$E1000,MATCH(D$1,Quests!$A$1:$E$1,0),FALSE))</f>
        <v/>
      </c>
      <c r="E186" s="16" t="str">
        <f>IFNA(VLOOKUP($A186,Quests!$A$2:$E1000,MATCH(E$1,Quests!$A$1:$E$1,0),FALSE))</f>
        <v/>
      </c>
      <c r="G186" s="114" t="b">
        <v>0</v>
      </c>
      <c r="H186" s="114" t="b">
        <v>0</v>
      </c>
      <c r="I186" s="114" t="b">
        <v>0</v>
      </c>
    </row>
    <row r="187">
      <c r="A187" s="16"/>
      <c r="B187" s="16" t="str">
        <f>IFNA(VLOOKUP($A187,Quests!$A$2:$E1000,MATCH(B$1,Quests!$A$1:$E$1,0),FALSE))</f>
        <v/>
      </c>
      <c r="C187" s="16" t="str">
        <f>IFNA(VLOOKUP($A187,Quests!$A$2:$E1000,MATCH(C$1,Quests!$A$1:$E$1,0),FALSE))</f>
        <v/>
      </c>
      <c r="D187" s="16" t="str">
        <f>IFNA(VLOOKUP($A187,Quests!$A$2:$E1000,MATCH(D$1,Quests!$A$1:$E$1,0),FALSE))</f>
        <v/>
      </c>
      <c r="E187" s="16" t="str">
        <f>IFNA(VLOOKUP($A187,Quests!$A$2:$E1000,MATCH(E$1,Quests!$A$1:$E$1,0),FALSE))</f>
        <v/>
      </c>
      <c r="G187" s="114" t="b">
        <v>0</v>
      </c>
      <c r="H187" s="114" t="b">
        <v>0</v>
      </c>
      <c r="I187" s="114" t="b">
        <v>0</v>
      </c>
    </row>
    <row r="188">
      <c r="A188" s="16"/>
      <c r="B188" s="16" t="str">
        <f>IFNA(VLOOKUP($A188,Quests!$A$2:$E1000,MATCH(B$1,Quests!$A$1:$E$1,0),FALSE))</f>
        <v/>
      </c>
      <c r="C188" s="16" t="str">
        <f>IFNA(VLOOKUP($A188,Quests!$A$2:$E1000,MATCH(C$1,Quests!$A$1:$E$1,0),FALSE))</f>
        <v/>
      </c>
      <c r="D188" s="16" t="str">
        <f>IFNA(VLOOKUP($A188,Quests!$A$2:$E1000,MATCH(D$1,Quests!$A$1:$E$1,0),FALSE))</f>
        <v/>
      </c>
      <c r="E188" s="16" t="str">
        <f>IFNA(VLOOKUP($A188,Quests!$A$2:$E1000,MATCH(E$1,Quests!$A$1:$E$1,0),FALSE))</f>
        <v/>
      </c>
      <c r="G188" s="114" t="b">
        <v>0</v>
      </c>
      <c r="H188" s="114" t="b">
        <v>0</v>
      </c>
      <c r="I188" s="114" t="b">
        <v>0</v>
      </c>
    </row>
    <row r="189">
      <c r="A189" s="16"/>
      <c r="B189" s="16" t="str">
        <f>IFNA(VLOOKUP($A189,Quests!$A$2:$E1000,MATCH(B$1,Quests!$A$1:$E$1,0),FALSE))</f>
        <v/>
      </c>
      <c r="C189" s="16" t="str">
        <f>IFNA(VLOOKUP($A189,Quests!$A$2:$E1000,MATCH(C$1,Quests!$A$1:$E$1,0),FALSE))</f>
        <v/>
      </c>
      <c r="D189" s="16" t="str">
        <f>IFNA(VLOOKUP($A189,Quests!$A$2:$E1000,MATCH(D$1,Quests!$A$1:$E$1,0),FALSE))</f>
        <v/>
      </c>
      <c r="E189" s="16" t="str">
        <f>IFNA(VLOOKUP($A189,Quests!$A$2:$E1000,MATCH(E$1,Quests!$A$1:$E$1,0),FALSE))</f>
        <v/>
      </c>
      <c r="G189" s="114" t="b">
        <v>0</v>
      </c>
      <c r="H189" s="114" t="b">
        <v>0</v>
      </c>
      <c r="I189" s="114" t="b">
        <v>0</v>
      </c>
    </row>
    <row r="190">
      <c r="A190" s="16"/>
      <c r="B190" s="16" t="str">
        <f>IFNA(VLOOKUP($A190,Quests!$A$2:$E1000,MATCH(B$1,Quests!$A$1:$E$1,0),FALSE))</f>
        <v/>
      </c>
      <c r="C190" s="16" t="str">
        <f>IFNA(VLOOKUP($A190,Quests!$A$2:$E1000,MATCH(C$1,Quests!$A$1:$E$1,0),FALSE))</f>
        <v/>
      </c>
      <c r="D190" s="16" t="str">
        <f>IFNA(VLOOKUP($A190,Quests!$A$2:$E1000,MATCH(D$1,Quests!$A$1:$E$1,0),FALSE))</f>
        <v/>
      </c>
      <c r="E190" s="16" t="str">
        <f>IFNA(VLOOKUP($A190,Quests!$A$2:$E1000,MATCH(E$1,Quests!$A$1:$E$1,0),FALSE))</f>
        <v/>
      </c>
      <c r="G190" s="114" t="b">
        <v>0</v>
      </c>
      <c r="H190" s="114" t="b">
        <v>0</v>
      </c>
      <c r="I190" s="114" t="b">
        <v>0</v>
      </c>
    </row>
    <row r="191">
      <c r="A191" s="16"/>
      <c r="B191" s="16" t="str">
        <f>IFNA(VLOOKUP($A191,Quests!$A$2:$E1000,MATCH(B$1,Quests!$A$1:$E$1,0),FALSE))</f>
        <v/>
      </c>
      <c r="C191" s="16" t="str">
        <f>IFNA(VLOOKUP($A191,Quests!$A$2:$E1000,MATCH(C$1,Quests!$A$1:$E$1,0),FALSE))</f>
        <v/>
      </c>
      <c r="D191" s="16" t="str">
        <f>IFNA(VLOOKUP($A191,Quests!$A$2:$E1000,MATCH(D$1,Quests!$A$1:$E$1,0),FALSE))</f>
        <v/>
      </c>
      <c r="E191" s="16" t="str">
        <f>IFNA(VLOOKUP($A191,Quests!$A$2:$E1000,MATCH(E$1,Quests!$A$1:$E$1,0),FALSE))</f>
        <v/>
      </c>
      <c r="G191" s="114" t="b">
        <v>0</v>
      </c>
      <c r="H191" s="114" t="b">
        <v>0</v>
      </c>
      <c r="I191" s="114" t="b">
        <v>0</v>
      </c>
    </row>
    <row r="192">
      <c r="A192" s="16"/>
      <c r="B192" s="16" t="str">
        <f>IFNA(VLOOKUP($A192,Quests!$A$2:$E1000,MATCH(B$1,Quests!$A$1:$E$1,0),FALSE))</f>
        <v/>
      </c>
      <c r="C192" s="16" t="str">
        <f>IFNA(VLOOKUP($A192,Quests!$A$2:$E1000,MATCH(C$1,Quests!$A$1:$E$1,0),FALSE))</f>
        <v/>
      </c>
      <c r="D192" s="16" t="str">
        <f>IFNA(VLOOKUP($A192,Quests!$A$2:$E1000,MATCH(D$1,Quests!$A$1:$E$1,0),FALSE))</f>
        <v/>
      </c>
      <c r="E192" s="16" t="str">
        <f>IFNA(VLOOKUP($A192,Quests!$A$2:$E1000,MATCH(E$1,Quests!$A$1:$E$1,0),FALSE))</f>
        <v/>
      </c>
      <c r="G192" s="114" t="b">
        <v>0</v>
      </c>
      <c r="H192" s="114" t="b">
        <v>0</v>
      </c>
      <c r="I192" s="114" t="b">
        <v>0</v>
      </c>
    </row>
    <row r="193">
      <c r="A193" s="16"/>
      <c r="B193" s="16" t="str">
        <f>IFNA(VLOOKUP($A193,Quests!$A$2:$E1000,MATCH(B$1,Quests!$A$1:$E$1,0),FALSE))</f>
        <v/>
      </c>
      <c r="C193" s="16" t="str">
        <f>IFNA(VLOOKUP($A193,Quests!$A$2:$E1000,MATCH(C$1,Quests!$A$1:$E$1,0),FALSE))</f>
        <v/>
      </c>
      <c r="D193" s="16" t="str">
        <f>IFNA(VLOOKUP($A193,Quests!$A$2:$E1000,MATCH(D$1,Quests!$A$1:$E$1,0),FALSE))</f>
        <v/>
      </c>
      <c r="E193" s="16" t="str">
        <f>IFNA(VLOOKUP($A193,Quests!$A$2:$E1000,MATCH(E$1,Quests!$A$1:$E$1,0),FALSE))</f>
        <v/>
      </c>
      <c r="G193" s="114" t="b">
        <v>0</v>
      </c>
      <c r="H193" s="114" t="b">
        <v>0</v>
      </c>
      <c r="I193" s="114" t="b">
        <v>0</v>
      </c>
    </row>
    <row r="194">
      <c r="A194" s="16"/>
      <c r="B194" s="16" t="str">
        <f>IFNA(VLOOKUP($A194,Quests!$A$2:$E1000,MATCH(B$1,Quests!$A$1:$E$1,0),FALSE))</f>
        <v/>
      </c>
      <c r="C194" s="16" t="str">
        <f>IFNA(VLOOKUP($A194,Quests!$A$2:$E1000,MATCH(C$1,Quests!$A$1:$E$1,0),FALSE))</f>
        <v/>
      </c>
      <c r="D194" s="16" t="str">
        <f>IFNA(VLOOKUP($A194,Quests!$A$2:$E1000,MATCH(D$1,Quests!$A$1:$E$1,0),FALSE))</f>
        <v/>
      </c>
      <c r="E194" s="16" t="str">
        <f>IFNA(VLOOKUP($A194,Quests!$A$2:$E1000,MATCH(E$1,Quests!$A$1:$E$1,0),FALSE))</f>
        <v/>
      </c>
      <c r="G194" s="114" t="b">
        <v>0</v>
      </c>
      <c r="H194" s="114" t="b">
        <v>0</v>
      </c>
      <c r="I194" s="114" t="b">
        <v>0</v>
      </c>
    </row>
    <row r="195">
      <c r="A195" s="16"/>
      <c r="B195" s="16" t="str">
        <f>IFNA(VLOOKUP($A195,Quests!$A$2:$E1000,MATCH(B$1,Quests!$A$1:$E$1,0),FALSE))</f>
        <v/>
      </c>
      <c r="C195" s="16" t="str">
        <f>IFNA(VLOOKUP($A195,Quests!$A$2:$E1000,MATCH(C$1,Quests!$A$1:$E$1,0),FALSE))</f>
        <v/>
      </c>
      <c r="D195" s="16" t="str">
        <f>IFNA(VLOOKUP($A195,Quests!$A$2:$E1000,MATCH(D$1,Quests!$A$1:$E$1,0),FALSE))</f>
        <v/>
      </c>
      <c r="E195" s="16" t="str">
        <f>IFNA(VLOOKUP($A195,Quests!$A$2:$E1000,MATCH(E$1,Quests!$A$1:$E$1,0),FALSE))</f>
        <v/>
      </c>
      <c r="G195" s="114" t="b">
        <v>0</v>
      </c>
      <c r="H195" s="114" t="b">
        <v>0</v>
      </c>
      <c r="I195" s="114" t="b">
        <v>0</v>
      </c>
    </row>
    <row r="196">
      <c r="A196" s="16"/>
      <c r="B196" s="16" t="str">
        <f>IFNA(VLOOKUP($A196,Quests!$A$2:$E1000,MATCH(B$1,Quests!$A$1:$E$1,0),FALSE))</f>
        <v/>
      </c>
      <c r="C196" s="16" t="str">
        <f>IFNA(VLOOKUP($A196,Quests!$A$2:$E1000,MATCH(C$1,Quests!$A$1:$E$1,0),FALSE))</f>
        <v/>
      </c>
      <c r="D196" s="16" t="str">
        <f>IFNA(VLOOKUP($A196,Quests!$A$2:$E1000,MATCH(D$1,Quests!$A$1:$E$1,0),FALSE))</f>
        <v/>
      </c>
      <c r="E196" s="16" t="str">
        <f>IFNA(VLOOKUP($A196,Quests!$A$2:$E1000,MATCH(E$1,Quests!$A$1:$E$1,0),FALSE))</f>
        <v/>
      </c>
      <c r="G196" s="114" t="b">
        <v>0</v>
      </c>
      <c r="H196" s="114" t="b">
        <v>0</v>
      </c>
      <c r="I196" s="114" t="b">
        <v>0</v>
      </c>
    </row>
    <row r="197">
      <c r="A197" s="16"/>
      <c r="B197" s="16" t="str">
        <f>IFNA(VLOOKUP($A197,Quests!$A$2:$E1000,MATCH(B$1,Quests!$A$1:$E$1,0),FALSE))</f>
        <v/>
      </c>
      <c r="C197" s="16" t="str">
        <f>IFNA(VLOOKUP($A197,Quests!$A$2:$E1000,MATCH(C$1,Quests!$A$1:$E$1,0),FALSE))</f>
        <v/>
      </c>
      <c r="D197" s="16" t="str">
        <f>IFNA(VLOOKUP($A197,Quests!$A$2:$E1000,MATCH(D$1,Quests!$A$1:$E$1,0),FALSE))</f>
        <v/>
      </c>
      <c r="E197" s="16" t="str">
        <f>IFNA(VLOOKUP($A197,Quests!$A$2:$E1000,MATCH(E$1,Quests!$A$1:$E$1,0),FALSE))</f>
        <v/>
      </c>
      <c r="G197" s="114" t="b">
        <v>0</v>
      </c>
      <c r="H197" s="114" t="b">
        <v>0</v>
      </c>
      <c r="I197" s="114" t="b">
        <v>0</v>
      </c>
    </row>
    <row r="198">
      <c r="A198" s="16"/>
      <c r="B198" s="16" t="str">
        <f>IFNA(VLOOKUP($A198,Quests!$A$2:$E1000,MATCH(B$1,Quests!$A$1:$E$1,0),FALSE))</f>
        <v/>
      </c>
      <c r="C198" s="16" t="str">
        <f>IFNA(VLOOKUP($A198,Quests!$A$2:$E1000,MATCH(C$1,Quests!$A$1:$E$1,0),FALSE))</f>
        <v/>
      </c>
      <c r="D198" s="16" t="str">
        <f>IFNA(VLOOKUP($A198,Quests!$A$2:$E1000,MATCH(D$1,Quests!$A$1:$E$1,0),FALSE))</f>
        <v/>
      </c>
      <c r="E198" s="16" t="str">
        <f>IFNA(VLOOKUP($A198,Quests!$A$2:$E1000,MATCH(E$1,Quests!$A$1:$E$1,0),FALSE))</f>
        <v/>
      </c>
      <c r="G198" s="114" t="b">
        <v>0</v>
      </c>
      <c r="H198" s="114" t="b">
        <v>0</v>
      </c>
      <c r="I198" s="114" t="b">
        <v>0</v>
      </c>
    </row>
    <row r="199">
      <c r="A199" s="16"/>
      <c r="B199" s="16" t="str">
        <f>IFNA(VLOOKUP($A199,Quests!$A$2:$E1000,MATCH(B$1,Quests!$A$1:$E$1,0),FALSE))</f>
        <v/>
      </c>
      <c r="C199" s="16" t="str">
        <f>IFNA(VLOOKUP($A199,Quests!$A$2:$E1000,MATCH(C$1,Quests!$A$1:$E$1,0),FALSE))</f>
        <v/>
      </c>
      <c r="D199" s="16" t="str">
        <f>IFNA(VLOOKUP($A199,Quests!$A$2:$E1000,MATCH(D$1,Quests!$A$1:$E$1,0),FALSE))</f>
        <v/>
      </c>
      <c r="E199" s="16" t="str">
        <f>IFNA(VLOOKUP($A199,Quests!$A$2:$E1000,MATCH(E$1,Quests!$A$1:$E$1,0),FALSE))</f>
        <v/>
      </c>
      <c r="G199" s="114" t="b">
        <v>0</v>
      </c>
      <c r="H199" s="114" t="b">
        <v>0</v>
      </c>
      <c r="I199" s="114" t="b">
        <v>0</v>
      </c>
    </row>
    <row r="200">
      <c r="A200" s="16"/>
      <c r="B200" s="16" t="str">
        <f>IFNA(VLOOKUP($A200,Quests!$A$2:$E1000,MATCH(B$1,Quests!$A$1:$E$1,0),FALSE))</f>
        <v/>
      </c>
      <c r="C200" s="16" t="str">
        <f>IFNA(VLOOKUP($A200,Quests!$A$2:$E1000,MATCH(C$1,Quests!$A$1:$E$1,0),FALSE))</f>
        <v/>
      </c>
      <c r="D200" s="16" t="str">
        <f>IFNA(VLOOKUP($A200,Quests!$A$2:$E1000,MATCH(D$1,Quests!$A$1:$E$1,0),FALSE))</f>
        <v/>
      </c>
      <c r="E200" s="16" t="str">
        <f>IFNA(VLOOKUP($A200,Quests!$A$2:$E1000,MATCH(E$1,Quests!$A$1:$E$1,0),FALSE))</f>
        <v/>
      </c>
      <c r="G200" s="114" t="b">
        <v>0</v>
      </c>
      <c r="H200" s="114" t="b">
        <v>0</v>
      </c>
      <c r="I200" s="114" t="b">
        <v>0</v>
      </c>
    </row>
    <row r="201">
      <c r="A201" s="16"/>
      <c r="B201" s="16" t="str">
        <f>IFNA(VLOOKUP($A201,Quests!$A$2:$E1000,MATCH(B$1,Quests!$A$1:$E$1,0),FALSE))</f>
        <v/>
      </c>
      <c r="C201" s="16" t="str">
        <f>IFNA(VLOOKUP($A201,Quests!$A$2:$E1000,MATCH(C$1,Quests!$A$1:$E$1,0),FALSE))</f>
        <v/>
      </c>
      <c r="D201" s="16" t="str">
        <f>IFNA(VLOOKUP($A201,Quests!$A$2:$E1000,MATCH(D$1,Quests!$A$1:$E$1,0),FALSE))</f>
        <v/>
      </c>
      <c r="E201" s="16" t="str">
        <f>IFNA(VLOOKUP($A201,Quests!$A$2:$E1000,MATCH(E$1,Quests!$A$1:$E$1,0),FALSE))</f>
        <v/>
      </c>
      <c r="G201" s="114" t="b">
        <v>0</v>
      </c>
      <c r="H201" s="114" t="b">
        <v>0</v>
      </c>
      <c r="I201" s="114" t="b">
        <v>0</v>
      </c>
    </row>
    <row r="202">
      <c r="A202" s="16"/>
      <c r="B202" s="16" t="str">
        <f>IFNA(VLOOKUP($A202,Quests!$A$2:$E1000,MATCH(B$1,Quests!$A$1:$E$1,0),FALSE))</f>
        <v/>
      </c>
      <c r="C202" s="16" t="str">
        <f>IFNA(VLOOKUP($A202,Quests!$A$2:$E1000,MATCH(C$1,Quests!$A$1:$E$1,0),FALSE))</f>
        <v/>
      </c>
      <c r="D202" s="16" t="str">
        <f>IFNA(VLOOKUP($A202,Quests!$A$2:$E1000,MATCH(D$1,Quests!$A$1:$E$1,0),FALSE))</f>
        <v/>
      </c>
      <c r="E202" s="16" t="str">
        <f>IFNA(VLOOKUP($A202,Quests!$A$2:$E1000,MATCH(E$1,Quests!$A$1:$E$1,0),FALSE))</f>
        <v/>
      </c>
      <c r="G202" s="114" t="b">
        <v>0</v>
      </c>
      <c r="H202" s="114" t="b">
        <v>0</v>
      </c>
      <c r="I202" s="114" t="b">
        <v>0</v>
      </c>
    </row>
    <row r="203">
      <c r="A203" s="16"/>
      <c r="B203" s="16" t="str">
        <f>IFNA(VLOOKUP($A203,Quests!$A$2:$E1000,MATCH(B$1,Quests!$A$1:$E$1,0),FALSE))</f>
        <v/>
      </c>
      <c r="C203" s="16" t="str">
        <f>IFNA(VLOOKUP($A203,Quests!$A$2:$E1000,MATCH(C$1,Quests!$A$1:$E$1,0),FALSE))</f>
        <v/>
      </c>
      <c r="D203" s="16" t="str">
        <f>IFNA(VLOOKUP($A203,Quests!$A$2:$E1000,MATCH(D$1,Quests!$A$1:$E$1,0),FALSE))</f>
        <v/>
      </c>
      <c r="E203" s="16" t="str">
        <f>IFNA(VLOOKUP($A203,Quests!$A$2:$E1000,MATCH(E$1,Quests!$A$1:$E$1,0),FALSE))</f>
        <v/>
      </c>
      <c r="G203" s="114" t="b">
        <v>0</v>
      </c>
      <c r="H203" s="114" t="b">
        <v>0</v>
      </c>
      <c r="I203" s="114" t="b">
        <v>0</v>
      </c>
    </row>
    <row r="204">
      <c r="A204" s="16"/>
      <c r="B204" s="16" t="str">
        <f>IFNA(VLOOKUP($A204,Quests!$A$2:$E1000,MATCH(B$1,Quests!$A$1:$E$1,0),FALSE))</f>
        <v/>
      </c>
      <c r="C204" s="16" t="str">
        <f>IFNA(VLOOKUP($A204,Quests!$A$2:$E1000,MATCH(C$1,Quests!$A$1:$E$1,0),FALSE))</f>
        <v/>
      </c>
      <c r="D204" s="16" t="str">
        <f>IFNA(VLOOKUP($A204,Quests!$A$2:$E1000,MATCH(D$1,Quests!$A$1:$E$1,0),FALSE))</f>
        <v/>
      </c>
      <c r="E204" s="16" t="str">
        <f>IFNA(VLOOKUP($A204,Quests!$A$2:$E1000,MATCH(E$1,Quests!$A$1:$E$1,0),FALSE))</f>
        <v/>
      </c>
      <c r="G204" s="114" t="b">
        <v>0</v>
      </c>
      <c r="H204" s="114" t="b">
        <v>0</v>
      </c>
      <c r="I204" s="114" t="b">
        <v>0</v>
      </c>
    </row>
    <row r="205">
      <c r="A205" s="16"/>
      <c r="B205" s="16" t="str">
        <f>IFNA(VLOOKUP($A205,Quests!$A$2:$E1000,MATCH(B$1,Quests!$A$1:$E$1,0),FALSE))</f>
        <v/>
      </c>
      <c r="C205" s="16" t="str">
        <f>IFNA(VLOOKUP($A205,Quests!$A$2:$E1000,MATCH(C$1,Quests!$A$1:$E$1,0),FALSE))</f>
        <v/>
      </c>
      <c r="D205" s="16" t="str">
        <f>IFNA(VLOOKUP($A205,Quests!$A$2:$E1000,MATCH(D$1,Quests!$A$1:$E$1,0),FALSE))</f>
        <v/>
      </c>
      <c r="E205" s="16" t="str">
        <f>IFNA(VLOOKUP($A205,Quests!$A$2:$E1000,MATCH(E$1,Quests!$A$1:$E$1,0),FALSE))</f>
        <v/>
      </c>
      <c r="G205" s="114" t="b">
        <v>0</v>
      </c>
      <c r="H205" s="114" t="b">
        <v>0</v>
      </c>
      <c r="I205" s="114" t="b">
        <v>0</v>
      </c>
    </row>
    <row r="206">
      <c r="A206" s="16"/>
      <c r="B206" s="16" t="str">
        <f>IFNA(VLOOKUP($A206,Quests!$A$2:$E1000,MATCH(B$1,Quests!$A$1:$E$1,0),FALSE))</f>
        <v/>
      </c>
      <c r="C206" s="16" t="str">
        <f>IFNA(VLOOKUP($A206,Quests!$A$2:$E1000,MATCH(C$1,Quests!$A$1:$E$1,0),FALSE))</f>
        <v/>
      </c>
      <c r="D206" s="16" t="str">
        <f>IFNA(VLOOKUP($A206,Quests!$A$2:$E1000,MATCH(D$1,Quests!$A$1:$E$1,0),FALSE))</f>
        <v/>
      </c>
      <c r="E206" s="16" t="str">
        <f>IFNA(VLOOKUP($A206,Quests!$A$2:$E1000,MATCH(E$1,Quests!$A$1:$E$1,0),FALSE))</f>
        <v/>
      </c>
      <c r="G206" s="114" t="b">
        <v>0</v>
      </c>
      <c r="H206" s="114" t="b">
        <v>0</v>
      </c>
      <c r="I206" s="114" t="b">
        <v>0</v>
      </c>
    </row>
    <row r="207">
      <c r="A207" s="16"/>
      <c r="B207" s="16" t="str">
        <f>IFNA(VLOOKUP($A207,Quests!$A$2:$E1000,MATCH(B$1,Quests!$A$1:$E$1,0),FALSE))</f>
        <v/>
      </c>
      <c r="C207" s="16" t="str">
        <f>IFNA(VLOOKUP($A207,Quests!$A$2:$E1000,MATCH(C$1,Quests!$A$1:$E$1,0),FALSE))</f>
        <v/>
      </c>
      <c r="D207" s="16" t="str">
        <f>IFNA(VLOOKUP($A207,Quests!$A$2:$E1000,MATCH(D$1,Quests!$A$1:$E$1,0),FALSE))</f>
        <v/>
      </c>
      <c r="E207" s="16" t="str">
        <f>IFNA(VLOOKUP($A207,Quests!$A$2:$E1000,MATCH(E$1,Quests!$A$1:$E$1,0),FALSE))</f>
        <v/>
      </c>
      <c r="G207" s="114" t="b">
        <v>0</v>
      </c>
      <c r="H207" s="114" t="b">
        <v>0</v>
      </c>
      <c r="I207" s="114" t="b">
        <v>0</v>
      </c>
    </row>
    <row r="208">
      <c r="A208" s="16"/>
      <c r="B208" s="16" t="str">
        <f>IFNA(VLOOKUP($A208,Quests!$A$2:$E1000,MATCH(B$1,Quests!$A$1:$E$1,0),FALSE))</f>
        <v/>
      </c>
      <c r="C208" s="16" t="str">
        <f>IFNA(VLOOKUP($A208,Quests!$A$2:$E1000,MATCH(C$1,Quests!$A$1:$E$1,0),FALSE))</f>
        <v/>
      </c>
      <c r="D208" s="16" t="str">
        <f>IFNA(VLOOKUP($A208,Quests!$A$2:$E1000,MATCH(D$1,Quests!$A$1:$E$1,0),FALSE))</f>
        <v/>
      </c>
      <c r="E208" s="16" t="str">
        <f>IFNA(VLOOKUP($A208,Quests!$A$2:$E1000,MATCH(E$1,Quests!$A$1:$E$1,0),FALSE))</f>
        <v/>
      </c>
      <c r="G208" s="114" t="b">
        <v>0</v>
      </c>
      <c r="H208" s="114" t="b">
        <v>0</v>
      </c>
      <c r="I208" s="114" t="b">
        <v>0</v>
      </c>
    </row>
    <row r="209">
      <c r="A209" s="16"/>
      <c r="B209" s="16" t="str">
        <f>IFNA(VLOOKUP($A209,Quests!$A$2:$E1000,MATCH(B$1,Quests!$A$1:$E$1,0),FALSE))</f>
        <v/>
      </c>
      <c r="C209" s="16" t="str">
        <f>IFNA(VLOOKUP($A209,Quests!$A$2:$E1000,MATCH(C$1,Quests!$A$1:$E$1,0),FALSE))</f>
        <v/>
      </c>
      <c r="D209" s="16" t="str">
        <f>IFNA(VLOOKUP($A209,Quests!$A$2:$E1000,MATCH(D$1,Quests!$A$1:$E$1,0),FALSE))</f>
        <v/>
      </c>
      <c r="E209" s="16" t="str">
        <f>IFNA(VLOOKUP($A209,Quests!$A$2:$E1000,MATCH(E$1,Quests!$A$1:$E$1,0),FALSE))</f>
        <v/>
      </c>
      <c r="G209" s="114" t="b">
        <v>0</v>
      </c>
      <c r="H209" s="114" t="b">
        <v>0</v>
      </c>
      <c r="I209" s="114" t="b">
        <v>0</v>
      </c>
    </row>
    <row r="210">
      <c r="A210" s="16"/>
      <c r="B210" s="16" t="str">
        <f>IFNA(VLOOKUP($A210,Quests!$A$2:$E1000,MATCH(B$1,Quests!$A$1:$E$1,0),FALSE))</f>
        <v/>
      </c>
      <c r="C210" s="16" t="str">
        <f>IFNA(VLOOKUP($A210,Quests!$A$2:$E1000,MATCH(C$1,Quests!$A$1:$E$1,0),FALSE))</f>
        <v/>
      </c>
      <c r="D210" s="16" t="str">
        <f>IFNA(VLOOKUP($A210,Quests!$A$2:$E1000,MATCH(D$1,Quests!$A$1:$E$1,0),FALSE))</f>
        <v/>
      </c>
      <c r="E210" s="16" t="str">
        <f>IFNA(VLOOKUP($A210,Quests!$A$2:$E1000,MATCH(E$1,Quests!$A$1:$E$1,0),FALSE))</f>
        <v/>
      </c>
      <c r="G210" s="114" t="b">
        <v>0</v>
      </c>
      <c r="H210" s="114" t="b">
        <v>0</v>
      </c>
      <c r="I210" s="114" t="b">
        <v>0</v>
      </c>
    </row>
    <row r="211">
      <c r="A211" s="16"/>
      <c r="B211" s="16" t="str">
        <f>IFNA(VLOOKUP($A211,Quests!$A$2:$E1000,MATCH(B$1,Quests!$A$1:$E$1,0),FALSE))</f>
        <v/>
      </c>
      <c r="C211" s="16" t="str">
        <f>IFNA(VLOOKUP($A211,Quests!$A$2:$E1000,MATCH(C$1,Quests!$A$1:$E$1,0),FALSE))</f>
        <v/>
      </c>
      <c r="D211" s="16" t="str">
        <f>IFNA(VLOOKUP($A211,Quests!$A$2:$E1000,MATCH(D$1,Quests!$A$1:$E$1,0),FALSE))</f>
        <v/>
      </c>
      <c r="E211" s="16" t="str">
        <f>IFNA(VLOOKUP($A211,Quests!$A$2:$E1000,MATCH(E$1,Quests!$A$1:$E$1,0),FALSE))</f>
        <v/>
      </c>
      <c r="G211" s="114" t="b">
        <v>0</v>
      </c>
      <c r="H211" s="114" t="b">
        <v>0</v>
      </c>
      <c r="I211" s="114" t="b">
        <v>0</v>
      </c>
    </row>
    <row r="212">
      <c r="A212" s="16"/>
      <c r="B212" s="16" t="str">
        <f>IFNA(VLOOKUP($A212,Quests!$A$2:$E1000,MATCH(B$1,Quests!$A$1:$E$1,0),FALSE))</f>
        <v/>
      </c>
      <c r="C212" s="16" t="str">
        <f>IFNA(VLOOKUP($A212,Quests!$A$2:$E1000,MATCH(C$1,Quests!$A$1:$E$1,0),FALSE))</f>
        <v/>
      </c>
      <c r="D212" s="16" t="str">
        <f>IFNA(VLOOKUP($A212,Quests!$A$2:$E1000,MATCH(D$1,Quests!$A$1:$E$1,0),FALSE))</f>
        <v/>
      </c>
      <c r="E212" s="16" t="str">
        <f>IFNA(VLOOKUP($A212,Quests!$A$2:$E1000,MATCH(E$1,Quests!$A$1:$E$1,0),FALSE))</f>
        <v/>
      </c>
      <c r="G212" s="114" t="b">
        <v>0</v>
      </c>
      <c r="H212" s="114" t="b">
        <v>0</v>
      </c>
      <c r="I212" s="114" t="b">
        <v>0</v>
      </c>
    </row>
    <row r="213">
      <c r="A213" s="16"/>
      <c r="B213" s="16" t="str">
        <f>IFNA(VLOOKUP($A213,Quests!$A$2:$E1000,MATCH(B$1,Quests!$A$1:$E$1,0),FALSE))</f>
        <v/>
      </c>
      <c r="C213" s="16" t="str">
        <f>IFNA(VLOOKUP($A213,Quests!$A$2:$E1000,MATCH(C$1,Quests!$A$1:$E$1,0),FALSE))</f>
        <v/>
      </c>
      <c r="D213" s="16" t="str">
        <f>IFNA(VLOOKUP($A213,Quests!$A$2:$E1000,MATCH(D$1,Quests!$A$1:$E$1,0),FALSE))</f>
        <v/>
      </c>
      <c r="E213" s="16" t="str">
        <f>IFNA(VLOOKUP($A213,Quests!$A$2:$E1000,MATCH(E$1,Quests!$A$1:$E$1,0),FALSE))</f>
        <v/>
      </c>
      <c r="G213" s="114" t="b">
        <v>0</v>
      </c>
      <c r="H213" s="114" t="b">
        <v>0</v>
      </c>
      <c r="I213" s="114" t="b">
        <v>0</v>
      </c>
    </row>
    <row r="214">
      <c r="A214" s="16"/>
      <c r="B214" s="16" t="str">
        <f>IFNA(VLOOKUP($A214,Quests!$A$2:$E1000,MATCH(B$1,Quests!$A$1:$E$1,0),FALSE))</f>
        <v/>
      </c>
      <c r="C214" s="16" t="str">
        <f>IFNA(VLOOKUP($A214,Quests!$A$2:$E1000,MATCH(C$1,Quests!$A$1:$E$1,0),FALSE))</f>
        <v/>
      </c>
      <c r="D214" s="16" t="str">
        <f>IFNA(VLOOKUP($A214,Quests!$A$2:$E1000,MATCH(D$1,Quests!$A$1:$E$1,0),FALSE))</f>
        <v/>
      </c>
      <c r="E214" s="16" t="str">
        <f>IFNA(VLOOKUP($A214,Quests!$A$2:$E1000,MATCH(E$1,Quests!$A$1:$E$1,0),FALSE))</f>
        <v/>
      </c>
      <c r="G214" s="114" t="b">
        <v>0</v>
      </c>
      <c r="H214" s="114" t="b">
        <v>0</v>
      </c>
      <c r="I214" s="114" t="b">
        <v>0</v>
      </c>
    </row>
    <row r="215">
      <c r="A215" s="16"/>
      <c r="B215" s="16" t="str">
        <f>IFNA(VLOOKUP($A215,Quests!$A$2:$E1000,MATCH(B$1,Quests!$A$1:$E$1,0),FALSE))</f>
        <v/>
      </c>
      <c r="C215" s="16" t="str">
        <f>IFNA(VLOOKUP($A215,Quests!$A$2:$E1000,MATCH(C$1,Quests!$A$1:$E$1,0),FALSE))</f>
        <v/>
      </c>
      <c r="D215" s="16" t="str">
        <f>IFNA(VLOOKUP($A215,Quests!$A$2:$E1000,MATCH(D$1,Quests!$A$1:$E$1,0),FALSE))</f>
        <v/>
      </c>
      <c r="E215" s="16" t="str">
        <f>IFNA(VLOOKUP($A215,Quests!$A$2:$E1000,MATCH(E$1,Quests!$A$1:$E$1,0),FALSE))</f>
        <v/>
      </c>
      <c r="G215" s="114" t="b">
        <v>0</v>
      </c>
      <c r="H215" s="114" t="b">
        <v>0</v>
      </c>
      <c r="I215" s="114" t="b">
        <v>0</v>
      </c>
    </row>
    <row r="216">
      <c r="A216" s="16"/>
      <c r="B216" s="16" t="str">
        <f>IFNA(VLOOKUP($A216,Quests!$A$2:$E1000,MATCH(B$1,Quests!$A$1:$E$1,0),FALSE))</f>
        <v/>
      </c>
      <c r="C216" s="16" t="str">
        <f>IFNA(VLOOKUP($A216,Quests!$A$2:$E1000,MATCH(C$1,Quests!$A$1:$E$1,0),FALSE))</f>
        <v/>
      </c>
      <c r="D216" s="16" t="str">
        <f>IFNA(VLOOKUP($A216,Quests!$A$2:$E1000,MATCH(D$1,Quests!$A$1:$E$1,0),FALSE))</f>
        <v/>
      </c>
      <c r="E216" s="16" t="str">
        <f>IFNA(VLOOKUP($A216,Quests!$A$2:$E1000,MATCH(E$1,Quests!$A$1:$E$1,0),FALSE))</f>
        <v/>
      </c>
      <c r="G216" s="114" t="b">
        <v>0</v>
      </c>
      <c r="H216" s="114" t="b">
        <v>0</v>
      </c>
      <c r="I216" s="114" t="b">
        <v>0</v>
      </c>
    </row>
    <row r="217">
      <c r="A217" s="16"/>
      <c r="B217" s="16" t="str">
        <f>IFNA(VLOOKUP($A217,Quests!$A$2:$E1000,MATCH(B$1,Quests!$A$1:$E$1,0),FALSE))</f>
        <v/>
      </c>
      <c r="C217" s="16" t="str">
        <f>IFNA(VLOOKUP($A217,Quests!$A$2:$E1000,MATCH(C$1,Quests!$A$1:$E$1,0),FALSE))</f>
        <v/>
      </c>
      <c r="D217" s="16" t="str">
        <f>IFNA(VLOOKUP($A217,Quests!$A$2:$E1000,MATCH(D$1,Quests!$A$1:$E$1,0),FALSE))</f>
        <v/>
      </c>
      <c r="E217" s="16" t="str">
        <f>IFNA(VLOOKUP($A217,Quests!$A$2:$E1000,MATCH(E$1,Quests!$A$1:$E$1,0),FALSE))</f>
        <v/>
      </c>
      <c r="G217" s="114" t="b">
        <v>0</v>
      </c>
      <c r="H217" s="114" t="b">
        <v>0</v>
      </c>
      <c r="I217" s="114" t="b">
        <v>0</v>
      </c>
    </row>
    <row r="218">
      <c r="A218" s="16"/>
      <c r="B218" s="16" t="str">
        <f>IFNA(VLOOKUP($A218,Quests!$A$2:$E1000,MATCH(B$1,Quests!$A$1:$E$1,0),FALSE))</f>
        <v/>
      </c>
      <c r="C218" s="16" t="str">
        <f>IFNA(VLOOKUP($A218,Quests!$A$2:$E1000,MATCH(C$1,Quests!$A$1:$E$1,0),FALSE))</f>
        <v/>
      </c>
      <c r="D218" s="16" t="str">
        <f>IFNA(VLOOKUP($A218,Quests!$A$2:$E1000,MATCH(D$1,Quests!$A$1:$E$1,0),FALSE))</f>
        <v/>
      </c>
      <c r="E218" s="16" t="str">
        <f>IFNA(VLOOKUP($A218,Quests!$A$2:$E1000,MATCH(E$1,Quests!$A$1:$E$1,0),FALSE))</f>
        <v/>
      </c>
      <c r="G218" s="114" t="b">
        <v>0</v>
      </c>
      <c r="H218" s="114" t="b">
        <v>0</v>
      </c>
      <c r="I218" s="114" t="b">
        <v>0</v>
      </c>
    </row>
    <row r="219">
      <c r="A219" s="16"/>
      <c r="B219" s="16" t="str">
        <f>IFNA(VLOOKUP($A219,Quests!$A$2:$E1000,MATCH(B$1,Quests!$A$1:$E$1,0),FALSE))</f>
        <v/>
      </c>
      <c r="C219" s="16" t="str">
        <f>IFNA(VLOOKUP($A219,Quests!$A$2:$E1000,MATCH(C$1,Quests!$A$1:$E$1,0),FALSE))</f>
        <v/>
      </c>
      <c r="D219" s="16" t="str">
        <f>IFNA(VLOOKUP($A219,Quests!$A$2:$E1000,MATCH(D$1,Quests!$A$1:$E$1,0),FALSE))</f>
        <v/>
      </c>
      <c r="E219" s="16" t="str">
        <f>IFNA(VLOOKUP($A219,Quests!$A$2:$E1000,MATCH(E$1,Quests!$A$1:$E$1,0),FALSE))</f>
        <v/>
      </c>
      <c r="G219" s="114" t="b">
        <v>0</v>
      </c>
      <c r="H219" s="114" t="b">
        <v>0</v>
      </c>
      <c r="I219" s="114" t="b">
        <v>0</v>
      </c>
    </row>
    <row r="220">
      <c r="A220" s="16"/>
      <c r="B220" s="16" t="str">
        <f>IFNA(VLOOKUP($A220,Quests!$A$2:$E1000,MATCH(B$1,Quests!$A$1:$E$1,0),FALSE))</f>
        <v/>
      </c>
      <c r="C220" s="16" t="str">
        <f>IFNA(VLOOKUP($A220,Quests!$A$2:$E1000,MATCH(C$1,Quests!$A$1:$E$1,0),FALSE))</f>
        <v/>
      </c>
      <c r="D220" s="16" t="str">
        <f>IFNA(VLOOKUP($A220,Quests!$A$2:$E1000,MATCH(D$1,Quests!$A$1:$E$1,0),FALSE))</f>
        <v/>
      </c>
      <c r="E220" s="16" t="str">
        <f>IFNA(VLOOKUP($A220,Quests!$A$2:$E1000,MATCH(E$1,Quests!$A$1:$E$1,0),FALSE))</f>
        <v/>
      </c>
      <c r="G220" s="114" t="b">
        <v>0</v>
      </c>
      <c r="H220" s="114" t="b">
        <v>0</v>
      </c>
      <c r="I220" s="114" t="b">
        <v>0</v>
      </c>
    </row>
    <row r="221">
      <c r="A221" s="16"/>
      <c r="B221" s="16" t="str">
        <f>IFNA(VLOOKUP($A221,Quests!$A$2:$E1000,MATCH(B$1,Quests!$A$1:$E$1,0),FALSE))</f>
        <v/>
      </c>
      <c r="C221" s="16" t="str">
        <f>IFNA(VLOOKUP($A221,Quests!$A$2:$E1000,MATCH(C$1,Quests!$A$1:$E$1,0),FALSE))</f>
        <v/>
      </c>
      <c r="D221" s="16" t="str">
        <f>IFNA(VLOOKUP($A221,Quests!$A$2:$E1000,MATCH(D$1,Quests!$A$1:$E$1,0),FALSE))</f>
        <v/>
      </c>
      <c r="E221" s="16" t="str">
        <f>IFNA(VLOOKUP($A221,Quests!$A$2:$E1000,MATCH(E$1,Quests!$A$1:$E$1,0),FALSE))</f>
        <v/>
      </c>
      <c r="G221" s="114" t="b">
        <v>0</v>
      </c>
      <c r="H221" s="114" t="b">
        <v>0</v>
      </c>
      <c r="I221" s="114" t="b">
        <v>0</v>
      </c>
    </row>
    <row r="222">
      <c r="A222" s="16"/>
      <c r="B222" s="16" t="str">
        <f>IFNA(VLOOKUP($A222,Quests!$A$2:$E1000,MATCH(B$1,Quests!$A$1:$E$1,0),FALSE))</f>
        <v/>
      </c>
      <c r="C222" s="16" t="str">
        <f>IFNA(VLOOKUP($A222,Quests!$A$2:$E1000,MATCH(C$1,Quests!$A$1:$E$1,0),FALSE))</f>
        <v/>
      </c>
      <c r="D222" s="16" t="str">
        <f>IFNA(VLOOKUP($A222,Quests!$A$2:$E1000,MATCH(D$1,Quests!$A$1:$E$1,0),FALSE))</f>
        <v/>
      </c>
      <c r="E222" s="16" t="str">
        <f>IFNA(VLOOKUP($A222,Quests!$A$2:$E1000,MATCH(E$1,Quests!$A$1:$E$1,0),FALSE))</f>
        <v/>
      </c>
      <c r="G222" s="114" t="b">
        <v>0</v>
      </c>
      <c r="H222" s="114" t="b">
        <v>0</v>
      </c>
      <c r="I222" s="114" t="b">
        <v>0</v>
      </c>
    </row>
    <row r="223">
      <c r="A223" s="16"/>
      <c r="B223" s="16" t="str">
        <f>IFNA(VLOOKUP($A223,Quests!$A$2:$E1000,MATCH(B$1,Quests!$A$1:$E$1,0),FALSE))</f>
        <v/>
      </c>
      <c r="C223" s="16" t="str">
        <f>IFNA(VLOOKUP($A223,Quests!$A$2:$E1000,MATCH(C$1,Quests!$A$1:$E$1,0),FALSE))</f>
        <v/>
      </c>
      <c r="D223" s="16" t="str">
        <f>IFNA(VLOOKUP($A223,Quests!$A$2:$E1000,MATCH(D$1,Quests!$A$1:$E$1,0),FALSE))</f>
        <v/>
      </c>
      <c r="E223" s="16" t="str">
        <f>IFNA(VLOOKUP($A223,Quests!$A$2:$E1000,MATCH(E$1,Quests!$A$1:$E$1,0),FALSE))</f>
        <v/>
      </c>
      <c r="G223" s="114" t="b">
        <v>0</v>
      </c>
      <c r="H223" s="114" t="b">
        <v>0</v>
      </c>
      <c r="I223" s="114" t="b">
        <v>0</v>
      </c>
    </row>
    <row r="224">
      <c r="A224" s="16"/>
      <c r="B224" s="16" t="str">
        <f>IFNA(VLOOKUP($A224,Quests!$A$2:$E1000,MATCH(B$1,Quests!$A$1:$E$1,0),FALSE))</f>
        <v/>
      </c>
      <c r="C224" s="16" t="str">
        <f>IFNA(VLOOKUP($A224,Quests!$A$2:$E1000,MATCH(C$1,Quests!$A$1:$E$1,0),FALSE))</f>
        <v/>
      </c>
      <c r="D224" s="16" t="str">
        <f>IFNA(VLOOKUP($A224,Quests!$A$2:$E1000,MATCH(D$1,Quests!$A$1:$E$1,0),FALSE))</f>
        <v/>
      </c>
      <c r="E224" s="16" t="str">
        <f>IFNA(VLOOKUP($A224,Quests!$A$2:$E1000,MATCH(E$1,Quests!$A$1:$E$1,0),FALSE))</f>
        <v/>
      </c>
      <c r="G224" s="114" t="b">
        <v>0</v>
      </c>
      <c r="H224" s="114" t="b">
        <v>0</v>
      </c>
      <c r="I224" s="114" t="b">
        <v>0</v>
      </c>
    </row>
    <row r="225">
      <c r="A225" s="16"/>
      <c r="B225" s="16" t="str">
        <f>IFNA(VLOOKUP($A225,Quests!$A$2:$E1000,MATCH(B$1,Quests!$A$1:$E$1,0),FALSE))</f>
        <v/>
      </c>
      <c r="C225" s="16" t="str">
        <f>IFNA(VLOOKUP($A225,Quests!$A$2:$E1000,MATCH(C$1,Quests!$A$1:$E$1,0),FALSE))</f>
        <v/>
      </c>
      <c r="D225" s="16" t="str">
        <f>IFNA(VLOOKUP($A225,Quests!$A$2:$E1000,MATCH(D$1,Quests!$A$1:$E$1,0),FALSE))</f>
        <v/>
      </c>
      <c r="E225" s="16" t="str">
        <f>IFNA(VLOOKUP($A225,Quests!$A$2:$E1000,MATCH(E$1,Quests!$A$1:$E$1,0),FALSE))</f>
        <v/>
      </c>
      <c r="G225" s="114" t="b">
        <v>0</v>
      </c>
      <c r="H225" s="114" t="b">
        <v>0</v>
      </c>
      <c r="I225" s="114" t="b">
        <v>0</v>
      </c>
    </row>
    <row r="226">
      <c r="A226" s="16"/>
      <c r="B226" s="16" t="str">
        <f>IFNA(VLOOKUP($A226,Quests!$A$2:$E1000,MATCH(B$1,Quests!$A$1:$E$1,0),FALSE))</f>
        <v/>
      </c>
      <c r="C226" s="16" t="str">
        <f>IFNA(VLOOKUP($A226,Quests!$A$2:$E1000,MATCH(C$1,Quests!$A$1:$E$1,0),FALSE))</f>
        <v/>
      </c>
      <c r="D226" s="16" t="str">
        <f>IFNA(VLOOKUP($A226,Quests!$A$2:$E1000,MATCH(D$1,Quests!$A$1:$E$1,0),FALSE))</f>
        <v/>
      </c>
      <c r="E226" s="16" t="str">
        <f>IFNA(VLOOKUP($A226,Quests!$A$2:$E1000,MATCH(E$1,Quests!$A$1:$E$1,0),FALSE))</f>
        <v/>
      </c>
      <c r="G226" s="114" t="b">
        <v>0</v>
      </c>
      <c r="H226" s="114" t="b">
        <v>0</v>
      </c>
      <c r="I226" s="114" t="b">
        <v>0</v>
      </c>
    </row>
    <row r="227">
      <c r="A227" s="16"/>
      <c r="B227" s="16" t="str">
        <f>IFNA(VLOOKUP($A227,Quests!$A$2:$E1000,MATCH(B$1,Quests!$A$1:$E$1,0),FALSE))</f>
        <v/>
      </c>
      <c r="C227" s="16" t="str">
        <f>IFNA(VLOOKUP($A227,Quests!$A$2:$E1000,MATCH(C$1,Quests!$A$1:$E$1,0),FALSE))</f>
        <v/>
      </c>
      <c r="D227" s="16" t="str">
        <f>IFNA(VLOOKUP($A227,Quests!$A$2:$E1000,MATCH(D$1,Quests!$A$1:$E$1,0),FALSE))</f>
        <v/>
      </c>
      <c r="E227" s="16" t="str">
        <f>IFNA(VLOOKUP($A227,Quests!$A$2:$E1000,MATCH(E$1,Quests!$A$1:$E$1,0),FALSE))</f>
        <v/>
      </c>
      <c r="G227" s="114" t="b">
        <v>0</v>
      </c>
      <c r="H227" s="114" t="b">
        <v>0</v>
      </c>
      <c r="I227" s="114" t="b">
        <v>0</v>
      </c>
    </row>
    <row r="228">
      <c r="A228" s="16"/>
      <c r="B228" s="16" t="str">
        <f>IFNA(VLOOKUP($A228,Quests!$A$2:$E1000,MATCH(B$1,Quests!$A$1:$E$1,0),FALSE))</f>
        <v/>
      </c>
      <c r="C228" s="16" t="str">
        <f>IFNA(VLOOKUP($A228,Quests!$A$2:$E1000,MATCH(C$1,Quests!$A$1:$E$1,0),FALSE))</f>
        <v/>
      </c>
      <c r="D228" s="16" t="str">
        <f>IFNA(VLOOKUP($A228,Quests!$A$2:$E1000,MATCH(D$1,Quests!$A$1:$E$1,0),FALSE))</f>
        <v/>
      </c>
      <c r="E228" s="16" t="str">
        <f>IFNA(VLOOKUP($A228,Quests!$A$2:$E1000,MATCH(E$1,Quests!$A$1:$E$1,0),FALSE))</f>
        <v/>
      </c>
      <c r="G228" s="114" t="b">
        <v>0</v>
      </c>
      <c r="H228" s="114" t="b">
        <v>0</v>
      </c>
      <c r="I228" s="114" t="b">
        <v>0</v>
      </c>
    </row>
    <row r="229">
      <c r="A229" s="16"/>
      <c r="B229" s="16" t="str">
        <f>IFNA(VLOOKUP($A229,Quests!$A$2:$E1000,MATCH(B$1,Quests!$A$1:$E$1,0),FALSE))</f>
        <v/>
      </c>
      <c r="C229" s="16" t="str">
        <f>IFNA(VLOOKUP($A229,Quests!$A$2:$E1000,MATCH(C$1,Quests!$A$1:$E$1,0),FALSE))</f>
        <v/>
      </c>
      <c r="D229" s="16" t="str">
        <f>IFNA(VLOOKUP($A229,Quests!$A$2:$E1000,MATCH(D$1,Quests!$A$1:$E$1,0),FALSE))</f>
        <v/>
      </c>
      <c r="E229" s="16" t="str">
        <f>IFNA(VLOOKUP($A229,Quests!$A$2:$E1000,MATCH(E$1,Quests!$A$1:$E$1,0),FALSE))</f>
        <v/>
      </c>
      <c r="G229" s="114" t="b">
        <v>0</v>
      </c>
      <c r="H229" s="114" t="b">
        <v>0</v>
      </c>
      <c r="I229" s="114" t="b">
        <v>0</v>
      </c>
    </row>
    <row r="230">
      <c r="G230" s="37"/>
      <c r="H230" s="37"/>
      <c r="I230" s="37"/>
    </row>
    <row r="231">
      <c r="G231" s="37"/>
      <c r="H231" s="37"/>
      <c r="I231" s="37"/>
    </row>
    <row r="232">
      <c r="G232" s="37"/>
      <c r="H232" s="37"/>
      <c r="I232" s="37"/>
    </row>
    <row r="233">
      <c r="G233" s="37"/>
      <c r="H233" s="37"/>
      <c r="I233" s="37"/>
    </row>
    <row r="234">
      <c r="G234" s="37"/>
      <c r="H234" s="37"/>
      <c r="I234" s="37"/>
    </row>
    <row r="235">
      <c r="G235" s="37"/>
      <c r="H235" s="37"/>
      <c r="I235" s="37"/>
    </row>
    <row r="236">
      <c r="G236" s="37"/>
      <c r="H236" s="37"/>
      <c r="I236" s="37"/>
    </row>
    <row r="237">
      <c r="G237" s="37"/>
      <c r="H237" s="37"/>
      <c r="I237" s="37"/>
    </row>
    <row r="238">
      <c r="G238" s="37"/>
      <c r="H238" s="37"/>
      <c r="I238" s="37"/>
    </row>
    <row r="239">
      <c r="G239" s="37"/>
      <c r="H239" s="37"/>
      <c r="I239" s="37"/>
    </row>
    <row r="240">
      <c r="G240" s="37"/>
      <c r="H240" s="37"/>
      <c r="I240" s="37"/>
    </row>
    <row r="241">
      <c r="G241" s="37"/>
      <c r="H241" s="37"/>
      <c r="I241" s="37"/>
    </row>
    <row r="242">
      <c r="G242" s="37"/>
      <c r="H242" s="37"/>
      <c r="I242" s="37"/>
    </row>
    <row r="243">
      <c r="G243" s="37"/>
      <c r="H243" s="37"/>
      <c r="I243" s="37"/>
    </row>
    <row r="244">
      <c r="G244" s="37"/>
      <c r="H244" s="37"/>
      <c r="I244" s="37"/>
    </row>
    <row r="245">
      <c r="G245" s="37"/>
      <c r="H245" s="37"/>
      <c r="I245" s="37"/>
    </row>
    <row r="246">
      <c r="G246" s="37"/>
      <c r="H246" s="37"/>
      <c r="I246" s="37"/>
    </row>
    <row r="247">
      <c r="G247" s="37"/>
      <c r="H247" s="37"/>
      <c r="I247" s="37"/>
    </row>
    <row r="248">
      <c r="G248" s="37"/>
      <c r="H248" s="37"/>
      <c r="I248" s="37"/>
    </row>
    <row r="249">
      <c r="G249" s="37"/>
      <c r="H249" s="37"/>
      <c r="I249" s="37"/>
    </row>
    <row r="250">
      <c r="G250" s="37"/>
      <c r="H250" s="37"/>
      <c r="I250" s="37"/>
    </row>
    <row r="251">
      <c r="G251" s="37"/>
      <c r="H251" s="37"/>
      <c r="I251" s="37"/>
    </row>
    <row r="252">
      <c r="G252" s="37"/>
      <c r="H252" s="37"/>
      <c r="I252" s="37"/>
    </row>
    <row r="253">
      <c r="G253" s="37"/>
      <c r="H253" s="37"/>
      <c r="I253" s="37"/>
    </row>
    <row r="254">
      <c r="G254" s="37"/>
      <c r="H254" s="37"/>
      <c r="I254" s="37"/>
    </row>
    <row r="255">
      <c r="G255" s="37"/>
      <c r="H255" s="37"/>
      <c r="I255" s="37"/>
    </row>
    <row r="256">
      <c r="G256" s="37"/>
      <c r="H256" s="37"/>
      <c r="I256" s="37"/>
    </row>
    <row r="257">
      <c r="G257" s="37"/>
      <c r="H257" s="37"/>
      <c r="I257" s="37"/>
    </row>
    <row r="258">
      <c r="G258" s="37"/>
      <c r="H258" s="37"/>
      <c r="I258" s="37"/>
    </row>
    <row r="259">
      <c r="G259" s="37"/>
      <c r="H259" s="37"/>
      <c r="I259" s="37"/>
    </row>
    <row r="260">
      <c r="G260" s="37"/>
      <c r="H260" s="37"/>
      <c r="I260" s="37"/>
    </row>
    <row r="261">
      <c r="G261" s="37"/>
      <c r="H261" s="37"/>
      <c r="I261" s="37"/>
    </row>
    <row r="262">
      <c r="G262" s="37"/>
      <c r="H262" s="37"/>
      <c r="I262" s="37"/>
    </row>
    <row r="263">
      <c r="G263" s="37"/>
      <c r="H263" s="37"/>
      <c r="I263" s="37"/>
    </row>
    <row r="264">
      <c r="G264" s="37"/>
      <c r="H264" s="37"/>
      <c r="I264" s="37"/>
    </row>
    <row r="265">
      <c r="G265" s="37"/>
      <c r="H265" s="37"/>
      <c r="I265" s="37"/>
    </row>
    <row r="266">
      <c r="G266" s="37"/>
      <c r="H266" s="37"/>
      <c r="I266" s="37"/>
    </row>
    <row r="267">
      <c r="G267" s="37"/>
      <c r="H267" s="37"/>
      <c r="I267" s="37"/>
    </row>
    <row r="268">
      <c r="G268" s="37"/>
      <c r="H268" s="37"/>
      <c r="I268" s="37"/>
    </row>
    <row r="269">
      <c r="G269" s="37"/>
      <c r="H269" s="37"/>
      <c r="I269" s="37"/>
    </row>
    <row r="270">
      <c r="G270" s="37"/>
      <c r="H270" s="37"/>
      <c r="I270" s="37"/>
    </row>
    <row r="271">
      <c r="G271" s="37"/>
      <c r="H271" s="37"/>
      <c r="I271" s="37"/>
    </row>
    <row r="272">
      <c r="G272" s="37"/>
      <c r="H272" s="37"/>
      <c r="I272" s="37"/>
    </row>
    <row r="273">
      <c r="G273" s="37"/>
      <c r="H273" s="37"/>
      <c r="I273" s="37"/>
    </row>
    <row r="274">
      <c r="G274" s="37"/>
      <c r="H274" s="37"/>
      <c r="I274" s="37"/>
    </row>
    <row r="275">
      <c r="G275" s="37"/>
      <c r="H275" s="37"/>
      <c r="I275" s="37"/>
    </row>
    <row r="276">
      <c r="G276" s="37"/>
      <c r="H276" s="37"/>
      <c r="I276" s="37"/>
    </row>
    <row r="277">
      <c r="G277" s="37"/>
      <c r="H277" s="37"/>
      <c r="I277" s="37"/>
    </row>
    <row r="278">
      <c r="G278" s="37"/>
      <c r="H278" s="37"/>
      <c r="I278" s="37"/>
    </row>
    <row r="279">
      <c r="G279" s="37"/>
      <c r="H279" s="37"/>
      <c r="I279" s="37"/>
    </row>
    <row r="280">
      <c r="G280" s="37"/>
      <c r="H280" s="37"/>
      <c r="I280" s="37"/>
    </row>
    <row r="281">
      <c r="G281" s="37"/>
      <c r="H281" s="37"/>
      <c r="I281" s="37"/>
    </row>
    <row r="282">
      <c r="G282" s="37"/>
      <c r="H282" s="37"/>
      <c r="I282" s="37"/>
    </row>
    <row r="283">
      <c r="G283" s="37"/>
      <c r="H283" s="37"/>
      <c r="I283" s="37"/>
    </row>
    <row r="284">
      <c r="G284" s="37"/>
      <c r="H284" s="37"/>
      <c r="I284" s="37"/>
    </row>
    <row r="285">
      <c r="G285" s="37"/>
      <c r="H285" s="37"/>
      <c r="I285" s="37"/>
    </row>
    <row r="286">
      <c r="G286" s="37"/>
      <c r="H286" s="37"/>
      <c r="I286" s="37"/>
    </row>
    <row r="287">
      <c r="G287" s="37"/>
      <c r="H287" s="37"/>
      <c r="I287" s="37"/>
    </row>
    <row r="288">
      <c r="G288" s="37"/>
      <c r="H288" s="37"/>
      <c r="I288" s="37"/>
    </row>
    <row r="289">
      <c r="G289" s="37"/>
      <c r="H289" s="37"/>
      <c r="I289" s="37"/>
    </row>
    <row r="290">
      <c r="G290" s="37"/>
      <c r="H290" s="37"/>
      <c r="I290" s="37"/>
    </row>
    <row r="291">
      <c r="G291" s="37"/>
      <c r="H291" s="37"/>
      <c r="I291" s="37"/>
    </row>
    <row r="292">
      <c r="G292" s="37"/>
      <c r="H292" s="37"/>
      <c r="I292" s="37"/>
    </row>
    <row r="293">
      <c r="G293" s="37"/>
      <c r="H293" s="37"/>
      <c r="I293" s="37"/>
    </row>
    <row r="294">
      <c r="G294" s="37"/>
      <c r="H294" s="37"/>
      <c r="I294" s="37"/>
    </row>
    <row r="295">
      <c r="G295" s="37"/>
      <c r="H295" s="37"/>
      <c r="I295" s="37"/>
    </row>
    <row r="296">
      <c r="G296" s="37"/>
      <c r="H296" s="37"/>
      <c r="I296" s="37"/>
    </row>
    <row r="297">
      <c r="G297" s="37"/>
      <c r="H297" s="37"/>
      <c r="I297" s="37"/>
    </row>
    <row r="298">
      <c r="G298" s="37"/>
      <c r="H298" s="37"/>
      <c r="I298" s="37"/>
    </row>
    <row r="299">
      <c r="G299" s="37"/>
      <c r="H299" s="37"/>
      <c r="I299" s="37"/>
    </row>
    <row r="300">
      <c r="G300" s="37"/>
      <c r="H300" s="37"/>
      <c r="I300" s="37"/>
    </row>
    <row r="301">
      <c r="G301" s="37"/>
      <c r="H301" s="37"/>
      <c r="I301" s="37"/>
    </row>
    <row r="302">
      <c r="G302" s="37"/>
      <c r="H302" s="37"/>
      <c r="I302" s="37"/>
    </row>
    <row r="303">
      <c r="G303" s="37"/>
      <c r="H303" s="37"/>
      <c r="I303" s="37"/>
    </row>
    <row r="304">
      <c r="G304" s="37"/>
      <c r="H304" s="37"/>
      <c r="I304" s="37"/>
    </row>
    <row r="305">
      <c r="G305" s="37"/>
      <c r="H305" s="37"/>
      <c r="I305" s="37"/>
    </row>
    <row r="306">
      <c r="G306" s="37"/>
      <c r="H306" s="37"/>
      <c r="I306" s="37"/>
    </row>
    <row r="307">
      <c r="G307" s="37"/>
      <c r="H307" s="37"/>
      <c r="I307" s="37"/>
    </row>
    <row r="308">
      <c r="G308" s="37"/>
      <c r="H308" s="37"/>
      <c r="I308" s="37"/>
    </row>
    <row r="309">
      <c r="G309" s="37"/>
      <c r="H309" s="37"/>
      <c r="I309" s="37"/>
    </row>
    <row r="310">
      <c r="G310" s="37"/>
      <c r="H310" s="37"/>
      <c r="I310" s="37"/>
    </row>
    <row r="311">
      <c r="G311" s="37"/>
      <c r="H311" s="37"/>
      <c r="I311" s="37"/>
    </row>
    <row r="312">
      <c r="G312" s="37"/>
      <c r="H312" s="37"/>
      <c r="I312" s="37"/>
    </row>
    <row r="313">
      <c r="G313" s="37"/>
      <c r="H313" s="37"/>
      <c r="I313" s="37"/>
    </row>
    <row r="314">
      <c r="G314" s="37"/>
      <c r="H314" s="37"/>
      <c r="I314" s="37"/>
    </row>
    <row r="315">
      <c r="G315" s="37"/>
      <c r="H315" s="37"/>
      <c r="I315" s="37"/>
    </row>
    <row r="316">
      <c r="G316" s="37"/>
      <c r="H316" s="37"/>
      <c r="I316" s="37"/>
    </row>
    <row r="317">
      <c r="G317" s="37"/>
      <c r="H317" s="37"/>
      <c r="I317" s="37"/>
    </row>
    <row r="318">
      <c r="G318" s="37"/>
      <c r="H318" s="37"/>
      <c r="I318" s="37"/>
    </row>
    <row r="319">
      <c r="G319" s="37"/>
      <c r="H319" s="37"/>
      <c r="I319" s="37"/>
    </row>
    <row r="320">
      <c r="G320" s="37"/>
      <c r="H320" s="37"/>
      <c r="I320" s="37"/>
    </row>
    <row r="321">
      <c r="G321" s="37"/>
      <c r="H321" s="37"/>
      <c r="I321" s="37"/>
    </row>
    <row r="322">
      <c r="G322" s="37"/>
      <c r="H322" s="37"/>
      <c r="I322" s="37"/>
    </row>
    <row r="323">
      <c r="G323" s="37"/>
      <c r="H323" s="37"/>
      <c r="I323" s="37"/>
    </row>
    <row r="324">
      <c r="G324" s="37"/>
      <c r="H324" s="37"/>
      <c r="I324" s="37"/>
    </row>
    <row r="325">
      <c r="G325" s="37"/>
      <c r="H325" s="37"/>
      <c r="I325" s="37"/>
    </row>
    <row r="326">
      <c r="G326" s="37"/>
      <c r="H326" s="37"/>
      <c r="I326" s="37"/>
    </row>
    <row r="327">
      <c r="G327" s="37"/>
      <c r="H327" s="37"/>
      <c r="I327" s="37"/>
    </row>
    <row r="328">
      <c r="G328" s="37"/>
      <c r="H328" s="37"/>
      <c r="I328" s="37"/>
    </row>
    <row r="329">
      <c r="G329" s="37"/>
      <c r="H329" s="37"/>
      <c r="I329" s="37"/>
    </row>
    <row r="330">
      <c r="G330" s="37"/>
      <c r="H330" s="37"/>
      <c r="I330" s="37"/>
    </row>
    <row r="331">
      <c r="G331" s="37"/>
      <c r="H331" s="37"/>
      <c r="I331" s="37"/>
    </row>
    <row r="332">
      <c r="G332" s="37"/>
      <c r="H332" s="37"/>
      <c r="I332" s="37"/>
    </row>
    <row r="333">
      <c r="G333" s="37"/>
      <c r="H333" s="37"/>
      <c r="I333" s="37"/>
    </row>
    <row r="334">
      <c r="G334" s="37"/>
      <c r="H334" s="37"/>
      <c r="I334" s="37"/>
    </row>
    <row r="335">
      <c r="G335" s="37"/>
      <c r="H335" s="37"/>
      <c r="I335" s="37"/>
    </row>
    <row r="336">
      <c r="G336" s="37"/>
      <c r="H336" s="37"/>
      <c r="I336" s="37"/>
    </row>
    <row r="337">
      <c r="G337" s="37"/>
      <c r="H337" s="37"/>
      <c r="I337" s="37"/>
    </row>
    <row r="338">
      <c r="G338" s="37"/>
      <c r="H338" s="37"/>
      <c r="I338" s="37"/>
    </row>
    <row r="339">
      <c r="G339" s="37"/>
      <c r="H339" s="37"/>
      <c r="I339" s="37"/>
    </row>
    <row r="340">
      <c r="G340" s="37"/>
      <c r="H340" s="37"/>
      <c r="I340" s="37"/>
    </row>
    <row r="341">
      <c r="G341" s="37"/>
      <c r="H341" s="37"/>
      <c r="I341" s="37"/>
    </row>
    <row r="342">
      <c r="G342" s="37"/>
      <c r="H342" s="37"/>
      <c r="I342" s="37"/>
    </row>
    <row r="343">
      <c r="G343" s="37"/>
      <c r="H343" s="37"/>
      <c r="I343" s="37"/>
    </row>
    <row r="344">
      <c r="G344" s="37"/>
      <c r="H344" s="37"/>
      <c r="I344" s="37"/>
    </row>
    <row r="345">
      <c r="G345" s="37"/>
      <c r="H345" s="37"/>
      <c r="I345" s="37"/>
    </row>
    <row r="346">
      <c r="G346" s="37"/>
      <c r="H346" s="37"/>
      <c r="I346" s="37"/>
    </row>
    <row r="347">
      <c r="G347" s="37"/>
      <c r="H347" s="37"/>
      <c r="I347" s="37"/>
    </row>
    <row r="348">
      <c r="G348" s="37"/>
      <c r="H348" s="37"/>
      <c r="I348" s="37"/>
    </row>
    <row r="349">
      <c r="G349" s="37"/>
      <c r="H349" s="37"/>
      <c r="I349" s="37"/>
    </row>
    <row r="350">
      <c r="G350" s="37"/>
      <c r="H350" s="37"/>
      <c r="I350" s="37"/>
    </row>
    <row r="351">
      <c r="G351" s="37"/>
      <c r="H351" s="37"/>
      <c r="I351" s="37"/>
    </row>
    <row r="352">
      <c r="G352" s="37"/>
      <c r="H352" s="37"/>
      <c r="I352" s="37"/>
    </row>
    <row r="353">
      <c r="G353" s="37"/>
      <c r="H353" s="37"/>
      <c r="I353" s="37"/>
    </row>
    <row r="354">
      <c r="G354" s="37"/>
      <c r="H354" s="37"/>
      <c r="I354" s="37"/>
    </row>
    <row r="355">
      <c r="G355" s="37"/>
      <c r="H355" s="37"/>
      <c r="I355" s="37"/>
    </row>
    <row r="356">
      <c r="G356" s="37"/>
      <c r="H356" s="37"/>
      <c r="I356" s="37"/>
    </row>
    <row r="357">
      <c r="G357" s="37"/>
      <c r="H357" s="37"/>
      <c r="I357" s="37"/>
    </row>
    <row r="358">
      <c r="G358" s="37"/>
      <c r="H358" s="37"/>
      <c r="I358" s="37"/>
    </row>
    <row r="359">
      <c r="G359" s="37"/>
      <c r="H359" s="37"/>
      <c r="I359" s="37"/>
    </row>
    <row r="360">
      <c r="G360" s="37"/>
      <c r="H360" s="37"/>
      <c r="I360" s="37"/>
    </row>
    <row r="361">
      <c r="G361" s="37"/>
      <c r="H361" s="37"/>
      <c r="I361" s="37"/>
    </row>
    <row r="362">
      <c r="G362" s="37"/>
      <c r="H362" s="37"/>
      <c r="I362" s="37"/>
    </row>
    <row r="363">
      <c r="G363" s="37"/>
      <c r="H363" s="37"/>
      <c r="I363" s="37"/>
    </row>
    <row r="364">
      <c r="G364" s="37"/>
      <c r="H364" s="37"/>
      <c r="I364" s="37"/>
    </row>
    <row r="365">
      <c r="G365" s="37"/>
      <c r="H365" s="37"/>
      <c r="I365" s="37"/>
    </row>
    <row r="366">
      <c r="G366" s="37"/>
      <c r="H366" s="37"/>
      <c r="I366" s="37"/>
    </row>
    <row r="367">
      <c r="G367" s="37"/>
      <c r="H367" s="37"/>
      <c r="I367" s="37"/>
    </row>
    <row r="368">
      <c r="G368" s="37"/>
      <c r="H368" s="37"/>
      <c r="I368" s="37"/>
    </row>
    <row r="369">
      <c r="G369" s="37"/>
      <c r="H369" s="37"/>
      <c r="I369" s="37"/>
    </row>
    <row r="370">
      <c r="G370" s="37"/>
      <c r="H370" s="37"/>
      <c r="I370" s="37"/>
    </row>
    <row r="371">
      <c r="G371" s="37"/>
      <c r="H371" s="37"/>
      <c r="I371" s="37"/>
    </row>
    <row r="372">
      <c r="G372" s="37"/>
      <c r="H372" s="37"/>
      <c r="I372" s="37"/>
    </row>
    <row r="373">
      <c r="G373" s="37"/>
      <c r="H373" s="37"/>
      <c r="I373" s="37"/>
    </row>
    <row r="374">
      <c r="G374" s="37"/>
      <c r="H374" s="37"/>
      <c r="I374" s="37"/>
    </row>
    <row r="375">
      <c r="G375" s="37"/>
      <c r="H375" s="37"/>
      <c r="I375" s="37"/>
    </row>
    <row r="376">
      <c r="G376" s="37"/>
      <c r="H376" s="37"/>
      <c r="I376" s="37"/>
    </row>
    <row r="377">
      <c r="G377" s="37"/>
      <c r="H377" s="37"/>
      <c r="I377" s="37"/>
    </row>
    <row r="378">
      <c r="G378" s="37"/>
      <c r="H378" s="37"/>
      <c r="I378" s="37"/>
    </row>
    <row r="379">
      <c r="G379" s="37"/>
      <c r="H379" s="37"/>
      <c r="I379" s="37"/>
    </row>
    <row r="380">
      <c r="G380" s="37"/>
      <c r="H380" s="37"/>
      <c r="I380" s="37"/>
    </row>
    <row r="381">
      <c r="G381" s="37"/>
      <c r="H381" s="37"/>
      <c r="I381" s="37"/>
    </row>
    <row r="382">
      <c r="G382" s="37"/>
      <c r="H382" s="37"/>
      <c r="I382" s="37"/>
    </row>
    <row r="383">
      <c r="G383" s="37"/>
      <c r="H383" s="37"/>
      <c r="I383" s="37"/>
    </row>
    <row r="384">
      <c r="G384" s="37"/>
      <c r="H384" s="37"/>
      <c r="I384" s="37"/>
    </row>
    <row r="385">
      <c r="G385" s="37"/>
      <c r="H385" s="37"/>
      <c r="I385" s="37"/>
    </row>
    <row r="386">
      <c r="G386" s="37"/>
      <c r="H386" s="37"/>
      <c r="I386" s="37"/>
    </row>
    <row r="387">
      <c r="G387" s="37"/>
      <c r="H387" s="37"/>
      <c r="I387" s="37"/>
    </row>
    <row r="388">
      <c r="G388" s="37"/>
      <c r="H388" s="37"/>
      <c r="I388" s="37"/>
    </row>
    <row r="389">
      <c r="G389" s="37"/>
      <c r="H389" s="37"/>
      <c r="I389" s="37"/>
    </row>
    <row r="390">
      <c r="G390" s="37"/>
      <c r="H390" s="37"/>
      <c r="I390" s="37"/>
    </row>
    <row r="391">
      <c r="G391" s="37"/>
      <c r="H391" s="37"/>
      <c r="I391" s="37"/>
    </row>
    <row r="392">
      <c r="G392" s="37"/>
      <c r="H392" s="37"/>
      <c r="I392" s="37"/>
    </row>
    <row r="393">
      <c r="G393" s="37"/>
      <c r="H393" s="37"/>
      <c r="I393" s="37"/>
    </row>
    <row r="394">
      <c r="G394" s="37"/>
      <c r="H394" s="37"/>
      <c r="I394" s="37"/>
    </row>
    <row r="395">
      <c r="G395" s="37"/>
      <c r="H395" s="37"/>
      <c r="I395" s="37"/>
    </row>
    <row r="396">
      <c r="G396" s="37"/>
      <c r="H396" s="37"/>
      <c r="I396" s="37"/>
    </row>
    <row r="397">
      <c r="G397" s="37"/>
      <c r="H397" s="37"/>
      <c r="I397" s="37"/>
    </row>
    <row r="398">
      <c r="G398" s="37"/>
      <c r="H398" s="37"/>
      <c r="I398" s="37"/>
    </row>
    <row r="399">
      <c r="G399" s="37"/>
      <c r="H399" s="37"/>
      <c r="I399" s="37"/>
    </row>
    <row r="400">
      <c r="G400" s="37"/>
      <c r="H400" s="37"/>
      <c r="I400" s="37"/>
    </row>
    <row r="401">
      <c r="G401" s="37"/>
      <c r="H401" s="37"/>
      <c r="I401" s="37"/>
    </row>
    <row r="402">
      <c r="G402" s="37"/>
      <c r="H402" s="37"/>
      <c r="I402" s="37"/>
    </row>
    <row r="403">
      <c r="G403" s="37"/>
      <c r="H403" s="37"/>
      <c r="I403" s="37"/>
    </row>
    <row r="404">
      <c r="G404" s="37"/>
      <c r="H404" s="37"/>
      <c r="I404" s="37"/>
    </row>
    <row r="405">
      <c r="G405" s="37"/>
      <c r="H405" s="37"/>
      <c r="I405" s="37"/>
    </row>
    <row r="406">
      <c r="G406" s="37"/>
      <c r="H406" s="37"/>
      <c r="I406" s="37"/>
    </row>
    <row r="407">
      <c r="G407" s="37"/>
      <c r="H407" s="37"/>
      <c r="I407" s="37"/>
    </row>
    <row r="408">
      <c r="G408" s="37"/>
      <c r="H408" s="37"/>
      <c r="I408" s="37"/>
    </row>
    <row r="409">
      <c r="G409" s="37"/>
      <c r="H409" s="37"/>
      <c r="I409" s="37"/>
    </row>
    <row r="410">
      <c r="G410" s="37"/>
      <c r="H410" s="37"/>
      <c r="I410" s="37"/>
    </row>
    <row r="411">
      <c r="G411" s="37"/>
      <c r="H411" s="37"/>
      <c r="I411" s="37"/>
    </row>
    <row r="412">
      <c r="G412" s="37"/>
      <c r="H412" s="37"/>
      <c r="I412" s="37"/>
    </row>
    <row r="413">
      <c r="G413" s="37"/>
      <c r="H413" s="37"/>
      <c r="I413" s="37"/>
    </row>
    <row r="414">
      <c r="G414" s="37"/>
      <c r="H414" s="37"/>
      <c r="I414" s="37"/>
    </row>
    <row r="415">
      <c r="G415" s="37"/>
      <c r="H415" s="37"/>
      <c r="I415" s="37"/>
    </row>
    <row r="416">
      <c r="G416" s="37"/>
      <c r="H416" s="37"/>
      <c r="I416" s="37"/>
    </row>
    <row r="417">
      <c r="G417" s="37"/>
      <c r="H417" s="37"/>
      <c r="I417" s="37"/>
    </row>
    <row r="418">
      <c r="G418" s="37"/>
      <c r="H418" s="37"/>
      <c r="I418" s="37"/>
    </row>
    <row r="419">
      <c r="G419" s="37"/>
      <c r="H419" s="37"/>
      <c r="I419" s="37"/>
    </row>
    <row r="420">
      <c r="G420" s="37"/>
      <c r="H420" s="37"/>
      <c r="I420" s="37"/>
    </row>
    <row r="421">
      <c r="G421" s="37"/>
      <c r="H421" s="37"/>
      <c r="I421" s="37"/>
    </row>
    <row r="422">
      <c r="G422" s="37"/>
      <c r="H422" s="37"/>
      <c r="I422" s="37"/>
    </row>
    <row r="423">
      <c r="G423" s="37"/>
      <c r="H423" s="37"/>
      <c r="I423" s="37"/>
    </row>
    <row r="424">
      <c r="G424" s="37"/>
      <c r="H424" s="37"/>
      <c r="I424" s="37"/>
    </row>
    <row r="425">
      <c r="G425" s="37"/>
      <c r="H425" s="37"/>
      <c r="I425" s="37"/>
    </row>
    <row r="426">
      <c r="G426" s="37"/>
      <c r="H426" s="37"/>
      <c r="I426" s="37"/>
    </row>
    <row r="427">
      <c r="G427" s="37"/>
      <c r="H427" s="37"/>
      <c r="I427" s="37"/>
    </row>
    <row r="428">
      <c r="G428" s="37"/>
      <c r="H428" s="37"/>
      <c r="I428" s="37"/>
    </row>
    <row r="429">
      <c r="G429" s="37"/>
      <c r="H429" s="37"/>
      <c r="I429" s="37"/>
    </row>
    <row r="430">
      <c r="G430" s="37"/>
      <c r="H430" s="37"/>
      <c r="I430" s="37"/>
    </row>
    <row r="431">
      <c r="G431" s="37"/>
      <c r="H431" s="37"/>
      <c r="I431" s="37"/>
    </row>
    <row r="432">
      <c r="G432" s="37"/>
      <c r="H432" s="37"/>
      <c r="I432" s="37"/>
    </row>
    <row r="433">
      <c r="G433" s="37"/>
      <c r="H433" s="37"/>
      <c r="I433" s="37"/>
    </row>
    <row r="434">
      <c r="G434" s="37"/>
      <c r="H434" s="37"/>
      <c r="I434" s="37"/>
    </row>
    <row r="435">
      <c r="G435" s="37"/>
      <c r="H435" s="37"/>
      <c r="I435" s="37"/>
    </row>
    <row r="436">
      <c r="G436" s="37"/>
      <c r="H436" s="37"/>
      <c r="I436" s="37"/>
    </row>
    <row r="437">
      <c r="G437" s="37"/>
      <c r="H437" s="37"/>
      <c r="I437" s="37"/>
    </row>
    <row r="438">
      <c r="G438" s="37"/>
      <c r="H438" s="37"/>
      <c r="I438" s="37"/>
    </row>
    <row r="439">
      <c r="G439" s="37"/>
      <c r="H439" s="37"/>
      <c r="I439" s="37"/>
    </row>
    <row r="440">
      <c r="G440" s="37"/>
      <c r="H440" s="37"/>
      <c r="I440" s="37"/>
    </row>
    <row r="441">
      <c r="G441" s="37"/>
      <c r="H441" s="37"/>
      <c r="I441" s="37"/>
    </row>
    <row r="442">
      <c r="G442" s="37"/>
      <c r="H442" s="37"/>
      <c r="I442" s="37"/>
    </row>
    <row r="443">
      <c r="G443" s="37"/>
      <c r="H443" s="37"/>
      <c r="I443" s="37"/>
    </row>
    <row r="444">
      <c r="G444" s="37"/>
      <c r="H444" s="37"/>
      <c r="I444" s="37"/>
    </row>
    <row r="445">
      <c r="G445" s="37"/>
      <c r="H445" s="37"/>
      <c r="I445" s="37"/>
    </row>
    <row r="446">
      <c r="G446" s="37"/>
      <c r="H446" s="37"/>
      <c r="I446" s="37"/>
    </row>
    <row r="447">
      <c r="G447" s="37"/>
      <c r="H447" s="37"/>
      <c r="I447" s="37"/>
    </row>
    <row r="448">
      <c r="G448" s="37"/>
      <c r="H448" s="37"/>
      <c r="I448" s="37"/>
    </row>
    <row r="449">
      <c r="G449" s="37"/>
      <c r="H449" s="37"/>
      <c r="I449" s="37"/>
    </row>
    <row r="450">
      <c r="G450" s="37"/>
      <c r="H450" s="37"/>
      <c r="I450" s="37"/>
    </row>
    <row r="451">
      <c r="G451" s="37"/>
      <c r="H451" s="37"/>
      <c r="I451" s="37"/>
    </row>
    <row r="452">
      <c r="G452" s="37"/>
      <c r="H452" s="37"/>
      <c r="I452" s="37"/>
    </row>
    <row r="453">
      <c r="G453" s="37"/>
      <c r="H453" s="37"/>
      <c r="I453" s="37"/>
    </row>
    <row r="454">
      <c r="G454" s="37"/>
      <c r="H454" s="37"/>
      <c r="I454" s="37"/>
    </row>
    <row r="455">
      <c r="G455" s="37"/>
      <c r="H455" s="37"/>
      <c r="I455" s="37"/>
    </row>
    <row r="456">
      <c r="G456" s="37"/>
      <c r="H456" s="37"/>
      <c r="I456" s="37"/>
    </row>
    <row r="457">
      <c r="G457" s="37"/>
      <c r="H457" s="37"/>
      <c r="I457" s="37"/>
    </row>
    <row r="458">
      <c r="G458" s="37"/>
      <c r="H458" s="37"/>
      <c r="I458" s="37"/>
    </row>
    <row r="459">
      <c r="G459" s="37"/>
      <c r="H459" s="37"/>
      <c r="I459" s="37"/>
    </row>
    <row r="460">
      <c r="G460" s="37"/>
      <c r="H460" s="37"/>
      <c r="I460" s="37"/>
    </row>
    <row r="461">
      <c r="G461" s="37"/>
      <c r="H461" s="37"/>
      <c r="I461" s="37"/>
    </row>
    <row r="462">
      <c r="G462" s="37"/>
      <c r="H462" s="37"/>
      <c r="I462" s="37"/>
    </row>
    <row r="463">
      <c r="G463" s="37"/>
      <c r="H463" s="37"/>
      <c r="I463" s="37"/>
    </row>
    <row r="464">
      <c r="G464" s="37"/>
      <c r="H464" s="37"/>
      <c r="I464" s="37"/>
    </row>
    <row r="465">
      <c r="G465" s="37"/>
      <c r="H465" s="37"/>
      <c r="I465" s="37"/>
    </row>
    <row r="466">
      <c r="G466" s="37"/>
      <c r="H466" s="37"/>
      <c r="I466" s="37"/>
    </row>
    <row r="467">
      <c r="G467" s="37"/>
      <c r="H467" s="37"/>
      <c r="I467" s="37"/>
    </row>
    <row r="468">
      <c r="G468" s="37"/>
      <c r="H468" s="37"/>
      <c r="I468" s="37"/>
    </row>
    <row r="469">
      <c r="G469" s="37"/>
      <c r="H469" s="37"/>
      <c r="I469" s="37"/>
    </row>
    <row r="470">
      <c r="G470" s="37"/>
      <c r="H470" s="37"/>
      <c r="I470" s="37"/>
    </row>
    <row r="471">
      <c r="G471" s="37"/>
      <c r="H471" s="37"/>
      <c r="I471" s="37"/>
    </row>
    <row r="472">
      <c r="G472" s="37"/>
      <c r="H472" s="37"/>
      <c r="I472" s="37"/>
    </row>
    <row r="473">
      <c r="G473" s="37"/>
      <c r="H473" s="37"/>
      <c r="I473" s="37"/>
    </row>
    <row r="474">
      <c r="G474" s="37"/>
      <c r="H474" s="37"/>
      <c r="I474" s="37"/>
    </row>
    <row r="475">
      <c r="G475" s="37"/>
      <c r="H475" s="37"/>
      <c r="I475" s="37"/>
    </row>
    <row r="476">
      <c r="G476" s="37"/>
      <c r="H476" s="37"/>
      <c r="I476" s="37"/>
    </row>
    <row r="477">
      <c r="G477" s="37"/>
      <c r="H477" s="37"/>
      <c r="I477" s="37"/>
    </row>
    <row r="478">
      <c r="G478" s="37"/>
      <c r="H478" s="37"/>
      <c r="I478" s="37"/>
    </row>
    <row r="479">
      <c r="G479" s="37"/>
      <c r="H479" s="37"/>
      <c r="I479" s="37"/>
    </row>
    <row r="480">
      <c r="G480" s="37"/>
      <c r="H480" s="37"/>
      <c r="I480" s="37"/>
    </row>
    <row r="481">
      <c r="G481" s="37"/>
      <c r="H481" s="37"/>
      <c r="I481" s="37"/>
    </row>
    <row r="482">
      <c r="G482" s="37"/>
      <c r="H482" s="37"/>
      <c r="I482" s="37"/>
    </row>
    <row r="483">
      <c r="G483" s="37"/>
      <c r="H483" s="37"/>
      <c r="I483" s="37"/>
    </row>
    <row r="484">
      <c r="G484" s="37"/>
      <c r="H484" s="37"/>
      <c r="I484" s="37"/>
    </row>
    <row r="485">
      <c r="G485" s="37"/>
      <c r="H485" s="37"/>
      <c r="I485" s="37"/>
    </row>
    <row r="486">
      <c r="G486" s="37"/>
      <c r="H486" s="37"/>
      <c r="I486" s="37"/>
    </row>
    <row r="487">
      <c r="G487" s="37"/>
      <c r="H487" s="37"/>
      <c r="I487" s="37"/>
    </row>
    <row r="488">
      <c r="G488" s="37"/>
      <c r="H488" s="37"/>
      <c r="I488" s="37"/>
    </row>
    <row r="489">
      <c r="G489" s="37"/>
      <c r="H489" s="37"/>
      <c r="I489" s="37"/>
    </row>
    <row r="490">
      <c r="G490" s="37"/>
      <c r="H490" s="37"/>
      <c r="I490" s="37"/>
    </row>
    <row r="491">
      <c r="G491" s="37"/>
      <c r="H491" s="37"/>
      <c r="I491" s="37"/>
    </row>
    <row r="492">
      <c r="G492" s="37"/>
      <c r="H492" s="37"/>
      <c r="I492" s="37"/>
    </row>
    <row r="493">
      <c r="G493" s="37"/>
      <c r="H493" s="37"/>
      <c r="I493" s="37"/>
    </row>
    <row r="494">
      <c r="G494" s="37"/>
      <c r="H494" s="37"/>
      <c r="I494" s="37"/>
    </row>
    <row r="495">
      <c r="G495" s="37"/>
      <c r="H495" s="37"/>
      <c r="I495" s="37"/>
    </row>
    <row r="496">
      <c r="G496" s="37"/>
      <c r="H496" s="37"/>
      <c r="I496" s="37"/>
    </row>
    <row r="497">
      <c r="G497" s="37"/>
      <c r="H497" s="37"/>
      <c r="I497" s="37"/>
    </row>
    <row r="498">
      <c r="G498" s="37"/>
      <c r="H498" s="37"/>
      <c r="I498" s="37"/>
    </row>
    <row r="499">
      <c r="G499" s="37"/>
      <c r="H499" s="37"/>
      <c r="I499" s="37"/>
    </row>
    <row r="500">
      <c r="G500" s="37"/>
      <c r="H500" s="37"/>
      <c r="I500" s="37"/>
    </row>
    <row r="501">
      <c r="G501" s="37"/>
      <c r="H501" s="37"/>
      <c r="I501" s="37"/>
    </row>
    <row r="502">
      <c r="G502" s="37"/>
      <c r="H502" s="37"/>
      <c r="I502" s="37"/>
    </row>
    <row r="503">
      <c r="G503" s="37"/>
      <c r="H503" s="37"/>
      <c r="I503" s="37"/>
    </row>
    <row r="504">
      <c r="G504" s="37"/>
      <c r="H504" s="37"/>
      <c r="I504" s="37"/>
    </row>
    <row r="505">
      <c r="G505" s="37"/>
      <c r="H505" s="37"/>
      <c r="I505" s="37"/>
    </row>
    <row r="506">
      <c r="G506" s="37"/>
      <c r="H506" s="37"/>
      <c r="I506" s="37"/>
    </row>
    <row r="507">
      <c r="G507" s="37"/>
      <c r="H507" s="37"/>
      <c r="I507" s="37"/>
    </row>
    <row r="508">
      <c r="G508" s="37"/>
      <c r="H508" s="37"/>
      <c r="I508" s="37"/>
    </row>
    <row r="509">
      <c r="G509" s="37"/>
      <c r="H509" s="37"/>
      <c r="I509" s="37"/>
    </row>
    <row r="510">
      <c r="G510" s="37"/>
      <c r="H510" s="37"/>
      <c r="I510" s="37"/>
    </row>
    <row r="511">
      <c r="G511" s="37"/>
      <c r="H511" s="37"/>
      <c r="I511" s="37"/>
    </row>
    <row r="512">
      <c r="G512" s="37"/>
      <c r="H512" s="37"/>
      <c r="I512" s="37"/>
    </row>
    <row r="513">
      <c r="G513" s="37"/>
      <c r="H513" s="37"/>
      <c r="I513" s="37"/>
    </row>
    <row r="514">
      <c r="G514" s="37"/>
      <c r="H514" s="37"/>
      <c r="I514" s="37"/>
    </row>
    <row r="515">
      <c r="G515" s="37"/>
      <c r="H515" s="37"/>
      <c r="I515" s="37"/>
    </row>
    <row r="516">
      <c r="G516" s="37"/>
      <c r="H516" s="37"/>
      <c r="I516" s="37"/>
    </row>
    <row r="517">
      <c r="G517" s="37"/>
      <c r="H517" s="37"/>
      <c r="I517" s="37"/>
    </row>
    <row r="518">
      <c r="G518" s="37"/>
      <c r="H518" s="37"/>
      <c r="I518" s="37"/>
    </row>
    <row r="519">
      <c r="G519" s="37"/>
      <c r="H519" s="37"/>
      <c r="I519" s="37"/>
    </row>
    <row r="520">
      <c r="G520" s="37"/>
      <c r="H520" s="37"/>
      <c r="I520" s="37"/>
    </row>
    <row r="521">
      <c r="G521" s="37"/>
      <c r="H521" s="37"/>
      <c r="I521" s="37"/>
    </row>
    <row r="522">
      <c r="G522" s="37"/>
      <c r="H522" s="37"/>
      <c r="I522" s="37"/>
    </row>
    <row r="523">
      <c r="G523" s="37"/>
      <c r="H523" s="37"/>
      <c r="I523" s="37"/>
    </row>
    <row r="524">
      <c r="G524" s="37"/>
      <c r="H524" s="37"/>
      <c r="I524" s="37"/>
    </row>
    <row r="525">
      <c r="G525" s="37"/>
      <c r="H525" s="37"/>
      <c r="I525" s="37"/>
    </row>
    <row r="526">
      <c r="G526" s="37"/>
      <c r="H526" s="37"/>
      <c r="I526" s="37"/>
    </row>
    <row r="527">
      <c r="G527" s="37"/>
      <c r="H527" s="37"/>
      <c r="I527" s="37"/>
    </row>
    <row r="528">
      <c r="G528" s="37"/>
      <c r="H528" s="37"/>
      <c r="I528" s="37"/>
    </row>
    <row r="529">
      <c r="G529" s="37"/>
      <c r="H529" s="37"/>
      <c r="I529" s="37"/>
    </row>
    <row r="530">
      <c r="G530" s="37"/>
      <c r="H530" s="37"/>
      <c r="I530" s="37"/>
    </row>
    <row r="531">
      <c r="G531" s="37"/>
      <c r="H531" s="37"/>
      <c r="I531" s="37"/>
    </row>
    <row r="532">
      <c r="G532" s="37"/>
      <c r="H532" s="37"/>
      <c r="I532" s="37"/>
    </row>
    <row r="533">
      <c r="G533" s="37"/>
      <c r="H533" s="37"/>
      <c r="I533" s="37"/>
    </row>
    <row r="534">
      <c r="G534" s="37"/>
      <c r="H534" s="37"/>
      <c r="I534" s="37"/>
    </row>
    <row r="535">
      <c r="G535" s="37"/>
      <c r="H535" s="37"/>
      <c r="I535" s="37"/>
    </row>
    <row r="536">
      <c r="G536" s="37"/>
      <c r="H536" s="37"/>
      <c r="I536" s="37"/>
    </row>
    <row r="537">
      <c r="G537" s="37"/>
      <c r="H537" s="37"/>
      <c r="I537" s="37"/>
    </row>
    <row r="538">
      <c r="G538" s="37"/>
      <c r="H538" s="37"/>
      <c r="I538" s="37"/>
    </row>
    <row r="539">
      <c r="G539" s="37"/>
      <c r="H539" s="37"/>
      <c r="I539" s="37"/>
    </row>
    <row r="540">
      <c r="G540" s="37"/>
      <c r="H540" s="37"/>
      <c r="I540" s="37"/>
    </row>
    <row r="541">
      <c r="G541" s="37"/>
      <c r="H541" s="37"/>
      <c r="I541" s="37"/>
    </row>
    <row r="542">
      <c r="G542" s="37"/>
      <c r="H542" s="37"/>
      <c r="I542" s="37"/>
    </row>
    <row r="543">
      <c r="G543" s="37"/>
      <c r="H543" s="37"/>
      <c r="I543" s="37"/>
    </row>
    <row r="544">
      <c r="G544" s="37"/>
      <c r="H544" s="37"/>
      <c r="I544" s="37"/>
    </row>
    <row r="545">
      <c r="G545" s="37"/>
      <c r="H545" s="37"/>
      <c r="I545" s="37"/>
    </row>
    <row r="546">
      <c r="G546" s="37"/>
      <c r="H546" s="37"/>
      <c r="I546" s="37"/>
    </row>
    <row r="547">
      <c r="G547" s="37"/>
      <c r="H547" s="37"/>
      <c r="I547" s="37"/>
    </row>
    <row r="548">
      <c r="G548" s="37"/>
      <c r="H548" s="37"/>
      <c r="I548" s="37"/>
    </row>
    <row r="549">
      <c r="G549" s="37"/>
      <c r="H549" s="37"/>
      <c r="I549" s="37"/>
    </row>
    <row r="550">
      <c r="G550" s="37"/>
      <c r="H550" s="37"/>
      <c r="I550" s="37"/>
    </row>
    <row r="551">
      <c r="G551" s="37"/>
      <c r="H551" s="37"/>
      <c r="I551" s="37"/>
    </row>
    <row r="552">
      <c r="G552" s="37"/>
      <c r="H552" s="37"/>
      <c r="I552" s="37"/>
    </row>
    <row r="553">
      <c r="G553" s="37"/>
      <c r="H553" s="37"/>
      <c r="I553" s="37"/>
    </row>
    <row r="554">
      <c r="G554" s="37"/>
      <c r="H554" s="37"/>
      <c r="I554" s="37"/>
    </row>
    <row r="555">
      <c r="G555" s="37"/>
      <c r="H555" s="37"/>
      <c r="I555" s="37"/>
    </row>
    <row r="556">
      <c r="G556" s="37"/>
      <c r="H556" s="37"/>
      <c r="I556" s="37"/>
    </row>
    <row r="557">
      <c r="G557" s="37"/>
      <c r="H557" s="37"/>
      <c r="I557" s="37"/>
    </row>
    <row r="558">
      <c r="G558" s="37"/>
      <c r="H558" s="37"/>
      <c r="I558" s="37"/>
    </row>
    <row r="559">
      <c r="G559" s="37"/>
      <c r="H559" s="37"/>
      <c r="I559" s="37"/>
    </row>
    <row r="560">
      <c r="G560" s="37"/>
      <c r="H560" s="37"/>
      <c r="I560" s="37"/>
    </row>
    <row r="561">
      <c r="G561" s="37"/>
      <c r="H561" s="37"/>
      <c r="I561" s="37"/>
    </row>
    <row r="562">
      <c r="G562" s="37"/>
      <c r="H562" s="37"/>
      <c r="I562" s="37"/>
    </row>
    <row r="563">
      <c r="G563" s="37"/>
      <c r="H563" s="37"/>
      <c r="I563" s="37"/>
    </row>
    <row r="564">
      <c r="G564" s="37"/>
      <c r="H564" s="37"/>
      <c r="I564" s="37"/>
    </row>
    <row r="565">
      <c r="G565" s="37"/>
      <c r="H565" s="37"/>
      <c r="I565" s="37"/>
    </row>
    <row r="566">
      <c r="G566" s="37"/>
      <c r="H566" s="37"/>
      <c r="I566" s="37"/>
    </row>
    <row r="567">
      <c r="G567" s="37"/>
      <c r="H567" s="37"/>
      <c r="I567" s="37"/>
    </row>
    <row r="568">
      <c r="G568" s="37"/>
      <c r="H568" s="37"/>
      <c r="I568" s="37"/>
    </row>
    <row r="569">
      <c r="G569" s="37"/>
      <c r="H569" s="37"/>
      <c r="I569" s="37"/>
    </row>
    <row r="570">
      <c r="G570" s="37"/>
      <c r="H570" s="37"/>
      <c r="I570" s="37"/>
    </row>
    <row r="571">
      <c r="G571" s="37"/>
      <c r="H571" s="37"/>
      <c r="I571" s="37"/>
    </row>
    <row r="572">
      <c r="G572" s="37"/>
      <c r="H572" s="37"/>
      <c r="I572" s="37"/>
    </row>
    <row r="573">
      <c r="G573" s="37"/>
      <c r="H573" s="37"/>
      <c r="I573" s="37"/>
    </row>
    <row r="574">
      <c r="G574" s="37"/>
      <c r="H574" s="37"/>
      <c r="I574" s="37"/>
    </row>
    <row r="575">
      <c r="G575" s="37"/>
      <c r="H575" s="37"/>
      <c r="I575" s="37"/>
    </row>
    <row r="576">
      <c r="G576" s="37"/>
      <c r="H576" s="37"/>
      <c r="I576" s="37"/>
    </row>
    <row r="577">
      <c r="G577" s="37"/>
      <c r="H577" s="37"/>
      <c r="I577" s="37"/>
    </row>
    <row r="578">
      <c r="G578" s="37"/>
      <c r="H578" s="37"/>
      <c r="I578" s="37"/>
    </row>
    <row r="579">
      <c r="G579" s="37"/>
      <c r="H579" s="37"/>
      <c r="I579" s="37"/>
    </row>
    <row r="580">
      <c r="G580" s="37"/>
      <c r="H580" s="37"/>
      <c r="I580" s="37"/>
    </row>
    <row r="581">
      <c r="G581" s="37"/>
      <c r="H581" s="37"/>
      <c r="I581" s="37"/>
    </row>
    <row r="582">
      <c r="G582" s="37"/>
      <c r="H582" s="37"/>
      <c r="I582" s="37"/>
    </row>
    <row r="583">
      <c r="G583" s="37"/>
      <c r="H583" s="37"/>
      <c r="I583" s="37"/>
    </row>
    <row r="584">
      <c r="G584" s="37"/>
      <c r="H584" s="37"/>
      <c r="I584" s="37"/>
    </row>
    <row r="585">
      <c r="G585" s="37"/>
      <c r="H585" s="37"/>
      <c r="I585" s="37"/>
    </row>
    <row r="586">
      <c r="G586" s="37"/>
      <c r="H586" s="37"/>
      <c r="I586" s="37"/>
    </row>
    <row r="587">
      <c r="G587" s="37"/>
      <c r="H587" s="37"/>
      <c r="I587" s="37"/>
    </row>
    <row r="588">
      <c r="G588" s="37"/>
      <c r="H588" s="37"/>
      <c r="I588" s="37"/>
    </row>
    <row r="589">
      <c r="G589" s="37"/>
      <c r="H589" s="37"/>
      <c r="I589" s="37"/>
    </row>
    <row r="590">
      <c r="G590" s="37"/>
      <c r="H590" s="37"/>
      <c r="I590" s="37"/>
    </row>
    <row r="591">
      <c r="G591" s="37"/>
      <c r="H591" s="37"/>
      <c r="I591" s="37"/>
    </row>
    <row r="592">
      <c r="G592" s="37"/>
      <c r="H592" s="37"/>
      <c r="I592" s="37"/>
    </row>
    <row r="593">
      <c r="G593" s="37"/>
      <c r="H593" s="37"/>
      <c r="I593" s="37"/>
    </row>
    <row r="594">
      <c r="G594" s="37"/>
      <c r="H594" s="37"/>
      <c r="I594" s="37"/>
    </row>
    <row r="595">
      <c r="G595" s="37"/>
      <c r="H595" s="37"/>
      <c r="I595" s="37"/>
    </row>
    <row r="596">
      <c r="G596" s="37"/>
      <c r="H596" s="37"/>
      <c r="I596" s="37"/>
    </row>
    <row r="597">
      <c r="G597" s="37"/>
      <c r="H597" s="37"/>
      <c r="I597" s="37"/>
    </row>
    <row r="598">
      <c r="G598" s="37"/>
      <c r="H598" s="37"/>
      <c r="I598" s="37"/>
    </row>
    <row r="599">
      <c r="G599" s="37"/>
      <c r="H599" s="37"/>
      <c r="I599" s="37"/>
    </row>
    <row r="600">
      <c r="G600" s="37"/>
      <c r="H600" s="37"/>
      <c r="I600" s="37"/>
    </row>
    <row r="601">
      <c r="G601" s="37"/>
      <c r="H601" s="37"/>
      <c r="I601" s="37"/>
    </row>
    <row r="602">
      <c r="G602" s="37"/>
      <c r="H602" s="37"/>
      <c r="I602" s="37"/>
    </row>
    <row r="603">
      <c r="G603" s="37"/>
      <c r="H603" s="37"/>
      <c r="I603" s="37"/>
    </row>
    <row r="604">
      <c r="G604" s="37"/>
      <c r="H604" s="37"/>
      <c r="I604" s="37"/>
    </row>
    <row r="605">
      <c r="G605" s="37"/>
      <c r="H605" s="37"/>
      <c r="I605" s="37"/>
    </row>
    <row r="606">
      <c r="G606" s="37"/>
      <c r="H606" s="37"/>
      <c r="I606" s="37"/>
    </row>
    <row r="607">
      <c r="G607" s="37"/>
      <c r="H607" s="37"/>
      <c r="I607" s="37"/>
    </row>
    <row r="608">
      <c r="G608" s="37"/>
      <c r="H608" s="37"/>
      <c r="I608" s="37"/>
    </row>
    <row r="609">
      <c r="G609" s="37"/>
      <c r="H609" s="37"/>
      <c r="I609" s="37"/>
    </row>
    <row r="610">
      <c r="G610" s="37"/>
      <c r="H610" s="37"/>
      <c r="I610" s="37"/>
    </row>
    <row r="611">
      <c r="G611" s="37"/>
      <c r="H611" s="37"/>
      <c r="I611" s="37"/>
    </row>
    <row r="612">
      <c r="G612" s="37"/>
      <c r="H612" s="37"/>
      <c r="I612" s="37"/>
    </row>
    <row r="613">
      <c r="G613" s="37"/>
      <c r="H613" s="37"/>
      <c r="I613" s="37"/>
    </row>
    <row r="614">
      <c r="G614" s="37"/>
      <c r="H614" s="37"/>
      <c r="I614" s="37"/>
    </row>
    <row r="615">
      <c r="G615" s="37"/>
      <c r="H615" s="37"/>
      <c r="I615" s="37"/>
    </row>
    <row r="616">
      <c r="G616" s="37"/>
      <c r="H616" s="37"/>
      <c r="I616" s="37"/>
    </row>
    <row r="617">
      <c r="G617" s="37"/>
      <c r="H617" s="37"/>
      <c r="I617" s="37"/>
    </row>
    <row r="618">
      <c r="G618" s="37"/>
      <c r="H618" s="37"/>
      <c r="I618" s="37"/>
    </row>
    <row r="619">
      <c r="G619" s="37"/>
      <c r="H619" s="37"/>
      <c r="I619" s="37"/>
    </row>
    <row r="620">
      <c r="G620" s="37"/>
      <c r="H620" s="37"/>
      <c r="I620" s="37"/>
    </row>
    <row r="621">
      <c r="G621" s="37"/>
      <c r="H621" s="37"/>
      <c r="I621" s="37"/>
    </row>
    <row r="622">
      <c r="G622" s="37"/>
      <c r="H622" s="37"/>
      <c r="I622" s="37"/>
    </row>
    <row r="623">
      <c r="G623" s="37"/>
      <c r="H623" s="37"/>
      <c r="I623" s="37"/>
    </row>
    <row r="624">
      <c r="G624" s="37"/>
      <c r="H624" s="37"/>
      <c r="I624" s="37"/>
    </row>
    <row r="625">
      <c r="G625" s="37"/>
      <c r="H625" s="37"/>
      <c r="I625" s="37"/>
    </row>
    <row r="626">
      <c r="G626" s="37"/>
      <c r="H626" s="37"/>
      <c r="I626" s="37"/>
    </row>
    <row r="627">
      <c r="G627" s="37"/>
      <c r="H627" s="37"/>
      <c r="I627" s="37"/>
    </row>
    <row r="628">
      <c r="G628" s="37"/>
      <c r="H628" s="37"/>
      <c r="I628" s="37"/>
    </row>
    <row r="629">
      <c r="G629" s="37"/>
      <c r="H629" s="37"/>
      <c r="I629" s="37"/>
    </row>
    <row r="630">
      <c r="G630" s="37"/>
      <c r="H630" s="37"/>
      <c r="I630" s="37"/>
    </row>
    <row r="631">
      <c r="G631" s="37"/>
      <c r="H631" s="37"/>
      <c r="I631" s="37"/>
    </row>
    <row r="632">
      <c r="G632" s="37"/>
      <c r="H632" s="37"/>
      <c r="I632" s="37"/>
    </row>
    <row r="633">
      <c r="G633" s="37"/>
      <c r="H633" s="37"/>
      <c r="I633" s="37"/>
    </row>
    <row r="634">
      <c r="G634" s="37"/>
      <c r="H634" s="37"/>
      <c r="I634" s="37"/>
    </row>
    <row r="635">
      <c r="G635" s="37"/>
      <c r="H635" s="37"/>
      <c r="I635" s="37"/>
    </row>
    <row r="636">
      <c r="G636" s="37"/>
      <c r="H636" s="37"/>
      <c r="I636" s="37"/>
    </row>
    <row r="637">
      <c r="G637" s="37"/>
      <c r="H637" s="37"/>
      <c r="I637" s="37"/>
    </row>
    <row r="638">
      <c r="G638" s="37"/>
      <c r="H638" s="37"/>
      <c r="I638" s="37"/>
    </row>
    <row r="639">
      <c r="G639" s="37"/>
      <c r="H639" s="37"/>
      <c r="I639" s="37"/>
    </row>
    <row r="640">
      <c r="G640" s="37"/>
      <c r="H640" s="37"/>
      <c r="I640" s="37"/>
    </row>
    <row r="641">
      <c r="G641" s="37"/>
      <c r="H641" s="37"/>
      <c r="I641" s="37"/>
    </row>
    <row r="642">
      <c r="G642" s="37"/>
      <c r="H642" s="37"/>
      <c r="I642" s="37"/>
    </row>
    <row r="643">
      <c r="G643" s="37"/>
      <c r="H643" s="37"/>
      <c r="I643" s="37"/>
    </row>
    <row r="644">
      <c r="G644" s="37"/>
      <c r="H644" s="37"/>
      <c r="I644" s="37"/>
    </row>
    <row r="645">
      <c r="G645" s="37"/>
      <c r="H645" s="37"/>
      <c r="I645" s="37"/>
    </row>
    <row r="646">
      <c r="G646" s="37"/>
      <c r="H646" s="37"/>
      <c r="I646" s="37"/>
    </row>
    <row r="647">
      <c r="G647" s="37"/>
      <c r="H647" s="37"/>
      <c r="I647" s="37"/>
    </row>
    <row r="648">
      <c r="G648" s="37"/>
      <c r="H648" s="37"/>
      <c r="I648" s="37"/>
    </row>
    <row r="649">
      <c r="G649" s="37"/>
      <c r="H649" s="37"/>
      <c r="I649" s="37"/>
    </row>
    <row r="650">
      <c r="G650" s="37"/>
      <c r="H650" s="37"/>
      <c r="I650" s="37"/>
    </row>
    <row r="651">
      <c r="G651" s="37"/>
      <c r="H651" s="37"/>
      <c r="I651" s="37"/>
    </row>
    <row r="652">
      <c r="G652" s="37"/>
      <c r="H652" s="37"/>
      <c r="I652" s="37"/>
    </row>
    <row r="653">
      <c r="G653" s="37"/>
      <c r="H653" s="37"/>
      <c r="I653" s="37"/>
    </row>
    <row r="654">
      <c r="G654" s="37"/>
      <c r="H654" s="37"/>
      <c r="I654" s="37"/>
    </row>
    <row r="655">
      <c r="G655" s="37"/>
      <c r="H655" s="37"/>
      <c r="I655" s="37"/>
    </row>
    <row r="656">
      <c r="G656" s="37"/>
      <c r="H656" s="37"/>
      <c r="I656" s="37"/>
    </row>
    <row r="657">
      <c r="G657" s="37"/>
      <c r="H657" s="37"/>
      <c r="I657" s="37"/>
    </row>
    <row r="658">
      <c r="G658" s="37"/>
      <c r="H658" s="37"/>
      <c r="I658" s="37"/>
    </row>
    <row r="659">
      <c r="G659" s="37"/>
      <c r="H659" s="37"/>
      <c r="I659" s="37"/>
    </row>
    <row r="660">
      <c r="G660" s="37"/>
      <c r="H660" s="37"/>
      <c r="I660" s="37"/>
    </row>
    <row r="661">
      <c r="G661" s="37"/>
      <c r="H661" s="37"/>
      <c r="I661" s="37"/>
    </row>
    <row r="662">
      <c r="G662" s="37"/>
      <c r="H662" s="37"/>
      <c r="I662" s="37"/>
    </row>
    <row r="663">
      <c r="G663" s="37"/>
      <c r="H663" s="37"/>
      <c r="I663" s="37"/>
    </row>
    <row r="664">
      <c r="G664" s="37"/>
      <c r="H664" s="37"/>
      <c r="I664" s="37"/>
    </row>
    <row r="665">
      <c r="G665" s="37"/>
      <c r="H665" s="37"/>
      <c r="I665" s="37"/>
    </row>
    <row r="666">
      <c r="G666" s="37"/>
      <c r="H666" s="37"/>
      <c r="I666" s="37"/>
    </row>
    <row r="667">
      <c r="G667" s="37"/>
      <c r="H667" s="37"/>
      <c r="I667" s="37"/>
    </row>
    <row r="668">
      <c r="G668" s="37"/>
      <c r="H668" s="37"/>
      <c r="I668" s="37"/>
    </row>
    <row r="669">
      <c r="G669" s="37"/>
      <c r="H669" s="37"/>
      <c r="I669" s="37"/>
    </row>
    <row r="670">
      <c r="G670" s="37"/>
      <c r="H670" s="37"/>
      <c r="I670" s="37"/>
    </row>
    <row r="671">
      <c r="G671" s="37"/>
      <c r="H671" s="37"/>
      <c r="I671" s="37"/>
    </row>
    <row r="672">
      <c r="G672" s="37"/>
      <c r="H672" s="37"/>
      <c r="I672" s="37"/>
    </row>
    <row r="673">
      <c r="G673" s="37"/>
      <c r="H673" s="37"/>
      <c r="I673" s="37"/>
    </row>
    <row r="674">
      <c r="G674" s="37"/>
      <c r="H674" s="37"/>
      <c r="I674" s="37"/>
    </row>
    <row r="675">
      <c r="G675" s="37"/>
      <c r="H675" s="37"/>
      <c r="I675" s="37"/>
    </row>
    <row r="676">
      <c r="G676" s="37"/>
      <c r="H676" s="37"/>
      <c r="I676" s="37"/>
    </row>
    <row r="677">
      <c r="G677" s="37"/>
      <c r="H677" s="37"/>
      <c r="I677" s="37"/>
    </row>
    <row r="678">
      <c r="G678" s="37"/>
      <c r="H678" s="37"/>
      <c r="I678" s="37"/>
    </row>
    <row r="679">
      <c r="G679" s="37"/>
      <c r="H679" s="37"/>
      <c r="I679" s="37"/>
    </row>
    <row r="680">
      <c r="G680" s="37"/>
      <c r="H680" s="37"/>
      <c r="I680" s="37"/>
    </row>
    <row r="681">
      <c r="G681" s="37"/>
      <c r="H681" s="37"/>
      <c r="I681" s="37"/>
    </row>
    <row r="682">
      <c r="G682" s="37"/>
      <c r="H682" s="37"/>
      <c r="I682" s="37"/>
    </row>
    <row r="683">
      <c r="G683" s="37"/>
      <c r="H683" s="37"/>
      <c r="I683" s="37"/>
    </row>
    <row r="684">
      <c r="G684" s="37"/>
      <c r="H684" s="37"/>
      <c r="I684" s="37"/>
    </row>
    <row r="685">
      <c r="G685" s="37"/>
      <c r="H685" s="37"/>
      <c r="I685" s="37"/>
    </row>
    <row r="686">
      <c r="G686" s="37"/>
      <c r="H686" s="37"/>
      <c r="I686" s="37"/>
    </row>
    <row r="687">
      <c r="G687" s="37"/>
      <c r="H687" s="37"/>
      <c r="I687" s="37"/>
    </row>
    <row r="688">
      <c r="G688" s="37"/>
      <c r="H688" s="37"/>
      <c r="I688" s="37"/>
    </row>
    <row r="689">
      <c r="G689" s="37"/>
      <c r="H689" s="37"/>
      <c r="I689" s="37"/>
    </row>
    <row r="690">
      <c r="G690" s="37"/>
      <c r="H690" s="37"/>
      <c r="I690" s="37"/>
    </row>
    <row r="691">
      <c r="G691" s="37"/>
      <c r="H691" s="37"/>
      <c r="I691" s="37"/>
    </row>
    <row r="692">
      <c r="G692" s="37"/>
      <c r="H692" s="37"/>
      <c r="I692" s="37"/>
    </row>
    <row r="693">
      <c r="G693" s="37"/>
      <c r="H693" s="37"/>
      <c r="I693" s="37"/>
    </row>
    <row r="694">
      <c r="G694" s="37"/>
      <c r="H694" s="37"/>
      <c r="I694" s="37"/>
    </row>
    <row r="695">
      <c r="G695" s="37"/>
      <c r="H695" s="37"/>
      <c r="I695" s="37"/>
    </row>
    <row r="696">
      <c r="G696" s="37"/>
      <c r="H696" s="37"/>
      <c r="I696" s="37"/>
    </row>
    <row r="697">
      <c r="G697" s="37"/>
      <c r="H697" s="37"/>
      <c r="I697" s="37"/>
    </row>
    <row r="698">
      <c r="G698" s="37"/>
      <c r="H698" s="37"/>
      <c r="I698" s="37"/>
    </row>
    <row r="699">
      <c r="G699" s="37"/>
      <c r="H699" s="37"/>
      <c r="I699" s="37"/>
    </row>
    <row r="700">
      <c r="G700" s="37"/>
      <c r="H700" s="37"/>
      <c r="I700" s="37"/>
    </row>
    <row r="701">
      <c r="G701" s="37"/>
      <c r="H701" s="37"/>
      <c r="I701" s="37"/>
    </row>
    <row r="702">
      <c r="G702" s="37"/>
      <c r="H702" s="37"/>
      <c r="I702" s="37"/>
    </row>
    <row r="703">
      <c r="G703" s="37"/>
      <c r="H703" s="37"/>
      <c r="I703" s="37"/>
    </row>
    <row r="704">
      <c r="G704" s="37"/>
      <c r="H704" s="37"/>
      <c r="I704" s="37"/>
    </row>
    <row r="705">
      <c r="G705" s="37"/>
      <c r="H705" s="37"/>
      <c r="I705" s="37"/>
    </row>
    <row r="706">
      <c r="G706" s="37"/>
      <c r="H706" s="37"/>
      <c r="I706" s="37"/>
    </row>
    <row r="707">
      <c r="G707" s="37"/>
      <c r="H707" s="37"/>
      <c r="I707" s="37"/>
    </row>
    <row r="708">
      <c r="G708" s="37"/>
      <c r="H708" s="37"/>
      <c r="I708" s="37"/>
    </row>
    <row r="709">
      <c r="G709" s="37"/>
      <c r="H709" s="37"/>
      <c r="I709" s="37"/>
    </row>
    <row r="710">
      <c r="G710" s="37"/>
      <c r="H710" s="37"/>
      <c r="I710" s="37"/>
    </row>
    <row r="711">
      <c r="G711" s="37"/>
      <c r="H711" s="37"/>
      <c r="I711" s="37"/>
    </row>
    <row r="712">
      <c r="G712" s="37"/>
      <c r="H712" s="37"/>
      <c r="I712" s="37"/>
    </row>
    <row r="713">
      <c r="G713" s="37"/>
      <c r="H713" s="37"/>
      <c r="I713" s="37"/>
    </row>
    <row r="714">
      <c r="G714" s="37"/>
      <c r="H714" s="37"/>
      <c r="I714" s="37"/>
    </row>
    <row r="715">
      <c r="G715" s="37"/>
      <c r="H715" s="37"/>
      <c r="I715" s="37"/>
    </row>
    <row r="716">
      <c r="G716" s="37"/>
      <c r="H716" s="37"/>
      <c r="I716" s="37"/>
    </row>
    <row r="717">
      <c r="G717" s="37"/>
      <c r="H717" s="37"/>
      <c r="I717" s="37"/>
    </row>
    <row r="718">
      <c r="G718" s="37"/>
      <c r="H718" s="37"/>
      <c r="I718" s="37"/>
    </row>
    <row r="719">
      <c r="G719" s="37"/>
      <c r="H719" s="37"/>
      <c r="I719" s="37"/>
    </row>
    <row r="720">
      <c r="G720" s="37"/>
      <c r="H720" s="37"/>
      <c r="I720" s="37"/>
    </row>
    <row r="721">
      <c r="G721" s="37"/>
      <c r="H721" s="37"/>
      <c r="I721" s="37"/>
    </row>
    <row r="722">
      <c r="G722" s="37"/>
      <c r="H722" s="37"/>
      <c r="I722" s="37"/>
    </row>
    <row r="723">
      <c r="G723" s="37"/>
      <c r="H723" s="37"/>
      <c r="I723" s="37"/>
    </row>
    <row r="724">
      <c r="G724" s="37"/>
      <c r="H724" s="37"/>
      <c r="I724" s="37"/>
    </row>
    <row r="725">
      <c r="G725" s="37"/>
      <c r="H725" s="37"/>
      <c r="I725" s="37"/>
    </row>
    <row r="726">
      <c r="G726" s="37"/>
      <c r="H726" s="37"/>
      <c r="I726" s="37"/>
    </row>
    <row r="727">
      <c r="G727" s="37"/>
      <c r="H727" s="37"/>
      <c r="I727" s="37"/>
    </row>
    <row r="728">
      <c r="G728" s="37"/>
      <c r="H728" s="37"/>
      <c r="I728" s="37"/>
    </row>
    <row r="729">
      <c r="G729" s="37"/>
      <c r="H729" s="37"/>
      <c r="I729" s="37"/>
    </row>
    <row r="730">
      <c r="G730" s="37"/>
      <c r="H730" s="37"/>
      <c r="I730" s="37"/>
    </row>
    <row r="731">
      <c r="G731" s="37"/>
      <c r="H731" s="37"/>
      <c r="I731" s="37"/>
    </row>
    <row r="732">
      <c r="G732" s="37"/>
      <c r="H732" s="37"/>
      <c r="I732" s="37"/>
    </row>
    <row r="733">
      <c r="G733" s="37"/>
      <c r="H733" s="37"/>
      <c r="I733" s="37"/>
    </row>
    <row r="734">
      <c r="G734" s="37"/>
      <c r="H734" s="37"/>
      <c r="I734" s="37"/>
    </row>
    <row r="735">
      <c r="G735" s="37"/>
      <c r="H735" s="37"/>
      <c r="I735" s="37"/>
    </row>
    <row r="736">
      <c r="G736" s="37"/>
      <c r="H736" s="37"/>
      <c r="I736" s="37"/>
    </row>
    <row r="737">
      <c r="G737" s="37"/>
      <c r="H737" s="37"/>
      <c r="I737" s="37"/>
    </row>
    <row r="738">
      <c r="G738" s="37"/>
      <c r="H738" s="37"/>
      <c r="I738" s="37"/>
    </row>
    <row r="739">
      <c r="G739" s="37"/>
      <c r="H739" s="37"/>
      <c r="I739" s="37"/>
    </row>
    <row r="740">
      <c r="G740" s="37"/>
      <c r="H740" s="37"/>
      <c r="I740" s="37"/>
    </row>
    <row r="741">
      <c r="G741" s="37"/>
      <c r="H741" s="37"/>
      <c r="I741" s="37"/>
    </row>
    <row r="742">
      <c r="G742" s="37"/>
      <c r="H742" s="37"/>
      <c r="I742" s="37"/>
    </row>
    <row r="743">
      <c r="G743" s="37"/>
      <c r="H743" s="37"/>
      <c r="I743" s="37"/>
    </row>
    <row r="744">
      <c r="G744" s="37"/>
      <c r="H744" s="37"/>
      <c r="I744" s="37"/>
    </row>
    <row r="745">
      <c r="G745" s="37"/>
      <c r="H745" s="37"/>
      <c r="I745" s="37"/>
    </row>
    <row r="746">
      <c r="G746" s="37"/>
      <c r="H746" s="37"/>
      <c r="I746" s="37"/>
    </row>
    <row r="747">
      <c r="G747" s="37"/>
      <c r="H747" s="37"/>
      <c r="I747" s="37"/>
    </row>
    <row r="748">
      <c r="G748" s="37"/>
      <c r="H748" s="37"/>
      <c r="I748" s="37"/>
    </row>
    <row r="749">
      <c r="G749" s="37"/>
      <c r="H749" s="37"/>
      <c r="I749" s="37"/>
    </row>
    <row r="750">
      <c r="G750" s="37"/>
      <c r="H750" s="37"/>
      <c r="I750" s="37"/>
    </row>
    <row r="751">
      <c r="G751" s="37"/>
      <c r="H751" s="37"/>
      <c r="I751" s="37"/>
    </row>
    <row r="752">
      <c r="G752" s="37"/>
      <c r="H752" s="37"/>
      <c r="I752" s="37"/>
    </row>
    <row r="753">
      <c r="G753" s="37"/>
      <c r="H753" s="37"/>
      <c r="I753" s="37"/>
    </row>
    <row r="754">
      <c r="G754" s="37"/>
      <c r="H754" s="37"/>
      <c r="I754" s="37"/>
    </row>
    <row r="755">
      <c r="G755" s="37"/>
      <c r="H755" s="37"/>
      <c r="I755" s="37"/>
    </row>
    <row r="756">
      <c r="G756" s="37"/>
      <c r="H756" s="37"/>
      <c r="I756" s="37"/>
    </row>
    <row r="757">
      <c r="G757" s="37"/>
      <c r="H757" s="37"/>
      <c r="I757" s="37"/>
    </row>
    <row r="758">
      <c r="G758" s="37"/>
      <c r="H758" s="37"/>
      <c r="I758" s="37"/>
    </row>
    <row r="759">
      <c r="G759" s="37"/>
      <c r="H759" s="37"/>
      <c r="I759" s="37"/>
    </row>
    <row r="760">
      <c r="G760" s="37"/>
      <c r="H760" s="37"/>
      <c r="I760" s="37"/>
    </row>
    <row r="761">
      <c r="G761" s="37"/>
      <c r="H761" s="37"/>
      <c r="I761" s="37"/>
    </row>
    <row r="762">
      <c r="G762" s="37"/>
      <c r="H762" s="37"/>
      <c r="I762" s="37"/>
    </row>
    <row r="763">
      <c r="G763" s="37"/>
      <c r="H763" s="37"/>
      <c r="I763" s="37"/>
    </row>
    <row r="764">
      <c r="G764" s="37"/>
      <c r="H764" s="37"/>
      <c r="I764" s="37"/>
    </row>
    <row r="765">
      <c r="G765" s="37"/>
      <c r="H765" s="37"/>
      <c r="I765" s="37"/>
    </row>
    <row r="766">
      <c r="G766" s="37"/>
      <c r="H766" s="37"/>
      <c r="I766" s="37"/>
    </row>
    <row r="767">
      <c r="G767" s="37"/>
      <c r="H767" s="37"/>
      <c r="I767" s="37"/>
    </row>
    <row r="768">
      <c r="G768" s="37"/>
      <c r="H768" s="37"/>
      <c r="I768" s="37"/>
    </row>
    <row r="769">
      <c r="G769" s="37"/>
      <c r="H769" s="37"/>
      <c r="I769" s="37"/>
    </row>
    <row r="770">
      <c r="G770" s="37"/>
      <c r="H770" s="37"/>
      <c r="I770" s="37"/>
    </row>
    <row r="771">
      <c r="G771" s="37"/>
      <c r="H771" s="37"/>
      <c r="I771" s="37"/>
    </row>
    <row r="772">
      <c r="G772" s="37"/>
      <c r="H772" s="37"/>
      <c r="I772" s="37"/>
    </row>
    <row r="773">
      <c r="G773" s="37"/>
      <c r="H773" s="37"/>
      <c r="I773" s="37"/>
    </row>
    <row r="774">
      <c r="G774" s="37"/>
      <c r="H774" s="37"/>
      <c r="I774" s="37"/>
    </row>
    <row r="775">
      <c r="G775" s="37"/>
      <c r="H775" s="37"/>
      <c r="I775" s="37"/>
    </row>
    <row r="776">
      <c r="G776" s="37"/>
      <c r="H776" s="37"/>
      <c r="I776" s="37"/>
    </row>
    <row r="777">
      <c r="G777" s="37"/>
      <c r="H777" s="37"/>
      <c r="I777" s="37"/>
    </row>
    <row r="778">
      <c r="G778" s="37"/>
      <c r="H778" s="37"/>
      <c r="I778" s="37"/>
    </row>
    <row r="779">
      <c r="G779" s="37"/>
      <c r="H779" s="37"/>
      <c r="I779" s="37"/>
    </row>
    <row r="780">
      <c r="G780" s="37"/>
      <c r="H780" s="37"/>
      <c r="I780" s="37"/>
    </row>
    <row r="781">
      <c r="G781" s="37"/>
      <c r="H781" s="37"/>
      <c r="I781" s="37"/>
    </row>
    <row r="782">
      <c r="G782" s="37"/>
      <c r="H782" s="37"/>
      <c r="I782" s="37"/>
    </row>
    <row r="783">
      <c r="G783" s="37"/>
      <c r="H783" s="37"/>
      <c r="I783" s="37"/>
    </row>
    <row r="784">
      <c r="G784" s="37"/>
      <c r="H784" s="37"/>
      <c r="I784" s="37"/>
    </row>
    <row r="785">
      <c r="G785" s="37"/>
      <c r="H785" s="37"/>
      <c r="I785" s="37"/>
    </row>
    <row r="786">
      <c r="G786" s="37"/>
      <c r="H786" s="37"/>
      <c r="I786" s="37"/>
    </row>
    <row r="787">
      <c r="G787" s="37"/>
      <c r="H787" s="37"/>
      <c r="I787" s="37"/>
    </row>
    <row r="788">
      <c r="G788" s="37"/>
      <c r="H788" s="37"/>
      <c r="I788" s="37"/>
    </row>
    <row r="789">
      <c r="G789" s="37"/>
      <c r="H789" s="37"/>
      <c r="I789" s="37"/>
    </row>
    <row r="790">
      <c r="G790" s="37"/>
      <c r="H790" s="37"/>
      <c r="I790" s="37"/>
    </row>
    <row r="791">
      <c r="G791" s="37"/>
      <c r="H791" s="37"/>
      <c r="I791" s="37"/>
    </row>
    <row r="792">
      <c r="G792" s="37"/>
      <c r="H792" s="37"/>
      <c r="I792" s="37"/>
    </row>
    <row r="793">
      <c r="G793" s="37"/>
      <c r="H793" s="37"/>
      <c r="I793" s="37"/>
    </row>
    <row r="794">
      <c r="G794" s="37"/>
      <c r="H794" s="37"/>
      <c r="I794" s="37"/>
    </row>
    <row r="795">
      <c r="G795" s="37"/>
      <c r="H795" s="37"/>
      <c r="I795" s="37"/>
    </row>
    <row r="796">
      <c r="G796" s="37"/>
      <c r="H796" s="37"/>
      <c r="I796" s="37"/>
    </row>
    <row r="797">
      <c r="G797" s="37"/>
      <c r="H797" s="37"/>
      <c r="I797" s="37"/>
    </row>
    <row r="798">
      <c r="G798" s="37"/>
      <c r="H798" s="37"/>
      <c r="I798" s="37"/>
    </row>
    <row r="799">
      <c r="G799" s="37"/>
      <c r="H799" s="37"/>
      <c r="I799" s="37"/>
    </row>
    <row r="800">
      <c r="G800" s="37"/>
      <c r="H800" s="37"/>
      <c r="I800" s="37"/>
    </row>
    <row r="801">
      <c r="G801" s="37"/>
      <c r="H801" s="37"/>
      <c r="I801" s="37"/>
    </row>
    <row r="802">
      <c r="G802" s="37"/>
      <c r="H802" s="37"/>
      <c r="I802" s="37"/>
    </row>
    <row r="803">
      <c r="G803" s="37"/>
      <c r="H803" s="37"/>
      <c r="I803" s="37"/>
    </row>
    <row r="804">
      <c r="G804" s="37"/>
      <c r="H804" s="37"/>
      <c r="I804" s="37"/>
    </row>
    <row r="805">
      <c r="G805" s="37"/>
      <c r="H805" s="37"/>
      <c r="I805" s="37"/>
    </row>
    <row r="806">
      <c r="G806" s="37"/>
      <c r="H806" s="37"/>
      <c r="I806" s="37"/>
    </row>
    <row r="807">
      <c r="G807" s="37"/>
      <c r="H807" s="37"/>
      <c r="I807" s="37"/>
    </row>
    <row r="808">
      <c r="G808" s="37"/>
      <c r="H808" s="37"/>
      <c r="I808" s="37"/>
    </row>
    <row r="809">
      <c r="G809" s="37"/>
      <c r="H809" s="37"/>
      <c r="I809" s="37"/>
    </row>
    <row r="810">
      <c r="G810" s="37"/>
      <c r="H810" s="37"/>
      <c r="I810" s="37"/>
    </row>
    <row r="811">
      <c r="G811" s="37"/>
      <c r="H811" s="37"/>
      <c r="I811" s="37"/>
    </row>
    <row r="812">
      <c r="G812" s="37"/>
      <c r="H812" s="37"/>
      <c r="I812" s="37"/>
    </row>
    <row r="813">
      <c r="G813" s="37"/>
      <c r="H813" s="37"/>
      <c r="I813" s="37"/>
    </row>
    <row r="814">
      <c r="G814" s="37"/>
      <c r="H814" s="37"/>
      <c r="I814" s="37"/>
    </row>
    <row r="815">
      <c r="G815" s="37"/>
      <c r="H815" s="37"/>
      <c r="I815" s="37"/>
    </row>
    <row r="816">
      <c r="G816" s="37"/>
      <c r="H816" s="37"/>
      <c r="I816" s="37"/>
    </row>
    <row r="817">
      <c r="G817" s="37"/>
      <c r="H817" s="37"/>
      <c r="I817" s="37"/>
    </row>
    <row r="818">
      <c r="G818" s="37"/>
      <c r="H818" s="37"/>
      <c r="I818" s="37"/>
    </row>
    <row r="819">
      <c r="G819" s="37"/>
      <c r="H819" s="37"/>
      <c r="I819" s="37"/>
    </row>
    <row r="820">
      <c r="G820" s="37"/>
      <c r="H820" s="37"/>
      <c r="I820" s="37"/>
    </row>
    <row r="821">
      <c r="G821" s="37"/>
      <c r="H821" s="37"/>
      <c r="I821" s="37"/>
    </row>
    <row r="822">
      <c r="G822" s="37"/>
      <c r="H822" s="37"/>
      <c r="I822" s="37"/>
    </row>
    <row r="823">
      <c r="G823" s="37"/>
      <c r="H823" s="37"/>
      <c r="I823" s="37"/>
    </row>
    <row r="824">
      <c r="G824" s="37"/>
      <c r="H824" s="37"/>
      <c r="I824" s="37"/>
    </row>
    <row r="825">
      <c r="G825" s="37"/>
      <c r="H825" s="37"/>
      <c r="I825" s="37"/>
    </row>
    <row r="826">
      <c r="G826" s="37"/>
      <c r="H826" s="37"/>
      <c r="I826" s="37"/>
    </row>
    <row r="827">
      <c r="G827" s="37"/>
      <c r="H827" s="37"/>
      <c r="I827" s="37"/>
    </row>
    <row r="828">
      <c r="G828" s="37"/>
      <c r="H828" s="37"/>
      <c r="I828" s="37"/>
    </row>
    <row r="829">
      <c r="G829" s="37"/>
      <c r="H829" s="37"/>
      <c r="I829" s="37"/>
    </row>
    <row r="830">
      <c r="G830" s="37"/>
      <c r="H830" s="37"/>
      <c r="I830" s="37"/>
    </row>
    <row r="831">
      <c r="G831" s="37"/>
      <c r="H831" s="37"/>
      <c r="I831" s="37"/>
    </row>
    <row r="832">
      <c r="G832" s="37"/>
      <c r="H832" s="37"/>
      <c r="I832" s="37"/>
    </row>
    <row r="833">
      <c r="G833" s="37"/>
      <c r="H833" s="37"/>
      <c r="I833" s="37"/>
    </row>
    <row r="834">
      <c r="G834" s="37"/>
      <c r="H834" s="37"/>
      <c r="I834" s="37"/>
    </row>
    <row r="835">
      <c r="G835" s="37"/>
      <c r="H835" s="37"/>
      <c r="I835" s="37"/>
    </row>
    <row r="836">
      <c r="G836" s="37"/>
      <c r="H836" s="37"/>
      <c r="I836" s="37"/>
    </row>
    <row r="837">
      <c r="G837" s="37"/>
      <c r="H837" s="37"/>
      <c r="I837" s="37"/>
    </row>
    <row r="838">
      <c r="G838" s="37"/>
      <c r="H838" s="37"/>
      <c r="I838" s="37"/>
    </row>
    <row r="839">
      <c r="G839" s="37"/>
      <c r="H839" s="37"/>
      <c r="I839" s="37"/>
    </row>
    <row r="840">
      <c r="G840" s="37"/>
      <c r="H840" s="37"/>
      <c r="I840" s="37"/>
    </row>
    <row r="841">
      <c r="G841" s="37"/>
      <c r="H841" s="37"/>
      <c r="I841" s="37"/>
    </row>
    <row r="842">
      <c r="G842" s="37"/>
      <c r="H842" s="37"/>
      <c r="I842" s="37"/>
    </row>
    <row r="843">
      <c r="G843" s="37"/>
      <c r="H843" s="37"/>
      <c r="I843" s="37"/>
    </row>
    <row r="844">
      <c r="G844" s="37"/>
      <c r="H844" s="37"/>
      <c r="I844" s="37"/>
    </row>
    <row r="845">
      <c r="G845" s="37"/>
      <c r="H845" s="37"/>
      <c r="I845" s="37"/>
    </row>
    <row r="846">
      <c r="G846" s="37"/>
      <c r="H846" s="37"/>
      <c r="I846" s="37"/>
    </row>
    <row r="847">
      <c r="G847" s="37"/>
      <c r="H847" s="37"/>
      <c r="I847" s="37"/>
    </row>
    <row r="848">
      <c r="G848" s="37"/>
      <c r="H848" s="37"/>
      <c r="I848" s="37"/>
    </row>
    <row r="849">
      <c r="G849" s="37"/>
      <c r="H849" s="37"/>
      <c r="I849" s="37"/>
    </row>
    <row r="850">
      <c r="G850" s="37"/>
      <c r="H850" s="37"/>
      <c r="I850" s="37"/>
    </row>
    <row r="851">
      <c r="G851" s="37"/>
      <c r="H851" s="37"/>
      <c r="I851" s="37"/>
    </row>
    <row r="852">
      <c r="G852" s="37"/>
      <c r="H852" s="37"/>
      <c r="I852" s="37"/>
    </row>
    <row r="853">
      <c r="G853" s="37"/>
      <c r="H853" s="37"/>
      <c r="I853" s="37"/>
    </row>
    <row r="854">
      <c r="G854" s="37"/>
      <c r="H854" s="37"/>
      <c r="I854" s="37"/>
    </row>
    <row r="855">
      <c r="G855" s="37"/>
      <c r="H855" s="37"/>
      <c r="I855" s="37"/>
    </row>
    <row r="856">
      <c r="G856" s="37"/>
      <c r="H856" s="37"/>
      <c r="I856" s="37"/>
    </row>
    <row r="857">
      <c r="G857" s="37"/>
      <c r="H857" s="37"/>
      <c r="I857" s="37"/>
    </row>
    <row r="858">
      <c r="G858" s="37"/>
      <c r="H858" s="37"/>
      <c r="I858" s="37"/>
    </row>
    <row r="859">
      <c r="G859" s="37"/>
      <c r="H859" s="37"/>
      <c r="I859" s="37"/>
    </row>
    <row r="860">
      <c r="G860" s="37"/>
      <c r="H860" s="37"/>
      <c r="I860" s="37"/>
    </row>
    <row r="861">
      <c r="G861" s="37"/>
      <c r="H861" s="37"/>
      <c r="I861" s="37"/>
    </row>
    <row r="862">
      <c r="G862" s="37"/>
      <c r="H862" s="37"/>
      <c r="I862" s="37"/>
    </row>
    <row r="863">
      <c r="G863" s="37"/>
      <c r="H863" s="37"/>
      <c r="I863" s="37"/>
    </row>
    <row r="864">
      <c r="G864" s="37"/>
      <c r="H864" s="37"/>
      <c r="I864" s="37"/>
    </row>
    <row r="865">
      <c r="G865" s="37"/>
      <c r="H865" s="37"/>
      <c r="I865" s="37"/>
    </row>
    <row r="866">
      <c r="G866" s="37"/>
      <c r="H866" s="37"/>
      <c r="I866" s="37"/>
    </row>
    <row r="867">
      <c r="G867" s="37"/>
      <c r="H867" s="37"/>
      <c r="I867" s="37"/>
    </row>
    <row r="868">
      <c r="G868" s="37"/>
      <c r="H868" s="37"/>
      <c r="I868" s="37"/>
    </row>
    <row r="869">
      <c r="G869" s="37"/>
      <c r="H869" s="37"/>
      <c r="I869" s="37"/>
    </row>
    <row r="870">
      <c r="G870" s="37"/>
      <c r="H870" s="37"/>
      <c r="I870" s="37"/>
    </row>
    <row r="871">
      <c r="G871" s="37"/>
      <c r="H871" s="37"/>
      <c r="I871" s="37"/>
    </row>
    <row r="872">
      <c r="G872" s="37"/>
      <c r="H872" s="37"/>
      <c r="I872" s="37"/>
    </row>
    <row r="873">
      <c r="G873" s="37"/>
      <c r="H873" s="37"/>
      <c r="I873" s="37"/>
    </row>
    <row r="874">
      <c r="G874" s="37"/>
      <c r="H874" s="37"/>
      <c r="I874" s="37"/>
    </row>
    <row r="875">
      <c r="G875" s="37"/>
      <c r="H875" s="37"/>
      <c r="I875" s="37"/>
    </row>
    <row r="876">
      <c r="G876" s="37"/>
      <c r="H876" s="37"/>
      <c r="I876" s="37"/>
    </row>
    <row r="877">
      <c r="G877" s="37"/>
      <c r="H877" s="37"/>
      <c r="I877" s="37"/>
    </row>
    <row r="878">
      <c r="G878" s="37"/>
      <c r="H878" s="37"/>
      <c r="I878" s="37"/>
    </row>
    <row r="879">
      <c r="G879" s="37"/>
      <c r="H879" s="37"/>
      <c r="I879" s="37"/>
    </row>
    <row r="880">
      <c r="G880" s="37"/>
      <c r="H880" s="37"/>
      <c r="I880" s="37"/>
    </row>
    <row r="881">
      <c r="G881" s="37"/>
      <c r="H881" s="37"/>
      <c r="I881" s="37"/>
    </row>
    <row r="882">
      <c r="G882" s="37"/>
      <c r="H882" s="37"/>
      <c r="I882" s="37"/>
    </row>
    <row r="883">
      <c r="G883" s="37"/>
      <c r="H883" s="37"/>
      <c r="I883" s="37"/>
    </row>
    <row r="884">
      <c r="G884" s="37"/>
      <c r="H884" s="37"/>
      <c r="I884" s="37"/>
    </row>
    <row r="885">
      <c r="G885" s="37"/>
      <c r="H885" s="37"/>
      <c r="I885" s="37"/>
    </row>
    <row r="886">
      <c r="G886" s="37"/>
      <c r="H886" s="37"/>
      <c r="I886" s="37"/>
    </row>
    <row r="887">
      <c r="G887" s="37"/>
      <c r="H887" s="37"/>
      <c r="I887" s="37"/>
    </row>
    <row r="888">
      <c r="G888" s="37"/>
      <c r="H888" s="37"/>
      <c r="I888" s="37"/>
    </row>
    <row r="889">
      <c r="G889" s="37"/>
      <c r="H889" s="37"/>
      <c r="I889" s="37"/>
    </row>
    <row r="890">
      <c r="G890" s="37"/>
      <c r="H890" s="37"/>
      <c r="I890" s="37"/>
    </row>
    <row r="891">
      <c r="G891" s="37"/>
      <c r="H891" s="37"/>
      <c r="I891" s="37"/>
    </row>
    <row r="892">
      <c r="G892" s="37"/>
      <c r="H892" s="37"/>
      <c r="I892" s="37"/>
    </row>
    <row r="893">
      <c r="G893" s="37"/>
      <c r="H893" s="37"/>
      <c r="I893" s="37"/>
    </row>
    <row r="894">
      <c r="G894" s="37"/>
      <c r="H894" s="37"/>
      <c r="I894" s="37"/>
    </row>
    <row r="895">
      <c r="G895" s="37"/>
      <c r="H895" s="37"/>
      <c r="I895" s="37"/>
    </row>
    <row r="896">
      <c r="G896" s="37"/>
      <c r="H896" s="37"/>
      <c r="I896" s="37"/>
    </row>
    <row r="897">
      <c r="G897" s="37"/>
      <c r="H897" s="37"/>
      <c r="I897" s="37"/>
    </row>
    <row r="898">
      <c r="G898" s="37"/>
      <c r="H898" s="37"/>
      <c r="I898" s="37"/>
    </row>
    <row r="899">
      <c r="G899" s="37"/>
      <c r="H899" s="37"/>
      <c r="I899" s="37"/>
    </row>
    <row r="900">
      <c r="G900" s="37"/>
      <c r="H900" s="37"/>
      <c r="I900" s="37"/>
    </row>
    <row r="901">
      <c r="G901" s="37"/>
      <c r="H901" s="37"/>
      <c r="I901" s="37"/>
    </row>
    <row r="902">
      <c r="G902" s="37"/>
      <c r="H902" s="37"/>
      <c r="I902" s="37"/>
    </row>
    <row r="903">
      <c r="G903" s="37"/>
      <c r="H903" s="37"/>
      <c r="I903" s="37"/>
    </row>
    <row r="904">
      <c r="G904" s="37"/>
      <c r="H904" s="37"/>
      <c r="I904" s="37"/>
    </row>
    <row r="905">
      <c r="G905" s="37"/>
      <c r="H905" s="37"/>
      <c r="I905" s="37"/>
    </row>
    <row r="906">
      <c r="G906" s="37"/>
      <c r="H906" s="37"/>
      <c r="I906" s="37"/>
    </row>
    <row r="907">
      <c r="G907" s="37"/>
      <c r="H907" s="37"/>
      <c r="I907" s="37"/>
    </row>
    <row r="908">
      <c r="G908" s="37"/>
      <c r="H908" s="37"/>
      <c r="I908" s="37"/>
    </row>
    <row r="909">
      <c r="G909" s="37"/>
      <c r="H909" s="37"/>
      <c r="I909" s="37"/>
    </row>
    <row r="910">
      <c r="G910" s="37"/>
      <c r="H910" s="37"/>
      <c r="I910" s="37"/>
    </row>
    <row r="911">
      <c r="G911" s="37"/>
      <c r="H911" s="37"/>
      <c r="I911" s="37"/>
    </row>
    <row r="912">
      <c r="G912" s="37"/>
      <c r="H912" s="37"/>
      <c r="I912" s="37"/>
    </row>
    <row r="913">
      <c r="G913" s="37"/>
      <c r="H913" s="37"/>
      <c r="I913" s="37"/>
    </row>
    <row r="914">
      <c r="G914" s="37"/>
      <c r="H914" s="37"/>
      <c r="I914" s="37"/>
    </row>
    <row r="915">
      <c r="G915" s="37"/>
      <c r="H915" s="37"/>
      <c r="I915" s="37"/>
    </row>
    <row r="916">
      <c r="G916" s="37"/>
      <c r="H916" s="37"/>
      <c r="I916" s="37"/>
    </row>
    <row r="917">
      <c r="G917" s="37"/>
      <c r="H917" s="37"/>
      <c r="I917" s="37"/>
    </row>
    <row r="918">
      <c r="G918" s="37"/>
      <c r="H918" s="37"/>
      <c r="I918" s="37"/>
    </row>
    <row r="919">
      <c r="G919" s="37"/>
      <c r="H919" s="37"/>
      <c r="I919" s="37"/>
    </row>
    <row r="920">
      <c r="G920" s="37"/>
      <c r="H920" s="37"/>
      <c r="I920" s="37"/>
    </row>
    <row r="921">
      <c r="G921" s="37"/>
      <c r="H921" s="37"/>
      <c r="I921" s="37"/>
    </row>
    <row r="922">
      <c r="G922" s="37"/>
      <c r="H922" s="37"/>
      <c r="I922" s="37"/>
    </row>
    <row r="923">
      <c r="G923" s="37"/>
      <c r="H923" s="37"/>
      <c r="I923" s="37"/>
    </row>
    <row r="924">
      <c r="G924" s="37"/>
      <c r="H924" s="37"/>
      <c r="I924" s="37"/>
    </row>
    <row r="925">
      <c r="G925" s="37"/>
      <c r="H925" s="37"/>
      <c r="I925" s="37"/>
    </row>
    <row r="926">
      <c r="G926" s="37"/>
      <c r="H926" s="37"/>
      <c r="I926" s="37"/>
    </row>
    <row r="927">
      <c r="G927" s="37"/>
      <c r="H927" s="37"/>
      <c r="I927" s="37"/>
    </row>
    <row r="928">
      <c r="G928" s="37"/>
      <c r="H928" s="37"/>
      <c r="I928" s="37"/>
    </row>
    <row r="929">
      <c r="G929" s="37"/>
      <c r="H929" s="37"/>
      <c r="I929" s="37"/>
    </row>
    <row r="930">
      <c r="G930" s="37"/>
      <c r="H930" s="37"/>
      <c r="I930" s="37"/>
    </row>
    <row r="931">
      <c r="G931" s="37"/>
      <c r="H931" s="37"/>
      <c r="I931" s="37"/>
    </row>
    <row r="932">
      <c r="G932" s="37"/>
      <c r="H932" s="37"/>
      <c r="I932" s="37"/>
    </row>
    <row r="933">
      <c r="G933" s="37"/>
      <c r="H933" s="37"/>
      <c r="I933" s="37"/>
    </row>
    <row r="934">
      <c r="G934" s="37"/>
      <c r="H934" s="37"/>
      <c r="I934" s="37"/>
    </row>
    <row r="935">
      <c r="G935" s="37"/>
      <c r="H935" s="37"/>
      <c r="I935" s="37"/>
    </row>
    <row r="936">
      <c r="G936" s="37"/>
      <c r="H936" s="37"/>
      <c r="I936" s="37"/>
    </row>
    <row r="937">
      <c r="G937" s="37"/>
      <c r="H937" s="37"/>
      <c r="I937" s="37"/>
    </row>
    <row r="938">
      <c r="G938" s="37"/>
      <c r="H938" s="37"/>
      <c r="I938" s="37"/>
    </row>
    <row r="939">
      <c r="G939" s="37"/>
      <c r="H939" s="37"/>
      <c r="I939" s="37"/>
    </row>
    <row r="940">
      <c r="G940" s="37"/>
      <c r="H940" s="37"/>
      <c r="I940" s="37"/>
    </row>
    <row r="941">
      <c r="G941" s="37"/>
      <c r="H941" s="37"/>
      <c r="I941" s="37"/>
    </row>
    <row r="942">
      <c r="G942" s="37"/>
      <c r="H942" s="37"/>
      <c r="I942" s="37"/>
    </row>
    <row r="943">
      <c r="G943" s="37"/>
      <c r="H943" s="37"/>
      <c r="I943" s="37"/>
    </row>
    <row r="944">
      <c r="G944" s="37"/>
      <c r="H944" s="37"/>
      <c r="I944" s="37"/>
    </row>
    <row r="945">
      <c r="G945" s="37"/>
      <c r="H945" s="37"/>
      <c r="I945" s="37"/>
    </row>
    <row r="946">
      <c r="G946" s="37"/>
      <c r="H946" s="37"/>
      <c r="I946" s="37"/>
    </row>
    <row r="947">
      <c r="G947" s="37"/>
      <c r="H947" s="37"/>
      <c r="I947" s="37"/>
    </row>
    <row r="948">
      <c r="G948" s="37"/>
      <c r="H948" s="37"/>
      <c r="I948" s="37"/>
    </row>
    <row r="949">
      <c r="G949" s="37"/>
      <c r="H949" s="37"/>
      <c r="I949" s="37"/>
    </row>
    <row r="950">
      <c r="G950" s="37"/>
      <c r="H950" s="37"/>
      <c r="I950" s="37"/>
    </row>
    <row r="951">
      <c r="G951" s="37"/>
      <c r="H951" s="37"/>
      <c r="I951" s="37"/>
    </row>
    <row r="952">
      <c r="G952" s="37"/>
      <c r="H952" s="37"/>
      <c r="I952" s="37"/>
    </row>
    <row r="953">
      <c r="G953" s="37"/>
      <c r="H953" s="37"/>
      <c r="I953" s="37"/>
    </row>
    <row r="954">
      <c r="G954" s="37"/>
      <c r="H954" s="37"/>
      <c r="I954" s="37"/>
    </row>
    <row r="955">
      <c r="G955" s="37"/>
      <c r="H955" s="37"/>
      <c r="I955" s="37"/>
    </row>
    <row r="956">
      <c r="G956" s="37"/>
      <c r="H956" s="37"/>
      <c r="I956" s="37"/>
    </row>
    <row r="957">
      <c r="G957" s="37"/>
      <c r="H957" s="37"/>
      <c r="I957" s="37"/>
    </row>
    <row r="958">
      <c r="G958" s="37"/>
      <c r="H958" s="37"/>
      <c r="I958" s="37"/>
    </row>
    <row r="959">
      <c r="G959" s="37"/>
      <c r="H959" s="37"/>
      <c r="I959" s="37"/>
    </row>
    <row r="960">
      <c r="G960" s="37"/>
      <c r="H960" s="37"/>
      <c r="I960" s="37"/>
    </row>
    <row r="961">
      <c r="G961" s="37"/>
      <c r="H961" s="37"/>
      <c r="I961" s="37"/>
    </row>
    <row r="962">
      <c r="G962" s="37"/>
      <c r="H962" s="37"/>
      <c r="I962" s="37"/>
    </row>
    <row r="963">
      <c r="G963" s="37"/>
      <c r="H963" s="37"/>
      <c r="I963" s="37"/>
    </row>
    <row r="964">
      <c r="G964" s="37"/>
      <c r="H964" s="37"/>
      <c r="I964" s="37"/>
    </row>
    <row r="965">
      <c r="G965" s="37"/>
      <c r="H965" s="37"/>
      <c r="I965" s="37"/>
    </row>
    <row r="966">
      <c r="G966" s="37"/>
      <c r="H966" s="37"/>
      <c r="I966" s="37"/>
    </row>
    <row r="967">
      <c r="G967" s="37"/>
      <c r="H967" s="37"/>
      <c r="I967" s="37"/>
    </row>
    <row r="968">
      <c r="G968" s="37"/>
      <c r="H968" s="37"/>
      <c r="I968" s="37"/>
    </row>
    <row r="969">
      <c r="G969" s="37"/>
      <c r="H969" s="37"/>
      <c r="I969" s="37"/>
    </row>
    <row r="970">
      <c r="G970" s="37"/>
      <c r="H970" s="37"/>
      <c r="I970" s="37"/>
    </row>
    <row r="971">
      <c r="G971" s="37"/>
      <c r="H971" s="37"/>
      <c r="I971" s="37"/>
    </row>
    <row r="972">
      <c r="G972" s="37"/>
      <c r="H972" s="37"/>
      <c r="I972" s="37"/>
    </row>
    <row r="973">
      <c r="G973" s="37"/>
      <c r="H973" s="37"/>
      <c r="I973" s="37"/>
    </row>
    <row r="974">
      <c r="G974" s="37"/>
      <c r="H974" s="37"/>
      <c r="I974" s="37"/>
    </row>
    <row r="975">
      <c r="G975" s="37"/>
      <c r="H975" s="37"/>
      <c r="I975" s="37"/>
    </row>
    <row r="976">
      <c r="G976" s="37"/>
      <c r="H976" s="37"/>
      <c r="I976" s="37"/>
    </row>
    <row r="977">
      <c r="G977" s="37"/>
      <c r="H977" s="37"/>
      <c r="I977" s="37"/>
    </row>
    <row r="978">
      <c r="G978" s="37"/>
      <c r="H978" s="37"/>
      <c r="I978" s="37"/>
    </row>
    <row r="979">
      <c r="G979" s="37"/>
      <c r="H979" s="37"/>
      <c r="I979" s="37"/>
    </row>
    <row r="980">
      <c r="G980" s="37"/>
      <c r="H980" s="37"/>
      <c r="I980" s="37"/>
    </row>
    <row r="981">
      <c r="G981" s="37"/>
      <c r="H981" s="37"/>
      <c r="I981" s="37"/>
    </row>
    <row r="982">
      <c r="G982" s="37"/>
      <c r="H982" s="37"/>
      <c r="I982" s="37"/>
    </row>
    <row r="983">
      <c r="G983" s="37"/>
      <c r="H983" s="37"/>
      <c r="I983" s="37"/>
    </row>
    <row r="984">
      <c r="G984" s="37"/>
      <c r="H984" s="37"/>
      <c r="I984" s="37"/>
    </row>
    <row r="985">
      <c r="G985" s="37"/>
      <c r="H985" s="37"/>
      <c r="I985" s="37"/>
    </row>
    <row r="986">
      <c r="G986" s="37"/>
      <c r="H986" s="37"/>
      <c r="I986" s="37"/>
    </row>
    <row r="987">
      <c r="G987" s="37"/>
      <c r="H987" s="37"/>
      <c r="I987" s="37"/>
    </row>
    <row r="988">
      <c r="G988" s="37"/>
      <c r="H988" s="37"/>
      <c r="I988" s="37"/>
    </row>
    <row r="989">
      <c r="G989" s="37"/>
      <c r="H989" s="37"/>
      <c r="I989" s="37"/>
    </row>
    <row r="990">
      <c r="G990" s="37"/>
      <c r="H990" s="37"/>
      <c r="I990" s="37"/>
    </row>
    <row r="991">
      <c r="G991" s="37"/>
      <c r="H991" s="37"/>
      <c r="I991" s="37"/>
    </row>
    <row r="992">
      <c r="G992" s="37"/>
      <c r="H992" s="37"/>
      <c r="I992" s="37"/>
    </row>
    <row r="993">
      <c r="G993" s="37"/>
      <c r="H993" s="37"/>
      <c r="I993" s="37"/>
    </row>
    <row r="994">
      <c r="G994" s="37"/>
      <c r="H994" s="37"/>
      <c r="I994" s="37"/>
    </row>
    <row r="995">
      <c r="G995" s="37"/>
      <c r="H995" s="37"/>
      <c r="I995" s="37"/>
    </row>
    <row r="996">
      <c r="G996" s="37"/>
      <c r="H996" s="37"/>
      <c r="I996" s="37"/>
    </row>
    <row r="997">
      <c r="G997" s="37"/>
      <c r="H997" s="37"/>
      <c r="I997" s="37"/>
    </row>
    <row r="998">
      <c r="G998" s="37"/>
      <c r="H998" s="37"/>
      <c r="I998" s="37"/>
    </row>
    <row r="999">
      <c r="G999" s="37"/>
      <c r="H999" s="37"/>
      <c r="I999" s="37"/>
    </row>
    <row r="1000">
      <c r="G1000" s="37"/>
      <c r="H1000" s="37"/>
      <c r="I1000" s="37"/>
    </row>
  </sheetData>
  <conditionalFormatting sqref="I2:I1000">
    <cfRule type="expression" dxfId="1" priority="1">
      <formula>AND(if(E2=F2,True,False),I2)</formula>
    </cfRule>
  </conditionalFormatting>
  <conditionalFormatting sqref="I2:I1000">
    <cfRule type="expression" dxfId="0" priority="2">
      <formula>AND(E2&lt;&gt;F2,I2)</formula>
    </cfRule>
  </conditionalFormatting>
  <dataValidations>
    <dataValidation type="list" allowBlank="1" showErrorMessage="1" sqref="A2:A229">
      <formula1>Quests!$A$2:$A1000</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D85C6"/>
    <outlinePr summaryBelow="0" summaryRight="0"/>
  </sheetPr>
  <sheetViews>
    <sheetView workbookViewId="0"/>
  </sheetViews>
  <sheetFormatPr customHeight="1" defaultColWidth="12.63" defaultRowHeight="15.75"/>
  <cols>
    <col customWidth="1" min="1" max="1" width="25.75"/>
  </cols>
  <sheetData>
    <row r="1">
      <c r="A1" s="38" t="s">
        <v>266</v>
      </c>
      <c r="B1" s="38" t="s">
        <v>267</v>
      </c>
    </row>
    <row r="2">
      <c r="A2" s="16"/>
      <c r="B2" s="16" t="str">
        <f>IFNA(VLOOKUP($A2,Towns!$A$2:$F1000,MATCH($B$1,Towns!$A$1:$F$1,0),false))</f>
        <v/>
      </c>
    </row>
    <row r="3">
      <c r="A3" s="16"/>
      <c r="B3" s="16" t="str">
        <f>IFNA(VLOOKUP($A3,Towns!$A$2:$F1000,MATCH($B$1,Towns!$A$1:$F$1,0),false))</f>
        <v/>
      </c>
    </row>
    <row r="4">
      <c r="A4" s="16"/>
      <c r="B4" s="16" t="str">
        <f>IFNA(VLOOKUP($A4,Towns!$A$2:$F1000,MATCH($B$1,Towns!$A$1:$F$1,0),false))</f>
        <v/>
      </c>
    </row>
    <row r="5">
      <c r="A5" s="16"/>
      <c r="B5" s="16" t="str">
        <f>IFNA(VLOOKUP($A5,Towns!$A$2:$F1000,MATCH($B$1,Towns!$A$1:$F$1,0),false))</f>
        <v/>
      </c>
    </row>
    <row r="6">
      <c r="A6" s="16"/>
      <c r="B6" s="16" t="str">
        <f>IFNA(VLOOKUP($A6,Towns!$A$2:$F1000,MATCH($B$1,Towns!$A$1:$F$1,0),false))</f>
        <v/>
      </c>
    </row>
    <row r="7">
      <c r="A7" s="16"/>
      <c r="B7" s="16" t="str">
        <f>IFNA(VLOOKUP($A7,Towns!$A$2:$F1000,MATCH($B$1,Towns!$A$1:$F$1,0),false))</f>
        <v/>
      </c>
    </row>
    <row r="8">
      <c r="A8" s="16"/>
      <c r="B8" s="16" t="str">
        <f>IFNA(VLOOKUP($A8,Towns!$A$2:$F1000,MATCH($B$1,Towns!$A$1:$F$1,0),false))</f>
        <v/>
      </c>
    </row>
    <row r="9">
      <c r="A9" s="16"/>
      <c r="B9" s="16" t="str">
        <f>IFNA(VLOOKUP($A9,Towns!$A$2:$F1000,MATCH($B$1,Towns!$A$1:$F$1,0),false))</f>
        <v/>
      </c>
    </row>
    <row r="10">
      <c r="A10" s="16"/>
      <c r="B10" s="16" t="str">
        <f>IFNA(VLOOKUP($A10,Towns!$A$2:$F1000,MATCH($B$1,Towns!$A$1:$F$1,0),false))</f>
        <v/>
      </c>
    </row>
    <row r="11">
      <c r="A11" s="16"/>
      <c r="B11" s="16" t="str">
        <f>IFNA(VLOOKUP($A11,Towns!$A$2:$F1000,MATCH($B$1,Towns!$A$1:$F$1,0),false))</f>
        <v/>
      </c>
    </row>
    <row r="12">
      <c r="A12" s="16"/>
      <c r="B12" s="16" t="str">
        <f>IFNA(VLOOKUP($A12,Towns!$A$2:$F1000,MATCH($B$1,Towns!$A$1:$F$1,0),false))</f>
        <v/>
      </c>
    </row>
    <row r="13">
      <c r="A13" s="16"/>
      <c r="B13" s="16" t="str">
        <f>IFNA(VLOOKUP($A13,Towns!$A$2:$F1000,MATCH($B$1,Towns!$A$1:$F$1,0),false))</f>
        <v/>
      </c>
    </row>
    <row r="14">
      <c r="A14" s="16"/>
      <c r="B14" s="16" t="str">
        <f>IFNA(VLOOKUP($A14,Towns!$A$2:$F1000,MATCH($B$1,Towns!$A$1:$F$1,0),false))</f>
        <v/>
      </c>
    </row>
    <row r="15">
      <c r="A15" s="16"/>
      <c r="B15" s="16" t="str">
        <f>IFNA(VLOOKUP($A15,Towns!$A$2:$F1000,MATCH($B$1,Towns!$A$1:$F$1,0),false))</f>
        <v/>
      </c>
    </row>
    <row r="16">
      <c r="A16" s="16"/>
      <c r="B16" s="16" t="str">
        <f>IFNA(VLOOKUP($A16,Towns!$A$2:$F1000,MATCH($B$1,Towns!$A$1:$F$1,0),false))</f>
        <v/>
      </c>
    </row>
    <row r="17">
      <c r="A17" s="16"/>
      <c r="B17" s="16" t="str">
        <f>IFNA(VLOOKUP($A17,Towns!$A$2:$F1000,MATCH($B$1,Towns!$A$1:$F$1,0),false))</f>
        <v/>
      </c>
    </row>
    <row r="18">
      <c r="A18" s="16"/>
      <c r="B18" s="16" t="str">
        <f>IFNA(VLOOKUP($A18,Towns!$A$2:$F1000,MATCH($B$1,Towns!$A$1:$F$1,0),false))</f>
        <v/>
      </c>
    </row>
    <row r="19">
      <c r="A19" s="16"/>
      <c r="B19" s="16" t="str">
        <f>IFNA(VLOOKUP($A19,Towns!$A$2:$F1000,MATCH($B$1,Towns!$A$1:$F$1,0),false))</f>
        <v/>
      </c>
    </row>
    <row r="20">
      <c r="A20" s="16"/>
      <c r="B20" s="16" t="str">
        <f>IFNA(VLOOKUP($A20,Towns!$A$2:$F1000,MATCH($B$1,Towns!$A$1:$F$1,0),false))</f>
        <v/>
      </c>
    </row>
    <row r="21">
      <c r="A21" s="16"/>
      <c r="B21" s="16" t="str">
        <f>IFNA(VLOOKUP($A21,Towns!$A$2:$F1000,MATCH($B$1,Towns!$A$1:$F$1,0),false))</f>
        <v/>
      </c>
    </row>
    <row r="22">
      <c r="A22" s="16"/>
      <c r="B22" s="16" t="str">
        <f>IFNA(VLOOKUP($A22,Towns!$A$2:$F1000,MATCH($B$1,Towns!$A$1:$F$1,0),false))</f>
        <v/>
      </c>
    </row>
    <row r="23">
      <c r="A23" s="16"/>
      <c r="B23" s="16" t="str">
        <f>IFNA(VLOOKUP($A23,Towns!$A$2:$F1000,MATCH($B$1,Towns!$A$1:$F$1,0),false))</f>
        <v/>
      </c>
    </row>
    <row r="24">
      <c r="A24" s="16"/>
      <c r="B24" s="16" t="str">
        <f>IFNA(VLOOKUP($A24,Towns!$A$2:$F1000,MATCH($B$1,Towns!$A$1:$F$1,0),false))</f>
        <v/>
      </c>
    </row>
    <row r="25">
      <c r="A25" s="16"/>
      <c r="B25" s="16" t="str">
        <f>IFNA(VLOOKUP($A25,Towns!$A$2:$F1000,MATCH($B$1,Towns!$A$1:$F$1,0),false))</f>
        <v/>
      </c>
    </row>
    <row r="26">
      <c r="A26" s="16"/>
      <c r="B26" s="16" t="str">
        <f>IFNA(VLOOKUP($A26,Towns!$A$2:$F1000,MATCH($B$1,Towns!$A$1:$F$1,0),false))</f>
        <v/>
      </c>
    </row>
    <row r="27">
      <c r="A27" s="16"/>
      <c r="B27" s="16" t="str">
        <f>IFNA(VLOOKUP($A27,Towns!$A$2:$F1000,MATCH($B$1,Towns!$A$1:$F$1,0),false))</f>
        <v/>
      </c>
    </row>
    <row r="28">
      <c r="A28" s="16"/>
      <c r="B28" s="16" t="str">
        <f>IFNA(VLOOKUP($A28,Towns!$A$2:$F1000,MATCH($B$1,Towns!$A$1:$F$1,0),false))</f>
        <v/>
      </c>
    </row>
    <row r="29">
      <c r="A29" s="16"/>
      <c r="B29" s="16" t="str">
        <f>IFNA(VLOOKUP($A29,Towns!$A$2:$F1000,MATCH($B$1,Towns!$A$1:$F$1,0),false))</f>
        <v/>
      </c>
    </row>
    <row r="30">
      <c r="A30" s="16"/>
      <c r="B30" s="16" t="str">
        <f>IFNA(VLOOKUP($A30,Towns!$A$2:$F1000,MATCH($B$1,Towns!$A$1:$F$1,0),false))</f>
        <v/>
      </c>
    </row>
    <row r="31">
      <c r="A31" s="16"/>
      <c r="B31" s="16" t="str">
        <f>IFNA(VLOOKUP($A31,Towns!$A$2:$F1000,MATCH($B$1,Towns!$A$1:$F$1,0),false))</f>
        <v/>
      </c>
    </row>
    <row r="32">
      <c r="A32" s="16"/>
      <c r="B32" s="16" t="str">
        <f>IFNA(VLOOKUP($A32,Towns!$A$2:$F1000,MATCH($B$1,Towns!$A$1:$F$1,0),false))</f>
        <v/>
      </c>
    </row>
    <row r="33">
      <c r="A33" s="16"/>
      <c r="B33" s="16" t="str">
        <f>IFNA(VLOOKUP($A33,Towns!$A$2:$F1000,MATCH($B$1,Towns!$A$1:$F$1,0),false))</f>
        <v/>
      </c>
    </row>
    <row r="34">
      <c r="A34" s="16"/>
      <c r="B34" s="16" t="str">
        <f>IFNA(VLOOKUP($A34,Towns!$A$2:$F1000,MATCH($B$1,Towns!$A$1:$F$1,0),false))</f>
        <v/>
      </c>
    </row>
    <row r="35">
      <c r="A35" s="16"/>
      <c r="B35" s="16" t="str">
        <f>IFNA(VLOOKUP($A35,Towns!$A$2:$F1000,MATCH($B$1,Towns!$A$1:$F$1,0),false))</f>
        <v/>
      </c>
    </row>
    <row r="36">
      <c r="A36" s="16"/>
      <c r="B36" s="16" t="str">
        <f>IFNA(VLOOKUP($A36,Towns!$A$2:$F1000,MATCH($B$1,Towns!$A$1:$F$1,0),false))</f>
        <v/>
      </c>
    </row>
    <row r="37">
      <c r="A37" s="16"/>
      <c r="B37" s="16" t="str">
        <f>IFNA(VLOOKUP($A37,Towns!$A$2:$F1000,MATCH($B$1,Towns!$A$1:$F$1,0),false))</f>
        <v/>
      </c>
    </row>
    <row r="38">
      <c r="A38" s="16"/>
      <c r="B38" s="16" t="str">
        <f>IFNA(VLOOKUP($A38,Towns!$A$2:$F1000,MATCH($B$1,Towns!$A$1:$F$1,0),false))</f>
        <v/>
      </c>
    </row>
    <row r="39">
      <c r="A39" s="16"/>
      <c r="B39" s="16" t="str">
        <f>IFNA(VLOOKUP($A39,Towns!$A$2:$F1000,MATCH($B$1,Towns!$A$1:$F$1,0),false))</f>
        <v/>
      </c>
    </row>
    <row r="40">
      <c r="A40" s="16"/>
      <c r="B40" s="16" t="str">
        <f>IFNA(VLOOKUP($A40,Towns!$A$2:$F1000,MATCH($B$1,Towns!$A$1:$F$1,0),false))</f>
        <v/>
      </c>
    </row>
    <row r="41">
      <c r="A41" s="16"/>
      <c r="B41" s="16" t="str">
        <f>IFNA(VLOOKUP($A41,Towns!$A$2:$F1000,MATCH($B$1,Towns!$A$1:$F$1,0),false))</f>
        <v/>
      </c>
    </row>
    <row r="42">
      <c r="A42" s="16"/>
      <c r="B42" s="16" t="str">
        <f>IFNA(VLOOKUP($A42,Towns!$A$2:$F1000,MATCH($B$1,Towns!$A$1:$F$1,0),false))</f>
        <v/>
      </c>
    </row>
    <row r="43">
      <c r="A43" s="16"/>
      <c r="B43" s="16" t="str">
        <f>IFNA(VLOOKUP($A43,Towns!$A$2:$F1000,MATCH($B$1,Towns!$A$1:$F$1,0),false))</f>
        <v/>
      </c>
    </row>
    <row r="44">
      <c r="A44" s="16"/>
      <c r="B44" s="16" t="str">
        <f>IFNA(VLOOKUP($A44,Towns!$A$2:$F1000,MATCH($B$1,Towns!$A$1:$F$1,0),false))</f>
        <v/>
      </c>
    </row>
    <row r="45">
      <c r="A45" s="16"/>
      <c r="B45" s="16" t="str">
        <f>IFNA(VLOOKUP($A45,Towns!$A$2:$F1000,MATCH($B$1,Towns!$A$1:$F$1,0),false))</f>
        <v/>
      </c>
    </row>
    <row r="46">
      <c r="A46" s="16"/>
      <c r="B46" s="16" t="str">
        <f>IFNA(VLOOKUP($A46,Towns!$A$2:$F1000,MATCH($B$1,Towns!$A$1:$F$1,0),false))</f>
        <v/>
      </c>
    </row>
    <row r="47">
      <c r="A47" s="16"/>
      <c r="B47" s="16" t="str">
        <f>IFNA(VLOOKUP($A47,Towns!$A$2:$F1000,MATCH($B$1,Towns!$A$1:$F$1,0),false))</f>
        <v/>
      </c>
    </row>
    <row r="48">
      <c r="A48" s="16"/>
      <c r="B48" s="16" t="str">
        <f>IFNA(VLOOKUP($A48,Towns!$A$2:$F1000,MATCH($B$1,Towns!$A$1:$F$1,0),false))</f>
        <v/>
      </c>
    </row>
    <row r="49">
      <c r="A49" s="16"/>
      <c r="B49" s="16" t="str">
        <f>IFNA(VLOOKUP($A49,Towns!$A$2:$F1000,MATCH($B$1,Towns!$A$1:$F$1,0),false))</f>
        <v/>
      </c>
    </row>
    <row r="50">
      <c r="A50" s="16"/>
      <c r="B50" s="16" t="str">
        <f>IFNA(VLOOKUP($A50,Towns!$A$2:$F1000,MATCH($B$1,Towns!$A$1:$F$1,0),false))</f>
        <v/>
      </c>
    </row>
    <row r="51">
      <c r="A51" s="16"/>
      <c r="B51" s="16" t="str">
        <f>IFNA(VLOOKUP($A51,Towns!$A$2:$F1000,MATCH($B$1,Towns!$A$1:$F$1,0),false))</f>
        <v/>
      </c>
    </row>
    <row r="52">
      <c r="A52" s="16"/>
      <c r="B52" s="16" t="str">
        <f>IFNA(VLOOKUP($A52,Towns!$A$2:$F1000,MATCH($B$1,Towns!$A$1:$F$1,0),false))</f>
        <v/>
      </c>
    </row>
    <row r="53">
      <c r="A53" s="16"/>
      <c r="B53" s="16" t="str">
        <f>IFNA(VLOOKUP($A53,Towns!$A$2:$F1000,MATCH($B$1,Towns!$A$1:$F$1,0),false))</f>
        <v/>
      </c>
    </row>
    <row r="54">
      <c r="A54" s="16"/>
      <c r="B54" s="16" t="str">
        <f>IFNA(VLOOKUP($A54,Towns!$A$2:$F1000,MATCH($B$1,Towns!$A$1:$F$1,0),false))</f>
        <v/>
      </c>
    </row>
    <row r="55">
      <c r="A55" s="16"/>
      <c r="B55" s="16" t="str">
        <f>IFNA(VLOOKUP($A55,Towns!$A$2:$F1000,MATCH($B$1,Towns!$A$1:$F$1,0),false))</f>
        <v/>
      </c>
    </row>
    <row r="56">
      <c r="A56" s="16"/>
      <c r="B56" s="16" t="str">
        <f>IFNA(VLOOKUP($A56,Towns!$A$2:$F1000,MATCH($B$1,Towns!$A$1:$F$1,0),false))</f>
        <v/>
      </c>
    </row>
    <row r="57">
      <c r="A57" s="16"/>
      <c r="B57" s="16" t="str">
        <f>IFNA(VLOOKUP($A57,Towns!$A$2:$F1000,MATCH($B$1,Towns!$A$1:$F$1,0),false))</f>
        <v/>
      </c>
    </row>
    <row r="58">
      <c r="A58" s="16"/>
      <c r="B58" s="16" t="str">
        <f>IFNA(VLOOKUP($A58,Towns!$A$2:$F1000,MATCH($B$1,Towns!$A$1:$F$1,0),false))</f>
        <v/>
      </c>
    </row>
    <row r="59">
      <c r="A59" s="16"/>
      <c r="B59" s="16" t="str">
        <f>IFNA(VLOOKUP($A59,Towns!$A$2:$F1000,MATCH($B$1,Towns!$A$1:$F$1,0),false))</f>
        <v/>
      </c>
    </row>
    <row r="60">
      <c r="A60" s="16"/>
      <c r="B60" s="16" t="str">
        <f>IFNA(VLOOKUP($A60,Towns!$A$2:$F1000,MATCH($B$1,Towns!$A$1:$F$1,0),false))</f>
        <v/>
      </c>
    </row>
    <row r="61">
      <c r="A61" s="16"/>
      <c r="B61" s="16" t="str">
        <f>IFNA(VLOOKUP($A61,Towns!$A$2:$F1000,MATCH($B$1,Towns!$A$1:$F$1,0),false))</f>
        <v/>
      </c>
    </row>
    <row r="62">
      <c r="A62" s="16"/>
      <c r="B62" s="16" t="str">
        <f>IFNA(VLOOKUP($A62,Towns!$A$2:$F1000,MATCH($B$1,Towns!$A$1:$F$1,0),false))</f>
        <v/>
      </c>
    </row>
    <row r="63">
      <c r="A63" s="16"/>
      <c r="B63" s="16" t="str">
        <f>IFNA(VLOOKUP($A63,Towns!$A$2:$F1000,MATCH($B$1,Towns!$A$1:$F$1,0),false))</f>
        <v/>
      </c>
    </row>
    <row r="64">
      <c r="A64" s="16"/>
      <c r="B64" s="16" t="str">
        <f>IFNA(VLOOKUP($A64,Towns!$A$2:$F1000,MATCH($B$1,Towns!$A$1:$F$1,0),false))</f>
        <v/>
      </c>
    </row>
    <row r="65">
      <c r="A65" s="16"/>
      <c r="B65" s="16" t="str">
        <f>IFNA(VLOOKUP($A65,Towns!$A$2:$F1000,MATCH($B$1,Towns!$A$1:$F$1,0),false))</f>
        <v/>
      </c>
    </row>
    <row r="66">
      <c r="A66" s="16"/>
      <c r="B66" s="16" t="str">
        <f>IFNA(VLOOKUP($A66,Towns!$A$2:$F1000,MATCH($B$1,Towns!$A$1:$F$1,0),false))</f>
        <v/>
      </c>
    </row>
    <row r="67">
      <c r="A67" s="16"/>
      <c r="B67" s="16" t="str">
        <f>IFNA(VLOOKUP($A67,Towns!$A$2:$F1000,MATCH($B$1,Towns!$A$1:$F$1,0),false))</f>
        <v/>
      </c>
    </row>
    <row r="68">
      <c r="A68" s="16"/>
      <c r="B68" s="16" t="str">
        <f>IFNA(VLOOKUP($A68,Towns!$A$2:$F1000,MATCH($B$1,Towns!$A$1:$F$1,0),false))</f>
        <v/>
      </c>
    </row>
    <row r="69">
      <c r="A69" s="16"/>
      <c r="B69" s="16" t="str">
        <f>IFNA(VLOOKUP($A69,Towns!$A$2:$F1000,MATCH($B$1,Towns!$A$1:$F$1,0),false))</f>
        <v/>
      </c>
    </row>
    <row r="70">
      <c r="A70" s="16"/>
      <c r="B70" s="16" t="str">
        <f>IFNA(VLOOKUP($A70,Towns!$A$2:$F1000,MATCH($B$1,Towns!$A$1:$F$1,0),false))</f>
        <v/>
      </c>
    </row>
    <row r="71">
      <c r="A71" s="16"/>
      <c r="B71" s="16" t="str">
        <f>IFNA(VLOOKUP($A71,Towns!$A$2:$F1000,MATCH($B$1,Towns!$A$1:$F$1,0),false))</f>
        <v/>
      </c>
    </row>
    <row r="72">
      <c r="A72" s="16"/>
      <c r="B72" s="16" t="str">
        <f>IFNA(VLOOKUP($A72,Towns!$A$2:$F1000,MATCH($B$1,Towns!$A$1:$F$1,0),false))</f>
        <v/>
      </c>
    </row>
    <row r="73">
      <c r="A73" s="16"/>
      <c r="B73" s="16" t="str">
        <f>IFNA(VLOOKUP($A73,Towns!$A$2:$F1000,MATCH($B$1,Towns!$A$1:$F$1,0),false))</f>
        <v/>
      </c>
    </row>
    <row r="74">
      <c r="A74" s="16"/>
      <c r="B74" s="16" t="str">
        <f>IFNA(VLOOKUP($A74,Towns!$A$2:$F1000,MATCH($B$1,Towns!$A$1:$F$1,0),false))</f>
        <v/>
      </c>
    </row>
    <row r="75">
      <c r="A75" s="16"/>
      <c r="B75" s="16" t="str">
        <f>IFNA(VLOOKUP($A75,Towns!$A$2:$F1000,MATCH($B$1,Towns!$A$1:$F$1,0),false))</f>
        <v/>
      </c>
    </row>
    <row r="76">
      <c r="A76" s="16"/>
      <c r="B76" s="16" t="str">
        <f>IFNA(VLOOKUP($A76,Towns!$A$2:$F1000,MATCH($B$1,Towns!$A$1:$F$1,0),false))</f>
        <v/>
      </c>
    </row>
    <row r="77">
      <c r="A77" s="16"/>
      <c r="B77" s="16" t="str">
        <f>IFNA(VLOOKUP($A77,Towns!$A$2:$F1000,MATCH($B$1,Towns!$A$1:$F$1,0),false))</f>
        <v/>
      </c>
    </row>
    <row r="78">
      <c r="A78" s="16"/>
      <c r="B78" s="16" t="str">
        <f>IFNA(VLOOKUP($A78,Towns!$A$2:$F1000,MATCH($B$1,Towns!$A$1:$F$1,0),false))</f>
        <v/>
      </c>
    </row>
    <row r="79">
      <c r="A79" s="16"/>
      <c r="B79" s="16" t="str">
        <f>IFNA(VLOOKUP($A79,Towns!$A$2:$F1000,MATCH($B$1,Towns!$A$1:$F$1,0),false))</f>
        <v/>
      </c>
    </row>
    <row r="80">
      <c r="A80" s="16"/>
      <c r="B80" s="16" t="str">
        <f>IFNA(VLOOKUP($A80,Towns!$A$2:$F1000,MATCH($B$1,Towns!$A$1:$F$1,0),false))</f>
        <v/>
      </c>
    </row>
    <row r="81">
      <c r="A81" s="16"/>
      <c r="B81" s="16" t="str">
        <f>IFNA(VLOOKUP($A81,Towns!$A$2:$F1000,MATCH($B$1,Towns!$A$1:$F$1,0),false))</f>
        <v/>
      </c>
    </row>
    <row r="82">
      <c r="A82" s="16"/>
      <c r="B82" s="16" t="str">
        <f>IFNA(VLOOKUP($A82,Towns!$A$2:$F1000,MATCH($B$1,Towns!$A$1:$F$1,0),false))</f>
        <v/>
      </c>
    </row>
    <row r="83">
      <c r="A83" s="16"/>
      <c r="B83" s="16" t="str">
        <f>IFNA(VLOOKUP($A83,Towns!$A$2:$F1000,MATCH($B$1,Towns!$A$1:$F$1,0),false))</f>
        <v/>
      </c>
    </row>
    <row r="84">
      <c r="A84" s="16"/>
      <c r="B84" s="16" t="str">
        <f>IFNA(VLOOKUP($A84,Towns!$A$2:$F1000,MATCH($B$1,Towns!$A$1:$F$1,0),false))</f>
        <v/>
      </c>
    </row>
    <row r="85">
      <c r="A85" s="16"/>
      <c r="B85" s="16" t="str">
        <f>IFNA(VLOOKUP($A85,Towns!$A$2:$F1000,MATCH($B$1,Towns!$A$1:$F$1,0),false))</f>
        <v/>
      </c>
    </row>
    <row r="86">
      <c r="A86" s="16"/>
      <c r="B86" s="16" t="str">
        <f>IFNA(VLOOKUP($A86,Towns!$A$2:$F1000,MATCH($B$1,Towns!$A$1:$F$1,0),false))</f>
        <v/>
      </c>
    </row>
    <row r="87">
      <c r="A87" s="16"/>
      <c r="B87" s="16" t="str">
        <f>IFNA(VLOOKUP($A87,Towns!$A$2:$F1000,MATCH($B$1,Towns!$A$1:$F$1,0),false))</f>
        <v/>
      </c>
    </row>
    <row r="88">
      <c r="A88" s="16"/>
      <c r="B88" s="16" t="str">
        <f>IFNA(VLOOKUP($A88,Towns!$A$2:$F1000,MATCH($B$1,Towns!$A$1:$F$1,0),false))</f>
        <v/>
      </c>
    </row>
    <row r="89">
      <c r="A89" s="16"/>
      <c r="B89" s="16" t="str">
        <f>IFNA(VLOOKUP($A89,Towns!$A$2:$F1000,MATCH($B$1,Towns!$A$1:$F$1,0),false))</f>
        <v/>
      </c>
    </row>
    <row r="90">
      <c r="A90" s="16"/>
      <c r="B90" s="16" t="str">
        <f>IFNA(VLOOKUP($A90,Towns!$A$2:$F1000,MATCH($B$1,Towns!$A$1:$F$1,0),false))</f>
        <v/>
      </c>
    </row>
    <row r="91">
      <c r="A91" s="16"/>
      <c r="B91" s="16" t="str">
        <f>IFNA(VLOOKUP($A91,Towns!$A$2:$F1000,MATCH($B$1,Towns!$A$1:$F$1,0),false))</f>
        <v/>
      </c>
    </row>
    <row r="92">
      <c r="A92" s="16"/>
      <c r="B92" s="16" t="str">
        <f>IFNA(VLOOKUP($A92,Towns!$A$2:$F1000,MATCH($B$1,Towns!$A$1:$F$1,0),false))</f>
        <v/>
      </c>
    </row>
    <row r="93">
      <c r="A93" s="16"/>
      <c r="B93" s="16" t="str">
        <f>IFNA(VLOOKUP($A93,Towns!$A$2:$F1000,MATCH($B$1,Towns!$A$1:$F$1,0),false))</f>
        <v/>
      </c>
    </row>
    <row r="94">
      <c r="A94" s="16"/>
      <c r="B94" s="16" t="str">
        <f>IFNA(VLOOKUP($A94,Towns!$A$2:$F1000,MATCH($B$1,Towns!$A$1:$F$1,0),false))</f>
        <v/>
      </c>
    </row>
    <row r="95">
      <c r="A95" s="16"/>
      <c r="B95" s="16" t="str">
        <f>IFNA(VLOOKUP($A95,Towns!$A$2:$F1000,MATCH($B$1,Towns!$A$1:$F$1,0),false))</f>
        <v/>
      </c>
    </row>
    <row r="96">
      <c r="A96" s="16"/>
      <c r="B96" s="16" t="str">
        <f>IFNA(VLOOKUP($A96,Towns!$A$2:$F1000,MATCH($B$1,Towns!$A$1:$F$1,0),false))</f>
        <v/>
      </c>
    </row>
    <row r="97">
      <c r="A97" s="16"/>
      <c r="B97" s="16" t="str">
        <f>IFNA(VLOOKUP($A97,Towns!$A$2:$F1000,MATCH($B$1,Towns!$A$1:$F$1,0),false))</f>
        <v/>
      </c>
    </row>
    <row r="98">
      <c r="A98" s="16"/>
      <c r="B98" s="16" t="str">
        <f>IFNA(VLOOKUP($A98,Towns!$A$2:$F1000,MATCH($B$1,Towns!$A$1:$F$1,0),false))</f>
        <v/>
      </c>
    </row>
    <row r="99">
      <c r="A99" s="16"/>
      <c r="B99" s="16" t="str">
        <f>IFNA(VLOOKUP($A99,Towns!$A$2:$F1000,MATCH($B$1,Towns!$A$1:$F$1,0),false))</f>
        <v/>
      </c>
    </row>
    <row r="100">
      <c r="A100" s="16"/>
      <c r="B100" s="16" t="str">
        <f>IFNA(VLOOKUP($A100,Towns!$A$2:$F1000,MATCH($B$1,Towns!$A$1:$F$1,0),false))</f>
        <v/>
      </c>
    </row>
    <row r="101">
      <c r="A101" s="16"/>
      <c r="B101" s="16" t="str">
        <f>IFNA(VLOOKUP($A101,Towns!$A$2:$F1000,MATCH($B$1,Towns!$A$1:$F$1,0),false))</f>
        <v/>
      </c>
    </row>
    <row r="102">
      <c r="A102" s="16"/>
      <c r="B102" s="16" t="str">
        <f>IFNA(VLOOKUP($A102,Towns!$A$2:$F1000,MATCH($B$1,Towns!$A$1:$F$1,0),false))</f>
        <v/>
      </c>
    </row>
    <row r="103">
      <c r="A103" s="16"/>
      <c r="B103" s="16" t="str">
        <f>IFNA(VLOOKUP($A103,Towns!$A$2:$F1000,MATCH($B$1,Towns!$A$1:$F$1,0),false))</f>
        <v/>
      </c>
    </row>
    <row r="104">
      <c r="A104" s="16"/>
      <c r="B104" s="16" t="str">
        <f>IFNA(VLOOKUP($A104,Towns!$A$2:$F1000,MATCH($B$1,Towns!$A$1:$F$1,0),false))</f>
        <v/>
      </c>
    </row>
    <row r="105">
      <c r="A105" s="16"/>
      <c r="B105" s="16" t="str">
        <f>IFNA(VLOOKUP($A105,Towns!$A$2:$F1000,MATCH($B$1,Towns!$A$1:$F$1,0),false))</f>
        <v/>
      </c>
    </row>
    <row r="106">
      <c r="A106" s="16"/>
      <c r="B106" s="16" t="str">
        <f>IFNA(VLOOKUP($A106,Towns!$A$2:$F1000,MATCH($B$1,Towns!$A$1:$F$1,0),false))</f>
        <v/>
      </c>
    </row>
    <row r="107">
      <c r="A107" s="16"/>
      <c r="B107" s="16" t="str">
        <f>IFNA(VLOOKUP($A107,Towns!$A$2:$F1000,MATCH($B$1,Towns!$A$1:$F$1,0),false))</f>
        <v/>
      </c>
    </row>
    <row r="108">
      <c r="A108" s="16"/>
      <c r="B108" s="16" t="str">
        <f>IFNA(VLOOKUP($A108,Towns!$A$2:$F1000,MATCH($B$1,Towns!$A$1:$F$1,0),false))</f>
        <v/>
      </c>
    </row>
    <row r="109">
      <c r="A109" s="16"/>
      <c r="B109" s="16" t="str">
        <f>IFNA(VLOOKUP($A109,Towns!$A$2:$F1000,MATCH($B$1,Towns!$A$1:$F$1,0),false))</f>
        <v/>
      </c>
    </row>
    <row r="110">
      <c r="A110" s="16"/>
      <c r="B110" s="16" t="str">
        <f>IFNA(VLOOKUP($A110,Towns!$A$2:$F1000,MATCH($B$1,Towns!$A$1:$F$1,0),false))</f>
        <v/>
      </c>
    </row>
    <row r="111">
      <c r="A111" s="16"/>
      <c r="B111" s="16" t="str">
        <f>IFNA(VLOOKUP($A111,Towns!$A$2:$F1000,MATCH($B$1,Towns!$A$1:$F$1,0),false))</f>
        <v/>
      </c>
    </row>
    <row r="112">
      <c r="A112" s="16"/>
      <c r="B112" s="16" t="str">
        <f>IFNA(VLOOKUP($A112,Towns!$A$2:$F1000,MATCH($B$1,Towns!$A$1:$F$1,0),false))</f>
        <v/>
      </c>
    </row>
    <row r="113">
      <c r="A113" s="16"/>
      <c r="B113" s="16" t="str">
        <f>IFNA(VLOOKUP($A113,Towns!$A$2:$F1000,MATCH($B$1,Towns!$A$1:$F$1,0),false))</f>
        <v/>
      </c>
    </row>
    <row r="114">
      <c r="A114" s="16"/>
      <c r="B114" s="16" t="str">
        <f>IFNA(VLOOKUP($A114,Towns!$A$2:$F1000,MATCH($B$1,Towns!$A$1:$F$1,0),false))</f>
        <v/>
      </c>
    </row>
    <row r="115">
      <c r="A115" s="16"/>
      <c r="B115" s="16" t="str">
        <f>IFNA(VLOOKUP($A115,Towns!$A$2:$F1000,MATCH($B$1,Towns!$A$1:$F$1,0),false))</f>
        <v/>
      </c>
    </row>
    <row r="116">
      <c r="A116" s="16"/>
      <c r="B116" s="16" t="str">
        <f>IFNA(VLOOKUP($A116,Towns!$A$2:$F1000,MATCH($B$1,Towns!$A$1:$F$1,0),false))</f>
        <v/>
      </c>
    </row>
    <row r="117">
      <c r="A117" s="16"/>
      <c r="B117" s="16" t="str">
        <f>IFNA(VLOOKUP($A117,Towns!$A$2:$F1000,MATCH($B$1,Towns!$A$1:$F$1,0),false))</f>
        <v/>
      </c>
    </row>
    <row r="118">
      <c r="A118" s="16"/>
      <c r="B118" s="16" t="str">
        <f>IFNA(VLOOKUP($A118,Towns!$A$2:$F1000,MATCH($B$1,Towns!$A$1:$F$1,0),false))</f>
        <v/>
      </c>
    </row>
    <row r="119">
      <c r="A119" s="16"/>
      <c r="B119" s="16" t="str">
        <f>IFNA(VLOOKUP($A119,Towns!$A$2:$F1000,MATCH($B$1,Towns!$A$1:$F$1,0),false))</f>
        <v/>
      </c>
    </row>
    <row r="120">
      <c r="A120" s="16"/>
      <c r="B120" s="16" t="str">
        <f>IFNA(VLOOKUP($A120,Towns!$A$2:$F1000,MATCH($B$1,Towns!$A$1:$F$1,0),false))</f>
        <v/>
      </c>
    </row>
    <row r="121">
      <c r="A121" s="16"/>
      <c r="B121" s="16" t="str">
        <f>IFNA(VLOOKUP($A121,Towns!$A$2:$F1000,MATCH($B$1,Towns!$A$1:$F$1,0),false))</f>
        <v/>
      </c>
    </row>
    <row r="122">
      <c r="A122" s="16"/>
      <c r="B122" s="16" t="str">
        <f>IFNA(VLOOKUP($A122,Towns!$A$2:$F1000,MATCH($B$1,Towns!$A$1:$F$1,0),false))</f>
        <v/>
      </c>
    </row>
    <row r="123">
      <c r="A123" s="16"/>
      <c r="B123" s="16" t="str">
        <f>IFNA(VLOOKUP($A123,Towns!$A$2:$F1000,MATCH($B$1,Towns!$A$1:$F$1,0),false))</f>
        <v/>
      </c>
    </row>
    <row r="124">
      <c r="A124" s="16"/>
      <c r="B124" s="16" t="str">
        <f>IFNA(VLOOKUP($A124,Towns!$A$2:$F1000,MATCH($B$1,Towns!$A$1:$F$1,0),false))</f>
        <v/>
      </c>
    </row>
    <row r="125">
      <c r="A125" s="16"/>
      <c r="B125" s="16" t="str">
        <f>IFNA(VLOOKUP($A125,Towns!$A$2:$F1000,MATCH($B$1,Towns!$A$1:$F$1,0),false))</f>
        <v/>
      </c>
    </row>
    <row r="126">
      <c r="A126" s="16"/>
      <c r="B126" s="16" t="str">
        <f>IFNA(VLOOKUP($A126,Towns!$A$2:$F1000,MATCH($B$1,Towns!$A$1:$F$1,0),false))</f>
        <v/>
      </c>
    </row>
    <row r="127">
      <c r="A127" s="16"/>
      <c r="B127" s="16" t="str">
        <f>IFNA(VLOOKUP($A127,Towns!$A$2:$F1000,MATCH($B$1,Towns!$A$1:$F$1,0),false))</f>
        <v/>
      </c>
    </row>
    <row r="128">
      <c r="A128" s="16"/>
      <c r="B128" s="16" t="str">
        <f>IFNA(VLOOKUP($A128,Towns!$A$2:$F1000,MATCH($B$1,Towns!$A$1:$F$1,0),false))</f>
        <v/>
      </c>
    </row>
    <row r="129">
      <c r="A129" s="16"/>
      <c r="B129" s="16" t="str">
        <f>IFNA(VLOOKUP($A129,Towns!$A$2:$F1000,MATCH($B$1,Towns!$A$1:$F$1,0),false))</f>
        <v/>
      </c>
    </row>
    <row r="130">
      <c r="A130" s="16"/>
      <c r="B130" s="16" t="str">
        <f>IFNA(VLOOKUP($A130,Towns!$A$2:$F1000,MATCH($B$1,Towns!$A$1:$F$1,0),false))</f>
        <v/>
      </c>
    </row>
    <row r="131">
      <c r="A131" s="16"/>
      <c r="B131" s="16" t="str">
        <f>IFNA(VLOOKUP($A131,Towns!$A$2:$F1000,MATCH($B$1,Towns!$A$1:$F$1,0),false))</f>
        <v/>
      </c>
    </row>
    <row r="132">
      <c r="A132" s="16"/>
      <c r="B132" s="16" t="str">
        <f>IFNA(VLOOKUP($A132,Towns!$A$2:$F1000,MATCH($B$1,Towns!$A$1:$F$1,0),false))</f>
        <v/>
      </c>
    </row>
    <row r="133">
      <c r="A133" s="16"/>
      <c r="B133" s="16" t="str">
        <f>IFNA(VLOOKUP($A133,Towns!$A$2:$F1000,MATCH($B$1,Towns!$A$1:$F$1,0),false))</f>
        <v/>
      </c>
    </row>
    <row r="134">
      <c r="A134" s="16"/>
      <c r="B134" s="16" t="str">
        <f>IFNA(VLOOKUP($A134,Towns!$A$2:$F1000,MATCH($B$1,Towns!$A$1:$F$1,0),false))</f>
        <v/>
      </c>
    </row>
    <row r="135">
      <c r="A135" s="16"/>
      <c r="B135" s="16" t="str">
        <f>IFNA(VLOOKUP($A135,Towns!$A$2:$F1000,MATCH($B$1,Towns!$A$1:$F$1,0),false))</f>
        <v/>
      </c>
    </row>
    <row r="136">
      <c r="A136" s="16"/>
      <c r="B136" s="16" t="str">
        <f>IFNA(VLOOKUP($A136,Towns!$A$2:$F1000,MATCH($B$1,Towns!$A$1:$F$1,0),false))</f>
        <v/>
      </c>
    </row>
    <row r="137">
      <c r="A137" s="16"/>
      <c r="B137" s="16" t="str">
        <f>IFNA(VLOOKUP($A137,Towns!$A$2:$F1000,MATCH($B$1,Towns!$A$1:$F$1,0),false))</f>
        <v/>
      </c>
    </row>
    <row r="138">
      <c r="A138" s="16"/>
      <c r="B138" s="16" t="str">
        <f>IFNA(VLOOKUP($A138,Towns!$A$2:$F1000,MATCH($B$1,Towns!$A$1:$F$1,0),false))</f>
        <v/>
      </c>
    </row>
    <row r="139">
      <c r="A139" s="16"/>
      <c r="B139" s="16" t="str">
        <f>IFNA(VLOOKUP($A139,Towns!$A$2:$F1000,MATCH($B$1,Towns!$A$1:$F$1,0),false))</f>
        <v/>
      </c>
    </row>
    <row r="140">
      <c r="A140" s="16"/>
      <c r="B140" s="16" t="str">
        <f>IFNA(VLOOKUP($A140,Towns!$A$2:$F1000,MATCH($B$1,Towns!$A$1:$F$1,0),false))</f>
        <v/>
      </c>
    </row>
    <row r="141">
      <c r="A141" s="16"/>
      <c r="B141" s="16" t="str">
        <f>IFNA(VLOOKUP($A141,Towns!$A$2:$F1000,MATCH($B$1,Towns!$A$1:$F$1,0),false))</f>
        <v/>
      </c>
    </row>
    <row r="142">
      <c r="A142" s="16"/>
      <c r="B142" s="16" t="str">
        <f>IFNA(VLOOKUP($A142,Towns!$A$2:$F1000,MATCH($B$1,Towns!$A$1:$F$1,0),false))</f>
        <v/>
      </c>
    </row>
    <row r="143">
      <c r="A143" s="16"/>
      <c r="B143" s="16" t="str">
        <f>IFNA(VLOOKUP($A143,Towns!$A$2:$F1000,MATCH($B$1,Towns!$A$1:$F$1,0),false))</f>
        <v/>
      </c>
    </row>
    <row r="144">
      <c r="A144" s="16"/>
      <c r="B144" s="16" t="str">
        <f>IFNA(VLOOKUP($A144,Towns!$A$2:$F1000,MATCH($B$1,Towns!$A$1:$F$1,0),false))</f>
        <v/>
      </c>
    </row>
    <row r="145">
      <c r="A145" s="16"/>
      <c r="B145" s="16" t="str">
        <f>IFNA(VLOOKUP($A145,Towns!$A$2:$F1000,MATCH($B$1,Towns!$A$1:$F$1,0),false))</f>
        <v/>
      </c>
    </row>
    <row r="146">
      <c r="A146" s="16"/>
      <c r="B146" s="16" t="str">
        <f>IFNA(VLOOKUP($A146,Towns!$A$2:$F1000,MATCH($B$1,Towns!$A$1:$F$1,0),false))</f>
        <v/>
      </c>
    </row>
    <row r="147">
      <c r="A147" s="16"/>
      <c r="B147" s="16" t="str">
        <f>IFNA(VLOOKUP($A147,Towns!$A$2:$F1000,MATCH($B$1,Towns!$A$1:$F$1,0),false))</f>
        <v/>
      </c>
    </row>
    <row r="148">
      <c r="A148" s="16"/>
      <c r="B148" s="16" t="str">
        <f>IFNA(VLOOKUP($A148,Towns!$A$2:$F1000,MATCH($B$1,Towns!$A$1:$F$1,0),false))</f>
        <v/>
      </c>
    </row>
    <row r="149">
      <c r="A149" s="16"/>
      <c r="B149" s="16" t="str">
        <f>IFNA(VLOOKUP($A149,Towns!$A$2:$F1000,MATCH($B$1,Towns!$A$1:$F$1,0),false))</f>
        <v/>
      </c>
    </row>
    <row r="150">
      <c r="A150" s="16"/>
      <c r="B150" s="16" t="str">
        <f>IFNA(VLOOKUP($A150,Towns!$A$2:$F1000,MATCH($B$1,Towns!$A$1:$F$1,0),false))</f>
        <v/>
      </c>
    </row>
    <row r="151">
      <c r="A151" s="16"/>
      <c r="B151" s="16" t="str">
        <f>IFNA(VLOOKUP($A151,Towns!$A$2:$F1000,MATCH($B$1,Towns!$A$1:$F$1,0),false))</f>
        <v/>
      </c>
    </row>
    <row r="152">
      <c r="A152" s="16"/>
      <c r="B152" s="16" t="str">
        <f>IFNA(VLOOKUP($A152,Towns!$A$2:$F1000,MATCH($B$1,Towns!$A$1:$F$1,0),false))</f>
        <v/>
      </c>
    </row>
    <row r="153">
      <c r="A153" s="16"/>
      <c r="B153" s="16" t="str">
        <f>IFNA(VLOOKUP($A153,Towns!$A$2:$F1000,MATCH($B$1,Towns!$A$1:$F$1,0),false))</f>
        <v/>
      </c>
    </row>
    <row r="154">
      <c r="A154" s="16"/>
      <c r="B154" s="16" t="str">
        <f>IFNA(VLOOKUP($A154,Towns!$A$2:$F1000,MATCH($B$1,Towns!$A$1:$F$1,0),false))</f>
        <v/>
      </c>
    </row>
    <row r="155">
      <c r="A155" s="16"/>
      <c r="B155" s="16" t="str">
        <f>IFNA(VLOOKUP($A155,Towns!$A$2:$F1000,MATCH($B$1,Towns!$A$1:$F$1,0),false))</f>
        <v/>
      </c>
    </row>
    <row r="156">
      <c r="A156" s="16"/>
      <c r="B156" s="16" t="str">
        <f>IFNA(VLOOKUP($A156,Towns!$A$2:$F1000,MATCH($B$1,Towns!$A$1:$F$1,0),false))</f>
        <v/>
      </c>
    </row>
    <row r="157">
      <c r="A157" s="16"/>
      <c r="B157" s="16" t="str">
        <f>IFNA(VLOOKUP($A157,Towns!$A$2:$F1000,MATCH($B$1,Towns!$A$1:$F$1,0),false))</f>
        <v/>
      </c>
    </row>
    <row r="158">
      <c r="A158" s="16"/>
      <c r="B158" s="16" t="str">
        <f>IFNA(VLOOKUP($A158,Towns!$A$2:$F1000,MATCH($B$1,Towns!$A$1:$F$1,0),false))</f>
        <v/>
      </c>
    </row>
    <row r="159">
      <c r="A159" s="16"/>
      <c r="B159" s="16" t="str">
        <f>IFNA(VLOOKUP($A159,Towns!$A$2:$F1000,MATCH($B$1,Towns!$A$1:$F$1,0),false))</f>
        <v/>
      </c>
    </row>
    <row r="160">
      <c r="A160" s="16"/>
      <c r="B160" s="16" t="str">
        <f>IFNA(VLOOKUP($A160,Towns!$A$2:$F1000,MATCH($B$1,Towns!$A$1:$F$1,0),false))</f>
        <v/>
      </c>
    </row>
    <row r="161">
      <c r="A161" s="16"/>
      <c r="B161" s="16" t="str">
        <f>IFNA(VLOOKUP($A161,Towns!$A$2:$F1000,MATCH($B$1,Towns!$A$1:$F$1,0),false))</f>
        <v/>
      </c>
    </row>
    <row r="162">
      <c r="A162" s="16"/>
      <c r="B162" s="16" t="str">
        <f>IFNA(VLOOKUP($A162,Towns!$A$2:$F1000,MATCH($B$1,Towns!$A$1:$F$1,0),false))</f>
        <v/>
      </c>
    </row>
    <row r="163">
      <c r="A163" s="16"/>
      <c r="B163" s="16" t="str">
        <f>IFNA(VLOOKUP($A163,Towns!$A$2:$F1000,MATCH($B$1,Towns!$A$1:$F$1,0),false))</f>
        <v/>
      </c>
    </row>
    <row r="164">
      <c r="A164" s="16"/>
      <c r="B164" s="16" t="str">
        <f>IFNA(VLOOKUP($A164,Towns!$A$2:$F1000,MATCH($B$1,Towns!$A$1:$F$1,0),false))</f>
        <v/>
      </c>
    </row>
    <row r="165">
      <c r="A165" s="16"/>
      <c r="B165" s="16" t="str">
        <f>IFNA(VLOOKUP($A165,Towns!$A$2:$F1000,MATCH($B$1,Towns!$A$1:$F$1,0),false))</f>
        <v/>
      </c>
    </row>
    <row r="166">
      <c r="A166" s="16"/>
      <c r="B166" s="16" t="str">
        <f>IFNA(VLOOKUP($A166,Towns!$A$2:$F1000,MATCH($B$1,Towns!$A$1:$F$1,0),false))</f>
        <v/>
      </c>
    </row>
    <row r="167">
      <c r="A167" s="16"/>
      <c r="B167" s="16" t="str">
        <f>IFNA(VLOOKUP($A167,Towns!$A$2:$F1000,MATCH($B$1,Towns!$A$1:$F$1,0),false))</f>
        <v/>
      </c>
    </row>
    <row r="168">
      <c r="A168" s="16"/>
      <c r="B168" s="16" t="str">
        <f>IFNA(VLOOKUP($A168,Towns!$A$2:$F1000,MATCH($B$1,Towns!$A$1:$F$1,0),false))</f>
        <v/>
      </c>
    </row>
    <row r="169">
      <c r="A169" s="16"/>
      <c r="B169" s="16" t="str">
        <f>IFNA(VLOOKUP($A169,Towns!$A$2:$F1000,MATCH($B$1,Towns!$A$1:$F$1,0),false))</f>
        <v/>
      </c>
    </row>
    <row r="170">
      <c r="A170" s="16"/>
      <c r="B170" s="16" t="str">
        <f>IFNA(VLOOKUP($A170,Towns!$A$2:$F1000,MATCH($B$1,Towns!$A$1:$F$1,0),false))</f>
        <v/>
      </c>
    </row>
    <row r="171">
      <c r="A171" s="16"/>
      <c r="B171" s="16" t="str">
        <f>IFNA(VLOOKUP($A171,Towns!$A$2:$F1000,MATCH($B$1,Towns!$A$1:$F$1,0),false))</f>
        <v/>
      </c>
    </row>
    <row r="172">
      <c r="A172" s="16"/>
      <c r="B172" s="16" t="str">
        <f>IFNA(VLOOKUP($A172,Towns!$A$2:$F1000,MATCH($B$1,Towns!$A$1:$F$1,0),false))</f>
        <v/>
      </c>
    </row>
    <row r="173">
      <c r="A173" s="16"/>
      <c r="B173" s="16" t="str">
        <f>IFNA(VLOOKUP($A173,Towns!$A$2:$F1000,MATCH($B$1,Towns!$A$1:$F$1,0),false))</f>
        <v/>
      </c>
    </row>
    <row r="174">
      <c r="A174" s="16"/>
      <c r="B174" s="16" t="str">
        <f>IFNA(VLOOKUP($A174,Towns!$A$2:$F1000,MATCH($B$1,Towns!$A$1:$F$1,0),false))</f>
        <v/>
      </c>
    </row>
    <row r="175">
      <c r="A175" s="16"/>
      <c r="B175" s="16" t="str">
        <f>IFNA(VLOOKUP($A175,Towns!$A$2:$F1000,MATCH($B$1,Towns!$A$1:$F$1,0),false))</f>
        <v/>
      </c>
    </row>
    <row r="176">
      <c r="A176" s="16"/>
      <c r="B176" s="16" t="str">
        <f>IFNA(VLOOKUP($A176,Towns!$A$2:$F1000,MATCH($B$1,Towns!$A$1:$F$1,0),false))</f>
        <v/>
      </c>
    </row>
    <row r="177">
      <c r="A177" s="16"/>
      <c r="B177" s="16" t="str">
        <f>IFNA(VLOOKUP($A177,Towns!$A$2:$F1000,MATCH($B$1,Towns!$A$1:$F$1,0),false))</f>
        <v/>
      </c>
    </row>
    <row r="178">
      <c r="A178" s="16"/>
      <c r="B178" s="16" t="str">
        <f>IFNA(VLOOKUP($A178,Towns!$A$2:$F1000,MATCH($B$1,Towns!$A$1:$F$1,0),false))</f>
        <v/>
      </c>
    </row>
    <row r="179">
      <c r="A179" s="16"/>
      <c r="B179" s="16" t="str">
        <f>IFNA(VLOOKUP($A179,Towns!$A$2:$F1000,MATCH($B$1,Towns!$A$1:$F$1,0),false))</f>
        <v/>
      </c>
    </row>
    <row r="180">
      <c r="A180" s="16"/>
      <c r="B180" s="16" t="str">
        <f>IFNA(VLOOKUP($A180,Towns!$A$2:$F1000,MATCH($B$1,Towns!$A$1:$F$1,0),false))</f>
        <v/>
      </c>
    </row>
    <row r="181">
      <c r="A181" s="16"/>
      <c r="B181" s="16" t="str">
        <f>IFNA(VLOOKUP($A181,Towns!$A$2:$F1000,MATCH($B$1,Towns!$A$1:$F$1,0),false))</f>
        <v/>
      </c>
    </row>
    <row r="182">
      <c r="A182" s="16"/>
      <c r="B182" s="16" t="str">
        <f>IFNA(VLOOKUP($A182,Towns!$A$2:$F1000,MATCH($B$1,Towns!$A$1:$F$1,0),false))</f>
        <v/>
      </c>
    </row>
    <row r="183">
      <c r="A183" s="16"/>
      <c r="B183" s="16" t="str">
        <f>IFNA(VLOOKUP($A183,Towns!$A$2:$F1000,MATCH($B$1,Towns!$A$1:$F$1,0),false))</f>
        <v/>
      </c>
    </row>
    <row r="184">
      <c r="A184" s="16"/>
      <c r="B184" s="16" t="str">
        <f>IFNA(VLOOKUP($A184,Towns!$A$2:$F1000,MATCH($B$1,Towns!$A$1:$F$1,0),false))</f>
        <v/>
      </c>
    </row>
    <row r="185">
      <c r="A185" s="16"/>
      <c r="B185" s="16" t="str">
        <f>IFNA(VLOOKUP($A185,Towns!$A$2:$F1000,MATCH($B$1,Towns!$A$1:$F$1,0),false))</f>
        <v/>
      </c>
    </row>
    <row r="186">
      <c r="A186" s="16"/>
      <c r="B186" s="16" t="str">
        <f>IFNA(VLOOKUP($A186,Towns!$A$2:$F1000,MATCH($B$1,Towns!$A$1:$F$1,0),false))</f>
        <v/>
      </c>
    </row>
    <row r="187">
      <c r="A187" s="16"/>
      <c r="B187" s="16" t="str">
        <f>IFNA(VLOOKUP($A187,Towns!$A$2:$F1000,MATCH($B$1,Towns!$A$1:$F$1,0),false))</f>
        <v/>
      </c>
    </row>
    <row r="188">
      <c r="A188" s="16"/>
      <c r="B188" s="16" t="str">
        <f>IFNA(VLOOKUP($A188,Towns!$A$2:$F1000,MATCH($B$1,Towns!$A$1:$F$1,0),false))</f>
        <v/>
      </c>
    </row>
    <row r="189">
      <c r="A189" s="16"/>
      <c r="B189" s="16" t="str">
        <f>IFNA(VLOOKUP($A189,Towns!$A$2:$F1000,MATCH($B$1,Towns!$A$1:$F$1,0),false))</f>
        <v/>
      </c>
    </row>
    <row r="190">
      <c r="A190" s="16"/>
      <c r="B190" s="16" t="str">
        <f>IFNA(VLOOKUP($A190,Towns!$A$2:$F1000,MATCH($B$1,Towns!$A$1:$F$1,0),false))</f>
        <v/>
      </c>
    </row>
    <row r="191">
      <c r="A191" s="16"/>
      <c r="B191" s="16" t="str">
        <f>IFNA(VLOOKUP($A191,Towns!$A$2:$F1000,MATCH($B$1,Towns!$A$1:$F$1,0),false))</f>
        <v/>
      </c>
    </row>
    <row r="192">
      <c r="A192" s="16"/>
      <c r="B192" s="16" t="str">
        <f>IFNA(VLOOKUP($A192,Towns!$A$2:$F1000,MATCH($B$1,Towns!$A$1:$F$1,0),false))</f>
        <v/>
      </c>
    </row>
    <row r="193">
      <c r="A193" s="16"/>
      <c r="B193" s="16" t="str">
        <f>IFNA(VLOOKUP($A193,Towns!$A$2:$F1000,MATCH($B$1,Towns!$A$1:$F$1,0),false))</f>
        <v/>
      </c>
    </row>
    <row r="194">
      <c r="A194" s="16"/>
      <c r="B194" s="16" t="str">
        <f>IFNA(VLOOKUP($A194,Towns!$A$2:$F1000,MATCH($B$1,Towns!$A$1:$F$1,0),false))</f>
        <v/>
      </c>
    </row>
    <row r="195">
      <c r="A195" s="16"/>
      <c r="B195" s="16" t="str">
        <f>IFNA(VLOOKUP($A195,Towns!$A$2:$F1000,MATCH($B$1,Towns!$A$1:$F$1,0),false))</f>
        <v/>
      </c>
    </row>
    <row r="196">
      <c r="A196" s="16"/>
      <c r="B196" s="16" t="str">
        <f>IFNA(VLOOKUP($A196,Towns!$A$2:$F1000,MATCH($B$1,Towns!$A$1:$F$1,0),false))</f>
        <v/>
      </c>
    </row>
    <row r="197">
      <c r="A197" s="16"/>
      <c r="B197" s="16" t="str">
        <f>IFNA(VLOOKUP($A197,Towns!$A$2:$F1000,MATCH($B$1,Towns!$A$1:$F$1,0),false))</f>
        <v/>
      </c>
    </row>
    <row r="198">
      <c r="A198" s="16"/>
      <c r="B198" s="16" t="str">
        <f>IFNA(VLOOKUP($A198,Towns!$A$2:$F1000,MATCH($B$1,Towns!$A$1:$F$1,0),false))</f>
        <v/>
      </c>
    </row>
    <row r="199">
      <c r="A199" s="16"/>
      <c r="B199" s="16" t="str">
        <f>IFNA(VLOOKUP($A199,Towns!$A$2:$F1000,MATCH($B$1,Towns!$A$1:$F$1,0),false))</f>
        <v/>
      </c>
    </row>
    <row r="200">
      <c r="A200" s="16"/>
      <c r="B200" s="16" t="str">
        <f>IFNA(VLOOKUP($A200,Towns!$A$2:$F1000,MATCH($B$1,Towns!$A$1:$F$1,0),false))</f>
        <v/>
      </c>
    </row>
    <row r="201">
      <c r="A201" s="16"/>
      <c r="B201" s="16" t="str">
        <f>IFNA(VLOOKUP($A201,Towns!$A$2:$F1000,MATCH($B$1,Towns!$A$1:$F$1,0),false))</f>
        <v/>
      </c>
    </row>
    <row r="202">
      <c r="A202" s="16"/>
      <c r="B202" s="16" t="str">
        <f>IFNA(VLOOKUP($A202,Towns!$A$2:$F1000,MATCH($B$1,Towns!$A$1:$F$1,0),false))</f>
        <v/>
      </c>
    </row>
    <row r="203">
      <c r="A203" s="16"/>
      <c r="B203" s="16" t="str">
        <f>IFNA(VLOOKUP($A203,Towns!$A$2:$F1000,MATCH($B$1,Towns!$A$1:$F$1,0),false))</f>
        <v/>
      </c>
    </row>
    <row r="204">
      <c r="A204" s="16"/>
      <c r="B204" s="16" t="str">
        <f>IFNA(VLOOKUP($A204,Towns!$A$2:$F1000,MATCH($B$1,Towns!$A$1:$F$1,0),false))</f>
        <v/>
      </c>
    </row>
    <row r="205">
      <c r="A205" s="16"/>
      <c r="B205" s="16" t="str">
        <f>IFNA(VLOOKUP($A205,Towns!$A$2:$F1000,MATCH($B$1,Towns!$A$1:$F$1,0),false))</f>
        <v/>
      </c>
    </row>
    <row r="206">
      <c r="A206" s="16"/>
      <c r="B206" s="16" t="str">
        <f>IFNA(VLOOKUP($A206,Towns!$A$2:$F1000,MATCH($B$1,Towns!$A$1:$F$1,0),false))</f>
        <v/>
      </c>
    </row>
    <row r="207">
      <c r="A207" s="16"/>
      <c r="B207" s="16" t="str">
        <f>IFNA(VLOOKUP($A207,Towns!$A$2:$F1000,MATCH($B$1,Towns!$A$1:$F$1,0),false))</f>
        <v/>
      </c>
    </row>
    <row r="208">
      <c r="A208" s="16"/>
      <c r="B208" s="16" t="str">
        <f>IFNA(VLOOKUP($A208,Towns!$A$2:$F1000,MATCH($B$1,Towns!$A$1:$F$1,0),false))</f>
        <v/>
      </c>
    </row>
    <row r="209">
      <c r="A209" s="16"/>
      <c r="B209" s="16" t="str">
        <f>IFNA(VLOOKUP($A209,Towns!$A$2:$F1000,MATCH($B$1,Towns!$A$1:$F$1,0),false))</f>
        <v/>
      </c>
    </row>
    <row r="210">
      <c r="A210" s="16"/>
      <c r="B210" s="16" t="str">
        <f>IFNA(VLOOKUP($A210,Towns!$A$2:$F1000,MATCH($B$1,Towns!$A$1:$F$1,0),false))</f>
        <v/>
      </c>
    </row>
    <row r="211">
      <c r="A211" s="16"/>
      <c r="B211" s="16" t="str">
        <f>IFNA(VLOOKUP($A211,Towns!$A$2:$F1000,MATCH($B$1,Towns!$A$1:$F$1,0),false))</f>
        <v/>
      </c>
    </row>
    <row r="212">
      <c r="A212" s="16"/>
      <c r="B212" s="16" t="str">
        <f>IFNA(VLOOKUP($A212,Towns!$A$2:$F1000,MATCH($B$1,Towns!$A$1:$F$1,0),false))</f>
        <v/>
      </c>
    </row>
    <row r="213">
      <c r="A213" s="16"/>
      <c r="B213" s="16" t="str">
        <f>IFNA(VLOOKUP($A213,Towns!$A$2:$F1000,MATCH($B$1,Towns!$A$1:$F$1,0),false))</f>
        <v/>
      </c>
    </row>
    <row r="214">
      <c r="A214" s="16"/>
      <c r="B214" s="16" t="str">
        <f>IFNA(VLOOKUP($A214,Towns!$A$2:$F1000,MATCH($B$1,Towns!$A$1:$F$1,0),false))</f>
        <v/>
      </c>
    </row>
    <row r="215">
      <c r="A215" s="16"/>
      <c r="B215" s="16" t="str">
        <f>IFNA(VLOOKUP($A215,Towns!$A$2:$F1000,MATCH($B$1,Towns!$A$1:$F$1,0),false))</f>
        <v/>
      </c>
    </row>
    <row r="216">
      <c r="A216" s="16"/>
      <c r="B216" s="16" t="str">
        <f>IFNA(VLOOKUP($A216,Towns!$A$2:$F1000,MATCH($B$1,Towns!$A$1:$F$1,0),false))</f>
        <v/>
      </c>
    </row>
    <row r="217">
      <c r="A217" s="16"/>
      <c r="B217" s="16" t="str">
        <f>IFNA(VLOOKUP($A217,Towns!$A$2:$F1000,MATCH($B$1,Towns!$A$1:$F$1,0),false))</f>
        <v/>
      </c>
    </row>
    <row r="218">
      <c r="A218" s="16"/>
      <c r="B218" s="16" t="str">
        <f>IFNA(VLOOKUP($A218,Towns!$A$2:$F1000,MATCH($B$1,Towns!$A$1:$F$1,0),false))</f>
        <v/>
      </c>
    </row>
    <row r="219">
      <c r="A219" s="16"/>
      <c r="B219" s="16" t="str">
        <f>IFNA(VLOOKUP($A219,Towns!$A$2:$F1000,MATCH($B$1,Towns!$A$1:$F$1,0),false))</f>
        <v/>
      </c>
    </row>
    <row r="220">
      <c r="A220" s="16"/>
      <c r="B220" s="16" t="str">
        <f>IFNA(VLOOKUP($A220,Towns!$A$2:$F1000,MATCH($B$1,Towns!$A$1:$F$1,0),false))</f>
        <v/>
      </c>
    </row>
    <row r="221">
      <c r="A221" s="16"/>
      <c r="B221" s="16" t="str">
        <f>IFNA(VLOOKUP($A221,Towns!$A$2:$F1000,MATCH($B$1,Towns!$A$1:$F$1,0),false))</f>
        <v/>
      </c>
    </row>
    <row r="222">
      <c r="A222" s="16"/>
      <c r="B222" s="16" t="str">
        <f>IFNA(VLOOKUP($A222,Towns!$A$2:$F1000,MATCH($B$1,Towns!$A$1:$F$1,0),false))</f>
        <v/>
      </c>
    </row>
    <row r="223">
      <c r="A223" s="16"/>
      <c r="B223" s="16" t="str">
        <f>IFNA(VLOOKUP($A223,Towns!$A$2:$F1000,MATCH($B$1,Towns!$A$1:$F$1,0),false))</f>
        <v/>
      </c>
    </row>
    <row r="224">
      <c r="A224" s="16"/>
      <c r="B224" s="16" t="str">
        <f>IFNA(VLOOKUP($A224,Towns!$A$2:$F1000,MATCH($B$1,Towns!$A$1:$F$1,0),false))</f>
        <v/>
      </c>
    </row>
    <row r="225">
      <c r="A225" s="16"/>
      <c r="B225" s="16" t="str">
        <f>IFNA(VLOOKUP($A225,Towns!$A$2:$F1000,MATCH($B$1,Towns!$A$1:$F$1,0),false))</f>
        <v/>
      </c>
    </row>
    <row r="226">
      <c r="A226" s="16"/>
      <c r="B226" s="16" t="str">
        <f>IFNA(VLOOKUP($A226,Towns!$A$2:$F1000,MATCH($B$1,Towns!$A$1:$F$1,0),false))</f>
        <v/>
      </c>
    </row>
    <row r="227">
      <c r="A227" s="16"/>
      <c r="B227" s="16" t="str">
        <f>IFNA(VLOOKUP($A227,Towns!$A$2:$F1000,MATCH($B$1,Towns!$A$1:$F$1,0),false))</f>
        <v/>
      </c>
    </row>
    <row r="228">
      <c r="A228" s="16"/>
      <c r="B228" s="16" t="str">
        <f>IFNA(VLOOKUP($A228,Towns!$A$2:$F1000,MATCH($B$1,Towns!$A$1:$F$1,0),false))</f>
        <v/>
      </c>
    </row>
    <row r="229">
      <c r="A229" s="16"/>
      <c r="B229" s="16" t="str">
        <f>IFNA(VLOOKUP($A229,Towns!$A$2:$F1000,MATCH($B$1,Towns!$A$1:$F$1,0),false))</f>
        <v/>
      </c>
    </row>
    <row r="230">
      <c r="A230" s="16"/>
      <c r="B230" s="16" t="str">
        <f>IFNA(VLOOKUP($A230,Towns!$A$2:$F1000,MATCH($B$1,Towns!$A$1:$F$1,0),false))</f>
        <v/>
      </c>
    </row>
    <row r="231">
      <c r="A231" s="16"/>
      <c r="B231" s="16" t="str">
        <f>IFNA(VLOOKUP($A231,Towns!$A$2:$F1000,MATCH($B$1,Towns!$A$1:$F$1,0),false))</f>
        <v/>
      </c>
    </row>
    <row r="232">
      <c r="A232" s="16"/>
      <c r="B232" s="16" t="str">
        <f>IFNA(VLOOKUP($A232,Towns!$A$2:$F1000,MATCH($B$1,Towns!$A$1:$F$1,0),false))</f>
        <v/>
      </c>
    </row>
    <row r="233">
      <c r="A233" s="16"/>
      <c r="B233" s="16" t="str">
        <f>IFNA(VLOOKUP($A233,Towns!$A$2:$F1000,MATCH($B$1,Towns!$A$1:$F$1,0),false))</f>
        <v/>
      </c>
    </row>
    <row r="234">
      <c r="A234" s="16"/>
      <c r="B234" s="16" t="str">
        <f>IFNA(VLOOKUP($A234,Towns!$A$2:$F1000,MATCH($B$1,Towns!$A$1:$F$1,0),false))</f>
        <v/>
      </c>
    </row>
    <row r="235">
      <c r="A235" s="16"/>
      <c r="B235" s="16" t="str">
        <f>IFNA(VLOOKUP($A235,Towns!$A$2:$F1000,MATCH($B$1,Towns!$A$1:$F$1,0),false))</f>
        <v/>
      </c>
    </row>
    <row r="236">
      <c r="A236" s="16"/>
      <c r="B236" s="16" t="str">
        <f>IFNA(VLOOKUP($A236,Towns!$A$2:$F1000,MATCH($B$1,Towns!$A$1:$F$1,0),false))</f>
        <v/>
      </c>
    </row>
    <row r="237">
      <c r="A237" s="16"/>
      <c r="B237" s="16" t="str">
        <f>IFNA(VLOOKUP($A237,Towns!$A$2:$F1000,MATCH($B$1,Towns!$A$1:$F$1,0),false))</f>
        <v/>
      </c>
    </row>
    <row r="238">
      <c r="A238" s="16"/>
      <c r="B238" s="16" t="str">
        <f>IFNA(VLOOKUP($A238,Towns!$A$2:$F1000,MATCH($B$1,Towns!$A$1:$F$1,0),false))</f>
        <v/>
      </c>
    </row>
    <row r="239">
      <c r="A239" s="16"/>
      <c r="B239" s="16" t="str">
        <f>IFNA(VLOOKUP($A239,Towns!$A$2:$F1000,MATCH($B$1,Towns!$A$1:$F$1,0),false))</f>
        <v/>
      </c>
    </row>
    <row r="240">
      <c r="A240" s="16"/>
      <c r="B240" s="16" t="str">
        <f>IFNA(VLOOKUP($A240,Towns!$A$2:$F1000,MATCH($B$1,Towns!$A$1:$F$1,0),false))</f>
        <v/>
      </c>
    </row>
    <row r="241">
      <c r="A241" s="16"/>
      <c r="B241" s="16" t="str">
        <f>IFNA(VLOOKUP($A241,Towns!$A$2:$F1000,MATCH($B$1,Towns!$A$1:$F$1,0),false))</f>
        <v/>
      </c>
    </row>
    <row r="242">
      <c r="A242" s="16"/>
      <c r="B242" s="16" t="str">
        <f>IFNA(VLOOKUP($A242,Towns!$A$2:$F1000,MATCH($B$1,Towns!$A$1:$F$1,0),false))</f>
        <v/>
      </c>
    </row>
    <row r="243">
      <c r="A243" s="16"/>
      <c r="B243" s="16" t="str">
        <f>IFNA(VLOOKUP($A243,Towns!$A$2:$F1000,MATCH($B$1,Towns!$A$1:$F$1,0),false))</f>
        <v/>
      </c>
    </row>
    <row r="244">
      <c r="A244" s="16"/>
      <c r="B244" s="16" t="str">
        <f>IFNA(VLOOKUP($A244,Towns!$A$2:$F1000,MATCH($B$1,Towns!$A$1:$F$1,0),false))</f>
        <v/>
      </c>
    </row>
    <row r="245">
      <c r="A245" s="16"/>
      <c r="B245" s="16" t="str">
        <f>IFNA(VLOOKUP($A245,Towns!$A$2:$F1000,MATCH($B$1,Towns!$A$1:$F$1,0),false))</f>
        <v/>
      </c>
    </row>
    <row r="246">
      <c r="A246" s="16"/>
      <c r="B246" s="16" t="str">
        <f>IFNA(VLOOKUP($A246,Towns!$A$2:$F1000,MATCH($B$1,Towns!$A$1:$F$1,0),false))</f>
        <v/>
      </c>
    </row>
    <row r="247">
      <c r="A247" s="16"/>
      <c r="B247" s="16" t="str">
        <f>IFNA(VLOOKUP($A247,Towns!$A$2:$F1000,MATCH($B$1,Towns!$A$1:$F$1,0),false))</f>
        <v/>
      </c>
    </row>
    <row r="248">
      <c r="A248" s="16"/>
      <c r="B248" s="16" t="str">
        <f>IFNA(VLOOKUP($A248,Towns!$A$2:$F1000,MATCH($B$1,Towns!$A$1:$F$1,0),false))</f>
        <v/>
      </c>
    </row>
    <row r="249">
      <c r="A249" s="16"/>
      <c r="B249" s="16" t="str">
        <f>IFNA(VLOOKUP($A249,Towns!$A$2:$F1000,MATCH($B$1,Towns!$A$1:$F$1,0),false))</f>
        <v/>
      </c>
    </row>
    <row r="250">
      <c r="A250" s="16"/>
      <c r="B250" s="16" t="str">
        <f>IFNA(VLOOKUP($A250,Towns!$A$2:$F1000,MATCH($B$1,Towns!$A$1:$F$1,0),false))</f>
        <v/>
      </c>
    </row>
    <row r="251">
      <c r="A251" s="16"/>
      <c r="B251" s="16" t="str">
        <f>IFNA(VLOOKUP($A251,Towns!$A$2:$F1000,MATCH($B$1,Towns!$A$1:$F$1,0),false))</f>
        <v/>
      </c>
    </row>
    <row r="252">
      <c r="A252" s="16"/>
      <c r="B252" s="16" t="str">
        <f>IFNA(VLOOKUP($A252,Towns!$A$2:$F1000,MATCH($B$1,Towns!$A$1:$F$1,0),false))</f>
        <v/>
      </c>
    </row>
    <row r="253">
      <c r="A253" s="16"/>
      <c r="B253" s="16" t="str">
        <f>IFNA(VLOOKUP($A253,Towns!$A$2:$F1000,MATCH($B$1,Towns!$A$1:$F$1,0),false))</f>
        <v/>
      </c>
    </row>
    <row r="254">
      <c r="A254" s="16"/>
      <c r="B254" s="16" t="str">
        <f>IFNA(VLOOKUP($A254,Towns!$A$2:$F1000,MATCH($B$1,Towns!$A$1:$F$1,0),false))</f>
        <v/>
      </c>
    </row>
    <row r="255">
      <c r="A255" s="16"/>
      <c r="B255" s="16" t="str">
        <f>IFNA(VLOOKUP($A255,Towns!$A$2:$F1000,MATCH($B$1,Towns!$A$1:$F$1,0),false))</f>
        <v/>
      </c>
    </row>
    <row r="256">
      <c r="A256" s="16"/>
      <c r="B256" s="16" t="str">
        <f>IFNA(VLOOKUP($A256,Towns!$A$2:$F1000,MATCH($B$1,Towns!$A$1:$F$1,0),false))</f>
        <v/>
      </c>
    </row>
    <row r="257">
      <c r="A257" s="16"/>
      <c r="B257" s="16" t="str">
        <f>IFNA(VLOOKUP($A257,Towns!$A$2:$F1000,MATCH($B$1,Towns!$A$1:$F$1,0),false))</f>
        <v/>
      </c>
    </row>
    <row r="258">
      <c r="A258" s="16"/>
      <c r="B258" s="16" t="str">
        <f>IFNA(VLOOKUP($A258,Towns!$A$2:$F1000,MATCH($B$1,Towns!$A$1:$F$1,0),false))</f>
        <v/>
      </c>
    </row>
    <row r="259">
      <c r="A259" s="16"/>
      <c r="B259" s="16" t="str">
        <f>IFNA(VLOOKUP($A259,Towns!$A$2:$F1000,MATCH($B$1,Towns!$A$1:$F$1,0),false))</f>
        <v/>
      </c>
    </row>
    <row r="260">
      <c r="A260" s="16"/>
      <c r="B260" s="16" t="str">
        <f>IFNA(VLOOKUP($A260,Towns!$A$2:$F1000,MATCH($B$1,Towns!$A$1:$F$1,0),false))</f>
        <v/>
      </c>
    </row>
    <row r="261">
      <c r="A261" s="16"/>
      <c r="B261" s="16" t="str">
        <f>IFNA(VLOOKUP($A261,Towns!$A$2:$F1000,MATCH($B$1,Towns!$A$1:$F$1,0),false))</f>
        <v/>
      </c>
    </row>
    <row r="262">
      <c r="A262" s="16"/>
      <c r="B262" s="16" t="str">
        <f>IFNA(VLOOKUP($A262,Towns!$A$2:$F1000,MATCH($B$1,Towns!$A$1:$F$1,0),false))</f>
        <v/>
      </c>
    </row>
    <row r="263">
      <c r="A263" s="16"/>
      <c r="B263" s="16" t="str">
        <f>IFNA(VLOOKUP($A263,Towns!$A$2:$F1000,MATCH($B$1,Towns!$A$1:$F$1,0),false))</f>
        <v/>
      </c>
    </row>
    <row r="264">
      <c r="A264" s="16"/>
      <c r="B264" s="16" t="str">
        <f>IFNA(VLOOKUP($A264,Towns!$A$2:$F1000,MATCH($B$1,Towns!$A$1:$F$1,0),false))</f>
        <v/>
      </c>
    </row>
    <row r="265">
      <c r="A265" s="16"/>
      <c r="B265" s="16" t="str">
        <f>IFNA(VLOOKUP($A265,Towns!$A$2:$F1000,MATCH($B$1,Towns!$A$1:$F$1,0),false))</f>
        <v/>
      </c>
    </row>
    <row r="266">
      <c r="A266" s="16"/>
      <c r="B266" s="16" t="str">
        <f>IFNA(VLOOKUP($A266,Towns!$A$2:$F1000,MATCH($B$1,Towns!$A$1:$F$1,0),false))</f>
        <v/>
      </c>
    </row>
    <row r="267">
      <c r="A267" s="16"/>
      <c r="B267" s="16" t="str">
        <f>IFNA(VLOOKUP($A267,Towns!$A$2:$F1000,MATCH($B$1,Towns!$A$1:$F$1,0),false))</f>
        <v/>
      </c>
    </row>
    <row r="268">
      <c r="A268" s="16"/>
      <c r="B268" s="16" t="str">
        <f>IFNA(VLOOKUP($A268,Towns!$A$2:$F1000,MATCH($B$1,Towns!$A$1:$F$1,0),false))</f>
        <v/>
      </c>
    </row>
    <row r="269">
      <c r="A269" s="16"/>
      <c r="B269" s="16" t="str">
        <f>IFNA(VLOOKUP($A269,Towns!$A$2:$F1000,MATCH($B$1,Towns!$A$1:$F$1,0),false))</f>
        <v/>
      </c>
    </row>
    <row r="270">
      <c r="A270" s="16"/>
      <c r="B270" s="16" t="str">
        <f>IFNA(VLOOKUP($A270,Towns!$A$2:$F1000,MATCH($B$1,Towns!$A$1:$F$1,0),false))</f>
        <v/>
      </c>
    </row>
    <row r="271">
      <c r="A271" s="16"/>
      <c r="B271" s="16" t="str">
        <f>IFNA(VLOOKUP($A271,Towns!$A$2:$F1000,MATCH($B$1,Towns!$A$1:$F$1,0),false))</f>
        <v/>
      </c>
    </row>
    <row r="272">
      <c r="A272" s="16"/>
      <c r="B272" s="16" t="str">
        <f>IFNA(VLOOKUP($A272,Towns!$A$2:$F1000,MATCH($B$1,Towns!$A$1:$F$1,0),false))</f>
        <v/>
      </c>
    </row>
    <row r="273">
      <c r="A273" s="16"/>
      <c r="B273" s="16" t="str">
        <f>IFNA(VLOOKUP($A273,Towns!$A$2:$F1000,MATCH($B$1,Towns!$A$1:$F$1,0),false))</f>
        <v/>
      </c>
    </row>
    <row r="274">
      <c r="A274" s="16"/>
      <c r="B274" s="16" t="str">
        <f>IFNA(VLOOKUP($A274,Towns!$A$2:$F1000,MATCH($B$1,Towns!$A$1:$F$1,0),false))</f>
        <v/>
      </c>
    </row>
    <row r="275">
      <c r="A275" s="16"/>
      <c r="B275" s="16" t="str">
        <f>IFNA(VLOOKUP($A275,Towns!$A$2:$F1000,MATCH($B$1,Towns!$A$1:$F$1,0),false))</f>
        <v/>
      </c>
    </row>
    <row r="276">
      <c r="A276" s="16"/>
      <c r="B276" s="16" t="str">
        <f>IFNA(VLOOKUP($A276,Towns!$A$2:$F1000,MATCH($B$1,Towns!$A$1:$F$1,0),false))</f>
        <v/>
      </c>
    </row>
    <row r="277">
      <c r="A277" s="16"/>
      <c r="B277" s="16" t="str">
        <f>IFNA(VLOOKUP($A277,Towns!$A$2:$F1000,MATCH($B$1,Towns!$A$1:$F$1,0),false))</f>
        <v/>
      </c>
    </row>
    <row r="278">
      <c r="A278" s="16"/>
      <c r="B278" s="16" t="str">
        <f>IFNA(VLOOKUP($A278,Towns!$A$2:$F1000,MATCH($B$1,Towns!$A$1:$F$1,0),false))</f>
        <v/>
      </c>
    </row>
    <row r="279">
      <c r="A279" s="16"/>
      <c r="B279" s="16" t="str">
        <f>IFNA(VLOOKUP($A279,Towns!$A$2:$F1000,MATCH($B$1,Towns!$A$1:$F$1,0),false))</f>
        <v/>
      </c>
    </row>
    <row r="280">
      <c r="A280" s="16"/>
      <c r="B280" s="16" t="str">
        <f>IFNA(VLOOKUP($A280,Towns!$A$2:$F1000,MATCH($B$1,Towns!$A$1:$F$1,0),false))</f>
        <v/>
      </c>
    </row>
    <row r="281">
      <c r="A281" s="16"/>
      <c r="B281" s="16" t="str">
        <f>IFNA(VLOOKUP($A281,Towns!$A$2:$F1000,MATCH($B$1,Towns!$A$1:$F$1,0),false))</f>
        <v/>
      </c>
    </row>
    <row r="282">
      <c r="A282" s="16"/>
      <c r="B282" s="16" t="str">
        <f>IFNA(VLOOKUP($A282,Towns!$A$2:$F1000,MATCH($B$1,Towns!$A$1:$F$1,0),false))</f>
        <v/>
      </c>
    </row>
    <row r="283">
      <c r="A283" s="16"/>
      <c r="B283" s="16" t="str">
        <f>IFNA(VLOOKUP($A283,Towns!$A$2:$F1000,MATCH($B$1,Towns!$A$1:$F$1,0),false))</f>
        <v/>
      </c>
    </row>
    <row r="284">
      <c r="A284" s="16"/>
      <c r="B284" s="16" t="str">
        <f>IFNA(VLOOKUP($A284,Towns!$A$2:$F1000,MATCH($B$1,Towns!$A$1:$F$1,0),false))</f>
        <v/>
      </c>
    </row>
    <row r="285">
      <c r="A285" s="16"/>
      <c r="B285" s="16" t="str">
        <f>IFNA(VLOOKUP($A285,Towns!$A$2:$F1000,MATCH($B$1,Towns!$A$1:$F$1,0),false))</f>
        <v/>
      </c>
    </row>
    <row r="286">
      <c r="A286" s="16"/>
      <c r="B286" s="16" t="str">
        <f>IFNA(VLOOKUP($A286,Towns!$A$2:$F1000,MATCH($B$1,Towns!$A$1:$F$1,0),false))</f>
        <v/>
      </c>
    </row>
    <row r="287">
      <c r="A287" s="16"/>
      <c r="B287" s="16" t="str">
        <f>IFNA(VLOOKUP($A287,Towns!$A$2:$F1000,MATCH($B$1,Towns!$A$1:$F$1,0),false))</f>
        <v/>
      </c>
    </row>
    <row r="288">
      <c r="A288" s="16"/>
      <c r="B288" s="16" t="str">
        <f>IFNA(VLOOKUP($A288,Towns!$A$2:$F1000,MATCH($B$1,Towns!$A$1:$F$1,0),false))</f>
        <v/>
      </c>
    </row>
    <row r="289">
      <c r="A289" s="16"/>
      <c r="B289" s="16" t="str">
        <f>IFNA(VLOOKUP($A289,Towns!$A$2:$F1000,MATCH($B$1,Towns!$A$1:$F$1,0),false))</f>
        <v/>
      </c>
    </row>
    <row r="290">
      <c r="A290" s="16"/>
      <c r="B290" s="16" t="str">
        <f>IFNA(VLOOKUP($A290,Towns!$A$2:$F1000,MATCH($B$1,Towns!$A$1:$F$1,0),false))</f>
        <v/>
      </c>
    </row>
    <row r="291">
      <c r="A291" s="16"/>
      <c r="B291" s="16" t="str">
        <f>IFNA(VLOOKUP($A291,Towns!$A$2:$F1000,MATCH($B$1,Towns!$A$1:$F$1,0),false))</f>
        <v/>
      </c>
    </row>
    <row r="292">
      <c r="A292" s="16"/>
      <c r="B292" s="16" t="str">
        <f>IFNA(VLOOKUP($A292,Towns!$A$2:$F1000,MATCH($B$1,Towns!$A$1:$F$1,0),false))</f>
        <v/>
      </c>
    </row>
    <row r="293">
      <c r="A293" s="16"/>
      <c r="B293" s="16" t="str">
        <f>IFNA(VLOOKUP($A293,Towns!$A$2:$F1000,MATCH($B$1,Towns!$A$1:$F$1,0),false))</f>
        <v/>
      </c>
    </row>
    <row r="294">
      <c r="A294" s="16"/>
      <c r="B294" s="16" t="str">
        <f>IFNA(VLOOKUP($A294,Towns!$A$2:$F1000,MATCH($B$1,Towns!$A$1:$F$1,0),false))</f>
        <v/>
      </c>
    </row>
    <row r="295">
      <c r="A295" s="16"/>
      <c r="B295" s="16" t="str">
        <f>IFNA(VLOOKUP($A295,Towns!$A$2:$F1000,MATCH($B$1,Towns!$A$1:$F$1,0),false))</f>
        <v/>
      </c>
    </row>
    <row r="296">
      <c r="A296" s="16"/>
      <c r="B296" s="16" t="str">
        <f>IFNA(VLOOKUP($A296,Towns!$A$2:$F1000,MATCH($B$1,Towns!$A$1:$F$1,0),false))</f>
        <v/>
      </c>
    </row>
    <row r="297">
      <c r="A297" s="16"/>
      <c r="B297" s="16" t="str">
        <f>IFNA(VLOOKUP($A297,Towns!$A$2:$F1000,MATCH($B$1,Towns!$A$1:$F$1,0),false))</f>
        <v/>
      </c>
    </row>
    <row r="298">
      <c r="A298" s="16"/>
      <c r="B298" s="16" t="str">
        <f>IFNA(VLOOKUP($A298,Towns!$A$2:$F1000,MATCH($B$1,Towns!$A$1:$F$1,0),false))</f>
        <v/>
      </c>
    </row>
    <row r="299">
      <c r="A299" s="16"/>
      <c r="B299" s="16" t="str">
        <f>IFNA(VLOOKUP($A299,Towns!$A$2:$F1000,MATCH($B$1,Towns!$A$1:$F$1,0),false))</f>
        <v/>
      </c>
    </row>
    <row r="300">
      <c r="A300" s="16"/>
      <c r="B300" s="16" t="str">
        <f>IFNA(VLOOKUP($A300,Towns!$A$2:$F1000,MATCH($B$1,Towns!$A$1:$F$1,0),false))</f>
        <v/>
      </c>
    </row>
    <row r="301">
      <c r="A301" s="16"/>
      <c r="B301" s="16" t="str">
        <f>IFNA(VLOOKUP($A301,Towns!$A$2:$F1000,MATCH($B$1,Towns!$A$1:$F$1,0),false))</f>
        <v/>
      </c>
    </row>
    <row r="302">
      <c r="A302" s="16"/>
      <c r="B302" s="16" t="str">
        <f>IFNA(VLOOKUP($A302,Towns!$A$2:$F1000,MATCH($B$1,Towns!$A$1:$F$1,0),false))</f>
        <v/>
      </c>
    </row>
    <row r="303">
      <c r="A303" s="16"/>
      <c r="B303" s="16" t="str">
        <f>IFNA(VLOOKUP($A303,Towns!$A$2:$F1000,MATCH($B$1,Towns!$A$1:$F$1,0),false))</f>
        <v/>
      </c>
    </row>
    <row r="304">
      <c r="A304" s="16"/>
      <c r="B304" s="16" t="str">
        <f>IFNA(VLOOKUP($A304,Towns!$A$2:$F1000,MATCH($B$1,Towns!$A$1:$F$1,0),false))</f>
        <v/>
      </c>
    </row>
    <row r="305">
      <c r="A305" s="16"/>
      <c r="B305" s="16" t="str">
        <f>IFNA(VLOOKUP($A305,Towns!$A$2:$F1000,MATCH($B$1,Towns!$A$1:$F$1,0),false))</f>
        <v/>
      </c>
    </row>
    <row r="306">
      <c r="A306" s="16"/>
      <c r="B306" s="16" t="str">
        <f>IFNA(VLOOKUP($A306,Towns!$A$2:$F1000,MATCH($B$1,Towns!$A$1:$F$1,0),false))</f>
        <v/>
      </c>
    </row>
    <row r="307">
      <c r="A307" s="16"/>
      <c r="B307" s="16" t="str">
        <f>IFNA(VLOOKUP($A307,Towns!$A$2:$F1000,MATCH($B$1,Towns!$A$1:$F$1,0),false))</f>
        <v/>
      </c>
    </row>
    <row r="308">
      <c r="A308" s="16"/>
      <c r="B308" s="16" t="str">
        <f>IFNA(VLOOKUP($A308,Towns!$A$2:$F1000,MATCH($B$1,Towns!$A$1:$F$1,0),false))</f>
        <v/>
      </c>
    </row>
    <row r="309">
      <c r="A309" s="16"/>
      <c r="B309" s="16" t="str">
        <f>IFNA(VLOOKUP($A309,Towns!$A$2:$F1000,MATCH($B$1,Towns!$A$1:$F$1,0),false))</f>
        <v/>
      </c>
    </row>
    <row r="310">
      <c r="A310" s="16"/>
      <c r="B310" s="16" t="str">
        <f>IFNA(VLOOKUP($A310,Towns!$A$2:$F1000,MATCH($B$1,Towns!$A$1:$F$1,0),false))</f>
        <v/>
      </c>
    </row>
    <row r="311">
      <c r="A311" s="16"/>
      <c r="B311" s="16" t="str">
        <f>IFNA(VLOOKUP($A311,Towns!$A$2:$F1000,MATCH($B$1,Towns!$A$1:$F$1,0),false))</f>
        <v/>
      </c>
    </row>
    <row r="312">
      <c r="A312" s="16"/>
      <c r="B312" s="16" t="str">
        <f>IFNA(VLOOKUP($A312,Towns!$A$2:$F1000,MATCH($B$1,Towns!$A$1:$F$1,0),false))</f>
        <v/>
      </c>
    </row>
    <row r="313">
      <c r="A313" s="16"/>
      <c r="B313" s="16" t="str">
        <f>IFNA(VLOOKUP($A313,Towns!$A$2:$F1000,MATCH($B$1,Towns!$A$1:$F$1,0),false))</f>
        <v/>
      </c>
    </row>
    <row r="314">
      <c r="A314" s="16"/>
      <c r="B314" s="16" t="str">
        <f>IFNA(VLOOKUP($A314,Towns!$A$2:$F1000,MATCH($B$1,Towns!$A$1:$F$1,0),false))</f>
        <v/>
      </c>
    </row>
    <row r="315">
      <c r="A315" s="16"/>
      <c r="B315" s="16" t="str">
        <f>IFNA(VLOOKUP($A315,Towns!$A$2:$F1000,MATCH($B$1,Towns!$A$1:$F$1,0),false))</f>
        <v/>
      </c>
    </row>
    <row r="316">
      <c r="A316" s="16"/>
      <c r="B316" s="16" t="str">
        <f>IFNA(VLOOKUP($A316,Towns!$A$2:$F1000,MATCH($B$1,Towns!$A$1:$F$1,0),false))</f>
        <v/>
      </c>
    </row>
    <row r="317">
      <c r="A317" s="16"/>
      <c r="B317" s="16" t="str">
        <f>IFNA(VLOOKUP($A317,Towns!$A$2:$F1000,MATCH($B$1,Towns!$A$1:$F$1,0),false))</f>
        <v/>
      </c>
    </row>
    <row r="318">
      <c r="A318" s="16"/>
      <c r="B318" s="16" t="str">
        <f>IFNA(VLOOKUP($A318,Towns!$A$2:$F1000,MATCH($B$1,Towns!$A$1:$F$1,0),false))</f>
        <v/>
      </c>
    </row>
    <row r="319">
      <c r="A319" s="16"/>
      <c r="B319" s="16" t="str">
        <f>IFNA(VLOOKUP($A319,Towns!$A$2:$F1000,MATCH($B$1,Towns!$A$1:$F$1,0),false))</f>
        <v/>
      </c>
    </row>
    <row r="320">
      <c r="A320" s="16"/>
      <c r="B320" s="16" t="str">
        <f>IFNA(VLOOKUP($A320,Towns!$A$2:$F1000,MATCH($B$1,Towns!$A$1:$F$1,0),false))</f>
        <v/>
      </c>
    </row>
    <row r="321">
      <c r="A321" s="16"/>
      <c r="B321" s="16" t="str">
        <f>IFNA(VLOOKUP($A321,Towns!$A$2:$F1000,MATCH($B$1,Towns!$A$1:$F$1,0),false))</f>
        <v/>
      </c>
    </row>
    <row r="322">
      <c r="A322" s="16"/>
      <c r="B322" s="16" t="str">
        <f>IFNA(VLOOKUP($A322,Towns!$A$2:$F1000,MATCH($B$1,Towns!$A$1:$F$1,0),false))</f>
        <v/>
      </c>
    </row>
    <row r="323">
      <c r="A323" s="16"/>
      <c r="B323" s="16" t="str">
        <f>IFNA(VLOOKUP($A323,Towns!$A$2:$F1000,MATCH($B$1,Towns!$A$1:$F$1,0),false))</f>
        <v/>
      </c>
    </row>
    <row r="324">
      <c r="A324" s="16"/>
      <c r="B324" s="16" t="str">
        <f>IFNA(VLOOKUP($A324,Towns!$A$2:$F1000,MATCH($B$1,Towns!$A$1:$F$1,0),false))</f>
        <v/>
      </c>
    </row>
    <row r="325">
      <c r="A325" s="16"/>
      <c r="B325" s="16" t="str">
        <f>IFNA(VLOOKUP($A325,Towns!$A$2:$F1000,MATCH($B$1,Towns!$A$1:$F$1,0),false))</f>
        <v/>
      </c>
    </row>
    <row r="326">
      <c r="A326" s="16"/>
      <c r="B326" s="16" t="str">
        <f>IFNA(VLOOKUP($A326,Towns!$A$2:$F1000,MATCH($B$1,Towns!$A$1:$F$1,0),false))</f>
        <v/>
      </c>
    </row>
    <row r="327">
      <c r="A327" s="16"/>
      <c r="B327" s="16" t="str">
        <f>IFNA(VLOOKUP($A327,Towns!$A$2:$F1000,MATCH($B$1,Towns!$A$1:$F$1,0),false))</f>
        <v/>
      </c>
    </row>
    <row r="328">
      <c r="A328" s="16"/>
      <c r="B328" s="16" t="str">
        <f>IFNA(VLOOKUP($A328,Towns!$A$2:$F1000,MATCH($B$1,Towns!$A$1:$F$1,0),false))</f>
        <v/>
      </c>
    </row>
    <row r="329">
      <c r="A329" s="16"/>
      <c r="B329" s="16" t="str">
        <f>IFNA(VLOOKUP($A329,Towns!$A$2:$F1000,MATCH($B$1,Towns!$A$1:$F$1,0),false))</f>
        <v/>
      </c>
    </row>
    <row r="330">
      <c r="A330" s="16"/>
      <c r="B330" s="16" t="str">
        <f>IFNA(VLOOKUP($A330,Towns!$A$2:$F1000,MATCH($B$1,Towns!$A$1:$F$1,0),false))</f>
        <v/>
      </c>
    </row>
    <row r="331">
      <c r="A331" s="16"/>
      <c r="B331" s="16" t="str">
        <f>IFNA(VLOOKUP($A331,Towns!$A$2:$F1000,MATCH($B$1,Towns!$A$1:$F$1,0),false))</f>
        <v/>
      </c>
    </row>
    <row r="332">
      <c r="A332" s="16"/>
      <c r="B332" s="16" t="str">
        <f>IFNA(VLOOKUP($A332,Towns!$A$2:$F1000,MATCH($B$1,Towns!$A$1:$F$1,0),false))</f>
        <v/>
      </c>
    </row>
    <row r="333">
      <c r="A333" s="16"/>
      <c r="B333" s="16" t="str">
        <f>IFNA(VLOOKUP($A333,Towns!$A$2:$F1000,MATCH($B$1,Towns!$A$1:$F$1,0),false))</f>
        <v/>
      </c>
    </row>
    <row r="334">
      <c r="A334" s="16"/>
      <c r="B334" s="16" t="str">
        <f>IFNA(VLOOKUP($A334,Towns!$A$2:$F1000,MATCH($B$1,Towns!$A$1:$F$1,0),false))</f>
        <v/>
      </c>
    </row>
    <row r="335">
      <c r="A335" s="16"/>
      <c r="B335" s="16" t="str">
        <f>IFNA(VLOOKUP($A335,Towns!$A$2:$F1000,MATCH($B$1,Towns!$A$1:$F$1,0),false))</f>
        <v/>
      </c>
    </row>
    <row r="336">
      <c r="A336" s="16"/>
      <c r="B336" s="16" t="str">
        <f>IFNA(VLOOKUP($A336,Towns!$A$2:$F1000,MATCH($B$1,Towns!$A$1:$F$1,0),false))</f>
        <v/>
      </c>
    </row>
    <row r="337">
      <c r="A337" s="16"/>
      <c r="B337" s="16" t="str">
        <f>IFNA(VLOOKUP($A337,Towns!$A$2:$F1000,MATCH($B$1,Towns!$A$1:$F$1,0),false))</f>
        <v/>
      </c>
    </row>
    <row r="338">
      <c r="A338" s="16"/>
      <c r="B338" s="16" t="str">
        <f>IFNA(VLOOKUP($A338,Towns!$A$2:$F1000,MATCH($B$1,Towns!$A$1:$F$1,0),false))</f>
        <v/>
      </c>
    </row>
    <row r="339">
      <c r="A339" s="16"/>
      <c r="B339" s="16" t="str">
        <f>IFNA(VLOOKUP($A339,Towns!$A$2:$F1000,MATCH($B$1,Towns!$A$1:$F$1,0),false))</f>
        <v/>
      </c>
    </row>
    <row r="340">
      <c r="A340" s="16"/>
      <c r="B340" s="16" t="str">
        <f>IFNA(VLOOKUP($A340,Towns!$A$2:$F1000,MATCH($B$1,Towns!$A$1:$F$1,0),false))</f>
        <v/>
      </c>
    </row>
    <row r="341">
      <c r="A341" s="16"/>
      <c r="B341" s="16" t="str">
        <f>IFNA(VLOOKUP($A341,Towns!$A$2:$F1000,MATCH($B$1,Towns!$A$1:$F$1,0),false))</f>
        <v/>
      </c>
    </row>
    <row r="342">
      <c r="A342" s="16"/>
      <c r="B342" s="16" t="str">
        <f>IFNA(VLOOKUP($A342,Towns!$A$2:$F1000,MATCH($B$1,Towns!$A$1:$F$1,0),false))</f>
        <v/>
      </c>
    </row>
    <row r="343">
      <c r="A343" s="16"/>
      <c r="B343" s="16" t="str">
        <f>IFNA(VLOOKUP($A343,Towns!$A$2:$F1000,MATCH($B$1,Towns!$A$1:$F$1,0),false))</f>
        <v/>
      </c>
    </row>
    <row r="344">
      <c r="A344" s="16"/>
      <c r="B344" s="16" t="str">
        <f>IFNA(VLOOKUP($A344,Towns!$A$2:$F1000,MATCH($B$1,Towns!$A$1:$F$1,0),false))</f>
        <v/>
      </c>
    </row>
    <row r="345">
      <c r="A345" s="16"/>
      <c r="B345" s="16" t="str">
        <f>IFNA(VLOOKUP($A345,Towns!$A$2:$F1000,MATCH($B$1,Towns!$A$1:$F$1,0),false))</f>
        <v/>
      </c>
    </row>
    <row r="346">
      <c r="A346" s="16"/>
      <c r="B346" s="16" t="str">
        <f>IFNA(VLOOKUP($A346,Towns!$A$2:$F1000,MATCH($B$1,Towns!$A$1:$F$1,0),false))</f>
        <v/>
      </c>
    </row>
    <row r="347">
      <c r="A347" s="16"/>
      <c r="B347" s="16" t="str">
        <f>IFNA(VLOOKUP($A347,Towns!$A$2:$F1000,MATCH($B$1,Towns!$A$1:$F$1,0),false))</f>
        <v/>
      </c>
    </row>
    <row r="348">
      <c r="A348" s="16"/>
      <c r="B348" s="16" t="str">
        <f>IFNA(VLOOKUP($A348,Towns!$A$2:$F1000,MATCH($B$1,Towns!$A$1:$F$1,0),false))</f>
        <v/>
      </c>
    </row>
    <row r="349">
      <c r="A349" s="16"/>
      <c r="B349" s="16" t="str">
        <f>IFNA(VLOOKUP($A349,Towns!$A$2:$F1000,MATCH($B$1,Towns!$A$1:$F$1,0),false))</f>
        <v/>
      </c>
    </row>
    <row r="350">
      <c r="A350" s="16"/>
      <c r="B350" s="16" t="str">
        <f>IFNA(VLOOKUP($A350,Towns!$A$2:$F1000,MATCH($B$1,Towns!$A$1:$F$1,0),false))</f>
        <v/>
      </c>
    </row>
    <row r="351">
      <c r="A351" s="16"/>
      <c r="B351" s="16" t="str">
        <f>IFNA(VLOOKUP($A351,Towns!$A$2:$F1000,MATCH($B$1,Towns!$A$1:$F$1,0),false))</f>
        <v/>
      </c>
    </row>
    <row r="352">
      <c r="A352" s="16"/>
      <c r="B352" s="16" t="str">
        <f>IFNA(VLOOKUP($A352,Towns!$A$2:$F1000,MATCH($B$1,Towns!$A$1:$F$1,0),false))</f>
        <v/>
      </c>
    </row>
    <row r="353">
      <c r="A353" s="16"/>
      <c r="B353" s="16" t="str">
        <f>IFNA(VLOOKUP($A353,Towns!$A$2:$F1000,MATCH($B$1,Towns!$A$1:$F$1,0),false))</f>
        <v/>
      </c>
    </row>
    <row r="354">
      <c r="A354" s="16"/>
      <c r="B354" s="16" t="str">
        <f>IFNA(VLOOKUP($A354,Towns!$A$2:$F1000,MATCH($B$1,Towns!$A$1:$F$1,0),false))</f>
        <v/>
      </c>
    </row>
    <row r="355">
      <c r="A355" s="16"/>
      <c r="B355" s="16" t="str">
        <f>IFNA(VLOOKUP($A355,Towns!$A$2:$F1000,MATCH($B$1,Towns!$A$1:$F$1,0),false))</f>
        <v/>
      </c>
    </row>
    <row r="356">
      <c r="A356" s="16"/>
      <c r="B356" s="16" t="str">
        <f>IFNA(VLOOKUP($A356,Towns!$A$2:$F1000,MATCH($B$1,Towns!$A$1:$F$1,0),false))</f>
        <v/>
      </c>
    </row>
    <row r="357">
      <c r="A357" s="16"/>
      <c r="B357" s="16" t="str">
        <f>IFNA(VLOOKUP($A357,Towns!$A$2:$F1000,MATCH($B$1,Towns!$A$1:$F$1,0),false))</f>
        <v/>
      </c>
    </row>
    <row r="358">
      <c r="A358" s="16"/>
      <c r="B358" s="16" t="str">
        <f>IFNA(VLOOKUP($A358,Towns!$A$2:$F1000,MATCH($B$1,Towns!$A$1:$F$1,0),false))</f>
        <v/>
      </c>
    </row>
    <row r="359">
      <c r="A359" s="16"/>
      <c r="B359" s="16" t="str">
        <f>IFNA(VLOOKUP($A359,Towns!$A$2:$F1000,MATCH($B$1,Towns!$A$1:$F$1,0),false))</f>
        <v/>
      </c>
    </row>
    <row r="360">
      <c r="A360" s="16"/>
      <c r="B360" s="16" t="str">
        <f>IFNA(VLOOKUP($A360,Towns!$A$2:$F1000,MATCH($B$1,Towns!$A$1:$F$1,0),false))</f>
        <v/>
      </c>
    </row>
    <row r="361">
      <c r="A361" s="16"/>
      <c r="B361" s="16" t="str">
        <f>IFNA(VLOOKUP($A361,Towns!$A$2:$F1000,MATCH($B$1,Towns!$A$1:$F$1,0),false))</f>
        <v/>
      </c>
    </row>
    <row r="362">
      <c r="A362" s="16"/>
      <c r="B362" s="16" t="str">
        <f>IFNA(VLOOKUP($A362,Towns!$A$2:$F1000,MATCH($B$1,Towns!$A$1:$F$1,0),false))</f>
        <v/>
      </c>
    </row>
    <row r="363">
      <c r="A363" s="16"/>
      <c r="B363" s="16" t="str">
        <f>IFNA(VLOOKUP($A363,Towns!$A$2:$F1000,MATCH($B$1,Towns!$A$1:$F$1,0),false))</f>
        <v/>
      </c>
    </row>
    <row r="364">
      <c r="A364" s="16"/>
      <c r="B364" s="16" t="str">
        <f>IFNA(VLOOKUP($A364,Towns!$A$2:$F1000,MATCH($B$1,Towns!$A$1:$F$1,0),false))</f>
        <v/>
      </c>
    </row>
    <row r="365">
      <c r="A365" s="16"/>
      <c r="B365" s="16" t="str">
        <f>IFNA(VLOOKUP($A365,Towns!$A$2:$F1000,MATCH($B$1,Towns!$A$1:$F$1,0),false))</f>
        <v/>
      </c>
    </row>
    <row r="366">
      <c r="A366" s="16"/>
      <c r="B366" s="16" t="str">
        <f>IFNA(VLOOKUP($A366,Towns!$A$2:$F1000,MATCH($B$1,Towns!$A$1:$F$1,0),false))</f>
        <v/>
      </c>
    </row>
    <row r="367">
      <c r="A367" s="16"/>
      <c r="B367" s="16" t="str">
        <f>IFNA(VLOOKUP($A367,Towns!$A$2:$F1000,MATCH($B$1,Towns!$A$1:$F$1,0),false))</f>
        <v/>
      </c>
    </row>
    <row r="368">
      <c r="A368" s="16"/>
      <c r="B368" s="16" t="str">
        <f>IFNA(VLOOKUP($A368,Towns!$A$2:$F1000,MATCH($B$1,Towns!$A$1:$F$1,0),false))</f>
        <v/>
      </c>
    </row>
    <row r="369">
      <c r="A369" s="16"/>
      <c r="B369" s="16" t="str">
        <f>IFNA(VLOOKUP($A369,Towns!$A$2:$F1000,MATCH($B$1,Towns!$A$1:$F$1,0),false))</f>
        <v/>
      </c>
    </row>
    <row r="370">
      <c r="A370" s="16"/>
      <c r="B370" s="16" t="str">
        <f>IFNA(VLOOKUP($A370,Towns!$A$2:$F1000,MATCH($B$1,Towns!$A$1:$F$1,0),false))</f>
        <v/>
      </c>
    </row>
    <row r="371">
      <c r="A371" s="16"/>
      <c r="B371" s="16" t="str">
        <f>IFNA(VLOOKUP($A371,Towns!$A$2:$F1000,MATCH($B$1,Towns!$A$1:$F$1,0),false))</f>
        <v/>
      </c>
    </row>
    <row r="372">
      <c r="A372" s="16"/>
      <c r="B372" s="16" t="str">
        <f>IFNA(VLOOKUP($A372,Towns!$A$2:$F1000,MATCH($B$1,Towns!$A$1:$F$1,0),false))</f>
        <v/>
      </c>
    </row>
    <row r="373">
      <c r="A373" s="16"/>
      <c r="B373" s="16" t="str">
        <f>IFNA(VLOOKUP($A373,Towns!$A$2:$F1000,MATCH($B$1,Towns!$A$1:$F$1,0),false))</f>
        <v/>
      </c>
    </row>
    <row r="374">
      <c r="A374" s="16"/>
      <c r="B374" s="16" t="str">
        <f>IFNA(VLOOKUP($A374,Towns!$A$2:$F1000,MATCH($B$1,Towns!$A$1:$F$1,0),false))</f>
        <v/>
      </c>
    </row>
    <row r="375">
      <c r="A375" s="16"/>
      <c r="B375" s="16" t="str">
        <f>IFNA(VLOOKUP($A375,Towns!$A$2:$F1000,MATCH($B$1,Towns!$A$1:$F$1,0),false))</f>
        <v/>
      </c>
    </row>
    <row r="376">
      <c r="A376" s="16"/>
      <c r="B376" s="16" t="str">
        <f>IFNA(VLOOKUP($A376,Towns!$A$2:$F1000,MATCH($B$1,Towns!$A$1:$F$1,0),false))</f>
        <v/>
      </c>
    </row>
    <row r="377">
      <c r="A377" s="16"/>
      <c r="B377" s="16" t="str">
        <f>IFNA(VLOOKUP($A377,Towns!$A$2:$F1000,MATCH($B$1,Towns!$A$1:$F$1,0),false))</f>
        <v/>
      </c>
    </row>
    <row r="378">
      <c r="A378" s="16"/>
      <c r="B378" s="16" t="str">
        <f>IFNA(VLOOKUP($A378,Towns!$A$2:$F1000,MATCH($B$1,Towns!$A$1:$F$1,0),false))</f>
        <v/>
      </c>
    </row>
    <row r="379">
      <c r="A379" s="16"/>
      <c r="B379" s="16" t="str">
        <f>IFNA(VLOOKUP($A379,Towns!$A$2:$F1000,MATCH($B$1,Towns!$A$1:$F$1,0),false))</f>
        <v/>
      </c>
    </row>
    <row r="380">
      <c r="A380" s="16"/>
      <c r="B380" s="16" t="str">
        <f>IFNA(VLOOKUP($A380,Towns!$A$2:$F1000,MATCH($B$1,Towns!$A$1:$F$1,0),false))</f>
        <v/>
      </c>
    </row>
    <row r="381">
      <c r="A381" s="16"/>
      <c r="B381" s="16" t="str">
        <f>IFNA(VLOOKUP($A381,Towns!$A$2:$F1000,MATCH($B$1,Towns!$A$1:$F$1,0),false))</f>
        <v/>
      </c>
    </row>
    <row r="382">
      <c r="A382" s="16"/>
      <c r="B382" s="16" t="str">
        <f>IFNA(VLOOKUP($A382,Towns!$A$2:$F1000,MATCH($B$1,Towns!$A$1:$F$1,0),false))</f>
        <v/>
      </c>
    </row>
    <row r="383">
      <c r="A383" s="16"/>
      <c r="B383" s="16" t="str">
        <f>IFNA(VLOOKUP($A383,Towns!$A$2:$F1000,MATCH($B$1,Towns!$A$1:$F$1,0),false))</f>
        <v/>
      </c>
    </row>
    <row r="384">
      <c r="A384" s="16"/>
      <c r="B384" s="16" t="str">
        <f>IFNA(VLOOKUP($A384,Towns!$A$2:$F1000,MATCH($B$1,Towns!$A$1:$F$1,0),false))</f>
        <v/>
      </c>
    </row>
    <row r="385">
      <c r="A385" s="16"/>
      <c r="B385" s="16" t="str">
        <f>IFNA(VLOOKUP($A385,Towns!$A$2:$F1000,MATCH($B$1,Towns!$A$1:$F$1,0),false))</f>
        <v/>
      </c>
    </row>
    <row r="386">
      <c r="A386" s="16"/>
      <c r="B386" s="16" t="str">
        <f>IFNA(VLOOKUP($A386,Towns!$A$2:$F1000,MATCH($B$1,Towns!$A$1:$F$1,0),false))</f>
        <v/>
      </c>
    </row>
    <row r="387">
      <c r="A387" s="16"/>
      <c r="B387" s="16" t="str">
        <f>IFNA(VLOOKUP($A387,Towns!$A$2:$F1000,MATCH($B$1,Towns!$A$1:$F$1,0),false))</f>
        <v/>
      </c>
    </row>
    <row r="388">
      <c r="A388" s="16"/>
      <c r="B388" s="16" t="str">
        <f>IFNA(VLOOKUP($A388,Towns!$A$2:$F1000,MATCH($B$1,Towns!$A$1:$F$1,0),false))</f>
        <v/>
      </c>
    </row>
    <row r="389">
      <c r="A389" s="16"/>
      <c r="B389" s="16" t="str">
        <f>IFNA(VLOOKUP($A389,Towns!$A$2:$F1000,MATCH($B$1,Towns!$A$1:$F$1,0),false))</f>
        <v/>
      </c>
    </row>
    <row r="390">
      <c r="A390" s="16"/>
      <c r="B390" s="16" t="str">
        <f>IFNA(VLOOKUP($A390,Towns!$A$2:$F1000,MATCH($B$1,Towns!$A$1:$F$1,0),false))</f>
        <v/>
      </c>
    </row>
    <row r="391">
      <c r="A391" s="16"/>
      <c r="B391" s="16" t="str">
        <f>IFNA(VLOOKUP($A391,Towns!$A$2:$F1000,MATCH($B$1,Towns!$A$1:$F$1,0),false))</f>
        <v/>
      </c>
    </row>
    <row r="392">
      <c r="A392" s="16"/>
      <c r="B392" s="16" t="str">
        <f>IFNA(VLOOKUP($A392,Towns!$A$2:$F1000,MATCH($B$1,Towns!$A$1:$F$1,0),false))</f>
        <v/>
      </c>
    </row>
    <row r="393">
      <c r="A393" s="16"/>
      <c r="B393" s="16" t="str">
        <f>IFNA(VLOOKUP($A393,Towns!$A$2:$F1000,MATCH($B$1,Towns!$A$1:$F$1,0),false))</f>
        <v/>
      </c>
    </row>
    <row r="394">
      <c r="A394" s="16"/>
      <c r="B394" s="16" t="str">
        <f>IFNA(VLOOKUP($A394,Towns!$A$2:$F1000,MATCH($B$1,Towns!$A$1:$F$1,0),false))</f>
        <v/>
      </c>
    </row>
    <row r="395">
      <c r="A395" s="16"/>
      <c r="B395" s="16" t="str">
        <f>IFNA(VLOOKUP($A395,Towns!$A$2:$F1000,MATCH($B$1,Towns!$A$1:$F$1,0),false))</f>
        <v/>
      </c>
    </row>
    <row r="396">
      <c r="A396" s="16"/>
      <c r="B396" s="16" t="str">
        <f>IFNA(VLOOKUP($A396,Towns!$A$2:$F1000,MATCH($B$1,Towns!$A$1:$F$1,0),false))</f>
        <v/>
      </c>
    </row>
    <row r="397">
      <c r="A397" s="16"/>
      <c r="B397" s="16" t="str">
        <f>IFNA(VLOOKUP($A397,Towns!$A$2:$F1000,MATCH($B$1,Towns!$A$1:$F$1,0),false))</f>
        <v/>
      </c>
    </row>
    <row r="398">
      <c r="A398" s="16"/>
      <c r="B398" s="16" t="str">
        <f>IFNA(VLOOKUP($A398,Towns!$A$2:$F1000,MATCH($B$1,Towns!$A$1:$F$1,0),false))</f>
        <v/>
      </c>
    </row>
    <row r="399">
      <c r="A399" s="16"/>
      <c r="B399" s="16" t="str">
        <f>IFNA(VLOOKUP($A399,Towns!$A$2:$F1000,MATCH($B$1,Towns!$A$1:$F$1,0),false))</f>
        <v/>
      </c>
    </row>
    <row r="400">
      <c r="A400" s="16"/>
      <c r="B400" s="16" t="str">
        <f>IFNA(VLOOKUP($A400,Towns!$A$2:$F1000,MATCH($B$1,Towns!$A$1:$F$1,0),false))</f>
        <v/>
      </c>
    </row>
    <row r="401">
      <c r="A401" s="16"/>
      <c r="B401" s="16" t="str">
        <f>IFNA(VLOOKUP($A401,Towns!$A$2:$F1000,MATCH($B$1,Towns!$A$1:$F$1,0),false))</f>
        <v/>
      </c>
    </row>
    <row r="402">
      <c r="A402" s="16"/>
      <c r="B402" s="16" t="str">
        <f>IFNA(VLOOKUP($A402,Towns!$A$2:$F1000,MATCH($B$1,Towns!$A$1:$F$1,0),false))</f>
        <v/>
      </c>
    </row>
    <row r="403">
      <c r="A403" s="16"/>
      <c r="B403" s="16" t="str">
        <f>IFNA(VLOOKUP($A403,Towns!$A$2:$F1000,MATCH($B$1,Towns!$A$1:$F$1,0),false))</f>
        <v/>
      </c>
    </row>
    <row r="404">
      <c r="A404" s="16"/>
      <c r="B404" s="16" t="str">
        <f>IFNA(VLOOKUP($A404,Towns!$A$2:$F1000,MATCH($B$1,Towns!$A$1:$F$1,0),false))</f>
        <v/>
      </c>
    </row>
    <row r="405">
      <c r="A405" s="16"/>
      <c r="B405" s="16" t="str">
        <f>IFNA(VLOOKUP($A405,Towns!$A$2:$F1000,MATCH($B$1,Towns!$A$1:$F$1,0),false))</f>
        <v/>
      </c>
    </row>
    <row r="406">
      <c r="A406" s="16"/>
      <c r="B406" s="16" t="str">
        <f>IFNA(VLOOKUP($A406,Towns!$A$2:$F1000,MATCH($B$1,Towns!$A$1:$F$1,0),false))</f>
        <v/>
      </c>
    </row>
    <row r="407">
      <c r="A407" s="16"/>
      <c r="B407" s="16" t="str">
        <f>IFNA(VLOOKUP($A407,Towns!$A$2:$F1000,MATCH($B$1,Towns!$A$1:$F$1,0),false))</f>
        <v/>
      </c>
    </row>
    <row r="408">
      <c r="A408" s="16"/>
      <c r="B408" s="16" t="str">
        <f>IFNA(VLOOKUP($A408,Towns!$A$2:$F1000,MATCH($B$1,Towns!$A$1:$F$1,0),false))</f>
        <v/>
      </c>
    </row>
    <row r="409">
      <c r="A409" s="16"/>
      <c r="B409" s="16" t="str">
        <f>IFNA(VLOOKUP($A409,Towns!$A$2:$F1000,MATCH($B$1,Towns!$A$1:$F$1,0),false))</f>
        <v/>
      </c>
    </row>
    <row r="410">
      <c r="A410" s="16"/>
      <c r="B410" s="16" t="str">
        <f>IFNA(VLOOKUP($A410,Towns!$A$2:$F1000,MATCH($B$1,Towns!$A$1:$F$1,0),false))</f>
        <v/>
      </c>
    </row>
    <row r="411">
      <c r="A411" s="16"/>
      <c r="B411" s="16" t="str">
        <f>IFNA(VLOOKUP($A411,Towns!$A$2:$F1000,MATCH($B$1,Towns!$A$1:$F$1,0),false))</f>
        <v/>
      </c>
    </row>
    <row r="412">
      <c r="A412" s="16"/>
      <c r="B412" s="16" t="str">
        <f>IFNA(VLOOKUP($A412,Towns!$A$2:$F1000,MATCH($B$1,Towns!$A$1:$F$1,0),false))</f>
        <v/>
      </c>
    </row>
    <row r="413">
      <c r="A413" s="16"/>
      <c r="B413" s="16" t="str">
        <f>IFNA(VLOOKUP($A413,Towns!$A$2:$F1000,MATCH($B$1,Towns!$A$1:$F$1,0),false))</f>
        <v/>
      </c>
    </row>
    <row r="414">
      <c r="A414" s="16"/>
      <c r="B414" s="16" t="str">
        <f>IFNA(VLOOKUP($A414,Towns!$A$2:$F1000,MATCH($B$1,Towns!$A$1:$F$1,0),false))</f>
        <v/>
      </c>
    </row>
    <row r="415">
      <c r="A415" s="16"/>
      <c r="B415" s="16" t="str">
        <f>IFNA(VLOOKUP($A415,Towns!$A$2:$F1000,MATCH($B$1,Towns!$A$1:$F$1,0),false))</f>
        <v/>
      </c>
    </row>
    <row r="416">
      <c r="A416" s="16"/>
      <c r="B416" s="16" t="str">
        <f>IFNA(VLOOKUP($A416,Towns!$A$2:$F1000,MATCH($B$1,Towns!$A$1:$F$1,0),false))</f>
        <v/>
      </c>
    </row>
    <row r="417">
      <c r="A417" s="16"/>
      <c r="B417" s="16" t="str">
        <f>IFNA(VLOOKUP($A417,Towns!$A$2:$F1000,MATCH($B$1,Towns!$A$1:$F$1,0),false))</f>
        <v/>
      </c>
    </row>
    <row r="418">
      <c r="A418" s="16"/>
      <c r="B418" s="16" t="str">
        <f>IFNA(VLOOKUP($A418,Towns!$A$2:$F1000,MATCH($B$1,Towns!$A$1:$F$1,0),false))</f>
        <v/>
      </c>
    </row>
    <row r="419">
      <c r="A419" s="16"/>
      <c r="B419" s="16" t="str">
        <f>IFNA(VLOOKUP($A419,Towns!$A$2:$F1000,MATCH($B$1,Towns!$A$1:$F$1,0),false))</f>
        <v/>
      </c>
    </row>
    <row r="420">
      <c r="A420" s="16"/>
      <c r="B420" s="16" t="str">
        <f>IFNA(VLOOKUP($A420,Towns!$A$2:$F1000,MATCH($B$1,Towns!$A$1:$F$1,0),false))</f>
        <v/>
      </c>
    </row>
    <row r="421">
      <c r="A421" s="16"/>
      <c r="B421" s="16" t="str">
        <f>IFNA(VLOOKUP($A421,Towns!$A$2:$F1000,MATCH($B$1,Towns!$A$1:$F$1,0),false))</f>
        <v/>
      </c>
    </row>
    <row r="422">
      <c r="A422" s="16"/>
      <c r="B422" s="16" t="str">
        <f>IFNA(VLOOKUP($A422,Towns!$A$2:$F1000,MATCH($B$1,Towns!$A$1:$F$1,0),false))</f>
        <v/>
      </c>
    </row>
    <row r="423">
      <c r="A423" s="16"/>
      <c r="B423" s="16" t="str">
        <f>IFNA(VLOOKUP($A423,Towns!$A$2:$F1000,MATCH($B$1,Towns!$A$1:$F$1,0),false))</f>
        <v/>
      </c>
    </row>
    <row r="424">
      <c r="A424" s="16"/>
      <c r="B424" s="16" t="str">
        <f>IFNA(VLOOKUP($A424,Towns!$A$2:$F1000,MATCH($B$1,Towns!$A$1:$F$1,0),false))</f>
        <v/>
      </c>
    </row>
    <row r="425">
      <c r="A425" s="16"/>
      <c r="B425" s="16" t="str">
        <f>IFNA(VLOOKUP($A425,Towns!$A$2:$F1000,MATCH($B$1,Towns!$A$1:$F$1,0),false))</f>
        <v/>
      </c>
    </row>
    <row r="426">
      <c r="A426" s="16"/>
      <c r="B426" s="16" t="str">
        <f>IFNA(VLOOKUP($A426,Towns!$A$2:$F1000,MATCH($B$1,Towns!$A$1:$F$1,0),false))</f>
        <v/>
      </c>
    </row>
    <row r="427">
      <c r="A427" s="16"/>
      <c r="B427" s="16" t="str">
        <f>IFNA(VLOOKUP($A427,Towns!$A$2:$F1000,MATCH($B$1,Towns!$A$1:$F$1,0),false))</f>
        <v/>
      </c>
    </row>
    <row r="428">
      <c r="A428" s="16"/>
      <c r="B428" s="16" t="str">
        <f>IFNA(VLOOKUP($A428,Towns!$A$2:$F1000,MATCH($B$1,Towns!$A$1:$F$1,0),false))</f>
        <v/>
      </c>
    </row>
    <row r="429">
      <c r="A429" s="16"/>
      <c r="B429" s="16" t="str">
        <f>IFNA(VLOOKUP($A429,Towns!$A$2:$F1000,MATCH($B$1,Towns!$A$1:$F$1,0),false))</f>
        <v/>
      </c>
    </row>
    <row r="430">
      <c r="A430" s="16"/>
      <c r="B430" s="16" t="str">
        <f>IFNA(VLOOKUP($A430,Towns!$A$2:$F1000,MATCH($B$1,Towns!$A$1:$F$1,0),false))</f>
        <v/>
      </c>
    </row>
    <row r="431">
      <c r="A431" s="16"/>
      <c r="B431" s="16" t="str">
        <f>IFNA(VLOOKUP($A431,Towns!$A$2:$F1000,MATCH($B$1,Towns!$A$1:$F$1,0),false))</f>
        <v/>
      </c>
    </row>
    <row r="432">
      <c r="A432" s="16"/>
      <c r="B432" s="16" t="str">
        <f>IFNA(VLOOKUP($A432,Towns!$A$2:$F1000,MATCH($B$1,Towns!$A$1:$F$1,0),false))</f>
        <v/>
      </c>
    </row>
    <row r="433">
      <c r="A433" s="16"/>
      <c r="B433" s="16" t="str">
        <f>IFNA(VLOOKUP($A433,Towns!$A$2:$F1000,MATCH($B$1,Towns!$A$1:$F$1,0),false))</f>
        <v/>
      </c>
    </row>
    <row r="434">
      <c r="A434" s="16"/>
      <c r="B434" s="16" t="str">
        <f>IFNA(VLOOKUP($A434,Towns!$A$2:$F1000,MATCH($B$1,Towns!$A$1:$F$1,0),false))</f>
        <v/>
      </c>
    </row>
    <row r="435">
      <c r="A435" s="16"/>
      <c r="B435" s="16" t="str">
        <f>IFNA(VLOOKUP($A435,Towns!$A$2:$F1000,MATCH($B$1,Towns!$A$1:$F$1,0),false))</f>
        <v/>
      </c>
    </row>
    <row r="436">
      <c r="A436" s="16"/>
      <c r="B436" s="16" t="str">
        <f>IFNA(VLOOKUP($A436,Towns!$A$2:$F1000,MATCH($B$1,Towns!$A$1:$F$1,0),false))</f>
        <v/>
      </c>
    </row>
    <row r="437">
      <c r="A437" s="16"/>
      <c r="B437" s="16" t="str">
        <f>IFNA(VLOOKUP($A437,Towns!$A$2:$F1000,MATCH($B$1,Towns!$A$1:$F$1,0),false))</f>
        <v/>
      </c>
    </row>
    <row r="438">
      <c r="A438" s="16"/>
      <c r="B438" s="16" t="str">
        <f>IFNA(VLOOKUP($A438,Towns!$A$2:$F1000,MATCH($B$1,Towns!$A$1:$F$1,0),false))</f>
        <v/>
      </c>
    </row>
    <row r="439">
      <c r="A439" s="16"/>
      <c r="B439" s="16" t="str">
        <f>IFNA(VLOOKUP($A439,Towns!$A$2:$F1000,MATCH($B$1,Towns!$A$1:$F$1,0),false))</f>
        <v/>
      </c>
    </row>
    <row r="440">
      <c r="A440" s="16"/>
      <c r="B440" s="16" t="str">
        <f>IFNA(VLOOKUP($A440,Towns!$A$2:$F1000,MATCH($B$1,Towns!$A$1:$F$1,0),false))</f>
        <v/>
      </c>
    </row>
    <row r="441">
      <c r="A441" s="16"/>
      <c r="B441" s="16" t="str">
        <f>IFNA(VLOOKUP($A441,Towns!$A$2:$F1000,MATCH($B$1,Towns!$A$1:$F$1,0),false))</f>
        <v/>
      </c>
    </row>
    <row r="442">
      <c r="A442" s="16"/>
      <c r="B442" s="16" t="str">
        <f>IFNA(VLOOKUP($A442,Towns!$A$2:$F1000,MATCH($B$1,Towns!$A$1:$F$1,0),false))</f>
        <v/>
      </c>
    </row>
    <row r="443">
      <c r="A443" s="16"/>
      <c r="B443" s="16" t="str">
        <f>IFNA(VLOOKUP($A443,Towns!$A$2:$F1000,MATCH($B$1,Towns!$A$1:$F$1,0),false))</f>
        <v/>
      </c>
    </row>
    <row r="444">
      <c r="A444" s="16"/>
      <c r="B444" s="16" t="str">
        <f>IFNA(VLOOKUP($A444,Towns!$A$2:$F1000,MATCH($B$1,Towns!$A$1:$F$1,0),false))</f>
        <v/>
      </c>
    </row>
    <row r="445">
      <c r="A445" s="16"/>
      <c r="B445" s="16" t="str">
        <f>IFNA(VLOOKUP($A445,Towns!$A$2:$F1000,MATCH($B$1,Towns!$A$1:$F$1,0),false))</f>
        <v/>
      </c>
    </row>
    <row r="446">
      <c r="A446" s="16"/>
      <c r="B446" s="16" t="str">
        <f>IFNA(VLOOKUP($A446,Towns!$A$2:$F1000,MATCH($B$1,Towns!$A$1:$F$1,0),false))</f>
        <v/>
      </c>
    </row>
    <row r="447">
      <c r="A447" s="16"/>
      <c r="B447" s="16" t="str">
        <f>IFNA(VLOOKUP($A447,Towns!$A$2:$F1000,MATCH($B$1,Towns!$A$1:$F$1,0),false))</f>
        <v/>
      </c>
    </row>
    <row r="448">
      <c r="A448" s="16"/>
      <c r="B448" s="16" t="str">
        <f>IFNA(VLOOKUP($A448,Towns!$A$2:$F1000,MATCH($B$1,Towns!$A$1:$F$1,0),false))</f>
        <v/>
      </c>
    </row>
    <row r="449">
      <c r="A449" s="16"/>
      <c r="B449" s="16" t="str">
        <f>IFNA(VLOOKUP($A449,Towns!$A$2:$F1000,MATCH($B$1,Towns!$A$1:$F$1,0),false))</f>
        <v/>
      </c>
    </row>
    <row r="450">
      <c r="A450" s="16"/>
      <c r="B450" s="16" t="str">
        <f>IFNA(VLOOKUP($A450,Towns!$A$2:$F1000,MATCH($B$1,Towns!$A$1:$F$1,0),false))</f>
        <v/>
      </c>
    </row>
    <row r="451">
      <c r="A451" s="16"/>
      <c r="B451" s="16" t="str">
        <f>IFNA(VLOOKUP($A451,Towns!$A$2:$F1000,MATCH($B$1,Towns!$A$1:$F$1,0),false))</f>
        <v/>
      </c>
    </row>
    <row r="452">
      <c r="A452" s="16"/>
      <c r="B452" s="16" t="str">
        <f>IFNA(VLOOKUP($A452,Towns!$A$2:$F1000,MATCH($B$1,Towns!$A$1:$F$1,0),false))</f>
        <v/>
      </c>
    </row>
    <row r="453">
      <c r="A453" s="16"/>
      <c r="B453" s="16" t="str">
        <f>IFNA(VLOOKUP($A453,Towns!$A$2:$F1000,MATCH($B$1,Towns!$A$1:$F$1,0),false))</f>
        <v/>
      </c>
    </row>
    <row r="454">
      <c r="A454" s="16"/>
      <c r="B454" s="16" t="str">
        <f>IFNA(VLOOKUP($A454,Towns!$A$2:$F1000,MATCH($B$1,Towns!$A$1:$F$1,0),false))</f>
        <v/>
      </c>
    </row>
    <row r="455">
      <c r="A455" s="16"/>
      <c r="B455" s="16" t="str">
        <f>IFNA(VLOOKUP($A455,Towns!$A$2:$F1000,MATCH($B$1,Towns!$A$1:$F$1,0),false))</f>
        <v/>
      </c>
    </row>
    <row r="456">
      <c r="A456" s="16"/>
      <c r="B456" s="16" t="str">
        <f>IFNA(VLOOKUP($A456,Towns!$A$2:$F1000,MATCH($B$1,Towns!$A$1:$F$1,0),false))</f>
        <v/>
      </c>
    </row>
    <row r="457">
      <c r="A457" s="16"/>
      <c r="B457" s="16" t="str">
        <f>IFNA(VLOOKUP($A457,Towns!$A$2:$F1000,MATCH($B$1,Towns!$A$1:$F$1,0),false))</f>
        <v/>
      </c>
    </row>
    <row r="458">
      <c r="A458" s="16"/>
      <c r="B458" s="16" t="str">
        <f>IFNA(VLOOKUP($A458,Towns!$A$2:$F1000,MATCH($B$1,Towns!$A$1:$F$1,0),false))</f>
        <v/>
      </c>
    </row>
    <row r="459">
      <c r="A459" s="16"/>
      <c r="B459" s="16" t="str">
        <f>IFNA(VLOOKUP($A459,Towns!$A$2:$F1000,MATCH($B$1,Towns!$A$1:$F$1,0),false))</f>
        <v/>
      </c>
    </row>
    <row r="460">
      <c r="A460" s="16"/>
      <c r="B460" s="16" t="str">
        <f>IFNA(VLOOKUP($A460,Towns!$A$2:$F1000,MATCH($B$1,Towns!$A$1:$F$1,0),false))</f>
        <v/>
      </c>
    </row>
    <row r="461">
      <c r="A461" s="16"/>
      <c r="B461" s="16" t="str">
        <f>IFNA(VLOOKUP($A461,Towns!$A$2:$F1000,MATCH($B$1,Towns!$A$1:$F$1,0),false))</f>
        <v/>
      </c>
    </row>
    <row r="462">
      <c r="A462" s="16"/>
      <c r="B462" s="16" t="str">
        <f>IFNA(VLOOKUP($A462,Towns!$A$2:$F1000,MATCH($B$1,Towns!$A$1:$F$1,0),false))</f>
        <v/>
      </c>
    </row>
    <row r="463">
      <c r="A463" s="16"/>
      <c r="B463" s="16" t="str">
        <f>IFNA(VLOOKUP($A463,Towns!$A$2:$F1000,MATCH($B$1,Towns!$A$1:$F$1,0),false))</f>
        <v/>
      </c>
    </row>
    <row r="464">
      <c r="A464" s="16"/>
      <c r="B464" s="16" t="str">
        <f>IFNA(VLOOKUP($A464,Towns!$A$2:$F1000,MATCH($B$1,Towns!$A$1:$F$1,0),false))</f>
        <v/>
      </c>
    </row>
    <row r="465">
      <c r="A465" s="16"/>
      <c r="B465" s="16" t="str">
        <f>IFNA(VLOOKUP($A465,Towns!$A$2:$F1000,MATCH($B$1,Towns!$A$1:$F$1,0),false))</f>
        <v/>
      </c>
    </row>
    <row r="466">
      <c r="A466" s="16"/>
      <c r="B466" s="16" t="str">
        <f>IFNA(VLOOKUP($A466,Towns!$A$2:$F1000,MATCH($B$1,Towns!$A$1:$F$1,0),false))</f>
        <v/>
      </c>
    </row>
    <row r="467">
      <c r="A467" s="16"/>
      <c r="B467" s="16" t="str">
        <f>IFNA(VLOOKUP($A467,Towns!$A$2:$F1000,MATCH($B$1,Towns!$A$1:$F$1,0),false))</f>
        <v/>
      </c>
    </row>
    <row r="468">
      <c r="A468" s="16"/>
      <c r="B468" s="16" t="str">
        <f>IFNA(VLOOKUP($A468,Towns!$A$2:$F1000,MATCH($B$1,Towns!$A$1:$F$1,0),false))</f>
        <v/>
      </c>
    </row>
    <row r="469">
      <c r="A469" s="16"/>
      <c r="B469" s="16" t="str">
        <f>IFNA(VLOOKUP($A469,Towns!$A$2:$F1000,MATCH($B$1,Towns!$A$1:$F$1,0),false))</f>
        <v/>
      </c>
    </row>
    <row r="470">
      <c r="A470" s="16"/>
      <c r="B470" s="16" t="str">
        <f>IFNA(VLOOKUP($A470,Towns!$A$2:$F1000,MATCH($B$1,Towns!$A$1:$F$1,0),false))</f>
        <v/>
      </c>
    </row>
    <row r="471">
      <c r="A471" s="16"/>
      <c r="B471" s="16" t="str">
        <f>IFNA(VLOOKUP($A471,Towns!$A$2:$F1000,MATCH($B$1,Towns!$A$1:$F$1,0),false))</f>
        <v/>
      </c>
    </row>
    <row r="472">
      <c r="A472" s="16"/>
      <c r="B472" s="16" t="str">
        <f>IFNA(VLOOKUP($A472,Towns!$A$2:$F1000,MATCH($B$1,Towns!$A$1:$F$1,0),false))</f>
        <v/>
      </c>
    </row>
    <row r="473">
      <c r="A473" s="16"/>
      <c r="B473" s="16" t="str">
        <f>IFNA(VLOOKUP($A473,Towns!$A$2:$F1000,MATCH($B$1,Towns!$A$1:$F$1,0),false))</f>
        <v/>
      </c>
    </row>
    <row r="474">
      <c r="A474" s="16"/>
      <c r="B474" s="16" t="str">
        <f>IFNA(VLOOKUP($A474,Towns!$A$2:$F1000,MATCH($B$1,Towns!$A$1:$F$1,0),false))</f>
        <v/>
      </c>
    </row>
    <row r="475">
      <c r="A475" s="16"/>
      <c r="B475" s="16" t="str">
        <f>IFNA(VLOOKUP($A475,Towns!$A$2:$F1000,MATCH($B$1,Towns!$A$1:$F$1,0),false))</f>
        <v/>
      </c>
    </row>
    <row r="476">
      <c r="A476" s="16"/>
      <c r="B476" s="16" t="str">
        <f>IFNA(VLOOKUP($A476,Towns!$A$2:$F1000,MATCH($B$1,Towns!$A$1:$F$1,0),false))</f>
        <v/>
      </c>
    </row>
    <row r="477">
      <c r="A477" s="16"/>
      <c r="B477" s="16" t="str">
        <f>IFNA(VLOOKUP($A477,Towns!$A$2:$F1000,MATCH($B$1,Towns!$A$1:$F$1,0),false))</f>
        <v/>
      </c>
    </row>
    <row r="478">
      <c r="A478" s="16"/>
      <c r="B478" s="16" t="str">
        <f>IFNA(VLOOKUP($A478,Towns!$A$2:$F1000,MATCH($B$1,Towns!$A$1:$F$1,0),false))</f>
        <v/>
      </c>
    </row>
    <row r="479">
      <c r="A479" s="16"/>
      <c r="B479" s="16" t="str">
        <f>IFNA(VLOOKUP($A479,Towns!$A$2:$F1000,MATCH($B$1,Towns!$A$1:$F$1,0),false))</f>
        <v/>
      </c>
    </row>
    <row r="480">
      <c r="A480" s="16"/>
      <c r="B480" s="16" t="str">
        <f>IFNA(VLOOKUP($A480,Towns!$A$2:$F1000,MATCH($B$1,Towns!$A$1:$F$1,0),false))</f>
        <v/>
      </c>
    </row>
    <row r="481">
      <c r="A481" s="16"/>
      <c r="B481" s="16" t="str">
        <f>IFNA(VLOOKUP($A481,Towns!$A$2:$F1000,MATCH($B$1,Towns!$A$1:$F$1,0),false))</f>
        <v/>
      </c>
    </row>
    <row r="482">
      <c r="A482" s="16"/>
      <c r="B482" s="16" t="str">
        <f>IFNA(VLOOKUP($A482,Towns!$A$2:$F1000,MATCH($B$1,Towns!$A$1:$F$1,0),false))</f>
        <v/>
      </c>
    </row>
    <row r="483">
      <c r="A483" s="16"/>
      <c r="B483" s="16" t="str">
        <f>IFNA(VLOOKUP($A483,Towns!$A$2:$F1000,MATCH($B$1,Towns!$A$1:$F$1,0),false))</f>
        <v/>
      </c>
    </row>
    <row r="484">
      <c r="A484" s="16"/>
      <c r="B484" s="16" t="str">
        <f>IFNA(VLOOKUP($A484,Towns!$A$2:$F1000,MATCH($B$1,Towns!$A$1:$F$1,0),false))</f>
        <v/>
      </c>
    </row>
    <row r="485">
      <c r="A485" s="16"/>
      <c r="B485" s="16" t="str">
        <f>IFNA(VLOOKUP($A485,Towns!$A$2:$F1000,MATCH($B$1,Towns!$A$1:$F$1,0),false))</f>
        <v/>
      </c>
    </row>
    <row r="486">
      <c r="A486" s="16"/>
      <c r="B486" s="16" t="str">
        <f>IFNA(VLOOKUP($A486,Towns!$A$2:$F1000,MATCH($B$1,Towns!$A$1:$F$1,0),false))</f>
        <v/>
      </c>
    </row>
    <row r="487">
      <c r="A487" s="16"/>
      <c r="B487" s="16" t="str">
        <f>IFNA(VLOOKUP($A487,Towns!$A$2:$F1000,MATCH($B$1,Towns!$A$1:$F$1,0),false))</f>
        <v/>
      </c>
    </row>
    <row r="488">
      <c r="A488" s="16"/>
      <c r="B488" s="16" t="str">
        <f>IFNA(VLOOKUP($A488,Towns!$A$2:$F1000,MATCH($B$1,Towns!$A$1:$F$1,0),false))</f>
        <v/>
      </c>
    </row>
    <row r="489">
      <c r="A489" s="16"/>
      <c r="B489" s="16" t="str">
        <f>IFNA(VLOOKUP($A489,Towns!$A$2:$F1000,MATCH($B$1,Towns!$A$1:$F$1,0),false))</f>
        <v/>
      </c>
    </row>
    <row r="490">
      <c r="A490" s="16"/>
      <c r="B490" s="16" t="str">
        <f>IFNA(VLOOKUP($A490,Towns!$A$2:$F1000,MATCH($B$1,Towns!$A$1:$F$1,0),false))</f>
        <v/>
      </c>
    </row>
    <row r="491">
      <c r="A491" s="16"/>
      <c r="B491" s="16" t="str">
        <f>IFNA(VLOOKUP($A491,Towns!$A$2:$F1000,MATCH($B$1,Towns!$A$1:$F$1,0),false))</f>
        <v/>
      </c>
    </row>
    <row r="492">
      <c r="A492" s="16"/>
      <c r="B492" s="16" t="str">
        <f>IFNA(VLOOKUP($A492,Towns!$A$2:$F1000,MATCH($B$1,Towns!$A$1:$F$1,0),false))</f>
        <v/>
      </c>
    </row>
    <row r="493">
      <c r="A493" s="16"/>
      <c r="B493" s="16" t="str">
        <f>IFNA(VLOOKUP($A493,Towns!$A$2:$F1000,MATCH($B$1,Towns!$A$1:$F$1,0),false))</f>
        <v/>
      </c>
    </row>
    <row r="494">
      <c r="A494" s="16"/>
      <c r="B494" s="16" t="str">
        <f>IFNA(VLOOKUP($A494,Towns!$A$2:$F1000,MATCH($B$1,Towns!$A$1:$F$1,0),false))</f>
        <v/>
      </c>
    </row>
    <row r="495">
      <c r="A495" s="16"/>
      <c r="B495" s="16" t="str">
        <f>IFNA(VLOOKUP($A495,Towns!$A$2:$F1000,MATCH($B$1,Towns!$A$1:$F$1,0),false))</f>
        <v/>
      </c>
    </row>
    <row r="496">
      <c r="A496" s="16"/>
      <c r="B496" s="16" t="str">
        <f>IFNA(VLOOKUP($A496,Towns!$A$2:$F1000,MATCH($B$1,Towns!$A$1:$F$1,0),false))</f>
        <v/>
      </c>
    </row>
    <row r="497">
      <c r="A497" s="16"/>
      <c r="B497" s="16" t="str">
        <f>IFNA(VLOOKUP($A497,Towns!$A$2:$F1000,MATCH($B$1,Towns!$A$1:$F$1,0),false))</f>
        <v/>
      </c>
    </row>
    <row r="498">
      <c r="A498" s="16"/>
      <c r="B498" s="16" t="str">
        <f>IFNA(VLOOKUP($A498,Towns!$A$2:$F1000,MATCH($B$1,Towns!$A$1:$F$1,0),false))</f>
        <v/>
      </c>
    </row>
    <row r="499">
      <c r="A499" s="16"/>
      <c r="B499" s="16" t="str">
        <f>IFNA(VLOOKUP($A499,Towns!$A$2:$F1000,MATCH($B$1,Towns!$A$1:$F$1,0),false))</f>
        <v/>
      </c>
    </row>
    <row r="500">
      <c r="A500" s="16"/>
      <c r="B500" s="16" t="str">
        <f>IFNA(VLOOKUP($A500,Towns!$A$2:$F1000,MATCH($B$1,Towns!$A$1:$F$1,0),false))</f>
        <v/>
      </c>
    </row>
    <row r="501">
      <c r="A501" s="16"/>
      <c r="B501" s="16" t="str">
        <f>IFNA(VLOOKUP($A501,Towns!$A$2:$F1000,MATCH($B$1,Towns!$A$1:$F$1,0),false))</f>
        <v/>
      </c>
    </row>
    <row r="502">
      <c r="A502" s="16"/>
      <c r="B502" s="16" t="str">
        <f>IFNA(VLOOKUP($A502,Towns!$A$2:$F1000,MATCH($B$1,Towns!$A$1:$F$1,0),false))</f>
        <v/>
      </c>
    </row>
    <row r="503">
      <c r="A503" s="16"/>
      <c r="B503" s="16" t="str">
        <f>IFNA(VLOOKUP($A503,Towns!$A$2:$F1000,MATCH($B$1,Towns!$A$1:$F$1,0),false))</f>
        <v/>
      </c>
    </row>
    <row r="504">
      <c r="A504" s="16"/>
      <c r="B504" s="16" t="str">
        <f>IFNA(VLOOKUP($A504,Towns!$A$2:$F1000,MATCH($B$1,Towns!$A$1:$F$1,0),false))</f>
        <v/>
      </c>
    </row>
    <row r="505">
      <c r="A505" s="16"/>
      <c r="B505" s="16" t="str">
        <f>IFNA(VLOOKUP($A505,Towns!$A$2:$F1000,MATCH($B$1,Towns!$A$1:$F$1,0),false))</f>
        <v/>
      </c>
    </row>
    <row r="506">
      <c r="A506" s="16"/>
      <c r="B506" s="16" t="str">
        <f>IFNA(VLOOKUP($A506,Towns!$A$2:$F1000,MATCH($B$1,Towns!$A$1:$F$1,0),false))</f>
        <v/>
      </c>
    </row>
    <row r="507">
      <c r="A507" s="16"/>
      <c r="B507" s="16" t="str">
        <f>IFNA(VLOOKUP($A507,Towns!$A$2:$F1000,MATCH($B$1,Towns!$A$1:$F$1,0),false))</f>
        <v/>
      </c>
    </row>
    <row r="508">
      <c r="A508" s="16"/>
      <c r="B508" s="16" t="str">
        <f>IFNA(VLOOKUP($A508,Towns!$A$2:$F1000,MATCH($B$1,Towns!$A$1:$F$1,0),false))</f>
        <v/>
      </c>
    </row>
    <row r="509">
      <c r="A509" s="16"/>
      <c r="B509" s="16" t="str">
        <f>IFNA(VLOOKUP($A509,Towns!$A$2:$F1000,MATCH($B$1,Towns!$A$1:$F$1,0),false))</f>
        <v/>
      </c>
    </row>
    <row r="510">
      <c r="A510" s="16"/>
      <c r="B510" s="16" t="str">
        <f>IFNA(VLOOKUP($A510,Towns!$A$2:$F1000,MATCH($B$1,Towns!$A$1:$F$1,0),false))</f>
        <v/>
      </c>
    </row>
    <row r="511">
      <c r="A511" s="16"/>
      <c r="B511" s="16" t="str">
        <f>IFNA(VLOOKUP($A511,Towns!$A$2:$F1000,MATCH($B$1,Towns!$A$1:$F$1,0),false))</f>
        <v/>
      </c>
    </row>
    <row r="512">
      <c r="A512" s="16"/>
      <c r="B512" s="16" t="str">
        <f>IFNA(VLOOKUP($A512,Towns!$A$2:$F1000,MATCH($B$1,Towns!$A$1:$F$1,0),false))</f>
        <v/>
      </c>
    </row>
    <row r="513">
      <c r="A513" s="16"/>
      <c r="B513" s="16" t="str">
        <f>IFNA(VLOOKUP($A513,Towns!$A$2:$F1000,MATCH($B$1,Towns!$A$1:$F$1,0),false))</f>
        <v/>
      </c>
    </row>
    <row r="514">
      <c r="A514" s="16"/>
      <c r="B514" s="16" t="str">
        <f>IFNA(VLOOKUP($A514,Towns!$A$2:$F1000,MATCH($B$1,Towns!$A$1:$F$1,0),false))</f>
        <v/>
      </c>
    </row>
    <row r="515">
      <c r="A515" s="16"/>
      <c r="B515" s="16" t="str">
        <f>IFNA(VLOOKUP($A515,Towns!$A$2:$F1000,MATCH($B$1,Towns!$A$1:$F$1,0),false))</f>
        <v/>
      </c>
    </row>
    <row r="516">
      <c r="A516" s="16"/>
      <c r="B516" s="16" t="str">
        <f>IFNA(VLOOKUP($A516,Towns!$A$2:$F1000,MATCH($B$1,Towns!$A$1:$F$1,0),false))</f>
        <v/>
      </c>
    </row>
    <row r="517">
      <c r="A517" s="16"/>
      <c r="B517" s="16" t="str">
        <f>IFNA(VLOOKUP($A517,Towns!$A$2:$F1000,MATCH($B$1,Towns!$A$1:$F$1,0),false))</f>
        <v/>
      </c>
    </row>
    <row r="518">
      <c r="A518" s="16"/>
      <c r="B518" s="16" t="str">
        <f>IFNA(VLOOKUP($A518,Towns!$A$2:$F1000,MATCH($B$1,Towns!$A$1:$F$1,0),false))</f>
        <v/>
      </c>
    </row>
    <row r="519">
      <c r="A519" s="16"/>
      <c r="B519" s="16" t="str">
        <f>IFNA(VLOOKUP($A519,Towns!$A$2:$F1000,MATCH($B$1,Towns!$A$1:$F$1,0),false))</f>
        <v/>
      </c>
    </row>
    <row r="520">
      <c r="A520" s="16"/>
      <c r="B520" s="16" t="str">
        <f>IFNA(VLOOKUP($A520,Towns!$A$2:$F1000,MATCH($B$1,Towns!$A$1:$F$1,0),false))</f>
        <v/>
      </c>
    </row>
    <row r="521">
      <c r="A521" s="16"/>
      <c r="B521" s="16" t="str">
        <f>IFNA(VLOOKUP($A521,Towns!$A$2:$F1000,MATCH($B$1,Towns!$A$1:$F$1,0),false))</f>
        <v/>
      </c>
    </row>
    <row r="522">
      <c r="A522" s="16"/>
      <c r="B522" s="16" t="str">
        <f>IFNA(VLOOKUP($A522,Towns!$A$2:$F1000,MATCH($B$1,Towns!$A$1:$F$1,0),false))</f>
        <v/>
      </c>
    </row>
    <row r="523">
      <c r="A523" s="16"/>
      <c r="B523" s="16" t="str">
        <f>IFNA(VLOOKUP($A523,Towns!$A$2:$F1000,MATCH($B$1,Towns!$A$1:$F$1,0),false))</f>
        <v/>
      </c>
    </row>
    <row r="524">
      <c r="A524" s="16"/>
      <c r="B524" s="16" t="str">
        <f>IFNA(VLOOKUP($A524,Towns!$A$2:$F1000,MATCH($B$1,Towns!$A$1:$F$1,0),false))</f>
        <v/>
      </c>
    </row>
    <row r="525">
      <c r="A525" s="16"/>
      <c r="B525" s="16" t="str">
        <f>IFNA(VLOOKUP($A525,Towns!$A$2:$F1000,MATCH($B$1,Towns!$A$1:$F$1,0),false))</f>
        <v/>
      </c>
    </row>
    <row r="526">
      <c r="A526" s="16"/>
      <c r="B526" s="16" t="str">
        <f>IFNA(VLOOKUP($A526,Towns!$A$2:$F1000,MATCH($B$1,Towns!$A$1:$F$1,0),false))</f>
        <v/>
      </c>
    </row>
    <row r="527">
      <c r="A527" s="16"/>
      <c r="B527" s="16" t="str">
        <f>IFNA(VLOOKUP($A527,Towns!$A$2:$F1000,MATCH($B$1,Towns!$A$1:$F$1,0),false))</f>
        <v/>
      </c>
    </row>
    <row r="528">
      <c r="A528" s="16"/>
      <c r="B528" s="16" t="str">
        <f>IFNA(VLOOKUP($A528,Towns!$A$2:$F1000,MATCH($B$1,Towns!$A$1:$F$1,0),false))</f>
        <v/>
      </c>
    </row>
    <row r="529">
      <c r="A529" s="16"/>
      <c r="B529" s="16" t="str">
        <f>IFNA(VLOOKUP($A529,Towns!$A$2:$F1000,MATCH($B$1,Towns!$A$1:$F$1,0),false))</f>
        <v/>
      </c>
    </row>
    <row r="530">
      <c r="A530" s="16"/>
      <c r="B530" s="16" t="str">
        <f>IFNA(VLOOKUP($A530,Towns!$A$2:$F1000,MATCH($B$1,Towns!$A$1:$F$1,0),false))</f>
        <v/>
      </c>
    </row>
    <row r="531">
      <c r="A531" s="16"/>
      <c r="B531" s="16" t="str">
        <f>IFNA(VLOOKUP($A531,Towns!$A$2:$F1000,MATCH($B$1,Towns!$A$1:$F$1,0),false))</f>
        <v/>
      </c>
    </row>
    <row r="532">
      <c r="A532" s="16"/>
      <c r="B532" s="16" t="str">
        <f>IFNA(VLOOKUP($A532,Towns!$A$2:$F1000,MATCH($B$1,Towns!$A$1:$F$1,0),false))</f>
        <v/>
      </c>
    </row>
    <row r="533">
      <c r="A533" s="16"/>
      <c r="B533" s="16" t="str">
        <f>IFNA(VLOOKUP($A533,Towns!$A$2:$F1000,MATCH($B$1,Towns!$A$1:$F$1,0),false))</f>
        <v/>
      </c>
    </row>
    <row r="534">
      <c r="A534" s="16"/>
      <c r="B534" s="16" t="str">
        <f>IFNA(VLOOKUP($A534,Towns!$A$2:$F1000,MATCH($B$1,Towns!$A$1:$F$1,0),false))</f>
        <v/>
      </c>
    </row>
    <row r="535">
      <c r="A535" s="16"/>
      <c r="B535" s="16" t="str">
        <f>IFNA(VLOOKUP($A535,Towns!$A$2:$F1000,MATCH($B$1,Towns!$A$1:$F$1,0),false))</f>
        <v/>
      </c>
    </row>
    <row r="536">
      <c r="A536" s="16"/>
      <c r="B536" s="16" t="str">
        <f>IFNA(VLOOKUP($A536,Towns!$A$2:$F1000,MATCH($B$1,Towns!$A$1:$F$1,0),false))</f>
        <v/>
      </c>
    </row>
    <row r="537">
      <c r="A537" s="16"/>
      <c r="B537" s="16" t="str">
        <f>IFNA(VLOOKUP($A537,Towns!$A$2:$F1000,MATCH($B$1,Towns!$A$1:$F$1,0),false))</f>
        <v/>
      </c>
    </row>
    <row r="538">
      <c r="A538" s="16"/>
      <c r="B538" s="16" t="str">
        <f>IFNA(VLOOKUP($A538,Towns!$A$2:$F1000,MATCH($B$1,Towns!$A$1:$F$1,0),false))</f>
        <v/>
      </c>
    </row>
    <row r="539">
      <c r="A539" s="16"/>
      <c r="B539" s="16" t="str">
        <f>IFNA(VLOOKUP($A539,Towns!$A$2:$F1000,MATCH($B$1,Towns!$A$1:$F$1,0),false))</f>
        <v/>
      </c>
    </row>
    <row r="540">
      <c r="A540" s="16"/>
      <c r="B540" s="16" t="str">
        <f>IFNA(VLOOKUP($A540,Towns!$A$2:$F1000,MATCH($B$1,Towns!$A$1:$F$1,0),false))</f>
        <v/>
      </c>
    </row>
    <row r="541">
      <c r="A541" s="16"/>
      <c r="B541" s="16" t="str">
        <f>IFNA(VLOOKUP($A541,Towns!$A$2:$F1000,MATCH($B$1,Towns!$A$1:$F$1,0),false))</f>
        <v/>
      </c>
    </row>
    <row r="542">
      <c r="A542" s="16"/>
      <c r="B542" s="16" t="str">
        <f>IFNA(VLOOKUP($A542,Towns!$A$2:$F1000,MATCH($B$1,Towns!$A$1:$F$1,0),false))</f>
        <v/>
      </c>
    </row>
    <row r="543">
      <c r="A543" s="16"/>
      <c r="B543" s="16" t="str">
        <f>IFNA(VLOOKUP($A543,Towns!$A$2:$F1000,MATCH($B$1,Towns!$A$1:$F$1,0),false))</f>
        <v/>
      </c>
    </row>
    <row r="544">
      <c r="A544" s="16"/>
      <c r="B544" s="16" t="str">
        <f>IFNA(VLOOKUP($A544,Towns!$A$2:$F1000,MATCH($B$1,Towns!$A$1:$F$1,0),false))</f>
        <v/>
      </c>
    </row>
    <row r="545">
      <c r="A545" s="16"/>
      <c r="B545" s="16" t="str">
        <f>IFNA(VLOOKUP($A545,Towns!$A$2:$F1000,MATCH($B$1,Towns!$A$1:$F$1,0),false))</f>
        <v/>
      </c>
    </row>
    <row r="546">
      <c r="A546" s="16"/>
      <c r="B546" s="16" t="str">
        <f>IFNA(VLOOKUP($A546,Towns!$A$2:$F1000,MATCH($B$1,Towns!$A$1:$F$1,0),false))</f>
        <v/>
      </c>
    </row>
    <row r="547">
      <c r="A547" s="16"/>
      <c r="B547" s="16" t="str">
        <f>IFNA(VLOOKUP($A547,Towns!$A$2:$F1000,MATCH($B$1,Towns!$A$1:$F$1,0),false))</f>
        <v/>
      </c>
    </row>
    <row r="548">
      <c r="A548" s="16"/>
      <c r="B548" s="16" t="str">
        <f>IFNA(VLOOKUP($A548,Towns!$A$2:$F1000,MATCH($B$1,Towns!$A$1:$F$1,0),false))</f>
        <v/>
      </c>
    </row>
    <row r="549">
      <c r="A549" s="16"/>
      <c r="B549" s="16" t="str">
        <f>IFNA(VLOOKUP($A549,Towns!$A$2:$F1000,MATCH($B$1,Towns!$A$1:$F$1,0),false))</f>
        <v/>
      </c>
    </row>
    <row r="550">
      <c r="A550" s="16"/>
      <c r="B550" s="16" t="str">
        <f>IFNA(VLOOKUP($A550,Towns!$A$2:$F1000,MATCH($B$1,Towns!$A$1:$F$1,0),false))</f>
        <v/>
      </c>
    </row>
    <row r="551">
      <c r="A551" s="16"/>
      <c r="B551" s="16" t="str">
        <f>IFNA(VLOOKUP($A551,Towns!$A$2:$F1000,MATCH($B$1,Towns!$A$1:$F$1,0),false))</f>
        <v/>
      </c>
    </row>
    <row r="552">
      <c r="A552" s="16"/>
      <c r="B552" s="16" t="str">
        <f>IFNA(VLOOKUP($A552,Towns!$A$2:$F1000,MATCH($B$1,Towns!$A$1:$F$1,0),false))</f>
        <v/>
      </c>
    </row>
    <row r="553">
      <c r="A553" s="16"/>
      <c r="B553" s="16" t="str">
        <f>IFNA(VLOOKUP($A553,Towns!$A$2:$F1000,MATCH($B$1,Towns!$A$1:$F$1,0),false))</f>
        <v/>
      </c>
    </row>
    <row r="554">
      <c r="A554" s="16"/>
      <c r="B554" s="16" t="str">
        <f>IFNA(VLOOKUP($A554,Towns!$A$2:$F1000,MATCH($B$1,Towns!$A$1:$F$1,0),false))</f>
        <v/>
      </c>
    </row>
    <row r="555">
      <c r="A555" s="16"/>
      <c r="B555" s="16" t="str">
        <f>IFNA(VLOOKUP($A555,Towns!$A$2:$F1000,MATCH($B$1,Towns!$A$1:$F$1,0),false))</f>
        <v/>
      </c>
    </row>
    <row r="556">
      <c r="A556" s="16"/>
      <c r="B556" s="16" t="str">
        <f>IFNA(VLOOKUP($A556,Towns!$A$2:$F1000,MATCH($B$1,Towns!$A$1:$F$1,0),false))</f>
        <v/>
      </c>
    </row>
    <row r="557">
      <c r="A557" s="16"/>
      <c r="B557" s="16" t="str">
        <f>IFNA(VLOOKUP($A557,Towns!$A$2:$F1000,MATCH($B$1,Towns!$A$1:$F$1,0),false))</f>
        <v/>
      </c>
    </row>
    <row r="558">
      <c r="A558" s="16"/>
      <c r="B558" s="16" t="str">
        <f>IFNA(VLOOKUP($A558,Towns!$A$2:$F1000,MATCH($B$1,Towns!$A$1:$F$1,0),false))</f>
        <v/>
      </c>
    </row>
    <row r="559">
      <c r="A559" s="16"/>
      <c r="B559" s="16" t="str">
        <f>IFNA(VLOOKUP($A559,Towns!$A$2:$F1000,MATCH($B$1,Towns!$A$1:$F$1,0),false))</f>
        <v/>
      </c>
    </row>
    <row r="560">
      <c r="A560" s="16"/>
      <c r="B560" s="16" t="str">
        <f>IFNA(VLOOKUP($A560,Towns!$A$2:$F1000,MATCH($B$1,Towns!$A$1:$F$1,0),false))</f>
        <v/>
      </c>
    </row>
    <row r="561">
      <c r="A561" s="16"/>
      <c r="B561" s="16" t="str">
        <f>IFNA(VLOOKUP($A561,Towns!$A$2:$F1000,MATCH($B$1,Towns!$A$1:$F$1,0),false))</f>
        <v/>
      </c>
    </row>
    <row r="562">
      <c r="A562" s="16"/>
      <c r="B562" s="16" t="str">
        <f>IFNA(VLOOKUP($A562,Towns!$A$2:$F1000,MATCH($B$1,Towns!$A$1:$F$1,0),false))</f>
        <v/>
      </c>
    </row>
    <row r="563">
      <c r="A563" s="16"/>
      <c r="B563" s="16" t="str">
        <f>IFNA(VLOOKUP($A563,Towns!$A$2:$F1000,MATCH($B$1,Towns!$A$1:$F$1,0),false))</f>
        <v/>
      </c>
    </row>
    <row r="564">
      <c r="A564" s="16"/>
      <c r="B564" s="16" t="str">
        <f>IFNA(VLOOKUP($A564,Towns!$A$2:$F1000,MATCH($B$1,Towns!$A$1:$F$1,0),false))</f>
        <v/>
      </c>
    </row>
    <row r="565">
      <c r="A565" s="16"/>
      <c r="B565" s="16" t="str">
        <f>IFNA(VLOOKUP($A565,Towns!$A$2:$F1000,MATCH($B$1,Towns!$A$1:$F$1,0),false))</f>
        <v/>
      </c>
    </row>
    <row r="566">
      <c r="A566" s="16"/>
      <c r="B566" s="16" t="str">
        <f>IFNA(VLOOKUP($A566,Towns!$A$2:$F1000,MATCH($B$1,Towns!$A$1:$F$1,0),false))</f>
        <v/>
      </c>
    </row>
    <row r="567">
      <c r="A567" s="16"/>
      <c r="B567" s="16" t="str">
        <f>IFNA(VLOOKUP($A567,Towns!$A$2:$F1000,MATCH($B$1,Towns!$A$1:$F$1,0),false))</f>
        <v/>
      </c>
    </row>
    <row r="568">
      <c r="A568" s="16"/>
      <c r="B568" s="16" t="str">
        <f>IFNA(VLOOKUP($A568,Towns!$A$2:$F1000,MATCH($B$1,Towns!$A$1:$F$1,0),false))</f>
        <v/>
      </c>
    </row>
    <row r="569">
      <c r="A569" s="16"/>
      <c r="B569" s="16" t="str">
        <f>IFNA(VLOOKUP($A569,Towns!$A$2:$F1000,MATCH($B$1,Towns!$A$1:$F$1,0),false))</f>
        <v/>
      </c>
    </row>
    <row r="570">
      <c r="A570" s="16"/>
      <c r="B570" s="16" t="str">
        <f>IFNA(VLOOKUP($A570,Towns!$A$2:$F1000,MATCH($B$1,Towns!$A$1:$F$1,0),false))</f>
        <v/>
      </c>
    </row>
    <row r="571">
      <c r="A571" s="16"/>
      <c r="B571" s="16" t="str">
        <f>IFNA(VLOOKUP($A571,Towns!$A$2:$F1000,MATCH($B$1,Towns!$A$1:$F$1,0),false))</f>
        <v/>
      </c>
    </row>
    <row r="572">
      <c r="A572" s="16"/>
      <c r="B572" s="16" t="str">
        <f>IFNA(VLOOKUP($A572,Towns!$A$2:$F1000,MATCH($B$1,Towns!$A$1:$F$1,0),false))</f>
        <v/>
      </c>
    </row>
    <row r="573">
      <c r="A573" s="16"/>
      <c r="B573" s="16" t="str">
        <f>IFNA(VLOOKUP($A573,Towns!$A$2:$F1000,MATCH($B$1,Towns!$A$1:$F$1,0),false))</f>
        <v/>
      </c>
    </row>
    <row r="574">
      <c r="A574" s="16"/>
      <c r="B574" s="16" t="str">
        <f>IFNA(VLOOKUP($A574,Towns!$A$2:$F1000,MATCH($B$1,Towns!$A$1:$F$1,0),false))</f>
        <v/>
      </c>
    </row>
    <row r="575">
      <c r="A575" s="16"/>
      <c r="B575" s="16" t="str">
        <f>IFNA(VLOOKUP($A575,Towns!$A$2:$F1000,MATCH($B$1,Towns!$A$1:$F$1,0),false))</f>
        <v/>
      </c>
    </row>
    <row r="576">
      <c r="A576" s="16"/>
      <c r="B576" s="16" t="str">
        <f>IFNA(VLOOKUP($A576,Towns!$A$2:$F1000,MATCH($B$1,Towns!$A$1:$F$1,0),false))</f>
        <v/>
      </c>
    </row>
    <row r="577">
      <c r="A577" s="16"/>
      <c r="B577" s="16" t="str">
        <f>IFNA(VLOOKUP($A577,Towns!$A$2:$F1000,MATCH($B$1,Towns!$A$1:$F$1,0),false))</f>
        <v/>
      </c>
    </row>
    <row r="578">
      <c r="A578" s="16"/>
      <c r="B578" s="16" t="str">
        <f>IFNA(VLOOKUP($A578,Towns!$A$2:$F1000,MATCH($B$1,Towns!$A$1:$F$1,0),false))</f>
        <v/>
      </c>
    </row>
    <row r="579">
      <c r="A579" s="16"/>
      <c r="B579" s="16" t="str">
        <f>IFNA(VLOOKUP($A579,Towns!$A$2:$F1000,MATCH($B$1,Towns!$A$1:$F$1,0),false))</f>
        <v/>
      </c>
    </row>
    <row r="580">
      <c r="A580" s="16"/>
      <c r="B580" s="16" t="str">
        <f>IFNA(VLOOKUP($A580,Towns!$A$2:$F1000,MATCH($B$1,Towns!$A$1:$F$1,0),false))</f>
        <v/>
      </c>
    </row>
    <row r="581">
      <c r="A581" s="16"/>
      <c r="B581" s="16" t="str">
        <f>IFNA(VLOOKUP($A581,Towns!$A$2:$F1000,MATCH($B$1,Towns!$A$1:$F$1,0),false))</f>
        <v/>
      </c>
    </row>
    <row r="582">
      <c r="A582" s="16"/>
      <c r="B582" s="16" t="str">
        <f>IFNA(VLOOKUP($A582,Towns!$A$2:$F1000,MATCH($B$1,Towns!$A$1:$F$1,0),false))</f>
        <v/>
      </c>
    </row>
    <row r="583">
      <c r="A583" s="16"/>
      <c r="B583" s="16" t="str">
        <f>IFNA(VLOOKUP($A583,Towns!$A$2:$F1000,MATCH($B$1,Towns!$A$1:$F$1,0),false))</f>
        <v/>
      </c>
    </row>
    <row r="584">
      <c r="A584" s="16"/>
      <c r="B584" s="16" t="str">
        <f>IFNA(VLOOKUP($A584,Towns!$A$2:$F1000,MATCH($B$1,Towns!$A$1:$F$1,0),false))</f>
        <v/>
      </c>
    </row>
    <row r="585">
      <c r="A585" s="16"/>
      <c r="B585" s="16" t="str">
        <f>IFNA(VLOOKUP($A585,Towns!$A$2:$F1000,MATCH($B$1,Towns!$A$1:$F$1,0),false))</f>
        <v/>
      </c>
    </row>
    <row r="586">
      <c r="A586" s="16"/>
      <c r="B586" s="16" t="str">
        <f>IFNA(VLOOKUP($A586,Towns!$A$2:$F1000,MATCH($B$1,Towns!$A$1:$F$1,0),false))</f>
        <v/>
      </c>
    </row>
    <row r="587">
      <c r="A587" s="16"/>
      <c r="B587" s="16" t="str">
        <f>IFNA(VLOOKUP($A587,Towns!$A$2:$F1000,MATCH($B$1,Towns!$A$1:$F$1,0),false))</f>
        <v/>
      </c>
    </row>
    <row r="588">
      <c r="A588" s="16"/>
      <c r="B588" s="16" t="str">
        <f>IFNA(VLOOKUP($A588,Towns!$A$2:$F1000,MATCH($B$1,Towns!$A$1:$F$1,0),false))</f>
        <v/>
      </c>
    </row>
    <row r="589">
      <c r="A589" s="16"/>
      <c r="B589" s="16" t="str">
        <f>IFNA(VLOOKUP($A589,Towns!$A$2:$F1000,MATCH($B$1,Towns!$A$1:$F$1,0),false))</f>
        <v/>
      </c>
    </row>
    <row r="590">
      <c r="A590" s="16"/>
      <c r="B590" s="16" t="str">
        <f>IFNA(VLOOKUP($A590,Towns!$A$2:$F1000,MATCH($B$1,Towns!$A$1:$F$1,0),false))</f>
        <v/>
      </c>
    </row>
    <row r="591">
      <c r="A591" s="16"/>
      <c r="B591" s="16" t="str">
        <f>IFNA(VLOOKUP($A591,Towns!$A$2:$F1000,MATCH($B$1,Towns!$A$1:$F$1,0),false))</f>
        <v/>
      </c>
    </row>
    <row r="592">
      <c r="A592" s="16"/>
      <c r="B592" s="16" t="str">
        <f>IFNA(VLOOKUP($A592,Towns!$A$2:$F1000,MATCH($B$1,Towns!$A$1:$F$1,0),false))</f>
        <v/>
      </c>
    </row>
    <row r="593">
      <c r="A593" s="16"/>
      <c r="B593" s="16" t="str">
        <f>IFNA(VLOOKUP($A593,Towns!$A$2:$F1000,MATCH($B$1,Towns!$A$1:$F$1,0),false))</f>
        <v/>
      </c>
    </row>
    <row r="594">
      <c r="A594" s="16"/>
      <c r="B594" s="16" t="str">
        <f>IFNA(VLOOKUP($A594,Towns!$A$2:$F1000,MATCH($B$1,Towns!$A$1:$F$1,0),false))</f>
        <v/>
      </c>
    </row>
    <row r="595">
      <c r="A595" s="16"/>
      <c r="B595" s="16" t="str">
        <f>IFNA(VLOOKUP($A595,Towns!$A$2:$F1000,MATCH($B$1,Towns!$A$1:$F$1,0),false))</f>
        <v/>
      </c>
    </row>
    <row r="596">
      <c r="A596" s="16"/>
      <c r="B596" s="16" t="str">
        <f>IFNA(VLOOKUP($A596,Towns!$A$2:$F1000,MATCH($B$1,Towns!$A$1:$F$1,0),false))</f>
        <v/>
      </c>
    </row>
    <row r="597">
      <c r="A597" s="16"/>
      <c r="B597" s="16" t="str">
        <f>IFNA(VLOOKUP($A597,Towns!$A$2:$F1000,MATCH($B$1,Towns!$A$1:$F$1,0),false))</f>
        <v/>
      </c>
    </row>
    <row r="598">
      <c r="A598" s="16"/>
      <c r="B598" s="16" t="str">
        <f>IFNA(VLOOKUP($A598,Towns!$A$2:$F1000,MATCH($B$1,Towns!$A$1:$F$1,0),false))</f>
        <v/>
      </c>
    </row>
    <row r="599">
      <c r="A599" s="16"/>
      <c r="B599" s="16" t="str">
        <f>IFNA(VLOOKUP($A599,Towns!$A$2:$F1000,MATCH($B$1,Towns!$A$1:$F$1,0),false))</f>
        <v/>
      </c>
    </row>
    <row r="600">
      <c r="A600" s="16"/>
      <c r="B600" s="16" t="str">
        <f>IFNA(VLOOKUP($A600,Towns!$A$2:$F1000,MATCH($B$1,Towns!$A$1:$F$1,0),false))</f>
        <v/>
      </c>
    </row>
    <row r="601">
      <c r="A601" s="16"/>
      <c r="B601" s="16" t="str">
        <f>IFNA(VLOOKUP($A601,Towns!$A$2:$F1000,MATCH($B$1,Towns!$A$1:$F$1,0),false))</f>
        <v/>
      </c>
    </row>
    <row r="602">
      <c r="A602" s="16"/>
      <c r="B602" s="16" t="str">
        <f>IFNA(VLOOKUP($A602,Towns!$A$2:$F1000,MATCH($B$1,Towns!$A$1:$F$1,0),false))</f>
        <v/>
      </c>
    </row>
    <row r="603">
      <c r="A603" s="16"/>
      <c r="B603" s="16" t="str">
        <f>IFNA(VLOOKUP($A603,Towns!$A$2:$F1000,MATCH($B$1,Towns!$A$1:$F$1,0),false))</f>
        <v/>
      </c>
    </row>
    <row r="604">
      <c r="A604" s="16"/>
      <c r="B604" s="16" t="str">
        <f>IFNA(VLOOKUP($A604,Towns!$A$2:$F1000,MATCH($B$1,Towns!$A$1:$F$1,0),false))</f>
        <v/>
      </c>
    </row>
    <row r="605">
      <c r="A605" s="16"/>
      <c r="B605" s="16" t="str">
        <f>IFNA(VLOOKUP($A605,Towns!$A$2:$F1000,MATCH($B$1,Towns!$A$1:$F$1,0),false))</f>
        <v/>
      </c>
    </row>
    <row r="606">
      <c r="A606" s="16"/>
      <c r="B606" s="16" t="str">
        <f>IFNA(VLOOKUP($A606,Towns!$A$2:$F1000,MATCH($B$1,Towns!$A$1:$F$1,0),false))</f>
        <v/>
      </c>
    </row>
    <row r="607">
      <c r="A607" s="16"/>
      <c r="B607" s="16" t="str">
        <f>IFNA(VLOOKUP($A607,Towns!$A$2:$F1000,MATCH($B$1,Towns!$A$1:$F$1,0),false))</f>
        <v/>
      </c>
    </row>
    <row r="608">
      <c r="A608" s="16"/>
      <c r="B608" s="16" t="str">
        <f>IFNA(VLOOKUP($A608,Towns!$A$2:$F1000,MATCH($B$1,Towns!$A$1:$F$1,0),false))</f>
        <v/>
      </c>
    </row>
    <row r="609">
      <c r="A609" s="16"/>
      <c r="B609" s="16" t="str">
        <f>IFNA(VLOOKUP($A609,Towns!$A$2:$F1000,MATCH($B$1,Towns!$A$1:$F$1,0),false))</f>
        <v/>
      </c>
    </row>
    <row r="610">
      <c r="A610" s="16"/>
      <c r="B610" s="16" t="str">
        <f>IFNA(VLOOKUP($A610,Towns!$A$2:$F1000,MATCH($B$1,Towns!$A$1:$F$1,0),false))</f>
        <v/>
      </c>
    </row>
    <row r="611">
      <c r="A611" s="16"/>
      <c r="B611" s="16" t="str">
        <f>IFNA(VLOOKUP($A611,Towns!$A$2:$F1000,MATCH($B$1,Towns!$A$1:$F$1,0),false))</f>
        <v/>
      </c>
    </row>
    <row r="612">
      <c r="A612" s="16"/>
      <c r="B612" s="16" t="str">
        <f>IFNA(VLOOKUP($A612,Towns!$A$2:$F1000,MATCH($B$1,Towns!$A$1:$F$1,0),false))</f>
        <v/>
      </c>
    </row>
    <row r="613">
      <c r="A613" s="16"/>
      <c r="B613" s="16" t="str">
        <f>IFNA(VLOOKUP($A613,Towns!$A$2:$F1000,MATCH($B$1,Towns!$A$1:$F$1,0),false))</f>
        <v/>
      </c>
    </row>
    <row r="614">
      <c r="A614" s="16"/>
      <c r="B614" s="16" t="str">
        <f>IFNA(VLOOKUP($A614,Towns!$A$2:$F1000,MATCH($B$1,Towns!$A$1:$F$1,0),false))</f>
        <v/>
      </c>
    </row>
    <row r="615">
      <c r="A615" s="16"/>
      <c r="B615" s="16" t="str">
        <f>IFNA(VLOOKUP($A615,Towns!$A$2:$F1000,MATCH($B$1,Towns!$A$1:$F$1,0),false))</f>
        <v/>
      </c>
    </row>
    <row r="616">
      <c r="A616" s="16"/>
      <c r="B616" s="16" t="str">
        <f>IFNA(VLOOKUP($A616,Towns!$A$2:$F1000,MATCH($B$1,Towns!$A$1:$F$1,0),false))</f>
        <v/>
      </c>
    </row>
    <row r="617">
      <c r="A617" s="16"/>
      <c r="B617" s="16" t="str">
        <f>IFNA(VLOOKUP($A617,Towns!$A$2:$F1000,MATCH($B$1,Towns!$A$1:$F$1,0),false))</f>
        <v/>
      </c>
    </row>
    <row r="618">
      <c r="A618" s="16"/>
      <c r="B618" s="16" t="str">
        <f>IFNA(VLOOKUP($A618,Towns!$A$2:$F1000,MATCH($B$1,Towns!$A$1:$F$1,0),false))</f>
        <v/>
      </c>
    </row>
    <row r="619">
      <c r="A619" s="16"/>
      <c r="B619" s="16" t="str">
        <f>IFNA(VLOOKUP($A619,Towns!$A$2:$F1000,MATCH($B$1,Towns!$A$1:$F$1,0),false))</f>
        <v/>
      </c>
    </row>
    <row r="620">
      <c r="A620" s="16"/>
      <c r="B620" s="16" t="str">
        <f>IFNA(VLOOKUP($A620,Towns!$A$2:$F1000,MATCH($B$1,Towns!$A$1:$F$1,0),false))</f>
        <v/>
      </c>
    </row>
    <row r="621">
      <c r="A621" s="16"/>
      <c r="B621" s="16" t="str">
        <f>IFNA(VLOOKUP($A621,Towns!$A$2:$F1000,MATCH($B$1,Towns!$A$1:$F$1,0),false))</f>
        <v/>
      </c>
    </row>
    <row r="622">
      <c r="A622" s="16"/>
      <c r="B622" s="16" t="str">
        <f>IFNA(VLOOKUP($A622,Towns!$A$2:$F1000,MATCH($B$1,Towns!$A$1:$F$1,0),false))</f>
        <v/>
      </c>
    </row>
    <row r="623">
      <c r="A623" s="16"/>
      <c r="B623" s="16" t="str">
        <f>IFNA(VLOOKUP($A623,Towns!$A$2:$F1000,MATCH($B$1,Towns!$A$1:$F$1,0),false))</f>
        <v/>
      </c>
    </row>
    <row r="624">
      <c r="A624" s="16"/>
      <c r="B624" s="16" t="str">
        <f>IFNA(VLOOKUP($A624,Towns!$A$2:$F1000,MATCH($B$1,Towns!$A$1:$F$1,0),false))</f>
        <v/>
      </c>
    </row>
    <row r="625">
      <c r="A625" s="16"/>
      <c r="B625" s="16" t="str">
        <f>IFNA(VLOOKUP($A625,Towns!$A$2:$F1000,MATCH($B$1,Towns!$A$1:$F$1,0),false))</f>
        <v/>
      </c>
    </row>
    <row r="626">
      <c r="A626" s="16"/>
      <c r="B626" s="16" t="str">
        <f>IFNA(VLOOKUP($A626,Towns!$A$2:$F1000,MATCH($B$1,Towns!$A$1:$F$1,0),false))</f>
        <v/>
      </c>
    </row>
    <row r="627">
      <c r="A627" s="16"/>
      <c r="B627" s="16" t="str">
        <f>IFNA(VLOOKUP($A627,Towns!$A$2:$F1000,MATCH($B$1,Towns!$A$1:$F$1,0),false))</f>
        <v/>
      </c>
    </row>
    <row r="628">
      <c r="A628" s="16"/>
      <c r="B628" s="16" t="str">
        <f>IFNA(VLOOKUP($A628,Towns!$A$2:$F1000,MATCH($B$1,Towns!$A$1:$F$1,0),false))</f>
        <v/>
      </c>
    </row>
    <row r="629">
      <c r="A629" s="16"/>
      <c r="B629" s="16" t="str">
        <f>IFNA(VLOOKUP($A629,Towns!$A$2:$F1000,MATCH($B$1,Towns!$A$1:$F$1,0),false))</f>
        <v/>
      </c>
    </row>
    <row r="630">
      <c r="A630" s="16"/>
      <c r="B630" s="16" t="str">
        <f>IFNA(VLOOKUP($A630,Towns!$A$2:$F1000,MATCH($B$1,Towns!$A$1:$F$1,0),false))</f>
        <v/>
      </c>
    </row>
    <row r="631">
      <c r="A631" s="16"/>
      <c r="B631" s="16" t="str">
        <f>IFNA(VLOOKUP($A631,Towns!$A$2:$F1000,MATCH($B$1,Towns!$A$1:$F$1,0),false))</f>
        <v/>
      </c>
    </row>
    <row r="632">
      <c r="A632" s="16"/>
      <c r="B632" s="16" t="str">
        <f>IFNA(VLOOKUP($A632,Towns!$A$2:$F1000,MATCH($B$1,Towns!$A$1:$F$1,0),false))</f>
        <v/>
      </c>
    </row>
    <row r="633">
      <c r="A633" s="16"/>
      <c r="B633" s="16" t="str">
        <f>IFNA(VLOOKUP($A633,Towns!$A$2:$F1000,MATCH($B$1,Towns!$A$1:$F$1,0),false))</f>
        <v/>
      </c>
    </row>
    <row r="634">
      <c r="A634" s="16"/>
      <c r="B634" s="16" t="str">
        <f>IFNA(VLOOKUP($A634,Towns!$A$2:$F1000,MATCH($B$1,Towns!$A$1:$F$1,0),false))</f>
        <v/>
      </c>
    </row>
    <row r="635">
      <c r="A635" s="16"/>
      <c r="B635" s="16" t="str">
        <f>IFNA(VLOOKUP($A635,Towns!$A$2:$F1000,MATCH($B$1,Towns!$A$1:$F$1,0),false))</f>
        <v/>
      </c>
    </row>
    <row r="636">
      <c r="A636" s="16"/>
      <c r="B636" s="16" t="str">
        <f>IFNA(VLOOKUP($A636,Towns!$A$2:$F1000,MATCH($B$1,Towns!$A$1:$F$1,0),false))</f>
        <v/>
      </c>
    </row>
    <row r="637">
      <c r="A637" s="16"/>
      <c r="B637" s="16" t="str">
        <f>IFNA(VLOOKUP($A637,Towns!$A$2:$F1000,MATCH($B$1,Towns!$A$1:$F$1,0),false))</f>
        <v/>
      </c>
    </row>
    <row r="638">
      <c r="A638" s="16"/>
      <c r="B638" s="16" t="str">
        <f>IFNA(VLOOKUP($A638,Towns!$A$2:$F1000,MATCH($B$1,Towns!$A$1:$F$1,0),false))</f>
        <v/>
      </c>
    </row>
    <row r="639">
      <c r="A639" s="16"/>
      <c r="B639" s="16" t="str">
        <f>IFNA(VLOOKUP($A639,Towns!$A$2:$F1000,MATCH($B$1,Towns!$A$1:$F$1,0),false))</f>
        <v/>
      </c>
    </row>
    <row r="640">
      <c r="A640" s="16"/>
      <c r="B640" s="16" t="str">
        <f>IFNA(VLOOKUP($A640,Towns!$A$2:$F1000,MATCH($B$1,Towns!$A$1:$F$1,0),false))</f>
        <v/>
      </c>
    </row>
    <row r="641">
      <c r="A641" s="16"/>
      <c r="B641" s="16" t="str">
        <f>IFNA(VLOOKUP($A641,Towns!$A$2:$F1000,MATCH($B$1,Towns!$A$1:$F$1,0),false))</f>
        <v/>
      </c>
    </row>
    <row r="642">
      <c r="A642" s="16"/>
      <c r="B642" s="16" t="str">
        <f>IFNA(VLOOKUP($A642,Towns!$A$2:$F1000,MATCH($B$1,Towns!$A$1:$F$1,0),false))</f>
        <v/>
      </c>
    </row>
    <row r="643">
      <c r="A643" s="16"/>
      <c r="B643" s="16" t="str">
        <f>IFNA(VLOOKUP($A643,Towns!$A$2:$F1000,MATCH($B$1,Towns!$A$1:$F$1,0),false))</f>
        <v/>
      </c>
    </row>
    <row r="644">
      <c r="A644" s="16"/>
      <c r="B644" s="16" t="str">
        <f>IFNA(VLOOKUP($A644,Towns!$A$2:$F1000,MATCH($B$1,Towns!$A$1:$F$1,0),false))</f>
        <v/>
      </c>
    </row>
    <row r="645">
      <c r="A645" s="16"/>
      <c r="B645" s="16" t="str">
        <f>IFNA(VLOOKUP($A645,Towns!$A$2:$F1000,MATCH($B$1,Towns!$A$1:$F$1,0),false))</f>
        <v/>
      </c>
    </row>
    <row r="646">
      <c r="A646" s="16"/>
      <c r="B646" s="16" t="str">
        <f>IFNA(VLOOKUP($A646,Towns!$A$2:$F1000,MATCH($B$1,Towns!$A$1:$F$1,0),false))</f>
        <v/>
      </c>
    </row>
    <row r="647">
      <c r="A647" s="16"/>
      <c r="B647" s="16" t="str">
        <f>IFNA(VLOOKUP($A647,Towns!$A$2:$F1000,MATCH($B$1,Towns!$A$1:$F$1,0),false))</f>
        <v/>
      </c>
    </row>
    <row r="648">
      <c r="A648" s="16"/>
      <c r="B648" s="16" t="str">
        <f>IFNA(VLOOKUP($A648,Towns!$A$2:$F1000,MATCH($B$1,Towns!$A$1:$F$1,0),false))</f>
        <v/>
      </c>
    </row>
    <row r="649">
      <c r="A649" s="16"/>
      <c r="B649" s="16" t="str">
        <f>IFNA(VLOOKUP($A649,Towns!$A$2:$F1000,MATCH($B$1,Towns!$A$1:$F$1,0),false))</f>
        <v/>
      </c>
    </row>
    <row r="650">
      <c r="A650" s="16"/>
      <c r="B650" s="16" t="str">
        <f>IFNA(VLOOKUP($A650,Towns!$A$2:$F1000,MATCH($B$1,Towns!$A$1:$F$1,0),false))</f>
        <v/>
      </c>
    </row>
    <row r="651">
      <c r="A651" s="16"/>
      <c r="B651" s="16" t="str">
        <f>IFNA(VLOOKUP($A651,Towns!$A$2:$F1000,MATCH($B$1,Towns!$A$1:$F$1,0),false))</f>
        <v/>
      </c>
    </row>
    <row r="652">
      <c r="A652" s="16"/>
      <c r="B652" s="16" t="str">
        <f>IFNA(VLOOKUP($A652,Towns!$A$2:$F1000,MATCH($B$1,Towns!$A$1:$F$1,0),false))</f>
        <v/>
      </c>
    </row>
    <row r="653">
      <c r="A653" s="16"/>
      <c r="B653" s="16" t="str">
        <f>IFNA(VLOOKUP($A653,Towns!$A$2:$F1000,MATCH($B$1,Towns!$A$1:$F$1,0),false))</f>
        <v/>
      </c>
    </row>
    <row r="654">
      <c r="A654" s="16"/>
      <c r="B654" s="16" t="str">
        <f>IFNA(VLOOKUP($A654,Towns!$A$2:$F1000,MATCH($B$1,Towns!$A$1:$F$1,0),false))</f>
        <v/>
      </c>
    </row>
    <row r="655">
      <c r="A655" s="16"/>
      <c r="B655" s="16" t="str">
        <f>IFNA(VLOOKUP($A655,Towns!$A$2:$F1000,MATCH($B$1,Towns!$A$1:$F$1,0),false))</f>
        <v/>
      </c>
    </row>
    <row r="656">
      <c r="A656" s="16"/>
      <c r="B656" s="16" t="str">
        <f>IFNA(VLOOKUP($A656,Towns!$A$2:$F1000,MATCH($B$1,Towns!$A$1:$F$1,0),false))</f>
        <v/>
      </c>
    </row>
    <row r="657">
      <c r="A657" s="16"/>
      <c r="B657" s="16" t="str">
        <f>IFNA(VLOOKUP($A657,Towns!$A$2:$F1000,MATCH($B$1,Towns!$A$1:$F$1,0),false))</f>
        <v/>
      </c>
    </row>
    <row r="658">
      <c r="A658" s="16"/>
      <c r="B658" s="16" t="str">
        <f>IFNA(VLOOKUP($A658,Towns!$A$2:$F1000,MATCH($B$1,Towns!$A$1:$F$1,0),false))</f>
        <v/>
      </c>
    </row>
    <row r="659">
      <c r="A659" s="16"/>
      <c r="B659" s="16" t="str">
        <f>IFNA(VLOOKUP($A659,Towns!$A$2:$F1000,MATCH($B$1,Towns!$A$1:$F$1,0),false))</f>
        <v/>
      </c>
    </row>
    <row r="660">
      <c r="A660" s="16"/>
      <c r="B660" s="16" t="str">
        <f>IFNA(VLOOKUP($A660,Towns!$A$2:$F1000,MATCH($B$1,Towns!$A$1:$F$1,0),false))</f>
        <v/>
      </c>
    </row>
    <row r="661">
      <c r="A661" s="16"/>
      <c r="B661" s="16" t="str">
        <f>IFNA(VLOOKUP($A661,Towns!$A$2:$F1000,MATCH($B$1,Towns!$A$1:$F$1,0),false))</f>
        <v/>
      </c>
    </row>
    <row r="662">
      <c r="A662" s="16"/>
      <c r="B662" s="16" t="str">
        <f>IFNA(VLOOKUP($A662,Towns!$A$2:$F1000,MATCH($B$1,Towns!$A$1:$F$1,0),false))</f>
        <v/>
      </c>
    </row>
    <row r="663">
      <c r="A663" s="16"/>
      <c r="B663" s="16" t="str">
        <f>IFNA(VLOOKUP($A663,Towns!$A$2:$F1000,MATCH($B$1,Towns!$A$1:$F$1,0),false))</f>
        <v/>
      </c>
    </row>
    <row r="664">
      <c r="A664" s="16"/>
      <c r="B664" s="16" t="str">
        <f>IFNA(VLOOKUP($A664,Towns!$A$2:$F1000,MATCH($B$1,Towns!$A$1:$F$1,0),false))</f>
        <v/>
      </c>
    </row>
    <row r="665">
      <c r="A665" s="16"/>
      <c r="B665" s="16" t="str">
        <f>IFNA(VLOOKUP($A665,Towns!$A$2:$F1000,MATCH($B$1,Towns!$A$1:$F$1,0),false))</f>
        <v/>
      </c>
    </row>
    <row r="666">
      <c r="A666" s="16"/>
      <c r="B666" s="16" t="str">
        <f>IFNA(VLOOKUP($A666,Towns!$A$2:$F1000,MATCH($B$1,Towns!$A$1:$F$1,0),false))</f>
        <v/>
      </c>
    </row>
    <row r="667">
      <c r="A667" s="16"/>
      <c r="B667" s="16" t="str">
        <f>IFNA(VLOOKUP($A667,Towns!$A$2:$F1000,MATCH($B$1,Towns!$A$1:$F$1,0),false))</f>
        <v/>
      </c>
    </row>
    <row r="668">
      <c r="A668" s="16"/>
      <c r="B668" s="16" t="str">
        <f>IFNA(VLOOKUP($A668,Towns!$A$2:$F1000,MATCH($B$1,Towns!$A$1:$F$1,0),false))</f>
        <v/>
      </c>
    </row>
    <row r="669">
      <c r="A669" s="16"/>
      <c r="B669" s="16" t="str">
        <f>IFNA(VLOOKUP($A669,Towns!$A$2:$F1000,MATCH($B$1,Towns!$A$1:$F$1,0),false))</f>
        <v/>
      </c>
    </row>
    <row r="670">
      <c r="A670" s="16"/>
      <c r="B670" s="16" t="str">
        <f>IFNA(VLOOKUP($A670,Towns!$A$2:$F1000,MATCH($B$1,Towns!$A$1:$F$1,0),false))</f>
        <v/>
      </c>
    </row>
    <row r="671">
      <c r="A671" s="16"/>
      <c r="B671" s="16" t="str">
        <f>IFNA(VLOOKUP($A671,Towns!$A$2:$F1000,MATCH($B$1,Towns!$A$1:$F$1,0),false))</f>
        <v/>
      </c>
    </row>
    <row r="672">
      <c r="A672" s="16"/>
      <c r="B672" s="16" t="str">
        <f>IFNA(VLOOKUP($A672,Towns!$A$2:$F1000,MATCH($B$1,Towns!$A$1:$F$1,0),false))</f>
        <v/>
      </c>
    </row>
    <row r="673">
      <c r="A673" s="16"/>
      <c r="B673" s="16" t="str">
        <f>IFNA(VLOOKUP($A673,Towns!$A$2:$F1000,MATCH($B$1,Towns!$A$1:$F$1,0),false))</f>
        <v/>
      </c>
    </row>
    <row r="674">
      <c r="A674" s="16"/>
      <c r="B674" s="16" t="str">
        <f>IFNA(VLOOKUP($A674,Towns!$A$2:$F1000,MATCH($B$1,Towns!$A$1:$F$1,0),false))</f>
        <v/>
      </c>
    </row>
    <row r="675">
      <c r="A675" s="16"/>
      <c r="B675" s="16" t="str">
        <f>IFNA(VLOOKUP($A675,Towns!$A$2:$F1000,MATCH($B$1,Towns!$A$1:$F$1,0),false))</f>
        <v/>
      </c>
    </row>
    <row r="676">
      <c r="A676" s="16"/>
      <c r="B676" s="16" t="str">
        <f>IFNA(VLOOKUP($A676,Towns!$A$2:$F1000,MATCH($B$1,Towns!$A$1:$F$1,0),false))</f>
        <v/>
      </c>
    </row>
    <row r="677">
      <c r="A677" s="16"/>
      <c r="B677" s="16" t="str">
        <f>IFNA(VLOOKUP($A677,Towns!$A$2:$F1000,MATCH($B$1,Towns!$A$1:$F$1,0),false))</f>
        <v/>
      </c>
    </row>
    <row r="678">
      <c r="A678" s="16"/>
      <c r="B678" s="16" t="str">
        <f>IFNA(VLOOKUP($A678,Towns!$A$2:$F1000,MATCH($B$1,Towns!$A$1:$F$1,0),false))</f>
        <v/>
      </c>
    </row>
    <row r="679">
      <c r="A679" s="16"/>
      <c r="B679" s="16" t="str">
        <f>IFNA(VLOOKUP($A679,Towns!$A$2:$F1000,MATCH($B$1,Towns!$A$1:$F$1,0),false))</f>
        <v/>
      </c>
    </row>
    <row r="680">
      <c r="A680" s="16"/>
      <c r="B680" s="16" t="str">
        <f>IFNA(VLOOKUP($A680,Towns!$A$2:$F1000,MATCH($B$1,Towns!$A$1:$F$1,0),false))</f>
        <v/>
      </c>
    </row>
    <row r="681">
      <c r="A681" s="16"/>
      <c r="B681" s="16" t="str">
        <f>IFNA(VLOOKUP($A681,Towns!$A$2:$F1000,MATCH($B$1,Towns!$A$1:$F$1,0),false))</f>
        <v/>
      </c>
    </row>
    <row r="682">
      <c r="A682" s="16"/>
      <c r="B682" s="16" t="str">
        <f>IFNA(VLOOKUP($A682,Towns!$A$2:$F1000,MATCH($B$1,Towns!$A$1:$F$1,0),false))</f>
        <v/>
      </c>
    </row>
    <row r="683">
      <c r="A683" s="16"/>
      <c r="B683" s="16" t="str">
        <f>IFNA(VLOOKUP($A683,Towns!$A$2:$F1000,MATCH($B$1,Towns!$A$1:$F$1,0),false))</f>
        <v/>
      </c>
    </row>
    <row r="684">
      <c r="A684" s="16"/>
      <c r="B684" s="16" t="str">
        <f>IFNA(VLOOKUP($A684,Towns!$A$2:$F1000,MATCH($B$1,Towns!$A$1:$F$1,0),false))</f>
        <v/>
      </c>
    </row>
    <row r="685">
      <c r="A685" s="16"/>
      <c r="B685" s="16" t="str">
        <f>IFNA(VLOOKUP($A685,Towns!$A$2:$F1000,MATCH($B$1,Towns!$A$1:$F$1,0),false))</f>
        <v/>
      </c>
    </row>
    <row r="686">
      <c r="A686" s="16"/>
      <c r="B686" s="16" t="str">
        <f>IFNA(VLOOKUP($A686,Towns!$A$2:$F1000,MATCH($B$1,Towns!$A$1:$F$1,0),false))</f>
        <v/>
      </c>
    </row>
    <row r="687">
      <c r="A687" s="16"/>
      <c r="B687" s="16" t="str">
        <f>IFNA(VLOOKUP($A687,Towns!$A$2:$F1000,MATCH($B$1,Towns!$A$1:$F$1,0),false))</f>
        <v/>
      </c>
    </row>
    <row r="688">
      <c r="A688" s="16"/>
      <c r="B688" s="16" t="str">
        <f>IFNA(VLOOKUP($A688,Towns!$A$2:$F1000,MATCH($B$1,Towns!$A$1:$F$1,0),false))</f>
        <v/>
      </c>
    </row>
    <row r="689">
      <c r="A689" s="16"/>
      <c r="B689" s="16" t="str">
        <f>IFNA(VLOOKUP($A689,Towns!$A$2:$F1000,MATCH($B$1,Towns!$A$1:$F$1,0),false))</f>
        <v/>
      </c>
    </row>
    <row r="690">
      <c r="A690" s="16"/>
      <c r="B690" s="16" t="str">
        <f>IFNA(VLOOKUP($A690,Towns!$A$2:$F1000,MATCH($B$1,Towns!$A$1:$F$1,0),false))</f>
        <v/>
      </c>
    </row>
    <row r="691">
      <c r="A691" s="16"/>
      <c r="B691" s="16" t="str">
        <f>IFNA(VLOOKUP($A691,Towns!$A$2:$F1000,MATCH($B$1,Towns!$A$1:$F$1,0),false))</f>
        <v/>
      </c>
    </row>
    <row r="692">
      <c r="A692" s="16"/>
      <c r="B692" s="16" t="str">
        <f>IFNA(VLOOKUP($A692,Towns!$A$2:$F1000,MATCH($B$1,Towns!$A$1:$F$1,0),false))</f>
        <v/>
      </c>
    </row>
    <row r="693">
      <c r="A693" s="16"/>
      <c r="B693" s="16" t="str">
        <f>IFNA(VLOOKUP($A693,Towns!$A$2:$F1000,MATCH($B$1,Towns!$A$1:$F$1,0),false))</f>
        <v/>
      </c>
    </row>
    <row r="694">
      <c r="A694" s="16"/>
      <c r="B694" s="16" t="str">
        <f>IFNA(VLOOKUP($A694,Towns!$A$2:$F1000,MATCH($B$1,Towns!$A$1:$F$1,0),false))</f>
        <v/>
      </c>
    </row>
    <row r="695">
      <c r="A695" s="16"/>
      <c r="B695" s="16" t="str">
        <f>IFNA(VLOOKUP($A695,Towns!$A$2:$F1000,MATCH($B$1,Towns!$A$1:$F$1,0),false))</f>
        <v/>
      </c>
    </row>
    <row r="696">
      <c r="A696" s="16"/>
      <c r="B696" s="16" t="str">
        <f>IFNA(VLOOKUP($A696,Towns!$A$2:$F1000,MATCH($B$1,Towns!$A$1:$F$1,0),false))</f>
        <v/>
      </c>
    </row>
    <row r="697">
      <c r="A697" s="16"/>
      <c r="B697" s="16" t="str">
        <f>IFNA(VLOOKUP($A697,Towns!$A$2:$F1000,MATCH($B$1,Towns!$A$1:$F$1,0),false))</f>
        <v/>
      </c>
    </row>
    <row r="698">
      <c r="A698" s="16"/>
      <c r="B698" s="16" t="str">
        <f>IFNA(VLOOKUP($A698,Towns!$A$2:$F1000,MATCH($B$1,Towns!$A$1:$F$1,0),false))</f>
        <v/>
      </c>
    </row>
    <row r="699">
      <c r="A699" s="16"/>
      <c r="B699" s="16" t="str">
        <f>IFNA(VLOOKUP($A699,Towns!$A$2:$F1000,MATCH($B$1,Towns!$A$1:$F$1,0),false))</f>
        <v/>
      </c>
    </row>
    <row r="700">
      <c r="A700" s="16"/>
      <c r="B700" s="16" t="str">
        <f>IFNA(VLOOKUP($A700,Towns!$A$2:$F1000,MATCH($B$1,Towns!$A$1:$F$1,0),false))</f>
        <v/>
      </c>
    </row>
    <row r="701">
      <c r="A701" s="16"/>
      <c r="B701" s="16" t="str">
        <f>IFNA(VLOOKUP($A701,Towns!$A$2:$F1000,MATCH($B$1,Towns!$A$1:$F$1,0),false))</f>
        <v/>
      </c>
    </row>
    <row r="702">
      <c r="A702" s="16"/>
      <c r="B702" s="16" t="str">
        <f>IFNA(VLOOKUP($A702,Towns!$A$2:$F1000,MATCH($B$1,Towns!$A$1:$F$1,0),false))</f>
        <v/>
      </c>
    </row>
    <row r="703">
      <c r="A703" s="16"/>
      <c r="B703" s="16" t="str">
        <f>IFNA(VLOOKUP($A703,Towns!$A$2:$F1000,MATCH($B$1,Towns!$A$1:$F$1,0),false))</f>
        <v/>
      </c>
    </row>
    <row r="704">
      <c r="A704" s="16"/>
      <c r="B704" s="16" t="str">
        <f>IFNA(VLOOKUP($A704,Towns!$A$2:$F1000,MATCH($B$1,Towns!$A$1:$F$1,0),false))</f>
        <v/>
      </c>
    </row>
    <row r="705">
      <c r="A705" s="16"/>
      <c r="B705" s="16" t="str">
        <f>IFNA(VLOOKUP($A705,Towns!$A$2:$F1000,MATCH($B$1,Towns!$A$1:$F$1,0),false))</f>
        <v/>
      </c>
    </row>
    <row r="706">
      <c r="A706" s="16"/>
      <c r="B706" s="16" t="str">
        <f>IFNA(VLOOKUP($A706,Towns!$A$2:$F1000,MATCH($B$1,Towns!$A$1:$F$1,0),false))</f>
        <v/>
      </c>
    </row>
    <row r="707">
      <c r="A707" s="16"/>
      <c r="B707" s="16" t="str">
        <f>IFNA(VLOOKUP($A707,Towns!$A$2:$F1000,MATCH($B$1,Towns!$A$1:$F$1,0),false))</f>
        <v/>
      </c>
    </row>
    <row r="708">
      <c r="A708" s="16"/>
      <c r="B708" s="16" t="str">
        <f>IFNA(VLOOKUP($A708,Towns!$A$2:$F1000,MATCH($B$1,Towns!$A$1:$F$1,0),false))</f>
        <v/>
      </c>
    </row>
    <row r="709">
      <c r="A709" s="16"/>
      <c r="B709" s="16" t="str">
        <f>IFNA(VLOOKUP($A709,Towns!$A$2:$F1000,MATCH($B$1,Towns!$A$1:$F$1,0),false))</f>
        <v/>
      </c>
    </row>
    <row r="710">
      <c r="A710" s="16"/>
      <c r="B710" s="16" t="str">
        <f>IFNA(VLOOKUP($A710,Towns!$A$2:$F1000,MATCH($B$1,Towns!$A$1:$F$1,0),false))</f>
        <v/>
      </c>
    </row>
    <row r="711">
      <c r="A711" s="16"/>
      <c r="B711" s="16" t="str">
        <f>IFNA(VLOOKUP($A711,Towns!$A$2:$F1000,MATCH($B$1,Towns!$A$1:$F$1,0),false))</f>
        <v/>
      </c>
    </row>
    <row r="712">
      <c r="A712" s="16"/>
      <c r="B712" s="16" t="str">
        <f>IFNA(VLOOKUP($A712,Towns!$A$2:$F1000,MATCH($B$1,Towns!$A$1:$F$1,0),false))</f>
        <v/>
      </c>
    </row>
    <row r="713">
      <c r="A713" s="16"/>
      <c r="B713" s="16" t="str">
        <f>IFNA(VLOOKUP($A713,Towns!$A$2:$F1000,MATCH($B$1,Towns!$A$1:$F$1,0),false))</f>
        <v/>
      </c>
    </row>
    <row r="714">
      <c r="A714" s="16"/>
      <c r="B714" s="16" t="str">
        <f>IFNA(VLOOKUP($A714,Towns!$A$2:$F1000,MATCH($B$1,Towns!$A$1:$F$1,0),false))</f>
        <v/>
      </c>
    </row>
    <row r="715">
      <c r="A715" s="16"/>
      <c r="B715" s="16" t="str">
        <f>IFNA(VLOOKUP($A715,Towns!$A$2:$F1000,MATCH($B$1,Towns!$A$1:$F$1,0),false))</f>
        <v/>
      </c>
    </row>
    <row r="716">
      <c r="A716" s="16"/>
      <c r="B716" s="16" t="str">
        <f>IFNA(VLOOKUP($A716,Towns!$A$2:$F1000,MATCH($B$1,Towns!$A$1:$F$1,0),false))</f>
        <v/>
      </c>
    </row>
    <row r="717">
      <c r="A717" s="16"/>
      <c r="B717" s="16" t="str">
        <f>IFNA(VLOOKUP($A717,Towns!$A$2:$F1000,MATCH($B$1,Towns!$A$1:$F$1,0),false))</f>
        <v/>
      </c>
    </row>
    <row r="718">
      <c r="A718" s="16"/>
      <c r="B718" s="16" t="str">
        <f>IFNA(VLOOKUP($A718,Towns!$A$2:$F1000,MATCH($B$1,Towns!$A$1:$F$1,0),false))</f>
        <v/>
      </c>
    </row>
    <row r="719">
      <c r="A719" s="16"/>
      <c r="B719" s="16" t="str">
        <f>IFNA(VLOOKUP($A719,Towns!$A$2:$F1000,MATCH($B$1,Towns!$A$1:$F$1,0),false))</f>
        <v/>
      </c>
    </row>
    <row r="720">
      <c r="A720" s="16"/>
      <c r="B720" s="16" t="str">
        <f>IFNA(VLOOKUP($A720,Towns!$A$2:$F1000,MATCH($B$1,Towns!$A$1:$F$1,0),false))</f>
        <v/>
      </c>
    </row>
    <row r="721">
      <c r="A721" s="16"/>
      <c r="B721" s="16" t="str">
        <f>IFNA(VLOOKUP($A721,Towns!$A$2:$F1000,MATCH($B$1,Towns!$A$1:$F$1,0),false))</f>
        <v/>
      </c>
    </row>
    <row r="722">
      <c r="A722" s="16"/>
      <c r="B722" s="16" t="str">
        <f>IFNA(VLOOKUP($A722,Towns!$A$2:$F1000,MATCH($B$1,Towns!$A$1:$F$1,0),false))</f>
        <v/>
      </c>
    </row>
    <row r="723">
      <c r="A723" s="16"/>
      <c r="B723" s="16" t="str">
        <f>IFNA(VLOOKUP($A723,Towns!$A$2:$F1000,MATCH($B$1,Towns!$A$1:$F$1,0),false))</f>
        <v/>
      </c>
    </row>
    <row r="724">
      <c r="A724" s="16"/>
      <c r="B724" s="16" t="str">
        <f>IFNA(VLOOKUP($A724,Towns!$A$2:$F1000,MATCH($B$1,Towns!$A$1:$F$1,0),false))</f>
        <v/>
      </c>
    </row>
    <row r="725">
      <c r="A725" s="16"/>
      <c r="B725" s="16" t="str">
        <f>IFNA(VLOOKUP($A725,Towns!$A$2:$F1000,MATCH($B$1,Towns!$A$1:$F$1,0),false))</f>
        <v/>
      </c>
    </row>
    <row r="726">
      <c r="A726" s="16"/>
      <c r="B726" s="16" t="str">
        <f>IFNA(VLOOKUP($A726,Towns!$A$2:$F1000,MATCH($B$1,Towns!$A$1:$F$1,0),false))</f>
        <v/>
      </c>
    </row>
    <row r="727">
      <c r="A727" s="16"/>
      <c r="B727" s="16" t="str">
        <f>IFNA(VLOOKUP($A727,Towns!$A$2:$F1000,MATCH($B$1,Towns!$A$1:$F$1,0),false))</f>
        <v/>
      </c>
    </row>
    <row r="728">
      <c r="A728" s="16"/>
      <c r="B728" s="16" t="str">
        <f>IFNA(VLOOKUP($A728,Towns!$A$2:$F1000,MATCH($B$1,Towns!$A$1:$F$1,0),false))</f>
        <v/>
      </c>
    </row>
    <row r="729">
      <c r="A729" s="16"/>
      <c r="B729" s="16" t="str">
        <f>IFNA(VLOOKUP($A729,Towns!$A$2:$F1000,MATCH($B$1,Towns!$A$1:$F$1,0),false))</f>
        <v/>
      </c>
    </row>
    <row r="730">
      <c r="A730" s="16"/>
      <c r="B730" s="16" t="str">
        <f>IFNA(VLOOKUP($A730,Towns!$A$2:$F1000,MATCH($B$1,Towns!$A$1:$F$1,0),false))</f>
        <v/>
      </c>
    </row>
    <row r="731">
      <c r="A731" s="16"/>
      <c r="B731" s="16" t="str">
        <f>IFNA(VLOOKUP($A731,Towns!$A$2:$F1000,MATCH($B$1,Towns!$A$1:$F$1,0),false))</f>
        <v/>
      </c>
    </row>
    <row r="732">
      <c r="A732" s="16"/>
      <c r="B732" s="16" t="str">
        <f>IFNA(VLOOKUP($A732,Towns!$A$2:$F1000,MATCH($B$1,Towns!$A$1:$F$1,0),false))</f>
        <v/>
      </c>
    </row>
    <row r="733">
      <c r="A733" s="16"/>
      <c r="B733" s="16" t="str">
        <f>IFNA(VLOOKUP($A733,Towns!$A$2:$F1000,MATCH($B$1,Towns!$A$1:$F$1,0),false))</f>
        <v/>
      </c>
    </row>
    <row r="734">
      <c r="A734" s="16"/>
      <c r="B734" s="16" t="str">
        <f>IFNA(VLOOKUP($A734,Towns!$A$2:$F1000,MATCH($B$1,Towns!$A$1:$F$1,0),false))</f>
        <v/>
      </c>
    </row>
    <row r="735">
      <c r="A735" s="16"/>
      <c r="B735" s="16" t="str">
        <f>IFNA(VLOOKUP($A735,Towns!$A$2:$F1000,MATCH($B$1,Towns!$A$1:$F$1,0),false))</f>
        <v/>
      </c>
    </row>
    <row r="736">
      <c r="A736" s="16"/>
      <c r="B736" s="16" t="str">
        <f>IFNA(VLOOKUP($A736,Towns!$A$2:$F1000,MATCH($B$1,Towns!$A$1:$F$1,0),false))</f>
        <v/>
      </c>
    </row>
    <row r="737">
      <c r="A737" s="16"/>
      <c r="B737" s="16" t="str">
        <f>IFNA(VLOOKUP($A737,Towns!$A$2:$F1000,MATCH($B$1,Towns!$A$1:$F$1,0),false))</f>
        <v/>
      </c>
    </row>
    <row r="738">
      <c r="A738" s="16"/>
      <c r="B738" s="16" t="str">
        <f>IFNA(VLOOKUP($A738,Towns!$A$2:$F1000,MATCH($B$1,Towns!$A$1:$F$1,0),false))</f>
        <v/>
      </c>
    </row>
    <row r="739">
      <c r="A739" s="16"/>
      <c r="B739" s="16" t="str">
        <f>IFNA(VLOOKUP($A739,Towns!$A$2:$F1000,MATCH($B$1,Towns!$A$1:$F$1,0),false))</f>
        <v/>
      </c>
    </row>
    <row r="740">
      <c r="A740" s="16"/>
      <c r="B740" s="16" t="str">
        <f>IFNA(VLOOKUP($A740,Towns!$A$2:$F1000,MATCH($B$1,Towns!$A$1:$F$1,0),false))</f>
        <v/>
      </c>
    </row>
    <row r="741">
      <c r="A741" s="16"/>
      <c r="B741" s="16" t="str">
        <f>IFNA(VLOOKUP($A741,Towns!$A$2:$F1000,MATCH($B$1,Towns!$A$1:$F$1,0),false))</f>
        <v/>
      </c>
    </row>
    <row r="742">
      <c r="A742" s="16"/>
      <c r="B742" s="16" t="str">
        <f>IFNA(VLOOKUP($A742,Towns!$A$2:$F1000,MATCH($B$1,Towns!$A$1:$F$1,0),false))</f>
        <v/>
      </c>
    </row>
    <row r="743">
      <c r="A743" s="16"/>
      <c r="B743" s="16" t="str">
        <f>IFNA(VLOOKUP($A743,Towns!$A$2:$F1000,MATCH($B$1,Towns!$A$1:$F$1,0),false))</f>
        <v/>
      </c>
    </row>
    <row r="744">
      <c r="A744" s="16"/>
      <c r="B744" s="16" t="str">
        <f>IFNA(VLOOKUP($A744,Towns!$A$2:$F1000,MATCH($B$1,Towns!$A$1:$F$1,0),false))</f>
        <v/>
      </c>
    </row>
    <row r="745">
      <c r="A745" s="16"/>
      <c r="B745" s="16" t="str">
        <f>IFNA(VLOOKUP($A745,Towns!$A$2:$F1000,MATCH($B$1,Towns!$A$1:$F$1,0),false))</f>
        <v/>
      </c>
    </row>
    <row r="746">
      <c r="A746" s="16"/>
      <c r="B746" s="16" t="str">
        <f>IFNA(VLOOKUP($A746,Towns!$A$2:$F1000,MATCH($B$1,Towns!$A$1:$F$1,0),false))</f>
        <v/>
      </c>
    </row>
    <row r="747">
      <c r="A747" s="16"/>
      <c r="B747" s="16" t="str">
        <f>IFNA(VLOOKUP($A747,Towns!$A$2:$F1000,MATCH($B$1,Towns!$A$1:$F$1,0),false))</f>
        <v/>
      </c>
    </row>
    <row r="748">
      <c r="A748" s="16"/>
      <c r="B748" s="16" t="str">
        <f>IFNA(VLOOKUP($A748,Towns!$A$2:$F1000,MATCH($B$1,Towns!$A$1:$F$1,0),false))</f>
        <v/>
      </c>
    </row>
    <row r="749">
      <c r="A749" s="16"/>
      <c r="B749" s="16" t="str">
        <f>IFNA(VLOOKUP($A749,Towns!$A$2:$F1000,MATCH($B$1,Towns!$A$1:$F$1,0),false))</f>
        <v/>
      </c>
    </row>
    <row r="750">
      <c r="A750" s="16"/>
      <c r="B750" s="16" t="str">
        <f>IFNA(VLOOKUP($A750,Towns!$A$2:$F1000,MATCH($B$1,Towns!$A$1:$F$1,0),false))</f>
        <v/>
      </c>
    </row>
    <row r="751">
      <c r="A751" s="16"/>
      <c r="B751" s="16" t="str">
        <f>IFNA(VLOOKUP($A751,Towns!$A$2:$F1000,MATCH($B$1,Towns!$A$1:$F$1,0),false))</f>
        <v/>
      </c>
    </row>
    <row r="752">
      <c r="A752" s="16"/>
      <c r="B752" s="16" t="str">
        <f>IFNA(VLOOKUP($A752,Towns!$A$2:$F1000,MATCH($B$1,Towns!$A$1:$F$1,0),false))</f>
        <v/>
      </c>
    </row>
    <row r="753">
      <c r="A753" s="16"/>
      <c r="B753" s="16" t="str">
        <f>IFNA(VLOOKUP($A753,Towns!$A$2:$F1000,MATCH($B$1,Towns!$A$1:$F$1,0),false))</f>
        <v/>
      </c>
    </row>
    <row r="754">
      <c r="A754" s="16"/>
      <c r="B754" s="16" t="str">
        <f>IFNA(VLOOKUP($A754,Towns!$A$2:$F1000,MATCH($B$1,Towns!$A$1:$F$1,0),false))</f>
        <v/>
      </c>
    </row>
    <row r="755">
      <c r="A755" s="16"/>
      <c r="B755" s="16" t="str">
        <f>IFNA(VLOOKUP($A755,Towns!$A$2:$F1000,MATCH($B$1,Towns!$A$1:$F$1,0),false))</f>
        <v/>
      </c>
    </row>
    <row r="756">
      <c r="A756" s="16"/>
      <c r="B756" s="16" t="str">
        <f>IFNA(VLOOKUP($A756,Towns!$A$2:$F1000,MATCH($B$1,Towns!$A$1:$F$1,0),false))</f>
        <v/>
      </c>
    </row>
    <row r="757">
      <c r="A757" s="16"/>
      <c r="B757" s="16" t="str">
        <f>IFNA(VLOOKUP($A757,Towns!$A$2:$F1000,MATCH($B$1,Towns!$A$1:$F$1,0),false))</f>
        <v/>
      </c>
    </row>
    <row r="758">
      <c r="A758" s="16"/>
      <c r="B758" s="16" t="str">
        <f>IFNA(VLOOKUP($A758,Towns!$A$2:$F1000,MATCH($B$1,Towns!$A$1:$F$1,0),false))</f>
        <v/>
      </c>
    </row>
    <row r="759">
      <c r="A759" s="16"/>
      <c r="B759" s="16" t="str">
        <f>IFNA(VLOOKUP($A759,Towns!$A$2:$F1000,MATCH($B$1,Towns!$A$1:$F$1,0),false))</f>
        <v/>
      </c>
    </row>
    <row r="760">
      <c r="A760" s="16"/>
      <c r="B760" s="16" t="str">
        <f>IFNA(VLOOKUP($A760,Towns!$A$2:$F1000,MATCH($B$1,Towns!$A$1:$F$1,0),false))</f>
        <v/>
      </c>
    </row>
    <row r="761">
      <c r="A761" s="16"/>
      <c r="B761" s="16" t="str">
        <f>IFNA(VLOOKUP($A761,Towns!$A$2:$F1000,MATCH($B$1,Towns!$A$1:$F$1,0),false))</f>
        <v/>
      </c>
    </row>
    <row r="762">
      <c r="A762" s="16"/>
      <c r="B762" s="16" t="str">
        <f>IFNA(VLOOKUP($A762,Towns!$A$2:$F1000,MATCH($B$1,Towns!$A$1:$F$1,0),false))</f>
        <v/>
      </c>
    </row>
    <row r="763">
      <c r="A763" s="16"/>
      <c r="B763" s="16" t="str">
        <f>IFNA(VLOOKUP($A763,Towns!$A$2:$F1000,MATCH($B$1,Towns!$A$1:$F$1,0),false))</f>
        <v/>
      </c>
    </row>
    <row r="764">
      <c r="A764" s="16"/>
      <c r="B764" s="16" t="str">
        <f>IFNA(VLOOKUP($A764,Towns!$A$2:$F1000,MATCH($B$1,Towns!$A$1:$F$1,0),false))</f>
        <v/>
      </c>
    </row>
    <row r="765">
      <c r="A765" s="16"/>
      <c r="B765" s="16" t="str">
        <f>IFNA(VLOOKUP($A765,Towns!$A$2:$F1000,MATCH($B$1,Towns!$A$1:$F$1,0),false))</f>
        <v/>
      </c>
    </row>
    <row r="766">
      <c r="A766" s="16"/>
      <c r="B766" s="16" t="str">
        <f>IFNA(VLOOKUP($A766,Towns!$A$2:$F1000,MATCH($B$1,Towns!$A$1:$F$1,0),false))</f>
        <v/>
      </c>
    </row>
    <row r="767">
      <c r="A767" s="16"/>
      <c r="B767" s="16" t="str">
        <f>IFNA(VLOOKUP($A767,Towns!$A$2:$F1000,MATCH($B$1,Towns!$A$1:$F$1,0),false))</f>
        <v/>
      </c>
    </row>
    <row r="768">
      <c r="A768" s="16"/>
      <c r="B768" s="16" t="str">
        <f>IFNA(VLOOKUP($A768,Towns!$A$2:$F1000,MATCH($B$1,Towns!$A$1:$F$1,0),false))</f>
        <v/>
      </c>
    </row>
    <row r="769">
      <c r="A769" s="16"/>
      <c r="B769" s="16" t="str">
        <f>IFNA(VLOOKUP($A769,Towns!$A$2:$F1000,MATCH($B$1,Towns!$A$1:$F$1,0),false))</f>
        <v/>
      </c>
    </row>
    <row r="770">
      <c r="A770" s="16"/>
      <c r="B770" s="16" t="str">
        <f>IFNA(VLOOKUP($A770,Towns!$A$2:$F1000,MATCH($B$1,Towns!$A$1:$F$1,0),false))</f>
        <v/>
      </c>
    </row>
    <row r="771">
      <c r="A771" s="16"/>
      <c r="B771" s="16" t="str">
        <f>IFNA(VLOOKUP($A771,Towns!$A$2:$F1000,MATCH($B$1,Towns!$A$1:$F$1,0),false))</f>
        <v/>
      </c>
    </row>
    <row r="772">
      <c r="A772" s="16"/>
      <c r="B772" s="16" t="str">
        <f>IFNA(VLOOKUP($A772,Towns!$A$2:$F1000,MATCH($B$1,Towns!$A$1:$F$1,0),false))</f>
        <v/>
      </c>
    </row>
    <row r="773">
      <c r="A773" s="16"/>
      <c r="B773" s="16" t="str">
        <f>IFNA(VLOOKUP($A773,Towns!$A$2:$F1000,MATCH($B$1,Towns!$A$1:$F$1,0),false))</f>
        <v/>
      </c>
    </row>
    <row r="774">
      <c r="A774" s="16"/>
      <c r="B774" s="16" t="str">
        <f>IFNA(VLOOKUP($A774,Towns!$A$2:$F1000,MATCH($B$1,Towns!$A$1:$F$1,0),false))</f>
        <v/>
      </c>
    </row>
    <row r="775">
      <c r="A775" s="16"/>
      <c r="B775" s="16" t="str">
        <f>IFNA(VLOOKUP($A775,Towns!$A$2:$F1000,MATCH($B$1,Towns!$A$1:$F$1,0),false))</f>
        <v/>
      </c>
    </row>
    <row r="776">
      <c r="A776" s="16"/>
      <c r="B776" s="16" t="str">
        <f>IFNA(VLOOKUP($A776,Towns!$A$2:$F1000,MATCH($B$1,Towns!$A$1:$F$1,0),false))</f>
        <v/>
      </c>
    </row>
    <row r="777">
      <c r="A777" s="16"/>
      <c r="B777" s="16" t="str">
        <f>IFNA(VLOOKUP($A777,Towns!$A$2:$F1000,MATCH($B$1,Towns!$A$1:$F$1,0),false))</f>
        <v/>
      </c>
    </row>
    <row r="778">
      <c r="A778" s="16"/>
      <c r="B778" s="16" t="str">
        <f>IFNA(VLOOKUP($A778,Towns!$A$2:$F1000,MATCH($B$1,Towns!$A$1:$F$1,0),false))</f>
        <v/>
      </c>
    </row>
    <row r="779">
      <c r="A779" s="16"/>
      <c r="B779" s="16" t="str">
        <f>IFNA(VLOOKUP($A779,Towns!$A$2:$F1000,MATCH($B$1,Towns!$A$1:$F$1,0),false))</f>
        <v/>
      </c>
    </row>
    <row r="780">
      <c r="A780" s="16"/>
      <c r="B780" s="16" t="str">
        <f>IFNA(VLOOKUP($A780,Towns!$A$2:$F1000,MATCH($B$1,Towns!$A$1:$F$1,0),false))</f>
        <v/>
      </c>
    </row>
    <row r="781">
      <c r="A781" s="16"/>
      <c r="B781" s="16" t="str">
        <f>IFNA(VLOOKUP($A781,Towns!$A$2:$F1000,MATCH($B$1,Towns!$A$1:$F$1,0),false))</f>
        <v/>
      </c>
    </row>
    <row r="782">
      <c r="A782" s="16"/>
      <c r="B782" s="16" t="str">
        <f>IFNA(VLOOKUP($A782,Towns!$A$2:$F1000,MATCH($B$1,Towns!$A$1:$F$1,0),false))</f>
        <v/>
      </c>
    </row>
    <row r="783">
      <c r="A783" s="16"/>
      <c r="B783" s="16" t="str">
        <f>IFNA(VLOOKUP($A783,Towns!$A$2:$F1000,MATCH($B$1,Towns!$A$1:$F$1,0),false))</f>
        <v/>
      </c>
    </row>
    <row r="784">
      <c r="A784" s="16"/>
      <c r="B784" s="16" t="str">
        <f>IFNA(VLOOKUP($A784,Towns!$A$2:$F1000,MATCH($B$1,Towns!$A$1:$F$1,0),false))</f>
        <v/>
      </c>
    </row>
    <row r="785">
      <c r="A785" s="16"/>
      <c r="B785" s="16" t="str">
        <f>IFNA(VLOOKUP($A785,Towns!$A$2:$F1000,MATCH($B$1,Towns!$A$1:$F$1,0),false))</f>
        <v/>
      </c>
    </row>
    <row r="786">
      <c r="A786" s="16"/>
      <c r="B786" s="16" t="str">
        <f>IFNA(VLOOKUP($A786,Towns!$A$2:$F1000,MATCH($B$1,Towns!$A$1:$F$1,0),false))</f>
        <v/>
      </c>
    </row>
    <row r="787">
      <c r="A787" s="16"/>
      <c r="B787" s="16" t="str">
        <f>IFNA(VLOOKUP($A787,Towns!$A$2:$F1000,MATCH($B$1,Towns!$A$1:$F$1,0),false))</f>
        <v/>
      </c>
    </row>
    <row r="788">
      <c r="A788" s="16"/>
      <c r="B788" s="16" t="str">
        <f>IFNA(VLOOKUP($A788,Towns!$A$2:$F1000,MATCH($B$1,Towns!$A$1:$F$1,0),false))</f>
        <v/>
      </c>
    </row>
    <row r="789">
      <c r="A789" s="16"/>
      <c r="B789" s="16" t="str">
        <f>IFNA(VLOOKUP($A789,Towns!$A$2:$F1000,MATCH($B$1,Towns!$A$1:$F$1,0),false))</f>
        <v/>
      </c>
    </row>
    <row r="790">
      <c r="A790" s="16"/>
      <c r="B790" s="16" t="str">
        <f>IFNA(VLOOKUP($A790,Towns!$A$2:$F1000,MATCH($B$1,Towns!$A$1:$F$1,0),false))</f>
        <v/>
      </c>
    </row>
    <row r="791">
      <c r="A791" s="16"/>
      <c r="B791" s="16" t="str">
        <f>IFNA(VLOOKUP($A791,Towns!$A$2:$F1000,MATCH($B$1,Towns!$A$1:$F$1,0),false))</f>
        <v/>
      </c>
    </row>
    <row r="792">
      <c r="A792" s="16"/>
      <c r="B792" s="16" t="str">
        <f>IFNA(VLOOKUP($A792,Towns!$A$2:$F1000,MATCH($B$1,Towns!$A$1:$F$1,0),false))</f>
        <v/>
      </c>
    </row>
    <row r="793">
      <c r="A793" s="16"/>
      <c r="B793" s="16" t="str">
        <f>IFNA(VLOOKUP($A793,Towns!$A$2:$F1000,MATCH($B$1,Towns!$A$1:$F$1,0),false))</f>
        <v/>
      </c>
    </row>
    <row r="794">
      <c r="A794" s="16"/>
      <c r="B794" s="16" t="str">
        <f>IFNA(VLOOKUP($A794,Towns!$A$2:$F1000,MATCH($B$1,Towns!$A$1:$F$1,0),false))</f>
        <v/>
      </c>
    </row>
    <row r="795">
      <c r="A795" s="16"/>
      <c r="B795" s="16" t="str">
        <f>IFNA(VLOOKUP($A795,Towns!$A$2:$F1000,MATCH($B$1,Towns!$A$1:$F$1,0),false))</f>
        <v/>
      </c>
    </row>
    <row r="796">
      <c r="A796" s="16"/>
      <c r="B796" s="16" t="str">
        <f>IFNA(VLOOKUP($A796,Towns!$A$2:$F1000,MATCH($B$1,Towns!$A$1:$F$1,0),false))</f>
        <v/>
      </c>
    </row>
    <row r="797">
      <c r="A797" s="16"/>
      <c r="B797" s="16" t="str">
        <f>IFNA(VLOOKUP($A797,Towns!$A$2:$F1000,MATCH($B$1,Towns!$A$1:$F$1,0),false))</f>
        <v/>
      </c>
    </row>
    <row r="798">
      <c r="A798" s="16"/>
      <c r="B798" s="16" t="str">
        <f>IFNA(VLOOKUP($A798,Towns!$A$2:$F1000,MATCH($B$1,Towns!$A$1:$F$1,0),false))</f>
        <v/>
      </c>
    </row>
    <row r="799">
      <c r="A799" s="16"/>
      <c r="B799" s="16" t="str">
        <f>IFNA(VLOOKUP($A799,Towns!$A$2:$F1000,MATCH($B$1,Towns!$A$1:$F$1,0),false))</f>
        <v/>
      </c>
    </row>
    <row r="800">
      <c r="A800" s="16"/>
      <c r="B800" s="16" t="str">
        <f>IFNA(VLOOKUP($A800,Towns!$A$2:$F1000,MATCH($B$1,Towns!$A$1:$F$1,0),false))</f>
        <v/>
      </c>
    </row>
    <row r="801">
      <c r="A801" s="16"/>
      <c r="B801" s="16" t="str">
        <f>IFNA(VLOOKUP($A801,Towns!$A$2:$F1000,MATCH($B$1,Towns!$A$1:$F$1,0),false))</f>
        <v/>
      </c>
    </row>
    <row r="802">
      <c r="A802" s="16"/>
      <c r="B802" s="16" t="str">
        <f>IFNA(VLOOKUP($A802,Towns!$A$2:$F1000,MATCH($B$1,Towns!$A$1:$F$1,0),false))</f>
        <v/>
      </c>
    </row>
    <row r="803">
      <c r="A803" s="16"/>
      <c r="B803" s="16" t="str">
        <f>IFNA(VLOOKUP($A803,Towns!$A$2:$F1000,MATCH($B$1,Towns!$A$1:$F$1,0),false))</f>
        <v/>
      </c>
    </row>
    <row r="804">
      <c r="A804" s="16"/>
      <c r="B804" s="16" t="str">
        <f>IFNA(VLOOKUP($A804,Towns!$A$2:$F1000,MATCH($B$1,Towns!$A$1:$F$1,0),false))</f>
        <v/>
      </c>
    </row>
    <row r="805">
      <c r="A805" s="16"/>
      <c r="B805" s="16" t="str">
        <f>IFNA(VLOOKUP($A805,Towns!$A$2:$F1000,MATCH($B$1,Towns!$A$1:$F$1,0),false))</f>
        <v/>
      </c>
    </row>
    <row r="806">
      <c r="A806" s="16"/>
      <c r="B806" s="16" t="str">
        <f>IFNA(VLOOKUP($A806,Towns!$A$2:$F1000,MATCH($B$1,Towns!$A$1:$F$1,0),false))</f>
        <v/>
      </c>
    </row>
    <row r="807">
      <c r="A807" s="16"/>
      <c r="B807" s="16" t="str">
        <f>IFNA(VLOOKUP($A807,Towns!$A$2:$F1000,MATCH($B$1,Towns!$A$1:$F$1,0),false))</f>
        <v/>
      </c>
    </row>
    <row r="808">
      <c r="A808" s="16"/>
      <c r="B808" s="16" t="str">
        <f>IFNA(VLOOKUP($A808,Towns!$A$2:$F1000,MATCH($B$1,Towns!$A$1:$F$1,0),false))</f>
        <v/>
      </c>
    </row>
    <row r="809">
      <c r="A809" s="16"/>
      <c r="B809" s="16" t="str">
        <f>IFNA(VLOOKUP($A809,Towns!$A$2:$F1000,MATCH($B$1,Towns!$A$1:$F$1,0),false))</f>
        <v/>
      </c>
    </row>
    <row r="810">
      <c r="A810" s="16"/>
      <c r="B810" s="16" t="str">
        <f>IFNA(VLOOKUP($A810,Towns!$A$2:$F1000,MATCH($B$1,Towns!$A$1:$F$1,0),false))</f>
        <v/>
      </c>
    </row>
    <row r="811">
      <c r="A811" s="16"/>
      <c r="B811" s="16" t="str">
        <f>IFNA(VLOOKUP($A811,Towns!$A$2:$F1000,MATCH($B$1,Towns!$A$1:$F$1,0),false))</f>
        <v/>
      </c>
    </row>
    <row r="812">
      <c r="A812" s="16"/>
      <c r="B812" s="16" t="str">
        <f>IFNA(VLOOKUP($A812,Towns!$A$2:$F1000,MATCH($B$1,Towns!$A$1:$F$1,0),false))</f>
        <v/>
      </c>
    </row>
    <row r="813">
      <c r="A813" s="16"/>
      <c r="B813" s="16" t="str">
        <f>IFNA(VLOOKUP($A813,Towns!$A$2:$F1000,MATCH($B$1,Towns!$A$1:$F$1,0),false))</f>
        <v/>
      </c>
    </row>
    <row r="814">
      <c r="A814" s="16"/>
      <c r="B814" s="16" t="str">
        <f>IFNA(VLOOKUP($A814,Towns!$A$2:$F1000,MATCH($B$1,Towns!$A$1:$F$1,0),false))</f>
        <v/>
      </c>
    </row>
    <row r="815">
      <c r="A815" s="16"/>
      <c r="B815" s="16" t="str">
        <f>IFNA(VLOOKUP($A815,Towns!$A$2:$F1000,MATCH($B$1,Towns!$A$1:$F$1,0),false))</f>
        <v/>
      </c>
    </row>
    <row r="816">
      <c r="A816" s="16"/>
      <c r="B816" s="16" t="str">
        <f>IFNA(VLOOKUP($A816,Towns!$A$2:$F1000,MATCH($B$1,Towns!$A$1:$F$1,0),false))</f>
        <v/>
      </c>
    </row>
    <row r="817">
      <c r="A817" s="16"/>
      <c r="B817" s="16" t="str">
        <f>IFNA(VLOOKUP($A817,Towns!$A$2:$F1000,MATCH($B$1,Towns!$A$1:$F$1,0),false))</f>
        <v/>
      </c>
    </row>
    <row r="818">
      <c r="A818" s="16"/>
      <c r="B818" s="16" t="str">
        <f>IFNA(VLOOKUP($A818,Towns!$A$2:$F1000,MATCH($B$1,Towns!$A$1:$F$1,0),false))</f>
        <v/>
      </c>
    </row>
    <row r="819">
      <c r="A819" s="16"/>
      <c r="B819" s="16" t="str">
        <f>IFNA(VLOOKUP($A819,Towns!$A$2:$F1000,MATCH($B$1,Towns!$A$1:$F$1,0),false))</f>
        <v/>
      </c>
    </row>
    <row r="820">
      <c r="A820" s="16"/>
      <c r="B820" s="16" t="str">
        <f>IFNA(VLOOKUP($A820,Towns!$A$2:$F1000,MATCH($B$1,Towns!$A$1:$F$1,0),false))</f>
        <v/>
      </c>
    </row>
    <row r="821">
      <c r="A821" s="16"/>
      <c r="B821" s="16" t="str">
        <f>IFNA(VLOOKUP($A821,Towns!$A$2:$F1000,MATCH($B$1,Towns!$A$1:$F$1,0),false))</f>
        <v/>
      </c>
    </row>
    <row r="822">
      <c r="A822" s="16"/>
      <c r="B822" s="16" t="str">
        <f>IFNA(VLOOKUP($A822,Towns!$A$2:$F1000,MATCH($B$1,Towns!$A$1:$F$1,0),false))</f>
        <v/>
      </c>
    </row>
    <row r="823">
      <c r="A823" s="16"/>
      <c r="B823" s="16" t="str">
        <f>IFNA(VLOOKUP($A823,Towns!$A$2:$F1000,MATCH($B$1,Towns!$A$1:$F$1,0),false))</f>
        <v/>
      </c>
    </row>
    <row r="824">
      <c r="A824" s="16"/>
      <c r="B824" s="16" t="str">
        <f>IFNA(VLOOKUP($A824,Towns!$A$2:$F1000,MATCH($B$1,Towns!$A$1:$F$1,0),false))</f>
        <v/>
      </c>
    </row>
    <row r="825">
      <c r="A825" s="16"/>
      <c r="B825" s="16" t="str">
        <f>IFNA(VLOOKUP($A825,Towns!$A$2:$F1000,MATCH($B$1,Towns!$A$1:$F$1,0),false))</f>
        <v/>
      </c>
    </row>
    <row r="826">
      <c r="A826" s="16"/>
      <c r="B826" s="16" t="str">
        <f>IFNA(VLOOKUP($A826,Towns!$A$2:$F1000,MATCH($B$1,Towns!$A$1:$F$1,0),false))</f>
        <v/>
      </c>
    </row>
    <row r="827">
      <c r="A827" s="16"/>
      <c r="B827" s="16" t="str">
        <f>IFNA(VLOOKUP($A827,Towns!$A$2:$F1000,MATCH($B$1,Towns!$A$1:$F$1,0),false))</f>
        <v/>
      </c>
    </row>
    <row r="828">
      <c r="A828" s="16"/>
      <c r="B828" s="16" t="str">
        <f>IFNA(VLOOKUP($A828,Towns!$A$2:$F1000,MATCH($B$1,Towns!$A$1:$F$1,0),false))</f>
        <v/>
      </c>
    </row>
    <row r="829">
      <c r="A829" s="16"/>
      <c r="B829" s="16" t="str">
        <f>IFNA(VLOOKUP($A829,Towns!$A$2:$F1000,MATCH($B$1,Towns!$A$1:$F$1,0),false))</f>
        <v/>
      </c>
    </row>
    <row r="830">
      <c r="A830" s="16"/>
      <c r="B830" s="16" t="str">
        <f>IFNA(VLOOKUP($A830,Towns!$A$2:$F1000,MATCH($B$1,Towns!$A$1:$F$1,0),false))</f>
        <v/>
      </c>
    </row>
    <row r="831">
      <c r="A831" s="16"/>
      <c r="B831" s="16" t="str">
        <f>IFNA(VLOOKUP($A831,Towns!$A$2:$F1000,MATCH($B$1,Towns!$A$1:$F$1,0),false))</f>
        <v/>
      </c>
    </row>
    <row r="832">
      <c r="A832" s="16"/>
      <c r="B832" s="16" t="str">
        <f>IFNA(VLOOKUP($A832,Towns!$A$2:$F1000,MATCH($B$1,Towns!$A$1:$F$1,0),false))</f>
        <v/>
      </c>
    </row>
    <row r="833">
      <c r="A833" s="16"/>
      <c r="B833" s="16" t="str">
        <f>IFNA(VLOOKUP($A833,Towns!$A$2:$F1000,MATCH($B$1,Towns!$A$1:$F$1,0),false))</f>
        <v/>
      </c>
    </row>
    <row r="834">
      <c r="A834" s="16"/>
      <c r="B834" s="16" t="str">
        <f>IFNA(VLOOKUP($A834,Towns!$A$2:$F1000,MATCH($B$1,Towns!$A$1:$F$1,0),false))</f>
        <v/>
      </c>
    </row>
    <row r="835">
      <c r="A835" s="16"/>
      <c r="B835" s="16" t="str">
        <f>IFNA(VLOOKUP($A835,Towns!$A$2:$F1000,MATCH($B$1,Towns!$A$1:$F$1,0),false))</f>
        <v/>
      </c>
    </row>
    <row r="836">
      <c r="A836" s="16"/>
      <c r="B836" s="16" t="str">
        <f>IFNA(VLOOKUP($A836,Towns!$A$2:$F1000,MATCH($B$1,Towns!$A$1:$F$1,0),false))</f>
        <v/>
      </c>
    </row>
    <row r="837">
      <c r="A837" s="16"/>
      <c r="B837" s="16" t="str">
        <f>IFNA(VLOOKUP($A837,Towns!$A$2:$F1000,MATCH($B$1,Towns!$A$1:$F$1,0),false))</f>
        <v/>
      </c>
    </row>
    <row r="838">
      <c r="A838" s="16"/>
      <c r="B838" s="16" t="str">
        <f>IFNA(VLOOKUP($A838,Towns!$A$2:$F1000,MATCH($B$1,Towns!$A$1:$F$1,0),false))</f>
        <v/>
      </c>
    </row>
    <row r="839">
      <c r="A839" s="16"/>
      <c r="B839" s="16" t="str">
        <f>IFNA(VLOOKUP($A839,Towns!$A$2:$F1000,MATCH($B$1,Towns!$A$1:$F$1,0),false))</f>
        <v/>
      </c>
    </row>
    <row r="840">
      <c r="A840" s="16"/>
      <c r="B840" s="16" t="str">
        <f>IFNA(VLOOKUP($A840,Towns!$A$2:$F1000,MATCH($B$1,Towns!$A$1:$F$1,0),false))</f>
        <v/>
      </c>
    </row>
    <row r="841">
      <c r="A841" s="16"/>
      <c r="B841" s="16" t="str">
        <f>IFNA(VLOOKUP($A841,Towns!$A$2:$F1000,MATCH($B$1,Towns!$A$1:$F$1,0),false))</f>
        <v/>
      </c>
    </row>
    <row r="842">
      <c r="A842" s="16"/>
      <c r="B842" s="16" t="str">
        <f>IFNA(VLOOKUP($A842,Towns!$A$2:$F1000,MATCH($B$1,Towns!$A$1:$F$1,0),false))</f>
        <v/>
      </c>
    </row>
    <row r="843">
      <c r="A843" s="16"/>
      <c r="B843" s="16" t="str">
        <f>IFNA(VLOOKUP($A843,Towns!$A$2:$F1000,MATCH($B$1,Towns!$A$1:$F$1,0),false))</f>
        <v/>
      </c>
    </row>
    <row r="844">
      <c r="A844" s="16"/>
      <c r="B844" s="16" t="str">
        <f>IFNA(VLOOKUP($A844,Towns!$A$2:$F1000,MATCH($B$1,Towns!$A$1:$F$1,0),false))</f>
        <v/>
      </c>
    </row>
    <row r="845">
      <c r="A845" s="16"/>
      <c r="B845" s="16" t="str">
        <f>IFNA(VLOOKUP($A845,Towns!$A$2:$F1000,MATCH($B$1,Towns!$A$1:$F$1,0),false))</f>
        <v/>
      </c>
    </row>
    <row r="846">
      <c r="A846" s="16"/>
      <c r="B846" s="16" t="str">
        <f>IFNA(VLOOKUP($A846,Towns!$A$2:$F1000,MATCH($B$1,Towns!$A$1:$F$1,0),false))</f>
        <v/>
      </c>
    </row>
    <row r="847">
      <c r="A847" s="16"/>
      <c r="B847" s="16" t="str">
        <f>IFNA(VLOOKUP($A847,Towns!$A$2:$F1000,MATCH($B$1,Towns!$A$1:$F$1,0),false))</f>
        <v/>
      </c>
    </row>
    <row r="848">
      <c r="A848" s="16"/>
      <c r="B848" s="16" t="str">
        <f>IFNA(VLOOKUP($A848,Towns!$A$2:$F1000,MATCH($B$1,Towns!$A$1:$F$1,0),false))</f>
        <v/>
      </c>
    </row>
    <row r="849">
      <c r="A849" s="16"/>
      <c r="B849" s="16" t="str">
        <f>IFNA(VLOOKUP($A849,Towns!$A$2:$F1000,MATCH($B$1,Towns!$A$1:$F$1,0),false))</f>
        <v/>
      </c>
    </row>
    <row r="850">
      <c r="A850" s="16"/>
      <c r="B850" s="16" t="str">
        <f>IFNA(VLOOKUP($A850,Towns!$A$2:$F1000,MATCH($B$1,Towns!$A$1:$F$1,0),false))</f>
        <v/>
      </c>
    </row>
    <row r="851">
      <c r="A851" s="16"/>
      <c r="B851" s="16" t="str">
        <f>IFNA(VLOOKUP($A851,Towns!$A$2:$F1000,MATCH($B$1,Towns!$A$1:$F$1,0),false))</f>
        <v/>
      </c>
    </row>
    <row r="852">
      <c r="A852" s="16"/>
      <c r="B852" s="16" t="str">
        <f>IFNA(VLOOKUP($A852,Towns!$A$2:$F1000,MATCH($B$1,Towns!$A$1:$F$1,0),false))</f>
        <v/>
      </c>
    </row>
    <row r="853">
      <c r="A853" s="16"/>
      <c r="B853" s="16" t="str">
        <f>IFNA(VLOOKUP($A853,Towns!$A$2:$F1000,MATCH($B$1,Towns!$A$1:$F$1,0),false))</f>
        <v/>
      </c>
    </row>
    <row r="854">
      <c r="A854" s="16"/>
      <c r="B854" s="16" t="str">
        <f>IFNA(VLOOKUP($A854,Towns!$A$2:$F1000,MATCH($B$1,Towns!$A$1:$F$1,0),false))</f>
        <v/>
      </c>
    </row>
    <row r="855">
      <c r="A855" s="16"/>
      <c r="B855" s="16" t="str">
        <f>IFNA(VLOOKUP($A855,Towns!$A$2:$F1000,MATCH($B$1,Towns!$A$1:$F$1,0),false))</f>
        <v/>
      </c>
    </row>
    <row r="856">
      <c r="A856" s="16"/>
      <c r="B856" s="16" t="str">
        <f>IFNA(VLOOKUP($A856,Towns!$A$2:$F1000,MATCH($B$1,Towns!$A$1:$F$1,0),false))</f>
        <v/>
      </c>
    </row>
    <row r="857">
      <c r="A857" s="16"/>
      <c r="B857" s="16" t="str">
        <f>IFNA(VLOOKUP($A857,Towns!$A$2:$F1000,MATCH($B$1,Towns!$A$1:$F$1,0),false))</f>
        <v/>
      </c>
    </row>
    <row r="858">
      <c r="A858" s="16"/>
      <c r="B858" s="16" t="str">
        <f>IFNA(VLOOKUP($A858,Towns!$A$2:$F1000,MATCH($B$1,Towns!$A$1:$F$1,0),false))</f>
        <v/>
      </c>
    </row>
    <row r="859">
      <c r="A859" s="16"/>
      <c r="B859" s="16" t="str">
        <f>IFNA(VLOOKUP($A859,Towns!$A$2:$F1000,MATCH($B$1,Towns!$A$1:$F$1,0),false))</f>
        <v/>
      </c>
    </row>
    <row r="860">
      <c r="A860" s="16"/>
      <c r="B860" s="16" t="str">
        <f>IFNA(VLOOKUP($A860,Towns!$A$2:$F1000,MATCH($B$1,Towns!$A$1:$F$1,0),false))</f>
        <v/>
      </c>
    </row>
    <row r="861">
      <c r="A861" s="16"/>
      <c r="B861" s="16" t="str">
        <f>IFNA(VLOOKUP($A861,Towns!$A$2:$F1000,MATCH($B$1,Towns!$A$1:$F$1,0),false))</f>
        <v/>
      </c>
    </row>
    <row r="862">
      <c r="A862" s="16"/>
      <c r="B862" s="16" t="str">
        <f>IFNA(VLOOKUP($A862,Towns!$A$2:$F1000,MATCH($B$1,Towns!$A$1:$F$1,0),false))</f>
        <v/>
      </c>
    </row>
    <row r="863">
      <c r="A863" s="16"/>
      <c r="B863" s="16" t="str">
        <f>IFNA(VLOOKUP($A863,Towns!$A$2:$F1000,MATCH($B$1,Towns!$A$1:$F$1,0),false))</f>
        <v/>
      </c>
    </row>
    <row r="864">
      <c r="A864" s="16"/>
      <c r="B864" s="16" t="str">
        <f>IFNA(VLOOKUP($A864,Towns!$A$2:$F1000,MATCH($B$1,Towns!$A$1:$F$1,0),false))</f>
        <v/>
      </c>
    </row>
    <row r="865">
      <c r="A865" s="16"/>
      <c r="B865" s="16" t="str">
        <f>IFNA(VLOOKUP($A865,Towns!$A$2:$F1000,MATCH($B$1,Towns!$A$1:$F$1,0),false))</f>
        <v/>
      </c>
    </row>
    <row r="866">
      <c r="A866" s="16"/>
      <c r="B866" s="16" t="str">
        <f>IFNA(VLOOKUP($A866,Towns!$A$2:$F1000,MATCH($B$1,Towns!$A$1:$F$1,0),false))</f>
        <v/>
      </c>
    </row>
    <row r="867">
      <c r="A867" s="16"/>
      <c r="B867" s="16" t="str">
        <f>IFNA(VLOOKUP($A867,Towns!$A$2:$F1000,MATCH($B$1,Towns!$A$1:$F$1,0),false))</f>
        <v/>
      </c>
    </row>
    <row r="868">
      <c r="A868" s="16"/>
      <c r="B868" s="16" t="str">
        <f>IFNA(VLOOKUP($A868,Towns!$A$2:$F1000,MATCH($B$1,Towns!$A$1:$F$1,0),false))</f>
        <v/>
      </c>
    </row>
    <row r="869">
      <c r="A869" s="16"/>
      <c r="B869" s="16" t="str">
        <f>IFNA(VLOOKUP($A869,Towns!$A$2:$F1000,MATCH($B$1,Towns!$A$1:$F$1,0),false))</f>
        <v/>
      </c>
    </row>
    <row r="870">
      <c r="A870" s="16"/>
      <c r="B870" s="16" t="str">
        <f>IFNA(VLOOKUP($A870,Towns!$A$2:$F1000,MATCH($B$1,Towns!$A$1:$F$1,0),false))</f>
        <v/>
      </c>
    </row>
    <row r="871">
      <c r="A871" s="16"/>
      <c r="B871" s="16" t="str">
        <f>IFNA(VLOOKUP($A871,Towns!$A$2:$F1000,MATCH($B$1,Towns!$A$1:$F$1,0),false))</f>
        <v/>
      </c>
    </row>
    <row r="872">
      <c r="A872" s="16"/>
      <c r="B872" s="16" t="str">
        <f>IFNA(VLOOKUP($A872,Towns!$A$2:$F1000,MATCH($B$1,Towns!$A$1:$F$1,0),false))</f>
        <v/>
      </c>
    </row>
    <row r="873">
      <c r="A873" s="16"/>
      <c r="B873" s="16" t="str">
        <f>IFNA(VLOOKUP($A873,Towns!$A$2:$F1000,MATCH($B$1,Towns!$A$1:$F$1,0),false))</f>
        <v/>
      </c>
    </row>
    <row r="874">
      <c r="A874" s="16"/>
      <c r="B874" s="16" t="str">
        <f>IFNA(VLOOKUP($A874,Towns!$A$2:$F1000,MATCH($B$1,Towns!$A$1:$F$1,0),false))</f>
        <v/>
      </c>
    </row>
    <row r="875">
      <c r="A875" s="16"/>
      <c r="B875" s="16" t="str">
        <f>IFNA(VLOOKUP($A875,Towns!$A$2:$F1000,MATCH($B$1,Towns!$A$1:$F$1,0),false))</f>
        <v/>
      </c>
    </row>
    <row r="876">
      <c r="A876" s="16"/>
      <c r="B876" s="16" t="str">
        <f>IFNA(VLOOKUP($A876,Towns!$A$2:$F1000,MATCH($B$1,Towns!$A$1:$F$1,0),false))</f>
        <v/>
      </c>
    </row>
    <row r="877">
      <c r="A877" s="16"/>
      <c r="B877" s="16" t="str">
        <f>IFNA(VLOOKUP($A877,Towns!$A$2:$F1000,MATCH($B$1,Towns!$A$1:$F$1,0),false))</f>
        <v/>
      </c>
    </row>
    <row r="878">
      <c r="A878" s="16"/>
      <c r="B878" s="16" t="str">
        <f>IFNA(VLOOKUP($A878,Towns!$A$2:$F1000,MATCH($B$1,Towns!$A$1:$F$1,0),false))</f>
        <v/>
      </c>
    </row>
    <row r="879">
      <c r="A879" s="16"/>
      <c r="B879" s="16" t="str">
        <f>IFNA(VLOOKUP($A879,Towns!$A$2:$F1000,MATCH($B$1,Towns!$A$1:$F$1,0),false))</f>
        <v/>
      </c>
    </row>
    <row r="880">
      <c r="A880" s="16"/>
      <c r="B880" s="16" t="str">
        <f>IFNA(VLOOKUP($A880,Towns!$A$2:$F1000,MATCH($B$1,Towns!$A$1:$F$1,0),false))</f>
        <v/>
      </c>
    </row>
    <row r="881">
      <c r="A881" s="16"/>
      <c r="B881" s="16" t="str">
        <f>IFNA(VLOOKUP($A881,Towns!$A$2:$F1000,MATCH($B$1,Towns!$A$1:$F$1,0),false))</f>
        <v/>
      </c>
    </row>
    <row r="882">
      <c r="A882" s="16"/>
      <c r="B882" s="16" t="str">
        <f>IFNA(VLOOKUP($A882,Towns!$A$2:$F1000,MATCH($B$1,Towns!$A$1:$F$1,0),false))</f>
        <v/>
      </c>
    </row>
    <row r="883">
      <c r="A883" s="16"/>
      <c r="B883" s="16" t="str">
        <f>IFNA(VLOOKUP($A883,Towns!$A$2:$F1000,MATCH($B$1,Towns!$A$1:$F$1,0),false))</f>
        <v/>
      </c>
    </row>
    <row r="884">
      <c r="A884" s="16"/>
      <c r="B884" s="16" t="str">
        <f>IFNA(VLOOKUP($A884,Towns!$A$2:$F1000,MATCH($B$1,Towns!$A$1:$F$1,0),false))</f>
        <v/>
      </c>
    </row>
    <row r="885">
      <c r="A885" s="16"/>
      <c r="B885" s="16" t="str">
        <f>IFNA(VLOOKUP($A885,Towns!$A$2:$F1000,MATCH($B$1,Towns!$A$1:$F$1,0),false))</f>
        <v/>
      </c>
    </row>
    <row r="886">
      <c r="A886" s="16"/>
      <c r="B886" s="16" t="str">
        <f>IFNA(VLOOKUP($A886,Towns!$A$2:$F1000,MATCH($B$1,Towns!$A$1:$F$1,0),false))</f>
        <v/>
      </c>
    </row>
    <row r="887">
      <c r="A887" s="16"/>
      <c r="B887" s="16" t="str">
        <f>IFNA(VLOOKUP($A887,Towns!$A$2:$F1000,MATCH($B$1,Towns!$A$1:$F$1,0),false))</f>
        <v/>
      </c>
    </row>
    <row r="888">
      <c r="A888" s="16"/>
      <c r="B888" s="16" t="str">
        <f>IFNA(VLOOKUP($A888,Towns!$A$2:$F1000,MATCH($B$1,Towns!$A$1:$F$1,0),false))</f>
        <v/>
      </c>
    </row>
    <row r="889">
      <c r="A889" s="16"/>
      <c r="B889" s="16" t="str">
        <f>IFNA(VLOOKUP($A889,Towns!$A$2:$F1000,MATCH($B$1,Towns!$A$1:$F$1,0),false))</f>
        <v/>
      </c>
    </row>
    <row r="890">
      <c r="A890" s="16"/>
      <c r="B890" s="16" t="str">
        <f>IFNA(VLOOKUP($A890,Towns!$A$2:$F1000,MATCH($B$1,Towns!$A$1:$F$1,0),false))</f>
        <v/>
      </c>
    </row>
    <row r="891">
      <c r="A891" s="16"/>
      <c r="B891" s="16" t="str">
        <f>IFNA(VLOOKUP($A891,Towns!$A$2:$F1000,MATCH($B$1,Towns!$A$1:$F$1,0),false))</f>
        <v/>
      </c>
    </row>
    <row r="892">
      <c r="A892" s="16"/>
      <c r="B892" s="16" t="str">
        <f>IFNA(VLOOKUP($A892,Towns!$A$2:$F1000,MATCH($B$1,Towns!$A$1:$F$1,0),false))</f>
        <v/>
      </c>
    </row>
    <row r="893">
      <c r="A893" s="16"/>
      <c r="B893" s="16" t="str">
        <f>IFNA(VLOOKUP($A893,Towns!$A$2:$F1000,MATCH($B$1,Towns!$A$1:$F$1,0),false))</f>
        <v/>
      </c>
    </row>
    <row r="894">
      <c r="A894" s="16"/>
      <c r="B894" s="16" t="str">
        <f>IFNA(VLOOKUP($A894,Towns!$A$2:$F1000,MATCH($B$1,Towns!$A$1:$F$1,0),false))</f>
        <v/>
      </c>
    </row>
    <row r="895">
      <c r="A895" s="16"/>
      <c r="B895" s="16" t="str">
        <f>IFNA(VLOOKUP($A895,Towns!$A$2:$F1000,MATCH($B$1,Towns!$A$1:$F$1,0),false))</f>
        <v/>
      </c>
    </row>
    <row r="896">
      <c r="A896" s="16"/>
      <c r="B896" s="16" t="str">
        <f>IFNA(VLOOKUP($A896,Towns!$A$2:$F1000,MATCH($B$1,Towns!$A$1:$F$1,0),false))</f>
        <v/>
      </c>
    </row>
    <row r="897">
      <c r="A897" s="16"/>
      <c r="B897" s="16" t="str">
        <f>IFNA(VLOOKUP($A897,Towns!$A$2:$F1000,MATCH($B$1,Towns!$A$1:$F$1,0),false))</f>
        <v/>
      </c>
    </row>
    <row r="898">
      <c r="A898" s="16"/>
      <c r="B898" s="16" t="str">
        <f>IFNA(VLOOKUP($A898,Towns!$A$2:$F1000,MATCH($B$1,Towns!$A$1:$F$1,0),false))</f>
        <v/>
      </c>
    </row>
    <row r="899">
      <c r="A899" s="16"/>
      <c r="B899" s="16" t="str">
        <f>IFNA(VLOOKUP($A899,Towns!$A$2:$F1000,MATCH($B$1,Towns!$A$1:$F$1,0),false))</f>
        <v/>
      </c>
    </row>
    <row r="900">
      <c r="A900" s="16"/>
      <c r="B900" s="16" t="str">
        <f>IFNA(VLOOKUP($A900,Towns!$A$2:$F1000,MATCH($B$1,Towns!$A$1:$F$1,0),false))</f>
        <v/>
      </c>
    </row>
    <row r="901">
      <c r="A901" s="16"/>
      <c r="B901" s="16" t="str">
        <f>IFNA(VLOOKUP($A901,Towns!$A$2:$F1000,MATCH($B$1,Towns!$A$1:$F$1,0),false))</f>
        <v/>
      </c>
    </row>
    <row r="902">
      <c r="A902" s="16"/>
      <c r="B902" s="16" t="str">
        <f>IFNA(VLOOKUP($A902,Towns!$A$2:$F1000,MATCH($B$1,Towns!$A$1:$F$1,0),false))</f>
        <v/>
      </c>
    </row>
    <row r="903">
      <c r="A903" s="16"/>
      <c r="B903" s="16" t="str">
        <f>IFNA(VLOOKUP($A903,Towns!$A$2:$F1000,MATCH($B$1,Towns!$A$1:$F$1,0),false))</f>
        <v/>
      </c>
    </row>
    <row r="904">
      <c r="A904" s="16"/>
      <c r="B904" s="16" t="str">
        <f>IFNA(VLOOKUP($A904,Towns!$A$2:$F1000,MATCH($B$1,Towns!$A$1:$F$1,0),false))</f>
        <v/>
      </c>
    </row>
    <row r="905">
      <c r="A905" s="16"/>
      <c r="B905" s="16" t="str">
        <f>IFNA(VLOOKUP($A905,Towns!$A$2:$F1000,MATCH($B$1,Towns!$A$1:$F$1,0),false))</f>
        <v/>
      </c>
    </row>
    <row r="906">
      <c r="A906" s="16"/>
      <c r="B906" s="16" t="str">
        <f>IFNA(VLOOKUP($A906,Towns!$A$2:$F1000,MATCH($B$1,Towns!$A$1:$F$1,0),false))</f>
        <v/>
      </c>
    </row>
    <row r="907">
      <c r="A907" s="16"/>
      <c r="B907" s="16" t="str">
        <f>IFNA(VLOOKUP($A907,Towns!$A$2:$F1000,MATCH($B$1,Towns!$A$1:$F$1,0),false))</f>
        <v/>
      </c>
    </row>
    <row r="908">
      <c r="A908" s="16"/>
      <c r="B908" s="16" t="str">
        <f>IFNA(VLOOKUP($A908,Towns!$A$2:$F1000,MATCH($B$1,Towns!$A$1:$F$1,0),false))</f>
        <v/>
      </c>
    </row>
    <row r="909">
      <c r="A909" s="16"/>
      <c r="B909" s="16" t="str">
        <f>IFNA(VLOOKUP($A909,Towns!$A$2:$F1000,MATCH($B$1,Towns!$A$1:$F$1,0),false))</f>
        <v/>
      </c>
    </row>
    <row r="910">
      <c r="A910" s="16"/>
      <c r="B910" s="16" t="str">
        <f>IFNA(VLOOKUP($A910,Towns!$A$2:$F1000,MATCH($B$1,Towns!$A$1:$F$1,0),false))</f>
        <v/>
      </c>
    </row>
    <row r="911">
      <c r="A911" s="16"/>
      <c r="B911" s="16" t="str">
        <f>IFNA(VLOOKUP($A911,Towns!$A$2:$F1000,MATCH($B$1,Towns!$A$1:$F$1,0),false))</f>
        <v/>
      </c>
    </row>
    <row r="912">
      <c r="A912" s="16"/>
      <c r="B912" s="16" t="str">
        <f>IFNA(VLOOKUP($A912,Towns!$A$2:$F1000,MATCH($B$1,Towns!$A$1:$F$1,0),false))</f>
        <v/>
      </c>
    </row>
    <row r="913">
      <c r="A913" s="16"/>
      <c r="B913" s="16" t="str">
        <f>IFNA(VLOOKUP($A913,Towns!$A$2:$F1000,MATCH($B$1,Towns!$A$1:$F$1,0),false))</f>
        <v/>
      </c>
    </row>
    <row r="914">
      <c r="A914" s="16"/>
      <c r="B914" s="16" t="str">
        <f>IFNA(VLOOKUP($A914,Towns!$A$2:$F1000,MATCH($B$1,Towns!$A$1:$F$1,0),false))</f>
        <v/>
      </c>
    </row>
    <row r="915">
      <c r="A915" s="16"/>
      <c r="B915" s="16" t="str">
        <f>IFNA(VLOOKUP($A915,Towns!$A$2:$F1000,MATCH($B$1,Towns!$A$1:$F$1,0),false))</f>
        <v/>
      </c>
    </row>
    <row r="916">
      <c r="A916" s="16"/>
      <c r="B916" s="16" t="str">
        <f>IFNA(VLOOKUP($A916,Towns!$A$2:$F1000,MATCH($B$1,Towns!$A$1:$F$1,0),false))</f>
        <v/>
      </c>
    </row>
    <row r="917">
      <c r="A917" s="16"/>
      <c r="B917" s="16" t="str">
        <f>IFNA(VLOOKUP($A917,Towns!$A$2:$F1000,MATCH($B$1,Towns!$A$1:$F$1,0),false))</f>
        <v/>
      </c>
    </row>
    <row r="918">
      <c r="A918" s="16"/>
      <c r="B918" s="16" t="str">
        <f>IFNA(VLOOKUP($A918,Towns!$A$2:$F1000,MATCH($B$1,Towns!$A$1:$F$1,0),false))</f>
        <v/>
      </c>
    </row>
    <row r="919">
      <c r="A919" s="16"/>
      <c r="B919" s="16" t="str">
        <f>IFNA(VLOOKUP($A919,Towns!$A$2:$F1000,MATCH($B$1,Towns!$A$1:$F$1,0),false))</f>
        <v/>
      </c>
    </row>
    <row r="920">
      <c r="A920" s="16"/>
      <c r="B920" s="16" t="str">
        <f>IFNA(VLOOKUP($A920,Towns!$A$2:$F1000,MATCH($B$1,Towns!$A$1:$F$1,0),false))</f>
        <v/>
      </c>
    </row>
    <row r="921">
      <c r="A921" s="16"/>
      <c r="B921" s="16" t="str">
        <f>IFNA(VLOOKUP($A921,Towns!$A$2:$F1000,MATCH($B$1,Towns!$A$1:$F$1,0),false))</f>
        <v/>
      </c>
    </row>
    <row r="922">
      <c r="A922" s="16"/>
      <c r="B922" s="16" t="str">
        <f>IFNA(VLOOKUP($A922,Towns!$A$2:$F1000,MATCH($B$1,Towns!$A$1:$F$1,0),false))</f>
        <v/>
      </c>
    </row>
    <row r="923">
      <c r="A923" s="16"/>
      <c r="B923" s="16" t="str">
        <f>IFNA(VLOOKUP($A923,Towns!$A$2:$F1000,MATCH($B$1,Towns!$A$1:$F$1,0),false))</f>
        <v/>
      </c>
    </row>
    <row r="924">
      <c r="A924" s="16"/>
      <c r="B924" s="16" t="str">
        <f>IFNA(VLOOKUP($A924,Towns!$A$2:$F1000,MATCH($B$1,Towns!$A$1:$F$1,0),false))</f>
        <v/>
      </c>
    </row>
    <row r="925">
      <c r="A925" s="16"/>
      <c r="B925" s="16" t="str">
        <f>IFNA(VLOOKUP($A925,Towns!$A$2:$F1000,MATCH($B$1,Towns!$A$1:$F$1,0),false))</f>
        <v/>
      </c>
    </row>
    <row r="926">
      <c r="A926" s="16"/>
      <c r="B926" s="16" t="str">
        <f>IFNA(VLOOKUP($A926,Towns!$A$2:$F1000,MATCH($B$1,Towns!$A$1:$F$1,0),false))</f>
        <v/>
      </c>
    </row>
    <row r="927">
      <c r="A927" s="16"/>
      <c r="B927" s="16" t="str">
        <f>IFNA(VLOOKUP($A927,Towns!$A$2:$F1000,MATCH($B$1,Towns!$A$1:$F$1,0),false))</f>
        <v/>
      </c>
    </row>
    <row r="928">
      <c r="A928" s="16"/>
      <c r="B928" s="16" t="str">
        <f>IFNA(VLOOKUP($A928,Towns!$A$2:$F1000,MATCH($B$1,Towns!$A$1:$F$1,0),false))</f>
        <v/>
      </c>
    </row>
    <row r="929">
      <c r="A929" s="16"/>
      <c r="B929" s="16" t="str">
        <f>IFNA(VLOOKUP($A929,Towns!$A$2:$F1000,MATCH($B$1,Towns!$A$1:$F$1,0),false))</f>
        <v/>
      </c>
    </row>
    <row r="930">
      <c r="A930" s="16"/>
      <c r="B930" s="16" t="str">
        <f>IFNA(VLOOKUP($A930,Towns!$A$2:$F1000,MATCH($B$1,Towns!$A$1:$F$1,0),false))</f>
        <v/>
      </c>
    </row>
    <row r="931">
      <c r="A931" s="16"/>
      <c r="B931" s="16" t="str">
        <f>IFNA(VLOOKUP($A931,Towns!$A$2:$F1000,MATCH($B$1,Towns!$A$1:$F$1,0),false))</f>
        <v/>
      </c>
    </row>
    <row r="932">
      <c r="A932" s="16"/>
      <c r="B932" s="16" t="str">
        <f>IFNA(VLOOKUP($A932,Towns!$A$2:$F1000,MATCH($B$1,Towns!$A$1:$F$1,0),false))</f>
        <v/>
      </c>
    </row>
    <row r="933">
      <c r="A933" s="16"/>
      <c r="B933" s="16" t="str">
        <f>IFNA(VLOOKUP($A933,Towns!$A$2:$F1000,MATCH($B$1,Towns!$A$1:$F$1,0),false))</f>
        <v/>
      </c>
    </row>
    <row r="934">
      <c r="A934" s="16"/>
      <c r="B934" s="16" t="str">
        <f>IFNA(VLOOKUP($A934,Towns!$A$2:$F1000,MATCH($B$1,Towns!$A$1:$F$1,0),false))</f>
        <v/>
      </c>
    </row>
    <row r="935">
      <c r="A935" s="16"/>
      <c r="B935" s="16" t="str">
        <f>IFNA(VLOOKUP($A935,Towns!$A$2:$F1000,MATCH($B$1,Towns!$A$1:$F$1,0),false))</f>
        <v/>
      </c>
    </row>
    <row r="936">
      <c r="A936" s="16"/>
      <c r="B936" s="16" t="str">
        <f>IFNA(VLOOKUP($A936,Towns!$A$2:$F1000,MATCH($B$1,Towns!$A$1:$F$1,0),false))</f>
        <v/>
      </c>
    </row>
    <row r="937">
      <c r="A937" s="16"/>
      <c r="B937" s="16" t="str">
        <f>IFNA(VLOOKUP($A937,Towns!$A$2:$F1000,MATCH($B$1,Towns!$A$1:$F$1,0),false))</f>
        <v/>
      </c>
    </row>
    <row r="938">
      <c r="A938" s="16"/>
      <c r="B938" s="16" t="str">
        <f>IFNA(VLOOKUP($A938,Towns!$A$2:$F1000,MATCH($B$1,Towns!$A$1:$F$1,0),false))</f>
        <v/>
      </c>
    </row>
    <row r="939">
      <c r="A939" s="16"/>
      <c r="B939" s="16" t="str">
        <f>IFNA(VLOOKUP($A939,Towns!$A$2:$F1000,MATCH($B$1,Towns!$A$1:$F$1,0),false))</f>
        <v/>
      </c>
    </row>
    <row r="940">
      <c r="A940" s="16"/>
      <c r="B940" s="16" t="str">
        <f>IFNA(VLOOKUP($A940,Towns!$A$2:$F1000,MATCH($B$1,Towns!$A$1:$F$1,0),false))</f>
        <v/>
      </c>
    </row>
    <row r="941">
      <c r="A941" s="16"/>
      <c r="B941" s="16" t="str">
        <f>IFNA(VLOOKUP($A941,Towns!$A$2:$F1000,MATCH($B$1,Towns!$A$1:$F$1,0),false))</f>
        <v/>
      </c>
    </row>
    <row r="942">
      <c r="A942" s="16"/>
      <c r="B942" s="16" t="str">
        <f>IFNA(VLOOKUP($A942,Towns!$A$2:$F1000,MATCH($B$1,Towns!$A$1:$F$1,0),false))</f>
        <v/>
      </c>
    </row>
    <row r="943">
      <c r="A943" s="16"/>
      <c r="B943" s="16" t="str">
        <f>IFNA(VLOOKUP($A943,Towns!$A$2:$F1000,MATCH($B$1,Towns!$A$1:$F$1,0),false))</f>
        <v/>
      </c>
    </row>
    <row r="944">
      <c r="A944" s="16"/>
      <c r="B944" s="16" t="str">
        <f>IFNA(VLOOKUP($A944,Towns!$A$2:$F1000,MATCH($B$1,Towns!$A$1:$F$1,0),false))</f>
        <v/>
      </c>
    </row>
    <row r="945">
      <c r="A945" s="16"/>
      <c r="B945" s="16" t="str">
        <f>IFNA(VLOOKUP($A945,Towns!$A$2:$F1000,MATCH($B$1,Towns!$A$1:$F$1,0),false))</f>
        <v/>
      </c>
    </row>
    <row r="946">
      <c r="A946" s="16"/>
      <c r="B946" s="16" t="str">
        <f>IFNA(VLOOKUP($A946,Towns!$A$2:$F1000,MATCH($B$1,Towns!$A$1:$F$1,0),false))</f>
        <v/>
      </c>
    </row>
    <row r="947">
      <c r="A947" s="16"/>
      <c r="B947" s="16" t="str">
        <f>IFNA(VLOOKUP($A947,Towns!$A$2:$F1000,MATCH($B$1,Towns!$A$1:$F$1,0),false))</f>
        <v/>
      </c>
    </row>
    <row r="948">
      <c r="A948" s="16"/>
      <c r="B948" s="16" t="str">
        <f>IFNA(VLOOKUP($A948,Towns!$A$2:$F1000,MATCH($B$1,Towns!$A$1:$F$1,0),false))</f>
        <v/>
      </c>
    </row>
    <row r="949">
      <c r="A949" s="16"/>
      <c r="B949" s="16" t="str">
        <f>IFNA(VLOOKUP($A949,Towns!$A$2:$F1000,MATCH($B$1,Towns!$A$1:$F$1,0),false))</f>
        <v/>
      </c>
    </row>
    <row r="950">
      <c r="A950" s="16"/>
      <c r="B950" s="16" t="str">
        <f>IFNA(VLOOKUP($A950,Towns!$A$2:$F1000,MATCH($B$1,Towns!$A$1:$F$1,0),false))</f>
        <v/>
      </c>
    </row>
    <row r="951">
      <c r="A951" s="16"/>
      <c r="B951" s="16" t="str">
        <f>IFNA(VLOOKUP($A951,Towns!$A$2:$F1000,MATCH($B$1,Towns!$A$1:$F$1,0),false))</f>
        <v/>
      </c>
    </row>
    <row r="952">
      <c r="A952" s="16"/>
      <c r="B952" s="16" t="str">
        <f>IFNA(VLOOKUP($A952,Towns!$A$2:$F1000,MATCH($B$1,Towns!$A$1:$F$1,0),false))</f>
        <v/>
      </c>
    </row>
    <row r="953">
      <c r="A953" s="16"/>
      <c r="B953" s="16" t="str">
        <f>IFNA(VLOOKUP($A953,Towns!$A$2:$F1000,MATCH($B$1,Towns!$A$1:$F$1,0),false))</f>
        <v/>
      </c>
    </row>
    <row r="954">
      <c r="A954" s="16"/>
      <c r="B954" s="16" t="str">
        <f>IFNA(VLOOKUP($A954,Towns!$A$2:$F1000,MATCH($B$1,Towns!$A$1:$F$1,0),false))</f>
        <v/>
      </c>
    </row>
    <row r="955">
      <c r="A955" s="16"/>
      <c r="B955" s="16" t="str">
        <f>IFNA(VLOOKUP($A955,Towns!$A$2:$F1000,MATCH($B$1,Towns!$A$1:$F$1,0),false))</f>
        <v/>
      </c>
    </row>
    <row r="956">
      <c r="A956" s="16"/>
      <c r="B956" s="16" t="str">
        <f>IFNA(VLOOKUP($A956,Towns!$A$2:$F1000,MATCH($B$1,Towns!$A$1:$F$1,0),false))</f>
        <v/>
      </c>
    </row>
    <row r="957">
      <c r="A957" s="16"/>
      <c r="B957" s="16" t="str">
        <f>IFNA(VLOOKUP($A957,Towns!$A$2:$F1000,MATCH($B$1,Towns!$A$1:$F$1,0),false))</f>
        <v/>
      </c>
    </row>
    <row r="958">
      <c r="A958" s="16"/>
      <c r="B958" s="16" t="str">
        <f>IFNA(VLOOKUP($A958,Towns!$A$2:$F1000,MATCH($B$1,Towns!$A$1:$F$1,0),false))</f>
        <v/>
      </c>
    </row>
    <row r="959">
      <c r="A959" s="16"/>
      <c r="B959" s="16" t="str">
        <f>IFNA(VLOOKUP($A959,Towns!$A$2:$F1000,MATCH($B$1,Towns!$A$1:$F$1,0),false))</f>
        <v/>
      </c>
    </row>
    <row r="960">
      <c r="A960" s="16"/>
      <c r="B960" s="16" t="str">
        <f>IFNA(VLOOKUP($A960,Towns!$A$2:$F1000,MATCH($B$1,Towns!$A$1:$F$1,0),false))</f>
        <v/>
      </c>
    </row>
    <row r="961">
      <c r="A961" s="16"/>
      <c r="B961" s="16" t="str">
        <f>IFNA(VLOOKUP($A961,Towns!$A$2:$F1000,MATCH($B$1,Towns!$A$1:$F$1,0),false))</f>
        <v/>
      </c>
    </row>
    <row r="962">
      <c r="A962" s="16"/>
      <c r="B962" s="16" t="str">
        <f>IFNA(VLOOKUP($A962,Towns!$A$2:$F1000,MATCH($B$1,Towns!$A$1:$F$1,0),false))</f>
        <v/>
      </c>
    </row>
    <row r="963">
      <c r="A963" s="16"/>
      <c r="B963" s="16" t="str">
        <f>IFNA(VLOOKUP($A963,Towns!$A$2:$F1000,MATCH($B$1,Towns!$A$1:$F$1,0),false))</f>
        <v/>
      </c>
    </row>
    <row r="964">
      <c r="A964" s="16"/>
      <c r="B964" s="16" t="str">
        <f>IFNA(VLOOKUP($A964,Towns!$A$2:$F1000,MATCH($B$1,Towns!$A$1:$F$1,0),false))</f>
        <v/>
      </c>
    </row>
    <row r="965">
      <c r="A965" s="16"/>
      <c r="B965" s="16" t="str">
        <f>IFNA(VLOOKUP($A965,Towns!$A$2:$F1000,MATCH($B$1,Towns!$A$1:$F$1,0),false))</f>
        <v/>
      </c>
    </row>
    <row r="966">
      <c r="A966" s="16"/>
      <c r="B966" s="16" t="str">
        <f>IFNA(VLOOKUP($A966,Towns!$A$2:$F1000,MATCH($B$1,Towns!$A$1:$F$1,0),false))</f>
        <v/>
      </c>
    </row>
    <row r="967">
      <c r="A967" s="16"/>
      <c r="B967" s="16" t="str">
        <f>IFNA(VLOOKUP($A967,Towns!$A$2:$F1000,MATCH($B$1,Towns!$A$1:$F$1,0),false))</f>
        <v/>
      </c>
    </row>
    <row r="968">
      <c r="A968" s="16"/>
      <c r="B968" s="16" t="str">
        <f>IFNA(VLOOKUP($A968,Towns!$A$2:$F1000,MATCH($B$1,Towns!$A$1:$F$1,0),false))</f>
        <v/>
      </c>
    </row>
    <row r="969">
      <c r="A969" s="16"/>
      <c r="B969" s="16" t="str">
        <f>IFNA(VLOOKUP($A969,Towns!$A$2:$F1000,MATCH($B$1,Towns!$A$1:$F$1,0),false))</f>
        <v/>
      </c>
    </row>
    <row r="970">
      <c r="A970" s="16"/>
      <c r="B970" s="16" t="str">
        <f>IFNA(VLOOKUP($A970,Towns!$A$2:$F1000,MATCH($B$1,Towns!$A$1:$F$1,0),false))</f>
        <v/>
      </c>
    </row>
    <row r="971">
      <c r="A971" s="16"/>
      <c r="B971" s="16" t="str">
        <f>IFNA(VLOOKUP($A971,Towns!$A$2:$F1000,MATCH($B$1,Towns!$A$1:$F$1,0),false))</f>
        <v/>
      </c>
    </row>
    <row r="972">
      <c r="A972" s="16"/>
      <c r="B972" s="16" t="str">
        <f>IFNA(VLOOKUP($A972,Towns!$A$2:$F1000,MATCH($B$1,Towns!$A$1:$F$1,0),false))</f>
        <v/>
      </c>
    </row>
    <row r="973">
      <c r="A973" s="16"/>
      <c r="B973" s="16" t="str">
        <f>IFNA(VLOOKUP($A973,Towns!$A$2:$F1000,MATCH($B$1,Towns!$A$1:$F$1,0),false))</f>
        <v/>
      </c>
    </row>
    <row r="974">
      <c r="A974" s="16"/>
      <c r="B974" s="16" t="str">
        <f>IFNA(VLOOKUP($A974,Towns!$A$2:$F1000,MATCH($B$1,Towns!$A$1:$F$1,0),false))</f>
        <v/>
      </c>
    </row>
    <row r="975">
      <c r="A975" s="16"/>
      <c r="B975" s="16" t="str">
        <f>IFNA(VLOOKUP($A975,Towns!$A$2:$F1000,MATCH($B$1,Towns!$A$1:$F$1,0),false))</f>
        <v/>
      </c>
    </row>
    <row r="976">
      <c r="A976" s="16"/>
      <c r="B976" s="16" t="str">
        <f>IFNA(VLOOKUP($A976,Towns!$A$2:$F1000,MATCH($B$1,Towns!$A$1:$F$1,0),false))</f>
        <v/>
      </c>
    </row>
    <row r="977">
      <c r="A977" s="16"/>
      <c r="B977" s="16" t="str">
        <f>IFNA(VLOOKUP($A977,Towns!$A$2:$F1000,MATCH($B$1,Towns!$A$1:$F$1,0),false))</f>
        <v/>
      </c>
    </row>
    <row r="978">
      <c r="A978" s="16"/>
      <c r="B978" s="16" t="str">
        <f>IFNA(VLOOKUP($A978,Towns!$A$2:$F1000,MATCH($B$1,Towns!$A$1:$F$1,0),false))</f>
        <v/>
      </c>
    </row>
    <row r="979">
      <c r="A979" s="16"/>
      <c r="B979" s="16" t="str">
        <f>IFNA(VLOOKUP($A979,Towns!$A$2:$F1000,MATCH($B$1,Towns!$A$1:$F$1,0),false))</f>
        <v/>
      </c>
    </row>
    <row r="980">
      <c r="A980" s="16"/>
      <c r="B980" s="16" t="str">
        <f>IFNA(VLOOKUP($A980,Towns!$A$2:$F1000,MATCH($B$1,Towns!$A$1:$F$1,0),false))</f>
        <v/>
      </c>
    </row>
    <row r="981">
      <c r="A981" s="16"/>
      <c r="B981" s="16" t="str">
        <f>IFNA(VLOOKUP($A981,Towns!$A$2:$F1000,MATCH($B$1,Towns!$A$1:$F$1,0),false))</f>
        <v/>
      </c>
    </row>
    <row r="982">
      <c r="A982" s="16"/>
      <c r="B982" s="16" t="str">
        <f>IFNA(VLOOKUP($A982,Towns!$A$2:$F1000,MATCH($B$1,Towns!$A$1:$F$1,0),false))</f>
        <v/>
      </c>
    </row>
    <row r="983">
      <c r="A983" s="16"/>
      <c r="B983" s="16" t="str">
        <f>IFNA(VLOOKUP($A983,Towns!$A$2:$F1000,MATCH($B$1,Towns!$A$1:$F$1,0),false))</f>
        <v/>
      </c>
    </row>
    <row r="984">
      <c r="A984" s="16"/>
      <c r="B984" s="16" t="str">
        <f>IFNA(VLOOKUP($A984,Towns!$A$2:$F1000,MATCH($B$1,Towns!$A$1:$F$1,0),false))</f>
        <v/>
      </c>
    </row>
    <row r="985">
      <c r="A985" s="16"/>
      <c r="B985" s="16" t="str">
        <f>IFNA(VLOOKUP($A985,Towns!$A$2:$F1000,MATCH($B$1,Towns!$A$1:$F$1,0),false))</f>
        <v/>
      </c>
    </row>
    <row r="986">
      <c r="A986" s="16"/>
      <c r="B986" s="16" t="str">
        <f>IFNA(VLOOKUP($A986,Towns!$A$2:$F1000,MATCH($B$1,Towns!$A$1:$F$1,0),false))</f>
        <v/>
      </c>
    </row>
    <row r="987">
      <c r="A987" s="16"/>
      <c r="B987" s="16" t="str">
        <f>IFNA(VLOOKUP($A987,Towns!$A$2:$F1000,MATCH($B$1,Towns!$A$1:$F$1,0),false))</f>
        <v/>
      </c>
    </row>
    <row r="988">
      <c r="A988" s="16"/>
      <c r="B988" s="16" t="str">
        <f>IFNA(VLOOKUP($A988,Towns!$A$2:$F1000,MATCH($B$1,Towns!$A$1:$F$1,0),false))</f>
        <v/>
      </c>
    </row>
    <row r="989">
      <c r="A989" s="16"/>
      <c r="B989" s="16" t="str">
        <f>IFNA(VLOOKUP($A989,Towns!$A$2:$F1000,MATCH($B$1,Towns!$A$1:$F$1,0),false))</f>
        <v/>
      </c>
    </row>
    <row r="990">
      <c r="A990" s="16"/>
      <c r="B990" s="16" t="str">
        <f>IFNA(VLOOKUP($A990,Towns!$A$2:$F1000,MATCH($B$1,Towns!$A$1:$F$1,0),false))</f>
        <v/>
      </c>
    </row>
    <row r="991">
      <c r="A991" s="16"/>
      <c r="B991" s="16" t="str">
        <f>IFNA(VLOOKUP($A991,Towns!$A$2:$F1000,MATCH($B$1,Towns!$A$1:$F$1,0),false))</f>
        <v/>
      </c>
    </row>
    <row r="992">
      <c r="A992" s="16"/>
      <c r="B992" s="16" t="str">
        <f>IFNA(VLOOKUP($A992,Towns!$A$2:$F1000,MATCH($B$1,Towns!$A$1:$F$1,0),false))</f>
        <v/>
      </c>
    </row>
    <row r="993">
      <c r="A993" s="16"/>
      <c r="B993" s="16" t="str">
        <f>IFNA(VLOOKUP($A993,Towns!$A$2:$F1000,MATCH($B$1,Towns!$A$1:$F$1,0),false))</f>
        <v/>
      </c>
    </row>
    <row r="994">
      <c r="A994" s="16"/>
      <c r="B994" s="16" t="str">
        <f>IFNA(VLOOKUP($A994,Towns!$A$2:$F1000,MATCH($B$1,Towns!$A$1:$F$1,0),false))</f>
        <v/>
      </c>
    </row>
    <row r="995">
      <c r="A995" s="16"/>
      <c r="B995" s="16" t="str">
        <f>IFNA(VLOOKUP($A995,Towns!$A$2:$F1000,MATCH($B$1,Towns!$A$1:$F$1,0),false))</f>
        <v/>
      </c>
    </row>
    <row r="996">
      <c r="A996" s="16"/>
      <c r="B996" s="16" t="str">
        <f>IFNA(VLOOKUP($A996,Towns!$A$2:$F1000,MATCH($B$1,Towns!$A$1:$F$1,0),false))</f>
        <v/>
      </c>
    </row>
    <row r="997">
      <c r="A997" s="16"/>
      <c r="B997" s="16" t="str">
        <f>IFNA(VLOOKUP($A997,Towns!$A$2:$F1000,MATCH($B$1,Towns!$A$1:$F$1,0),false))</f>
        <v/>
      </c>
    </row>
    <row r="998">
      <c r="A998" s="16"/>
      <c r="B998" s="16" t="str">
        <f>IFNA(VLOOKUP($A998,Towns!$A$2:$F1000,MATCH($B$1,Towns!$A$1:$F$1,0),false))</f>
        <v/>
      </c>
    </row>
    <row r="999">
      <c r="A999" s="16"/>
      <c r="B999" s="16" t="str">
        <f>IFNA(VLOOKUP($A999,Towns!$A$2:$F1000,MATCH($B$1,Towns!$A$1:$F$1,0),false))</f>
        <v/>
      </c>
    </row>
    <row r="1000">
      <c r="A1000" s="16"/>
      <c r="B1000" s="16" t="str">
        <f>IFNA(VLOOKUP($A1000,Towns!$A$2:$F1000,MATCH($B$1,Towns!$A$1:$F$1,0),false))</f>
        <v/>
      </c>
    </row>
  </sheetData>
  <dataValidations>
    <dataValidation type="list" allowBlank="1" showErrorMessage="1" sqref="A2:A1000">
      <formula1>Towns!$A$2:$A1000</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268</v>
      </c>
      <c r="B1" s="14" t="s">
        <v>269</v>
      </c>
    </row>
    <row r="2">
      <c r="A2" s="14" t="s">
        <v>270</v>
      </c>
      <c r="B2" s="14" t="s">
        <v>271</v>
      </c>
    </row>
    <row r="3">
      <c r="A3" s="14" t="s">
        <v>272</v>
      </c>
      <c r="B3" s="14" t="s">
        <v>273</v>
      </c>
    </row>
    <row r="4">
      <c r="A4" s="14" t="s">
        <v>274</v>
      </c>
      <c r="B4" s="14" t="s">
        <v>275</v>
      </c>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
        <v>276</v>
      </c>
      <c r="B1" s="16" t="s">
        <v>183</v>
      </c>
      <c r="C1" s="16" t="s">
        <v>277</v>
      </c>
    </row>
    <row r="2">
      <c r="A2" s="16" t="str">
        <f>IFERROR(__xludf.DUMMYFUNCTION("IFNA(QUERY(GuildMembers!$A$2:$D1000,""Select A,C,D where B = '""""""&amp;Leveler!$F$5&amp;""""""'""))"),"")</f>
        <v/>
      </c>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IFERROR(__xludf.DUMMYFUNCTION("IMPORTRANGE(""https://docs.google.com/spreadsheets/d/""&amp;Config!B1,""Quest_Tracker!A:E"")"),"Quest name")</f>
        <v>Quest name</v>
      </c>
      <c r="B1" s="16" t="str">
        <f>IFERROR(__xludf.DUMMYFUNCTION("""COMPUTED_VALUE"""),"Quest description")</f>
        <v>Quest description</v>
      </c>
      <c r="C1" s="16" t="str">
        <f>IFERROR(__xludf.DUMMYFUNCTION("""COMPUTED_VALUE"""),"Quest Type")</f>
        <v>Quest Type</v>
      </c>
      <c r="D1" s="16" t="str">
        <f>IFERROR(__xludf.DUMMYFUNCTION("""COMPUTED_VALUE"""),"Location")</f>
        <v>Location</v>
      </c>
      <c r="E1" s="16" t="str">
        <f>IFERROR(__xludf.DUMMYFUNCTION("""COMPUTED_VALUE"""),"Value")</f>
        <v>Value</v>
      </c>
    </row>
    <row r="2">
      <c r="A2" s="16" t="str">
        <f>IFERROR(__xludf.DUMMYFUNCTION("""COMPUTED_VALUE"""),"The Doll Collector")</f>
        <v>The Doll Collector</v>
      </c>
      <c r="B2" s="16" t="str">
        <f>IFERROR(__xludf.DUMMYFUNCTION("""COMPUTED_VALUE"""),"A doll collector wants the party to go collect a special doll from Mekana. Go get the doll from Mekana. Upon leaving Mekana, it comes to life and attacks the party. Upon returning  to the collector's shop, it will be empty, with no trace of the collector."&amp;"..")</f>
        <v>A doll collector wants the party to go collect a special doll from Mekana. Go get the doll from Mekana. Upon leaving Mekana, it comes to life and attacks the party. Upon returning  to the collector's shop, it will be empty, with no trace of the collector...</v>
      </c>
      <c r="C2" s="16" t="str">
        <f>IFERROR(__xludf.DUMMYFUNCTION("""COMPUTED_VALUE"""),"Side")</f>
        <v>Side</v>
      </c>
      <c r="D2" s="16" t="str">
        <f>IFERROR(__xludf.DUMMYFUNCTION("""COMPUTED_VALUE"""),"Land of Spira")</f>
        <v>Land of Spira</v>
      </c>
      <c r="E2" s="16">
        <f>IFERROR(__xludf.DUMMYFUNCTION("""COMPUTED_VALUE"""),0.0)</f>
        <v>0</v>
      </c>
    </row>
    <row r="3">
      <c r="A3" s="16" t="str">
        <f>IFERROR(__xludf.DUMMYFUNCTION("""COMPUTED_VALUE"""),"The Case of the Missing Guard")</f>
        <v>The Case of the Missing Guard</v>
      </c>
      <c r="B3" s="16" t="str">
        <f>IFERROR(__xludf.DUMMYFUNCTION("""COMPUTED_VALUE"""),"A guard has gone missing, and hasn't been heard from for weeks. He was last seen at the Church. The party must investigate his disappearance. Turns out he was taken to Swampville by cult members. The party goes to rescue him... only to blow his cover, as "&amp;"he was attempting to infiltrate the cult. A battle ensues and the party manages to get the guard back home")</f>
        <v>A guard has gone missing, and hasn't been heard from for weeks. He was last seen at the Church. The party must investigate his disappearance. Turns out he was taken to Swampville by cult members. The party goes to rescue him... only to blow his cover, as he was attempting to infiltrate the cult. A battle ensues and the party manages to get the guard back home</v>
      </c>
      <c r="C3" s="16" t="str">
        <f>IFERROR(__xludf.DUMMYFUNCTION("""COMPUTED_VALUE"""),"Side")</f>
        <v>Side</v>
      </c>
      <c r="D3" s="16" t="str">
        <f>IFERROR(__xludf.DUMMYFUNCTION("""COMPUTED_VALUE"""),"Land of Spira")</f>
        <v>Land of Spira</v>
      </c>
      <c r="E3" s="16">
        <f>IFERROR(__xludf.DUMMYFUNCTION("""COMPUTED_VALUE"""),0.0)</f>
        <v>0</v>
      </c>
    </row>
    <row r="4">
      <c r="A4" s="16" t="str">
        <f>IFERROR(__xludf.DUMMYFUNCTION("""COMPUTED_VALUE"""),"The Lost Oasis of 3 Kings")</f>
        <v>The Lost Oasis of 3 Kings</v>
      </c>
      <c r="B4" s="16" t="str">
        <f>IFERROR(__xludf.DUMMYFUNCTION("""COMPUTED_VALUE"""),"Find the 3 missing map pieces to the map of the Lost Oasis. Each piece will be located in 3 different areas. The Red Sands, Desert Island, and Dryland Desert. Recover each piece, put the map together, and locate the Lost Oasis where your reward will be wa"&amp;"iting.")</f>
        <v>Find the 3 missing map pieces to the map of the Lost Oasis. Each piece will be located in 3 different areas. The Red Sands, Desert Island, and Dryland Desert. Recover each piece, put the map together, and locate the Lost Oasis where your reward will be waiting.</v>
      </c>
      <c r="C4" s="16" t="str">
        <f>IFERROR(__xludf.DUMMYFUNCTION("""COMPUTED_VALUE"""),"Side")</f>
        <v>Side</v>
      </c>
      <c r="D4" s="16" t="str">
        <f>IFERROR(__xludf.DUMMYFUNCTION("""COMPUTED_VALUE"""),"Land of Spira")</f>
        <v>Land of Spira</v>
      </c>
      <c r="E4" s="16">
        <f>IFERROR(__xludf.DUMMYFUNCTION("""COMPUTED_VALUE"""),3.0)</f>
        <v>3</v>
      </c>
    </row>
    <row r="5">
      <c r="A5" s="16" t="str">
        <f>IFERROR(__xludf.DUMMYFUNCTION("""COMPUTED_VALUE"""),"SANDWORMS!!!")</f>
        <v>SANDWORMS!!!</v>
      </c>
      <c r="B5" s="16" t="str">
        <f>IFERROR(__xludf.DUMMYFUNCTION("""COMPUTED_VALUE"""),"Kill 10 sandworms")</f>
        <v>Kill 10 sandworms</v>
      </c>
      <c r="C5" s="16" t="str">
        <f>IFERROR(__xludf.DUMMYFUNCTION("""COMPUTED_VALUE"""),"Bounty")</f>
        <v>Bounty</v>
      </c>
      <c r="D5" s="16" t="str">
        <f>IFERROR(__xludf.DUMMYFUNCTION("""COMPUTED_VALUE"""),"Land of Spira")</f>
        <v>Land of Spira</v>
      </c>
      <c r="E5" s="16">
        <f>IFERROR(__xludf.DUMMYFUNCTION("""COMPUTED_VALUE"""),10.0)</f>
        <v>10</v>
      </c>
    </row>
    <row r="6">
      <c r="A6" s="16" t="str">
        <f>IFERROR(__xludf.DUMMYFUNCTION("""COMPUTED_VALUE"""),"The Rum Ain't Gone")</f>
        <v>The Rum Ain't Gone</v>
      </c>
      <c r="B6" s="16" t="str">
        <f>IFERROR(__xludf.DUMMYFUNCTION("""COMPUTED_VALUE"""),"Give 2 rum to a group of partyers.")</f>
        <v>Give 2 rum to a group of partyers.</v>
      </c>
      <c r="C6" s="16" t="str">
        <f>IFERROR(__xludf.DUMMYFUNCTION("""COMPUTED_VALUE"""),"Side")</f>
        <v>Side</v>
      </c>
      <c r="D6" s="16" t="str">
        <f>IFERROR(__xludf.DUMMYFUNCTION("""COMPUTED_VALUE"""),"Land of Spira")</f>
        <v>Land of Spira</v>
      </c>
      <c r="E6" s="16">
        <f>IFERROR(__xludf.DUMMYFUNCTION("""COMPUTED_VALUE"""),2.0)</f>
        <v>2</v>
      </c>
    </row>
    <row r="7">
      <c r="A7" s="16" t="str">
        <f>IFERROR(__xludf.DUMMYFUNCTION("""COMPUTED_VALUE"""),"Undercover Work")</f>
        <v>Undercover Work</v>
      </c>
      <c r="B7" s="16" t="str">
        <f>IFERROR(__xludf.DUMMYFUNCTION("""COMPUTED_VALUE"""),"A cyborg from Mekana says his former employer is making a new weapon, and is planning a test run in Forest View. Find and destroy  4 Level 1500 Flamethrower Corps in Forest View.")</f>
        <v>A cyborg from Mekana says his former employer is making a new weapon, and is planning a test run in Forest View. Find and destroy  4 Level 1500 Flamethrower Corps in Forest View.</v>
      </c>
      <c r="C7" s="16" t="str">
        <f>IFERROR(__xludf.DUMMYFUNCTION("""COMPUTED_VALUE"""),"Side")</f>
        <v>Side</v>
      </c>
      <c r="D7" s="16" t="str">
        <f>IFERROR(__xludf.DUMMYFUNCTION("""COMPUTED_VALUE"""),"Land of Spira")</f>
        <v>Land of Spira</v>
      </c>
      <c r="E7" s="16">
        <f>IFERROR(__xludf.DUMMYFUNCTION("""COMPUTED_VALUE"""),4.0)</f>
        <v>4</v>
      </c>
    </row>
    <row r="8">
      <c r="A8" s="16" t="str">
        <f>IFERROR(__xludf.DUMMYFUNCTION("""COMPUTED_VALUE"""),"A Gift Between Lovers Part A")</f>
        <v>A Gift Between Lovers Part A</v>
      </c>
      <c r="B8" s="16" t="str">
        <f>IFERROR(__xludf.DUMMYFUNCTION("""COMPUTED_VALUE"""),"Players are approached by a man with a broken arm, asking them for help. The man, who introduces himself as Daniel, wants to make his girlfriend some leather armor as a gift, but with his broken arm he can’t go out and do any hunting. He asks the party to"&amp;" hunt some boars for him. If the players get him 6 boar hides he’ll have enough to make a piece of armor for his girlfriend and for the player.
")</f>
        <v>Players are approached by a man with a broken arm, asking them for help. The man, who introduces himself as Daniel, wants to make his girlfriend some leather armor as a gift, but with his broken arm he can’t go out and do any hunting. He asks the party to hunt some boars for him. If the players get him 6 boar hides he’ll have enough to make a piece of armor for his girlfriend and for the player.
</v>
      </c>
      <c r="C8" s="16" t="str">
        <f>IFERROR(__xludf.DUMMYFUNCTION("""COMPUTED_VALUE"""),"Side")</f>
        <v>Side</v>
      </c>
      <c r="D8" s="16" t="str">
        <f>IFERROR(__xludf.DUMMYFUNCTION("""COMPUTED_VALUE"""),"Land of Spira")</f>
        <v>Land of Spira</v>
      </c>
      <c r="E8" s="16">
        <f>IFERROR(__xludf.DUMMYFUNCTION("""COMPUTED_VALUE"""),6.0)</f>
        <v>6</v>
      </c>
    </row>
    <row r="9">
      <c r="A9" s="16" t="str">
        <f>IFERROR(__xludf.DUMMYFUNCTION("""COMPUTED_VALUE"""),"A Gift Between Lovers Part B")</f>
        <v>A Gift Between Lovers Part B</v>
      </c>
      <c r="B9" s="16" t="str">
        <f>IFERROR(__xludf.DUMMYFUNCTION("""COMPUTED_VALUE"""),"A muscular woman wearing leather armor approaches the party, recognizing them from her boyfriend Daniel’s description of them. She thanks them for helping him out and introduces herself as Elora before asking if they’ll be willing to help her make a gift "&amp;"for him. She tells the party she’s making a necklace with the teeth of various monsters she’s hunted, but wants help with her final target: A Desert Eater.
The party and Elora go travel to Dryland Desert and kill A Desert Eater. Elora takes one of its tee"&amp;"th and tells the party to meet her back in Forest View. As the party arrives they see her giving the necklace to her boyfriend. Noticing them, Elora comes over and thanks the party for their help.")</f>
        <v>A muscular woman wearing leather armor approaches the party, recognizing them from her boyfriend Daniel’s description of them. She thanks them for helping him out and introduces herself as Elora before asking if they’ll be willing to help her make a gift for him. She tells the party she’s making a necklace with the teeth of various monsters she’s hunted, but wants help with her final target: A Desert Eater.
The party and Elora go travel to Dryland Desert and kill A Desert Eater. Elora takes one of its teeth and tells the party to meet her back in Forest View. As the party arrives they see her giving the necklace to her boyfriend. Noticing them, Elora comes over and thanks the party for their help.</v>
      </c>
      <c r="C9" s="16" t="str">
        <f>IFERROR(__xludf.DUMMYFUNCTION("""COMPUTED_VALUE"""),"Side")</f>
        <v>Side</v>
      </c>
      <c r="D9" s="16" t="str">
        <f>IFERROR(__xludf.DUMMYFUNCTION("""COMPUTED_VALUE"""),"Land of Spira")</f>
        <v>Land of Spira</v>
      </c>
      <c r="E9" s="16">
        <f>IFERROR(__xludf.DUMMYFUNCTION("""COMPUTED_VALUE"""),0.0)</f>
        <v>0</v>
      </c>
    </row>
    <row r="10">
      <c r="A10" s="16" t="str">
        <f>IFERROR(__xludf.DUMMYFUNCTION("""COMPUTED_VALUE"""),"A Gift Between Lovers Part Omega")</f>
        <v>A Gift Between Lovers Part Omega</v>
      </c>
      <c r="B10" s="16" t="str">
        <f>IFERROR(__xludf.DUMMYFUNCTION("""COMPUTED_VALUE"""),"The players are approached by an old woman, who recognizes the players from her daughter and son-in-law’s descriptions of them. She introduces herself as Elora’s mother and asks the players to visit her and Elora that night.
When the players visit that ni"&amp;"ght, they find that Elora has been planning on proposing to her boyfriend, but the ring she ordered has yet to be delivered. The players are asked to help her find what’s going on. On their way to the place Elora ordered the ring from, they find the man t"&amp;"hat was delivering it, having fallen in a ditch and broken his leg.
With the ring in hand (and the delivery man helped back to town) the players get to see Elora propose to Daniel, who excitedly says yes. Elora asks the players to come to the wedding in o"&amp;"ne week. The players show up a week later and everything goes off without a hitch.")</f>
        <v>The players are approached by an old woman, who recognizes the players from her daughter and son-in-law’s descriptions of them. She introduces herself as Elora’s mother and asks the players to visit her and Elora that night.
When the players visit that night, they find that Elora has been planning on proposing to her boyfriend, but the ring she ordered has yet to be delivered. The players are asked to help her find what’s going on. On their way to the place Elora ordered the ring from, they find the man that was delivering it, having fallen in a ditch and broken his leg.
With the ring in hand (and the delivery man helped back to town) the players get to see Elora propose to Daniel, who excitedly says yes. Elora asks the players to come to the wedding in one week. The players show up a week later and everything goes off without a hitch.</v>
      </c>
      <c r="C10" s="16" t="str">
        <f>IFERROR(__xludf.DUMMYFUNCTION("""COMPUTED_VALUE"""),"Side")</f>
        <v>Side</v>
      </c>
      <c r="D10" s="16" t="str">
        <f>IFERROR(__xludf.DUMMYFUNCTION("""COMPUTED_VALUE"""),"Land of Spira")</f>
        <v>Land of Spira</v>
      </c>
      <c r="E10" s="16">
        <f>IFERROR(__xludf.DUMMYFUNCTION("""COMPUTED_VALUE"""),0.0)</f>
        <v>0</v>
      </c>
    </row>
    <row r="11">
      <c r="A11" s="16" t="str">
        <f>IFERROR(__xludf.DUMMYFUNCTION("""COMPUTED_VALUE"""),"The Necrocorn")</f>
        <v>The Necrocorn</v>
      </c>
      <c r="B11" s="16" t="str">
        <f>IFERROR(__xludf.DUMMYFUNCTION("""COMPUTED_VALUE"""),"There have been sightings of an undead unicorn around. It doesn’t seem hostile to the living but has been desecrating certain graves in the town cemetery. Provide some X50 stone to the gravedigger to repair the damages.
Upon delivering the materials, the "&amp;"players and gravedigger sight the Necrocorn with two unicorns in the cemetery. One of the unicorns is carving something onto a tombstone. The unicorns and Necrocorn disappear before the players can get over there. The gravedigger points out that the name "&amp;"on the tombstone has been crossed out and the word “accomplice” has been written under. Two of the other tombstones have had the same thing happen to them, and another instead reads “murderer.” The Necrocorn is never seen again.")</f>
        <v>There have been sightings of an undead unicorn around. It doesn’t seem hostile to the living but has been desecrating certain graves in the town cemetery. Provide some X50 stone to the gravedigger to repair the damages.
Upon delivering the materials, the players and gravedigger sight the Necrocorn with two unicorns in the cemetery. One of the unicorns is carving something onto a tombstone. The unicorns and Necrocorn disappear before the players can get over there. The gravedigger points out that the name on the tombstone has been crossed out and the word “accomplice” has been written under. Two of the other tombstones have had the same thing happen to them, and another instead reads “murderer.” The Necrocorn is never seen again.</v>
      </c>
      <c r="C11" s="16" t="str">
        <f>IFERROR(__xludf.DUMMYFUNCTION("""COMPUTED_VALUE"""),"Side")</f>
        <v>Side</v>
      </c>
      <c r="D11" s="16" t="str">
        <f>IFERROR(__xludf.DUMMYFUNCTION("""COMPUTED_VALUE"""),"Land of Spira")</f>
        <v>Land of Spira</v>
      </c>
      <c r="E11" s="16">
        <f>IFERROR(__xludf.DUMMYFUNCTION("""COMPUTED_VALUE"""),50.0)</f>
        <v>50</v>
      </c>
    </row>
    <row r="12">
      <c r="A12" s="16" t="str">
        <f>IFERROR(__xludf.DUMMYFUNCTION("""COMPUTED_VALUE"""),"Mournful Mother")</f>
        <v>Mournful Mother</v>
      </c>
      <c r="B12" s="16" t="str">
        <f>IFERROR(__xludf.DUMMYFUNCTION("""COMPUTED_VALUE"""),"A gossipy young man informs the players of a rumor of a serial killer in the area, with multiple women having gone missing only to turn up days later mutilated. The players (provided at least one member is female) plan a trap to lure out the killer that n"&amp;"ight. The killer attacks and turns out to be an elderly woman, indiscriminately attacking women and blaming them for her son killing himself after being cheated on.")</f>
        <v>A gossipy young man informs the players of a rumor of a serial killer in the area, with multiple women having gone missing only to turn up days later mutilated. The players (provided at least one member is female) plan a trap to lure out the killer that night. The killer attacks and turns out to be an elderly woman, indiscriminately attacking women and blaming them for her son killing himself after being cheated on.</v>
      </c>
      <c r="C12" s="16" t="str">
        <f>IFERROR(__xludf.DUMMYFUNCTION("""COMPUTED_VALUE"""),"Side")</f>
        <v>Side</v>
      </c>
      <c r="D12" s="16" t="str">
        <f>IFERROR(__xludf.DUMMYFUNCTION("""COMPUTED_VALUE"""),"Land of Spira")</f>
        <v>Land of Spira</v>
      </c>
      <c r="E12" s="16">
        <f>IFERROR(__xludf.DUMMYFUNCTION("""COMPUTED_VALUE"""),0.0)</f>
        <v>0</v>
      </c>
    </row>
    <row r="13">
      <c r="A13" s="16" t="str">
        <f>IFERROR(__xludf.DUMMYFUNCTION("""COMPUTED_VALUE"""),"The Grocer’s delivery")</f>
        <v>The Grocer’s delivery</v>
      </c>
      <c r="B13" s="16" t="str">
        <f>IFERROR(__xludf.DUMMYFUNCTION("""COMPUTED_VALUE"""),"Players come across a wounded traveler. The traveler is incapable of moving, and asks the players to deliver a decorative jewelry box to the Grocer in Civille. He warns the players not to open the jewelry box. Upon the box being delivered, the grocer give"&amp;"s the players the item inside, a Wig of Temper Fire (reduces any fire damage to 1), as she only wanted the jewelry box. She also grants the players access to her secret shop.")</f>
        <v>Players come across a wounded traveler. The traveler is incapable of moving, and asks the players to deliver a decorative jewelry box to the Grocer in Civille. He warns the players not to open the jewelry box. Upon the box being delivered, the grocer gives the players the item inside, a Wig of Temper Fire (reduces any fire damage to 1), as she only wanted the jewelry box. She also grants the players access to her secret shop.</v>
      </c>
      <c r="C13" s="16" t="str">
        <f>IFERROR(__xludf.DUMMYFUNCTION("""COMPUTED_VALUE"""),"Side")</f>
        <v>Side</v>
      </c>
      <c r="D13" s="16" t="str">
        <f>IFERROR(__xludf.DUMMYFUNCTION("""COMPUTED_VALUE"""),"Land of Spira")</f>
        <v>Land of Spira</v>
      </c>
      <c r="E13" s="16">
        <f>IFERROR(__xludf.DUMMYFUNCTION("""COMPUTED_VALUE"""),0.0)</f>
        <v>0</v>
      </c>
    </row>
    <row r="14">
      <c r="A14" s="16" t="str">
        <f>IFERROR(__xludf.DUMMYFUNCTION("""COMPUTED_VALUE"""),"You can EAT those!?")</f>
        <v>You can EAT those!?</v>
      </c>
      <c r="B14" s="16" t="str">
        <f>IFERROR(__xludf.DUMMYFUNCTION("""COMPUTED_VALUE"""),"Give 15 Slime cores to a woman making Slime Jelly")</f>
        <v>Give 15 Slime cores to a woman making Slime Jelly</v>
      </c>
      <c r="C14" s="16" t="str">
        <f>IFERROR(__xludf.DUMMYFUNCTION("""COMPUTED_VALUE"""),"Side")</f>
        <v>Side</v>
      </c>
      <c r="D14" s="16" t="str">
        <f>IFERROR(__xludf.DUMMYFUNCTION("""COMPUTED_VALUE"""),"Land of Spira")</f>
        <v>Land of Spira</v>
      </c>
      <c r="E14" s="16">
        <f>IFERROR(__xludf.DUMMYFUNCTION("""COMPUTED_VALUE"""),15.0)</f>
        <v>15</v>
      </c>
    </row>
    <row r="15">
      <c r="A15" s="16" t="str">
        <f>IFERROR(__xludf.DUMMYFUNCTION("""COMPUTED_VALUE"""),"Robros Stick Together")</f>
        <v>Robros Stick Together</v>
      </c>
      <c r="B15" s="16" t="str">
        <f>IFERROR(__xludf.DUMMYFUNCTION("""COMPUTED_VALUE"""),"A strange cloaked figure stands outside Muro’s Goods. If the players approach or attempt to enter Muro’s Goods, the figure quickly catches the players’ attention. They ask if the player could go inside and purchase the “Broken Robot” for them. If the play"&amp;"er accepts, they hand the player 350,000 G to make the purchase. When the players return with the Broken Robot, the figure thanks them and gives them the cloak he was wearing, revealing himself to be robotic underneath.")</f>
        <v>A strange cloaked figure stands outside Muro’s Goods. If the players approach or attempt to enter Muro’s Goods, the figure quickly catches the players’ attention. They ask if the player could go inside and purchase the “Broken Robot” for them. If the player accepts, they hand the player 350,000 G to make the purchase. When the players return with the Broken Robot, the figure thanks them and gives them the cloak he was wearing, revealing himself to be robotic underneath.</v>
      </c>
      <c r="C15" s="16" t="str">
        <f>IFERROR(__xludf.DUMMYFUNCTION("""COMPUTED_VALUE"""),"Side")</f>
        <v>Side</v>
      </c>
      <c r="D15" s="16" t="str">
        <f>IFERROR(__xludf.DUMMYFUNCTION("""COMPUTED_VALUE"""),"Land of Spira")</f>
        <v>Land of Spira</v>
      </c>
      <c r="E15" s="16">
        <f>IFERROR(__xludf.DUMMYFUNCTION("""COMPUTED_VALUE"""),0.0)</f>
        <v>0</v>
      </c>
    </row>
    <row r="16">
      <c r="A16" s="16" t="str">
        <f>IFERROR(__xludf.DUMMYFUNCTION("""COMPUTED_VALUE"""),"A Man’s Ship Is His Home")</f>
        <v>A Man’s Ship Is His Home</v>
      </c>
      <c r="B16" s="16" t="str">
        <f>IFERROR(__xludf.DUMMYFUNCTION("""COMPUTED_VALUE"""),"A “sailor” is seen bemoaning the damage to his ship after a recent storm. The party takes it upon themselves to help. Bring 50 Wood.")</f>
        <v>A “sailor” is seen bemoaning the damage to his ship after a recent storm. The party takes it upon themselves to help. Bring 50 Wood.</v>
      </c>
      <c r="C16" s="16" t="str">
        <f>IFERROR(__xludf.DUMMYFUNCTION("""COMPUTED_VALUE"""),"Side")</f>
        <v>Side</v>
      </c>
      <c r="D16" s="16" t="str">
        <f>IFERROR(__xludf.DUMMYFUNCTION("""COMPUTED_VALUE"""),"Land of Spira")</f>
        <v>Land of Spira</v>
      </c>
      <c r="E16" s="16">
        <f>IFERROR(__xludf.DUMMYFUNCTION("""COMPUTED_VALUE"""),50.0)</f>
        <v>50</v>
      </c>
    </row>
    <row r="17">
      <c r="A17" s="16" t="str">
        <f>IFERROR(__xludf.DUMMYFUNCTION("""COMPUTED_VALUE"""),"The Lost Children")</f>
        <v>The Lost Children</v>
      </c>
      <c r="B17" s="16" t="str">
        <f>IFERROR(__xludf.DUMMYFUNCTION("""COMPUTED_VALUE"""),"A strange beast has been luring children away, with no evidence as to WHAT it’s doing to them. Seven children have already gone missing, the most recent two at the same time. The parents of one of these two ask the players to go investigate. In a cave, th"&amp;"e players find Lamia sleeping after a meal (she misses her first turn). When killed, the players manage to cut her open and find the two children. The players guide the children back to their parents, and though happy, the parents mourn the loss of the ot"&amp;"her children.")</f>
        <v>A strange beast has been luring children away, with no evidence as to WHAT it’s doing to them. Seven children have already gone missing, the most recent two at the same time. The parents of one of these two ask the players to go investigate. In a cave, the players find Lamia sleeping after a meal (she misses her first turn). When killed, the players manage to cut her open and find the two children. The players guide the children back to their parents, and though happy, the parents mourn the loss of the other children.</v>
      </c>
      <c r="C17" s="16" t="str">
        <f>IFERROR(__xludf.DUMMYFUNCTION("""COMPUTED_VALUE"""),"Side")</f>
        <v>Side</v>
      </c>
      <c r="D17" s="16" t="str">
        <f>IFERROR(__xludf.DUMMYFUNCTION("""COMPUTED_VALUE"""),"Land of Spira")</f>
        <v>Land of Spira</v>
      </c>
      <c r="E17" s="16">
        <f>IFERROR(__xludf.DUMMYFUNCTION("""COMPUTED_VALUE"""),0.0)</f>
        <v>0</v>
      </c>
    </row>
    <row r="18">
      <c r="A18" s="16" t="str">
        <f>IFERROR(__xludf.DUMMYFUNCTION("""COMPUTED_VALUE"""),"A Suspicious Package")</f>
        <v>A Suspicious Package</v>
      </c>
      <c r="B18" s="16" t="str">
        <f>IFERROR(__xludf.DUMMYFUNCTION("""COMPUTED_VALUE"""),"Players are accosted by a man with a small box which seems to have no hinges or way to open. The man asks the players to deliver it to a “Marcus Himmler” in The Foul Night Swamp. The man offers the players 130,000 G for the delivery, and pays 50,000 G of "&amp;"that upfront.
Upon arriving in The Foul Night Swamp, they find Marcus. He asks the players to come to his “shop” to make the delivery. While Marcus leads the party through the marsh, they are suddenly attacked by a group of three miscreants. After fightin"&amp;"g them off, Marcus thanks the party and apologizes, the box apparently holds a very rare and powerful medicine he needed for his daughter. Marcus leads the party to a small shop at the end of the marsh and pays them 80,000 G.")</f>
        <v>Players are accosted by a man with a small box which seems to have no hinges or way to open. The man asks the players to deliver it to a “Marcus Himmler” in The Foul Night Swamp. The man offers the players 130,000 G for the delivery, and pays 50,000 G of that upfront.
Upon arriving in The Foul Night Swamp, they find Marcus. He asks the players to come to his “shop” to make the delivery. While Marcus leads the party through the marsh, they are suddenly attacked by a group of three miscreants. After fighting them off, Marcus thanks the party and apologizes, the box apparently holds a very rare and powerful medicine he needed for his daughter. Marcus leads the party to a small shop at the end of the marsh and pays them 80,000 G.</v>
      </c>
      <c r="C18" s="16" t="str">
        <f>IFERROR(__xludf.DUMMYFUNCTION("""COMPUTED_VALUE"""),"Side")</f>
        <v>Side</v>
      </c>
      <c r="D18" s="16" t="str">
        <f>IFERROR(__xludf.DUMMYFUNCTION("""COMPUTED_VALUE"""),"Land of Spira")</f>
        <v>Land of Spira</v>
      </c>
      <c r="E18" s="16">
        <f>IFERROR(__xludf.DUMMYFUNCTION("""COMPUTED_VALUE"""),0.0)</f>
        <v>0</v>
      </c>
    </row>
    <row r="19">
      <c r="A19" s="16" t="str">
        <f>IFERROR(__xludf.DUMMYFUNCTION("""COMPUTED_VALUE"""),"Rigorous Training")</f>
        <v>Rigorous Training</v>
      </c>
      <c r="B19" s="16" t="str">
        <f>IFERROR(__xludf.DUMMYFUNCTION("""COMPUTED_VALUE"""),"5 Battles, each battle against a group of random enemies equal in number to party size. Each battle will have differently leveled enemies, relative to average party level. Battle 1: Enemy level = Average Party level -50, Battles 2 &amp; 3: Enemy level = Party"&amp;" level, Battles 4&amp;5 Enemy level =Party level +100. All five battles must be done back to back, with no time to rest or use spell/items in between.")</f>
        <v>5 Battles, each battle against a group of random enemies equal in number to party size. Each battle will have differently leveled enemies, relative to average party level. Battle 1: Enemy level = Average Party level -50, Battles 2 &amp; 3: Enemy level = Party level, Battles 4&amp;5 Enemy level =Party level +100. All five battles must be done back to back, with no time to rest or use spell/items in between.</v>
      </c>
      <c r="C19" s="16" t="str">
        <f>IFERROR(__xludf.DUMMYFUNCTION("""COMPUTED_VALUE"""),"Side")</f>
        <v>Side</v>
      </c>
      <c r="D19" s="16" t="str">
        <f>IFERROR(__xludf.DUMMYFUNCTION("""COMPUTED_VALUE"""),"Land of Spira")</f>
        <v>Land of Spira</v>
      </c>
      <c r="E19" s="16">
        <f>IFERROR(__xludf.DUMMYFUNCTION("""COMPUTED_VALUE"""),5.0)</f>
        <v>5</v>
      </c>
    </row>
    <row r="20">
      <c r="A20" s="16" t="str">
        <f>IFERROR(__xludf.DUMMYFUNCTION("""COMPUTED_VALUE"""),"Aptitude Test")</f>
        <v>Aptitude Test</v>
      </c>
      <c r="B20" s="16" t="str">
        <f>IFERROR(__xludf.DUMMYFUNCTION("""COMPUTED_VALUE"""),"Face off against a General to move up in the guard ranks")</f>
        <v>Face off against a General to move up in the guard ranks</v>
      </c>
      <c r="C20" s="16" t="str">
        <f>IFERROR(__xludf.DUMMYFUNCTION("""COMPUTED_VALUE"""),"Side")</f>
        <v>Side</v>
      </c>
      <c r="D20" s="16" t="str">
        <f>IFERROR(__xludf.DUMMYFUNCTION("""COMPUTED_VALUE"""),"Land of Spira")</f>
        <v>Land of Spira</v>
      </c>
      <c r="E20" s="16">
        <f>IFERROR(__xludf.DUMMYFUNCTION("""COMPUTED_VALUE"""),0.0)</f>
        <v>0</v>
      </c>
    </row>
    <row r="21">
      <c r="A21" s="16" t="str">
        <f>IFERROR(__xludf.DUMMYFUNCTION("""COMPUTED_VALUE"""),"Abysville Trouble!")</f>
        <v>Abysville Trouble!</v>
      </c>
      <c r="B21" s="16" t="str">
        <f>IFERROR(__xludf.DUMMYFUNCTION("""COMPUTED_VALUE"""),"Abysville is in danger and the only person to help is you. The pesky demons are back and they wanna cause trouble. Defeat 10 Demons.")</f>
        <v>Abysville is in danger and the only person to help is you. The pesky demons are back and they wanna cause trouble. Defeat 10 Demons.</v>
      </c>
      <c r="C21" s="16" t="str">
        <f>IFERROR(__xludf.DUMMYFUNCTION("""COMPUTED_VALUE"""),"Bounty")</f>
        <v>Bounty</v>
      </c>
      <c r="D21" s="16" t="str">
        <f>IFERROR(__xludf.DUMMYFUNCTION("""COMPUTED_VALUE"""),"Abstara")</f>
        <v>Abstara</v>
      </c>
      <c r="E21" s="16">
        <f>IFERROR(__xludf.DUMMYFUNCTION("""COMPUTED_VALUE"""),10.0)</f>
        <v>10</v>
      </c>
    </row>
    <row r="22">
      <c r="A22" s="16" t="str">
        <f>IFERROR(__xludf.DUMMYFUNCTION("""COMPUTED_VALUE"""),"The Unlucky Blacksmith")</f>
        <v>The Unlucky Blacksmith</v>
      </c>
      <c r="B22" s="16" t="str">
        <f>IFERROR(__xludf.DUMMYFUNCTION("""COMPUTED_VALUE"""),"The Blacksmith needs more Powerful fire crystals mined deep within the village of hell, he asked everyone in town to help but no one would. “So for you traveler.” he said, “I will forge a unique weapon out of the crystals you get, and if you have more ite"&amp;"ms for blacksmithing that would be great!” Mine 2500 fire crystals and bring them back to the blacksmith in the City of Flames.")</f>
        <v>The Blacksmith needs more Powerful fire crystals mined deep within the village of hell, he asked everyone in town to help but no one would. “So for you traveler.” he said, “I will forge a unique weapon out of the crystals you get, and if you have more items for blacksmithing that would be great!” Mine 2500 fire crystals and bring them back to the blacksmith in the City of Flames.</v>
      </c>
      <c r="C22" s="16" t="str">
        <f>IFERROR(__xludf.DUMMYFUNCTION("""COMPUTED_VALUE"""),"Side")</f>
        <v>Side</v>
      </c>
      <c r="D22" s="16" t="str">
        <f>IFERROR(__xludf.DUMMYFUNCTION("""COMPUTED_VALUE"""),"Abstara")</f>
        <v>Abstara</v>
      </c>
      <c r="E22" s="16">
        <f>IFERROR(__xludf.DUMMYFUNCTION("""COMPUTED_VALUE"""),2500.0)</f>
        <v>2500</v>
      </c>
    </row>
    <row r="23">
      <c r="A23" s="16" t="str">
        <f>IFERROR(__xludf.DUMMYFUNCTION("""COMPUTED_VALUE"""),"Trials of Undying")</f>
        <v>Trials of Undying</v>
      </c>
      <c r="B23" s="16" t="str">
        <f>IFERROR(__xludf.DUMMYFUNCTION("""COMPUTED_VALUE"""),"The Grand Mage of the city has a very powerful item but he thinks you aren’t worthy of the item. He says “ If you want this item then Prove yourself, by defeating 5 enemies without dying ONCE.” ")</f>
        <v>The Grand Mage of the city has a very powerful item but he thinks you aren’t worthy of the item. He says “ If you want this item then Prove yourself, by defeating 5 enemies without dying ONCE.” </v>
      </c>
      <c r="C23" s="16" t="str">
        <f>IFERROR(__xludf.DUMMYFUNCTION("""COMPUTED_VALUE"""),"Side")</f>
        <v>Side</v>
      </c>
      <c r="D23" s="16" t="str">
        <f>IFERROR(__xludf.DUMMYFUNCTION("""COMPUTED_VALUE"""),"Abstara")</f>
        <v>Abstara</v>
      </c>
      <c r="E23" s="16">
        <f>IFERROR(__xludf.DUMMYFUNCTION("""COMPUTED_VALUE"""),5.0)</f>
        <v>5</v>
      </c>
    </row>
    <row r="24">
      <c r="A24" s="16" t="str">
        <f>IFERROR(__xludf.DUMMYFUNCTION("""COMPUTED_VALUE"""),"The Wild Look About")</f>
        <v>The Wild Look About</v>
      </c>
      <c r="B24" s="16" t="str">
        <f>IFERROR(__xludf.DUMMYFUNCTION("""COMPUTED_VALUE"""),"A Demon Hunter is looking for his pet but it ran away somewhere in the Feral Empire, It is a Saber-Tooth Cat. The Demon Hunter will not let you leave until you have found his cat.")</f>
        <v>A Demon Hunter is looking for his pet but it ran away somewhere in the Feral Empire, It is a Saber-Tooth Cat. The Demon Hunter will not let you leave until you have found his cat.</v>
      </c>
      <c r="C24" s="16" t="str">
        <f>IFERROR(__xludf.DUMMYFUNCTION("""COMPUTED_VALUE"""),"Side")</f>
        <v>Side</v>
      </c>
      <c r="D24" s="16" t="str">
        <f>IFERROR(__xludf.DUMMYFUNCTION("""COMPUTED_VALUE"""),"Abstara")</f>
        <v>Abstara</v>
      </c>
      <c r="E24" s="16">
        <f>IFERROR(__xludf.DUMMYFUNCTION("""COMPUTED_VALUE"""),0.0)</f>
        <v>0</v>
      </c>
    </row>
    <row r="25">
      <c r="A25" s="16" t="str">
        <f>IFERROR(__xludf.DUMMYFUNCTION("""COMPUTED_VALUE"""),"Gargoyle Hunt")</f>
        <v>Gargoyle Hunt</v>
      </c>
      <c r="B25" s="16" t="str">
        <f>IFERROR(__xludf.DUMMYFUNCTION("""COMPUTED_VALUE"""),"Noxus The Gargoyle has lost all of his tiny Gargoyles, There are a total of 100 to collect which can be found by days of travel in Abstara, Mob Drops, Random Loot, etc. Find all of the tiny gargoyles and return them when you find them all.")</f>
        <v>Noxus The Gargoyle has lost all of his tiny Gargoyles, There are a total of 100 to collect which can be found by days of travel in Abstara, Mob Drops, Random Loot, etc. Find all of the tiny gargoyles and return them when you find them all.</v>
      </c>
      <c r="C25" s="16" t="str">
        <f>IFERROR(__xludf.DUMMYFUNCTION("""COMPUTED_VALUE"""),"Side")</f>
        <v>Side</v>
      </c>
      <c r="D25" s="16" t="str">
        <f>IFERROR(__xludf.DUMMYFUNCTION("""COMPUTED_VALUE"""),"Abstara")</f>
        <v>Abstara</v>
      </c>
      <c r="E25" s="16">
        <f>IFERROR(__xludf.DUMMYFUNCTION("""COMPUTED_VALUE"""),100.0)</f>
        <v>100</v>
      </c>
    </row>
    <row r="26">
      <c r="A26" s="16" t="str">
        <f>IFERROR(__xludf.DUMMYFUNCTION("""COMPUTED_VALUE"""),"Satanic Requirements")</f>
        <v>Satanic Requirements</v>
      </c>
      <c r="B26" s="16" t="str">
        <f>IFERROR(__xludf.DUMMYFUNCTION("""COMPUTED_VALUE"""),"Some cult members are in need of items but they are far to weak to even travel without dying. They ask the nearby Party / Traveler to get these items which in return they will give you some unique items.")</f>
        <v>Some cult members are in need of items but they are far to weak to even travel without dying. They ask the nearby Party / Traveler to get these items which in return they will give you some unique items.</v>
      </c>
      <c r="C26" s="16" t="str">
        <f>IFERROR(__xludf.DUMMYFUNCTION("""COMPUTED_VALUE"""),"Side")</f>
        <v>Side</v>
      </c>
      <c r="D26" s="16" t="str">
        <f>IFERROR(__xludf.DUMMYFUNCTION("""COMPUTED_VALUE"""),"Abstara")</f>
        <v>Abstara</v>
      </c>
      <c r="E26" s="16">
        <f>IFERROR(__xludf.DUMMYFUNCTION("""COMPUTED_VALUE"""),0.0)</f>
        <v>0</v>
      </c>
    </row>
    <row r="27">
      <c r="A27" s="16" t="str">
        <f>IFERROR(__xludf.DUMMYFUNCTION("""COMPUTED_VALUE"""),"The Gathering of Souls")</f>
        <v>The Gathering of Souls</v>
      </c>
      <c r="B27" s="16" t="str">
        <f>IFERROR(__xludf.DUMMYFUNCTION("""COMPUTED_VALUE"""),"Once entered the Soul Empire you are greeted by a vampire soldier who says that the king is needing of souls because he hasn’t even had a good meal today, but the king is picky about what he eats, and he will only eat souls, nothing more nothing less, it "&amp;"is your job to collect 100 souls of any kind and bring to the king for his feast.")</f>
        <v>Once entered the Soul Empire you are greeted by a vampire soldier who says that the king is needing of souls because he hasn’t even had a good meal today, but the king is picky about what he eats, and he will only eat souls, nothing more nothing less, it is your job to collect 100 souls of any kind and bring to the king for his feast.</v>
      </c>
      <c r="C27" s="16" t="str">
        <f>IFERROR(__xludf.DUMMYFUNCTION("""COMPUTED_VALUE"""),"Side")</f>
        <v>Side</v>
      </c>
      <c r="D27" s="16" t="str">
        <f>IFERROR(__xludf.DUMMYFUNCTION("""COMPUTED_VALUE"""),"Abstara")</f>
        <v>Abstara</v>
      </c>
      <c r="E27" s="16">
        <f>IFERROR(__xludf.DUMMYFUNCTION("""COMPUTED_VALUE"""),100.0)</f>
        <v>100</v>
      </c>
    </row>
    <row r="28">
      <c r="A28" s="16" t="str">
        <f>IFERROR(__xludf.DUMMYFUNCTION("""COMPUTED_VALUE"""),"The Legend of the Sacred Flaming Pearl")</f>
        <v>The Legend of the Sacred Flaming Pearl</v>
      </c>
      <c r="B28" s="16" t="str">
        <f>IFERROR(__xludf.DUMMYFUNCTION("""COMPUTED_VALUE"""),"You meet a Fishermen who tells you about a long tale about a giant clam who had the most beautiful pearl, this pearl was no ordinary pearl, it was very large in size, shined very brightly through the emptiness of Abstara. This fisherman has only seen it o"&amp;"nce and he would like to finally have it as his own prized possession. The fisherman will give you rare items that he found while fishing for so many years. He will give you Armor so that you can explore the Ember Ocean without worrying about burning aliv"&amp;"e.
When Quest is Accepted: Player receives: Obsidian Armor")</f>
        <v>You meet a Fishermen who tells you about a long tale about a giant clam who had the most beautiful pearl, this pearl was no ordinary pearl, it was very large in size, shined very brightly through the emptiness of Abstara. This fisherman has only seen it once and he would like to finally have it as his own prized possession. The fisherman will give you rare items that he found while fishing for so many years. He will give you Armor so that you can explore the Ember Ocean without worrying about burning alive.
When Quest is Accepted: Player receives: Obsidian Armor</v>
      </c>
      <c r="C28" s="16" t="str">
        <f>IFERROR(__xludf.DUMMYFUNCTION("""COMPUTED_VALUE"""),"Side")</f>
        <v>Side</v>
      </c>
      <c r="D28" s="16" t="str">
        <f>IFERROR(__xludf.DUMMYFUNCTION("""COMPUTED_VALUE"""),"Abstara")</f>
        <v>Abstara</v>
      </c>
      <c r="E28" s="16">
        <f>IFERROR(__xludf.DUMMYFUNCTION("""COMPUTED_VALUE"""),0.0)</f>
        <v>0</v>
      </c>
    </row>
    <row r="29">
      <c r="A29" s="16" t="str">
        <f>IFERROR(__xludf.DUMMYFUNCTION("""COMPUTED_VALUE"""),"The Legendary Catch")</f>
        <v>The Legendary Catch</v>
      </c>
      <c r="B29" s="16" t="str">
        <f>IFERROR(__xludf.DUMMYFUNCTION("""COMPUTED_VALUE"""),"When you enter The Black Lake the players will notice a cottage that is near the Black Lake. The player(s) must enter it to start this quest. When entering the cottage the player(s) will be greeted by an old and wise fisherman, a friend from the one in th"&amp;"e Ember Ocean. He will notice that the player(s) have the Sacred Flaming Pearl in their bag and says something. “ I see, you have slain the big clam known as big bertha. Congrats, but there is still more to this tale you see. There is this one Beast you h"&amp;"ave yet to come by young travelers.” He continues “ Thy, I haven’t seen it in many years, all I remember is that it had an eel-like body, and had some dragon aspects to it. But you need to make preparations to start this fishing experience, are you sure y"&amp;"ou want to go through several hours of pain?”")</f>
        <v>When you enter The Black Lake the players will notice a cottage that is near the Black Lake. The player(s) must enter it to start this quest. When entering the cottage the player(s) will be greeted by an old and wise fisherman, a friend from the one in the Ember Ocean. He will notice that the player(s) have the Sacred Flaming Pearl in their bag and says something. “ I see, you have slain the big clam known as big bertha. Congrats, but there is still more to this tale you see. There is this one Beast you have yet to come by young travelers.” He continues “ Thy, I haven’t seen it in many years, all I remember is that it had an eel-like body, and had some dragon aspects to it. But you need to make preparations to start this fishing experience, are you sure you want to go through several hours of pain?”</v>
      </c>
      <c r="C29" s="16" t="str">
        <f>IFERROR(__xludf.DUMMYFUNCTION("""COMPUTED_VALUE"""),"Side")</f>
        <v>Side</v>
      </c>
      <c r="D29" s="16" t="str">
        <f>IFERROR(__xludf.DUMMYFUNCTION("""COMPUTED_VALUE"""),"Abstara")</f>
        <v>Abstara</v>
      </c>
      <c r="E29" s="16">
        <f>IFERROR(__xludf.DUMMYFUNCTION("""COMPUTED_VALUE"""),0.0)</f>
        <v>0</v>
      </c>
    </row>
    <row r="30">
      <c r="A30" s="16" t="str">
        <f>IFERROR(__xludf.DUMMYFUNCTION("""COMPUTED_VALUE"""),"The Burning Trials of Combat: Part 1")</f>
        <v>The Burning Trials of Combat: Part 1</v>
      </c>
      <c r="B30" s="16" t="str">
        <f>IFERROR(__xludf.DUMMYFUNCTION("""COMPUTED_VALUE"""),"After finally going through the tough battle with the Giant Clam and The Black Serpent Dragon a fisherman invites the player(s) to take on a tougher foe that nobody can defeat. It is the Volcanic Serpent. All party members get their weapons drawn and head"&amp;" fourth to the lava lake’s arena to fight this great beast, as the player(s) enter they see the Volcanic Serpent ready for its next meal. The Player(s) Immediately engage the battle with the beast.")</f>
        <v>After finally going through the tough battle with the Giant Clam and The Black Serpent Dragon a fisherman invites the player(s) to take on a tougher foe that nobody can defeat. It is the Volcanic Serpent. All party members get their weapons drawn and head fourth to the lava lake’s arena to fight this great beast, as the player(s) enter they see the Volcanic Serpent ready for its next meal. The Player(s) Immediately engage the battle with the beast.</v>
      </c>
      <c r="C30" s="16" t="str">
        <f>IFERROR(__xludf.DUMMYFUNCTION("""COMPUTED_VALUE"""),"Side")</f>
        <v>Side</v>
      </c>
      <c r="D30" s="16" t="str">
        <f>IFERROR(__xludf.DUMMYFUNCTION("""COMPUTED_VALUE"""),"Abstara")</f>
        <v>Abstara</v>
      </c>
      <c r="E30" s="16">
        <f>IFERROR(__xludf.DUMMYFUNCTION("""COMPUTED_VALUE"""),0.0)</f>
        <v>0</v>
      </c>
    </row>
    <row r="31">
      <c r="A31" s="16" t="str">
        <f>IFERROR(__xludf.DUMMYFUNCTION("""COMPUTED_VALUE"""),"The Burning Trials of Combat: Part 2")</f>
        <v>The Burning Trials of Combat: Part 2</v>
      </c>
      <c r="B31" s="16" t="str">
        <f>IFERROR(__xludf.DUMMYFUNCTION("""COMPUTED_VALUE"""),"After slaying the Volcanic Serpent the player(s) cheer in victory while the crowd just laughs at the player(s) because they don’t know what is coming next, the player(s) start to notice the crowd laughing, One of the player(s) start yelling at the crowd t"&amp;"hen the party feels vibrations coming from the ground that they were standing on. The Volcanic Serpent now becomes The Waking Ash of the Serpent as the player(s) get ready to attack, the Serpent lets out a loud roar causing the partys d20 rolls to be half"&amp;"ed for 3 rounds as the battle starts.")</f>
        <v>After slaying the Volcanic Serpent the player(s) cheer in victory while the crowd just laughs at the player(s) because they don’t know what is coming next, the player(s) start to notice the crowd laughing, One of the player(s) start yelling at the crowd then the party feels vibrations coming from the ground that they were standing on. The Volcanic Serpent now becomes The Waking Ash of the Serpent as the player(s) get ready to attack, the Serpent lets out a loud roar causing the partys d20 rolls to be halfed for 3 rounds as the battle starts.</v>
      </c>
      <c r="C31" s="16" t="str">
        <f>IFERROR(__xludf.DUMMYFUNCTION("""COMPUTED_VALUE"""),"Side")</f>
        <v>Side</v>
      </c>
      <c r="D31" s="16" t="str">
        <f>IFERROR(__xludf.DUMMYFUNCTION("""COMPUTED_VALUE"""),"Abstara")</f>
        <v>Abstara</v>
      </c>
      <c r="E31" s="16">
        <f>IFERROR(__xludf.DUMMYFUNCTION("""COMPUTED_VALUE"""),0.0)</f>
        <v>0</v>
      </c>
    </row>
    <row r="32">
      <c r="A32" s="16" t="str">
        <f>IFERROR(__xludf.DUMMYFUNCTION("""COMPUTED_VALUE"""),"1. The Firestorm Unleashed")</f>
        <v>1. The Firestorm Unleashed</v>
      </c>
      <c r="B32" s="16" t="str">
        <f>IFERROR(__xludf.DUMMYFUNCTION("""COMPUTED_VALUE"""),"The grand city of Civille, within the Land of Spira, faces an imminent threat as Lord Dreadful's ambitions escalate. A malevolent Dragon Summoner unleashes a fiery terror upon Civille - a Volcanic Void Dragon. Your party crosses paths with Deathblade The "&amp;"Dragon Hunter, a mysterious and skilled warrior who offers his assistance. Together, you must thwart the dragon's destruction and confront the sinister connection between the summoner and Lord Dreadful. This quest sets the stage for the larger battle agai"&amp;"nst Lord Dreadful's forces.")</f>
        <v>The grand city of Civille, within the Land of Spira, faces an imminent threat as Lord Dreadful's ambitions escalate. A malevolent Dragon Summoner unleashes a fiery terror upon Civille - a Volcanic Void Dragon. Your party crosses paths with Deathblade The Dragon Hunter, a mysterious and skilled warrior who offers his assistance. Together, you must thwart the dragon's destruction and confront the sinister connection between the summoner and Lord Dreadful. This quest sets the stage for the larger battle against Lord Dreadful's forces.</v>
      </c>
      <c r="C32" s="16" t="str">
        <f>IFERROR(__xludf.DUMMYFUNCTION("""COMPUTED_VALUE"""),"Main")</f>
        <v>Main</v>
      </c>
      <c r="D32" s="16" t="str">
        <f>IFERROR(__xludf.DUMMYFUNCTION("""COMPUTED_VALUE"""),"Land of Spira, Civille")</f>
        <v>Land of Spira, Civille</v>
      </c>
      <c r="E32" s="16">
        <f>IFERROR(__xludf.DUMMYFUNCTION("""COMPUTED_VALUE"""),0.0)</f>
        <v>0</v>
      </c>
    </row>
    <row r="33">
      <c r="A33" s="16" t="str">
        <f>IFERROR(__xludf.DUMMYFUNCTION("""COMPUTED_VALUE"""),"2. Echoes of Darkness")</f>
        <v>2. Echoes of Darkness</v>
      </c>
      <c r="B33" s="16" t="str">
        <f>IFERROR(__xludf.DUMMYFUNCTION("""COMPUTED_VALUE"""),"After entering the ominous Dead Forest alongside Deathblade, the party finds themselves separated from him, lost in the foreboding wilderness. As they venture deeper, they are beset by groups of undead enemies, and their only lead is a cryptic message fro"&amp;"m a Skeletal Warrior, hinting at a meeting on the western shores of the forest. Intrigued and determined, the party heads in that direction, only to witness a chilling encounter with the Phantom of Lord Dreadful and his menacing Dark Wizards. Their pursui"&amp;"t of the Phantom begins, uncovering hints of a sinister alliance that may pose a new threat.")</f>
        <v>After entering the ominous Dead Forest alongside Deathblade, the party finds themselves separated from him, lost in the foreboding wilderness. As they venture deeper, they are beset by groups of undead enemies, and their only lead is a cryptic message from a Skeletal Warrior, hinting at a meeting on the western shores of the forest. Intrigued and determined, the party heads in that direction, only to witness a chilling encounter with the Phantom of Lord Dreadful and his menacing Dark Wizards. Their pursuit of the Phantom begins, uncovering hints of a sinister alliance that may pose a new threat.</v>
      </c>
      <c r="C33" s="16" t="str">
        <f>IFERROR(__xludf.DUMMYFUNCTION("""COMPUTED_VALUE"""),"Main")</f>
        <v>Main</v>
      </c>
      <c r="D33" s="16" t="str">
        <f>IFERROR(__xludf.DUMMYFUNCTION("""COMPUTED_VALUE"""),"Land of Spira, Dead Forest")</f>
        <v>Land of Spira, Dead Forest</v>
      </c>
      <c r="E33" s="16">
        <f>IFERROR(__xludf.DUMMYFUNCTION("""COMPUTED_VALUE"""),0.0)</f>
        <v>0</v>
      </c>
    </row>
    <row r="34">
      <c r="A34" s="16" t="str">
        <f>IFERROR(__xludf.DUMMYFUNCTION("""COMPUTED_VALUE"""),"3. Beneath the Surface")</f>
        <v>3. Beneath the Surface</v>
      </c>
      <c r="B34" s="16" t="str">
        <f>IFERROR(__xludf.DUMMYFUNCTION("""COMPUTED_VALUE"""),"Upon arriving in Lake Town, the party is compelled to investigate any connections between Lord Dreadful and this enigmatic town. During conversations with the town's guards, they uncover that Lord Dreadful's associates are linked to a series of peculiar d"&amp;"isappearances near the docks. As the party sets up a stakeout at the docks, they observe the arrival of a group of strange cultists and their entrance into a concealed underground passage. With cunning subterfuge and quick thinking, the party infiltrates "&amp;"the cultists' ranks to discover a sinister plot involving the summoning of a being capable of controlling a Spira Guardian. Armed with this critical information, they partner with the local guards for a raid on the cultist fortress.")</f>
        <v>Upon arriving in Lake Town, the party is compelled to investigate any connections between Lord Dreadful and this enigmatic town. During conversations with the town's guards, they uncover that Lord Dreadful's associates are linked to a series of peculiar disappearances near the docks. As the party sets up a stakeout at the docks, they observe the arrival of a group of strange cultists and their entrance into a concealed underground passage. With cunning subterfuge and quick thinking, the party infiltrates the cultists' ranks to discover a sinister plot involving the summoning of a being capable of controlling a Spira Guardian. Armed with this critical information, they partner with the local guards for a raid on the cultist fortress.</v>
      </c>
      <c r="C34" s="16" t="str">
        <f>IFERROR(__xludf.DUMMYFUNCTION("""COMPUTED_VALUE"""),"Main")</f>
        <v>Main</v>
      </c>
      <c r="D34" s="16" t="str">
        <f>IFERROR(__xludf.DUMMYFUNCTION("""COMPUTED_VALUE"""),"Land of Spira, Lake Town")</f>
        <v>Land of Spira, Lake Town</v>
      </c>
      <c r="E34" s="16">
        <f>IFERROR(__xludf.DUMMYFUNCTION("""COMPUTED_VALUE"""),0.0)</f>
        <v>0</v>
      </c>
    </row>
    <row r="35">
      <c r="A35" s="16" t="str">
        <f>IFERROR(__xludf.DUMMYFUNCTION("""COMPUTED_VALUE"""),"4.  Deserts of Vengeance")</f>
        <v>4.  Deserts of Vengeance</v>
      </c>
      <c r="B35" s="16" t="str">
        <f>IFERROR(__xludf.DUMMYFUNCTION("""COMPUTED_VALUE"""),"Your party arrives on the scorching Desert Island, where they find themselves in the midst of chaos and peril. Speaking with the island's guards, you learn that the cultists have fled Lake Town after their hideout was raided. Seeking revenge, they've init"&amp;"iated a plan to summon a horde of Sand Worms to wreak havoc upon the island, threatening its very habitability. To restore peace and safeguard the island, your party embarks on a perilous quest to hunt down and eliminate the marauding Sand Worms.")</f>
        <v>Your party arrives on the scorching Desert Island, where they find themselves in the midst of chaos and peril. Speaking with the island's guards, you learn that the cultists have fled Lake Town after their hideout was raided. Seeking revenge, they've initiated a plan to summon a horde of Sand Worms to wreak havoc upon the island, threatening its very habitability. To restore peace and safeguard the island, your party embarks on a perilous quest to hunt down and eliminate the marauding Sand Worms.</v>
      </c>
      <c r="C35" s="16" t="str">
        <f>IFERROR(__xludf.DUMMYFUNCTION("""COMPUTED_VALUE"""),"Main")</f>
        <v>Main</v>
      </c>
      <c r="D35" s="16" t="str">
        <f>IFERROR(__xludf.DUMMYFUNCTION("""COMPUTED_VALUE"""),"Land of Spira, Desert Island")</f>
        <v>Land of Spira, Desert Island</v>
      </c>
      <c r="E35" s="16">
        <f>IFERROR(__xludf.DUMMYFUNCTION("""COMPUTED_VALUE"""),15.0)</f>
        <v>15</v>
      </c>
    </row>
    <row r="36">
      <c r="A36" s="16" t="str">
        <f>IFERROR(__xludf.DUMMYFUNCTION("""COMPUTED_VALUE"""),"5. Ashen Reckoning")</f>
        <v>5. Ashen Reckoning</v>
      </c>
      <c r="B36" s="16" t="str">
        <f>IFERROR(__xludf.DUMMYFUNCTION("""COMPUTED_VALUE"""),"Seeking fresh leads, the party arrives at Forest View, a seemingly peaceful location to gather information. However, they are met with a devastating sight - The Deep Forest is in flames, and the magnificent Spira Guardian, the Ancient Forest Colossus, has"&amp;" been set ablaze. In a race against time, the party assists in the evacuation of civilians and attempts to douse the flames, but a significant portion of the forest is ultimately reduced to ash. From the guards, they learn that a group of infiltrating fir"&amp;"e mages had conspired to wreak havoc on Forest View at the behest of Lord Dreadful. The party pursues one of the fleeing mages to extract information that reveals Lord Dreadful's ominous intentions for Tritonoch, and his determination to prevent interfere"&amp;"nce from Forest View.")</f>
        <v>Seeking fresh leads, the party arrives at Forest View, a seemingly peaceful location to gather information. However, they are met with a devastating sight - The Deep Forest is in flames, and the magnificent Spira Guardian, the Ancient Forest Colossus, has been set ablaze. In a race against time, the party assists in the evacuation of civilians and attempts to douse the flames, but a significant portion of the forest is ultimately reduced to ash. From the guards, they learn that a group of infiltrating fire mages had conspired to wreak havoc on Forest View at the behest of Lord Dreadful. The party pursues one of the fleeing mages to extract information that reveals Lord Dreadful's ominous intentions for Tritonoch, and his determination to prevent interference from Forest View.</v>
      </c>
      <c r="C36" s="16" t="str">
        <f>IFERROR(__xludf.DUMMYFUNCTION("""COMPUTED_VALUE"""),"Main")</f>
        <v>Main</v>
      </c>
      <c r="D36" s="16" t="str">
        <f>IFERROR(__xludf.DUMMYFUNCTION("""COMPUTED_VALUE"""),"Land of Spira, Forest View")</f>
        <v>Land of Spira, Forest View</v>
      </c>
      <c r="E36" s="16">
        <f>IFERROR(__xludf.DUMMYFUNCTION("""COMPUTED_VALUE"""),0.0)</f>
        <v>0</v>
      </c>
    </row>
    <row r="37">
      <c r="A37" s="16" t="str">
        <f>IFERROR(__xludf.DUMMYFUNCTION("""COMPUTED_VALUE"""),"6.Tides of Deception")</f>
        <v>6.Tides of Deception</v>
      </c>
      <c r="B37" s="16" t="str">
        <f>IFERROR(__xludf.DUMMYFUNCTION("""COMPUTED_VALUE"""),"Eager to set sail for Tritonoch from Forest View, the party embarks on a journey in search of a ship. After struggling to find a way to the distant land, they are approached by a peculiar sailor who offers passage. However, their journey quickly takes a t"&amp;"reacherous turn as the ""sailor"" reveals his allegiance to Lord Dreadful, and the party is thrust into a life-or-death battle on the high seas. They uncover a map to Tritonoch in the captain's quarters but must weather a violent storm that eventually lea"&amp;"ds them to an unexpected and perilous destination - the Ship Graveyard.")</f>
        <v>Eager to set sail for Tritonoch from Forest View, the party embarks on a journey in search of a ship. After struggling to find a way to the distant land, they are approached by a peculiar sailor who offers passage. However, their journey quickly takes a treacherous turn as the "sailor" reveals his allegiance to Lord Dreadful, and the party is thrust into a life-or-death battle on the high seas. They uncover a map to Tritonoch in the captain's quarters but must weather a violent storm that eventually leads them to an unexpected and perilous destination - the Ship Graveyard.</v>
      </c>
      <c r="C37" s="16" t="str">
        <f>IFERROR(__xludf.DUMMYFUNCTION("""COMPUTED_VALUE"""),"Main")</f>
        <v>Main</v>
      </c>
      <c r="D37" s="16" t="str">
        <f>IFERROR(__xludf.DUMMYFUNCTION("""COMPUTED_VALUE"""),"Land of Spira, Port Fawn")</f>
        <v>Land of Spira, Port Fawn</v>
      </c>
      <c r="E37" s="16">
        <f>IFERROR(__xludf.DUMMYFUNCTION("""COMPUTED_VALUE"""),0.0)</f>
        <v>0</v>
      </c>
    </row>
    <row r="38">
      <c r="A38" s="16" t="str">
        <f>IFERROR(__xludf.DUMMYFUNCTION("""COMPUTED_VALUE"""),"7. The Kraken's Lament")</f>
        <v>7. The Kraken's Lament</v>
      </c>
      <c r="B38" s="16" t="str">
        <f>IFERROR(__xludf.DUMMYFUNCTION("""COMPUTED_VALUE"""),"Stranded in the eerie Ship Graveyard, your party faces the daunting task of exploring the derelict vessels for a way out or essential supplies. While searching through the graveyard, you encounter fierce adversaries and uncover an unexpected treasure - a "&amp;"chest concealed within the remains of a ship that once belonged to Lord Dreadful. Breaking open this chest reveals a small, cursed effigy of the Kraken, which, upon touch, dissolves into nothingness, allowing a voice to resonate in your minds. The voice b"&amp;"elongs to the Kraken, imprisoned by Lord Dreadful's dark magic, and he seeks your assistance to restore his energy. The Kraken emerges from the depths to transport your party to Tritonoch to aid him in his quest.")</f>
        <v>Stranded in the eerie Ship Graveyard, your party faces the daunting task of exploring the derelict vessels for a way out or essential supplies. While searching through the graveyard, you encounter fierce adversaries and uncover an unexpected treasure - a chest concealed within the remains of a ship that once belonged to Lord Dreadful. Breaking open this chest reveals a small, cursed effigy of the Kraken, which, upon touch, dissolves into nothingness, allowing a voice to resonate in your minds. The voice belongs to the Kraken, imprisoned by Lord Dreadful's dark magic, and he seeks your assistance to restore his energy. The Kraken emerges from the depths to transport your party to Tritonoch to aid him in his quest.</v>
      </c>
      <c r="C38" s="16" t="str">
        <f>IFERROR(__xludf.DUMMYFUNCTION("""COMPUTED_VALUE"""),"Main")</f>
        <v>Main</v>
      </c>
      <c r="D38" s="16" t="str">
        <f>IFERROR(__xludf.DUMMYFUNCTION("""COMPUTED_VALUE"""),"Land of Spira, Ship Graveyard")</f>
        <v>Land of Spira, Ship Graveyard</v>
      </c>
      <c r="E38" s="16">
        <f>IFERROR(__xludf.DUMMYFUNCTION("""COMPUTED_VALUE"""),0.0)</f>
        <v>0</v>
      </c>
    </row>
    <row r="39">
      <c r="A39" s="16" t="str">
        <f>IFERROR(__xludf.DUMMYFUNCTION("""COMPUTED_VALUE"""),"8. Rise of the Kraken")</f>
        <v>8. Rise of the Kraken</v>
      </c>
      <c r="B39" s="16" t="str">
        <f>IFERROR(__xludf.DUMMYFUNCTION("""COMPUTED_VALUE"""),"The Kraken has transported your party to Tritonoch, only to find the land under the oppressive control of Lord Dreadful's minions who have harnessed the Kraken's energy in a dangerous relic, seeking to revive the malevolent entity, Cthulhu. Your party mus"&amp;"t now join forces with the weakened Kraken to fight through Lord Dreadful's forces, recover the relic, and confront the formidable Skeleton Lord. In a dramatic showdown, the Kraken seizes the relic, but the Skeleton Lord narrowly escapes. With the relic i"&amp;"n the Kraken's possession, he reclaims his full power and eradicates Lord Dreadful's forces, liberating Tritonoch. As gratitude, the Kraken offers to guide your party to the Foul Night Swamp, embarking on another crucial leg of your epic quest.")</f>
        <v>The Kraken has transported your party to Tritonoch, only to find the land under the oppressive control of Lord Dreadful's minions who have harnessed the Kraken's energy in a dangerous relic, seeking to revive the malevolent entity, Cthulhu. Your party must now join forces with the weakened Kraken to fight through Lord Dreadful's forces, recover the relic, and confront the formidable Skeleton Lord. In a dramatic showdown, the Kraken seizes the relic, but the Skeleton Lord narrowly escapes. With the relic in the Kraken's possession, he reclaims his full power and eradicates Lord Dreadful's forces, liberating Tritonoch. As gratitude, the Kraken offers to guide your party to the Foul Night Swamp, embarking on another crucial leg of your epic quest.</v>
      </c>
      <c r="C39" s="16" t="str">
        <f>IFERROR(__xludf.DUMMYFUNCTION("""COMPUTED_VALUE"""),"Main")</f>
        <v>Main</v>
      </c>
      <c r="D39" s="16" t="str">
        <f>IFERROR(__xludf.DUMMYFUNCTION("""COMPUTED_VALUE"""),"Land of Spira, Tritonoch")</f>
        <v>Land of Spira, Tritonoch</v>
      </c>
      <c r="E39" s="16">
        <f>IFERROR(__xludf.DUMMYFUNCTION("""COMPUTED_VALUE"""),0.0)</f>
        <v>0</v>
      </c>
    </row>
    <row r="40">
      <c r="A40" s="16" t="str">
        <f>IFERROR(__xludf.DUMMYFUNCTION("""COMPUTED_VALUE"""),"9. A Foul Night to be in a Swamp")</f>
        <v>9. A Foul Night to be in a Swamp</v>
      </c>
      <c r="B40" s="16" t="str">
        <f>IFERROR(__xludf.DUMMYFUNCTION("""COMPUTED_VALUE"""),"The Kraken safely delivers your party to the foreboding shores of the Foul Night Swamp. As you venture into the nearby town, you quickly become aware that it is plagued by a substantial number of people loyal to Lord Dreadful. With the descent of night, t"&amp;"his treacherous loyalty becomes increasingly evident when your party is attacked by a group of cultists. During the battle, the cultists' leader drops a peculiar medallion, along with a message from Lord Dreadful instructing them to steal the other medall"&amp;"ion from the Lord of Spira in The Red Sands.")</f>
        <v>The Kraken safely delivers your party to the foreboding shores of the Foul Night Swamp. As you venture into the nearby town, you quickly become aware that it is plagued by a substantial number of people loyal to Lord Dreadful. With the descent of night, this treacherous loyalty becomes increasingly evident when your party is attacked by a group of cultists. During the battle, the cultists' leader drops a peculiar medallion, along with a message from Lord Dreadful instructing them to steal the other medallion from the Lord of Spira in The Red Sands.</v>
      </c>
      <c r="C40" s="16" t="str">
        <f>IFERROR(__xludf.DUMMYFUNCTION("""COMPUTED_VALUE"""),"Main")</f>
        <v>Main</v>
      </c>
      <c r="D40" s="16" t="str">
        <f>IFERROR(__xludf.DUMMYFUNCTION("""COMPUTED_VALUE"""),"Land of Spira, Foul Night Swamp")</f>
        <v>Land of Spira, Foul Night Swamp</v>
      </c>
      <c r="E40" s="16">
        <f>IFERROR(__xludf.DUMMYFUNCTION("""COMPUTED_VALUE"""),0.0)</f>
        <v>0</v>
      </c>
    </row>
    <row r="41">
      <c r="A41" s="16" t="str">
        <f>IFERROR(__xludf.DUMMYFUNCTION("""COMPUTED_VALUE"""),"10. A Good Day to Have a Good Day")</f>
        <v>10. A Good Day to Have a Good Day</v>
      </c>
      <c r="B41" s="16" t="str">
        <f>IFERROR(__xludf.DUMMYFUNCTION("""COMPUTED_VALUE"""),"Traveling to The Red Sands, the party passes through the Docile Plains. There, they are set upon by Lord Goose. After defeating Lord Goose, they discover a chest containing a a goose staff.")</f>
        <v>Traveling to The Red Sands, the party passes through the Docile Plains. There, they are set upon by Lord Goose. After defeating Lord Goose, they discover a chest containing a a goose staff.</v>
      </c>
      <c r="C41" s="16" t="str">
        <f>IFERROR(__xludf.DUMMYFUNCTION("""COMPUTED_VALUE"""),"Main")</f>
        <v>Main</v>
      </c>
      <c r="D41" s="16" t="str">
        <f>IFERROR(__xludf.DUMMYFUNCTION("""COMPUTED_VALUE"""),"Land of Spira, Docile Plains")</f>
        <v>Land of Spira, Docile Plains</v>
      </c>
      <c r="E41" s="16">
        <f>IFERROR(__xludf.DUMMYFUNCTION("""COMPUTED_VALUE"""),0.0)</f>
        <v>0</v>
      </c>
    </row>
    <row r="42">
      <c r="A42" s="16" t="str">
        <f>IFERROR(__xludf.DUMMYFUNCTION("""COMPUTED_VALUE"""),"11. Shadows in The Sands")</f>
        <v>11. Shadows in The Sands</v>
      </c>
      <c r="B42" s="16" t="str">
        <f>IFERROR(__xludf.DUMMYFUNCTION("""COMPUTED_VALUE"""),"As your party arrives in The Red Sands and seeks an audience with the Lord of Spira, you are met with resistance from the guards who are on high alert due to an assassination attempt on the Lord's life. The guards also reveal that an important medallion, "&amp;"one of a pair capable of unlocking hidden secrets in the Ruins of Mana, has been stolen. Your party, armed with the medallion you obtained from the Foul Night Swamp, attempts to explain that you received it from cultists who attacked you. However, this on"&amp;"ly leads to your immediate arrest, as the guards believe you are responsible for the theft. While imprisoned, it's discovered that the real assassin is among the guards, a Major General who took the medallion during your arrest and handed it over to Lord "&amp;"Dreadful. He now attempts to eliminate your party to cover his tracks. In a tense battle, your party overcomes the treacherous guard, exposing the truth and earning a meeting with the Lord of Spira. In this meeting, you discover that the Ruins of Mana hol"&amp;"d dangerous and ancient powers that must not fall into the wrong hands. Lord Dreadful is actively seeking access to the Ruins. A sudden development interrupts your meeting, as a guard rushes in with news that the second medallion has been stolen and is he"&amp;"aded for Wildwood. Should the thief get away, Lord Dreadful will possess both medallions, and your party is tasked with pursuing the thief.")</f>
        <v>As your party arrives in The Red Sands and seeks an audience with the Lord of Spira, you are met with resistance from the guards who are on high alert due to an assassination attempt on the Lord's life. The guards also reveal that an important medallion, one of a pair capable of unlocking hidden secrets in the Ruins of Mana, has been stolen. Your party, armed with the medallion you obtained from the Foul Night Swamp, attempts to explain that you received it from cultists who attacked you. However, this only leads to your immediate arrest, as the guards believe you are responsible for the theft. While imprisoned, it's discovered that the real assassin is among the guards, a Major General who took the medallion during your arrest and handed it over to Lord Dreadful. He now attempts to eliminate your party to cover his tracks. In a tense battle, your party overcomes the treacherous guard, exposing the truth and earning a meeting with the Lord of Spira. In this meeting, you discover that the Ruins of Mana hold dangerous and ancient powers that must not fall into the wrong hands. Lord Dreadful is actively seeking access to the Ruins. A sudden development interrupts your meeting, as a guard rushes in with news that the second medallion has been stolen and is headed for Wildwood. Should the thief get away, Lord Dreadful will possess both medallions, and your party is tasked with pursuing the thief.</v>
      </c>
      <c r="C42" s="16" t="str">
        <f>IFERROR(__xludf.DUMMYFUNCTION("""COMPUTED_VALUE"""),"Main")</f>
        <v>Main</v>
      </c>
      <c r="D42" s="16" t="str">
        <f>IFERROR(__xludf.DUMMYFUNCTION("""COMPUTED_VALUE"""),"Land of Spira, Red Sands")</f>
        <v>Land of Spira, Red Sands</v>
      </c>
      <c r="E42" s="16">
        <f>IFERROR(__xludf.DUMMYFUNCTION("""COMPUTED_VALUE"""),0.0)</f>
        <v>0</v>
      </c>
    </row>
    <row r="43">
      <c r="A43" s="16" t="str">
        <f>IFERROR(__xludf.DUMMYFUNCTION("""COMPUTED_VALUE"""),"12. The Pursuit For The Medals")</f>
        <v>12. The Pursuit For The Medals</v>
      </c>
      <c r="B43" s="16" t="str">
        <f>IFERROR(__xludf.DUMMYFUNCTION("""COMPUTED_VALUE"""),"In hot pursuit of the thieves who stole the second medallion, your party passes through the Docile Plains and tracks the thieves to Wildwood. However, the trail becomes elusive as you enter a small village. In your quest for information regarding the meda"&amp;"llions, one of the villagers begins shadowing your party. As your search in the village proves fruitless, night descends, and the villager offers your party a night's stay at their ""Inn."" In the darkness, the villager attempts to murder your party in th"&amp;"eir sleep, revealing their allegiance to Lord Dreadful. The party manages to defeat the treacherous cultist villager. Further investigation in the ""Inn"" leads to the discovery of a secret torture room in the basement. Inside, the party finds the medalli"&amp;"on thief, one of the guards from the Red Sands, who has been brutally beaten. The thief admits to attempting to betray Lord Dreadful and use the medallions for his own gain, but the cultists discovered his intentions and seized the medallions, heading to "&amp;"the Ruins.")</f>
        <v>In hot pursuit of the thieves who stole the second medallion, your party passes through the Docile Plains and tracks the thieves to Wildwood. However, the trail becomes elusive as you enter a small village. In your quest for information regarding the medallions, one of the villagers begins shadowing your party. As your search in the village proves fruitless, night descends, and the villager offers your party a night's stay at their "Inn." In the darkness, the villager attempts to murder your party in their sleep, revealing their allegiance to Lord Dreadful. The party manages to defeat the treacherous cultist villager. Further investigation in the "Inn" leads to the discovery of a secret torture room in the basement. Inside, the party finds the medallion thief, one of the guards from the Red Sands, who has been brutally beaten. The thief admits to attempting to betray Lord Dreadful and use the medallions for his own gain, but the cultists discovered his intentions and seized the medallions, heading to the Ruins.</v>
      </c>
      <c r="C43" s="16" t="str">
        <f>IFERROR(__xludf.DUMMYFUNCTION("""COMPUTED_VALUE"""),"Main")</f>
        <v>Main</v>
      </c>
      <c r="D43" s="16" t="str">
        <f>IFERROR(__xludf.DUMMYFUNCTION("""COMPUTED_VALUE"""),"Land of Spira, WildWood")</f>
        <v>Land of Spira, WildWood</v>
      </c>
      <c r="E43" s="16">
        <f>IFERROR(__xludf.DUMMYFUNCTION("""COMPUTED_VALUE"""),0.0)</f>
        <v>0</v>
      </c>
    </row>
    <row r="44">
      <c r="A44" s="16" t="str">
        <f>IFERROR(__xludf.DUMMYFUNCTION("""COMPUTED_VALUE"""),"13. The Spectacle of Hallowtown")</f>
        <v>13. The Spectacle of Hallowtown</v>
      </c>
      <c r="B44" s="16" t="str">
        <f>IFERROR(__xludf.DUMMYFUNCTION("""COMPUTED_VALUE"""),"Upon reaching Hallowtown, your party is immediately surrounded by skeletons, seemingly engaged in a peculiar celebration. They insist that your party participate, revealing a grand spectacle in progress. You soon learn that a group of three guards had arr"&amp;"ived in Hallowtown in pursuit of the medallions, but their confrontation with the town's residents led to their capture. The town intends to execute them that night in a grand spectacle. Faced with a moral dilemma, your party decides to intervene, breakin"&amp;"g into the spectacle to free the guards. Upon their liberation, the guards disclose that the cultists with the medallions have already passed through.")</f>
        <v>Upon reaching Hallowtown, your party is immediately surrounded by skeletons, seemingly engaged in a peculiar celebration. They insist that your party participate, revealing a grand spectacle in progress. You soon learn that a group of three guards had arrived in Hallowtown in pursuit of the medallions, but their confrontation with the town's residents led to their capture. The town intends to execute them that night in a grand spectacle. Faced with a moral dilemma, your party decides to intervene, breaking into the spectacle to free the guards. Upon their liberation, the guards disclose that the cultists with the medallions have already passed through.</v>
      </c>
      <c r="C44" s="16" t="str">
        <f>IFERROR(__xludf.DUMMYFUNCTION("""COMPUTED_VALUE"""),"Main")</f>
        <v>Main</v>
      </c>
      <c r="D44" s="16" t="str">
        <f>IFERROR(__xludf.DUMMYFUNCTION("""COMPUTED_VALUE"""),"Land of Spira, Hallowtown")</f>
        <v>Land of Spira, Hallowtown</v>
      </c>
      <c r="E44" s="16">
        <f>IFERROR(__xludf.DUMMYFUNCTION("""COMPUTED_VALUE"""),0.0)</f>
        <v>0</v>
      </c>
    </row>
    <row r="45">
      <c r="A45" s="16" t="str">
        <f>IFERROR(__xludf.DUMMYFUNCTION("""COMPUTED_VALUE"""),"14. The Power of Mana")</f>
        <v>14. The Power of Mana</v>
      </c>
      <c r="B45" s="16" t="str">
        <f>IFERROR(__xludf.DUMMYFUNCTION("""COMPUTED_VALUE"""),"Lord Dreadful's minions have already arrived at the Ruins of Mana, with the players hot on their trail. Upon reaching the area, however, the players find no living trace of the minions. They approach one of the buildings, but are attacked by two Ancient S"&amp;"tone Guards. The party fight them off, but more appear, chasing the players into the building. They find the minions of Lord Dreadful, already defeated by the Guards, one of the minions holding the medallions. One of the players grab the medallions, at wh"&amp;"ich point the Guards immediately cease their attack. They position themselves between the party and the path deeper into the Ruins, and tells the party that minions of Lord Dreadful are not welcome here, so they must leave. The Guards refuse to listen to "&amp;"anything of the party saying they're not Lord Dreadful's minions, and the party is forced to leave for the time being. Returning the medallions to the Lord of Spira, the party is told to keep them for safekeeping, and sent to the Frozen Forest to investig"&amp;"ate Lord Dreadful's movements there...")</f>
        <v>Lord Dreadful's minions have already arrived at the Ruins of Mana, with the players hot on their trail. Upon reaching the area, however, the players find no living trace of the minions. They approach one of the buildings, but are attacked by two Ancient Stone Guards. The party fight them off, but more appear, chasing the players into the building. They find the minions of Lord Dreadful, already defeated by the Guards, one of the minions holding the medallions. One of the players grab the medallions, at which point the Guards immediately cease their attack. They position themselves between the party and the path deeper into the Ruins, and tells the party that minions of Lord Dreadful are not welcome here, so they must leave. The Guards refuse to listen to anything of the party saying they're not Lord Dreadful's minions, and the party is forced to leave for the time being. Returning the medallions to the Lord of Spira, the party is told to keep them for safekeeping, and sent to the Frozen Forest to investigate Lord Dreadful's movements there...</v>
      </c>
      <c r="C45" s="16" t="str">
        <f>IFERROR(__xludf.DUMMYFUNCTION("""COMPUTED_VALUE"""),"Main")</f>
        <v>Main</v>
      </c>
      <c r="D45" s="16" t="str">
        <f>IFERROR(__xludf.DUMMYFUNCTION("""COMPUTED_VALUE"""),"Land of Spira, Ruins of Mana")</f>
        <v>Land of Spira, Ruins of Mana</v>
      </c>
      <c r="E45" s="16">
        <f>IFERROR(__xludf.DUMMYFUNCTION("""COMPUTED_VALUE"""),0.0)</f>
        <v>0</v>
      </c>
    </row>
    <row r="46">
      <c r="A46" s="16" t="str">
        <f>IFERROR(__xludf.DUMMYFUNCTION("""COMPUTED_VALUE"""),"15. A Cold Time")</f>
        <v>15. A Cold Time</v>
      </c>
      <c r="B46" s="16" t="str">
        <f>IFERROR(__xludf.DUMMYFUNCTION("""COMPUTED_VALUE"""),"The party attempts to travel through the Cursed Iceland to make it to the Frozen Forest, but are faced with 5 battles against Big Frost Owls and Frost Knights. They must fight way through to make it to the Frozen Forest")</f>
        <v>The party attempts to travel through the Cursed Iceland to make it to the Frozen Forest, but are faced with 5 battles against Big Frost Owls and Frost Knights. They must fight way through to make it to the Frozen Forest</v>
      </c>
      <c r="C46" s="16" t="str">
        <f>IFERROR(__xludf.DUMMYFUNCTION("""COMPUTED_VALUE"""),"Main")</f>
        <v>Main</v>
      </c>
      <c r="D46" s="16" t="str">
        <f>IFERROR(__xludf.DUMMYFUNCTION("""COMPUTED_VALUE"""),"Land of Spira, Cursed Iceland")</f>
        <v>Land of Spira, Cursed Iceland</v>
      </c>
      <c r="E46" s="16">
        <f>IFERROR(__xludf.DUMMYFUNCTION("""COMPUTED_VALUE"""),5.0)</f>
        <v>5</v>
      </c>
    </row>
    <row r="47">
      <c r="A47" s="16" t="str">
        <f>IFERROR(__xludf.DUMMYFUNCTION("""COMPUTED_VALUE"""),"16. A Frozen Reception")</f>
        <v>16. A Frozen Reception</v>
      </c>
      <c r="B47" s="16" t="str">
        <f>IFERROR(__xludf.DUMMYFUNCTION("""COMPUTED_VALUE"""),"Arriving in the Frozen Forest, the group attempts to see the queen, but are told that she is preoccupied with the movement of Lord Dreadful's troops around the Treacherous Ice Lake. The party offers to help the problem, and are told they'd be perfect for "&amp;"a mission to sneak into Lord Dreadful's Tower of Chaos at Silence Edge Point. The disguises however require pieces from Shadow Suits of armor, 15 of them to be exact, so the party must go hunt them down.")</f>
        <v>Arriving in the Frozen Forest, the group attempts to see the queen, but are told that she is preoccupied with the movement of Lord Dreadful's troops around the Treacherous Ice Lake. The party offers to help the problem, and are told they'd be perfect for a mission to sneak into Lord Dreadful's Tower of Chaos at Silence Edge Point. The disguises however require pieces from Shadow Suits of armor, 15 of them to be exact, so the party must go hunt them down.</v>
      </c>
      <c r="C47" s="16" t="str">
        <f>IFERROR(__xludf.DUMMYFUNCTION("""COMPUTED_VALUE"""),"Main")</f>
        <v>Main</v>
      </c>
      <c r="D47" s="16" t="str">
        <f>IFERROR(__xludf.DUMMYFUNCTION("""COMPUTED_VALUE"""),"Land of Spira, Frozen Forest")</f>
        <v>Land of Spira, Frozen Forest</v>
      </c>
      <c r="E47" s="16">
        <f>IFERROR(__xludf.DUMMYFUNCTION("""COMPUTED_VALUE"""),15.0)</f>
        <v>15</v>
      </c>
    </row>
    <row r="48">
      <c r="A48" s="16" t="str">
        <f>IFERROR(__xludf.DUMMYFUNCTION("""COMPUTED_VALUE"""),"17. Dreadful Encounter")</f>
        <v>17. Dreadful Encounter</v>
      </c>
      <c r="B48" s="16" t="str">
        <f>IFERROR(__xludf.DUMMYFUNCTION("""COMPUTED_VALUE"""),"The party are disguised as Lord Dreadful's minions and manage to sneak through Silence Edge Point all the way to the Tower of Chaos. They manage to sneak in, and make their way through various war rooms with plans to invade and destabilize numerous region"&amp;"s: triggering a war between Black Horn,Tritonoch, and the Undead City; orders for deadly items from Mekana; correspondence with some mages in the Chaotic Seas; invasion plans for Zhenmay and the Frozen Terrain; and more documents the party doesn't have ti"&amp;"me to read before they are disturbed by Lord Dreadful himself, flanked by his Phantom and his two Horsemen. They immediately see through the party's disguise and attack them. During the battle, the party is thoroughly thrashed and are forced to run away, "&amp;"ending up in the Jungle of Shadows")</f>
        <v>The party are disguised as Lord Dreadful's minions and manage to sneak through Silence Edge Point all the way to the Tower of Chaos. They manage to sneak in, and make their way through various war rooms with plans to invade and destabilize numerous regions: triggering a war between Black Horn,Tritonoch, and the Undead City; orders for deadly items from Mekana; correspondence with some mages in the Chaotic Seas; invasion plans for Zhenmay and the Frozen Terrain; and more documents the party doesn't have time to read before they are disturbed by Lord Dreadful himself, flanked by his Phantom and his two Horsemen. They immediately see through the party's disguise and attack them. During the battle, the party is thoroughly thrashed and are forced to run away, ending up in the Jungle of Shadows</v>
      </c>
      <c r="C48" s="16" t="str">
        <f>IFERROR(__xludf.DUMMYFUNCTION("""COMPUTED_VALUE"""),"Main")</f>
        <v>Main</v>
      </c>
      <c r="D48" s="16" t="str">
        <f>IFERROR(__xludf.DUMMYFUNCTION("""COMPUTED_VALUE"""),"Land of Spira, Silence Edge Point")</f>
        <v>Land of Spira, Silence Edge Point</v>
      </c>
      <c r="E48" s="16">
        <f>IFERROR(__xludf.DUMMYFUNCTION("""COMPUTED_VALUE"""),0.0)</f>
        <v>0</v>
      </c>
    </row>
    <row r="49">
      <c r="A49" s="16" t="str">
        <f>IFERROR(__xludf.DUMMYFUNCTION("""COMPUTED_VALUE"""),"18. Obtaining Passage")</f>
        <v>18. Obtaining Passage</v>
      </c>
      <c r="B49" s="16" t="str">
        <f>IFERROR(__xludf.DUMMYFUNCTION("""COMPUTED_VALUE"""),"The party decides to deal with the attempted breakout of war in Black Horn, but are unable to enter Black Horn. They begin searching the Jungle of Shadows for the Chaotic Temple of Shadows, which is rumored to have a potion that allows the living to pass "&amp;"through Undead-only barriers like that which surrounds Black Horn. Eventually they find the Temple and enter. As they search around, they eventually find the potion, but it only allows one round trip through such barriers before wearing off.")</f>
        <v>The party decides to deal with the attempted breakout of war in Black Horn, but are unable to enter Black Horn. They begin searching the Jungle of Shadows for the Chaotic Temple of Shadows, which is rumored to have a potion that allows the living to pass through Undead-only barriers like that which surrounds Black Horn. Eventually they find the Temple and enter. As they search around, they eventually find the potion, but it only allows one round trip through such barriers before wearing off.</v>
      </c>
      <c r="C49" s="16" t="str">
        <f>IFERROR(__xludf.DUMMYFUNCTION("""COMPUTED_VALUE"""),"Main")</f>
        <v>Main</v>
      </c>
      <c r="D49" s="16" t="str">
        <f>IFERROR(__xludf.DUMMYFUNCTION("""COMPUTED_VALUE"""),"Land of Spira, Jungle of Shadows")</f>
        <v>Land of Spira, Jungle of Shadows</v>
      </c>
      <c r="E49" s="16">
        <f>IFERROR(__xludf.DUMMYFUNCTION("""COMPUTED_VALUE"""),0.0)</f>
        <v>0</v>
      </c>
    </row>
    <row r="50">
      <c r="A50" s="16" t="str">
        <f>IFERROR(__xludf.DUMMYFUNCTION("""COMPUTED_VALUE"""),"19. A Day of Negotiations")</f>
        <v>19. A Day of Negotiations</v>
      </c>
      <c r="B50" s="16" t="str">
        <f>IFERROR(__xludf.DUMMYFUNCTION("""COMPUTED_VALUE"""),"The party uses the potion and enters Black Horn. They bring news that Lord Dreadful is attempting to ignite a war, and are given an audience with the Skeleton Colossus. They report on what they found and are informed that the Skeleton Colossus is awaiting"&amp;" for word from Tritonoch and the City of Undead on a peace treaty. The Skeleton Colossus asks the party to sit in on the negotiations due to their previous adventures with Deathblade and the Kraken. Both Deathblade and the Kraken eventually arrive and the"&amp;" negotiations begin. During the negotiations, Deathblade makes more and more ridiculous demands and acts erratic, and eventually he attacks one of the Skeleton Colossus' vassals, declaring that this is a time for action and war instead of lifeless talks o"&amp;"f peace, and reveals himself to be allied with Lord Dreadful. A battle breaks out between Deathblade's reinforcements and the forces of Black Horn and the Kraken. Deathblade escapes, and the party's attempts to prevent a war has ended in failure.")</f>
        <v>The party uses the potion and enters Black Horn. They bring news that Lord Dreadful is attempting to ignite a war, and are given an audience with the Skeleton Colossus. They report on what they found and are informed that the Skeleton Colossus is awaiting for word from Tritonoch and the City of Undead on a peace treaty. The Skeleton Colossus asks the party to sit in on the negotiations due to their previous adventures with Deathblade and the Kraken. Both Deathblade and the Kraken eventually arrive and the negotiations begin. During the negotiations, Deathblade makes more and more ridiculous demands and acts erratic, and eventually he attacks one of the Skeleton Colossus' vassals, declaring that this is a time for action and war instead of lifeless talks of peace, and reveals himself to be allied with Lord Dreadful. A battle breaks out between Deathblade's reinforcements and the forces of Black Horn and the Kraken. Deathblade escapes, and the party's attempts to prevent a war has ended in failure.</v>
      </c>
      <c r="C50" s="16" t="str">
        <f>IFERROR(__xludf.DUMMYFUNCTION("""COMPUTED_VALUE"""),"Main")</f>
        <v>Main</v>
      </c>
      <c r="D50" s="16" t="str">
        <f>IFERROR(__xludf.DUMMYFUNCTION("""COMPUTED_VALUE"""),"Land of Spira, Black Horn")</f>
        <v>Land of Spira, Black Horn</v>
      </c>
      <c r="E50" s="16">
        <f>IFERROR(__xludf.DUMMYFUNCTION("""COMPUTED_VALUE"""),0.0)</f>
        <v>0</v>
      </c>
    </row>
    <row r="51">
      <c r="A51" s="16" t="str">
        <f>IFERROR(__xludf.DUMMYFUNCTION("""COMPUTED_VALUE"""),"20. Mekanized Heroes")</f>
        <v>20. Mekanized Heroes</v>
      </c>
      <c r="B51" s="16" t="str">
        <f>IFERROR(__xludf.DUMMYFUNCTION("""COMPUTED_VALUE"""),"With defeat stinging their pride, the party presses on to the next of Lord Dreadful's plans: an order of deadly new weaponry from Mekana. The party heads to Mekana and quickly gets an audience with the King of Mekana. The King initially seems worried that"&amp;" Lord Dreadful would be ordering such dangerous items, and offers to help the party with some cybernetic enhancements they'll need to hunt down and destroy Lord Dreadful's order. Using their new enhancements, the players track down the company working for"&amp;" Lord Dreadful. Before they can put a stop to it however, their parts lock up, preventing them from stopping the shipping being sent away. Stumbling through the streets, they find a street mechanic that offers to have a look at them. The mechanic reveals "&amp;"they've been tricked, the parts were sabotoged, the King of Mekana was in on it! The mechanic disables some of the locks on the parts, but will need the original schematics to remove them completely. The party must sneak through the factory and find the s"&amp;"chematics, then bring them back to be restored to normal.")</f>
        <v>With defeat stinging their pride, the party presses on to the next of Lord Dreadful's plans: an order of deadly new weaponry from Mekana. The party heads to Mekana and quickly gets an audience with the King of Mekana. The King initially seems worried that Lord Dreadful would be ordering such dangerous items, and offers to help the party with some cybernetic enhancements they'll need to hunt down and destroy Lord Dreadful's order. Using their new enhancements, the players track down the company working for Lord Dreadful. Before they can put a stop to it however, their parts lock up, preventing them from stopping the shipping being sent away. Stumbling through the streets, they find a street mechanic that offers to have a look at them. The mechanic reveals they've been tricked, the parts were sabotoged, the King of Mekana was in on it! The mechanic disables some of the locks on the parts, but will need the original schematics to remove them completely. The party must sneak through the factory and find the schematics, then bring them back to be restored to normal.</v>
      </c>
      <c r="C51" s="16" t="str">
        <f>IFERROR(__xludf.DUMMYFUNCTION("""COMPUTED_VALUE"""),"Main")</f>
        <v>Main</v>
      </c>
      <c r="D51" s="16" t="str">
        <f>IFERROR(__xludf.DUMMYFUNCTION("""COMPUTED_VALUE"""),"Land of Spira, Mekana")</f>
        <v>Land of Spira, Mekana</v>
      </c>
      <c r="E51" s="16">
        <f>IFERROR(__xludf.DUMMYFUNCTION("""COMPUTED_VALUE"""),0.0)</f>
        <v>0</v>
      </c>
    </row>
    <row r="52">
      <c r="A52" s="16" t="str">
        <f>IFERROR(__xludf.DUMMYFUNCTION("""COMPUTED_VALUE"""),"21. Go North Young Man")</f>
        <v>21. Go North Young Man</v>
      </c>
      <c r="B52" s="16" t="str">
        <f>IFERROR(__xludf.DUMMYFUNCTION("""COMPUTED_VALUE"""),"The party makes their way to Zhenmay, hoping to have a victory after two crushing defeats. They begin their investigation by asking the guards for any suspicious activity that could be linked to Lord Dreadful. The party is informed that Elder Monk Kenyu h"&amp;"as gone missing and they were about to raid the suspected perpetrators' hideout. The party is not allowed to join the guards, but stick nearby to keep an eye on things. They discover a group of goblins and spirit warriors escaping from the area and fight "&amp;"them. They drop a message saying that Kenyu has been taken to the Frozen Terrain.")</f>
        <v>The party makes their way to Zhenmay, hoping to have a victory after two crushing defeats. They begin their investigation by asking the guards for any suspicious activity that could be linked to Lord Dreadful. The party is informed that Elder Monk Kenyu has gone missing and they were about to raid the suspected perpetrators' hideout. The party is not allowed to join the guards, but stick nearby to keep an eye on things. They discover a group of goblins and spirit warriors escaping from the area and fight them. They drop a message saying that Kenyu has been taken to the Frozen Terrain.</v>
      </c>
      <c r="C52" s="16" t="str">
        <f>IFERROR(__xludf.DUMMYFUNCTION("""COMPUTED_VALUE"""),"Main")</f>
        <v>Main</v>
      </c>
      <c r="D52" s="16" t="str">
        <f>IFERROR(__xludf.DUMMYFUNCTION("""COMPUTED_VALUE"""),"Land of Spira, Zhenmay")</f>
        <v>Land of Spira, Zhenmay</v>
      </c>
      <c r="E52" s="16">
        <f>IFERROR(__xludf.DUMMYFUNCTION("""COMPUTED_VALUE"""),0.0)</f>
        <v>0</v>
      </c>
    </row>
    <row r="53">
      <c r="A53" s="16" t="str">
        <f>IFERROR(__xludf.DUMMYFUNCTION("""COMPUTED_VALUE"""),"22. Go West Now")</f>
        <v>22. Go West Now</v>
      </c>
      <c r="B53" s="16" t="str">
        <f>IFERROR(__xludf.DUMMYFUNCTION("""COMPUTED_VALUE"""),"The group enter the Northern Frozen Terrain in search of where Kenyu may be held. They meet with the King and Queen of the Frozen Terrain and are informed that they have agents all across the Frozen Terrain looking for Kenyu, but that Lord Dreadful's forc"&amp;"es massing in the Western Frozen Terrain has been holding their attention. If the party goes deals with it then they'll be able to look for Kenyu better. The party is asked to look for someone that can take them to the West, but while looking they are att"&amp;"acked by a Bounty Hunter hired by Lord Dreadful. They defeat the enemy, and head to the West")</f>
        <v>The group enter the Northern Frozen Terrain in search of where Kenyu may be held. They meet with the King and Queen of the Frozen Terrain and are informed that they have agents all across the Frozen Terrain looking for Kenyu, but that Lord Dreadful's forces massing in the Western Frozen Terrain has been holding their attention. If the party goes deals with it then they'll be able to look for Kenyu better. The party is asked to look for someone that can take them to the West, but while looking they are attacked by a Bounty Hunter hired by Lord Dreadful. They defeat the enemy, and head to the West</v>
      </c>
      <c r="C53" s="16" t="str">
        <f>IFERROR(__xludf.DUMMYFUNCTION("""COMPUTED_VALUE"""),"Main")</f>
        <v>Main</v>
      </c>
      <c r="D53" s="16" t="str">
        <f>IFERROR(__xludf.DUMMYFUNCTION("""COMPUTED_VALUE"""),"Land of Spira, Northern Frozen Terrain")</f>
        <v>Land of Spira, Northern Frozen Terrain</v>
      </c>
      <c r="E53" s="16">
        <f>IFERROR(__xludf.DUMMYFUNCTION("""COMPUTED_VALUE"""),0.0)</f>
        <v>0</v>
      </c>
    </row>
    <row r="54">
      <c r="A54" s="16" t="str">
        <f>IFERROR(__xludf.DUMMYFUNCTION("""COMPUTED_VALUE"""),"23. Below Zero")</f>
        <v>23. Below Zero</v>
      </c>
      <c r="B54" s="16" t="str">
        <f>IFERROR(__xludf.DUMMYFUNCTION("""COMPUTED_VALUE"""),"The players approach the outskirts of the army of Lord Dreadful's minions. They spy that the forces are being led by the Phantom of Lord Dreadful. Their guide tells them of a plan to cause an avalanche and bury the army, and hands them some explosives and"&amp;" send them up a mountain. The party is seen by guards and must fight through waves of enemies before reaching the top. They set off the explosives, crushing the army under tons of snow. When they return to their guide they are congratulated on a job well "&amp;"done, but are told he saw the Phantom of Lord Dreadful leave beforehand.")</f>
        <v>The players approach the outskirts of the army of Lord Dreadful's minions. They spy that the forces are being led by the Phantom of Lord Dreadful. Their guide tells them of a plan to cause an avalanche and bury the army, and hands them some explosives and send them up a mountain. The party is seen by guards and must fight through waves of enemies before reaching the top. They set off the explosives, crushing the army under tons of snow. When they return to their guide they are congratulated on a job well done, but are told he saw the Phantom of Lord Dreadful leave beforehand.</v>
      </c>
      <c r="C54" s="16" t="str">
        <f>IFERROR(__xludf.DUMMYFUNCTION("""COMPUTED_VALUE"""),"Main")</f>
        <v>Main</v>
      </c>
      <c r="D54" s="16" t="str">
        <f>IFERROR(__xludf.DUMMYFUNCTION("""COMPUTED_VALUE"""),"Land of Spira, Western Frozen Terrain")</f>
        <v>Land of Spira, Western Frozen Terrain</v>
      </c>
      <c r="E54" s="16">
        <f>IFERROR(__xludf.DUMMYFUNCTION("""COMPUTED_VALUE"""),0.0)</f>
        <v>0</v>
      </c>
    </row>
    <row r="55">
      <c r="A55" s="16" t="str">
        <f>IFERROR(__xludf.DUMMYFUNCTION("""COMPUTED_VALUE"""),"24. Trouble in the Frozen Terrain, eh?")</f>
        <v>24. Trouble in the Frozen Terrain, eh?</v>
      </c>
      <c r="B55" s="16" t="str">
        <f>IFERROR(__xludf.DUMMYFUNCTION("""COMPUTED_VALUE"""),"After returning to the King and Queen of the Frozen Terrain, the party reports their mission in the Western Frozen Terrain as a success. The King and Queen divert some of their spies and informants to look into Kenyu's disappearance and instructs the part"&amp;"y to meet up with a duo of informants on the border to Zhenmay the next morning. The party arrive to meet the informants, but finds them under attack by the Phantom of Lord Dreadful! The party rushes in and defeats Lord Dreadful's Phantom, but when the ba"&amp;"ttle is over the Phantom is revealed to be a fake, conjured by an unknown power. The informants thank the party for the help, and tell them that a group of Lord Dreadful's minions were sighted constructing a makeshift prison in the Eastern Frozen Terrain,"&amp;" and Elder Monk Kenyu is believed to be there...")</f>
        <v>After returning to the King and Queen of the Frozen Terrain, the party reports their mission in the Western Frozen Terrain as a success. The King and Queen divert some of their spies and informants to look into Kenyu's disappearance and instructs the party to meet up with a duo of informants on the border to Zhenmay the next morning. The party arrive to meet the informants, but finds them under attack by the Phantom of Lord Dreadful! The party rushes in and defeats Lord Dreadful's Phantom, but when the battle is over the Phantom is revealed to be a fake, conjured by an unknown power. The informants thank the party for the help, and tell them that a group of Lord Dreadful's minions were sighted constructing a makeshift prison in the Eastern Frozen Terrain, and Elder Monk Kenyu is believed to be there...</v>
      </c>
      <c r="C55" s="16" t="str">
        <f>IFERROR(__xludf.DUMMYFUNCTION("""COMPUTED_VALUE"""),"Main")</f>
        <v>Main</v>
      </c>
      <c r="D55" s="16" t="str">
        <f>IFERROR(__xludf.DUMMYFUNCTION("""COMPUTED_VALUE"""),"Land of Spira, Northern Frozen Terrain")</f>
        <v>Land of Spira, Northern Frozen Terrain</v>
      </c>
      <c r="E55" s="16">
        <f>IFERROR(__xludf.DUMMYFUNCTION("""COMPUTED_VALUE"""),0.0)</f>
        <v>0</v>
      </c>
    </row>
    <row r="56">
      <c r="A56" s="16" t="str">
        <f>IFERROR(__xludf.DUMMYFUNCTION("""COMPUTED_VALUE"""),"25. A Daring Rescue")</f>
        <v>25. A Daring Rescue</v>
      </c>
      <c r="B56" s="16" t="str">
        <f>IFERROR(__xludf.DUMMYFUNCTION("""COMPUTED_VALUE"""),"The party investigate the makeshift prison being used to hold Elder Monk Kenyu. They find it's in the middle of nowhere but heavily guarded by various frost monsters. Unfortunately, they're quickly seen and must fight their way through wave after wave of "&amp;"enemies to reach the Elder Monk. They eventually make it through and make it to the holding cell. After breaking Kenyu out, they work together to make their escape and then travel back to Zhenmay. Along the way, Kenyu says they were stealing energy from h"&amp;"im to use for something in the Dryland Desert.")</f>
        <v>The party investigate the makeshift prison being used to hold Elder Monk Kenyu. They find it's in the middle of nowhere but heavily guarded by various frost monsters. Unfortunately, they're quickly seen and must fight their way through wave after wave of enemies to reach the Elder Monk. They eventually make it through and make it to the holding cell. After breaking Kenyu out, they work together to make their escape and then travel back to Zhenmay. Along the way, Kenyu says they were stealing energy from him to use for something in the Dryland Desert.</v>
      </c>
      <c r="C56" s="16" t="str">
        <f>IFERROR(__xludf.DUMMYFUNCTION("""COMPUTED_VALUE"""),"Main")</f>
        <v>Main</v>
      </c>
      <c r="D56" s="16" t="str">
        <f>IFERROR(__xludf.DUMMYFUNCTION("""COMPUTED_VALUE"""),"Land of Spira, Eastern Frozen Terrain")</f>
        <v>Land of Spira, Eastern Frozen Terrain</v>
      </c>
      <c r="E56" s="16">
        <f>IFERROR(__xludf.DUMMYFUNCTION("""COMPUTED_VALUE"""),0.0)</f>
        <v>0</v>
      </c>
    </row>
    <row r="57">
      <c r="A57" s="16" t="str">
        <f>IFERROR(__xludf.DUMMYFUNCTION("""COMPUTED_VALUE"""),"26. A Return")</f>
        <v>26. A Return</v>
      </c>
      <c r="B57" s="16" t="str">
        <f>IFERROR(__xludf.DUMMYFUNCTION("""COMPUTED_VALUE"""),"Upon returning to Zhenmay, the party is greated warmly for saving Elder Monk Kenyu. However, the party learns that some of his kidnappers are still at large in the city. They must track down the remaining 20 enemies, consisting of vampires, spirit warrior"&amp;"s, cursed ronin, and blood monks before going on their way. Once all the kidnappers are brought to justice, Elder Monk Kenyu asks them to head to the Dryland Desert and put a stop to whatever the enemy plans to use his energy for.")</f>
        <v>Upon returning to Zhenmay, the party is greated warmly for saving Elder Monk Kenyu. However, the party learns that some of his kidnappers are still at large in the city. They must track down the remaining 20 enemies, consisting of vampires, spirit warriors, cursed ronin, and blood monks before going on their way. Once all the kidnappers are brought to justice, Elder Monk Kenyu asks them to head to the Dryland Desert and put a stop to whatever the enemy plans to use his energy for.</v>
      </c>
      <c r="C57" s="16" t="str">
        <f>IFERROR(__xludf.DUMMYFUNCTION("""COMPUTED_VALUE"""),"Main")</f>
        <v>Main</v>
      </c>
      <c r="D57" s="16" t="str">
        <f>IFERROR(__xludf.DUMMYFUNCTION("""COMPUTED_VALUE"""),"Land of Spira, Zhenmay")</f>
        <v>Land of Spira, Zhenmay</v>
      </c>
      <c r="E57" s="16">
        <f>IFERROR(__xludf.DUMMYFUNCTION("""COMPUTED_VALUE"""),20.0)</f>
        <v>20</v>
      </c>
    </row>
    <row r="58">
      <c r="A58" s="16" t="str">
        <f>IFERROR(__xludf.DUMMYFUNCTION("""COMPUTED_VALUE"""),"27. From the Desert of Frost to the Desert of Sand")</f>
        <v>27. From the Desert of Frost to the Desert of Sand</v>
      </c>
      <c r="B58" s="16" t="str">
        <f>IFERROR(__xludf.DUMMYFUNCTION("""COMPUTED_VALUE"""),"The party arrive in the Dryland Desert and set to work figuring out what Lord Dreadful is planning. They track a mysterious man bearing the same symbol that was plaster about the prison, and eventually corner and interrogate him. He says he doesn't know w"&amp;"hat the energy is FOR but he does know it's been stored in 5 artifacts that have been spread around the Desert. The players must explore the Desert and find all 5. Upon finding the fifth, they notice that it was only recently placed, and notice track head"&amp;"ing out to the Dryland Mesa...")</f>
        <v>The party arrive in the Dryland Desert and set to work figuring out what Lord Dreadful is planning. They track a mysterious man bearing the same symbol that was plaster about the prison, and eventually corner and interrogate him. He says he doesn't know what the energy is FOR but he does know it's been stored in 5 artifacts that have been spread around the Desert. The players must explore the Desert and find all 5. Upon finding the fifth, they notice that it was only recently placed, and notice track heading out to the Dryland Mesa...</v>
      </c>
      <c r="C58" s="16" t="str">
        <f>IFERROR(__xludf.DUMMYFUNCTION("""COMPUTED_VALUE"""),"Main")</f>
        <v>Main</v>
      </c>
      <c r="D58" s="16" t="str">
        <f>IFERROR(__xludf.DUMMYFUNCTION("""COMPUTED_VALUE"""),"Land of Spira, Dryland Desert")</f>
        <v>Land of Spira, Dryland Desert</v>
      </c>
      <c r="E58" s="16">
        <f>IFERROR(__xludf.DUMMYFUNCTION("""COMPUTED_VALUE"""),5.0)</f>
        <v>5</v>
      </c>
    </row>
    <row r="59">
      <c r="A59" s="16" t="str">
        <f>IFERROR(__xludf.DUMMYFUNCTION("""COMPUTED_VALUE"""),"28. Dryland Pursuit")</f>
        <v>28. Dryland Pursuit</v>
      </c>
      <c r="B59" s="16" t="str">
        <f>IFERROR(__xludf.DUMMYFUNCTION("""COMPUTED_VALUE"""),"The party tracks whoever left the trail from the final artifact all the way into the Dryland Mesa. As they approach though, the air begins to feel colder and colder. It is then that they see it: A frost dragon, and a powerful one to boot! This must have b"&amp;"een what they were gonna use that energy for, to unleash a frost dragon on the Dryland Desert. It's up to the party to defeat it.")</f>
        <v>The party tracks whoever left the trail from the final artifact all the way into the Dryland Mesa. As they approach though, the air begins to feel colder and colder. It is then that they see it: A frost dragon, and a powerful one to boot! This must have been what they were gonna use that energy for, to unleash a frost dragon on the Dryland Desert. It's up to the party to defeat it.</v>
      </c>
      <c r="C59" s="16" t="str">
        <f>IFERROR(__xludf.DUMMYFUNCTION("""COMPUTED_VALUE"""),"Main")</f>
        <v>Main</v>
      </c>
      <c r="D59" s="16" t="str">
        <f>IFERROR(__xludf.DUMMYFUNCTION("""COMPUTED_VALUE"""),"Land of Spira, Dryland Mesa")</f>
        <v>Land of Spira, Dryland Mesa</v>
      </c>
      <c r="E59" s="16">
        <f>IFERROR(__xludf.DUMMYFUNCTION("""COMPUTED_VALUE"""),0.0)</f>
        <v>0</v>
      </c>
    </row>
    <row r="60">
      <c r="A60" s="16" t="str">
        <f>IFERROR(__xludf.DUMMYFUNCTION("""COMPUTED_VALUE"""),"29. A Fertile Picnic.")</f>
        <v>29. A Fertile Picnic.</v>
      </c>
      <c r="B60" s="16" t="str">
        <f>IFERROR(__xludf.DUMMYFUNCTION("""COMPUTED_VALUE"""),"After fighting off the Frost Dragon, the party is tired but must track down whoever summoned it. They pursue south, and find a group of cultists. The party engage and defeat the cultists")</f>
        <v>After fighting off the Frost Dragon, the party is tired but must track down whoever summoned it. They pursue south, and find a group of cultists. The party engage and defeat the cultists</v>
      </c>
      <c r="C60" s="16" t="str">
        <f>IFERROR(__xludf.DUMMYFUNCTION("""COMPUTED_VALUE"""),"Main")</f>
        <v>Main</v>
      </c>
      <c r="D60" s="16" t="str">
        <f>IFERROR(__xludf.DUMMYFUNCTION("""COMPUTED_VALUE"""),"Land of Spira, Fertile Plains")</f>
        <v>Land of Spira, Fertile Plains</v>
      </c>
      <c r="E60" s="16">
        <f>IFERROR(__xludf.DUMMYFUNCTION("""COMPUTED_VALUE"""),0.0)</f>
        <v>0</v>
      </c>
    </row>
    <row r="61">
      <c r="A61" s="16" t="str">
        <f>IFERROR(__xludf.DUMMYFUNCTION("""COMPUTED_VALUE"""),"30. Ghost Pond")</f>
        <v>30. Ghost Pond</v>
      </c>
      <c r="B61" s="16" t="str">
        <f>IFERROR(__xludf.DUMMYFUNCTION("""COMPUTED_VALUE"""),"Setting their sights to the Chaotic Seas, the party travels eastward to Pond City. Upon arriving, they find only a few people about town, and they are not very receptive. When the party approaches and gazes into the pond itself, they see not their reflect"&amp;"ions, but a distorted view of a large tower sticking out of the Chaotic Seas. They're suddenly attacked by the ""inhabitants,"" who reveal themselves to be an assortment of zombies and skeletons pretending to be the inhabitants of Pond City. The party fig"&amp;"hts off the attack, and by the time all the enemies are dead, the City is truly empty...")</f>
        <v>Setting their sights to the Chaotic Seas, the party travels eastward to Pond City. Upon arriving, they find only a few people about town, and they are not very receptive. When the party approaches and gazes into the pond itself, they see not their reflections, but a distorted view of a large tower sticking out of the Chaotic Seas. They're suddenly attacked by the "inhabitants," who reveal themselves to be an assortment of zombies and skeletons pretending to be the inhabitants of Pond City. The party fights off the attack, and by the time all the enemies are dead, the City is truly empty...</v>
      </c>
      <c r="C61" s="16" t="str">
        <f>IFERROR(__xludf.DUMMYFUNCTION("""COMPUTED_VALUE"""),"Main")</f>
        <v>Main</v>
      </c>
      <c r="D61" s="16" t="str">
        <f>IFERROR(__xludf.DUMMYFUNCTION("""COMPUTED_VALUE"""),"Land of Spira, Pond City")</f>
        <v>Land of Spira, Pond City</v>
      </c>
      <c r="E61" s="16">
        <f>IFERROR(__xludf.DUMMYFUNCTION("""COMPUTED_VALUE"""),15.0)</f>
        <v>15</v>
      </c>
    </row>
    <row r="62">
      <c r="A62" s="16" t="str">
        <f>IFERROR(__xludf.DUMMYFUNCTION("""COMPUTED_VALUE"""),"Frost King's Wares")</f>
        <v>Frost King's Wares</v>
      </c>
      <c r="B62" s="16" t="str">
        <f>IFERROR(__xludf.DUMMYFUNCTION("""COMPUTED_VALUE"""),"As the party travels through the frozen tundra, they come across a group of frost giants who are in a state of distress. Upon closer inspection, the party realizes that the giants are actually the Frost King and Frost Queen, and that they have had their r"&amp;"espective artifacts stolen.
The Frost King explains that his artifact is a powerful ice scepter that has been passed down through his family for generations. It has the ability to summon blizzards and freeze entire armies in their tracks. The frost queen"&amp;"'s artifact, on the other hand, is a magical cloak that allows her to control the elements and summon powerful ice golems to do her bidding.
The theft has left the frost king and queen weakened and vulnerable, and they fear that their enemies will take a"&amp;"dvantage of their current state. They beg the party to help them find their stolen artifacts before it's too late.")</f>
        <v>As the party travels through the frozen tundra, they come across a group of frost giants who are in a state of distress. Upon closer inspection, the party realizes that the giants are actually the Frost King and Frost Queen, and that they have had their respective artifacts stolen.
The Frost King explains that his artifact is a powerful ice scepter that has been passed down through his family for generations. It has the ability to summon blizzards and freeze entire armies in their tracks. The frost queen's artifact, on the other hand, is a magical cloak that allows her to control the elements and summon powerful ice golems to do her bidding.
The theft has left the frost king and queen weakened and vulnerable, and they fear that their enemies will take advantage of their current state. They beg the party to help them find their stolen artifacts before it's too late.</v>
      </c>
      <c r="C62" s="16" t="str">
        <f>IFERROR(__xludf.DUMMYFUNCTION("""COMPUTED_VALUE"""),"Side")</f>
        <v>Side</v>
      </c>
      <c r="D62" s="16" t="str">
        <f>IFERROR(__xludf.DUMMYFUNCTION("""COMPUTED_VALUE"""),"Land of Spira, Northern Frozen Terrain")</f>
        <v>Land of Spira, Northern Frozen Terrain</v>
      </c>
      <c r="E62" s="16">
        <f>IFERROR(__xludf.DUMMYFUNCTION("""COMPUTED_VALUE"""),2.0)</f>
        <v>2</v>
      </c>
    </row>
    <row r="63">
      <c r="A63" s="16" t="str">
        <f>IFERROR(__xludf.DUMMYFUNCTION("""COMPUTED_VALUE""")," The Cult of Swampville")</f>
        <v> The Cult of Swampville</v>
      </c>
      <c r="B63" s="16" t="str">
        <f>IFERROR(__xludf.DUMMYFUNCTION("""COMPUTED_VALUE"""),"The town guards have received disturbing news from their scouts. A local cult in the nearby town of Swampville is gathering resources and performing dark rituals to summon an evil creature to The Land of Spira. The guards fear that this could bring great "&amp;"danger to the land and its inhabitants. They request the party's help in stopping the cult and putting an end to their plans.")</f>
        <v>The town guards have received disturbing news from their scouts. A local cult in the nearby town of Swampville is gathering resources and performing dark rituals to summon an evil creature to The Land of Spira. The guards fear that this could bring great danger to the land and its inhabitants. They request the party's help in stopping the cult and putting an end to their plans.</v>
      </c>
      <c r="C63" s="16" t="str">
        <f>IFERROR(__xludf.DUMMYFUNCTION("""COMPUTED_VALUE"""),"Side")</f>
        <v>Side</v>
      </c>
      <c r="D63" s="16" t="str">
        <f>IFERROR(__xludf.DUMMYFUNCTION("""COMPUTED_VALUE"""),"Land of Spira, Swampville")</f>
        <v>Land of Spira, Swampville</v>
      </c>
      <c r="E63" s="16">
        <f>IFERROR(__xludf.DUMMYFUNCTION("""COMPUTED_VALUE"""),0.0)</f>
        <v>0</v>
      </c>
    </row>
    <row r="64">
      <c r="A64" s="16" t="str">
        <f>IFERROR(__xludf.DUMMYFUNCTION("""COMPUTED_VALUE"""),"Finding Your Angle")</f>
        <v>Finding Your Angle</v>
      </c>
      <c r="B64" s="16" t="str">
        <f>IFERROR(__xludf.DUMMYFUNCTION("""COMPUTED_VALUE"""),"The quest ""Finding Your Angle"" begins in a small fishing village, where the party meets an old fisherman named Ben. Ben is distraught because he has lost his magical fishing pole, which has been passed down in his family for generations. The fishing pol"&amp;"e is said to be unbreakable and imbued with powerful magic, making it the most prized possession of any fisherman in the village.
Ben offers to reward the party if they can retrieve his lost fishing pole. He explains that he was fishing in a nearby lake "&amp;"when he felt a strong tug on his line. He reeled in the fish, but in his excitement, he accidentally dropped his fishing pole into the water. He believes that the pole is somewhere at the bottom of the lake, but he is too old to search for it himself.
Th"&amp;"e party must travel to the lake and search for the lost fishing pole. The lake is said to be home to many dangerous creatures, including giant fish and water elementals. The party must brave the dangers of the lake and search its depths to find the fishin"&amp;"g pole.
Once they find the fishing pole, they must return it to Ben in the fishing village. Ben is overjoyed to have his magical fishing pole back and rewards the party with the magical and unbreakable fishing pole.
In addition to the fishing pole, Ben "&amp;"also offers the party a wealth of information about the area, including local fishing spots, rumors of hidden treasure, and the locations of dangerous creatures. The party is free to use this information as they see fit, and Ben becomes a valuable ally fo"&amp;"r any future adventures they may undertake in the area.")</f>
        <v>The quest "Finding Your Angle" begins in a small fishing village, where the party meets an old fisherman named Ben. Ben is distraught because he has lost his magical fishing pole, which has been passed down in his family for generations. The fishing pole is said to be unbreakable and imbued with powerful magic, making it the most prized possession of any fisherman in the village.
Ben offers to reward the party if they can retrieve his lost fishing pole. He explains that he was fishing in a nearby lake when he felt a strong tug on his line. He reeled in the fish, but in his excitement, he accidentally dropped his fishing pole into the water. He believes that the pole is somewhere at the bottom of the lake, but he is too old to search for it himself.
The party must travel to the lake and search for the lost fishing pole. The lake is said to be home to many dangerous creatures, including giant fish and water elementals. The party must brave the dangers of the lake and search its depths to find the fishing pole.
Once they find the fishing pole, they must return it to Ben in the fishing village. Ben is overjoyed to have his magical fishing pole back and rewards the party with the magical and unbreakable fishing pole.
In addition to the fishing pole, Ben also offers the party a wealth of information about the area, including local fishing spots, rumors of hidden treasure, and the locations of dangerous creatures. The party is free to use this information as they see fit, and Ben becomes a valuable ally for any future adventures they may undertake in the area.</v>
      </c>
      <c r="C64" s="16" t="str">
        <f>IFERROR(__xludf.DUMMYFUNCTION("""COMPUTED_VALUE"""),"Side")</f>
        <v>Side</v>
      </c>
      <c r="D64" s="16" t="str">
        <f>IFERROR(__xludf.DUMMYFUNCTION("""COMPUTED_VALUE"""),"Land of Spira, Pond City")</f>
        <v>Land of Spira, Pond City</v>
      </c>
      <c r="E64" s="16">
        <f>IFERROR(__xludf.DUMMYFUNCTION("""COMPUTED_VALUE"""),0.0)</f>
        <v>0</v>
      </c>
    </row>
    <row r="65">
      <c r="A65" s="16" t="str">
        <f>IFERROR(__xludf.DUMMYFUNCTION("""COMPUTED_VALUE"""),"The Cursed Crystals")</f>
        <v>The Cursed Crystals</v>
      </c>
      <c r="B65" s="16" t="str">
        <f>IFERROR(__xludf.DUMMYFUNCTION("""COMPUTED_VALUE"""),"Deep within the mystical land of Spira lies the breathtaking Crystal Cave, a once-thriving city known for its shimmering crystals that held great power and brought prosperity to its inhabitants. However, a dark shadow has fallen upon the cave, as the male"&amp;"volent sorcerer Lord Dreadful unleashed a powerful curse, corrupting the crystals and twisting the once benevolent Crystal King into a force of darkness.
The fate of Crystal Cave and its people now rests upon the brave shoulders of a group of adventurers"&amp;". Their mission is to venture into the heart of the Crystal Cave, navigating its treacherous depths and overcoming the sinister creatures and traps that now infest the city. Their ultimate goal is to restore the crystals to their former glory, breaking th"&amp;"e curse that has befallen the Crystal King.
To accomplish this, the adventurers must embark on a quest to find the scattered Crystal Shards, the remnants of the corrupted crystals. These shards hold the essence of the original crystals' power and purity."&amp;" However, they have been scattered throughout the dangerous caverns, guarded by fearsome creatures under Lord Dreadful's control.
The party must explore the various chambers of Crystal Cave, battling monsters, and overcoming obstacles to collect the Crys"&amp;"tal Shards. Along their journey, they may encounter helpful allies, ancient spirits, and even uncover the secrets of the cave's rich history. Each Crystal Shard they retrieve brings them closer to restoring the Crystal King's sanity and lifting the curse "&amp;"that plagues the land.
But the path to victory will not be easy. Lord Dreadful's minions, loyal to his dark cause, will stop at nothing to prevent the adventurers from succeeding. They must face off against powerful guardians, cunning traps, and the sorc"&amp;"erer's malevolent magic. The fate of Crystal Cave and the Crystal King hangs in the balance, and the adventurers must summon all their skills, bravery, and teamwork to prevail.
Only by reassembling the shattered crystals and cleansing them of Lord Dreadf"&amp;"ul's curse can the adventurers hope to restore the Crystal King's benevolence and bring peace back to the land of Spira. Will they succeed in their perilous quest, or will the darkness forever claim the Crystal Cave? The answer lies in their hands.")</f>
        <v>Deep within the mystical land of Spira lies the breathtaking Crystal Cave, a once-thriving city known for its shimmering crystals that held great power and brought prosperity to its inhabitants. However, a dark shadow has fallen upon the cave, as the malevolent sorcerer Lord Dreadful unleashed a powerful curse, corrupting the crystals and twisting the once benevolent Crystal King into a force of darkness.
The fate of Crystal Cave and its people now rests upon the brave shoulders of a group of adventurers. Their mission is to venture into the heart of the Crystal Cave, navigating its treacherous depths and overcoming the sinister creatures and traps that now infest the city. Their ultimate goal is to restore the crystals to their former glory, breaking the curse that has befallen the Crystal King.
To accomplish this, the adventurers must embark on a quest to find the scattered Crystal Shards, the remnants of the corrupted crystals. These shards hold the essence of the original crystals' power and purity. However, they have been scattered throughout the dangerous caverns, guarded by fearsome creatures under Lord Dreadful's control.
The party must explore the various chambers of Crystal Cave, battling monsters, and overcoming obstacles to collect the Crystal Shards. Along their journey, they may encounter helpful allies, ancient spirits, and even uncover the secrets of the cave's rich history. Each Crystal Shard they retrieve brings them closer to restoring the Crystal King's sanity and lifting the curse that plagues the land.
But the path to victory will not be easy. Lord Dreadful's minions, loyal to his dark cause, will stop at nothing to prevent the adventurers from succeeding. They must face off against powerful guardians, cunning traps, and the sorcerer's malevolent magic. The fate of Crystal Cave and the Crystal King hangs in the balance, and the adventurers must summon all their skills, bravery, and teamwork to prevail.
Only by reassembling the shattered crystals and cleansing them of Lord Dreadful's curse can the adventurers hope to restore the Crystal King's benevolence and bring peace back to the land of Spira. Will they succeed in their perilous quest, or will the darkness forever claim the Crystal Cave? The answer lies in their hands.</v>
      </c>
      <c r="C65" s="16" t="str">
        <f>IFERROR(__xludf.DUMMYFUNCTION("""COMPUTED_VALUE"""),"Side")</f>
        <v>Side</v>
      </c>
      <c r="D65" s="16" t="str">
        <f>IFERROR(__xludf.DUMMYFUNCTION("""COMPUTED_VALUE"""),"Land of Spira, Crystal Cave")</f>
        <v>Land of Spira, Crystal Cave</v>
      </c>
      <c r="E65" s="16">
        <f>IFERROR(__xludf.DUMMYFUNCTION("""COMPUTED_VALUE"""),4.0)</f>
        <v>4</v>
      </c>
    </row>
    <row r="66">
      <c r="A66" s="16" t="str">
        <f>IFERROR(__xludf.DUMMYFUNCTION("""COMPUTED_VALUE"""),"Trials of The Tempest")</f>
        <v>Trials of The Tempest</v>
      </c>
      <c r="B66" s="16" t="str">
        <f>IFERROR(__xludf.DUMMYFUNCTION("""COMPUTED_VALUE"""),"The party hears rumors of a wise old water mage living in a remote village on the coast. The mage is said to possess incredible magical powers and is renowned for his ability to control the ocean's fury. The party learns that the mage is willing to offer "&amp;"great rewards to anyone who can prove their strength and worthiness.
Upon arriving in the village, the party seeks out the mage and is greeted by a stern-looking man with deep-set eyes and a long beard. The mage introduces himself as Tempest and explains"&amp;" that he has a series of trials that must be completed before he will offer any rewards.
The first trial requires the party to retrieve a rare pearl from the depths of the ocean. The pearl is guarded by a fierce sea monster that must be defeated in order"&amp;" to claim the treasure. The party must use their skills and teamwork to navigate the treacherous underwater currents and defeat the monster.
The second trial takes place on a rocky island in the middle of a raging storm. The party must climb to the top o"&amp;"f the island and retrieve a lightning rod that is said to have the power to control the tempest. The party must brave the lightning strikes and high winds to reach the summit and claim the rod.
The third and final trial requires the party to face off aga"&amp;"inst a powerful water elemental. The elemental has been summoned by Tempest to test the party's strength and skill. The party must work together to defeat the elemental and prove their worthiness to the wise mage.
If the party successfully completes all "&amp;"three trials, Tempest will reward them with powerful magical items and treasures that will aid them in their future adventures. However, if they fail, they will be cast out of the village and branded as unworthy of Tempest's gifts.")</f>
        <v>The party hears rumors of a wise old water mage living in a remote village on the coast. The mage is said to possess incredible magical powers and is renowned for his ability to control the ocean's fury. The party learns that the mage is willing to offer great rewards to anyone who can prove their strength and worthiness.
Upon arriving in the village, the party seeks out the mage and is greeted by a stern-looking man with deep-set eyes and a long beard. The mage introduces himself as Tempest and explains that he has a series of trials that must be completed before he will offer any rewards.
The first trial requires the party to retrieve a rare pearl from the depths of the ocean. The pearl is guarded by a fierce sea monster that must be defeated in order to claim the treasure. The party must use their skills and teamwork to navigate the treacherous underwater currents and defeat the monster.
The second trial takes place on a rocky island in the middle of a raging storm. The party must climb to the top of the island and retrieve a lightning rod that is said to have the power to control the tempest. The party must brave the lightning strikes and high winds to reach the summit and claim the rod.
The third and final trial requires the party to face off against a powerful water elemental. The elemental has been summoned by Tempest to test the party's strength and skill. The party must work together to defeat the elemental and prove their worthiness to the wise mage.
If the party successfully completes all three trials, Tempest will reward them with powerful magical items and treasures that will aid them in their future adventures. However, if they fail, they will be cast out of the village and branded as unworthy of Tempest's gifts.</v>
      </c>
      <c r="C66" s="16" t="str">
        <f>IFERROR(__xludf.DUMMYFUNCTION("""COMPUTED_VALUE"""),"Side")</f>
        <v>Side</v>
      </c>
      <c r="D66" s="16" t="str">
        <f>IFERROR(__xludf.DUMMYFUNCTION("""COMPUTED_VALUE"""),"Dragonscale Island, SepentScale Village")</f>
        <v>Dragonscale Island, SepentScale Village</v>
      </c>
      <c r="E66" s="16">
        <f>IFERROR(__xludf.DUMMYFUNCTION("""COMPUTED_VALUE"""),3.0)</f>
        <v>3</v>
      </c>
    </row>
    <row r="67">
      <c r="A67" s="16" t="str">
        <f>IFERROR(__xludf.DUMMYFUNCTION("""COMPUTED_VALUE"""),"Trial of Tears")</f>
        <v>Trial of Tears</v>
      </c>
      <c r="B67" s="16" t="str">
        <f>IFERROR(__xludf.DUMMYFUNCTION("""COMPUTED_VALUE"""),"The Trial of Tears is a quest that will test the bravery and endurance of even the most experienced adventurers. The quest begins in the small town of SerpentScale Village, where the daughter of Tempest seeks the help of any willing adventurers.
Tempest "&amp;"has fallen gravely ill, and the only cure for his ailment is a rare and powerful substance known as DragonTear Tears. These tears can only be found in the depths of DragonTear Lake, a treacherous body of water that is guarded by fierce dragons and other d"&amp;"angerous creatures.
The daughter offers a reward of gold and magical items to any adventurers who are willing to undertake the dangerous journey to DragonTear Lake and retrieve the tears that her mother desperately needs.
The journey to DragonTear Lake "&amp;"is long and perilous, with many obstacles and challenges along the way. Adventurers must navigate through thick forests, cross treacherous rivers, and climb steep mountains to reach the lake.
Once they arrive at DragonTear Lake, adventurers must brave th"&amp;"e dangerous waters and avoid the watchful eyes of the dragon guardians that roam the area. The tears themselves can only be found in the deepest parts of the lake, where the water is coldest and most dangerous.
Adventurers who are successful in retrievin"&amp;"g the tears must then make the long and dangerous journey back to SerpentScale Village, where the daughter waits anxiously for their return. However, the journey back is just as perilous as the journey to DragonTear Lake, with dangers lurking around every"&amp;" corner.
Once the adventurers arrive back in SerpentScale Village with the DragonTear Tears, they can present them to Anna, who will use them to heal Tempest. In return for their bravery, The daughter of Tempest will reward the adventurers with gold and "&amp;"magical items, and they will be hailed as heroes throughout the land.")</f>
        <v>The Trial of Tears is a quest that will test the bravery and endurance of even the most experienced adventurers. The quest begins in the small town of SerpentScale Village, where the daughter of Tempest seeks the help of any willing adventurers.
Tempest has fallen gravely ill, and the only cure for his ailment is a rare and powerful substance known as DragonTear Tears. These tears can only be found in the depths of DragonTear Lake, a treacherous body of water that is guarded by fierce dragons and other dangerous creatures.
The daughter offers a reward of gold and magical items to any adventurers who are willing to undertake the dangerous journey to DragonTear Lake and retrieve the tears that her mother desperately needs.
The journey to DragonTear Lake is long and perilous, with many obstacles and challenges along the way. Adventurers must navigate through thick forests, cross treacherous rivers, and climb steep mountains to reach the lake.
Once they arrive at DragonTear Lake, adventurers must brave the dangerous waters and avoid the watchful eyes of the dragon guardians that roam the area. The tears themselves can only be found in the deepest parts of the lake, where the water is coldest and most dangerous.
Adventurers who are successful in retrieving the tears must then make the long and dangerous journey back to SerpentScale Village, where the daughter waits anxiously for their return. However, the journey back is just as perilous as the journey to DragonTear Lake, with dangers lurking around every corner.
Once the adventurers arrive back in SerpentScale Village with the DragonTear Tears, they can present them to Anna, who will use them to heal Tempest. In return for their bravery, The daughter of Tempest will reward the adventurers with gold and magical items, and they will be hailed as heroes throughout the land.</v>
      </c>
      <c r="C67" s="16" t="str">
        <f>IFERROR(__xludf.DUMMYFUNCTION("""COMPUTED_VALUE"""),"Side")</f>
        <v>Side</v>
      </c>
      <c r="D67" s="16" t="str">
        <f>IFERROR(__xludf.DUMMYFUNCTION("""COMPUTED_VALUE"""),"Dragonscale Island, SepentScale Village")</f>
        <v>Dragonscale Island, SepentScale Village</v>
      </c>
      <c r="E67" s="16">
        <f>IFERROR(__xludf.DUMMYFUNCTION("""COMPUTED_VALUE"""),4.0)</f>
        <v>4</v>
      </c>
    </row>
    <row r="68">
      <c r="A68" s="16" t="str">
        <f>IFERROR(__xludf.DUMMYFUNCTION("""COMPUTED_VALUE"""),"Forst King's Wares")</f>
        <v>Forst King's Wares</v>
      </c>
      <c r="B68" s="16" t="str">
        <f>IFERROR(__xludf.DUMMYFUNCTION("""COMPUTED_VALUE"""),"In the icy realm of Spira, a land perpetually covered in frost and snow, an ancient and enigmatic figure known as the Frost Phantom. The Phantom, a mysterious being with the power to manipulate ice and shadows, is both feared and respected by the denizens"&amp;" of Spira. Legends tell of the Phantom's ability to traverse the frozen landscapes undetected, leaving no trace behind.
Within the realm of Spira, there exists a monarchy ruled by the Frost King, a wise and just ruler who ensures the prosperity and safet"&amp;"y of his people. The Frost King's lineage is steeped in history, with a vast collection of priceless artifacts passed down through generations. These artifacts hold immense cultural significance and are considered symbols of the Frost King's family's powe"&amp;"r and authority.
One fateful day, as the Frost King peruses his treasury, he realizes with shock and dismay that his family's artifacts have vanished. Desperate to retrieve these precious heirlooms, the Frost King suspects foul play and seeks the aid of "&amp;"capable adventurers, forming the basis for the Quest ""Frost King's Wares.""
Rumors begin to circulate that the artifacts may have been stolen, but by whom remains a mystery. Some whisper of an elusive thief who operates in the shadows, using cunning and"&amp;" stealth to pilfer treasures from under the nose of their owners. Others claim that the Frost Phantom , known for it's otherworldly abilities, may be involved, seeking to gain power through the acquisition of the Frost King's treasures.
The Frost King, b"&amp;"urdened by the weight of responsibility and haunted by the loss of his family's legacy, tasks the party of adventurers with finding and retrieving the stolen artifacts. He entrusts them with a key that unlocks a hidden passage leading to the Phantom's lai"&amp;"r—a treacherous, ice-laden labyrinth concealed beneath the frozen surface of Spira.
As the adventurers venture deeper into the frozen terrain, they face numerous challenges: cunning traps, formidable ice creatures, and the chilling presence of the Phanto"&amp;"m's illusions. Each step brings them closer to unraveling the truth behind the stolen artifacts and uncovering the identity of the elusive thief.
Throughout their journey, the party encounters Spira's inhabitants, each with their own stories and motives."&amp;" Some may provide valuable information or offer assistance, while others may harbor secrets or prove to be obstacles in the adventurers' quest. The frozen landscape of Spira serves as a harsh backdrop, both beautiful and treacherous, as the adventurers na"&amp;"vigate its icy depths.
Ultimately, the quest ""Frost King's Wares"" becomes a test of the adventurers' resourcefulness, bravery, and their ability to uncover the truth hidden within the Phantom's domain. The fate of the Frost King's family legacy and the"&amp;" reputation of the Frost Phantom lie in the balance as the party strives to recover the stolen artifacts and bring justice to the realm.")</f>
        <v>In the icy realm of Spira, a land perpetually covered in frost and snow, an ancient and enigmatic figure known as the Frost Phantom. The Phantom, a mysterious being with the power to manipulate ice and shadows, is both feared and respected by the denizens of Spira. Legends tell of the Phantom's ability to traverse the frozen landscapes undetected, leaving no trace behind.
Within the realm of Spira, there exists a monarchy ruled by the Frost King, a wise and just ruler who ensures the prosperity and safety of his people. The Frost King's lineage is steeped in history, with a vast collection of priceless artifacts passed down through generations. These artifacts hold immense cultural significance and are considered symbols of the Frost King's family's power and authority.
One fateful day, as the Frost King peruses his treasury, he realizes with shock and dismay that his family's artifacts have vanished. Desperate to retrieve these precious heirlooms, the Frost King suspects foul play and seeks the aid of capable adventurers, forming the basis for the Quest "Frost King's Wares."
Rumors begin to circulate that the artifacts may have been stolen, but by whom remains a mystery. Some whisper of an elusive thief who operates in the shadows, using cunning and stealth to pilfer treasures from under the nose of their owners. Others claim that the Frost Phantom , known for it's otherworldly abilities, may be involved, seeking to gain power through the acquisition of the Frost King's treasures.
The Frost King, burdened by the weight of responsibility and haunted by the loss of his family's legacy, tasks the party of adventurers with finding and retrieving the stolen artifacts. He entrusts them with a key that unlocks a hidden passage leading to the Phantom's lair—a treacherous, ice-laden labyrinth concealed beneath the frozen surface of Spira.
As the adventurers venture deeper into the frozen terrain, they face numerous challenges: cunning traps, formidable ice creatures, and the chilling presence of the Phantom's illusions. Each step brings them closer to unraveling the truth behind the stolen artifacts and uncovering the identity of the elusive thief.
Throughout their journey, the party encounters Spira's inhabitants, each with their own stories and motives. Some may provide valuable information or offer assistance, while others may harbor secrets or prove to be obstacles in the adventurers' quest. The frozen landscape of Spira serves as a harsh backdrop, both beautiful and treacherous, as the adventurers navigate its icy depths.
Ultimately, the quest "Frost King's Wares" becomes a test of the adventurers' resourcefulness, bravery, and their ability to uncover the truth hidden within the Phantom's domain. The fate of the Frost King's family legacy and the reputation of the Frost Phantom lie in the balance as the party strives to recover the stolen artifacts and bring justice to the realm.</v>
      </c>
      <c r="C68" s="16" t="str">
        <f>IFERROR(__xludf.DUMMYFUNCTION("""COMPUTED_VALUE"""),"Side")</f>
        <v>Side</v>
      </c>
      <c r="D68" s="16" t="str">
        <f>IFERROR(__xludf.DUMMYFUNCTION("""COMPUTED_VALUE"""),"Land of Spira, Eastern Forzen Terrain")</f>
        <v>Land of Spira, Eastern Forzen Terrain</v>
      </c>
      <c r="E68" s="16">
        <f>IFERROR(__xludf.DUMMYFUNCTION("""COMPUTED_VALUE"""),5.0)</f>
        <v>5</v>
      </c>
    </row>
    <row r="69">
      <c r="A69" s="16" t="str">
        <f>IFERROR(__xludf.DUMMYFUNCTION("""COMPUTED_VALUE"""),"Blackhorn Royal Training")</f>
        <v>Blackhorn Royal Training</v>
      </c>
      <c r="B69" s="16" t="str">
        <f>IFERROR(__xludf.DUMMYFUNCTION("""COMPUTED_VALUE"""),"Train with the Ancient Skeleton Colossus to inscrease your strength.")</f>
        <v>Train with the Ancient Skeleton Colossus to inscrease your strength.</v>
      </c>
      <c r="C69" s="16" t="str">
        <f>IFERROR(__xludf.DUMMYFUNCTION("""COMPUTED_VALUE"""),"Side")</f>
        <v>Side</v>
      </c>
      <c r="D69" s="16" t="str">
        <f>IFERROR(__xludf.DUMMYFUNCTION("""COMPUTED_VALUE"""),"Land of Spira, Blackhorn")</f>
        <v>Land of Spira, Blackhorn</v>
      </c>
      <c r="E69" s="16">
        <f>IFERROR(__xludf.DUMMYFUNCTION("""COMPUTED_VALUE"""),0.0)</f>
        <v>0</v>
      </c>
    </row>
    <row r="70">
      <c r="A70" s="16" t="str">
        <f>IFERROR(__xludf.DUMMYFUNCTION("""COMPUTED_VALUE"""),"Forest View Royal Training")</f>
        <v>Forest View Royal Training</v>
      </c>
      <c r="B70" s="16" t="str">
        <f>IFERROR(__xludf.DUMMYFUNCTION("""COMPUTED_VALUE"""),"Train with the Ancient Forest Colossus to inscrease your strength.")</f>
        <v>Train with the Ancient Forest Colossus to inscrease your strength.</v>
      </c>
      <c r="C70" s="16" t="str">
        <f>IFERROR(__xludf.DUMMYFUNCTION("""COMPUTED_VALUE"""),"Side")</f>
        <v>Side</v>
      </c>
      <c r="D70" s="16" t="str">
        <f>IFERROR(__xludf.DUMMYFUNCTION("""COMPUTED_VALUE"""),"Land of Spira, Forest View")</f>
        <v>Land of Spira, Forest View</v>
      </c>
      <c r="E70" s="16">
        <f>IFERROR(__xludf.DUMMYFUNCTION("""COMPUTED_VALUE"""),0.0)</f>
        <v>0</v>
      </c>
    </row>
    <row r="71">
      <c r="A71" s="16" t="str">
        <f>IFERROR(__xludf.DUMMYFUNCTION("""COMPUTED_VALUE"""),"Crown of Tides")</f>
        <v>Crown of Tides</v>
      </c>
      <c r="B71" s="16" t="str">
        <f>IFERROR(__xludf.DUMMYFUNCTION("""COMPUTED_VALUE"""),"Your party finds themselves on the shores of the Chaotic Seas, a place tainted by the malevolent influence of Lord Dreadful. An encounter with a desperate merchant leads to a tale of Vermouth the Sea Monkey King, a once benevolent creature corrupted by a "&amp;"cursed crown. To break the curse and gain a powerful ally in the fight against Lord Dreadful, your party must journey to the depths of the Chaotic Seas, confront Vermouth, and claim the Crown of Tides.")</f>
        <v>Your party finds themselves on the shores of the Chaotic Seas, a place tainted by the malevolent influence of Lord Dreadful. An encounter with a desperate merchant leads to a tale of Vermouth the Sea Monkey King, a once benevolent creature corrupted by a cursed crown. To break the curse and gain a powerful ally in the fight against Lord Dreadful, your party must journey to the depths of the Chaotic Seas, confront Vermouth, and claim the Crown of Tides.</v>
      </c>
      <c r="C71" s="16" t="str">
        <f>IFERROR(__xludf.DUMMYFUNCTION("""COMPUTED_VALUE"""),"Side")</f>
        <v>Side</v>
      </c>
      <c r="D71" s="16" t="str">
        <f>IFERROR(__xludf.DUMMYFUNCTION("""COMPUTED_VALUE"""),"Land of Spira, Chaotic Seas")</f>
        <v>Land of Spira, Chaotic Seas</v>
      </c>
      <c r="E71" s="16">
        <f>IFERROR(__xludf.DUMMYFUNCTION("""COMPUTED_VALUE"""),8.0)</f>
        <v>8</v>
      </c>
    </row>
    <row r="72">
      <c r="A72" s="16" t="str">
        <f>IFERROR(__xludf.DUMMYFUNCTION("""COMPUTED_VALUE"""),"The Ticking Threat")</f>
        <v>The Ticking Threat</v>
      </c>
      <c r="B72" s="16" t="str">
        <f>IFERROR(__xludf.DUMMYFUNCTION("""COMPUTED_VALUE"""),"Detective Lanford, a skilled investigator, urgently seeks the aid of the party. Lord Dreadful's henchmen have been spotted at the Clock Tower, a prominent landmark in the city's northwestern region. These criminals are believed to be stealing wind-up cloc"&amp;"ks with the intent of constructing a destructive time bomb. As time ticks away, your party must work alongside Detective Lanford to track down the goons, dismantle their plans, and prevent the city from facing imminent destruction.
The Ticking Threat que"&amp;"st embroils your party in a race against time to thwart Lord Dreadful's nefarious scheme, showcasing your investigative prowess and heroism in the steam punk city of Mekana.")</f>
        <v>Detective Lanford, a skilled investigator, urgently seeks the aid of the party. Lord Dreadful's henchmen have been spotted at the Clock Tower, a prominent landmark in the city's northwestern region. These criminals are believed to be stealing wind-up clocks with the intent of constructing a destructive time bomb. As time ticks away, your party must work alongside Detective Lanford to track down the goons, dismantle their plans, and prevent the city from facing imminent destruction.
The Ticking Threat quest embroils your party in a race against time to thwart Lord Dreadful's nefarious scheme, showcasing your investigative prowess and heroism in the steam punk city of Mekana.</v>
      </c>
      <c r="C72" s="16" t="str">
        <f>IFERROR(__xludf.DUMMYFUNCTION("""COMPUTED_VALUE"""),"Side")</f>
        <v>Side</v>
      </c>
      <c r="D72" s="16" t="str">
        <f>IFERROR(__xludf.DUMMYFUNCTION("""COMPUTED_VALUE"""),"Land of Spira, Mekana")</f>
        <v>Land of Spira, Mekana</v>
      </c>
      <c r="E72" s="16">
        <f>IFERROR(__xludf.DUMMYFUNCTION("""COMPUTED_VALUE"""),8.0)</f>
        <v>8</v>
      </c>
    </row>
    <row r="73">
      <c r="A73" s="16" t="str">
        <f>IFERROR(__xludf.DUMMYFUNCTION("""COMPUTED_VALUE"""),"Blackbeard's Legacy")</f>
        <v>Blackbeard's Legacy</v>
      </c>
      <c r="B73" s="16" t="str">
        <f>IFERROR(__xludf.DUMMYFUNCTION("""COMPUTED_VALUE"""),"Upon resting in the local inn, you find yourself awakening in the night to a sound from outside. Leaving the inn you find a spectre who hands you a map, the map is rumored along the locals to lead you to Captain Blackbeard's Treausre. Upon following the m"&amp;"ap the party will under constant harrassment from a band of pirates before finding the Captain had already beaten you there and you must fight him to claim Blackbeard's Legacy. ")</f>
        <v>Upon resting in the local inn, you find yourself awakening in the night to a sound from outside. Leaving the inn you find a spectre who hands you a map, the map is rumored along the locals to lead you to Captain Blackbeard's Treausre. Upon following the map the party will under constant harrassment from a band of pirates before finding the Captain had already beaten you there and you must fight him to claim Blackbeard's Legacy. </v>
      </c>
      <c r="C73" s="16" t="str">
        <f>IFERROR(__xludf.DUMMYFUNCTION("""COMPUTED_VALUE"""),"Side")</f>
        <v>Side</v>
      </c>
      <c r="D73" s="16" t="str">
        <f>IFERROR(__xludf.DUMMYFUNCTION("""COMPUTED_VALUE"""),"Land of Spira, Pirate's Cove")</f>
        <v>Land of Spira, Pirate's Cove</v>
      </c>
      <c r="E73" s="16">
        <f>IFERROR(__xludf.DUMMYFUNCTION("""COMPUTED_VALUE"""),4.0)</f>
        <v>4</v>
      </c>
    </row>
    <row r="74">
      <c r="A74" s="16" t="str">
        <f>IFERROR(__xludf.DUMMYFUNCTION("""COMPUTED_VALUE"""),"Mysteries of The Mist (Fogweb)")</f>
        <v>Mysteries of The Mist (Fogweb)</v>
      </c>
      <c r="B74" s="16" t="str">
        <f>IFERROR(__xludf.DUMMYFUNCTION("""COMPUTED_VALUE"""),"Upon Arriving in Wyverntail you hear a ruccuss among the locals many people whispering about ""The Mist Warriors"" and ""Fogweb"" finding this to be curious you may decide to ask a nearby citizen what this is all about and learn about the tails of Fogweb,"&amp;" the Village Hidden in the Mist a secret village hidden in nearby forest where none would dare to venture due to the mysterious mist that hangs heavy into the air seemingly dragging those who enter uninvited into the mud. Following up these rumors across "&amp;"Wyverntail you manage to track down a master from the aforementioned village. Upon being approached the master challenges you to a duel saying that he wishes to test you. Upon passing the test by defeating the master without killing him the master will of"&amp;"fer to teach you the way through the mist to Fogweb.")</f>
        <v>Upon Arriving in Wyverntail you hear a ruccuss among the locals many people whispering about "The Mist Warriors" and "Fogweb" finding this to be curious you may decide to ask a nearby citizen what this is all about and learn about the tails of Fogweb, the Village Hidden in the Mist a secret village hidden in nearby forest where none would dare to venture due to the mysterious mist that hangs heavy into the air seemingly dragging those who enter uninvited into the mud. Following up these rumors across Wyverntail you manage to track down a master from the aforementioned village. Upon being approached the master challenges you to a duel saying that he wishes to test you. Upon passing the test by defeating the master without killing him the master will offer to teach you the way through the mist to Fogweb.</v>
      </c>
      <c r="C74" s="16" t="str">
        <f>IFERROR(__xludf.DUMMYFUNCTION("""COMPUTED_VALUE"""),"Side")</f>
        <v>Side</v>
      </c>
      <c r="D74" s="16" t="str">
        <f>IFERROR(__xludf.DUMMYFUNCTION("""COMPUTED_VALUE"""),"Dragonscale Island, Wyvertail Falls")</f>
        <v>Dragonscale Island, Wyvertail Falls</v>
      </c>
      <c r="E74" s="16">
        <f>IFERROR(__xludf.DUMMYFUNCTION("""COMPUTED_VALUE"""),6.0)</f>
        <v>6</v>
      </c>
    </row>
    <row r="75">
      <c r="A75" s="16" t="str">
        <f>IFERROR(__xludf.DUMMYFUNCTION("""COMPUTED_VALUE"""),"Reviving Thundertail Falls")</f>
        <v>Reviving Thundertail Falls</v>
      </c>
      <c r="B75" s="16" t="str">
        <f>IFERROR(__xludf.DUMMYFUNCTION("""COMPUTED_VALUE"""),"""The once-majestic Thundertail Falls, has fallen into a state of disarray and decay. Its legendary Thundertail creatures are near extinction, and the falls' waters are now polluted and lifeless. The city's residents, however, still hold onto the belief i"&amp;"n the falls' mystical powers and untapped adventure potential. Your party is called upon to help restore Thundertail Falls to its former beauty, revive its unique ecosystem, and unlock its hidden secrets.
Embark on the Reviving Thundertail Falls quest t"&amp;"o explore the intersection of nature, magic, and urban life while breathing new life into a once-thriving natural wonder.""")</f>
        <v>"The once-majestic Thundertail Falls, has fallen into a state of disarray and decay. Its legendary Thundertail creatures are near extinction, and the falls' waters are now polluted and lifeless. The city's residents, however, still hold onto the belief in the falls' mystical powers and untapped adventure potential. Your party is called upon to help restore Thundertail Falls to its former beauty, revive its unique ecosystem, and unlock its hidden secrets.
Embark on the Reviving Thundertail Falls quest to explore the intersection of nature, magic, and urban life while breathing new life into a once-thriving natural wonder."</v>
      </c>
      <c r="C75" s="16" t="str">
        <f>IFERROR(__xludf.DUMMYFUNCTION("""COMPUTED_VALUE"""),"Side")</f>
        <v>Side</v>
      </c>
      <c r="D75" s="16" t="str">
        <f>IFERROR(__xludf.DUMMYFUNCTION("""COMPUTED_VALUE"""),"Dragonscale Island, The Grand City of Dragonia")</f>
        <v>Dragonscale Island, The Grand City of Dragonia</v>
      </c>
      <c r="E75" s="16">
        <f>IFERROR(__xludf.DUMMYFUNCTION("""COMPUTED_VALUE"""),8.0)</f>
        <v>8</v>
      </c>
    </row>
    <row r="76">
      <c r="A76" s="16" t="str">
        <f>IFERROR(__xludf.DUMMYFUNCTION("""COMPUTED_VALUE"""),"Dragons, Dragons, and More Dragons.")</f>
        <v>Dragons, Dragons, and More Dragons.</v>
      </c>
      <c r="B76" s="16" t="str">
        <f>IFERROR(__xludf.DUMMYFUNCTION("""COMPUTED_VALUE"""),"In the town of DragonSpire Dragons live in relative peace, however it seems that a recent event has caused some sort of turmoil within the town as the enraged dragons have begun harrassing the non-dragonoid inhabitants of the town. A wizard approaches the"&amp;" party and asks their assistance in a matter of utmost urgency and beckons you to follow him.
Upon arriving at the decrepit old tower at the edge of town the wizard would begin to describe the recent events that have caused the tense atmosphere within th"&amp;"e town. Apparently a group of Amphibuki have recently snuck into town, and under the cover of dark they made off with the stolen eggs of a few of the dragons. The wizard implores you to put an end to the fighting and secure the stolen eggs whilst also bri"&amp;"nging the Amphibuki to justice. He promises the party great rewards and his eternal gratitude for their deeds should they suceed.")</f>
        <v>In the town of DragonSpire Dragons live in relative peace, however it seems that a recent event has caused some sort of turmoil within the town as the enraged dragons have begun harrassing the non-dragonoid inhabitants of the town. A wizard approaches the party and asks their assistance in a matter of utmost urgency and beckons you to follow him.
Upon arriving at the decrepit old tower at the edge of town the wizard would begin to describe the recent events that have caused the tense atmosphere within the town. Apparently a group of Amphibuki have recently snuck into town, and under the cover of dark they made off with the stolen eggs of a few of the dragons. The wizard implores you to put an end to the fighting and secure the stolen eggs whilst also bringing the Amphibuki to justice. He promises the party great rewards and his eternal gratitude for their deeds should they suceed.</v>
      </c>
      <c r="C76" s="16" t="str">
        <f>IFERROR(__xludf.DUMMYFUNCTION("""COMPUTED_VALUE"""),"Side")</f>
        <v>Side</v>
      </c>
      <c r="D76" s="16" t="str">
        <f>IFERROR(__xludf.DUMMYFUNCTION("""COMPUTED_VALUE"""),"Dragonscale Island")</f>
        <v>Dragonscale Island</v>
      </c>
      <c r="E76" s="16">
        <f>IFERROR(__xludf.DUMMYFUNCTION("""COMPUTED_VALUE"""),8.0)</f>
        <v>8</v>
      </c>
    </row>
    <row r="77">
      <c r="A77" s="16" t="str">
        <f>IFERROR(__xludf.DUMMYFUNCTION("""COMPUTED_VALUE"""),"Mysteries of The Mist (Mistpeak)")</f>
        <v>Mysteries of The Mist (Mistpeak)</v>
      </c>
      <c r="B77" s="16" t="str">
        <f>IFERROR(__xludf.DUMMYFUNCTION("""COMPUTED_VALUE"""),"(This quest is technically activated upon entering DragonSpire for the first time however can be done at any point in time)
The party, Upon entering the town of Dragonspire hears whispers of a Village hidden in the forest, upon hearing such strange tales "&amp;"the party decides to look further into this matter.
(step 1 Investigation description) The Party decides to approach the woman who was spouting such rumors and inquire about any way to find this hidden village. She sighs and tells the party that she herse"&amp;"lf has no idea how to find this hidden village, hell she isn't quite sure it even exists and recommends the party go talk to Baldwyn the tavernkeep as he's the one who knows the most gossip in town (Talk to Npcs 1/3)
Upon entering the tavern the party wo"&amp;"uld see Baldwyn standing behind the counter shining glasses (a strange habit all barkeeps tend to have). The party approaches the man and recounts their information of there being a hidden village nearby and that they heard he may have some information ab"&amp;"out it. Baldwyn rubs his temples deep in thought before telling the party that he actually had heard a rather similar story from a patron recently. Something about some hidden master in the woods or so He points the party in the direction of the library a"&amp;"nd tells them to ask for Scholar Mark, as he's the one who was telling the tale. (Talk to Npcs 2/3)
Arriving at the Grand Library of Dragonscale the party would find a scholarly man sitting out front engulfed in a book, upon asking him where they could f"&amp;"ind Scholar Mark, the man admits that he himself is Scholar mark and inquires as to what the party needs. If the party ask him about the Master in the woods he would regale them with the tale of him finding the master. He says he was wandering in the wood"&amp;"s just east of DragonSpire when he found himself under attack by a group of lowlives, fortunately the master showed up and saved him, offering to treat his wounds in his cottage. He would ask to mark the location on the players map and show them where he'"&amp;"s located (Talk to Npc's 3/3)(Step 1 completed)
(Step 2: Trial description) Upon arriving at the hidden master's cottage the party is greeted by silence from within until the hear a soft tapping coming from within, A hunched over frogonian with seemingly"&amp;" many years behind him opens the door and greets the party, inquiring as to what business they have with a mere old alchemist. If the party answers anything along the lines of wanting to go to the hidden village or meet the hidden master the old man will "&amp;"beckon the party in to his cottage where he will reveal his identity as a retired Elder of the Mist Peak ninja village, and that if they wish for him to guide them to the village they must first prove that they are worthy through combat. (Combat begins)
("&amp;"Optional) The players can try to convince the master of their strength via an intimidation roll however to do so they must roll a 30 or higher on said intimidation roll.
(After Combat) Upon being beaten in combat the Mistpeak Master heaves heavy breaths "&amp;"before collapsing to the ground, he stands up again after a few seconds and bows to the party. He states that the party has shown that they are more than worthy of entering Mistpeak and that they shall leave immediately for he fears that their combat has "&amp;"attracted unwanted guests to his abode.
(if they succeed at Intimidation) The martial master peers deeply into the eyes of the brave adventurer before eventually relenting and deciding to let them pass without trial, he recommends they move soon as the Am"&amp;"phibuki had been following his trail for a while.
(If they fail at intimidation or are defeated in battle) The mistpeak master peers deep into the daring adventurers eyes causing the adventure to shudder deeply. The master sighs and tells you that you lac"&amp;"k the strength required to pass his trial and that you should return to where you came from as he will not lead you to Mistpeak (QUEST FAILED)
(If the party kills the Martial Master) With the final attack the blood of the mistpeak master stains the advent"&amp;"urer's hands, their only hope of finding mistpeak now lies dead on the floor
(Step 3: Ambush!!! description) As soon as the leave through the door the party begins to feel a strange sensation run down their spines as shurikens fly out of the bushes and t"&amp;"rees (The party rolls 1d20 with no modifiers 10 and below get -10 to their initiative rolls 11 or higher get +5 to their initiative rolls) Following the shurikens come a group of (1-6 depending on the roll) amphibuki aiming for the head of Martial Master."&amp;" (The Martial Master will join the party for this battle at whatever level the DM decides death of the Martial master is an instant failure) (Begin Combat)
(If the party successfully defeats the ambushers without the master dying) The party stands over th"&amp;"e corpses of the Amphibuki heaving heavy breaths after the hard fought battle however they have no time for rest as they assume more ambushers could arrive at any time and so they head off following the Mistpeak Master
(If the Mistpeak Master dies)  The p"&amp;"arty, too busy fighting off the Amphibuki aiming for their throats fail to notice that one of the Amphibuki has disappeared until suddenly they hear a cry from behind as a dagger pierces the throat of the mist peak master and he falls to the ground as blo"&amp;"od pools. (QUEST FAILED)
(Step 4: Travel description) The mistpeak master leads the party into a fog which begins to distort their vision and minds, the master tells them that is is tantamount that they remain focused otherwise they will be lost in the m"&amp;"ist and returned to where they started (No enemies will appear during this travel as most creatures are unable to withstand the confusing effects of the mist however you can still harvest herbs and hatch eggs during this travel)
(if they make it through s"&amp;"uccessfully read the next step description)
(If they roll a natural 1) You try your best to focus but this damned fog invades your mind you feel as though you upside down as you wander aimlessly before finding yourself back in the forest.
(Step 5: Follow"&amp;"ed description) The party finally arrives in front of the grand gates of Mistpeak, seeing the red gate in front of them they make their way forward thinking they have finally arrived at the end of this part of their journey however they hear a cackling fr"&amp;"om behind as a frogonian wearing a mask and thick robes hops out of the mist, a green fog envelopes his body as he pulls a needle and dart gun from his robe. ""Finally!"" he begins ""I have found the Hidden Village of mistpeak! All thanks to you fools I n"&amp;"ow have everything I need to wipe this pesky village off the map. He reveals a barrel oozing a green substance. The party does not know what it is but they know that if they don't stop this Bastard the village will likely not survive. (The Mistpeak Master"&amp;" will join the party for this fight with their level determined by the GM)
(If the Party Succeeds in defeating the Amphibuki Poison Master) Upon striking down the poison master the party destroys the barrel in an inferno receiving thanks from the Mistpeak"&amp;" master, and they finally make their way into the enigmatic ninja village
(If the Party fails) The party collapses to the ground blood dripping from their lips as the Amphibuki Master's cackles transform into uproarious laughter and their vision finally f"&amp;"ades (QUEST FAILED)")</f>
        <v>(This quest is technically activated upon entering DragonSpire for the first time however can be done at any point in time)
The party, Upon entering the town of Dragonspire hears whispers of a Village hidden in the forest, upon hearing such strange tales the party decides to look further into this matter.
(step 1 Investigation description) The Party decides to approach the woman who was spouting such rumors and inquire about any way to find this hidden village. She sighs and tells the party that she herself has no idea how to find this hidden village, hell she isn't quite sure it even exists and recommends the party go talk to Baldwyn the tavernkeep as he's the one who knows the most gossip in town (Talk to Npcs 1/3)
Upon entering the tavern the party would see Baldwyn standing behind the counter shining glasses (a strange habit all barkeeps tend to have). The party approaches the man and recounts their information of there being a hidden village nearby and that they heard he may have some information about it. Baldwyn rubs his temples deep in thought before telling the party that he actually had heard a rather similar story from a patron recently. Something about some hidden master in the woods or so He points the party in the direction of the library and tells them to ask for Scholar Mark, as he's the one who was telling the tale. (Talk to Npcs 2/3)
Arriving at the Grand Library of Dragonscale the party would find a scholarly man sitting out front engulfed in a book, upon asking him where they could find Scholar Mark, the man admits that he himself is Scholar mark and inquires as to what the party needs. If the party ask him about the Master in the woods he would regale them with the tale of him finding the master. He says he was wandering in the woods just east of DragonSpire when he found himself under attack by a group of lowlives, fortunately the master showed up and saved him, offering to treat his wounds in his cottage. He would ask to mark the location on the players map and show them where he's located (Talk to Npc's 3/3)(Step 1 completed)
(Step 2: Trial description) Upon arriving at the hidden master's cottage the party is greeted by silence from within until the hear a soft tapping coming from within, A hunched over frogonian with seemingly many years behind him opens the door and greets the party, inquiring as to what business they have with a mere old alchemist. If the party answers anything along the lines of wanting to go to the hidden village or meet the hidden master the old man will beckon the party in to his cottage where he will reveal his identity as a retired Elder of the Mist Peak ninja village, and that if they wish for him to guide them to the village they must first prove that they are worthy through combat. (Combat begins)
(Optional) The players can try to convince the master of their strength via an intimidation roll however to do so they must roll a 30 or higher on said intimidation roll.
(After Combat) Upon being beaten in combat the Mistpeak Master heaves heavy breaths before collapsing to the ground, he stands up again after a few seconds and bows to the party. He states that the party has shown that they are more than worthy of entering Mistpeak and that they shall leave immediately for he fears that their combat has attracted unwanted guests to his abode.
(if they succeed at Intimidation) The martial master peers deeply into the eyes of the brave adventurer before eventually relenting and deciding to let them pass without trial, he recommends they move soon as the Amphibuki had been following his trail for a while.
(If they fail at intimidation or are defeated in battle) The mistpeak master peers deep into the daring adventurers eyes causing the adventure to shudder deeply. The master sighs and tells you that you lack the strength required to pass his trial and that you should return to where you came from as he will not lead you to Mistpeak (QUEST FAILED)
(If the party kills the Martial Master) With the final attack the blood of the mistpeak master stains the adventurer's hands, their only hope of finding mistpeak now lies dead on the floor
(Step 3: Ambush!!! description) As soon as the leave through the door the party begins to feel a strange sensation run down their spines as shurikens fly out of the bushes and trees (The party rolls 1d20 with no modifiers 10 and below get -10 to their initiative rolls 11 or higher get +5 to their initiative rolls) Following the shurikens come a group of (1-6 depending on the roll) amphibuki aiming for the head of Martial Master. (The Martial Master will join the party for this battle at whatever level the DM decides death of the Martial master is an instant failure) (Begin Combat)
(If the party successfully defeats the ambushers without the master dying) The party stands over the corpses of the Amphibuki heaving heavy breaths after the hard fought battle however they have no time for rest as they assume more ambushers could arrive at any time and so they head off following the Mistpeak Master
(If the Mistpeak Master dies)  The party, too busy fighting off the Amphibuki aiming for their throats fail to notice that one of the Amphibuki has disappeared until suddenly they hear a cry from behind as a dagger pierces the throat of the mist peak master and he falls to the ground as blood pools. (QUEST FAILED)
(Step 4: Travel description) The mistpeak master leads the party into a fog which begins to distort their vision and minds, the master tells them that is is tantamount that they remain focused otherwise they will be lost in the mist and returned to where they started (No enemies will appear during this travel as most creatures are unable to withstand the confusing effects of the mist however you can still harvest herbs and hatch eggs during this travel)
(if they make it through successfully read the next step description)
(If they roll a natural 1) You try your best to focus but this damned fog invades your mind you feel as though you upside down as you wander aimlessly before finding yourself back in the forest.
(Step 5: Followed description) The party finally arrives in front of the grand gates of Mistpeak, seeing the red gate in front of them they make their way forward thinking they have finally arrived at the end of this part of their journey however they hear a cackling from behind as a frogonian wearing a mask and thick robes hops out of the mist, a green fog envelopes his body as he pulls a needle and dart gun from his robe. "Finally!" he begins "I have found the Hidden Village of mistpeak! All thanks to you fools I now have everything I need to wipe this pesky village off the map. He reveals a barrel oozing a green substance. The party does not know what it is but they know that if they don't stop this Bastard the village will likely not survive. (The Mistpeak Master will join the party for this fight with their level determined by the GM)
(If the Party Succeeds in defeating the Amphibuki Poison Master) Upon striking down the poison master the party destroys the barrel in an inferno receiving thanks from the Mistpeak master, and they finally make their way into the enigmatic ninja village
(If the Party fails) The party collapses to the ground blood dripping from their lips as the Amphibuki Master's cackles transform into uproarious laughter and their vision finally fades (QUEST FAILED)</v>
      </c>
      <c r="C77" s="16" t="str">
        <f>IFERROR(__xludf.DUMMYFUNCTION("""COMPUTED_VALUE"""),"Side")</f>
        <v>Side</v>
      </c>
      <c r="D77" s="16" t="str">
        <f>IFERROR(__xludf.DUMMYFUNCTION("""COMPUTED_VALUE"""),"Dragonscale Island")</f>
        <v>Dragonscale Island</v>
      </c>
      <c r="E77" s="16">
        <f>IFERROR(__xludf.DUMMYFUNCTION("""COMPUTED_VALUE"""),5.0)</f>
        <v>5</v>
      </c>
    </row>
    <row r="78">
      <c r="A78" s="16" t="str">
        <f>IFERROR(__xludf.DUMMYFUNCTION("""COMPUTED_VALUE"""),"To End A War")</f>
        <v>To End A War</v>
      </c>
      <c r="B78" s="16" t="str">
        <f>IFERROR(__xludf.DUMMYFUNCTION("""COMPUTED_VALUE"""),"(This quest is technically activated immediately upon all it's prerequisites being reached however it can be done at any time)
(Step 1: Receiving the Trial description)  Upon receiving recognition for their efforts in assisting the Fogweb village the part"&amp;"y receives a letter via bird with a few simple words scrawled within
To the heroes of the Forgonian People and all ninja villages we would like to bestow on you the right to ascend to the peak of Shadow Arts.
For further details we implore that you meet u"&amp;"s in person
We await your presence
Upon arriving in front of the main palace of Fogweb the brilliant doors being to slowly creak open as the darkness within is revealed to the Party. As the party steps into the darkness torches begin to light up with gree"&amp;"n flames around them revealing 11 seated figures surrounding the party. 10 of the figures wear the uniforms of either Martial or poison masters whilst the one directly in front of the party, which they recognize as the Fog Webmaster who first led them to "&amp;"the city, wears brilliant black robes which drape over its body with a beautiful Jade pendant sitting on his neck. The Frogonians look down upon the party from their thrones for a few solid seconds before the door slams shut behind the party and the Fogwe"&amp;"b leader speaks.
""Adventurers, I am Grand Elder Joa of the Fogweb Ninja Tribe. I trust that you know the reason you all stand before me today, and I shall explain to you the trial which stands in the path of your ascension.""
With a loud boom the elders "&amp;"Cane strikes the ground and the torches begin to flair into what appears to be a map.
""Before you, Adventurers lay a map of the Dragonscale Islands, upon each lay a ninja village which you have saved from some sort of grand trial, these trials have led u"&amp;"s to finally locate the hidden base of the Amphibuki Traitors!""
With another boom a part of the map begins to shine with great intensity.
""Here lies those traitorous fiends who have turned against their brothers and sister and sought their blood, and he"&amp;"re is where you trial shall be held""
The Grand Elder rises from his seat and approaches the party, the rhythmic tapping of his cane being the only sound which fills the hall. He extends his cane to point towards the party.
""If you wish to gain the rank "&amp;"of master and stand alongside the elders of the 5 ninja villages, bring us the head of Inugami, The scourge of the Amphibuki. Do this and you shall earn the rank of  a ninja master, and the rewards which come along with it. Now, off with you, I have high "&amp;"expectations for such great adventurers like yourselves.""
He motions for the party to leave the palace as he returns to his seat and the room goes dark once more. 
(Step 2: Invasion Description)  The party, after a long time of travel finally arrives at"&amp;" the cave which houses the Amphibuki Lair and make their way into the cave where they are immediately waylaid by Amphibuki Trainees. (Begin Dungeon 'Amphibuki Hideout')
(Step 3: Master versus Master description) The party finally arrives at the room of t"&amp;"he Amphibuki Master, who they are surprised to see is, unlike the other ninjas, human. Master Inugima turns to the party who have broke into his layer surprised.
""How the hell have you bastards made it up here? I should have known that a few ninja's woul"&amp;"dn't be enough to stop you, considering your achievements. No matter, however as unlike you I have been blessed by the great Lord Dreadful and have power unimaginable to lowlives like you.""
His raised finger points to the party as shadows began to writhe"&amp;" around Master Inugima, rising up from the ground as if given life by Inugima's foul magic. Eventually the writhing shadows begin to still as they take on the form of three clones of master Inugima and Inugima begins to laugh as he morphs into the shadows"&amp;" himself gesturing to the party to come and get him. (begin battle)
(Upon Victory via killing Inugima) Inugima begins to cough heavily as he grasps his ribs.
*heavy Breaths* ""I won't. Let it end like this."" *cough* *cough*
He begins channeling the same "&amp;"dark energy as before this time with maniacal laughter that fill the room and the darkness surges wildly however something goes wrong. Due to his exhaustion Inugima becomes unable to handle the backlash of casting the spell and he begins to writhe in pain"&amp;" as blood spurts from his eyes and mouth and he collapses to the floor gasping for breathe
""I won't... Let it... End...""
He looks up to the ceiling and the light finally fades from his eyes as an eerie sword on the wall which seems to scream out curses "&amp;"begins to suck up his blood.
(Upon victory via arresting Inugima) The party feeling as though Inugima's fate is not there's to decide seals Inugima within a powerful magic as the shadows die down as does Inugima's fighting as an eerie sword on the wall wh"&amp;"ich seems to scream out curses becomes silent and crumbles to dust as the screams intensify before eventually going seemingly silent. However Inugima seems to become crazed as you drag him back to Fogweb.
(Upon death of the party) The party fought well ho"&amp;"wever they did not fight hard enough as Inugima's laughter is heard echoing through the caves. The shadows writhe with his laughs as they begin to wrap around you and you know that death has arrived. The Screams of the Eerie sword on the wall grow to deaf"&amp;"ening levels. (QUEST FAILED)
(Step 4: Celebration (Inugima Arrested Version) description) The party returns to Fogweb Inugima still in tow, his eyes are dark as he stares at the ground no longer responding to any external interactions but the party hardl"&amp;"y finds this to be an issue. The citizens of Fogweb applaud the party as they pass through and the Trainees bow to you all thankful that the fight against the Amphibuki is finally over. The party arrives at the front of the palace as the gates open once m"&amp;"ore. Stepping through the doors into the halls the torches illuminate once again revealing the smiling faces of not just the 10 elders of Fogweb, but the Grand elders of the other 4 villages as well.
""Adventurers!"" Joa Begins cheerfully ""We elders have"&amp;" never in our lives been more pleased to see someone walk through the doors of this palace"" He steps down from his seat and approaches the party once again with the same rhythmic tapping of his cane. ""Today is the most joyous day in the history of the n"&amp;"inja villages, as today we see the end to the war we've fought for ages and the end of our life long enemy."" He pulls up the chin of Inugima with his staff and stares into Inugimas Blank eyes. ""I thank you for bringing this one to me personally, I will "&amp;"make certain that he sees justice for the crimes he has committed against our people. As numerous as they are his death is guaranteed."" He releases Inugima's head and returns his gaze to the party. ""But now is most certainly not the time for such dour t"&amp;"alk is there? Today is for celebration, Let us begin your promotion ceremony!"" He taps his cane on the floor and the Palace gates open to a stage which you could swear wasn't there before. Joa begins a speech to the combined people of and the other 5 nin"&amp;"ja villages recounting your heroic deeds to them before coming out with (However many outfits as there are players that completed the quest) Ninja Master outfits and medals. He hands them to the party and bows as the crowd applauses. After your ceremony c"&amp;"omes Inugima, dragged out onto the stage by a procession of guards. He is led to a guillotine where he places his head down under the blade. His lifeless eyes seem to stare directly into the party's souls and then he dies. Just like that the scourge of th"&amp;"e ninja clans across Dragonscale meets his end. But for some reason you're left with this feeling that perhaps, this isn't how things were supposed to end. Perhaps there was another way.
(Step 4: Celebration (Inugima KIlled Version) description) The part"&amp;"y members, infatuated with the mysterious blade are unable to pull their eyes away from it, they reach out grabbing the blade from where it stands on the walls and feel a sudden surge of sickness wash over them. Their mind begins racing at unimaginable sp"&amp;"eed as the desire to kill fills their heads along with nonsensical visions as voices scream within their heads. It feels like years before the voices finally calm down whilst the party writhes on the ground. (Gain the Curse of The Ancestral Blood). The pa"&amp;"rty eventually arrives back in Fogweb with the voice still whispering in the back of their heads. The citizens of Fogweb applaud the party as they pass through and the Trainees bow to you all thankful that the fight against the Amphibuki is finally over. "&amp;"The party arrives at the front of the palace as the gates open once more. Stepping through the doors into the halls the torches illuminate once again revealing the smiling faces of not just the 10 elders of Fogweb, but the Grand elders of the other 4 vill"&amp;"ages as well.
""Adventurers!"" Joa Begins cheerfully ""We elders have never in our lives been more pleased to see someone walk through the doors of this palace"" He steps down from his seat and approaches the party once again with the same rhythmic tappin"&amp;"g of his cane. ""Today is the most joyous day in the history of the ninja villages, as today we see the end to the war we've fought for ages and the end of our life long enemy."" He bows lightly to the party. "" I could never thank you enough adventurers,"&amp;" that scourge had slaughtered our people for years now, never letting us rest in peace at night think of when and where he'd attack again"" He raises his head. ""But now is most certainly not the time for such dour talk is there? Today is for celebration,"&amp;" Let us begin your promotion ceremony!"" He taps his cane on the floor and the Palace gates open to a stage which you could swear wasn't there before. Joa begins a speech to the combined people of and the other 5 ninja villages recounting your heroic deed"&amp;"s to them before coming out with (However many outfits as there are players that completed the quest) Ninja Master outfits and medals. He hands them to the party and bows as the crowd applauses. As the party finishes with the festivities they look at the "&amp;"blade now in their possession, it's gone mostly quiet for now but you are all full of the feeling that this story is not over just yet. (Epilogue Quest Unlocks at level 6000)")</f>
        <v>(This quest is technically activated immediately upon all it's prerequisites being reached however it can be done at any time)
(Step 1: Receiving the Trial description)  Upon receiving recognition for their efforts in assisting the Fogweb village the party receives a letter via bird with a few simple words scrawled within
To the heroes of the Forgonian People and all ninja villages we would like to bestow on you the right to ascend to the peak of Shadow Arts.
For further details we implore that you meet us in person
We await your presence
Upon arriving in front of the main palace of Fogweb the brilliant doors being to slowly creak open as the darkness within is revealed to the Party. As the party steps into the darkness torches begin to light up with green flames around them revealing 11 seated figures surrounding the party. 10 of the figures wear the uniforms of either Martial or poison masters whilst the one directly in front of the party, which they recognize as the Fog Webmaster who first led them to the city, wears brilliant black robes which drape over its body with a beautiful Jade pendant sitting on his neck. The Frogonians look down upon the party from their thrones for a few solid seconds before the door slams shut behind the party and the Fogweb leader speaks.
"Adventurers, I am Grand Elder Joa of the Fogweb Ninja Tribe. I trust that you know the reason you all stand before me today, and I shall explain to you the trial which stands in the path of your ascension."
With a loud boom the elders Cane strikes the ground and the torches begin to flair into what appears to be a map.
"Before you, Adventurers lay a map of the Dragonscale Islands, upon each lay a ninja village which you have saved from some sort of grand trial, these trials have led us to finally locate the hidden base of the Amphibuki Traitors!"
With another boom a part of the map begins to shine with great intensity.
"Here lies those traitorous fiends who have turned against their brothers and sister and sought their blood, and here is where you trial shall be held"
The Grand Elder rises from his seat and approaches the party, the rhythmic tapping of his cane being the only sound which fills the hall. He extends his cane to point towards the party.
"If you wish to gain the rank of master and stand alongside the elders of the 5 ninja villages, bring us the head of Inugami, The scourge of the Amphibuki. Do this and you shall earn the rank of  a ninja master, and the rewards which come along with it. Now, off with you, I have high expectations for such great adventurers like yourselves."
He motions for the party to leave the palace as he returns to his seat and the room goes dark once more. 
(Step 2: Invasion Description)  The party, after a long time of travel finally arrives at the cave which houses the Amphibuki Lair and make their way into the cave where they are immediately waylaid by Amphibuki Trainees. (Begin Dungeon 'Amphibuki Hideout')
(Step 3: Master versus Master description) The party finally arrives at the room of the Amphibuki Master, who they are surprised to see is, unlike the other ninjas, human. Master Inugima turns to the party who have broke into his layer surprised.
"How the hell have you bastards made it up here? I should have known that a few ninja's wouldn't be enough to stop you, considering your achievements. No matter, however as unlike you I have been blessed by the great Lord Dreadful and have power unimaginable to lowlives like you."
His raised finger points to the party as shadows began to writhe around Master Inugima, rising up from the ground as if given life by Inugima's foul magic. Eventually the writhing shadows begin to still as they take on the form of three clones of master Inugima and Inugima begins to laugh as he morphs into the shadows himself gesturing to the party to come and get him. (begin battle)
(Upon Victory via killing Inugima) Inugima begins to cough heavily as he grasps his ribs.
*heavy Breaths* "I won't. Let it end like this." *cough* *cough*
He begins channeling the same dark energy as before this time with maniacal laughter that fill the room and the darkness surges wildly however something goes wrong. Due to his exhaustion Inugima becomes unable to handle the backlash of casting the spell and he begins to writhe in pain as blood spurts from his eyes and mouth and he collapses to the floor gasping for breathe
"I won't... Let it... End..."
He looks up to the ceiling and the light finally fades from his eyes as an eerie sword on the wall which seems to scream out curses begins to suck up his blood.
(Upon victory via arresting Inugima) The party feeling as though Inugima's fate is not there's to decide seals Inugima within a powerful magic as the shadows die down as does Inugima's fighting as an eerie sword on the wall which seems to scream out curses becomes silent and crumbles to dust as the screams intensify before eventually going seemingly silent. However Inugima seems to become crazed as you drag him back to Fogweb.
(Upon death of the party) The party fought well however they did not fight hard enough as Inugima's laughter is heard echoing through the caves. The shadows writhe with his laughs as they begin to wrap around you and you know that death has arrived. The Screams of the Eerie sword on the wall grow to deafening levels. (QUEST FAILED)
(Step 4: Celebration (Inugima Arrested Version) description) The party returns to Fogweb Inugima still in tow, his eyes are dark as he stares at the ground no longer responding to any external interactions but the party hardly finds this to be an issue. The citizens of Fogweb applaud the party as they pass through and the Trainees bow to you all thankful that the fight against the Amphibuki is finally over. The party arrives at the front of the palace as the gates open once more. Stepping through the doors into the halls the torches illuminate once again revealing the smiling faces of not just the 10 elders of Fogweb, but the Grand elders of the other 4 villages as well.
"Adventurers!" Joa Begins cheerfully "We elders have never in our lives been more pleased to see someone walk through the doors of this palace" He steps down from his seat and approaches the party once again with the same rhythmic tapping of his cane. "Today is the most joyous day in the history of the ninja villages, as today we see the end to the war we've fought for ages and the end of our life long enemy." He pulls up the chin of Inugima with his staff and stares into Inugimas Blank eyes. "I thank you for bringing this one to me personally, I will make certain that he sees justice for the crimes he has committed against our people. As numerous as they are his death is guaranteed." He releases Inugima's head and returns his gaze to the party. "But now is most certainly not the time for such dour talk is there? Today is for celebration, Let us begin your promotion ceremony!" He taps his cane on the floor and the Palace gates open to a stage which you could swear wasn't there before. Joa begins a speech to the combined people of and the other 5 ninja villages recounting your heroic deeds to them before coming out with (However many outfits as there are players that completed the quest) Ninja Master outfits and medals. He hands them to the party and bows as the crowd applauses. After your ceremony comes Inugima, dragged out onto the stage by a procession of guards. He is led to a guillotine where he places his head down under the blade. His lifeless eyes seem to stare directly into the party's souls and then he dies. Just like that the scourge of the ninja clans across Dragonscale meets his end. But for some reason you're left with this feeling that perhaps, this isn't how things were supposed to end. Perhaps there was another way.
(Step 4: Celebration (Inugima KIlled Version) description) The party members, infatuated with the mysterious blade are unable to pull their eyes away from it, they reach out grabbing the blade from where it stands on the walls and feel a sudden surge of sickness wash over them. Their mind begins racing at unimaginable speed as the desire to kill fills their heads along with nonsensical visions as voices scream within their heads. It feels like years before the voices finally calm down whilst the party writhes on the ground. (Gain the Curse of The Ancestral Blood). The party eventually arrives back in Fogweb with the voice still whispering in the back of their heads. The citizens of Fogweb applaud the party as they pass through and the Trainees bow to you all thankful that the fight against the Amphibuki is finally over. The party arrives at the front of the palace as the gates open once more. Stepping through the doors into the halls the torches illuminate once again revealing the smiling faces of not just the 10 elders of Fogweb, but the Grand elders of the other 4 villages as well.
"Adventurers!" Joa Begins cheerfully "We elders have never in our lives been more pleased to see someone walk through the doors of this palace" He steps down from his seat and approaches the party once again with the same rhythmic tapping of his cane. "Today is the most joyous day in the history of the ninja villages, as today we see the end to the war we've fought for ages and the end of our life long enemy." He bows lightly to the party. " I could never thank you enough adventurers, that scourge had slaughtered our people for years now, never letting us rest in peace at night think of when and where he'd attack again" He raises his head. "But now is most certainly not the time for such dour talk is there? Today is for celebration, Let us begin your promotion ceremony!" He taps his cane on the floor and the Palace gates open to a stage which you could swear wasn't there before. Joa begins a speech to the combined people of and the other 5 ninja villages recounting your heroic deeds to them before coming out with (However many outfits as there are players that completed the quest) Ninja Master outfits and medals. He hands them to the party and bows as the crowd applauses. As the party finishes with the festivities they look at the blade now in their possession, it's gone mostly quiet for now but you are all full of the feeling that this story is not over just yet. (Epilogue Quest Unlocks at level 6000)</v>
      </c>
      <c r="C78" s="16" t="str">
        <f>IFERROR(__xludf.DUMMYFUNCTION("""COMPUTED_VALUE"""),"Side")</f>
        <v>Side</v>
      </c>
      <c r="D78" s="16" t="str">
        <f>IFERROR(__xludf.DUMMYFUNCTION("""COMPUTED_VALUE"""),"Dragonscale Island")</f>
        <v>Dragonscale Island</v>
      </c>
      <c r="E78" s="16">
        <f>IFERROR(__xludf.DUMMYFUNCTION("""COMPUTED_VALUE"""),4.0)</f>
        <v>4</v>
      </c>
    </row>
    <row r="79">
      <c r="A79" s="16" t="str">
        <f>IFERROR(__xludf.DUMMYFUNCTION("""COMPUTED_VALUE"""),"A land of the Wild")</f>
        <v>A land of the Wild</v>
      </c>
      <c r="B79" s="16" t="str">
        <f>IFERROR(__xludf.DUMMYFUNCTION("""COMPUTED_VALUE"""),"(Upon entering WildWood for the First Time) The Party, upon arriving in the WildWood sees that the people there are in a sort of panic.
""Oh not again!"" one pedestrian yells out, approaching the pedestrian the party would see the severed lower body of a "&amp;"sheep lying in the street.
Upon talking to the man the party would learn that the man is a shepard of the wild wood and that for the past few weeks his and several other sheperds livestock have become the victims of the ""Beast of Gévaudan.""
""Say you lo"&amp;"t look capable of handling yer'selves,"" he starts scanning the party's equipment, ""Yes perhaps you lot could solve our problem, adventurers I ask that ye go talk to the chief o' this 'ere town, he lives just north of here in the large buil'ing atop that"&amp;" 'ill"" He points towards a simple structure standing atop a hill which overlooks the rest of the WildWood.
""The Chiefs been looking for adventurer's like you lot to deal with that nasty beast for a while now, I'm sure e'd have some reward for ya if ya d"&amp;"id,"" 
(Part 1: Talk to the Chief of WIldWood) The Party arrives at the structure atop the hill where they find 2 guards standing in front of a great door. The guards look at the party and the one on the left says ""Here to fight the beast ey? Let's see i"&amp;"f this group comes back alive then. Go on in."" The guards begin to open the hefty doors and the party sees a great hall, at the end of which sits a giant of a man on a throne. The party approaches the throne and speak of their wish to learn more about th"&amp;"e great beast that's been plaguing the people of WildWood.
After sizing up the party in silence for a few seconds the Chief of WildWood begins to speak, ""The Beast of Gévaudan, It's a large beast that's been stalking our woods, killing our people and liv"&amp;"estock, it's a menace and it needs ended,"" his voice echoes these words across the hall, ""However, our attempts to kill it thus far have been complete failures, we've sent other adventurers out but none of them have returned and we can no longer spare a"&amp;"ny guards due to the cultists from the South, I'm willing to pay so I ask that you deal with the beast for the town since you seem at least slightly more qualified than the average hoodlum who takes the request."" The Chief rises from his seat towering ov"&amp;"er even the tallest party member. ""The hunt will be simple, go and slay some wolves and that should draw out the foul beast after that-"" he draws his thumb across his throat-"" Kill it, and bring me it's head as proof, with that you'll have your reward."&amp;""" He points towards the east of the town, ""My hunters have reported sighting of the beast over there, now go, I expect good results.""
And with that the party makes their way for the forest.
(Part 2: Hunt 6 Wolves) Upon arriving in the woods eastward of"&amp;" the town the party encounters a group of wolves feasting upon the corpse of a young lamb, upon preparing themselves for inevitable battle they charge in. (Begin Battle)
(Part 3: Kill or Capture the Beast of Gévaudan) Soaked in the blood of the wolves the"&amp;" party stands triumphantly when they hear a thumping approaching fast they feel a shiver go down their spine as they turn and see a beast approaching at speeds that shouldn't be feasible for such a large creature as it bares down on them, It's black coat "&amp;"shimmering in the moonlight as it stops suddenly mere feet away from the party. It begins to circle with a menacing glare that bares down on the party almost as if it's stare was enchanted before revealing it's fangs and pouncing on the party. (Begin Batt"&amp;"le)
(Upon Killing The Beast) After a grueling battle against the foul creature The party manages to trike true severing the head from the rest of the spirits semi-corporeal body, as they do it's body begins to slowly dissipate into the air, one of the par"&amp;"ty members (doesn't matter who does just that some one does) attaches the severed head of the beast to their belt and they make their way back to the town of WildWood, triumphant.
(Upon Capturing The Beast via Arrest) The Party fights hard to restrain the"&amp;" beast, it is no easy feat as the beast thrashes against it's bindings until eventually it is completely sealed and unable to move. The party makes their way back to the town of WildWood, triumphant.
(Part 4: Offer the Beast to the Chief) 
(If the Beast i"&amp;"s Killed) The party struts through the streets of WildWood the severed head of the beast hanging from their belt as several onlookers look on in awe, they make their way to the Great Door of the Chief's Abode where they meet the same two guards as before,"&amp;" one of which whistles in mock awe as they approach ""oh~ So you killed the blither then ey? Good on you lads, you may have some future as adventurers after all. Anyway go right on in, the chief's 'een waiting for ya,"" Him and the other guard begin to pu"&amp;"sh the heavy doors open with ease once again as it opens to the Grand Hall, at the end of the hall sits the chief, he eyes the party before settling on the head attached to a party member's belt.
""I see that your venture has been a success,"" He begins, "&amp;"his voice deep and gravely, ""I thank you for your service to the WildWood, and I imagine my people do too, a suitable reward will be given promptly for these admirable results-"" he pulls a purse of coins from an extra dimensional space and holds it out "&amp;"to the party- ""Take it,"" he finishes handing the pouch to the person at the front of the party. ""You may keep the head, it has some special properties you may be interested in."" With their pay received and their quest complete the party makes their wa"&amp;"y back into town (QUEST COMPLETE)
(If The Beast Is Captured) The party struts through town hauling the captured beast in tow, as it thrashes against it's binds the people look on in horror and awe as the party approaches the Great Door, The guards at the "&amp;"front give you a look that shows their impression at your feat as they open the door, ""Quite a pet ya got there lad,"" one of the guards say, ""Just make sure it dun' shed to much on the chiefs carpet will ya'?"" As the party enters the Grand Hall they s"&amp;"ee the chief, he eyes the party before settling on the Beast bound down and being dragged behind the party, he rises from his chair and approaches the party wordlessly before pulling out a greatsword as large as two men and swiftly detaching the head from"&amp;" the Beast, ""You did well in capturing the beast, but I ask that you kill them next time, saves us all some trouble,"" He says returning to his seat. ""I thank you for your service to the WildWood, and I imagine my people do too, a suitable reward will b"&amp;"e given promptly for these admirable results-"" he pulls a purse of coins from an extra dimensional space and holds it out to the party- ""Take it,"" he finishes, handing the pouch to the person at the front of the party. ""You may keep the head, it has s"&amp;"ome special properties you may be interested in."" With their pay received and their quest complete the party makes their way back into town (QUEST COMPLETE)")</f>
        <v>(Upon entering WildWood for the First Time) The Party, upon arriving in the WildWood sees that the people there are in a sort of panic.
"Oh not again!" one pedestrian yells out, approaching the pedestrian the party would see the severed lower body of a sheep lying in the street.
Upon talking to the man the party would learn that the man is a shepard of the wild wood and that for the past few weeks his and several other sheperds livestock have become the victims of the "Beast of Gévaudan."
"Say you lot look capable of handling yer'selves," he starts scanning the party's equipment, "Yes perhaps you lot could solve our problem, adventurers I ask that ye go talk to the chief o' this 'ere town, he lives just north of here in the large buil'ing atop that 'ill" He points towards a simple structure standing atop a hill which overlooks the rest of the WildWood.
"The Chiefs been looking for adventurer's like you lot to deal with that nasty beast for a while now, I'm sure e'd have some reward for ya if ya did," 
(Part 1: Talk to the Chief of WIldWood) The Party arrives at the structure atop the hill where they find 2 guards standing in front of a great door. The guards look at the party and the one on the left says "Here to fight the beast ey? Let's see if this group comes back alive then. Go on in." The guards begin to open the hefty doors and the party sees a great hall, at the end of which sits a giant of a man on a throne. The party approaches the throne and speak of their wish to learn more about the great beast that's been plaguing the people of WildWood.
After sizing up the party in silence for a few seconds the Chief of WildWood begins to speak, "The Beast of Gévaudan, It's a large beast that's been stalking our woods, killing our people and livestock, it's a menace and it needs ended," his voice echoes these words across the hall, "However, our attempts to kill it thus far have been complete failures, we've sent other adventurers out but none of them have returned and we can no longer spare any guards due to the cultists from the South, I'm willing to pay so I ask that you deal with the beast for the town since you seem at least slightly more qualified than the average hoodlum who takes the request." The Chief rises from his seat towering over even the tallest party member. "The hunt will be simple, go and slay some wolves and that should draw out the foul beast after that-" he draws his thumb across his throat-" Kill it, and bring me it's head as proof, with that you'll have your reward." He points towards the east of the town, "My hunters have reported sighting of the beast over there, now go, I expect good results."
And with that the party makes their way for the forest.
(Part 2: Hunt 6 Wolves) Upon arriving in the woods eastward of the town the party encounters a group of wolves feasting upon the corpse of a young lamb, upon preparing themselves for inevitable battle they charge in. (Begin Battle)
(Part 3: Kill or Capture the Beast of Gévaudan) Soaked in the blood of the wolves the party stands triumphantly when they hear a thumping approaching fast they feel a shiver go down their spine as they turn and see a beast approaching at speeds that shouldn't be feasible for such a large creature as it bares down on them, It's black coat shimmering in the moonlight as it stops suddenly mere feet away from the party. It begins to circle with a menacing glare that bares down on the party almost as if it's stare was enchanted before revealing it's fangs and pouncing on the party. (Begin Battle)
(Upon Killing The Beast) After a grueling battle against the foul creature The party manages to trike true severing the head from the rest of the spirits semi-corporeal body, as they do it's body begins to slowly dissipate into the air, one of the party members (doesn't matter who does just that some one does) attaches the severed head of the beast to their belt and they make their way back to the town of WildWood, triumphant.
(Upon Capturing The Beast via Arrest) The Party fights hard to restrain the beast, it is no easy feat as the beast thrashes against it's bindings until eventually it is completely sealed and unable to move. The party makes their way back to the town of WildWood, triumphant.
(Part 4: Offer the Beast to the Chief) 
(If the Beast is Killed) The party struts through the streets of WildWood the severed head of the beast hanging from their belt as several onlookers look on in awe, they make their way to the Great Door of the Chief's Abode where they meet the same two guards as before, one of which whistles in mock awe as they approach "oh~ So you killed the blither then ey? Good on you lads, you may have some future as adventurers after all. Anyway go right on in, the chief's 'een waiting for ya," Him and the other guard begin to push the heavy doors open with ease once again as it opens to the Grand Hall, at the end of the hall sits the chief, he eyes the party before settling on the head attached to a party member's belt.
"I see that your venture has been a success," He begins, his voice deep and gravely, "I thank you for your service to the WildWood, and I imagine my people do too, a suitable reward will be given promptly for these admirable results-" he pulls a purse of coins from an extra dimensional space and holds it out to the party- "Take it," he finishes handing the pouch to the person at the front of the party. "You may keep the head, it has some special properties you may be interested in." With their pay received and their quest complete the party makes their way back into town (QUEST COMPLETE)
(If The Beast Is Captured) The party struts through town hauling the captured beast in tow, as it thrashes against it's binds the people look on in horror and awe as the party approaches the Great Door, The guards at the front give you a look that shows their impression at your feat as they open the door, "Quite a pet ya got there lad," one of the guards say, "Just make sure it dun' shed to much on the chiefs carpet will ya'?" As the party enters the Grand Hall they see the chief, he eyes the party before settling on the Beast bound down and being dragged behind the party, he rises from his chair and approaches the party wordlessly before pulling out a greatsword as large as two men and swiftly detaching the head from the Beast, "You did well in capturing the beast, but I ask that you kill them next time, saves us all some trouble," He says returning to his seat. "I thank you for your service to the WildWood, and I imagine my people do too, a suitable reward will be given promptly for these admirable results-" he pulls a purse of coins from an extra dimensional space and holds it out to the party- "Take it," he finishes, handing the pouch to the person at the front of the party. "You may keep the head, it has some special properties you may be interested in." With their pay received and their quest complete the party makes their way back into town (QUEST COMPLETE)</v>
      </c>
      <c r="C79" s="16" t="str">
        <f>IFERROR(__xludf.DUMMYFUNCTION("""COMPUTED_VALUE"""),"Side")</f>
        <v>Side</v>
      </c>
      <c r="D79" s="16" t="str">
        <f>IFERROR(__xludf.DUMMYFUNCTION("""COMPUTED_VALUE"""),"Land of Spira")</f>
        <v>Land of Spira</v>
      </c>
      <c r="E79" s="16">
        <f>IFERROR(__xludf.DUMMYFUNCTION("""COMPUTED_VALUE"""),4.0)</f>
        <v>4</v>
      </c>
    </row>
    <row r="80">
      <c r="A80" s="16" t="str">
        <f>IFERROR(__xludf.DUMMYFUNCTION("""COMPUTED_VALUE"""),"Trials of Valor")</f>
        <v>Trials of Valor</v>
      </c>
      <c r="B80" s="16" t="str">
        <f>IFERROR(__xludf.DUMMYFUNCTION("""COMPUTED_VALUE"""),"In the heart of The Kingdom of Royal Knights, beneath the scorching sun of the Red Sands, you stand before the imposing figure of the Lord of Spira. Your desire to become a guard, a defender of the realm, echoes through the vast expanse. The Lord of Spira"&amp;", a discerning ruler, acknowledges your aspiration but demands proof of your mettle. He assigns you a series of tasks, known as the Trials of Valor, to determine if you are worthy of joining the ranks of the esteemed guards.")</f>
        <v>In the heart of The Kingdom of Royal Knights, beneath the scorching sun of the Red Sands, you stand before the imposing figure of the Lord of Spira. Your desire to become a guard, a defender of the realm, echoes through the vast expanse. The Lord of Spira, a discerning ruler, acknowledges your aspiration but demands proof of your mettle. He assigns you a series of tasks, known as the Trials of Valor, to determine if you are worthy of joining the ranks of the esteemed guards.</v>
      </c>
      <c r="C80" s="16" t="str">
        <f>IFERROR(__xludf.DUMMYFUNCTION("""COMPUTED_VALUE"""),"Side")</f>
        <v>Side</v>
      </c>
      <c r="D80" s="16" t="str">
        <f>IFERROR(__xludf.DUMMYFUNCTION("""COMPUTED_VALUE"""),"Land of Spira")</f>
        <v>Land of Spira</v>
      </c>
      <c r="E80" s="16">
        <f>IFERROR(__xludf.DUMMYFUNCTION("""COMPUTED_VALUE"""),4.0)</f>
        <v>4</v>
      </c>
    </row>
    <row r="81">
      <c r="A81" s="16" t="str">
        <f>IFERROR(__xludf.DUMMYFUNCTION("""COMPUTED_VALUE"""),"Rise to Glory")</f>
        <v>Rise to Glory</v>
      </c>
      <c r="B81" s="16" t="str">
        <f>IFERROR(__xludf.DUMMYFUNCTION("""COMPUTED_VALUE"""),"You have been given a rare opportunity to prove your worth and rise through the ranks of the esteemed Spira Guard. The Lord of Spira in the Red Sands has summoned you, entrusting you with a promotion quest that will test your skills, bravery, and allegian"&amp;"ce. Your goal is to become a Spira Guard Sergeant First Class, a position of great honor and responsibility. Embark on this epic journey and demonstrate your unwavering dedication to the protection of Spira!")</f>
        <v>You have been given a rare opportunity to prove your worth and rise through the ranks of the esteemed Spira Guard. The Lord of Spira in the Red Sands has summoned you, entrusting you with a promotion quest that will test your skills, bravery, and allegiance. Your goal is to become a Spira Guard Sergeant First Class, a position of great honor and responsibility. Embark on this epic journey and demonstrate your unwavering dedication to the protection of Spira!</v>
      </c>
      <c r="C81" s="16" t="str">
        <f>IFERROR(__xludf.DUMMYFUNCTION("""COMPUTED_VALUE"""),"Side")</f>
        <v>Side</v>
      </c>
      <c r="D81" s="16" t="str">
        <f>IFERROR(__xludf.DUMMYFUNCTION("""COMPUTED_VALUE"""),"Land of Spira")</f>
        <v>Land of Spira</v>
      </c>
      <c r="E81" s="16">
        <f>IFERROR(__xludf.DUMMYFUNCTION("""COMPUTED_VALUE"""),7.0)</f>
        <v>7</v>
      </c>
    </row>
    <row r="82">
      <c r="A82" s="16" t="str">
        <f>IFERROR(__xludf.DUMMYFUNCTION("""COMPUTED_VALUE"""),"The Council of Spira")</f>
        <v>The Council of Spira</v>
      </c>
      <c r="B82" s="16" t="str">
        <f>IFERROR(__xludf.DUMMYFUNCTION("""COMPUTED_VALUE"""),"An opportunity for greatness presents itself. The Lord of Spira, a powerful and enigmatic figure, has called upon you, a valiant adventurer, to undertake a promotion quest of utmost importance. Your task is to prove your worth and ascend to the prestigiou"&amp;"s rank of Spira Guard General, becoming a formidable guardian of the realm.")</f>
        <v>An opportunity for greatness presents itself. The Lord of Spira, a powerful and enigmatic figure, has called upon you, a valiant adventurer, to undertake a promotion quest of utmost importance. Your task is to prove your worth and ascend to the prestigious rank of Spira Guard General, becoming a formidable guardian of the realm.</v>
      </c>
      <c r="C82" s="16" t="str">
        <f>IFERROR(__xludf.DUMMYFUNCTION("""COMPUTED_VALUE"""),"Side")</f>
        <v>Side</v>
      </c>
      <c r="D82" s="16" t="str">
        <f>IFERROR(__xludf.DUMMYFUNCTION("""COMPUTED_VALUE"""),"Land of Spira")</f>
        <v>Land of Spira</v>
      </c>
      <c r="E82" s="16">
        <f>IFERROR(__xludf.DUMMYFUNCTION("""COMPUTED_VALUE"""),6.0)</f>
        <v>6</v>
      </c>
    </row>
    <row r="83">
      <c r="A83" s="16" t="str">
        <f>IFERROR(__xludf.DUMMYFUNCTION("""COMPUTED_VALUE"""),"Poaching the Poachers")</f>
        <v>Poaching the Poachers</v>
      </c>
      <c r="B83" s="16" t="str">
        <f>IFERROR(__xludf.DUMMYFUNCTION("""COMPUTED_VALUE"""),"The party picks a paper off of the quest board in the Boar Tusk Bar, it's a notice which reads as follows. 
To all those reading this, a dangerous group of poachers has been found in the eastern WildWood, if you wish to assist the God's Quiver in subduing"&amp;" these cretins please meet Divine Arrow Harald  in the Church of Artemis, otherwise the eastern forest is off limits until further notice.
(Part 1 Speak with Divine Arrow Harald within the church of Artemis.) The party, reading of the poachers decides to "&amp;"make their way to the church, either from a convition to help, or a lust for monetary reward. Arriving at the church of Artemis the party will see and imposing man dressed in green with a greatbow as large as him on his back, He appears to be speaking wit"&amp;"h another man, smaller than the other but somehow more intimidating with a scruffy beard. Suddenly the two men notice the party's approach.
""Anyway, just get it done, we have far too much on our hands right now to be worrying about a few petty poachers."&amp;""" The smaller man says before nodding to the party and leaving.
The larger man turns to the party and says, ""Hello, and welcome to the Church of Artemis, I hope above all hopes you are here to deal with our pest problem."" he sighs. The party affirms hi"&amp;"s suspicions, producing the paper with the job's details upon it. ""Thank the gods, I've been wanting to deal with these poachers myself but recent events have kept all branches of the church busy and I haven't even been able to send any of my men to deal"&amp;" with these damnable poachers-"" he pauses, ""apologies, my woes are of no importance to you, anyway if you would, could you go into the eastern forest, about a day's travel into the forest you'll find a bear, one of the poacher's recent marks, you should"&amp;" be able to rather easily track the messy hooligans from there, they leave quite the trail,"" He hands them another sheet of paper, ""This is a warrant for their arrest, though I don't imagine they'll come easily, if you do manage to capture them bring th"&amp;"em to the judge along with this warrant and he shoudl reward you, if you can't catch them alive however bringin their heads shoudl suffice, I can't thank you all enough for taking this job off my hands, and good luck."" WIth that Harald makes his way into"&amp;" the church where he is immdiately bombarded with all kinds of question from paladins on different topics, you see the rush inside and can tell he wasn't lying when he said he was busy.
(Part 2 Investigate the dead bear) The party arrives at the scene of "&amp;"the poachers most recent capture and see a grisly scene. A bear lies in the middle of a clearing covered in several lascerations and without it's heads, around the bear are the corpses of 3 men, the party assumes them to be poachers who got cocky during t"&amp;"he hunt. (HAVE THE PARTY ROLL WISDOM HERE TO INVESTIGATE THE CRIME SCENE THE DC IS 15 ONLY ONE SUCCESS IS NEEDED)
(FAILURE) The party tries their best given the limited clues surrounding them, however they can't seem to get a solid direction the poachers "&amp;"might've gone after the hunt. Giving up the party decides it best to give up on the quest for now.
(SUCCESS) The party notices the faint trace of footprint in the dirt, following these tracks they find a hidden trail through the brush that the poachers se"&amp;"t up to monitor their trap, Following this trail the party would find the poacher's hideout.
(Part 3 Defeat the Poachers) The outskirts of the Poacher camps smells heavily of blood and booze as the party makes their way through the thick underbrush, weapo"&amp;"ns readied, the poachers, some drunk, some asleep have yet to notice the party's approach. The drunken ones are loudly laughing amongst themselves about something inaudible to the party as the party strikes.(BEGIN COMBAT)
(Part 4 Turn in the captured/kill"&amp;"ed poachers to the judge within WildWood) The party returns to town, shackled poachers in tow, arriving in WildWood's courthouse, the prisoner's are taken into custody by the judge and th eparty rewarded aptly with the poacher's bounty.
""It's a good thin"&amp;"g to see those cretins put behind bars, they've begun getting into scuffles with hunters recently, anyway good job you all, and here's your deserved rewards. I hope not to see you all again, though hopefully not under the circumstances of our poacher frie"&amp;"nds.""
(QUEST COMPLETE)")</f>
        <v>The party picks a paper off of the quest board in the Boar Tusk Bar, it's a notice which reads as follows. 
To all those reading this, a dangerous group of poachers has been found in the eastern WildWood, if you wish to assist the God's Quiver in subduing these cretins please meet Divine Arrow Harald  in the Church of Artemis, otherwise the eastern forest is off limits until further notice.
(Part 1 Speak with Divine Arrow Harald within the church of Artemis.) The party, reading of the poachers decides to make their way to the church, either from a convition to help, or a lust for monetary reward. Arriving at the church of Artemis the party will see and imposing man dressed in green with a greatbow as large as him on his back, He appears to be speaking with another man, smaller than the other but somehow more intimidating with a scruffy beard. Suddenly the two men notice the party's approach.
"Anyway, just get it done, we have far too much on our hands right now to be worrying about a few petty poachers." The smaller man says before nodding to the party and leaving.
The larger man turns to the party and says, "Hello, and welcome to the Church of Artemis, I hope above all hopes you are here to deal with our pest problem." he sighs. The party affirms his suspicions, producing the paper with the job's details upon it. "Thank the gods, I've been wanting to deal with these poachers myself but recent events have kept all branches of the church busy and I haven't even been able to send any of my men to deal with these damnable poachers-" he pauses, "apologies, my woes are of no importance to you, anyway if you would, could you go into the eastern forest, about a day's travel into the forest you'll find a bear, one of the poacher's recent marks, you should be able to rather easily track the messy hooligans from there, they leave quite the trail," He hands them another sheet of paper, "This is a warrant for their arrest, though I don't imagine they'll come easily, if you do manage to capture them bring them to the judge along with this warrant and he shoudl reward you, if you can't catch them alive however bringin their heads shoudl suffice, I can't thank you all enough for taking this job off my hands, and good luck." WIth that Harald makes his way into the church where he is immdiately bombarded with all kinds of question from paladins on different topics, you see the rush inside and can tell he wasn't lying when he said he was busy.
(Part 2 Investigate the dead bear) The party arrives at the scene of the poachers most recent capture and see a grisly scene. A bear lies in the middle of a clearing covered in several lascerations and without it's heads, around the bear are the corpses of 3 men, the party assumes them to be poachers who got cocky during the hunt. (HAVE THE PARTY ROLL WISDOM HERE TO INVESTIGATE THE CRIME SCENE THE DC IS 15 ONLY ONE SUCCESS IS NEEDED)
(FAILURE) The party tries their best given the limited clues surrounding them, however they can't seem to get a solid direction the poachers might've gone after the hunt. Giving up the party decides it best to give up on the quest for now.
(SUCCESS) The party notices the faint trace of footprint in the dirt, following these tracks they find a hidden trail through the brush that the poachers set up to monitor their trap, Following this trail the party would find the poacher's hideout.
(Part 3 Defeat the Poachers) The outskirts of the Poacher camps smells heavily of blood and booze as the party makes their way through the thick underbrush, weapons readied, the poachers, some drunk, some asleep have yet to notice the party's approach. The drunken ones are loudly laughing amongst themselves about something inaudible to the party as the party strikes.(BEGIN COMBAT)
(Part 4 Turn in the captured/killed poachers to the judge within WildWood) The party returns to town, shackled poachers in tow, arriving in WildWood's courthouse, the prisoner's are taken into custody by the judge and th eparty rewarded aptly with the poacher's bounty.
"It's a good thing to see those cretins put behind bars, they've begun getting into scuffles with hunters recently, anyway good job you all, and here's your deserved rewards. I hope not to see you all again, though hopefully not under the circumstances of our poacher friends."
(QUEST COMPLETE)</v>
      </c>
      <c r="C83" s="16" t="str">
        <f>IFERROR(__xludf.DUMMYFUNCTION("""COMPUTED_VALUE"""),"Side")</f>
        <v>Side</v>
      </c>
      <c r="D83" s="16" t="str">
        <f>IFERROR(__xludf.DUMMYFUNCTION("""COMPUTED_VALUE"""),"Land of Spira")</f>
        <v>Land of Spira</v>
      </c>
      <c r="E83" s="16">
        <f>IFERROR(__xludf.DUMMYFUNCTION("""COMPUTED_VALUE"""),4.0)</f>
        <v>4</v>
      </c>
    </row>
    <row r="84">
      <c r="A84" s="16" t="str">
        <f>IFERROR(__xludf.DUMMYFUNCTION("""COMPUTED_VALUE"""),"Kenyu's Guided Meditation")</f>
        <v>Kenyu's Guided Meditation</v>
      </c>
      <c r="B84" s="16" t="str">
        <f>IFERROR(__xludf.DUMMYFUNCTION("""COMPUTED_VALUE"""),"Embark on a transformative quest with Elder Monk Kenyu as he invites you to partake in a profound spiritual journey known as ""Kenyu's Guided Meditation."" In a world filled with turmoil and chaos, Elder Monk Kenyu has mastered the art of serenity and now"&amp;" extends his wisdom to those seeking solace.
Your task is simple yet profound - accompany Elder Monk Kenyu to a secluded sanctuary, a place untouched by the external chaos that plagues the realm. Here, under the guidance of Kenyu, you will delve into the"&amp;" recesses of your mind, seeking to unravel and dispel the negative energies that weigh heavily upon your spirit.
As you navigate through the ethereal landscapes within your own consciousness, you may encounter symbolic challenges representing your inner "&amp;"struggles. These trials could manifest as metaphorical obstacles, requiring your introspection and resolve to overcome. Kenyu will be there, a beacon of wisdom, offering guidance and enlightenment throughout this introspective odyssey.
Success in ""Kenyu"&amp;"'s Guided Meditation"" promises not only the tranquility of a cleared mind but also the unlocking of hidden potentials within yourself. The rewards are not material but spiritual - a newfound sense of balance, resilience, and a profound understanding of y"&amp;"our own psyche.
Venture forth, brave traveler, and let the soothing whispers of Kenyu's teachings guide you to the serene shores of inner peace.")</f>
        <v>Embark on a transformative quest with Elder Monk Kenyu as he invites you to partake in a profound spiritual journey known as "Kenyu's Guided Meditation." In a world filled with turmoil and chaos, Elder Monk Kenyu has mastered the art of serenity and now extends his wisdom to those seeking solace.
Your task is simple yet profound - accompany Elder Monk Kenyu to a secluded sanctuary, a place untouched by the external chaos that plagues the realm. Here, under the guidance of Kenyu, you will delve into the recesses of your mind, seeking to unravel and dispel the negative energies that weigh heavily upon your spirit.
As you navigate through the ethereal landscapes within your own consciousness, you may encounter symbolic challenges representing your inner struggles. These trials could manifest as metaphorical obstacles, requiring your introspection and resolve to overcome. Kenyu will be there, a beacon of wisdom, offering guidance and enlightenment throughout this introspective odyssey.
Success in "Kenyu's Guided Meditation" promises not only the tranquility of a cleared mind but also the unlocking of hidden potentials within yourself. The rewards are not material but spiritual - a newfound sense of balance, resilience, and a profound understanding of your own psyche.
Venture forth, brave traveler, and let the soothing whispers of Kenyu's teachings guide you to the serene shores of inner peace.</v>
      </c>
      <c r="C84" s="16" t="str">
        <f>IFERROR(__xludf.DUMMYFUNCTION("""COMPUTED_VALUE"""),"Side")</f>
        <v>Side</v>
      </c>
      <c r="D84" s="16" t="str">
        <f>IFERROR(__xludf.DUMMYFUNCTION("""COMPUTED_VALUE"""),"Land of Spira")</f>
        <v>Land of Spira</v>
      </c>
      <c r="E84" s="16">
        <f>IFERROR(__xludf.DUMMYFUNCTION("""COMPUTED_VALUE"""),0.0)</f>
        <v>0</v>
      </c>
    </row>
    <row r="85">
      <c r="A85" s="16" t="str">
        <f>IFERROR(__xludf.DUMMYFUNCTION("""COMPUTED_VALUE"""),"The Cult and the Copperhead")</f>
        <v>The Cult and the Copperhead</v>
      </c>
      <c r="B85" s="16" t="str">
        <f>IFERROR(__xludf.DUMMYFUNCTION("""COMPUTED_VALUE"""),"The town of Swampville is a vile place, the manifestation of corruption taken form in it's town and people, and yet a single person stands out from the rest, a bright-eyed fresh recruit by the name of Cooper. This is his story, and a cautionary tale of wh"&amp;"at happens to those who cross the Cult.
(PART 1: LOCATE PRIVATE COOPER HENDERSON) Ripping the posting from the board the party begins to read the quest's details, it read of a private Cooper, a recent recruit to the guards of Spira assigned to the town"&amp;" of Swampville. He believes he's found traces of cult activity within the town of Swampville and implores any competent adventurers passing through swampville to lend their aide in his investigation. It tells the party to head to the Drowned Light Inn whe"&amp;"re Henderson usually stays. 
Heading to the Inn the party would spot a rugged man standing behind a counter who regards the party as they enter ""You with the private or the hood freaks?"" If the party were to ask what he meant he'd elaborate. ""Only two"&amp;" groups are' and no open rooms, first one is taken by the loudmouth private saying he's got a case and the other's taken by those creepy fellas who came a few days after the bastard starting talkin' cult shite."" The party shows the innkeeper the quest po"&amp;"sting they took and he directs the party to a room on the second floor, overlooking the small pier.
Following the Innkeeper's instructions the party knock on the door and are greeted by a man in guard equipment.
(PART 2: HELP COOPER) Cooper greets the"&amp;" party with a warm smile before inviting them in and offering them tea, ""Here for the quest posting are you? Gods I hope so, I've been asking around for weeks on leads to find this cult's headquarters, you see I've been tracking their movements ever sinc"&amp;"e my posting here looking for enough evidence of cult activity to get the church and capital to mobilize a crusade against the cult."" He directs the parties attention over to a board on his wall on it are several pieces of paper detailing the activities "&amp;"of certain affluent people within Swampville, Merchants, entertainers, even some guards. ""All of the people you see here have been exhibiting strange, and dare I say heretical tendencies, I've reasonable suspicion to suspect that they all, in some way or"&amp;" another, have connections to the Cult of Dreadful. Now this is obviously no joking matter and as such I don't want to bring any of them before the judge until I am 100% certain that they are indeed cultists, and for that I need you-"" He points his finge"&amp;"r to the party with a flourish- ""Adventurers, I need you all to investigate these citizens for anything that might tie them to the cult, but specifically, the mask, It's an item given to all cultists in order to identify them, helpful for both cult membe"&amp;"rs and consequently us, without further ado adventurers let us begin or hunt.""
The first place the adventurers arrive is a merchantry owned by an influential noblemen, ""This is the place adventurers, this is man has been dealing with shady folks on the"&amp;" side, I have suspicions that the shady figures in question are in fact cultists,"" he says. ""Now you obviously can't just run in the front door and demand evidence of 'cult like behaviors' so I'm going to need to ask you to be discrete about it, and one"&amp;" final thing, what you're looking for are any ledgers that show dealings with the cult or a cultist mask, I'll be searching the other suspects personal residence for any sort of clue, meet me back at the inn when you're done."" With that the party begins "&amp;"their infiltration. The party may chose to go about this in any way they please however being caught trying to infiltrate will result in immediate failure.
(SUCCESS) Upon successfully securing the evidence of the merchant's cult ties the party hands it o"&amp;"ver to cooper. ""This is brilliant adventurers, while you were gathering the evidence on the merchant I managed to find conclusive evidence on a few of the other suspects, with this much there's no way in hell we won't get a crusade, the town will be clea"&amp;"nsed of it's evil.""
(PART 3: PRESENT THE EVIDENCE) The party arrives in front of the imposing courthouse of swampville as Cooper speaks to the guard stationed outside and salutes the guards before entering. He beckons you to follow as you enter the gi"&amp;"ant doors. The party finds itself in the shadow the judge's stand as Cooper gives a vehement speech imploring the judge to acquire permission for a crusade in swampville as the judge reads through the stack of papers given to him by Cooper. Unfortunately "&amp;"the judge claims that he is unable to come to a decision immediately and bids Cooper to wait 5 days before receiving a verdict, Cooper sighs but nods and you leave the Courthouse. 
""That most certainly could've gone better,"" Cooper sighs, ""but the jud"&amp;"ge will see the truth of the matter I'm sure of it, Thank you friends,"" he extends his hand for a handshake with each party member, ""I was unable to get anything out of that merchant for so long and yet you solved my problem with such ease."" He gives t"&amp;"he party a salute, ""This is where we part ways for now adventurers but I hope to see you in 5 days time when we finally get our verdict, at that time I will be more than happy to give you payment for your job well done,"" having said his piece he gives o"&amp;"ne final wave before making his way to the Inn.
(PART 4: RETURN TO COOPER) After around 5 days the party makes their way back to the Drowned Light Inn where they are greeted by the same Gruff man, ""So it's you lot again? here to check on your friend? "&amp;"I haven't heard from him in days, not since he came here all giddy prattling on about solving his first case, if you could, go make sure he's alright, I'm worried those hooded creeps mighta done something to him,"" The party makes their way to the second "&amp;"floor and knocks on Cooper's door but they receive no answer. Opening the door the party sees a shocking sight, Cooper is sprawled across the Ground, blood staining the floor. Next to his body lay a cultist mask with a smile painted on in blood (It is the"&amp;" ""Smiling mask"" in case any players attempt to pick it up.) It would seem that the hooded figures in the Inn were in fact cultists keeping an eye on Cooper, deciding it best to kill him when he brought evidence of their presence to the judge.
PART 5:"&amp;" REPORT) The party moves to leave the Inn when the Innkeeper suddenly stops them, ""Oi, Cooper said that he wanted me to give you lot something in case you came back when he wasn't around, sadi it was payment for assisting him."" The man hands you a small"&amp;" ring, it's rather plain in design being a simple silver ring but the party takes it anyway. Arriving in front of the guard tower the party reports the shocking sight in the Inn to a sergeant.
""So they got to the poor bastard did they? I told him not to"&amp;" go poking around, said it would only get him killed, and now look what's happened."" The guard sighs deeply, ""I'm sorry you all had to see that, I'm sure it was a grisly sight, but take it as a warning, don't go poking around the cult in these parts if "&amp;"you want to live, anyway, I'll make sure his body at least gets back to his family, Thank you adventurers.""
(QUEST COMPLETE)")</f>
        <v>The town of Swampville is a vile place, the manifestation of corruption taken form in it's town and people, and yet a single person stands out from the rest, a bright-eyed fresh recruit by the name of Cooper. This is his story, and a cautionary tale of what happens to those who cross the Cult.
(PART 1: LOCATE PRIVATE COOPER HENDERSON) Ripping the posting from the board the party begins to read the quest's details, it read of a private Cooper, a recent recruit to the guards of Spira assigned to the town of Swampville. He believes he's found traces of cult activity within the town of Swampville and implores any competent adventurers passing through swampville to lend their aide in his investigation. It tells the party to head to the Drowned Light Inn where Henderson usually stays. 
Heading to the Inn the party would spot a rugged man standing behind a counter who regards the party as they enter "You with the private or the hood freaks?" If the party were to ask what he meant he'd elaborate. "Only two groups are' and no open rooms, first one is taken by the loudmouth private saying he's got a case and the other's taken by those creepy fellas who came a few days after the bastard starting talkin' cult shite." The party shows the innkeeper the quest posting they took and he directs the party to a room on the second floor, overlooking the small pier.
Following the Innkeeper's instructions the party knock on the door and are greeted by a man in guard equipment.
(PART 2: HELP COOPER) Cooper greets the party with a warm smile before inviting them in and offering them tea, "Here for the quest posting are you? Gods I hope so, I've been asking around for weeks on leads to find this cult's headquarters, you see I've been tracking their movements ever since my posting here looking for enough evidence of cult activity to get the church and capital to mobilize a crusade against the cult." He directs the parties attention over to a board on his wall on it are several pieces of paper detailing the activities of certain affluent people within Swampville, Merchants, entertainers, even some guards. "All of the people you see here have been exhibiting strange, and dare I say heretical tendencies, I've reasonable suspicion to suspect that they all, in some way or another, have connections to the Cult of Dreadful. Now this is obviously no joking matter and as such I don't want to bring any of them before the judge until I am 100% certain that they are indeed cultists, and for that I need you-" He points his finger to the party with a flourish- "Adventurers, I need you all to investigate these citizens for anything that might tie them to the cult, but specifically, the mask, It's an item given to all cultists in order to identify them, helpful for both cult members and consequently us, without further ado adventurers let us begin or hunt."
The first place the adventurers arrive is a merchantry owned by an influential noblemen, "This is the place adventurers, this is man has been dealing with shady folks on the side, I have suspicions that the shady figures in question are in fact cultists," he says. "Now you obviously can't just run in the front door and demand evidence of 'cult like behaviors' so I'm going to need to ask you to be discrete about it, and one final thing, what you're looking for are any ledgers that show dealings with the cult or a cultist mask, I'll be searching the other suspects personal residence for any sort of clue, meet me back at the inn when you're done." With that the party begins their infiltration. The party may chose to go about this in any way they please however being caught trying to infiltrate will result in immediate failure.
(SUCCESS) Upon successfully securing the evidence of the merchant's cult ties the party hands it over to cooper. "This is brilliant adventurers, while you were gathering the evidence on the merchant I managed to find conclusive evidence on a few of the other suspects, with this much there's no way in hell we won't get a crusade, the town will be cleansed of it's evil."
(PART 3: PRESENT THE EVIDENCE) The party arrives in front of the imposing courthouse of swampville as Cooper speaks to the guard stationed outside and salutes the guards before entering. He beckons you to follow as you enter the giant doors. The party finds itself in the shadow the judge's stand as Cooper gives a vehement speech imploring the judge to acquire permission for a crusade in swampville as the judge reads through the stack of papers given to him by Cooper. Unfortunately the judge claims that he is unable to come to a decision immediately and bids Cooper to wait 5 days before receiving a verdict, Cooper sighs but nods and you leave the Courthouse. 
"That most certainly could've gone better," Cooper sighs, "but the judge will see the truth of the matter I'm sure of it, Thank you friends," he extends his hand for a handshake with each party member, "I was unable to get anything out of that merchant for so long and yet you solved my problem with such ease." He gives the party a salute, "This is where we part ways for now adventurers but I hope to see you in 5 days time when we finally get our verdict, at that time I will be more than happy to give you payment for your job well done," having said his piece he gives one final wave before making his way to the Inn.
(PART 4: RETURN TO COOPER) After around 5 days the party makes their way back to the Drowned Light Inn where they are greeted by the same Gruff man, "So it's you lot again? here to check on your friend? I haven't heard from him in days, not since he came here all giddy prattling on about solving his first case, if you could, go make sure he's alright, I'm worried those hooded creeps mighta done something to him," The party makes their way to the second floor and knocks on Cooper's door but they receive no answer. Opening the door the party sees a shocking sight, Cooper is sprawled across the Ground, blood staining the floor. Next to his body lay a cultist mask with a smile painted on in blood (It is the "Smiling mask" in case any players attempt to pick it up.) It would seem that the hooded figures in the Inn were in fact cultists keeping an eye on Cooper, deciding it best to kill him when he brought evidence of their presence to the judge.
PART 5: REPORT) The party moves to leave the Inn when the Innkeeper suddenly stops them, "Oi, Cooper said that he wanted me to give you lot something in case you came back when he wasn't around, sadi it was payment for assisting him." The man hands you a small ring, it's rather plain in design being a simple silver ring but the party takes it anyway. Arriving in front of the guard tower the party reports the shocking sight in the Inn to a sergeant.
"So they got to the poor bastard did they? I told him not to go poking around, said it would only get him killed, and now look what's happened." The guard sighs deeply, "I'm sorry you all had to see that, I'm sure it was a grisly sight, but take it as a warning, don't go poking around the cult in these parts if you want to live, anyway, I'll make sure his body at least gets back to his family, Thank you adventurers."
(QUEST COMPLETE)</v>
      </c>
      <c r="C85" s="16" t="str">
        <f>IFERROR(__xludf.DUMMYFUNCTION("""COMPUTED_VALUE"""),"Side")</f>
        <v>Side</v>
      </c>
      <c r="D85" s="16" t="str">
        <f>IFERROR(__xludf.DUMMYFUNCTION("""COMPUTED_VALUE"""),"Land of Spira")</f>
        <v>Land of Spira</v>
      </c>
      <c r="E85" s="16">
        <f>IFERROR(__xludf.DUMMYFUNCTION("""COMPUTED_VALUE"""),0.0)</f>
        <v>0</v>
      </c>
    </row>
    <row r="86">
      <c r="A86" s="16" t="str">
        <f>IFERROR(__xludf.DUMMYFUNCTION("""COMPUTED_VALUE"""),"Wyrm's Rampage")</f>
        <v>Wyrm's Rampage</v>
      </c>
      <c r="B86" s="16" t="str">
        <f>IFERROR(__xludf.DUMMYFUNCTION("""COMPUTED_VALUE"""),"(PART 1 TALK TO THE HUNTER) Recently a hunter has been having issues with a certain spirit Wyrm poaching his game, normally it wouldn't be an issue since wyrms generally only hunt when they have to, but this specific Wyrm has been attacking every creature"&amp;" it sees, and it hasn't even been eating them. The hunter believes that this may be a sign of a bigger issue and asks the party's help in capturing this wyrm, he doesn't have much to offer but he says he can teach you about the delicate process of the dra"&amp;"gon's breath weapon. 
(PART 2 INVESTIGATE THE MONSTER'S TRACKS) The party arrives at one of the Wyrm's recent rampage sights with the help of the Head Hunter and begin to look over the scene. There's an entire pack of wolves and a Beast of Gevaudun lying"&amp;" aroud the broken trees and greyed plant life, it looks as the ough all the life in the area has been sucked out. The wolves and beast are shredded and yet it doesn't seem that they've been eating espeacially since Spirit Wyrms don't eat physical flesh. U"&amp;"pon attempting to touch one of the creatures one of the party members can feel themselves growing drowsy before pulling their hand back. Have the party roll wisdom they must get a 20 or higher to succeed. 
[SUCCESS] Upon further thinking you begin to piec"&amp;"e together a possible cause for all this, Spiritual Psychosis, you remeber reading about it within one of the WildWood libraries, It's a rare disease thought to be long gone. It infects the soul of the creature twisting it over time until the creature los"&amp;"es it's sense of self and begins to go berserk attacking everything, especially other spirits, until it eventually kills the creature. Luckily this disease can only spirit based enities and therefore the people of WildWood are mostly safe from it's effect"&amp;"s however if left unchecked the disease can spread rapidly and decimate the spirits in WildWood, 
(PART 3 GATHER WOOD) Upon hearing this alarming news the Head Hunter will decide that it's best to capture and perform an autopsy on the Wyrm to see if it's"&amp;" true, he directs the party to gather 50 wood to build a trap for the Wyrm, he doesn't care how you get it but he tells you to meet him here when you have it. 
[SUCCESS] Upon gathering the neccessary materials the party returns to the head hunter who begi"&amp;"ns to craft a large trap to capture the beast, and lies in wait. 
(PART 4 SPRING THE TRAP)  After a while the party spots the Wyrm on the horizon as it rushes towards a spirit chasing it throigh the forest, The spirit rushes into the trap before pahsing "&amp;"through but the wyrm is not so lucky as it's caught within the trap, It begins to thrash about as the head hunter approaches. The head hunter tries to finish it in one strike but is suddenly blown back into a tree as the Wyrm smashes the trap sending wood"&amp;" shards everywhere as it attacks. [BEGIN BATTLE] [SPIRIT WYRM X1] 
[SUCCESS] The party strikes true sending the crazed wyrm down as it tries to thrash about, but soon, all movement ceases. The Head Hunter is still unconcious against the tree as the party "&amp;"begins to drag him and the Wyrm back to town. Upon returning the party is approached by a group of alchemists who introduce themelves as the town's primary physicians and scientists, they take the corpse of the Wyrm from the party handing them a bag of 5,"&amp;"000,000 Gilders before hurrying off towards the town's main hall. A few days later the party is once again approached by the hunter who offers them to teach them about the breath attacks of Wyrms and says that he can demonstrate using the head of the Wyrm"&amp;". 
[QUEST COMPLETE]")</f>
        <v>(PART 1 TALK TO THE HUNTER) Recently a hunter has been having issues with a certain spirit Wyrm poaching his game, normally it wouldn't be an issue since wyrms generally only hunt when they have to, but this specific Wyrm has been attacking every creature it sees, and it hasn't even been eating them. The hunter believes that this may be a sign of a bigger issue and asks the party's help in capturing this wyrm, he doesn't have much to offer but he says he can teach you about the delicate process of the dragon's breath weapon. 
(PART 2 INVESTIGATE THE MONSTER'S TRACKS) The party arrives at one of the Wyrm's recent rampage sights with the help of the Head Hunter and begin to look over the scene. There's an entire pack of wolves and a Beast of Gevaudun lying aroud the broken trees and greyed plant life, it looks as the ough all the life in the area has been sucked out. The wolves and beast are shredded and yet it doesn't seem that they've been eating espeacially since Spirit Wyrms don't eat physical flesh. Upon attempting to touch one of the creatures one of the party members can feel themselves growing drowsy before pulling their hand back. Have the party roll wisdom they must get a 20 or higher to succeed. 
[SUCCESS] Upon further thinking you begin to piece together a possible cause for all this, Spiritual Psychosis, you remeber reading about it within one of the WildWood libraries, It's a rare disease thought to be long gone. It infects the soul of the creature twisting it over time until the creature loses it's sense of self and begins to go berserk attacking everything, especially other spirits, until it eventually kills the creature. Luckily this disease can only spirit based enities and therefore the people of WildWood are mostly safe from it's effects however if left unchecked the disease can spread rapidly and decimate the spirits in WildWood, 
(PART 3 GATHER WOOD) Upon hearing this alarming news the Head Hunter will decide that it's best to capture and perform an autopsy on the Wyrm to see if it's true, he directs the party to gather 50 wood to build a trap for the Wyrm, he doesn't care how you get it but he tells you to meet him here when you have it. 
[SUCCESS] Upon gathering the neccessary materials the party returns to the head hunter who begins to craft a large trap to capture the beast, and lies in wait. 
(PART 4 SPRING THE TRAP)  After a while the party spots the Wyrm on the horizon as it rushes towards a spirit chasing it throigh the forest, The spirit rushes into the trap before pahsing through but the wyrm is not so lucky as it's caught within the trap, It begins to thrash about as the head hunter approaches. The head hunter tries to finish it in one strike but is suddenly blown back into a tree as the Wyrm smashes the trap sending wood shards everywhere as it attacks. [BEGIN BATTLE] [SPIRIT WYRM X1] 
[SUCCESS] The party strikes true sending the crazed wyrm down as it tries to thrash about, but soon, all movement ceases. The Head Hunter is still unconcious against the tree as the party begins to drag him and the Wyrm back to town. Upon returning the party is approached by a group of alchemists who introduce themelves as the town's primary physicians and scientists, they take the corpse of the Wyrm from the party handing them a bag of 5,000,000 Gilders before hurrying off towards the town's main hall. A few days later the party is once again approached by the hunter who offers them to teach them about the breath attacks of Wyrms and says that he can demonstrate using the head of the Wyrm. 
[QUEST COMPLETE]</v>
      </c>
      <c r="C86" s="16" t="str">
        <f>IFERROR(__xludf.DUMMYFUNCTION("""COMPUTED_VALUE"""),"Side")</f>
        <v>Side</v>
      </c>
      <c r="D86" s="16" t="str">
        <f>IFERROR(__xludf.DUMMYFUNCTION("""COMPUTED_VALUE"""),"Land of Spira")</f>
        <v>Land of Spira</v>
      </c>
      <c r="E86" s="16">
        <f>IFERROR(__xludf.DUMMYFUNCTION("""COMPUTED_VALUE"""),50.0)</f>
        <v>50</v>
      </c>
    </row>
    <row r="87">
      <c r="A87" s="16" t="str">
        <f>IFERROR(__xludf.DUMMYFUNCTION("""COMPUTED_VALUE"""),"Of Mountains and Men")</f>
        <v>Of Mountains and Men</v>
      </c>
      <c r="B87" s="16" t="str">
        <f>IFERROR(__xludf.DUMMYFUNCTION("""COMPUTED_VALUE"""),"General Corvus has recently heard concerning news of a group of Shamans attempting to summon an elemental king and has tasked you with putting a stop to this, he tells you that the only way to enter the Fire Tiki Fortress where the Shamans are performing "&amp;"the ritual is to retrieve the ever-burning stone from Fire Tiki Temple and The Earthen Goddess's Blessing from The Pyramid of The Earthen Goddess. 
(PART 1) (5-3) You enter the garden, it would seem almost zen if not for the raging inferno that lay in the"&amp;" center of the room. Master Sawoogo stands and regards you as he lifts his staff, unwilling to relent the ever-burning stone. (BEGIN BATTLE) 
(VICTORY) Master Sawoogo falls to the ground as his staff falls from his hands, the injuries he's sustained prove"&amp;" fatal as his eyes dim. The party retrieves the burning stone from Heatmore's flame and prepares themselves for the next temple. 
(PART 2) (4-3) Upon entering the room you behold a golden throne, Light streams from above illuminating this otherwise dark s"&amp;"pace and casting an ethereal glow upon the throne as you hear the shifting of armor. Peering to the right you see Grisaia, Gaia's head paladin and most devoted follower standing next to the empty throne. He offers the party surrender, insisting that there"&amp;"'s no need for a battle if they simply leave the Goddess to rest but the party shows no sign of relenting. Grisaia heaves an exasperated sigh as he lifts his giant sword and shield pointing to the party in challenge.(Begin Battle)
 (VICTORY) as Grisaia fa"&amp;"lls, heaving, he is no longer capable of preventing the party's entrance into Gaia's Chambers. He slips out of consciousness as he slumps against the wall. The party approaches the large ornate door as it begins to slowly scrap open revealing a horrendous"&amp;" sight. 
(5-3) The party enters the horrid room filled with the stench of blood, Innumerable eyes covering the walls and floor of the room snap to the party as they enter. This room is truly a blood-tainted hellscape. A man in heavy platemale raises his s"&amp;"word over a skeleton which lies in a bed of black roses and an ominous light fills the bones as flesh begins to form. Gaia rises from the bed, her flesh tainted red and horns growing from her head as the man exits through the portal which collapses shortl"&amp;"y after he enters. (BEGIN BATTLE) 
(VICTORY) As the party strikes the Corrupted Goddess she falls to her knees and light begins to descend from the ceiling, enveloping her. The horns atop her head begin to fade to dust as her skin returns to its normal ea"&amp;"rthy color, a crest descends with the light and as a party member reaches out to touch it, it begins to absorb into their hand, and the party is finally ready to take on the Fire Tiki Fortress. 
(PART 3) (4-3) The party arrives on the final floor of fire "&amp;"tiki fortress after fighting their way through golems and constructs only to realize they've arrived too late, the shamans complete the ritual as soon as the party arrives on the top floor of the fortress. Cloudius towers over the volcano as he looks down"&amp;" on the shamans and party. Suddenly the shamans are enveloped in smoke as they choke to death before the party's eyes and Cloudius begins his approach. 
(BEGIN BATTLE) (VICTORY) The sky begins to clear as ash falls upon the shoulders of the party, smokius"&amp;" fades into the air staring unflinchingly at the party. They were lucky, Cloudius being newly formed couldn't showcase his full power and thus, he is defeated. A group of shamans rush up the stairs of the fortress and thank the party, they introduce thems"&amp;"elves as the Magmatic Sages, a group of shamans tasked with defending the earth and fire spirits of Fire Tiki Mountain. They thank you for weeding out the corrupted shamans who attempted to abuse the power of the spirit world and hand the party 3 relics, "&amp;"they say that they are elements that represent the 3 elements of Fire Tiki Mountain. The Sword of Fire, The Shield of Earth, and The Staff of Magma which combines Earth and fire. They tell the party that from this day forth if they ever require the assist"&amp;"ance of the Magmatic Sages they will do their best to assist. (QUEST COMPLETE)")</f>
        <v>General Corvus has recently heard concerning news of a group of Shamans attempting to summon an elemental king and has tasked you with putting a stop to this, he tells you that the only way to enter the Fire Tiki Fortress where the Shamans are performing the ritual is to retrieve the ever-burning stone from Fire Tiki Temple and The Earthen Goddess's Blessing from The Pyramid of The Earthen Goddess. 
(PART 1) (5-3) You enter the garden, it would seem almost zen if not for the raging inferno that lay in the center of the room. Master Sawoogo stands and regards you as he lifts his staff, unwilling to relent the ever-burning stone. (BEGIN BATTLE) 
(VICTORY) Master Sawoogo falls to the ground as his staff falls from his hands, the injuries he's sustained prove fatal as his eyes dim. The party retrieves the burning stone from Heatmore's flame and prepares themselves for the next temple. 
(PART 2) (4-3) Upon entering the room you behold a golden throne, Light streams from above illuminating this otherwise dark space and casting an ethereal glow upon the throne as you hear the shifting of armor. Peering to the right you see Grisaia, Gaia's head paladin and most devoted follower standing next to the empty throne. He offers the party surrender, insisting that there's no need for a battle if they simply leave the Goddess to rest but the party shows no sign of relenting. Grisaia heaves an exasperated sigh as he lifts his giant sword and shield pointing to the party in challenge.(Begin Battle)
 (VICTORY) as Grisaia falls, heaving, he is no longer capable of preventing the party's entrance into Gaia's Chambers. He slips out of consciousness as he slumps against the wall. The party approaches the large ornate door as it begins to slowly scrap open revealing a horrendous sight. 
(5-3) The party enters the horrid room filled with the stench of blood, Innumerable eyes covering the walls and floor of the room snap to the party as they enter. This room is truly a blood-tainted hellscape. A man in heavy platemale raises his sword over a skeleton which lies in a bed of black roses and an ominous light fills the bones as flesh begins to form. Gaia rises from the bed, her flesh tainted red and horns growing from her head as the man exits through the portal which collapses shortly after he enters. (BEGIN BATTLE) 
(VICTORY) As the party strikes the Corrupted Goddess she falls to her knees and light begins to descend from the ceiling, enveloping her. The horns atop her head begin to fade to dust as her skin returns to its normal earthy color, a crest descends with the light and as a party member reaches out to touch it, it begins to absorb into their hand, and the party is finally ready to take on the Fire Tiki Fortress. 
(PART 3) (4-3) The party arrives on the final floor of fire tiki fortress after fighting their way through golems and constructs only to realize they've arrived too late, the shamans complete the ritual as soon as the party arrives on the top floor of the fortress. Cloudius towers over the volcano as he looks down on the shamans and party. Suddenly the shamans are enveloped in smoke as they choke to death before the party's eyes and Cloudius begins his approach. 
(BEGIN BATTLE) (VICTORY) The sky begins to clear as ash falls upon the shoulders of the party, smokius fades into the air staring unflinchingly at the party. They were lucky, Cloudius being newly formed couldn't showcase his full power and thus, he is defeated. A group of shamans rush up the stairs of the fortress and thank the party, they introduce themselves as the Magmatic Sages, a group of shamans tasked with defending the earth and fire spirits of Fire Tiki Mountain. They thank you for weeding out the corrupted shamans who attempted to abuse the power of the spirit world and hand the party 3 relics, they say that they are elements that represent the 3 elements of Fire Tiki Mountain. The Sword of Fire, The Shield of Earth, and The Staff of Magma which combines Earth and fire. They tell the party that from this day forth if they ever require the assistance of the Magmatic Sages they will do their best to assist. (QUEST COMPLETE)</v>
      </c>
      <c r="C87" s="16" t="str">
        <f>IFERROR(__xludf.DUMMYFUNCTION("""COMPUTED_VALUE"""),"Side")</f>
        <v>Side</v>
      </c>
      <c r="D87" s="16" t="str">
        <f>IFERROR(__xludf.DUMMYFUNCTION("""COMPUTED_VALUE"""),"Land of Spira")</f>
        <v>Land of Spira</v>
      </c>
      <c r="E87" s="16">
        <f>IFERROR(__xludf.DUMMYFUNCTION("""COMPUTED_VALUE"""),3.0)</f>
        <v>3</v>
      </c>
    </row>
    <row r="88">
      <c r="A88" s="16" t="str">
        <f>IFERROR(__xludf.DUMMYFUNCTION("""COMPUTED_VALUE"""),"A Strange Infection")</f>
        <v>A Strange Infection</v>
      </c>
      <c r="B88" s="16" t="str">
        <f>IFERROR(__xludf.DUMMYFUNCTION("""COMPUTED_VALUE"""),"(PART 1: TALK TO THE CHIEF OF WILDWOOD) As the party arrives in front of the chieftain, they see his brow creased with worry as he turns his gaze up to the party. ""Adventurers,"" he begins as he nervously taps the side of his throne, ""My greatest shaman"&amp;"'s have investigated the corpse of the Spirit Wyrm which you have brought me, and the news they bring is concerning,"" He pauses as if to gather his thoughts, ""it would appear a rare disease of great magnitude has begun to rear it's head within the WildW"&amp;"ood, a disease though to be no more than a legend, or at least no longer a threat, however this recent discovery has begun to allow us to connect the pieces of this festering puzzle, why the beast of Gevadun was so aggressive, why spirit populations have "&amp;"been low, and why contact with the great spirit kings has been cut off,"" He stops allowing the party to process all the information which has been thrust upon them, ""while it fills me with much anguish-"" he suddenly cuts himself off, his sword leans ag"&amp;"ainst his throne as he stands, and bows to the party- ""I must plead with you, kind adventurers, please, seek the witch doctors of the Foul Night Swamp, I fear that without them..."" He trails off not wanting to finish his sentence... ""The results shall "&amp;"be dreadful indeed."" He tells the adventurers about the Witch doctors, and how to find them in foul night swamp, he hands the party an amulet and tells them to hand it to the Witch Doctors. 
(PART 3: FOUL NIGHT) The party travels to Foul Night Swamp via "&amp;"teleportation or by wading through its murky, muddy turf. Arriving in Foul Night they are oh so close to their destination when suddenly they feel a chilling sensation (BEAR TRAP) 
(SUCCESS) The party manages to avoid loss of limb from this contraption as"&amp;" they continue but they are soon met face to face with a strange man. The man makes no noise as he looks down upon the group through his corvid mask, his entire body is hidden within his cloak as he suddenly launches himself at the party, (BEGIN BATTLE (P"&amp;"LAGUE DOCTOR KAILLON X1)) 
(SUCCESS) The plague doctor slips back from the party, the amulet within his grasp as he looks down at it, he turns wordlessly to the party and gestures for them to follow as he wades through the mud. 
(PART 4: KAILLON) Arriving"&amp;" at Kaillon's hut, the party watches as Kaillon rummages through the cupboards and takes out a strange item, he tells the party that he knows the purpose of their visit, and hands the gadget to the party. The object's purpose, as Kaillon explains it, is t"&amp;"o forcefully extract an opponent's soul. (Upon killing an enemy the enemy is guaranteed to drop 1 soul) He bids the party to gather 50 souls so that he may study the disease further and promises a reward should they return quickly. 
(PART 5: COLLECT SOULS"&amp;") (SUCCESS) The plague doctor snatches the device out of your hand and begins to inspect it, you can't see his face but you still get a feeling of minor discomfort emanating from the crow mask. He takes the amulet off his neck and throws it to the party a"&amp;"s he turns to his instruments, returning with a map of Spira and DragonScale Island with 5 areas marked on it. He tells the party to go to these areas and appear before the spirit kings. The Sylph of WildWood, The Raijin of the Mountains of War and Dishon"&amp;"or, The Undyne of Tritonoch, Karduk of the Dragonscale Grotto, and The Salamander King of Lava Lizard Lake. If they are friendly, he says to request their aid. Otherwise, kill them and bring their souls before him. (QUEST COMPLETE)")</f>
        <v>(PART 1: TALK TO THE CHIEF OF WILDWOOD) As the party arrives in front of the chieftain, they see his brow creased with worry as he turns his gaze up to the party. "Adventurers," he begins as he nervously taps the side of his throne, "My greatest shaman's have investigated the corpse of the Spirit Wyrm which you have brought me, and the news they bring is concerning," He pauses as if to gather his thoughts, "it would appear a rare disease of great magnitude has begun to rear it's head within the WildWood, a disease though to be no more than a legend, or at least no longer a threat, however this recent discovery has begun to allow us to connect the pieces of this festering puzzle, why the beast of Gevadun was so aggressive, why spirit populations have been low, and why contact with the great spirit kings has been cut off," He stops allowing the party to process all the information which has been thrust upon them, "while it fills me with much anguish-" he suddenly cuts himself off, his sword leans against his throne as he stands, and bows to the party- "I must plead with you, kind adventurers, please, seek the witch doctors of the Foul Night Swamp, I fear that without them..." He trails off not wanting to finish his sentence... "The results shall be dreadful indeed." He tells the adventurers about the Witch doctors, and how to find them in foul night swamp, he hands the party an amulet and tells them to hand it to the Witch Doctors. 
(PART 3: FOUL NIGHT) The party travels to Foul Night Swamp via teleportation or by wading through its murky, muddy turf. Arriving in Foul Night they are oh so close to their destination when suddenly they feel a chilling sensation (BEAR TRAP) 
(SUCCESS) The party manages to avoid loss of limb from this contraption as they continue but they are soon met face to face with a strange man. The man makes no noise as he looks down upon the group through his corvid mask, his entire body is hidden within his cloak as he suddenly launches himself at the party, (BEGIN BATTLE (PLAGUE DOCTOR KAILLON X1)) 
(SUCCESS) The plague doctor slips back from the party, the amulet within his grasp as he looks down at it, he turns wordlessly to the party and gestures for them to follow as he wades through the mud. 
(PART 4: KAILLON) Arriving at Kaillon's hut, the party watches as Kaillon rummages through the cupboards and takes out a strange item, he tells the party that he knows the purpose of their visit, and hands the gadget to the party. The object's purpose, as Kaillon explains it, is to forcefully extract an opponent's soul. (Upon killing an enemy the enemy is guaranteed to drop 1 soul) He bids the party to gather 50 souls so that he may study the disease further and promises a reward should they return quickly. 
(PART 5: COLLECT SOULS) (SUCCESS) The plague doctor snatches the device out of your hand and begins to inspect it, you can't see his face but you still get a feeling of minor discomfort emanating from the crow mask. He takes the amulet off his neck and throws it to the party as he turns to his instruments, returning with a map of Spira and DragonScale Island with 5 areas marked on it. He tells the party to go to these areas and appear before the spirit kings. The Sylph of WildWood, The Raijin of the Mountains of War and Dishonor, The Undyne of Tritonoch, Karduk of the Dragonscale Grotto, and The Salamander King of Lava Lizard Lake. If they are friendly, he says to request their aid. Otherwise, kill them and bring their souls before him. (QUEST COMPLETE)</v>
      </c>
      <c r="C88" s="16" t="str">
        <f>IFERROR(__xludf.DUMMYFUNCTION("""COMPUTED_VALUE"""),"Side")</f>
        <v>Side</v>
      </c>
      <c r="D88" s="16" t="str">
        <f>IFERROR(__xludf.DUMMYFUNCTION("""COMPUTED_VALUE"""),"Land of Spira")</f>
        <v>Land of Spira</v>
      </c>
      <c r="E88" s="16">
        <f>IFERROR(__xludf.DUMMYFUNCTION("""COMPUTED_VALUE"""),50.0)</f>
        <v>50</v>
      </c>
    </row>
    <row r="89">
      <c r="A89" s="16" t="str">
        <f>IFERROR(__xludf.DUMMYFUNCTION("""COMPUTED_VALUE"""),"The Spirit Queen of Winds")</f>
        <v>The Spirit Queen of Winds</v>
      </c>
      <c r="B89" s="16" t="str">
        <f>IFERROR(__xludf.DUMMYFUNCTION("""COMPUTED_VALUE"""),"The party, returning to WildWood, finds Sylph, Queen of The Nature Elementals rampaging through the town. Assuming this means that the infection has spread to her the party prepares themselves to face off against the spirit queen and capture her soul.")</f>
        <v>The party, returning to WildWood, finds Sylph, Queen of The Nature Elementals rampaging through the town. Assuming this means that the infection has spread to her the party prepares themselves to face off against the spirit queen and capture her soul.</v>
      </c>
      <c r="C89" s="16" t="str">
        <f>IFERROR(__xludf.DUMMYFUNCTION("""COMPUTED_VALUE"""),"Side")</f>
        <v>Side</v>
      </c>
      <c r="D89" s="16" t="str">
        <f>IFERROR(__xludf.DUMMYFUNCTION("""COMPUTED_VALUE"""),"Land of Spira")</f>
        <v>Land of Spira</v>
      </c>
      <c r="E89" s="16">
        <f>IFERROR(__xludf.DUMMYFUNCTION("""COMPUTED_VALUE"""),0.0)</f>
        <v>0</v>
      </c>
    </row>
    <row r="90">
      <c r="A90" s="16" t="str">
        <f>IFERROR(__xludf.DUMMYFUNCTION("""COMPUTED_VALUE"""),"The Spirit Queen of Waves")</f>
        <v>The Spirit Queen of Waves</v>
      </c>
      <c r="B90" s="16" t="str">
        <f>IFERROR(__xludf.DUMMYFUNCTION("""COMPUTED_VALUE"""),"Arriving in the submerged city of Tritonoch the party feels the pulsing of waves as Undyne assaults the city, attacking indiscriminately. They prepare themselves for a grueling battle against the Spirit queen.")</f>
        <v>Arriving in the submerged city of Tritonoch the party feels the pulsing of waves as Undyne assaults the city, attacking indiscriminately. They prepare themselves for a grueling battle against the Spirit queen.</v>
      </c>
      <c r="C90" s="16" t="str">
        <f>IFERROR(__xludf.DUMMYFUNCTION("""COMPUTED_VALUE"""),"Side")</f>
        <v>Side</v>
      </c>
      <c r="D90" s="16" t="str">
        <f>IFERROR(__xludf.DUMMYFUNCTION("""COMPUTED_VALUE"""),"Land of Spira")</f>
        <v>Land of Spira</v>
      </c>
      <c r="E90" s="16">
        <f>IFERROR(__xludf.DUMMYFUNCTION("""COMPUTED_VALUE"""),0.0)</f>
        <v>0</v>
      </c>
    </row>
    <row r="91">
      <c r="A91" s="16" t="str">
        <f>IFERROR(__xludf.DUMMYFUNCTION("""COMPUTED_VALUE"""),"The Spirit King of Storms")</f>
        <v>The Spirit King of Storms</v>
      </c>
      <c r="B91" s="16" t="str">
        <f>IFERROR(__xludf.DUMMYFUNCTION("""COMPUTED_VALUE"""),"A storm rages atop the magical and Majestic Mountains, at the center of this storm stands Raijin, his eyes dark. He turns to face the party as lighting pulses within him and he begins his assault on the party, maddened by the disease.")</f>
        <v>A storm rages atop the magical and Majestic Mountains, at the center of this storm stands Raijin, his eyes dark. He turns to face the party as lighting pulses within him and he begins his assault on the party, maddened by the disease.</v>
      </c>
      <c r="C91" s="16" t="str">
        <f>IFERROR(__xludf.DUMMYFUNCTION("""COMPUTED_VALUE"""),"Side")</f>
        <v>Side</v>
      </c>
      <c r="D91" s="16" t="str">
        <f>IFERROR(__xludf.DUMMYFUNCTION("""COMPUTED_VALUE"""),"Land of Spira")</f>
        <v>Land of Spira</v>
      </c>
      <c r="E91" s="16">
        <f>IFERROR(__xludf.DUMMYFUNCTION("""COMPUTED_VALUE"""),0.0)</f>
        <v>0</v>
      </c>
    </row>
    <row r="92">
      <c r="A92" s="16" t="str">
        <f>IFERROR(__xludf.DUMMYFUNCTION("""COMPUTED_VALUE"""),"The Spirit King of Inferno")</f>
        <v>The Spirit King of Inferno</v>
      </c>
      <c r="B92" s="16" t="str">
        <f>IFERROR(__xludf.DUMMYFUNCTION("""COMPUTED_VALUE"""),"The shamans cower in fear as the lava lake churns in rage, and a horrible shriek resounds from the center where the Salamander king once lay dormant. Fire and Brimstone spew as the party readies to claim the Salamander king's soul.")</f>
        <v>The shamans cower in fear as the lava lake churns in rage, and a horrible shriek resounds from the center where the Salamander king once lay dormant. Fire and Brimstone spew as the party readies to claim the Salamander king's soul.</v>
      </c>
      <c r="C92" s="16" t="str">
        <f>IFERROR(__xludf.DUMMYFUNCTION("""COMPUTED_VALUE"""),"Side")</f>
        <v>Side</v>
      </c>
      <c r="D92" s="16" t="str">
        <f>IFERROR(__xludf.DUMMYFUNCTION("""COMPUTED_VALUE"""),"Land of Spira")</f>
        <v>Land of Spira</v>
      </c>
      <c r="E92" s="16">
        <f>IFERROR(__xludf.DUMMYFUNCTION("""COMPUTED_VALUE"""),0.0)</f>
        <v>0</v>
      </c>
    </row>
    <row r="93">
      <c r="A93" s="16" t="str">
        <f>IFERROR(__xludf.DUMMYFUNCTION("""COMPUTED_VALUE"""),"The Spirit King of Stone")</f>
        <v>The Spirit King of Stone</v>
      </c>
      <c r="B93" s="16" t="str">
        <f>IFERROR(__xludf.DUMMYFUNCTION("""COMPUTED_VALUE"""),"The ground trembles as the giant stirs, it slams itself against the narrow walls of the grotto as if trying to escape but it's mindless rampage yields no results. Yet another spirit king in need of pacifying.")</f>
        <v>The ground trembles as the giant stirs, it slams itself against the narrow walls of the grotto as if trying to escape but it's mindless rampage yields no results. Yet another spirit king in need of pacifying.</v>
      </c>
      <c r="C93" s="16" t="str">
        <f>IFERROR(__xludf.DUMMYFUNCTION("""COMPUTED_VALUE"""),"Side")</f>
        <v>Side</v>
      </c>
      <c r="D93" s="16" t="str">
        <f>IFERROR(__xludf.DUMMYFUNCTION("""COMPUTED_VALUE"""),"Land of Spira")</f>
        <v>Land of Spira</v>
      </c>
      <c r="E93" s="16">
        <f>IFERROR(__xludf.DUMMYFUNCTION("""COMPUTED_VALUE"""),0.0)</f>
        <v>0</v>
      </c>
    </row>
    <row r="94">
      <c r="A94" s="16" t="str">
        <f>IFERROR(__xludf.DUMMYFUNCTION("""COMPUTED_VALUE"""),"Chair of Challenges")</f>
        <v>Chair of Challenges</v>
      </c>
      <c r="B94" s="16" t="str">
        <f>IFERROR(__xludf.DUMMYFUNCTION("""COMPUTED_VALUE"""),"While traveling, the party comes across a magnificently crafted chair in pristine condition. Upon being sat in, whoever sits in it is trapped within their own mind.
Within their own mind they are approached by a specter of their own weakness, intent on s"&amp;"itting in the chair forever. It's just too comfy while walking through this jungle is too scary and hard. As the specter closes in, the character must use their charisma to dissuade themselves from being trapped forever.")</f>
        <v>While traveling, the party comes across a magnificently crafted chair in pristine condition. Upon being sat in, whoever sits in it is trapped within their own mind.
Within their own mind they are approached by a specter of their own weakness, intent on sitting in the chair forever. It's just too comfy while walking through this jungle is too scary and hard. As the specter closes in, the character must use their charisma to dissuade themselves from being trapped forever.</v>
      </c>
      <c r="C94" s="16" t="str">
        <f>IFERROR(__xludf.DUMMYFUNCTION("""COMPUTED_VALUE"""),"Side")</f>
        <v>Side</v>
      </c>
      <c r="D94" s="16" t="str">
        <f>IFERROR(__xludf.DUMMYFUNCTION("""COMPUTED_VALUE"""),"Land of Spira, Jungle of Shadows")</f>
        <v>Land of Spira, Jungle of Shadows</v>
      </c>
      <c r="E94" s="16">
        <f>IFERROR(__xludf.DUMMYFUNCTION("""COMPUTED_VALUE"""),0.0)</f>
        <v>0</v>
      </c>
    </row>
    <row r="95">
      <c r="A95" s="16" t="str">
        <f>IFERROR(__xludf.DUMMYFUNCTION("""COMPUTED_VALUE"""),"The Spectral Side of Reality")</f>
        <v>The Spectral Side of Reality</v>
      </c>
      <c r="B95" s="16" t="str">
        <f>IFERROR(__xludf.DUMMYFUNCTION("""COMPUTED_VALUE"""),"As the souls of the 5 spirit kings converge via an ancient ritual the spirit realm opens before your eyes, splitting open the air. A land of extremes lay before you, the drowned land of water, the scorched wastes of fire, the windswept plains of nature, t"&amp;"he desolate; dry mesa of earth, the ravaged mountains of storm, and at the end of it all, a sickening, seething corruption which infects every corner. Now you must end this insanity, and kill its incarnation.")</f>
        <v>As the souls of the 5 spirit kings converge via an ancient ritual the spirit realm opens before your eyes, splitting open the air. A land of extremes lay before you, the drowned land of water, the scorched wastes of fire, the windswept plains of nature, the desolate; dry mesa of earth, the ravaged mountains of storm, and at the end of it all, a sickening, seething corruption which infects every corner. Now you must end this insanity, and kill its incarnation.</v>
      </c>
      <c r="C95" s="16" t="str">
        <f>IFERROR(__xludf.DUMMYFUNCTION("""COMPUTED_VALUE"""),"Side")</f>
        <v>Side</v>
      </c>
      <c r="D95" s="16" t="str">
        <f>IFERROR(__xludf.DUMMYFUNCTION("""COMPUTED_VALUE"""),"Land of Spira, WildWood")</f>
        <v>Land of Spira, WildWood</v>
      </c>
      <c r="E95" s="16">
        <f>IFERROR(__xludf.DUMMYFUNCTION("""COMPUTED_VALUE"""),0.0)</f>
        <v>0</v>
      </c>
    </row>
    <row r="96">
      <c r="A96" s="16" t="str">
        <f>IFERROR(__xludf.DUMMYFUNCTION("""COMPUTED_VALUE"""),"Ancient Mountains")</f>
        <v>Ancient Mountains</v>
      </c>
      <c r="B96" s="16" t="str">
        <f>IFERROR(__xludf.DUMMYFUNCTION("""COMPUTED_VALUE"""),"Within the Crystal King's Vault lay an ancient forge belonging to the blacksmith Hephaestus. Here he hammers away endlessly forging powerful weapons for the armies of Lord Dreadful. You've come to learn the location of his forge within his vault and have "&amp;"been tasked by the Crystal King himself to deal with this wretched smith once and for all.")</f>
        <v>Within the Crystal King's Vault lay an ancient forge belonging to the blacksmith Hephaestus. Here he hammers away endlessly forging powerful weapons for the armies of Lord Dreadful. You've come to learn the location of his forge within his vault and have been tasked by the Crystal King himself to deal with this wretched smith once and for all.</v>
      </c>
      <c r="C96" s="16" t="str">
        <f>IFERROR(__xludf.DUMMYFUNCTION("""COMPUTED_VALUE"""),"Side")</f>
        <v>Side</v>
      </c>
      <c r="D96" s="16" t="str">
        <f>IFERROR(__xludf.DUMMYFUNCTION("""COMPUTED_VALUE"""),"Land of Spira, Crystal Cave")</f>
        <v>Land of Spira, Crystal Cave</v>
      </c>
      <c r="E96" s="16">
        <f>IFERROR(__xludf.DUMMYFUNCTION("""COMPUTED_VALUE"""),0.0)</f>
        <v>0</v>
      </c>
    </row>
    <row r="97">
      <c r="A97" s="16" t="str">
        <f>IFERROR(__xludf.DUMMYFUNCTION("""COMPUTED_VALUE"""),"Attack on Ribbonton")</f>
        <v>Attack on Ribbonton</v>
      </c>
      <c r="B97" s="16" t="str">
        <f>IFERROR(__xludf.DUMMYFUNCTION("""COMPUTED_VALUE"""),"During the peak of your battles against the Amphibuki an offensive is plotted against the Village in the trees, the people are caught by surprise as the fires flare from all sides and amphibuki swarm threatening the lives of those who call this village th"&amp;"eir home. The Village elder asks for the assistance of the party to quell this sudden invasion.")</f>
        <v>During the peak of your battles against the Amphibuki an offensive is plotted against the Village in the trees, the people are caught by surprise as the fires flare from all sides and amphibuki swarm threatening the lives of those who call this village their home. The Village elder asks for the assistance of the party to quell this sudden invasion.</v>
      </c>
      <c r="C97" s="16" t="str">
        <f>IFERROR(__xludf.DUMMYFUNCTION("""COMPUTED_VALUE"""),"Side")</f>
        <v>Side</v>
      </c>
      <c r="D97" s="16" t="str">
        <f>IFERROR(__xludf.DUMMYFUNCTION("""COMPUTED_VALUE"""),"DragonScale Island, Ribbonton Ninja Village in the Trees")</f>
        <v>DragonScale Island, Ribbonton Ninja Village in the Trees</v>
      </c>
      <c r="E97" s="16">
        <f>IFERROR(__xludf.DUMMYFUNCTION("""COMPUTED_VALUE"""),0.0)</f>
        <v>0</v>
      </c>
    </row>
    <row r="98">
      <c r="A98" s="16" t="str">
        <f>IFERROR(__xludf.DUMMYFUNCTION("""COMPUTED_VALUE"""),"Proving Your Worth: Poisoning")</f>
        <v>Proving Your Worth: Poisoning</v>
      </c>
      <c r="B98" s="16" t="str">
        <f>IFERROR(__xludf.DUMMYFUNCTION("""COMPUTED_VALUE"""),"The Grand Sensei of Ribbonton, surprised by your relative ease in entering the two hidden villages has convened with senseis of all the ninja villages across to devise a set of trials for the party, they aim to test your mastery of the ninja values, whils"&amp;"t also aiding in their efforts to destroy the Amphibuki. The Poisonmaster of Ribbonton approaches the party with their first trial - poisoning an Amphibuki VIP in the Grand City of Dragonia.")</f>
        <v>The Grand Sensei of Ribbonton, surprised by your relative ease in entering the two hidden villages has convened with senseis of all the ninja villages across to devise a set of trials for the party, they aim to test your mastery of the ninja values, whilst also aiding in their efforts to destroy the Amphibuki. The Poisonmaster of Ribbonton approaches the party with their first trial - poisoning an Amphibuki VIP in the Grand City of Dragonia.</v>
      </c>
      <c r="C98" s="16" t="str">
        <f>IFERROR(__xludf.DUMMYFUNCTION("""COMPUTED_VALUE"""),"Side")</f>
        <v>Side</v>
      </c>
      <c r="D98" s="16" t="str">
        <f>IFERROR(__xludf.DUMMYFUNCTION("""COMPUTED_VALUE"""),"DragonScale Island, Ribbonton Ninja Village in the Trees")</f>
        <v>DragonScale Island, Ribbonton Ninja Village in the Trees</v>
      </c>
      <c r="E98" s="16">
        <f>IFERROR(__xludf.DUMMYFUNCTION("""COMPUTED_VALUE"""),0.0)</f>
        <v>0</v>
      </c>
    </row>
    <row r="99">
      <c r="A99" s="16" t="str">
        <f>IFERROR(__xludf.DUMMYFUNCTION("""COMPUTED_VALUE"""),"Proving Your Worth: Tracking")</f>
        <v>Proving Your Worth: Tracking</v>
      </c>
      <c r="B99" s="16" t="str">
        <f>IFERROR(__xludf.DUMMYFUNCTION("""COMPUTED_VALUE"""),"Your second trial leads you to the hidden village of Ribbonton where a group of ninja ambushers awaits your arrival with word of your next trial. This task shall test your abilities to mark a target, follow its trail, and go in for the kill. As a tracker "&amp;"should.")</f>
        <v>Your second trial leads you to the hidden village of Ribbonton where a group of ninja ambushers awaits your arrival with word of your next trial. This task shall test your abilities to mark a target, follow its trail, and go in for the kill. As a tracker should.</v>
      </c>
      <c r="C99" s="16" t="str">
        <f>IFERROR(__xludf.DUMMYFUNCTION("""COMPUTED_VALUE"""),"Side")</f>
        <v>Side</v>
      </c>
      <c r="D99" s="16" t="str">
        <f>IFERROR(__xludf.DUMMYFUNCTION("""COMPUTED_VALUE"""),"DragonScale, Fogweb Ninja Village in the Mist")</f>
        <v>DragonScale, Fogweb Ninja Village in the Mist</v>
      </c>
      <c r="E99" s="16">
        <f>IFERROR(__xludf.DUMMYFUNCTION("""COMPUTED_VALUE"""),0.0)</f>
        <v>0</v>
      </c>
    </row>
    <row r="100">
      <c r="A100" s="16" t="str">
        <f>IFERROR(__xludf.DUMMYFUNCTION("""COMPUTED_VALUE"""),"Proving Your Worth: Disguising")</f>
        <v>Proving Your Worth: Disguising</v>
      </c>
      <c r="B100" s="16" t="str">
        <f>IFERROR(__xludf.DUMMYFUNCTION("""COMPUTED_VALUE"""),"Arriving in Mistpeak you are greeted by the village's Ninja Master who offers you the third trial. The third trial, as he details it, is to successfully infiltrate an Amphibuki hideout and kidnap a group of Amphibuki Poison Masters.")</f>
        <v>Arriving in Mistpeak you are greeted by the village's Ninja Master who offers you the third trial. The third trial, as he details it, is to successfully infiltrate an Amphibuki hideout and kidnap a group of Amphibuki Poison Masters.</v>
      </c>
      <c r="C100" s="16" t="str">
        <f>IFERROR(__xludf.DUMMYFUNCTION("""COMPUTED_VALUE"""),"Side")</f>
        <v>Side</v>
      </c>
      <c r="D100" s="16" t="str">
        <f>IFERROR(__xludf.DUMMYFUNCTION("""COMPUTED_VALUE"""),"DragonScale, Mistpeak Ninja Village in the Mountains")</f>
        <v>DragonScale, Mistpeak Ninja Village in the Mountains</v>
      </c>
      <c r="E100" s="16">
        <f>IFERROR(__xludf.DUMMYFUNCTION("""COMPUTED_VALUE"""),0.0)</f>
        <v>0</v>
      </c>
    </row>
    <row r="101">
      <c r="A101" s="16" t="str">
        <f>IFERROR(__xludf.DUMMYFUNCTION("""COMPUTED_VALUE"""),"A Gift Between Lovers Side A")</f>
        <v>A Gift Between Lovers Side A</v>
      </c>
      <c r="B101" s="16" t="str">
        <f>IFERROR(__xludf.DUMMYFUNCTION("""COMPUTED_VALUE"""),"Players are asked for help from a man with a broken arm named Daniel, who needs boar hides to make leather armor for his girlfriend. When brought 6 hides, he'll take three days to make one for her and the player.")</f>
        <v>Players are asked for help from a man with a broken arm named Daniel, who needs boar hides to make leather armor for his girlfriend. When brought 6 hides, he'll take three days to make one for her and the player.</v>
      </c>
      <c r="C101" s="16" t="str">
        <f>IFERROR(__xludf.DUMMYFUNCTION("""COMPUTED_VALUE"""),"Side")</f>
        <v>Side</v>
      </c>
      <c r="D101" s="16" t="str">
        <f>IFERROR(__xludf.DUMMYFUNCTION("""COMPUTED_VALUE"""),"Land of Spira, Dryland Desert")</f>
        <v>Land of Spira, Dryland Desert</v>
      </c>
      <c r="E101" s="16">
        <f>IFERROR(__xludf.DUMMYFUNCTION("""COMPUTED_VALUE"""),6.0)</f>
        <v>6</v>
      </c>
    </row>
    <row r="102">
      <c r="A102" s="16" t="str">
        <f>IFERROR(__xludf.DUMMYFUNCTION("""COMPUTED_VALUE"""),"A Gift Between Lovers Side B")</f>
        <v>A Gift Between Lovers Side B</v>
      </c>
      <c r="B102" s="16" t="str">
        <f>IFERROR(__xludf.DUMMYFUNCTION("""COMPUTED_VALUE"""),"Elora, Daniel's girlfriend, wants help hunting a Desert Demon to make a necklace for him as a gift. After doing so, she meets the party back in town and thanks them.")</f>
        <v>Elora, Daniel's girlfriend, wants help hunting a Desert Demon to make a necklace for him as a gift. After doing so, she meets the party back in town and thanks them.</v>
      </c>
      <c r="C102" s="16" t="str">
        <f>IFERROR(__xludf.DUMMYFUNCTION("""COMPUTED_VALUE"""),"Side")</f>
        <v>Side</v>
      </c>
      <c r="D102" s="16" t="str">
        <f>IFERROR(__xludf.DUMMYFUNCTION("""COMPUTED_VALUE"""),"Land of Spira, Dryland Desert")</f>
        <v>Land of Spira, Dryland Desert</v>
      </c>
      <c r="E102" s="16">
        <f>IFERROR(__xludf.DUMMYFUNCTION("""COMPUTED_VALUE"""),0.0)</f>
        <v>0</v>
      </c>
    </row>
    <row r="103">
      <c r="A103" s="16" t="str">
        <f>IFERROR(__xludf.DUMMYFUNCTION("""COMPUTED_VALUE"""),"A Gift Between Lovers Side Omega")</f>
        <v>A Gift Between Lovers Side Omega</v>
      </c>
      <c r="B103" s="16" t="str">
        <f>IFERROR(__xludf.DUMMYFUNCTION("""COMPUTED_VALUE"""),"The player is approached by an old woman, Elora's mother, who asks them to visit. Elora ordered an engagement ring, but it hasn't arrived, and they want the players to find out what's up. They find the delivery man in a ditch with a broken leg and help hi"&amp;"m to town. Afterwards, they're asked to attend the wedding in a week.")</f>
        <v>The player is approached by an old woman, Elora's mother, who asks them to visit. Elora ordered an engagement ring, but it hasn't arrived, and they want the players to find out what's up. They find the delivery man in a ditch with a broken leg and help him to town. Afterwards, they're asked to attend the wedding in a week.</v>
      </c>
      <c r="C103" s="16" t="str">
        <f>IFERROR(__xludf.DUMMYFUNCTION("""COMPUTED_VALUE"""),"Side")</f>
        <v>Side</v>
      </c>
      <c r="D103" s="16" t="str">
        <f>IFERROR(__xludf.DUMMYFUNCTION("""COMPUTED_VALUE"""),"Land of Spira, Dryland Desert")</f>
        <v>Land of Spira, Dryland Desert</v>
      </c>
      <c r="E103" s="16">
        <f>IFERROR(__xludf.DUMMYFUNCTION("""COMPUTED_VALUE"""),0.0)</f>
        <v>0</v>
      </c>
    </row>
    <row r="104">
      <c r="A104" s="16" t="str">
        <f>IFERROR(__xludf.DUMMYFUNCTION("""COMPUTED_VALUE"""),"Fool's Gold")</f>
        <v>Fool's Gold</v>
      </c>
      <c r="B104" s="16" t="str">
        <f>IFERROR(__xludf.DUMMYFUNCTION("""COMPUTED_VALUE"""),"A young prospective rider is in a huff after being sold a ""gold dragon egg"" that was just a dragon egg painted gold, and wants the player's assistance in tracking down the shady salesman who sold it.")</f>
        <v>A young prospective rider is in a huff after being sold a "gold dragon egg" that was just a dragon egg painted gold, and wants the player's assistance in tracking down the shady salesman who sold it.</v>
      </c>
      <c r="C104" s="16" t="str">
        <f>IFERROR(__xludf.DUMMYFUNCTION("""COMPUTED_VALUE"""),"Side")</f>
        <v>Side</v>
      </c>
      <c r="D104" s="16" t="str">
        <f>IFERROR(__xludf.DUMMYFUNCTION("""COMPUTED_VALUE"""),"Dragonscale Island, The Grand City of Dragonia")</f>
        <v>Dragonscale Island, The Grand City of Dragonia</v>
      </c>
      <c r="E104" s="16">
        <f>IFERROR(__xludf.DUMMYFUNCTION("""COMPUTED_VALUE"""),0.0)</f>
        <v>0</v>
      </c>
    </row>
    <row r="105">
      <c r="A105" s="16" t="str">
        <f>IFERROR(__xludf.DUMMYFUNCTION("""COMPUTED_VALUE"""),"Tip The Scales")</f>
        <v>Tip The Scales</v>
      </c>
      <c r="B105" s="16" t="str">
        <f>IFERROR(__xludf.DUMMYFUNCTION("""COMPUTED_VALUE"""),"A shopkeeper seeks to make some dragonscale equipment, but is low on scales. They ask the player to collect some scales for them.")</f>
        <v>A shopkeeper seeks to make some dragonscale equipment, but is low on scales. They ask the player to collect some scales for them.</v>
      </c>
      <c r="C105" s="16" t="str">
        <f>IFERROR(__xludf.DUMMYFUNCTION("""COMPUTED_VALUE"""),"Side")</f>
        <v>Side</v>
      </c>
      <c r="D105" s="16" t="str">
        <f>IFERROR(__xludf.DUMMYFUNCTION("""COMPUTED_VALUE"""),"Dragonscale Island, The Grand City of Dragonia")</f>
        <v>Dragonscale Island, The Grand City of Dragonia</v>
      </c>
      <c r="E105" s="16">
        <f>IFERROR(__xludf.DUMMYFUNCTION("""COMPUTED_VALUE"""),50.0)</f>
        <v>50</v>
      </c>
    </row>
    <row r="106">
      <c r="A106" s="16" t="str">
        <f>IFERROR(__xludf.DUMMYFUNCTION("""COMPUTED_VALUE"""),"Shadows in the Marsh")</f>
        <v>Shadows in the Marsh</v>
      </c>
      <c r="B106" s="16" t="str">
        <f>IFERROR(__xludf.DUMMYFUNCTION("""COMPUTED_VALUE"""),"Reports of mysterious cult activity have cast a shadow over the once-tranquil Swampville. The town guards, alarmed by the unsettling sightings, implore the party to investigate the cult's activities and put an end to their dark machinations. As the party "&amp;"delves into the swamp's murky depths, they will unravel the secrets of a sinister cult that threatens the safety of Swampville.")</f>
        <v>Reports of mysterious cult activity have cast a shadow over the once-tranquil Swampville. The town guards, alarmed by the unsettling sightings, implore the party to investigate the cult's activities and put an end to their dark machinations. As the party delves into the swamp's murky depths, they will unravel the secrets of a sinister cult that threatens the safety of Swampville.</v>
      </c>
      <c r="C106" s="16" t="str">
        <f>IFERROR(__xludf.DUMMYFUNCTION("""COMPUTED_VALUE"""),"Side")</f>
        <v>Side</v>
      </c>
      <c r="D106" s="16" t="str">
        <f>IFERROR(__xludf.DUMMYFUNCTION("""COMPUTED_VALUE"""),"Land of Spira, Swampville")</f>
        <v>Land of Spira, Swampville</v>
      </c>
      <c r="E106" s="16">
        <f>IFERROR(__xludf.DUMMYFUNCTION("""COMPUTED_VALUE"""),5.0)</f>
        <v>5</v>
      </c>
    </row>
    <row r="107">
      <c r="A107" s="16" t="str">
        <f>IFERROR(__xludf.DUMMYFUNCTION("""COMPUTED_VALUE"""),"Sands of Devastation")</f>
        <v>Sands of Devastation</v>
      </c>
      <c r="B107" s="16" t="str">
        <f>IFERROR(__xludf.DUMMYFUNCTION("""COMPUTED_VALUE"""),"A menacing outbreak of Sandworms has wreaked havoc upon the once-thriving city of Desert Island. The enormous creatures have burrowed into the heart of the city, causing widespread destruction and panic. The town guards urgently seek the party's assistanc"&amp;"e to quell the Sandworm threat and bring peace back to Desert Island. The task is formidable — defeat ten monstrous Sandworms to ensure the safety of the city.")</f>
        <v>A menacing outbreak of Sandworms has wreaked havoc upon the once-thriving city of Desert Island. The enormous creatures have burrowed into the heart of the city, causing widespread destruction and panic. The town guards urgently seek the party's assistance to quell the Sandworm threat and bring peace back to Desert Island. The task is formidable — defeat ten monstrous Sandworms to ensure the safety of the city.</v>
      </c>
      <c r="C107" s="16" t="str">
        <f>IFERROR(__xludf.DUMMYFUNCTION("""COMPUTED_VALUE"""),"Side")</f>
        <v>Side</v>
      </c>
      <c r="D107" s="16" t="str">
        <f>IFERROR(__xludf.DUMMYFUNCTION("""COMPUTED_VALUE"""),"Land of Spira, Desert Island")</f>
        <v>Land of Spira, Desert Island</v>
      </c>
      <c r="E107" s="16">
        <f>IFERROR(__xludf.DUMMYFUNCTION("""COMPUTED_VALUE"""),5.0)</f>
        <v>5</v>
      </c>
    </row>
    <row r="108">
      <c r="A108" s="16"/>
      <c r="B108" s="16"/>
      <c r="C108" s="16"/>
      <c r="D108" s="16"/>
      <c r="E108" s="16"/>
    </row>
    <row r="109">
      <c r="A109" s="16"/>
      <c r="B109" s="16"/>
      <c r="C109" s="16"/>
      <c r="D109" s="16"/>
      <c r="E109" s="16"/>
    </row>
    <row r="110">
      <c r="A110" s="16"/>
      <c r="B110" s="16"/>
      <c r="C110" s="16"/>
      <c r="D110" s="16"/>
      <c r="E110" s="16"/>
    </row>
    <row r="111">
      <c r="A111" s="16"/>
      <c r="B111" s="16"/>
      <c r="C111" s="16"/>
      <c r="D111" s="16"/>
      <c r="E111" s="16"/>
    </row>
    <row r="112">
      <c r="A112" s="16"/>
      <c r="B112" s="16"/>
      <c r="C112" s="16"/>
      <c r="D112" s="16"/>
      <c r="E112" s="16"/>
    </row>
    <row r="113">
      <c r="A113" s="16"/>
      <c r="B113" s="16"/>
      <c r="C113" s="16"/>
      <c r="D113" s="16"/>
      <c r="E113" s="16"/>
    </row>
    <row r="114">
      <c r="A114" s="16"/>
      <c r="B114" s="16"/>
      <c r="C114" s="16"/>
      <c r="D114" s="16"/>
      <c r="E114" s="16"/>
    </row>
    <row r="115">
      <c r="A115" s="16"/>
      <c r="B115" s="16"/>
      <c r="C115" s="16"/>
      <c r="D115" s="16"/>
      <c r="E115" s="16"/>
    </row>
    <row r="116">
      <c r="A116" s="16"/>
      <c r="B116" s="16"/>
      <c r="C116" s="16"/>
      <c r="D116" s="16"/>
      <c r="E116" s="16"/>
    </row>
    <row r="117">
      <c r="A117" s="16"/>
      <c r="B117" s="16"/>
      <c r="C117" s="16"/>
      <c r="D117" s="16"/>
      <c r="E117" s="16"/>
    </row>
    <row r="118">
      <c r="A118" s="16"/>
      <c r="B118" s="16"/>
      <c r="C118" s="16"/>
      <c r="D118" s="16"/>
      <c r="E118" s="16"/>
    </row>
    <row r="119">
      <c r="A119" s="16"/>
      <c r="B119" s="16"/>
      <c r="C119" s="16"/>
      <c r="D119" s="16"/>
      <c r="E119" s="16"/>
    </row>
    <row r="120">
      <c r="A120" s="16"/>
      <c r="B120" s="16"/>
      <c r="C120" s="16"/>
      <c r="D120" s="16"/>
      <c r="E120" s="16"/>
    </row>
    <row r="121">
      <c r="A121" s="16"/>
      <c r="B121" s="16"/>
      <c r="C121" s="16"/>
      <c r="D121" s="16"/>
      <c r="E121" s="16"/>
    </row>
    <row r="122">
      <c r="A122" s="16"/>
      <c r="B122" s="16"/>
      <c r="C122" s="16"/>
      <c r="D122" s="16"/>
      <c r="E122" s="16"/>
    </row>
    <row r="123">
      <c r="A123" s="16"/>
      <c r="B123" s="16"/>
      <c r="C123" s="16"/>
      <c r="D123" s="16"/>
      <c r="E123" s="16"/>
    </row>
    <row r="124">
      <c r="A124" s="16"/>
      <c r="B124" s="16"/>
      <c r="C124" s="16"/>
      <c r="D124" s="16"/>
      <c r="E124" s="16"/>
    </row>
    <row r="125">
      <c r="A125" s="16"/>
      <c r="B125" s="16"/>
      <c r="C125" s="16"/>
      <c r="D125" s="16"/>
      <c r="E125" s="16"/>
    </row>
    <row r="126">
      <c r="A126" s="16"/>
      <c r="B126" s="16"/>
      <c r="C126" s="16"/>
      <c r="D126" s="16"/>
      <c r="E126" s="16"/>
    </row>
    <row r="127">
      <c r="A127" s="16"/>
      <c r="B127" s="16"/>
      <c r="C127" s="16"/>
      <c r="D127" s="16"/>
      <c r="E127" s="16"/>
    </row>
    <row r="128">
      <c r="A128" s="16"/>
      <c r="B128" s="16"/>
      <c r="C128" s="16"/>
      <c r="D128" s="16"/>
      <c r="E128" s="16"/>
    </row>
    <row r="129">
      <c r="A129" s="16"/>
      <c r="B129" s="16"/>
      <c r="C129" s="16"/>
      <c r="D129" s="16"/>
      <c r="E129" s="16"/>
    </row>
    <row r="130">
      <c r="A130" s="16"/>
      <c r="B130" s="16"/>
      <c r="C130" s="16"/>
      <c r="D130" s="16"/>
      <c r="E130" s="16"/>
    </row>
    <row r="131">
      <c r="A131" s="16"/>
      <c r="B131" s="16"/>
      <c r="C131" s="16"/>
      <c r="D131" s="16"/>
      <c r="E131" s="16"/>
    </row>
    <row r="132">
      <c r="A132" s="16"/>
      <c r="B132" s="16"/>
      <c r="C132" s="16"/>
      <c r="D132" s="16"/>
      <c r="E132" s="16"/>
    </row>
    <row r="133">
      <c r="A133" s="16"/>
      <c r="B133" s="16"/>
      <c r="C133" s="16"/>
      <c r="D133" s="16"/>
      <c r="E133" s="16"/>
    </row>
    <row r="134">
      <c r="A134" s="16"/>
      <c r="B134" s="16"/>
      <c r="C134" s="16"/>
      <c r="D134" s="16"/>
      <c r="E134" s="16"/>
    </row>
    <row r="135">
      <c r="A135" s="16"/>
      <c r="B135" s="16"/>
      <c r="C135" s="16"/>
      <c r="D135" s="16"/>
      <c r="E135" s="16"/>
    </row>
    <row r="136">
      <c r="A136" s="16"/>
      <c r="B136" s="16"/>
      <c r="C136" s="16"/>
      <c r="D136" s="16"/>
      <c r="E136" s="16"/>
    </row>
    <row r="137">
      <c r="A137" s="16"/>
      <c r="B137" s="16"/>
      <c r="C137" s="16"/>
      <c r="D137" s="16"/>
      <c r="E137" s="16"/>
    </row>
    <row r="138">
      <c r="A138" s="16"/>
      <c r="B138" s="16"/>
      <c r="C138" s="16"/>
      <c r="D138" s="16"/>
      <c r="E138" s="16"/>
    </row>
    <row r="139">
      <c r="A139" s="16"/>
      <c r="B139" s="16"/>
      <c r="C139" s="16"/>
      <c r="D139" s="16"/>
      <c r="E139" s="16"/>
    </row>
    <row r="140">
      <c r="A140" s="16"/>
      <c r="B140" s="16"/>
      <c r="C140" s="16"/>
      <c r="D140" s="16"/>
      <c r="E140" s="16"/>
    </row>
    <row r="141">
      <c r="A141" s="16"/>
      <c r="B141" s="16"/>
      <c r="C141" s="16"/>
      <c r="D141" s="16"/>
      <c r="E141" s="16"/>
    </row>
    <row r="142">
      <c r="A142" s="16"/>
      <c r="B142" s="16"/>
      <c r="C142" s="16"/>
      <c r="D142" s="16"/>
      <c r="E142" s="16"/>
    </row>
    <row r="143">
      <c r="A143" s="16"/>
      <c r="B143" s="16"/>
      <c r="C143" s="16"/>
      <c r="D143" s="16"/>
      <c r="E143" s="16"/>
    </row>
    <row r="144">
      <c r="A144" s="16"/>
      <c r="B144" s="16"/>
      <c r="C144" s="16"/>
      <c r="D144" s="16"/>
      <c r="E144" s="16"/>
    </row>
    <row r="145">
      <c r="A145" s="16"/>
      <c r="B145" s="16"/>
      <c r="C145" s="16"/>
      <c r="D145" s="16"/>
      <c r="E145" s="16"/>
    </row>
    <row r="146">
      <c r="A146" s="16"/>
      <c r="B146" s="16"/>
      <c r="C146" s="16"/>
      <c r="D146" s="16"/>
      <c r="E146" s="16"/>
    </row>
    <row r="147">
      <c r="A147" s="16"/>
      <c r="B147" s="16"/>
      <c r="C147" s="16"/>
      <c r="D147" s="16"/>
      <c r="E147" s="16"/>
    </row>
    <row r="148">
      <c r="A148" s="16"/>
      <c r="B148" s="16"/>
      <c r="C148" s="16"/>
      <c r="D148" s="16"/>
      <c r="E148" s="16"/>
    </row>
    <row r="149">
      <c r="A149" s="16"/>
      <c r="B149" s="16"/>
      <c r="C149" s="16"/>
      <c r="D149" s="16"/>
      <c r="E149" s="16"/>
    </row>
    <row r="150">
      <c r="A150" s="16"/>
      <c r="B150" s="16"/>
      <c r="C150" s="16"/>
      <c r="D150" s="16"/>
      <c r="E150" s="16"/>
    </row>
    <row r="151">
      <c r="A151" s="16"/>
      <c r="B151" s="16"/>
      <c r="C151" s="16"/>
      <c r="D151" s="16"/>
      <c r="E151" s="16"/>
    </row>
    <row r="152">
      <c r="A152" s="16"/>
      <c r="B152" s="16"/>
      <c r="C152" s="16"/>
      <c r="D152" s="16"/>
      <c r="E152" s="16"/>
    </row>
    <row r="153">
      <c r="A153" s="16"/>
      <c r="B153" s="16"/>
      <c r="C153" s="16"/>
      <c r="D153" s="16"/>
      <c r="E153" s="16"/>
    </row>
    <row r="154">
      <c r="A154" s="16"/>
      <c r="B154" s="16"/>
      <c r="C154" s="16"/>
      <c r="D154" s="16"/>
      <c r="E154" s="16"/>
    </row>
    <row r="155">
      <c r="A155" s="16"/>
      <c r="B155" s="16"/>
      <c r="C155" s="16"/>
      <c r="D155" s="16"/>
      <c r="E155" s="16"/>
    </row>
    <row r="156">
      <c r="A156" s="16"/>
      <c r="B156" s="16"/>
      <c r="C156" s="16"/>
      <c r="D156" s="16"/>
      <c r="E156" s="16"/>
    </row>
    <row r="157">
      <c r="A157" s="16"/>
      <c r="B157" s="16"/>
      <c r="C157" s="16"/>
      <c r="D157" s="16"/>
      <c r="E157" s="16"/>
    </row>
    <row r="158">
      <c r="A158" s="16"/>
      <c r="B158" s="16"/>
      <c r="C158" s="16"/>
      <c r="D158" s="16"/>
      <c r="E158" s="16"/>
    </row>
    <row r="159">
      <c r="A159" s="16"/>
      <c r="B159" s="16"/>
      <c r="C159" s="16"/>
      <c r="D159" s="16"/>
      <c r="E159" s="16"/>
    </row>
    <row r="160">
      <c r="A160" s="16"/>
      <c r="B160" s="16"/>
      <c r="C160" s="16"/>
      <c r="D160" s="16"/>
      <c r="E160" s="16"/>
    </row>
    <row r="161">
      <c r="A161" s="16"/>
      <c r="B161" s="16"/>
      <c r="C161" s="16"/>
      <c r="D161" s="16"/>
      <c r="E161" s="16"/>
    </row>
    <row r="162">
      <c r="A162" s="16"/>
      <c r="B162" s="16"/>
      <c r="C162" s="16"/>
      <c r="D162" s="16"/>
      <c r="E162" s="16"/>
    </row>
    <row r="163">
      <c r="A163" s="16"/>
      <c r="B163" s="16"/>
      <c r="C163" s="16"/>
      <c r="D163" s="16"/>
      <c r="E163" s="16"/>
    </row>
    <row r="164">
      <c r="A164" s="16"/>
      <c r="B164" s="16"/>
      <c r="C164" s="16"/>
      <c r="D164" s="16"/>
      <c r="E164" s="16"/>
    </row>
    <row r="165">
      <c r="A165" s="16"/>
      <c r="B165" s="16"/>
      <c r="C165" s="16"/>
      <c r="D165" s="16"/>
      <c r="E165" s="16"/>
    </row>
    <row r="166">
      <c r="A166" s="16"/>
      <c r="B166" s="16"/>
      <c r="C166" s="16"/>
      <c r="D166" s="16"/>
      <c r="E166" s="16"/>
    </row>
    <row r="167">
      <c r="A167" s="16"/>
      <c r="B167" s="16"/>
      <c r="C167" s="16"/>
      <c r="D167" s="16"/>
      <c r="E167" s="16"/>
    </row>
    <row r="168">
      <c r="A168" s="16"/>
      <c r="B168" s="16"/>
      <c r="C168" s="16"/>
      <c r="D168" s="16"/>
      <c r="E168" s="16"/>
    </row>
    <row r="169">
      <c r="A169" s="16"/>
      <c r="B169" s="16"/>
      <c r="C169" s="16"/>
      <c r="D169" s="16"/>
      <c r="E169" s="16"/>
    </row>
    <row r="170">
      <c r="A170" s="16"/>
      <c r="B170" s="16"/>
      <c r="C170" s="16"/>
      <c r="D170" s="16"/>
      <c r="E170" s="16"/>
    </row>
    <row r="171">
      <c r="A171" s="16"/>
      <c r="B171" s="16"/>
      <c r="C171" s="16"/>
      <c r="D171" s="16"/>
      <c r="E171" s="16"/>
    </row>
    <row r="172">
      <c r="A172" s="16"/>
      <c r="B172" s="16"/>
      <c r="C172" s="16"/>
      <c r="D172" s="16"/>
      <c r="E172" s="16"/>
    </row>
    <row r="173">
      <c r="A173" s="16"/>
      <c r="B173" s="16"/>
      <c r="C173" s="16"/>
      <c r="D173" s="16"/>
      <c r="E173" s="16"/>
    </row>
    <row r="174">
      <c r="A174" s="16"/>
      <c r="B174" s="16"/>
      <c r="C174" s="16"/>
      <c r="D174" s="16"/>
      <c r="E174" s="16"/>
    </row>
    <row r="175">
      <c r="A175" s="16"/>
      <c r="B175" s="16"/>
      <c r="C175" s="16"/>
      <c r="D175" s="16"/>
      <c r="E175" s="16"/>
    </row>
    <row r="176">
      <c r="A176" s="16"/>
      <c r="B176" s="16"/>
      <c r="C176" s="16"/>
      <c r="D176" s="16"/>
      <c r="E176" s="16"/>
    </row>
    <row r="177">
      <c r="A177" s="16"/>
      <c r="B177" s="16"/>
      <c r="C177" s="16"/>
      <c r="D177" s="16"/>
      <c r="E177" s="16"/>
    </row>
    <row r="178">
      <c r="A178" s="16"/>
      <c r="B178" s="16"/>
      <c r="C178" s="16"/>
      <c r="D178" s="16"/>
      <c r="E178" s="16"/>
    </row>
    <row r="179">
      <c r="A179" s="16"/>
      <c r="B179" s="16"/>
      <c r="C179" s="16"/>
      <c r="D179" s="16"/>
      <c r="E179" s="16"/>
    </row>
    <row r="180">
      <c r="A180" s="16"/>
      <c r="B180" s="16"/>
      <c r="C180" s="16"/>
      <c r="D180" s="16"/>
      <c r="E180" s="16"/>
    </row>
    <row r="181">
      <c r="A181" s="16"/>
      <c r="B181" s="16"/>
      <c r="C181" s="16"/>
      <c r="D181" s="16"/>
      <c r="E181" s="16"/>
    </row>
    <row r="182">
      <c r="A182" s="16"/>
      <c r="B182" s="16"/>
      <c r="C182" s="16"/>
      <c r="D182" s="16"/>
      <c r="E182" s="16"/>
    </row>
    <row r="183">
      <c r="A183" s="16"/>
      <c r="B183" s="16"/>
      <c r="C183" s="16"/>
      <c r="D183" s="16"/>
      <c r="E183" s="16"/>
    </row>
    <row r="184">
      <c r="A184" s="16"/>
      <c r="B184" s="16"/>
      <c r="C184" s="16"/>
      <c r="D184" s="16"/>
      <c r="E184" s="16"/>
    </row>
    <row r="185">
      <c r="A185" s="16"/>
      <c r="B185" s="16"/>
      <c r="C185" s="16"/>
      <c r="D185" s="16"/>
      <c r="E185" s="16"/>
    </row>
    <row r="186">
      <c r="A186" s="16"/>
      <c r="B186" s="16"/>
      <c r="C186" s="16"/>
      <c r="D186" s="16"/>
      <c r="E186" s="16"/>
    </row>
    <row r="187">
      <c r="A187" s="16"/>
      <c r="B187" s="16"/>
      <c r="C187" s="16"/>
      <c r="D187" s="16"/>
      <c r="E187" s="16"/>
    </row>
    <row r="188">
      <c r="A188" s="16"/>
      <c r="B188" s="16"/>
      <c r="C188" s="16"/>
      <c r="D188" s="16"/>
      <c r="E188" s="16"/>
    </row>
    <row r="189">
      <c r="A189" s="16"/>
      <c r="B189" s="16"/>
      <c r="C189" s="16"/>
      <c r="D189" s="16"/>
      <c r="E189" s="16"/>
    </row>
    <row r="190">
      <c r="A190" s="16"/>
      <c r="B190" s="16"/>
      <c r="C190" s="16"/>
      <c r="D190" s="16"/>
      <c r="E190" s="16"/>
    </row>
    <row r="191">
      <c r="A191" s="16"/>
      <c r="B191" s="16"/>
      <c r="C191" s="16"/>
      <c r="D191" s="16"/>
      <c r="E191" s="16"/>
    </row>
    <row r="192">
      <c r="A192" s="16"/>
      <c r="B192" s="16"/>
      <c r="C192" s="16"/>
      <c r="D192" s="16"/>
      <c r="E192" s="16"/>
    </row>
    <row r="193">
      <c r="A193" s="16"/>
      <c r="B193" s="16"/>
      <c r="C193" s="16"/>
      <c r="D193" s="16"/>
      <c r="E193" s="16"/>
    </row>
    <row r="194">
      <c r="A194" s="16"/>
      <c r="B194" s="16"/>
      <c r="C194" s="16"/>
      <c r="D194" s="16"/>
      <c r="E194" s="16"/>
    </row>
    <row r="195">
      <c r="A195" s="16"/>
      <c r="B195" s="16"/>
      <c r="C195" s="16"/>
      <c r="D195" s="16"/>
      <c r="E195" s="16"/>
    </row>
    <row r="196">
      <c r="A196" s="16"/>
      <c r="B196" s="16"/>
      <c r="C196" s="16"/>
      <c r="D196" s="16"/>
      <c r="E196" s="16"/>
    </row>
    <row r="197">
      <c r="A197" s="16"/>
      <c r="B197" s="16"/>
      <c r="C197" s="16"/>
      <c r="D197" s="16"/>
      <c r="E197" s="16"/>
    </row>
    <row r="198">
      <c r="A198" s="16"/>
      <c r="B198" s="16"/>
      <c r="C198" s="16"/>
      <c r="D198" s="16"/>
      <c r="E198" s="16"/>
    </row>
    <row r="199">
      <c r="A199" s="16"/>
      <c r="B199" s="16"/>
      <c r="C199" s="16"/>
      <c r="D199" s="16"/>
      <c r="E199" s="16"/>
    </row>
    <row r="200">
      <c r="A200" s="16"/>
      <c r="B200" s="16"/>
      <c r="C200" s="16"/>
      <c r="D200" s="16"/>
      <c r="E200" s="16"/>
    </row>
    <row r="201">
      <c r="A201" s="16"/>
      <c r="B201" s="16"/>
      <c r="C201" s="16"/>
      <c r="D201" s="16"/>
      <c r="E201" s="16"/>
    </row>
    <row r="202">
      <c r="A202" s="16"/>
      <c r="B202" s="16"/>
      <c r="C202" s="16"/>
      <c r="D202" s="16"/>
      <c r="E202" s="16"/>
    </row>
    <row r="203">
      <c r="A203" s="16"/>
      <c r="B203" s="16"/>
      <c r="C203" s="16"/>
      <c r="D203" s="16"/>
      <c r="E203" s="16"/>
    </row>
    <row r="204">
      <c r="A204" s="16"/>
      <c r="B204" s="16"/>
      <c r="C204" s="16"/>
      <c r="D204" s="16"/>
      <c r="E204" s="16"/>
    </row>
    <row r="205">
      <c r="A205" s="16"/>
      <c r="B205" s="16"/>
      <c r="C205" s="16"/>
      <c r="D205" s="16"/>
      <c r="E205" s="16"/>
    </row>
    <row r="206">
      <c r="A206" s="16"/>
      <c r="B206" s="16"/>
      <c r="C206" s="16"/>
      <c r="D206" s="16"/>
      <c r="E206" s="16"/>
    </row>
    <row r="207">
      <c r="A207" s="16"/>
      <c r="B207" s="16"/>
      <c r="C207" s="16"/>
      <c r="D207" s="16"/>
      <c r="E207" s="16"/>
    </row>
    <row r="208">
      <c r="A208" s="16"/>
      <c r="B208" s="16"/>
      <c r="C208" s="16"/>
      <c r="D208" s="16"/>
      <c r="E208" s="16"/>
    </row>
    <row r="209">
      <c r="A209" s="16"/>
      <c r="B209" s="16"/>
      <c r="C209" s="16"/>
      <c r="D209" s="16"/>
      <c r="E209" s="16"/>
    </row>
    <row r="210">
      <c r="A210" s="16"/>
      <c r="B210" s="16"/>
      <c r="C210" s="16"/>
      <c r="D210" s="16"/>
      <c r="E210" s="16"/>
    </row>
    <row r="211">
      <c r="A211" s="16"/>
      <c r="B211" s="16"/>
      <c r="C211" s="16"/>
      <c r="D211" s="16"/>
      <c r="E211" s="16"/>
    </row>
    <row r="212">
      <c r="A212" s="16"/>
      <c r="B212" s="16"/>
      <c r="C212" s="16"/>
      <c r="D212" s="16"/>
      <c r="E212" s="16"/>
    </row>
    <row r="213">
      <c r="A213" s="16"/>
      <c r="B213" s="16"/>
      <c r="C213" s="16"/>
      <c r="D213" s="16"/>
      <c r="E213" s="16"/>
    </row>
    <row r="214">
      <c r="A214" s="16"/>
      <c r="B214" s="16"/>
      <c r="C214" s="16"/>
      <c r="D214" s="16"/>
      <c r="E214" s="16"/>
    </row>
    <row r="215">
      <c r="A215" s="16"/>
      <c r="B215" s="16"/>
      <c r="C215" s="16"/>
      <c r="D215" s="16"/>
      <c r="E215" s="16"/>
    </row>
    <row r="216">
      <c r="A216" s="16"/>
      <c r="B216" s="16"/>
      <c r="C216" s="16"/>
      <c r="D216" s="16"/>
      <c r="E216" s="16"/>
    </row>
    <row r="217">
      <c r="A217" s="16"/>
      <c r="B217" s="16"/>
      <c r="C217" s="16"/>
      <c r="D217" s="16"/>
      <c r="E217" s="16"/>
    </row>
    <row r="218">
      <c r="A218" s="16"/>
      <c r="B218" s="16"/>
      <c r="C218" s="16"/>
      <c r="D218" s="16"/>
      <c r="E218" s="16"/>
    </row>
    <row r="219">
      <c r="A219" s="16"/>
      <c r="B219" s="16"/>
      <c r="C219" s="16"/>
      <c r="D219" s="16"/>
      <c r="E219" s="16"/>
    </row>
    <row r="220">
      <c r="A220" s="16"/>
      <c r="B220" s="16"/>
      <c r="C220" s="16"/>
      <c r="D220" s="16"/>
      <c r="E220" s="16"/>
    </row>
    <row r="221">
      <c r="A221" s="16"/>
      <c r="B221" s="16"/>
      <c r="C221" s="16"/>
      <c r="D221" s="16"/>
      <c r="E221" s="16"/>
    </row>
    <row r="222">
      <c r="A222" s="16"/>
      <c r="B222" s="16"/>
      <c r="C222" s="16"/>
      <c r="D222" s="16"/>
      <c r="E222" s="16"/>
    </row>
    <row r="223">
      <c r="A223" s="16"/>
      <c r="B223" s="16"/>
      <c r="C223" s="16"/>
      <c r="D223" s="16"/>
      <c r="E223" s="16"/>
    </row>
    <row r="224">
      <c r="A224" s="16"/>
      <c r="B224" s="16"/>
      <c r="C224" s="16"/>
      <c r="D224" s="16"/>
      <c r="E224" s="16"/>
    </row>
    <row r="225">
      <c r="A225" s="16"/>
      <c r="B225" s="16"/>
      <c r="C225" s="16"/>
      <c r="D225" s="16"/>
      <c r="E225" s="16"/>
    </row>
    <row r="226">
      <c r="A226" s="16"/>
      <c r="B226" s="16"/>
      <c r="C226" s="16"/>
      <c r="D226" s="16"/>
      <c r="E226" s="16"/>
    </row>
    <row r="227">
      <c r="A227" s="16"/>
      <c r="B227" s="16"/>
      <c r="C227" s="16"/>
      <c r="D227" s="16"/>
      <c r="E227" s="16"/>
    </row>
    <row r="228">
      <c r="A228" s="16"/>
      <c r="B228" s="16"/>
      <c r="C228" s="16"/>
      <c r="D228" s="16"/>
      <c r="E228" s="16"/>
    </row>
    <row r="229">
      <c r="A229" s="16"/>
      <c r="B229" s="16"/>
      <c r="C229" s="16"/>
      <c r="D229" s="16"/>
      <c r="E229" s="16"/>
    </row>
    <row r="230">
      <c r="A230" s="16"/>
      <c r="B230" s="16"/>
      <c r="C230" s="16"/>
      <c r="D230" s="16"/>
      <c r="E230" s="16"/>
    </row>
    <row r="231">
      <c r="A231" s="16"/>
      <c r="B231" s="16"/>
      <c r="C231" s="16"/>
      <c r="D231" s="16"/>
      <c r="E231" s="16"/>
    </row>
    <row r="232">
      <c r="A232" s="16"/>
      <c r="B232" s="16"/>
      <c r="C232" s="16"/>
      <c r="D232" s="16"/>
      <c r="E232" s="16"/>
    </row>
    <row r="233">
      <c r="A233" s="16"/>
      <c r="B233" s="16"/>
      <c r="C233" s="16"/>
      <c r="D233" s="16"/>
      <c r="E233" s="16"/>
    </row>
    <row r="234">
      <c r="A234" s="16"/>
      <c r="B234" s="16"/>
      <c r="C234" s="16"/>
      <c r="D234" s="16"/>
      <c r="E234" s="16"/>
    </row>
    <row r="235">
      <c r="A235" s="16"/>
      <c r="B235" s="16"/>
      <c r="C235" s="16"/>
      <c r="D235" s="16"/>
      <c r="E235" s="16"/>
    </row>
    <row r="236">
      <c r="A236" s="16"/>
      <c r="B236" s="16"/>
      <c r="C236" s="16"/>
      <c r="D236" s="16"/>
      <c r="E236" s="16"/>
    </row>
    <row r="237">
      <c r="A237" s="16"/>
      <c r="B237" s="16"/>
      <c r="C237" s="16"/>
      <c r="D237" s="16"/>
      <c r="E237" s="16"/>
    </row>
    <row r="238">
      <c r="A238" s="16"/>
      <c r="B238" s="16"/>
      <c r="C238" s="16"/>
      <c r="D238" s="16"/>
      <c r="E238" s="16"/>
    </row>
    <row r="239">
      <c r="A239" s="16"/>
      <c r="B239" s="16"/>
      <c r="C239" s="16"/>
      <c r="D239" s="16"/>
      <c r="E239" s="16"/>
    </row>
    <row r="240">
      <c r="A240" s="16"/>
      <c r="B240" s="16"/>
      <c r="C240" s="16"/>
      <c r="D240" s="16"/>
      <c r="E240" s="16"/>
    </row>
    <row r="241">
      <c r="A241" s="16"/>
      <c r="B241" s="16"/>
      <c r="C241" s="16"/>
      <c r="D241" s="16"/>
      <c r="E241" s="16"/>
    </row>
    <row r="242">
      <c r="A242" s="16"/>
      <c r="B242" s="16"/>
      <c r="C242" s="16"/>
      <c r="D242" s="16"/>
      <c r="E242" s="16"/>
    </row>
    <row r="243">
      <c r="A243" s="16"/>
      <c r="B243" s="16"/>
      <c r="C243" s="16"/>
      <c r="D243" s="16"/>
      <c r="E243" s="16"/>
    </row>
    <row r="244">
      <c r="A244" s="16"/>
      <c r="B244" s="16"/>
      <c r="C244" s="16"/>
      <c r="D244" s="16"/>
      <c r="E244" s="16"/>
    </row>
    <row r="245">
      <c r="A245" s="16"/>
      <c r="B245" s="16"/>
      <c r="C245" s="16"/>
      <c r="D245" s="16"/>
      <c r="E245" s="16"/>
    </row>
    <row r="246">
      <c r="A246" s="16"/>
      <c r="B246" s="16"/>
      <c r="C246" s="16"/>
      <c r="D246" s="16"/>
      <c r="E246" s="16"/>
    </row>
    <row r="247">
      <c r="A247" s="16"/>
      <c r="B247" s="16"/>
      <c r="C247" s="16"/>
      <c r="D247" s="16"/>
      <c r="E247" s="16"/>
    </row>
    <row r="248">
      <c r="A248" s="16"/>
      <c r="B248" s="16"/>
      <c r="C248" s="16"/>
      <c r="D248" s="16"/>
      <c r="E248" s="16"/>
    </row>
    <row r="249">
      <c r="A249" s="16"/>
      <c r="B249" s="16"/>
      <c r="C249" s="16"/>
      <c r="D249" s="16"/>
      <c r="E249" s="16"/>
    </row>
    <row r="250">
      <c r="A250" s="16"/>
      <c r="B250" s="16"/>
      <c r="C250" s="16"/>
      <c r="D250" s="16"/>
      <c r="E250" s="16"/>
    </row>
    <row r="251">
      <c r="A251" s="16"/>
      <c r="B251" s="16"/>
      <c r="C251" s="16"/>
      <c r="D251" s="16"/>
      <c r="E251" s="16"/>
    </row>
    <row r="252">
      <c r="A252" s="16"/>
      <c r="B252" s="16"/>
      <c r="C252" s="16"/>
      <c r="D252" s="16"/>
      <c r="E252" s="16"/>
    </row>
    <row r="253">
      <c r="A253" s="16"/>
      <c r="B253" s="16"/>
      <c r="C253" s="16"/>
      <c r="D253" s="16"/>
      <c r="E253" s="16"/>
    </row>
    <row r="254">
      <c r="A254" s="16"/>
      <c r="B254" s="16"/>
      <c r="C254" s="16"/>
      <c r="D254" s="16"/>
      <c r="E254" s="16"/>
    </row>
    <row r="255">
      <c r="A255" s="16"/>
      <c r="B255" s="16"/>
      <c r="C255" s="16"/>
      <c r="D255" s="16"/>
      <c r="E255" s="16"/>
    </row>
    <row r="256">
      <c r="A256" s="16"/>
      <c r="B256" s="16"/>
      <c r="C256" s="16"/>
      <c r="D256" s="16"/>
      <c r="E256" s="16"/>
    </row>
    <row r="257">
      <c r="A257" s="16"/>
      <c r="B257" s="16"/>
      <c r="C257" s="16"/>
      <c r="D257" s="16"/>
      <c r="E257" s="16"/>
    </row>
    <row r="258">
      <c r="A258" s="16"/>
      <c r="B258" s="16"/>
      <c r="C258" s="16"/>
      <c r="D258" s="16"/>
      <c r="E258" s="16"/>
    </row>
    <row r="259">
      <c r="A259" s="16"/>
      <c r="B259" s="16"/>
      <c r="C259" s="16"/>
      <c r="D259" s="16"/>
      <c r="E259" s="16"/>
    </row>
    <row r="260">
      <c r="A260" s="16"/>
      <c r="B260" s="16"/>
      <c r="C260" s="16"/>
      <c r="D260" s="16"/>
      <c r="E260" s="16"/>
    </row>
    <row r="261">
      <c r="A261" s="16"/>
      <c r="B261" s="16"/>
      <c r="C261" s="16"/>
      <c r="D261" s="16"/>
      <c r="E261" s="16"/>
    </row>
    <row r="262">
      <c r="A262" s="16"/>
      <c r="B262" s="16"/>
      <c r="C262" s="16"/>
      <c r="D262" s="16"/>
      <c r="E262" s="16"/>
    </row>
    <row r="263">
      <c r="A263" s="16"/>
      <c r="B263" s="16"/>
      <c r="C263" s="16"/>
      <c r="D263" s="16"/>
      <c r="E263" s="16"/>
    </row>
    <row r="264">
      <c r="A264" s="16"/>
      <c r="B264" s="16"/>
      <c r="C264" s="16"/>
      <c r="D264" s="16"/>
      <c r="E264" s="16"/>
    </row>
    <row r="265">
      <c r="A265" s="16"/>
      <c r="B265" s="16"/>
      <c r="C265" s="16"/>
      <c r="D265" s="16"/>
      <c r="E265" s="16"/>
    </row>
    <row r="266">
      <c r="A266" s="16"/>
      <c r="B266" s="16"/>
      <c r="C266" s="16"/>
      <c r="D266" s="16"/>
      <c r="E266" s="16"/>
    </row>
    <row r="267">
      <c r="A267" s="16"/>
      <c r="B267" s="16"/>
      <c r="C267" s="16"/>
      <c r="D267" s="16"/>
      <c r="E267" s="16"/>
    </row>
    <row r="268">
      <c r="A268" s="16"/>
      <c r="B268" s="16"/>
      <c r="C268" s="16"/>
      <c r="D268" s="16"/>
      <c r="E268" s="16"/>
    </row>
    <row r="269">
      <c r="A269" s="16"/>
      <c r="B269" s="16"/>
      <c r="C269" s="16"/>
      <c r="D269" s="16"/>
      <c r="E269" s="16"/>
    </row>
    <row r="270">
      <c r="A270" s="16"/>
      <c r="B270" s="16"/>
      <c r="C270" s="16"/>
      <c r="D270" s="16"/>
      <c r="E270" s="16"/>
    </row>
    <row r="271">
      <c r="A271" s="16"/>
      <c r="B271" s="16"/>
      <c r="C271" s="16"/>
      <c r="D271" s="16"/>
      <c r="E271" s="16"/>
    </row>
    <row r="272">
      <c r="A272" s="16"/>
      <c r="B272" s="16"/>
      <c r="C272" s="16"/>
      <c r="D272" s="16"/>
      <c r="E272" s="16"/>
    </row>
    <row r="273">
      <c r="A273" s="16"/>
      <c r="B273" s="16"/>
      <c r="C273" s="16"/>
      <c r="D273" s="16"/>
      <c r="E273" s="16"/>
    </row>
    <row r="274">
      <c r="A274" s="16"/>
      <c r="B274" s="16"/>
      <c r="C274" s="16"/>
      <c r="D274" s="16"/>
      <c r="E274" s="16"/>
    </row>
    <row r="275">
      <c r="A275" s="16"/>
      <c r="B275" s="16"/>
      <c r="C275" s="16"/>
      <c r="D275" s="16"/>
      <c r="E275" s="16"/>
    </row>
    <row r="276">
      <c r="A276" s="16"/>
      <c r="B276" s="16"/>
      <c r="C276" s="16"/>
      <c r="D276" s="16"/>
      <c r="E276" s="16"/>
    </row>
    <row r="277">
      <c r="A277" s="16"/>
      <c r="B277" s="16"/>
      <c r="C277" s="16"/>
      <c r="D277" s="16"/>
      <c r="E277" s="16"/>
    </row>
    <row r="278">
      <c r="A278" s="16"/>
      <c r="B278" s="16"/>
      <c r="C278" s="16"/>
      <c r="D278" s="16"/>
      <c r="E278" s="16"/>
    </row>
    <row r="279">
      <c r="A279" s="16"/>
      <c r="B279" s="16"/>
      <c r="C279" s="16"/>
      <c r="D279" s="16"/>
      <c r="E279" s="16"/>
    </row>
    <row r="280">
      <c r="A280" s="16"/>
      <c r="B280" s="16"/>
      <c r="C280" s="16"/>
      <c r="D280" s="16"/>
      <c r="E280" s="16"/>
    </row>
    <row r="281">
      <c r="A281" s="16"/>
      <c r="B281" s="16"/>
      <c r="C281" s="16"/>
      <c r="D281" s="16"/>
      <c r="E281" s="16"/>
    </row>
    <row r="282">
      <c r="A282" s="16"/>
      <c r="B282" s="16"/>
      <c r="C282" s="16"/>
      <c r="D282" s="16"/>
      <c r="E282" s="16"/>
    </row>
    <row r="283">
      <c r="A283" s="16"/>
      <c r="B283" s="16"/>
      <c r="C283" s="16"/>
      <c r="D283" s="16"/>
      <c r="E283" s="16"/>
    </row>
    <row r="284">
      <c r="A284" s="16"/>
      <c r="B284" s="16"/>
      <c r="C284" s="16"/>
      <c r="D284" s="16"/>
      <c r="E284" s="16"/>
    </row>
    <row r="285">
      <c r="A285" s="16"/>
      <c r="B285" s="16"/>
      <c r="C285" s="16"/>
      <c r="D285" s="16"/>
      <c r="E285" s="16"/>
    </row>
    <row r="286">
      <c r="A286" s="16"/>
      <c r="B286" s="16"/>
      <c r="C286" s="16"/>
      <c r="D286" s="16"/>
      <c r="E286" s="16"/>
    </row>
    <row r="287">
      <c r="A287" s="16"/>
      <c r="B287" s="16"/>
      <c r="C287" s="16"/>
      <c r="D287" s="16"/>
      <c r="E287" s="16"/>
    </row>
    <row r="288">
      <c r="A288" s="16"/>
      <c r="B288" s="16"/>
      <c r="C288" s="16"/>
      <c r="D288" s="16"/>
      <c r="E288" s="16"/>
    </row>
    <row r="289">
      <c r="A289" s="16"/>
      <c r="B289" s="16"/>
      <c r="C289" s="16"/>
      <c r="D289" s="16"/>
      <c r="E289" s="16"/>
    </row>
    <row r="290">
      <c r="A290" s="16"/>
      <c r="B290" s="16"/>
      <c r="C290" s="16"/>
      <c r="D290" s="16"/>
      <c r="E290" s="16"/>
    </row>
    <row r="291">
      <c r="A291" s="16"/>
      <c r="B291" s="16"/>
      <c r="C291" s="16"/>
      <c r="D291" s="16"/>
      <c r="E291" s="16"/>
    </row>
    <row r="292">
      <c r="A292" s="16"/>
      <c r="B292" s="16"/>
      <c r="C292" s="16"/>
      <c r="D292" s="16"/>
      <c r="E292" s="16"/>
    </row>
    <row r="293">
      <c r="A293" s="16"/>
      <c r="B293" s="16"/>
      <c r="C293" s="16"/>
      <c r="D293" s="16"/>
      <c r="E293" s="16"/>
    </row>
    <row r="294">
      <c r="A294" s="16"/>
      <c r="B294" s="16"/>
      <c r="C294" s="16"/>
      <c r="D294" s="16"/>
      <c r="E294" s="16"/>
    </row>
    <row r="295">
      <c r="A295" s="16"/>
      <c r="B295" s="16"/>
      <c r="C295" s="16"/>
      <c r="D295" s="16"/>
      <c r="E295" s="16"/>
    </row>
    <row r="296">
      <c r="A296" s="16"/>
      <c r="B296" s="16"/>
      <c r="C296" s="16"/>
      <c r="D296" s="16"/>
      <c r="E296" s="16"/>
    </row>
    <row r="297">
      <c r="A297" s="16"/>
      <c r="B297" s="16"/>
      <c r="C297" s="16"/>
      <c r="D297" s="16"/>
      <c r="E297" s="16"/>
    </row>
    <row r="298">
      <c r="A298" s="16"/>
      <c r="B298" s="16"/>
      <c r="C298" s="16"/>
      <c r="D298" s="16"/>
      <c r="E298" s="16"/>
    </row>
    <row r="299">
      <c r="A299" s="16"/>
      <c r="B299" s="16"/>
      <c r="C299" s="16"/>
      <c r="D299" s="16"/>
      <c r="E299" s="16"/>
    </row>
    <row r="300">
      <c r="A300" s="16"/>
      <c r="B300" s="16"/>
      <c r="C300" s="16"/>
      <c r="D300" s="16"/>
      <c r="E300" s="16"/>
    </row>
    <row r="301">
      <c r="A301" s="16"/>
      <c r="B301" s="16"/>
      <c r="C301" s="16"/>
      <c r="D301" s="16"/>
      <c r="E301" s="16"/>
    </row>
    <row r="302">
      <c r="A302" s="16"/>
      <c r="B302" s="16"/>
      <c r="C302" s="16"/>
      <c r="D302" s="16"/>
      <c r="E302" s="16"/>
    </row>
    <row r="303">
      <c r="A303" s="16"/>
      <c r="B303" s="16"/>
      <c r="C303" s="16"/>
      <c r="D303" s="16"/>
      <c r="E303" s="16"/>
    </row>
    <row r="304">
      <c r="A304" s="16"/>
      <c r="B304" s="16"/>
      <c r="C304" s="16"/>
      <c r="D304" s="16"/>
      <c r="E304" s="16"/>
    </row>
    <row r="305">
      <c r="A305" s="16"/>
      <c r="B305" s="16"/>
      <c r="C305" s="16"/>
      <c r="D305" s="16"/>
      <c r="E305" s="16"/>
    </row>
    <row r="306">
      <c r="A306" s="16"/>
      <c r="B306" s="16"/>
      <c r="C306" s="16"/>
      <c r="D306" s="16"/>
      <c r="E306" s="16"/>
    </row>
    <row r="307">
      <c r="A307" s="16"/>
      <c r="B307" s="16"/>
      <c r="C307" s="16"/>
      <c r="D307" s="16"/>
      <c r="E307" s="16"/>
    </row>
    <row r="308">
      <c r="A308" s="16"/>
      <c r="B308" s="16"/>
      <c r="C308" s="16"/>
      <c r="D308" s="16"/>
      <c r="E308" s="16"/>
    </row>
    <row r="309">
      <c r="A309" s="16"/>
      <c r="B309" s="16"/>
      <c r="C309" s="16"/>
      <c r="D309" s="16"/>
      <c r="E309" s="16"/>
    </row>
    <row r="310">
      <c r="A310" s="16"/>
      <c r="B310" s="16"/>
      <c r="C310" s="16"/>
      <c r="D310" s="16"/>
      <c r="E310" s="16"/>
    </row>
    <row r="311">
      <c r="A311" s="16"/>
      <c r="B311" s="16"/>
      <c r="C311" s="16"/>
      <c r="D311" s="16"/>
      <c r="E311" s="16"/>
    </row>
    <row r="312">
      <c r="A312" s="16"/>
      <c r="B312" s="16"/>
      <c r="C312" s="16"/>
      <c r="D312" s="16"/>
      <c r="E312" s="16"/>
    </row>
    <row r="313">
      <c r="A313" s="16"/>
      <c r="B313" s="16"/>
      <c r="C313" s="16"/>
      <c r="D313" s="16"/>
      <c r="E313" s="16"/>
    </row>
    <row r="314">
      <c r="A314" s="16"/>
      <c r="B314" s="16"/>
      <c r="C314" s="16"/>
      <c r="D314" s="16"/>
      <c r="E314" s="16"/>
    </row>
    <row r="315">
      <c r="A315" s="16"/>
      <c r="B315" s="16"/>
      <c r="C315" s="16"/>
      <c r="D315" s="16"/>
      <c r="E315" s="16"/>
    </row>
    <row r="316">
      <c r="A316" s="16"/>
      <c r="B316" s="16"/>
      <c r="C316" s="16"/>
      <c r="D316" s="16"/>
      <c r="E316" s="16"/>
    </row>
    <row r="317">
      <c r="A317" s="16"/>
      <c r="B317" s="16"/>
      <c r="C317" s="16"/>
      <c r="D317" s="16"/>
      <c r="E317" s="16"/>
    </row>
    <row r="318">
      <c r="A318" s="16"/>
      <c r="B318" s="16"/>
      <c r="C318" s="16"/>
      <c r="D318" s="16"/>
      <c r="E318" s="16"/>
    </row>
    <row r="319">
      <c r="A319" s="16"/>
      <c r="B319" s="16"/>
      <c r="C319" s="16"/>
      <c r="D319" s="16"/>
      <c r="E319" s="16"/>
    </row>
    <row r="320">
      <c r="A320" s="16"/>
      <c r="B320" s="16"/>
      <c r="C320" s="16"/>
      <c r="D320" s="16"/>
      <c r="E320" s="16"/>
    </row>
    <row r="321">
      <c r="A321" s="16"/>
      <c r="B321" s="16"/>
      <c r="C321" s="16"/>
      <c r="D321" s="16"/>
      <c r="E321" s="16"/>
    </row>
    <row r="322">
      <c r="A322" s="16"/>
      <c r="B322" s="16"/>
      <c r="C322" s="16"/>
      <c r="D322" s="16"/>
      <c r="E322" s="16"/>
    </row>
    <row r="323">
      <c r="A323" s="16"/>
      <c r="B323" s="16"/>
      <c r="C323" s="16"/>
      <c r="D323" s="16"/>
      <c r="E323" s="16"/>
    </row>
    <row r="324">
      <c r="A324" s="16"/>
      <c r="B324" s="16"/>
      <c r="C324" s="16"/>
      <c r="D324" s="16"/>
      <c r="E324" s="16"/>
    </row>
    <row r="325">
      <c r="A325" s="16"/>
      <c r="B325" s="16"/>
      <c r="C325" s="16"/>
      <c r="D325" s="16"/>
      <c r="E325" s="16"/>
    </row>
    <row r="326">
      <c r="A326" s="16"/>
      <c r="B326" s="16"/>
      <c r="C326" s="16"/>
      <c r="D326" s="16"/>
      <c r="E326" s="16"/>
    </row>
    <row r="327">
      <c r="A327" s="16"/>
      <c r="B327" s="16"/>
      <c r="C327" s="16"/>
      <c r="D327" s="16"/>
      <c r="E327" s="16"/>
    </row>
    <row r="328">
      <c r="A328" s="16"/>
      <c r="B328" s="16"/>
      <c r="C328" s="16"/>
      <c r="D328" s="16"/>
      <c r="E328" s="16"/>
    </row>
    <row r="329">
      <c r="A329" s="16"/>
      <c r="B329" s="16"/>
      <c r="C329" s="16"/>
      <c r="D329" s="16"/>
      <c r="E329" s="16"/>
    </row>
    <row r="330">
      <c r="A330" s="16"/>
      <c r="B330" s="16"/>
      <c r="C330" s="16"/>
      <c r="D330" s="16"/>
      <c r="E330" s="16"/>
    </row>
    <row r="331">
      <c r="A331" s="16"/>
      <c r="B331" s="16"/>
      <c r="C331" s="16"/>
      <c r="D331" s="16"/>
      <c r="E331" s="16"/>
    </row>
    <row r="332">
      <c r="A332" s="16"/>
      <c r="B332" s="16"/>
      <c r="C332" s="16"/>
      <c r="D332" s="16"/>
      <c r="E332" s="16"/>
    </row>
    <row r="333">
      <c r="A333" s="16"/>
      <c r="B333" s="16"/>
      <c r="C333" s="16"/>
      <c r="D333" s="16"/>
      <c r="E333" s="16"/>
    </row>
    <row r="334">
      <c r="A334" s="16"/>
      <c r="B334" s="16"/>
      <c r="C334" s="16"/>
      <c r="D334" s="16"/>
      <c r="E334" s="16"/>
    </row>
    <row r="335">
      <c r="A335" s="16"/>
      <c r="B335" s="16"/>
      <c r="C335" s="16"/>
      <c r="D335" s="16"/>
      <c r="E335" s="16"/>
    </row>
    <row r="336">
      <c r="A336" s="16"/>
      <c r="B336" s="16"/>
      <c r="C336" s="16"/>
      <c r="D336" s="16"/>
      <c r="E336" s="16"/>
    </row>
    <row r="337">
      <c r="A337" s="16"/>
      <c r="B337" s="16"/>
      <c r="C337" s="16"/>
      <c r="D337" s="16"/>
      <c r="E337" s="16"/>
    </row>
    <row r="338">
      <c r="A338" s="16"/>
      <c r="B338" s="16"/>
      <c r="C338" s="16"/>
      <c r="D338" s="16"/>
      <c r="E338" s="16"/>
    </row>
    <row r="339">
      <c r="A339" s="16"/>
      <c r="B339" s="16"/>
      <c r="C339" s="16"/>
      <c r="D339" s="16"/>
      <c r="E339" s="16"/>
    </row>
    <row r="340">
      <c r="A340" s="16"/>
      <c r="B340" s="16"/>
      <c r="C340" s="16"/>
      <c r="D340" s="16"/>
      <c r="E340" s="16"/>
    </row>
    <row r="341">
      <c r="A341" s="16"/>
      <c r="B341" s="16"/>
      <c r="C341" s="16"/>
      <c r="D341" s="16"/>
      <c r="E341" s="16"/>
    </row>
    <row r="342">
      <c r="A342" s="16"/>
      <c r="B342" s="16"/>
      <c r="C342" s="16"/>
      <c r="D342" s="16"/>
      <c r="E342" s="16"/>
    </row>
    <row r="343">
      <c r="A343" s="16"/>
      <c r="B343" s="16"/>
      <c r="C343" s="16"/>
      <c r="D343" s="16"/>
      <c r="E343" s="16"/>
    </row>
    <row r="344">
      <c r="A344" s="16"/>
      <c r="B344" s="16"/>
      <c r="C344" s="16"/>
      <c r="D344" s="16"/>
      <c r="E344" s="16"/>
    </row>
    <row r="345">
      <c r="A345" s="16"/>
      <c r="B345" s="16"/>
      <c r="C345" s="16"/>
      <c r="D345" s="16"/>
      <c r="E345" s="16"/>
    </row>
    <row r="346">
      <c r="A346" s="16"/>
      <c r="B346" s="16"/>
      <c r="C346" s="16"/>
      <c r="D346" s="16"/>
      <c r="E346" s="16"/>
    </row>
    <row r="347">
      <c r="A347" s="16"/>
      <c r="B347" s="16"/>
      <c r="C347" s="16"/>
      <c r="D347" s="16"/>
      <c r="E347" s="16"/>
    </row>
    <row r="348">
      <c r="A348" s="16"/>
      <c r="B348" s="16"/>
      <c r="C348" s="16"/>
      <c r="D348" s="16"/>
      <c r="E348" s="16"/>
    </row>
    <row r="349">
      <c r="A349" s="16"/>
      <c r="B349" s="16"/>
      <c r="C349" s="16"/>
      <c r="D349" s="16"/>
      <c r="E349" s="16"/>
    </row>
    <row r="350">
      <c r="A350" s="16"/>
      <c r="B350" s="16"/>
      <c r="C350" s="16"/>
      <c r="D350" s="16"/>
      <c r="E350" s="16"/>
    </row>
    <row r="351">
      <c r="A351" s="16"/>
      <c r="B351" s="16"/>
      <c r="C351" s="16"/>
      <c r="D351" s="16"/>
      <c r="E351" s="16"/>
    </row>
    <row r="352">
      <c r="A352" s="16"/>
      <c r="B352" s="16"/>
      <c r="C352" s="16"/>
      <c r="D352" s="16"/>
      <c r="E352" s="16"/>
    </row>
    <row r="353">
      <c r="A353" s="16"/>
      <c r="B353" s="16"/>
      <c r="C353" s="16"/>
      <c r="D353" s="16"/>
      <c r="E353" s="16"/>
    </row>
    <row r="354">
      <c r="A354" s="16"/>
      <c r="B354" s="16"/>
      <c r="C354" s="16"/>
      <c r="D354" s="16"/>
      <c r="E354" s="16"/>
    </row>
    <row r="355">
      <c r="A355" s="16"/>
      <c r="B355" s="16"/>
      <c r="C355" s="16"/>
      <c r="D355" s="16"/>
      <c r="E355" s="16"/>
    </row>
    <row r="356">
      <c r="A356" s="16"/>
      <c r="B356" s="16"/>
      <c r="C356" s="16"/>
      <c r="D356" s="16"/>
      <c r="E356" s="16"/>
    </row>
    <row r="357">
      <c r="A357" s="16"/>
      <c r="B357" s="16"/>
      <c r="C357" s="16"/>
      <c r="D357" s="16"/>
      <c r="E357" s="16"/>
    </row>
    <row r="358">
      <c r="A358" s="16"/>
      <c r="B358" s="16"/>
      <c r="C358" s="16"/>
      <c r="D358" s="16"/>
      <c r="E358" s="16"/>
    </row>
    <row r="359">
      <c r="A359" s="16"/>
      <c r="B359" s="16"/>
      <c r="C359" s="16"/>
      <c r="D359" s="16"/>
      <c r="E359" s="16"/>
    </row>
    <row r="360">
      <c r="A360" s="16"/>
      <c r="B360" s="16"/>
      <c r="C360" s="16"/>
      <c r="D360" s="16"/>
      <c r="E360" s="16"/>
    </row>
    <row r="361">
      <c r="A361" s="16"/>
      <c r="B361" s="16"/>
      <c r="C361" s="16"/>
      <c r="D361" s="16"/>
      <c r="E361" s="16"/>
    </row>
    <row r="362">
      <c r="A362" s="16"/>
      <c r="B362" s="16"/>
      <c r="C362" s="16"/>
      <c r="D362" s="16"/>
      <c r="E362" s="16"/>
    </row>
    <row r="363">
      <c r="A363" s="16"/>
      <c r="B363" s="16"/>
      <c r="C363" s="16"/>
      <c r="D363" s="16"/>
      <c r="E363" s="16"/>
    </row>
    <row r="364">
      <c r="A364" s="16"/>
      <c r="B364" s="16"/>
      <c r="C364" s="16"/>
      <c r="D364" s="16"/>
      <c r="E364" s="16"/>
    </row>
    <row r="365">
      <c r="A365" s="16"/>
      <c r="B365" s="16"/>
      <c r="C365" s="16"/>
      <c r="D365" s="16"/>
      <c r="E365" s="16"/>
    </row>
    <row r="366">
      <c r="A366" s="16"/>
      <c r="B366" s="16"/>
      <c r="C366" s="16"/>
      <c r="D366" s="16"/>
      <c r="E366" s="16"/>
    </row>
    <row r="367">
      <c r="A367" s="16"/>
      <c r="B367" s="16"/>
      <c r="C367" s="16"/>
      <c r="D367" s="16"/>
      <c r="E367" s="16"/>
    </row>
    <row r="368">
      <c r="A368" s="16"/>
      <c r="B368" s="16"/>
      <c r="C368" s="16"/>
      <c r="D368" s="16"/>
      <c r="E368" s="16"/>
    </row>
    <row r="369">
      <c r="A369" s="16"/>
      <c r="B369" s="16"/>
      <c r="C369" s="16"/>
      <c r="D369" s="16"/>
      <c r="E369" s="16"/>
    </row>
    <row r="370">
      <c r="A370" s="16"/>
      <c r="B370" s="16"/>
      <c r="C370" s="16"/>
      <c r="D370" s="16"/>
      <c r="E370" s="16"/>
    </row>
    <row r="371">
      <c r="A371" s="16"/>
      <c r="B371" s="16"/>
      <c r="C371" s="16"/>
      <c r="D371" s="16"/>
      <c r="E371" s="16"/>
    </row>
    <row r="372">
      <c r="A372" s="16"/>
      <c r="B372" s="16"/>
      <c r="C372" s="16"/>
      <c r="D372" s="16"/>
      <c r="E372" s="16"/>
    </row>
    <row r="373">
      <c r="A373" s="16"/>
      <c r="B373" s="16"/>
      <c r="C373" s="16"/>
      <c r="D373" s="16"/>
      <c r="E373" s="16"/>
    </row>
    <row r="374">
      <c r="A374" s="16"/>
      <c r="B374" s="16"/>
      <c r="C374" s="16"/>
      <c r="D374" s="16"/>
      <c r="E374" s="16"/>
    </row>
    <row r="375">
      <c r="A375" s="16"/>
      <c r="B375" s="16"/>
      <c r="C375" s="16"/>
      <c r="D375" s="16"/>
      <c r="E375" s="16"/>
    </row>
    <row r="376">
      <c r="A376" s="16"/>
      <c r="B376" s="16"/>
      <c r="C376" s="16"/>
      <c r="D376" s="16"/>
      <c r="E376" s="16"/>
    </row>
    <row r="377">
      <c r="A377" s="16"/>
      <c r="B377" s="16"/>
      <c r="C377" s="16"/>
      <c r="D377" s="16"/>
      <c r="E377" s="16"/>
    </row>
    <row r="378">
      <c r="A378" s="16"/>
      <c r="B378" s="16"/>
      <c r="C378" s="16"/>
      <c r="D378" s="16"/>
      <c r="E378" s="16"/>
    </row>
    <row r="379">
      <c r="A379" s="16"/>
      <c r="B379" s="16"/>
      <c r="C379" s="16"/>
      <c r="D379" s="16"/>
      <c r="E379" s="16"/>
    </row>
    <row r="380">
      <c r="A380" s="16"/>
      <c r="B380" s="16"/>
      <c r="C380" s="16"/>
      <c r="D380" s="16"/>
      <c r="E380" s="16"/>
    </row>
    <row r="381">
      <c r="A381" s="16"/>
      <c r="B381" s="16"/>
      <c r="C381" s="16"/>
      <c r="D381" s="16"/>
      <c r="E381" s="16"/>
    </row>
    <row r="382">
      <c r="A382" s="16"/>
      <c r="B382" s="16"/>
      <c r="C382" s="16"/>
      <c r="D382" s="16"/>
      <c r="E382" s="16"/>
    </row>
    <row r="383">
      <c r="A383" s="16"/>
      <c r="B383" s="16"/>
      <c r="C383" s="16"/>
      <c r="D383" s="16"/>
      <c r="E383" s="16"/>
    </row>
    <row r="384">
      <c r="A384" s="16"/>
      <c r="B384" s="16"/>
      <c r="C384" s="16"/>
      <c r="D384" s="16"/>
      <c r="E384" s="16"/>
    </row>
    <row r="385">
      <c r="A385" s="16"/>
      <c r="B385" s="16"/>
      <c r="C385" s="16"/>
      <c r="D385" s="16"/>
      <c r="E385" s="16"/>
    </row>
    <row r="386">
      <c r="A386" s="16"/>
      <c r="B386" s="16"/>
      <c r="C386" s="16"/>
      <c r="D386" s="16"/>
      <c r="E386" s="16"/>
    </row>
    <row r="387">
      <c r="A387" s="16"/>
      <c r="B387" s="16"/>
      <c r="C387" s="16"/>
      <c r="D387" s="16"/>
      <c r="E387" s="16"/>
    </row>
    <row r="388">
      <c r="A388" s="16"/>
      <c r="B388" s="16"/>
      <c r="C388" s="16"/>
      <c r="D388" s="16"/>
      <c r="E388" s="16"/>
    </row>
    <row r="389">
      <c r="A389" s="16"/>
      <c r="B389" s="16"/>
      <c r="C389" s="16"/>
      <c r="D389" s="16"/>
      <c r="E389" s="16"/>
    </row>
    <row r="390">
      <c r="A390" s="16"/>
      <c r="B390" s="16"/>
      <c r="C390" s="16"/>
      <c r="D390" s="16"/>
      <c r="E390" s="16"/>
    </row>
    <row r="391">
      <c r="A391" s="16"/>
      <c r="B391" s="16"/>
      <c r="C391" s="16"/>
      <c r="D391" s="16"/>
      <c r="E391" s="16"/>
    </row>
    <row r="392">
      <c r="A392" s="16"/>
      <c r="B392" s="16"/>
      <c r="C392" s="16"/>
      <c r="D392" s="16"/>
      <c r="E392" s="16"/>
    </row>
    <row r="393">
      <c r="A393" s="16"/>
      <c r="B393" s="16"/>
      <c r="C393" s="16"/>
      <c r="D393" s="16"/>
      <c r="E393" s="16"/>
    </row>
    <row r="394">
      <c r="A394" s="16"/>
      <c r="B394" s="16"/>
      <c r="C394" s="16"/>
      <c r="D394" s="16"/>
      <c r="E394" s="16"/>
    </row>
    <row r="395">
      <c r="A395" s="16"/>
      <c r="B395" s="16"/>
      <c r="C395" s="16"/>
      <c r="D395" s="16"/>
      <c r="E395" s="16"/>
    </row>
    <row r="396">
      <c r="A396" s="16"/>
      <c r="B396" s="16"/>
      <c r="C396" s="16"/>
      <c r="D396" s="16"/>
      <c r="E396" s="16"/>
    </row>
    <row r="397">
      <c r="A397" s="16"/>
      <c r="B397" s="16"/>
      <c r="C397" s="16"/>
      <c r="D397" s="16"/>
      <c r="E397" s="16"/>
    </row>
    <row r="398">
      <c r="A398" s="16"/>
      <c r="B398" s="16"/>
      <c r="C398" s="16"/>
      <c r="D398" s="16"/>
      <c r="E398" s="16"/>
    </row>
    <row r="399">
      <c r="A399" s="16"/>
      <c r="B399" s="16"/>
      <c r="C399" s="16"/>
      <c r="D399" s="16"/>
      <c r="E399" s="16"/>
    </row>
    <row r="400">
      <c r="A400" s="16"/>
      <c r="B400" s="16"/>
      <c r="C400" s="16"/>
      <c r="D400" s="16"/>
      <c r="E400" s="16"/>
    </row>
    <row r="401">
      <c r="A401" s="16"/>
      <c r="B401" s="16"/>
      <c r="C401" s="16"/>
      <c r="D401" s="16"/>
      <c r="E401" s="16"/>
    </row>
    <row r="402">
      <c r="A402" s="16"/>
      <c r="B402" s="16"/>
      <c r="C402" s="16"/>
      <c r="D402" s="16"/>
      <c r="E402" s="16"/>
    </row>
    <row r="403">
      <c r="A403" s="16"/>
      <c r="B403" s="16"/>
      <c r="C403" s="16"/>
      <c r="D403" s="16"/>
      <c r="E403" s="16"/>
    </row>
    <row r="404">
      <c r="A404" s="16"/>
      <c r="B404" s="16"/>
      <c r="C404" s="16"/>
      <c r="D404" s="16"/>
      <c r="E404" s="16"/>
    </row>
    <row r="405">
      <c r="A405" s="16"/>
      <c r="B405" s="16"/>
      <c r="C405" s="16"/>
      <c r="D405" s="16"/>
      <c r="E405" s="16"/>
    </row>
    <row r="406">
      <c r="A406" s="16"/>
      <c r="B406" s="16"/>
      <c r="C406" s="16"/>
      <c r="D406" s="16"/>
      <c r="E406" s="16"/>
    </row>
    <row r="407">
      <c r="A407" s="16"/>
      <c r="B407" s="16"/>
      <c r="C407" s="16"/>
      <c r="D407" s="16"/>
      <c r="E407" s="16"/>
    </row>
    <row r="408">
      <c r="A408" s="16"/>
      <c r="B408" s="16"/>
      <c r="C408" s="16"/>
      <c r="D408" s="16"/>
      <c r="E408" s="16"/>
    </row>
    <row r="409">
      <c r="A409" s="16"/>
      <c r="B409" s="16"/>
      <c r="C409" s="16"/>
      <c r="D409" s="16"/>
      <c r="E409" s="16"/>
    </row>
    <row r="410">
      <c r="A410" s="16"/>
      <c r="B410" s="16"/>
      <c r="C410" s="16"/>
      <c r="D410" s="16"/>
      <c r="E410" s="16"/>
    </row>
    <row r="411">
      <c r="A411" s="16"/>
      <c r="B411" s="16"/>
      <c r="C411" s="16"/>
      <c r="D411" s="16"/>
      <c r="E411" s="16"/>
    </row>
    <row r="412">
      <c r="A412" s="16"/>
      <c r="B412" s="16"/>
      <c r="C412" s="16"/>
      <c r="D412" s="16"/>
      <c r="E412" s="16"/>
    </row>
    <row r="413">
      <c r="A413" s="16"/>
      <c r="B413" s="16"/>
      <c r="C413" s="16"/>
      <c r="D413" s="16"/>
      <c r="E413" s="16"/>
    </row>
    <row r="414">
      <c r="A414" s="16"/>
      <c r="B414" s="16"/>
      <c r="C414" s="16"/>
      <c r="D414" s="16"/>
      <c r="E414" s="16"/>
    </row>
    <row r="415">
      <c r="A415" s="16"/>
      <c r="B415" s="16"/>
      <c r="C415" s="16"/>
      <c r="D415" s="16"/>
      <c r="E415" s="16"/>
    </row>
    <row r="416">
      <c r="A416" s="16"/>
      <c r="B416" s="16"/>
      <c r="C416" s="16"/>
      <c r="D416" s="16"/>
      <c r="E416" s="16"/>
    </row>
    <row r="417">
      <c r="A417" s="16"/>
      <c r="B417" s="16"/>
      <c r="C417" s="16"/>
      <c r="D417" s="16"/>
      <c r="E417" s="16"/>
    </row>
    <row r="418">
      <c r="A418" s="16"/>
      <c r="B418" s="16"/>
      <c r="C418" s="16"/>
      <c r="D418" s="16"/>
      <c r="E418" s="16"/>
    </row>
    <row r="419">
      <c r="A419" s="16"/>
      <c r="B419" s="16"/>
      <c r="C419" s="16"/>
      <c r="D419" s="16"/>
      <c r="E419" s="16"/>
    </row>
    <row r="420">
      <c r="A420" s="16"/>
      <c r="B420" s="16"/>
      <c r="C420" s="16"/>
      <c r="D420" s="16"/>
      <c r="E420" s="16"/>
    </row>
    <row r="421">
      <c r="A421" s="16"/>
      <c r="B421" s="16"/>
      <c r="C421" s="16"/>
      <c r="D421" s="16"/>
      <c r="E421" s="16"/>
    </row>
    <row r="422">
      <c r="A422" s="16"/>
      <c r="B422" s="16"/>
      <c r="C422" s="16"/>
      <c r="D422" s="16"/>
      <c r="E422" s="16"/>
    </row>
    <row r="423">
      <c r="A423" s="16"/>
      <c r="B423" s="16"/>
      <c r="C423" s="16"/>
      <c r="D423" s="16"/>
      <c r="E423" s="16"/>
    </row>
    <row r="424">
      <c r="A424" s="16"/>
      <c r="B424" s="16"/>
      <c r="C424" s="16"/>
      <c r="D424" s="16"/>
      <c r="E424" s="16"/>
    </row>
    <row r="425">
      <c r="A425" s="16"/>
      <c r="B425" s="16"/>
      <c r="C425" s="16"/>
      <c r="D425" s="16"/>
      <c r="E425" s="16"/>
    </row>
    <row r="426">
      <c r="A426" s="16"/>
      <c r="B426" s="16"/>
      <c r="C426" s="16"/>
      <c r="D426" s="16"/>
      <c r="E426" s="16"/>
    </row>
    <row r="427">
      <c r="A427" s="16"/>
      <c r="B427" s="16"/>
      <c r="C427" s="16"/>
      <c r="D427" s="16"/>
      <c r="E427" s="16"/>
    </row>
    <row r="428">
      <c r="A428" s="16"/>
      <c r="B428" s="16"/>
      <c r="C428" s="16"/>
      <c r="D428" s="16"/>
      <c r="E428" s="16"/>
    </row>
    <row r="429">
      <c r="A429" s="16"/>
      <c r="B429" s="16"/>
      <c r="C429" s="16"/>
      <c r="D429" s="16"/>
      <c r="E429" s="16"/>
    </row>
    <row r="430">
      <c r="A430" s="16"/>
      <c r="B430" s="16"/>
      <c r="C430" s="16"/>
      <c r="D430" s="16"/>
      <c r="E430" s="16"/>
    </row>
    <row r="431">
      <c r="A431" s="16"/>
      <c r="B431" s="16"/>
      <c r="C431" s="16"/>
      <c r="D431" s="16"/>
      <c r="E431" s="16"/>
    </row>
    <row r="432">
      <c r="A432" s="16"/>
      <c r="B432" s="16"/>
      <c r="C432" s="16"/>
      <c r="D432" s="16"/>
      <c r="E432" s="16"/>
    </row>
    <row r="433">
      <c r="A433" s="16"/>
      <c r="B433" s="16"/>
      <c r="C433" s="16"/>
      <c r="D433" s="16"/>
      <c r="E433" s="16"/>
    </row>
    <row r="434">
      <c r="A434" s="16"/>
      <c r="B434" s="16"/>
      <c r="C434" s="16"/>
      <c r="D434" s="16"/>
      <c r="E434" s="16"/>
    </row>
    <row r="435">
      <c r="A435" s="16"/>
      <c r="B435" s="16"/>
      <c r="C435" s="16"/>
      <c r="D435" s="16"/>
      <c r="E435" s="16"/>
    </row>
    <row r="436">
      <c r="A436" s="16"/>
      <c r="B436" s="16"/>
      <c r="C436" s="16"/>
      <c r="D436" s="16"/>
      <c r="E436" s="16"/>
    </row>
    <row r="437">
      <c r="A437" s="16"/>
      <c r="B437" s="16"/>
      <c r="C437" s="16"/>
      <c r="D437" s="16"/>
      <c r="E437" s="16"/>
    </row>
    <row r="438">
      <c r="A438" s="16"/>
      <c r="B438" s="16"/>
      <c r="C438" s="16"/>
      <c r="D438" s="16"/>
      <c r="E438" s="16"/>
    </row>
    <row r="439">
      <c r="A439" s="16"/>
      <c r="B439" s="16"/>
      <c r="C439" s="16"/>
      <c r="D439" s="16"/>
      <c r="E439" s="16"/>
    </row>
    <row r="440">
      <c r="A440" s="16"/>
      <c r="B440" s="16"/>
      <c r="C440" s="16"/>
      <c r="D440" s="16"/>
      <c r="E440" s="16"/>
    </row>
    <row r="441">
      <c r="A441" s="16"/>
      <c r="B441" s="16"/>
      <c r="C441" s="16"/>
      <c r="D441" s="16"/>
      <c r="E441" s="16"/>
    </row>
    <row r="442">
      <c r="A442" s="16"/>
      <c r="B442" s="16"/>
      <c r="C442" s="16"/>
      <c r="D442" s="16"/>
      <c r="E442" s="16"/>
    </row>
    <row r="443">
      <c r="A443" s="16"/>
      <c r="B443" s="16"/>
      <c r="C443" s="16"/>
      <c r="D443" s="16"/>
      <c r="E443" s="16"/>
    </row>
    <row r="444">
      <c r="A444" s="16"/>
      <c r="B444" s="16"/>
      <c r="C444" s="16"/>
      <c r="D444" s="16"/>
      <c r="E444" s="16"/>
    </row>
    <row r="445">
      <c r="A445" s="16"/>
      <c r="B445" s="16"/>
      <c r="C445" s="16"/>
      <c r="D445" s="16"/>
      <c r="E445" s="16"/>
    </row>
    <row r="446">
      <c r="A446" s="16"/>
      <c r="B446" s="16"/>
      <c r="C446" s="16"/>
      <c r="D446" s="16"/>
      <c r="E446" s="16"/>
    </row>
    <row r="447">
      <c r="A447" s="16"/>
      <c r="B447" s="16"/>
      <c r="C447" s="16"/>
      <c r="D447" s="16"/>
      <c r="E447" s="16"/>
    </row>
    <row r="448">
      <c r="A448" s="16"/>
      <c r="B448" s="16"/>
      <c r="C448" s="16"/>
      <c r="D448" s="16"/>
      <c r="E448" s="16"/>
    </row>
    <row r="449">
      <c r="A449" s="16"/>
      <c r="B449" s="16"/>
      <c r="C449" s="16"/>
      <c r="D449" s="16"/>
      <c r="E449" s="16"/>
    </row>
    <row r="450">
      <c r="A450" s="16"/>
      <c r="B450" s="16"/>
      <c r="C450" s="16"/>
      <c r="D450" s="16"/>
      <c r="E450" s="16"/>
    </row>
    <row r="451">
      <c r="A451" s="16"/>
      <c r="B451" s="16"/>
      <c r="C451" s="16"/>
      <c r="D451" s="16"/>
      <c r="E451" s="16"/>
    </row>
    <row r="452">
      <c r="A452" s="16"/>
      <c r="B452" s="16"/>
      <c r="C452" s="16"/>
      <c r="D452" s="16"/>
      <c r="E452" s="16"/>
    </row>
    <row r="453">
      <c r="A453" s="16"/>
      <c r="B453" s="16"/>
      <c r="C453" s="16"/>
      <c r="D453" s="16"/>
      <c r="E453" s="16"/>
    </row>
    <row r="454">
      <c r="A454" s="16"/>
      <c r="B454" s="16"/>
      <c r="C454" s="16"/>
      <c r="D454" s="16"/>
      <c r="E454" s="16"/>
    </row>
    <row r="455">
      <c r="A455" s="16"/>
      <c r="B455" s="16"/>
      <c r="C455" s="16"/>
      <c r="D455" s="16"/>
      <c r="E455" s="16"/>
    </row>
    <row r="456">
      <c r="A456" s="16"/>
      <c r="B456" s="16"/>
      <c r="C456" s="16"/>
      <c r="D456" s="16"/>
      <c r="E456" s="16"/>
    </row>
    <row r="457">
      <c r="A457" s="16"/>
      <c r="B457" s="16"/>
      <c r="C457" s="16"/>
      <c r="D457" s="16"/>
      <c r="E457" s="16"/>
    </row>
    <row r="458">
      <c r="A458" s="16"/>
      <c r="B458" s="16"/>
      <c r="C458" s="16"/>
      <c r="D458" s="16"/>
      <c r="E458" s="16"/>
    </row>
    <row r="459">
      <c r="A459" s="16"/>
      <c r="B459" s="16"/>
      <c r="C459" s="16"/>
      <c r="D459" s="16"/>
      <c r="E459" s="16"/>
    </row>
    <row r="460">
      <c r="A460" s="16"/>
      <c r="B460" s="16"/>
      <c r="C460" s="16"/>
      <c r="D460" s="16"/>
      <c r="E460" s="16"/>
    </row>
    <row r="461">
      <c r="A461" s="16"/>
      <c r="B461" s="16"/>
      <c r="C461" s="16"/>
      <c r="D461" s="16"/>
      <c r="E461" s="16"/>
    </row>
    <row r="462">
      <c r="A462" s="16"/>
      <c r="B462" s="16"/>
      <c r="C462" s="16"/>
      <c r="D462" s="16"/>
      <c r="E462" s="16"/>
    </row>
    <row r="463">
      <c r="A463" s="16"/>
      <c r="B463" s="16"/>
      <c r="C463" s="16"/>
      <c r="D463" s="16"/>
      <c r="E463" s="16"/>
    </row>
    <row r="464">
      <c r="A464" s="16"/>
      <c r="B464" s="16"/>
      <c r="C464" s="16"/>
      <c r="D464" s="16"/>
      <c r="E464" s="16"/>
    </row>
    <row r="465">
      <c r="A465" s="16"/>
      <c r="B465" s="16"/>
      <c r="C465" s="16"/>
      <c r="D465" s="16"/>
      <c r="E465" s="16"/>
    </row>
    <row r="466">
      <c r="A466" s="16"/>
      <c r="B466" s="16"/>
      <c r="C466" s="16"/>
      <c r="D466" s="16"/>
      <c r="E466" s="16"/>
    </row>
    <row r="467">
      <c r="A467" s="16"/>
      <c r="B467" s="16"/>
      <c r="C467" s="16"/>
      <c r="D467" s="16"/>
      <c r="E467" s="16"/>
    </row>
    <row r="468">
      <c r="A468" s="16"/>
      <c r="B468" s="16"/>
      <c r="C468" s="16"/>
      <c r="D468" s="16"/>
      <c r="E468" s="16"/>
    </row>
    <row r="469">
      <c r="A469" s="16"/>
      <c r="B469" s="16"/>
      <c r="C469" s="16"/>
      <c r="D469" s="16"/>
      <c r="E469" s="16"/>
    </row>
    <row r="470">
      <c r="A470" s="16"/>
      <c r="B470" s="16"/>
      <c r="C470" s="16"/>
      <c r="D470" s="16"/>
      <c r="E470" s="16"/>
    </row>
    <row r="471">
      <c r="A471" s="16"/>
      <c r="B471" s="16"/>
      <c r="C471" s="16"/>
      <c r="D471" s="16"/>
      <c r="E471" s="16"/>
    </row>
    <row r="472">
      <c r="A472" s="16"/>
      <c r="B472" s="16"/>
      <c r="C472" s="16"/>
      <c r="D472" s="16"/>
      <c r="E472" s="16"/>
    </row>
    <row r="473">
      <c r="A473" s="16"/>
      <c r="B473" s="16"/>
      <c r="C473" s="16"/>
      <c r="D473" s="16"/>
      <c r="E473" s="16"/>
    </row>
    <row r="474">
      <c r="A474" s="16"/>
      <c r="B474" s="16"/>
      <c r="C474" s="16"/>
      <c r="D474" s="16"/>
      <c r="E474" s="16"/>
    </row>
    <row r="475">
      <c r="A475" s="16"/>
      <c r="B475" s="16"/>
      <c r="C475" s="16"/>
      <c r="D475" s="16"/>
      <c r="E475" s="16"/>
    </row>
    <row r="476">
      <c r="A476" s="16"/>
      <c r="B476" s="16"/>
      <c r="C476" s="16"/>
      <c r="D476" s="16"/>
      <c r="E476" s="16"/>
    </row>
    <row r="477">
      <c r="A477" s="16"/>
      <c r="B477" s="16"/>
      <c r="C477" s="16"/>
      <c r="D477" s="16"/>
      <c r="E477" s="16"/>
    </row>
    <row r="478">
      <c r="A478" s="16"/>
      <c r="B478" s="16"/>
      <c r="C478" s="16"/>
      <c r="D478" s="16"/>
      <c r="E478" s="16"/>
    </row>
    <row r="479">
      <c r="A479" s="16"/>
      <c r="B479" s="16"/>
      <c r="C479" s="16"/>
      <c r="D479" s="16"/>
      <c r="E479" s="16"/>
    </row>
    <row r="480">
      <c r="A480" s="16"/>
      <c r="B480" s="16"/>
      <c r="C480" s="16"/>
      <c r="D480" s="16"/>
      <c r="E480" s="16"/>
    </row>
    <row r="481">
      <c r="A481" s="16"/>
      <c r="B481" s="16"/>
      <c r="C481" s="16"/>
      <c r="D481" s="16"/>
      <c r="E481" s="16"/>
    </row>
    <row r="482">
      <c r="A482" s="16"/>
      <c r="B482" s="16"/>
      <c r="C482" s="16"/>
      <c r="D482" s="16"/>
      <c r="E482" s="16"/>
    </row>
    <row r="483">
      <c r="A483" s="16"/>
      <c r="B483" s="16"/>
      <c r="C483" s="16"/>
      <c r="D483" s="16"/>
      <c r="E483" s="16"/>
    </row>
    <row r="484">
      <c r="A484" s="16"/>
      <c r="B484" s="16"/>
      <c r="C484" s="16"/>
      <c r="D484" s="16"/>
      <c r="E484" s="16"/>
    </row>
    <row r="485">
      <c r="A485" s="16"/>
      <c r="B485" s="16"/>
      <c r="C485" s="16"/>
      <c r="D485" s="16"/>
      <c r="E485" s="16"/>
    </row>
    <row r="486">
      <c r="A486" s="16"/>
      <c r="B486" s="16"/>
      <c r="C486" s="16"/>
      <c r="D486" s="16"/>
      <c r="E486" s="16"/>
    </row>
    <row r="487">
      <c r="A487" s="16"/>
      <c r="B487" s="16"/>
      <c r="C487" s="16"/>
      <c r="D487" s="16"/>
      <c r="E487" s="16"/>
    </row>
    <row r="488">
      <c r="A488" s="16"/>
      <c r="B488" s="16"/>
      <c r="C488" s="16"/>
      <c r="D488" s="16"/>
      <c r="E488" s="16"/>
    </row>
    <row r="489">
      <c r="A489" s="16"/>
      <c r="B489" s="16"/>
      <c r="C489" s="16"/>
      <c r="D489" s="16"/>
      <c r="E489" s="16"/>
    </row>
    <row r="490">
      <c r="A490" s="16"/>
      <c r="B490" s="16"/>
      <c r="C490" s="16"/>
      <c r="D490" s="16"/>
      <c r="E490" s="16"/>
    </row>
    <row r="491">
      <c r="A491" s="16"/>
      <c r="B491" s="16"/>
      <c r="C491" s="16"/>
      <c r="D491" s="16"/>
      <c r="E491" s="16"/>
    </row>
    <row r="492">
      <c r="A492" s="16"/>
      <c r="B492" s="16"/>
      <c r="C492" s="16"/>
      <c r="D492" s="16"/>
      <c r="E492" s="16"/>
    </row>
    <row r="493">
      <c r="A493" s="16"/>
      <c r="B493" s="16"/>
      <c r="C493" s="16"/>
      <c r="D493" s="16"/>
      <c r="E493" s="16"/>
    </row>
    <row r="494">
      <c r="A494" s="16"/>
      <c r="B494" s="16"/>
      <c r="C494" s="16"/>
      <c r="D494" s="16"/>
      <c r="E494" s="16"/>
    </row>
    <row r="495">
      <c r="A495" s="16"/>
      <c r="B495" s="16"/>
      <c r="C495" s="16"/>
      <c r="D495" s="16"/>
      <c r="E495" s="16"/>
    </row>
    <row r="496">
      <c r="A496" s="16"/>
      <c r="B496" s="16"/>
      <c r="C496" s="16"/>
      <c r="D496" s="16"/>
      <c r="E496" s="16"/>
    </row>
    <row r="497">
      <c r="A497" s="16"/>
      <c r="B497" s="16"/>
      <c r="C497" s="16"/>
      <c r="D497" s="16"/>
      <c r="E497" s="16"/>
    </row>
    <row r="498">
      <c r="A498" s="16"/>
      <c r="B498" s="16"/>
      <c r="C498" s="16"/>
      <c r="D498" s="16"/>
      <c r="E498" s="16"/>
    </row>
    <row r="499">
      <c r="A499" s="16"/>
      <c r="B499" s="16"/>
      <c r="C499" s="16"/>
      <c r="D499" s="16"/>
      <c r="E499" s="16"/>
    </row>
    <row r="500">
      <c r="A500" s="16"/>
      <c r="B500" s="16"/>
      <c r="C500" s="16"/>
      <c r="D500" s="16"/>
      <c r="E500" s="16"/>
    </row>
    <row r="501">
      <c r="A501" s="16"/>
      <c r="B501" s="16"/>
      <c r="C501" s="16"/>
      <c r="D501" s="16"/>
      <c r="E501" s="16"/>
    </row>
    <row r="502">
      <c r="A502" s="16"/>
      <c r="B502" s="16"/>
      <c r="C502" s="16"/>
      <c r="D502" s="16"/>
      <c r="E502" s="16"/>
    </row>
    <row r="503">
      <c r="A503" s="16"/>
      <c r="B503" s="16"/>
      <c r="C503" s="16"/>
      <c r="D503" s="16"/>
      <c r="E503" s="16"/>
    </row>
    <row r="504">
      <c r="A504" s="16"/>
      <c r="B504" s="16"/>
      <c r="C504" s="16"/>
      <c r="D504" s="16"/>
      <c r="E504" s="16"/>
    </row>
    <row r="505">
      <c r="A505" s="16"/>
      <c r="B505" s="16"/>
      <c r="C505" s="16"/>
      <c r="D505" s="16"/>
      <c r="E505" s="16"/>
    </row>
    <row r="506">
      <c r="A506" s="16"/>
      <c r="B506" s="16"/>
      <c r="C506" s="16"/>
      <c r="D506" s="16"/>
      <c r="E506" s="16"/>
    </row>
    <row r="507">
      <c r="A507" s="16"/>
      <c r="B507" s="16"/>
      <c r="C507" s="16"/>
      <c r="D507" s="16"/>
      <c r="E507" s="16"/>
    </row>
    <row r="508">
      <c r="A508" s="16"/>
      <c r="B508" s="16"/>
      <c r="C508" s="16"/>
      <c r="D508" s="16"/>
      <c r="E508" s="16"/>
    </row>
    <row r="509">
      <c r="A509" s="16"/>
      <c r="B509" s="16"/>
      <c r="C509" s="16"/>
      <c r="D509" s="16"/>
      <c r="E509" s="16"/>
    </row>
    <row r="510">
      <c r="A510" s="16"/>
      <c r="B510" s="16"/>
      <c r="C510" s="16"/>
      <c r="D510" s="16"/>
      <c r="E510" s="16"/>
    </row>
    <row r="511">
      <c r="A511" s="16"/>
      <c r="B511" s="16"/>
      <c r="C511" s="16"/>
      <c r="D511" s="16"/>
      <c r="E511" s="16"/>
    </row>
    <row r="512">
      <c r="A512" s="16"/>
      <c r="B512" s="16"/>
      <c r="C512" s="16"/>
      <c r="D512" s="16"/>
      <c r="E512" s="16"/>
    </row>
    <row r="513">
      <c r="A513" s="16"/>
      <c r="B513" s="16"/>
      <c r="C513" s="16"/>
      <c r="D513" s="16"/>
      <c r="E513" s="16"/>
    </row>
    <row r="514">
      <c r="A514" s="16"/>
      <c r="B514" s="16"/>
      <c r="C514" s="16"/>
      <c r="D514" s="16"/>
      <c r="E514" s="16"/>
    </row>
    <row r="515">
      <c r="A515" s="16"/>
      <c r="B515" s="16"/>
      <c r="C515" s="16"/>
      <c r="D515" s="16"/>
      <c r="E515" s="16"/>
    </row>
    <row r="516">
      <c r="A516" s="16"/>
      <c r="B516" s="16"/>
      <c r="C516" s="16"/>
      <c r="D516" s="16"/>
      <c r="E516" s="16"/>
    </row>
    <row r="517">
      <c r="A517" s="16"/>
      <c r="B517" s="16"/>
      <c r="C517" s="16"/>
      <c r="D517" s="16"/>
      <c r="E517" s="16"/>
    </row>
    <row r="518">
      <c r="A518" s="16"/>
      <c r="B518" s="16"/>
      <c r="C518" s="16"/>
      <c r="D518" s="16"/>
      <c r="E518" s="16"/>
    </row>
    <row r="519">
      <c r="A519" s="16"/>
      <c r="B519" s="16"/>
      <c r="C519" s="16"/>
      <c r="D519" s="16"/>
      <c r="E519" s="16"/>
    </row>
    <row r="520">
      <c r="A520" s="16"/>
      <c r="B520" s="16"/>
      <c r="C520" s="16"/>
      <c r="D520" s="16"/>
      <c r="E520" s="16"/>
    </row>
    <row r="521">
      <c r="A521" s="16"/>
      <c r="B521" s="16"/>
      <c r="C521" s="16"/>
      <c r="D521" s="16"/>
      <c r="E521" s="16"/>
    </row>
    <row r="522">
      <c r="A522" s="16"/>
      <c r="B522" s="16"/>
      <c r="C522" s="16"/>
      <c r="D522" s="16"/>
      <c r="E522" s="16"/>
    </row>
    <row r="523">
      <c r="A523" s="16"/>
      <c r="B523" s="16"/>
      <c r="C523" s="16"/>
      <c r="D523" s="16"/>
      <c r="E523" s="16"/>
    </row>
    <row r="524">
      <c r="A524" s="16"/>
      <c r="B524" s="16"/>
      <c r="C524" s="16"/>
      <c r="D524" s="16"/>
      <c r="E524" s="16"/>
    </row>
    <row r="525">
      <c r="A525" s="16"/>
      <c r="B525" s="16"/>
      <c r="C525" s="16"/>
      <c r="D525" s="16"/>
      <c r="E525" s="16"/>
    </row>
    <row r="526">
      <c r="A526" s="16"/>
      <c r="B526" s="16"/>
      <c r="C526" s="16"/>
      <c r="D526" s="16"/>
      <c r="E526" s="16"/>
    </row>
    <row r="527">
      <c r="A527" s="16"/>
      <c r="B527" s="16"/>
      <c r="C527" s="16"/>
      <c r="D527" s="16"/>
      <c r="E527" s="16"/>
    </row>
    <row r="528">
      <c r="A528" s="16"/>
      <c r="B528" s="16"/>
      <c r="C528" s="16"/>
      <c r="D528" s="16"/>
      <c r="E528" s="16"/>
    </row>
    <row r="529">
      <c r="A529" s="16"/>
      <c r="B529" s="16"/>
      <c r="C529" s="16"/>
      <c r="D529" s="16"/>
      <c r="E529" s="16"/>
    </row>
    <row r="530">
      <c r="A530" s="16"/>
      <c r="B530" s="16"/>
      <c r="C530" s="16"/>
      <c r="D530" s="16"/>
      <c r="E530" s="16"/>
    </row>
    <row r="531">
      <c r="A531" s="16"/>
      <c r="B531" s="16"/>
      <c r="C531" s="16"/>
      <c r="D531" s="16"/>
      <c r="E531" s="16"/>
    </row>
    <row r="532">
      <c r="A532" s="16"/>
      <c r="B532" s="16"/>
      <c r="C532" s="16"/>
      <c r="D532" s="16"/>
      <c r="E532" s="16"/>
    </row>
    <row r="533">
      <c r="A533" s="16"/>
      <c r="B533" s="16"/>
      <c r="C533" s="16"/>
      <c r="D533" s="16"/>
      <c r="E533" s="16"/>
    </row>
    <row r="534">
      <c r="A534" s="16"/>
      <c r="B534" s="16"/>
      <c r="C534" s="16"/>
      <c r="D534" s="16"/>
      <c r="E534" s="16"/>
    </row>
    <row r="535">
      <c r="A535" s="16"/>
      <c r="B535" s="16"/>
      <c r="C535" s="16"/>
      <c r="D535" s="16"/>
      <c r="E535" s="16"/>
    </row>
    <row r="536">
      <c r="A536" s="16"/>
      <c r="B536" s="16"/>
      <c r="C536" s="16"/>
      <c r="D536" s="16"/>
      <c r="E536" s="16"/>
    </row>
    <row r="537">
      <c r="A537" s="16"/>
      <c r="B537" s="16"/>
      <c r="C537" s="16"/>
      <c r="D537" s="16"/>
      <c r="E537" s="16"/>
    </row>
    <row r="538">
      <c r="A538" s="16"/>
      <c r="B538" s="16"/>
      <c r="C538" s="16"/>
      <c r="D538" s="16"/>
      <c r="E538" s="16"/>
    </row>
    <row r="539">
      <c r="A539" s="16"/>
      <c r="B539" s="16"/>
      <c r="C539" s="16"/>
      <c r="D539" s="16"/>
      <c r="E539" s="16"/>
    </row>
    <row r="540">
      <c r="A540" s="16"/>
      <c r="B540" s="16"/>
      <c r="C540" s="16"/>
      <c r="D540" s="16"/>
      <c r="E540" s="16"/>
    </row>
    <row r="541">
      <c r="A541" s="16"/>
      <c r="B541" s="16"/>
      <c r="C541" s="16"/>
      <c r="D541" s="16"/>
      <c r="E541" s="16"/>
    </row>
    <row r="542">
      <c r="A542" s="16"/>
      <c r="B542" s="16"/>
      <c r="C542" s="16"/>
      <c r="D542" s="16"/>
      <c r="E542" s="16"/>
    </row>
    <row r="543">
      <c r="A543" s="16"/>
      <c r="B543" s="16"/>
      <c r="C543" s="16"/>
      <c r="D543" s="16"/>
      <c r="E543" s="16"/>
    </row>
    <row r="544">
      <c r="A544" s="16"/>
      <c r="B544" s="16"/>
      <c r="C544" s="16"/>
      <c r="D544" s="16"/>
      <c r="E544" s="16"/>
    </row>
    <row r="545">
      <c r="A545" s="16"/>
      <c r="B545" s="16"/>
      <c r="C545" s="16"/>
      <c r="D545" s="16"/>
      <c r="E545" s="16"/>
    </row>
    <row r="546">
      <c r="A546" s="16"/>
      <c r="B546" s="16"/>
      <c r="C546" s="16"/>
      <c r="D546" s="16"/>
      <c r="E546" s="16"/>
    </row>
    <row r="547">
      <c r="A547" s="16"/>
      <c r="B547" s="16"/>
      <c r="C547" s="16"/>
      <c r="D547" s="16"/>
      <c r="E547" s="16"/>
    </row>
    <row r="548">
      <c r="A548" s="16"/>
      <c r="B548" s="16"/>
      <c r="C548" s="16"/>
      <c r="D548" s="16"/>
      <c r="E548" s="16"/>
    </row>
    <row r="549">
      <c r="A549" s="16"/>
      <c r="B549" s="16"/>
      <c r="C549" s="16"/>
      <c r="D549" s="16"/>
      <c r="E549" s="16"/>
    </row>
    <row r="550">
      <c r="A550" s="16"/>
      <c r="B550" s="16"/>
      <c r="C550" s="16"/>
      <c r="D550" s="16"/>
      <c r="E550" s="16"/>
    </row>
    <row r="551">
      <c r="A551" s="16"/>
      <c r="B551" s="16"/>
      <c r="C551" s="16"/>
      <c r="D551" s="16"/>
      <c r="E551" s="16"/>
    </row>
    <row r="552">
      <c r="A552" s="16"/>
      <c r="B552" s="16"/>
      <c r="C552" s="16"/>
      <c r="D552" s="16"/>
      <c r="E552" s="16"/>
    </row>
    <row r="553">
      <c r="A553" s="16"/>
      <c r="B553" s="16"/>
      <c r="C553" s="16"/>
      <c r="D553" s="16"/>
      <c r="E553" s="16"/>
    </row>
    <row r="554">
      <c r="A554" s="16"/>
      <c r="B554" s="16"/>
      <c r="C554" s="16"/>
      <c r="D554" s="16"/>
      <c r="E554" s="16"/>
    </row>
    <row r="555">
      <c r="A555" s="16"/>
      <c r="B555" s="16"/>
      <c r="C555" s="16"/>
      <c r="D555" s="16"/>
      <c r="E555" s="16"/>
    </row>
    <row r="556">
      <c r="A556" s="16"/>
      <c r="B556" s="16"/>
      <c r="C556" s="16"/>
      <c r="D556" s="16"/>
      <c r="E556" s="16"/>
    </row>
    <row r="557">
      <c r="A557" s="16"/>
      <c r="B557" s="16"/>
      <c r="C557" s="16"/>
      <c r="D557" s="16"/>
      <c r="E557" s="16"/>
    </row>
    <row r="558">
      <c r="A558" s="16"/>
      <c r="B558" s="16"/>
      <c r="C558" s="16"/>
      <c r="D558" s="16"/>
      <c r="E558" s="16"/>
    </row>
    <row r="559">
      <c r="A559" s="16"/>
      <c r="B559" s="16"/>
      <c r="C559" s="16"/>
      <c r="D559" s="16"/>
      <c r="E559" s="16"/>
    </row>
    <row r="560">
      <c r="A560" s="16"/>
      <c r="B560" s="16"/>
      <c r="C560" s="16"/>
      <c r="D560" s="16"/>
      <c r="E560" s="16"/>
    </row>
    <row r="561">
      <c r="A561" s="16"/>
      <c r="B561" s="16"/>
      <c r="C561" s="16"/>
      <c r="D561" s="16"/>
      <c r="E561" s="16"/>
    </row>
    <row r="562">
      <c r="A562" s="16"/>
      <c r="B562" s="16"/>
      <c r="C562" s="16"/>
      <c r="D562" s="16"/>
      <c r="E562" s="16"/>
    </row>
    <row r="563">
      <c r="A563" s="16"/>
      <c r="B563" s="16"/>
      <c r="C563" s="16"/>
      <c r="D563" s="16"/>
      <c r="E563" s="16"/>
    </row>
    <row r="564">
      <c r="A564" s="16"/>
      <c r="B564" s="16"/>
      <c r="C564" s="16"/>
      <c r="D564" s="16"/>
      <c r="E564" s="16"/>
    </row>
    <row r="565">
      <c r="A565" s="16"/>
      <c r="B565" s="16"/>
      <c r="C565" s="16"/>
      <c r="D565" s="16"/>
      <c r="E565" s="16"/>
    </row>
    <row r="566">
      <c r="A566" s="16"/>
      <c r="B566" s="16"/>
      <c r="C566" s="16"/>
      <c r="D566" s="16"/>
      <c r="E566" s="16"/>
    </row>
    <row r="567">
      <c r="A567" s="16"/>
      <c r="B567" s="16"/>
      <c r="C567" s="16"/>
      <c r="D567" s="16"/>
      <c r="E567" s="16"/>
    </row>
    <row r="568">
      <c r="A568" s="16"/>
      <c r="B568" s="16"/>
      <c r="C568" s="16"/>
      <c r="D568" s="16"/>
      <c r="E568" s="16"/>
    </row>
    <row r="569">
      <c r="A569" s="16"/>
      <c r="B569" s="16"/>
      <c r="C569" s="16"/>
      <c r="D569" s="16"/>
      <c r="E569" s="16"/>
    </row>
    <row r="570">
      <c r="A570" s="16"/>
      <c r="B570" s="16"/>
      <c r="C570" s="16"/>
      <c r="D570" s="16"/>
      <c r="E570" s="16"/>
    </row>
    <row r="571">
      <c r="A571" s="16"/>
      <c r="B571" s="16"/>
      <c r="C571" s="16"/>
      <c r="D571" s="16"/>
      <c r="E571" s="16"/>
    </row>
    <row r="572">
      <c r="A572" s="16"/>
      <c r="B572" s="16"/>
      <c r="C572" s="16"/>
      <c r="D572" s="16"/>
      <c r="E572" s="16"/>
    </row>
    <row r="573">
      <c r="A573" s="16"/>
      <c r="B573" s="16"/>
      <c r="C573" s="16"/>
      <c r="D573" s="16"/>
      <c r="E573" s="16"/>
    </row>
    <row r="574">
      <c r="A574" s="16"/>
      <c r="B574" s="16"/>
      <c r="C574" s="16"/>
      <c r="D574" s="16"/>
      <c r="E574" s="16"/>
    </row>
    <row r="575">
      <c r="A575" s="16"/>
      <c r="B575" s="16"/>
      <c r="C575" s="16"/>
      <c r="D575" s="16"/>
      <c r="E575" s="16"/>
    </row>
    <row r="576">
      <c r="A576" s="16"/>
      <c r="B576" s="16"/>
      <c r="C576" s="16"/>
      <c r="D576" s="16"/>
      <c r="E576" s="16"/>
    </row>
    <row r="577">
      <c r="A577" s="16"/>
      <c r="B577" s="16"/>
      <c r="C577" s="16"/>
      <c r="D577" s="16"/>
      <c r="E577" s="16"/>
    </row>
    <row r="578">
      <c r="A578" s="16"/>
      <c r="B578" s="16"/>
      <c r="C578" s="16"/>
      <c r="D578" s="16"/>
      <c r="E578" s="16"/>
    </row>
    <row r="579">
      <c r="A579" s="16"/>
      <c r="B579" s="16"/>
      <c r="C579" s="16"/>
      <c r="D579" s="16"/>
      <c r="E579" s="16"/>
    </row>
    <row r="580">
      <c r="A580" s="16"/>
      <c r="B580" s="16"/>
      <c r="C580" s="16"/>
      <c r="D580" s="16"/>
      <c r="E580" s="16"/>
    </row>
    <row r="581">
      <c r="A581" s="16"/>
      <c r="B581" s="16"/>
      <c r="C581" s="16"/>
      <c r="D581" s="16"/>
      <c r="E581" s="16"/>
    </row>
    <row r="582">
      <c r="A582" s="16"/>
      <c r="B582" s="16"/>
      <c r="C582" s="16"/>
      <c r="D582" s="16"/>
      <c r="E582" s="16"/>
    </row>
    <row r="583">
      <c r="A583" s="16"/>
      <c r="B583" s="16"/>
      <c r="C583" s="16"/>
      <c r="D583" s="16"/>
      <c r="E583" s="16"/>
    </row>
    <row r="584">
      <c r="A584" s="16"/>
      <c r="B584" s="16"/>
      <c r="C584" s="16"/>
      <c r="D584" s="16"/>
      <c r="E584" s="16"/>
    </row>
    <row r="585">
      <c r="A585" s="16"/>
      <c r="B585" s="16"/>
      <c r="C585" s="16"/>
      <c r="D585" s="16"/>
      <c r="E585" s="16"/>
    </row>
    <row r="586">
      <c r="A586" s="16"/>
      <c r="B586" s="16"/>
      <c r="C586" s="16"/>
      <c r="D586" s="16"/>
      <c r="E586" s="16"/>
    </row>
    <row r="587">
      <c r="A587" s="16"/>
      <c r="B587" s="16"/>
      <c r="C587" s="16"/>
      <c r="D587" s="16"/>
      <c r="E587" s="16"/>
    </row>
    <row r="588">
      <c r="A588" s="16"/>
      <c r="B588" s="16"/>
      <c r="C588" s="16"/>
      <c r="D588" s="16"/>
      <c r="E588" s="16"/>
    </row>
    <row r="589">
      <c r="A589" s="16"/>
      <c r="B589" s="16"/>
      <c r="C589" s="16"/>
      <c r="D589" s="16"/>
      <c r="E589" s="16"/>
    </row>
    <row r="590">
      <c r="A590" s="16"/>
      <c r="B590" s="16"/>
      <c r="C590" s="16"/>
      <c r="D590" s="16"/>
      <c r="E590" s="16"/>
    </row>
    <row r="591">
      <c r="A591" s="16"/>
      <c r="B591" s="16"/>
      <c r="C591" s="16"/>
      <c r="D591" s="16"/>
      <c r="E591" s="16"/>
    </row>
    <row r="592">
      <c r="A592" s="16"/>
      <c r="B592" s="16"/>
      <c r="C592" s="16"/>
      <c r="D592" s="16"/>
      <c r="E592" s="16"/>
    </row>
    <row r="593">
      <c r="A593" s="16"/>
      <c r="B593" s="16"/>
      <c r="C593" s="16"/>
      <c r="D593" s="16"/>
      <c r="E593" s="16"/>
    </row>
    <row r="594">
      <c r="A594" s="16"/>
      <c r="B594" s="16"/>
      <c r="C594" s="16"/>
      <c r="D594" s="16"/>
      <c r="E594" s="16"/>
    </row>
    <row r="595">
      <c r="A595" s="16"/>
      <c r="B595" s="16"/>
      <c r="C595" s="16"/>
      <c r="D595" s="16"/>
      <c r="E595" s="16"/>
    </row>
    <row r="596">
      <c r="A596" s="16"/>
      <c r="B596" s="16"/>
      <c r="C596" s="16"/>
      <c r="D596" s="16"/>
      <c r="E596" s="16"/>
    </row>
    <row r="597">
      <c r="A597" s="16"/>
      <c r="B597" s="16"/>
      <c r="C597" s="16"/>
      <c r="D597" s="16"/>
      <c r="E597" s="16"/>
    </row>
    <row r="598">
      <c r="A598" s="16"/>
      <c r="B598" s="16"/>
      <c r="C598" s="16"/>
      <c r="D598" s="16"/>
      <c r="E598" s="16"/>
    </row>
    <row r="599">
      <c r="A599" s="16"/>
      <c r="B599" s="16"/>
      <c r="C599" s="16"/>
      <c r="D599" s="16"/>
      <c r="E599" s="16"/>
    </row>
    <row r="600">
      <c r="A600" s="16"/>
      <c r="B600" s="16"/>
      <c r="C600" s="16"/>
      <c r="D600" s="16"/>
      <c r="E600" s="16"/>
    </row>
    <row r="601">
      <c r="A601" s="16"/>
      <c r="B601" s="16"/>
      <c r="C601" s="16"/>
      <c r="D601" s="16"/>
      <c r="E601" s="16"/>
    </row>
    <row r="602">
      <c r="A602" s="16"/>
      <c r="B602" s="16"/>
      <c r="C602" s="16"/>
      <c r="D602" s="16"/>
      <c r="E602" s="16"/>
    </row>
    <row r="603">
      <c r="A603" s="16"/>
      <c r="B603" s="16"/>
      <c r="C603" s="16"/>
      <c r="D603" s="16"/>
      <c r="E603" s="16"/>
    </row>
    <row r="604">
      <c r="A604" s="16"/>
      <c r="B604" s="16"/>
      <c r="C604" s="16"/>
      <c r="D604" s="16"/>
      <c r="E604" s="16"/>
    </row>
    <row r="605">
      <c r="A605" s="16"/>
      <c r="B605" s="16"/>
      <c r="C605" s="16"/>
      <c r="D605" s="16"/>
      <c r="E605" s="16"/>
    </row>
    <row r="606">
      <c r="A606" s="16"/>
      <c r="B606" s="16"/>
      <c r="C606" s="16"/>
      <c r="D606" s="16"/>
      <c r="E606" s="16"/>
    </row>
    <row r="607">
      <c r="A607" s="16"/>
      <c r="B607" s="16"/>
      <c r="C607" s="16"/>
      <c r="D607" s="16"/>
      <c r="E607" s="16"/>
    </row>
    <row r="608">
      <c r="A608" s="16"/>
      <c r="B608" s="16"/>
      <c r="C608" s="16"/>
      <c r="D608" s="16"/>
      <c r="E608" s="16"/>
    </row>
    <row r="609">
      <c r="A609" s="16"/>
      <c r="B609" s="16"/>
      <c r="C609" s="16"/>
      <c r="D609" s="16"/>
      <c r="E609" s="16"/>
    </row>
    <row r="610">
      <c r="A610" s="16"/>
      <c r="B610" s="16"/>
      <c r="C610" s="16"/>
      <c r="D610" s="16"/>
      <c r="E610" s="16"/>
    </row>
    <row r="611">
      <c r="A611" s="16"/>
      <c r="B611" s="16"/>
      <c r="C611" s="16"/>
      <c r="D611" s="16"/>
      <c r="E611" s="16"/>
    </row>
    <row r="612">
      <c r="A612" s="16"/>
      <c r="B612" s="16"/>
      <c r="C612" s="16"/>
      <c r="D612" s="16"/>
      <c r="E612" s="16"/>
    </row>
    <row r="613">
      <c r="A613" s="16"/>
      <c r="B613" s="16"/>
      <c r="C613" s="16"/>
      <c r="D613" s="16"/>
      <c r="E613" s="16"/>
    </row>
    <row r="614">
      <c r="A614" s="16"/>
      <c r="B614" s="16"/>
      <c r="C614" s="16"/>
      <c r="D614" s="16"/>
      <c r="E614" s="16"/>
    </row>
    <row r="615">
      <c r="A615" s="16"/>
      <c r="B615" s="16"/>
      <c r="C615" s="16"/>
      <c r="D615" s="16"/>
      <c r="E615" s="16"/>
    </row>
    <row r="616">
      <c r="A616" s="16"/>
      <c r="B616" s="16"/>
      <c r="C616" s="16"/>
      <c r="D616" s="16"/>
      <c r="E616" s="16"/>
    </row>
    <row r="617">
      <c r="A617" s="16"/>
      <c r="B617" s="16"/>
      <c r="C617" s="16"/>
      <c r="D617" s="16"/>
      <c r="E617" s="16"/>
    </row>
    <row r="618">
      <c r="A618" s="16"/>
      <c r="B618" s="16"/>
      <c r="C618" s="16"/>
      <c r="D618" s="16"/>
      <c r="E618" s="16"/>
    </row>
    <row r="619">
      <c r="A619" s="16"/>
      <c r="B619" s="16"/>
      <c r="C619" s="16"/>
      <c r="D619" s="16"/>
      <c r="E619" s="16"/>
    </row>
    <row r="620">
      <c r="A620" s="16"/>
      <c r="B620" s="16"/>
      <c r="C620" s="16"/>
      <c r="D620" s="16"/>
      <c r="E620" s="16"/>
    </row>
    <row r="621">
      <c r="A621" s="16"/>
      <c r="B621" s="16"/>
      <c r="C621" s="16"/>
      <c r="D621" s="16"/>
      <c r="E621" s="16"/>
    </row>
    <row r="622">
      <c r="A622" s="16"/>
      <c r="B622" s="16"/>
      <c r="C622" s="16"/>
      <c r="D622" s="16"/>
      <c r="E622" s="16"/>
    </row>
    <row r="623">
      <c r="A623" s="16"/>
      <c r="B623" s="16"/>
      <c r="C623" s="16"/>
      <c r="D623" s="16"/>
      <c r="E623" s="16"/>
    </row>
    <row r="624">
      <c r="A624" s="16"/>
      <c r="B624" s="16"/>
      <c r="C624" s="16"/>
      <c r="D624" s="16"/>
      <c r="E624" s="16"/>
    </row>
    <row r="625">
      <c r="A625" s="16"/>
      <c r="B625" s="16"/>
      <c r="C625" s="16"/>
      <c r="D625" s="16"/>
      <c r="E625" s="16"/>
    </row>
    <row r="626">
      <c r="A626" s="16"/>
      <c r="B626" s="16"/>
      <c r="C626" s="16"/>
      <c r="D626" s="16"/>
      <c r="E626" s="16"/>
    </row>
    <row r="627">
      <c r="A627" s="16"/>
      <c r="B627" s="16"/>
      <c r="C627" s="16"/>
      <c r="D627" s="16"/>
      <c r="E627" s="16"/>
    </row>
    <row r="628">
      <c r="A628" s="16"/>
      <c r="B628" s="16"/>
      <c r="C628" s="16"/>
      <c r="D628" s="16"/>
      <c r="E628" s="16"/>
    </row>
    <row r="629">
      <c r="A629" s="16"/>
      <c r="B629" s="16"/>
      <c r="C629" s="16"/>
      <c r="D629" s="16"/>
      <c r="E629" s="16"/>
    </row>
    <row r="630">
      <c r="A630" s="16"/>
      <c r="B630" s="16"/>
      <c r="C630" s="16"/>
      <c r="D630" s="16"/>
      <c r="E630" s="16"/>
    </row>
    <row r="631">
      <c r="A631" s="16"/>
      <c r="B631" s="16"/>
      <c r="C631" s="16"/>
      <c r="D631" s="16"/>
      <c r="E631" s="16"/>
    </row>
    <row r="632">
      <c r="A632" s="16"/>
      <c r="B632" s="16"/>
      <c r="C632" s="16"/>
      <c r="D632" s="16"/>
      <c r="E632" s="16"/>
    </row>
    <row r="633">
      <c r="A633" s="16"/>
      <c r="B633" s="16"/>
      <c r="C633" s="16"/>
      <c r="D633" s="16"/>
      <c r="E633" s="16"/>
    </row>
    <row r="634">
      <c r="A634" s="16"/>
      <c r="B634" s="16"/>
      <c r="C634" s="16"/>
      <c r="D634" s="16"/>
      <c r="E634" s="16"/>
    </row>
    <row r="635">
      <c r="A635" s="16"/>
      <c r="B635" s="16"/>
      <c r="C635" s="16"/>
      <c r="D635" s="16"/>
      <c r="E635" s="16"/>
    </row>
    <row r="636">
      <c r="A636" s="16"/>
      <c r="B636" s="16"/>
      <c r="C636" s="16"/>
      <c r="D636" s="16"/>
      <c r="E636" s="16"/>
    </row>
    <row r="637">
      <c r="A637" s="16"/>
      <c r="B637" s="16"/>
      <c r="C637" s="16"/>
      <c r="D637" s="16"/>
      <c r="E637" s="16"/>
    </row>
    <row r="638">
      <c r="A638" s="16"/>
      <c r="B638" s="16"/>
      <c r="C638" s="16"/>
      <c r="D638" s="16"/>
      <c r="E638" s="16"/>
    </row>
    <row r="639">
      <c r="A639" s="16"/>
      <c r="B639" s="16"/>
      <c r="C639" s="16"/>
      <c r="D639" s="16"/>
      <c r="E639" s="16"/>
    </row>
    <row r="640">
      <c r="A640" s="16"/>
      <c r="B640" s="16"/>
      <c r="C640" s="16"/>
      <c r="D640" s="16"/>
      <c r="E640" s="16"/>
    </row>
    <row r="641">
      <c r="A641" s="16"/>
      <c r="B641" s="16"/>
      <c r="C641" s="16"/>
      <c r="D641" s="16"/>
      <c r="E641" s="16"/>
    </row>
    <row r="642">
      <c r="A642" s="16"/>
      <c r="B642" s="16"/>
      <c r="C642" s="16"/>
      <c r="D642" s="16"/>
      <c r="E642" s="16"/>
    </row>
    <row r="643">
      <c r="A643" s="16"/>
      <c r="B643" s="16"/>
      <c r="C643" s="16"/>
      <c r="D643" s="16"/>
      <c r="E643" s="16"/>
    </row>
    <row r="644">
      <c r="A644" s="16"/>
      <c r="B644" s="16"/>
      <c r="C644" s="16"/>
      <c r="D644" s="16"/>
      <c r="E644" s="16"/>
    </row>
    <row r="645">
      <c r="A645" s="16"/>
      <c r="B645" s="16"/>
      <c r="C645" s="16"/>
      <c r="D645" s="16"/>
      <c r="E645" s="16"/>
    </row>
    <row r="646">
      <c r="A646" s="16"/>
      <c r="B646" s="16"/>
      <c r="C646" s="16"/>
      <c r="D646" s="16"/>
      <c r="E646" s="16"/>
    </row>
    <row r="647">
      <c r="A647" s="16"/>
      <c r="B647" s="16"/>
      <c r="C647" s="16"/>
      <c r="D647" s="16"/>
      <c r="E647" s="16"/>
    </row>
    <row r="648">
      <c r="A648" s="16"/>
      <c r="B648" s="16"/>
      <c r="C648" s="16"/>
      <c r="D648" s="16"/>
      <c r="E648" s="16"/>
    </row>
    <row r="649">
      <c r="A649" s="16"/>
      <c r="B649" s="16"/>
      <c r="C649" s="16"/>
      <c r="D649" s="16"/>
      <c r="E649" s="16"/>
    </row>
    <row r="650">
      <c r="A650" s="16"/>
      <c r="B650" s="16"/>
      <c r="C650" s="16"/>
      <c r="D650" s="16"/>
      <c r="E650" s="16"/>
    </row>
    <row r="651">
      <c r="A651" s="16"/>
      <c r="B651" s="16"/>
      <c r="C651" s="16"/>
      <c r="D651" s="16"/>
      <c r="E651" s="16"/>
    </row>
    <row r="652">
      <c r="A652" s="16"/>
      <c r="B652" s="16"/>
      <c r="C652" s="16"/>
      <c r="D652" s="16"/>
      <c r="E652" s="16"/>
    </row>
    <row r="653">
      <c r="A653" s="16"/>
      <c r="B653" s="16"/>
      <c r="C653" s="16"/>
      <c r="D653" s="16"/>
      <c r="E653" s="16"/>
    </row>
    <row r="654">
      <c r="A654" s="16"/>
      <c r="B654" s="16"/>
      <c r="C654" s="16"/>
      <c r="D654" s="16"/>
      <c r="E654" s="16"/>
    </row>
    <row r="655">
      <c r="A655" s="16"/>
      <c r="B655" s="16"/>
      <c r="C655" s="16"/>
      <c r="D655" s="16"/>
      <c r="E655" s="16"/>
    </row>
    <row r="656">
      <c r="A656" s="16"/>
      <c r="B656" s="16"/>
      <c r="C656" s="16"/>
      <c r="D656" s="16"/>
      <c r="E656" s="16"/>
    </row>
    <row r="657">
      <c r="A657" s="16"/>
      <c r="B657" s="16"/>
      <c r="C657" s="16"/>
      <c r="D657" s="16"/>
      <c r="E657" s="16"/>
    </row>
    <row r="658">
      <c r="A658" s="16"/>
      <c r="B658" s="16"/>
      <c r="C658" s="16"/>
      <c r="D658" s="16"/>
      <c r="E658" s="16"/>
    </row>
    <row r="659">
      <c r="A659" s="16"/>
      <c r="B659" s="16"/>
      <c r="C659" s="16"/>
      <c r="D659" s="16"/>
      <c r="E659" s="16"/>
    </row>
    <row r="660">
      <c r="A660" s="16"/>
      <c r="B660" s="16"/>
      <c r="C660" s="16"/>
      <c r="D660" s="16"/>
      <c r="E660" s="16"/>
    </row>
    <row r="661">
      <c r="A661" s="16"/>
      <c r="B661" s="16"/>
      <c r="C661" s="16"/>
      <c r="D661" s="16"/>
      <c r="E661" s="16"/>
    </row>
    <row r="662">
      <c r="A662" s="16"/>
      <c r="B662" s="16"/>
      <c r="C662" s="16"/>
      <c r="D662" s="16"/>
      <c r="E662" s="16"/>
    </row>
    <row r="663">
      <c r="A663" s="16"/>
      <c r="B663" s="16"/>
      <c r="C663" s="16"/>
      <c r="D663" s="16"/>
      <c r="E663" s="16"/>
    </row>
    <row r="664">
      <c r="A664" s="16"/>
      <c r="B664" s="16"/>
      <c r="C664" s="16"/>
      <c r="D664" s="16"/>
      <c r="E664" s="16"/>
    </row>
    <row r="665">
      <c r="A665" s="16"/>
      <c r="B665" s="16"/>
      <c r="C665" s="16"/>
      <c r="D665" s="16"/>
      <c r="E665" s="16"/>
    </row>
    <row r="666">
      <c r="A666" s="16"/>
      <c r="B666" s="16"/>
      <c r="C666" s="16"/>
      <c r="D666" s="16"/>
      <c r="E666" s="16"/>
    </row>
    <row r="667">
      <c r="A667" s="16"/>
      <c r="B667" s="16"/>
      <c r="C667" s="16"/>
      <c r="D667" s="16"/>
      <c r="E667" s="16"/>
    </row>
    <row r="668">
      <c r="A668" s="16"/>
      <c r="B668" s="16"/>
      <c r="C668" s="16"/>
      <c r="D668" s="16"/>
      <c r="E668" s="16"/>
    </row>
    <row r="669">
      <c r="A669" s="16"/>
      <c r="B669" s="16"/>
      <c r="C669" s="16"/>
      <c r="D669" s="16"/>
      <c r="E669" s="16"/>
    </row>
    <row r="670">
      <c r="A670" s="16"/>
      <c r="B670" s="16"/>
      <c r="C670" s="16"/>
      <c r="D670" s="16"/>
      <c r="E670" s="16"/>
    </row>
    <row r="671">
      <c r="A671" s="16"/>
      <c r="B671" s="16"/>
      <c r="C671" s="16"/>
      <c r="D671" s="16"/>
      <c r="E671" s="16"/>
    </row>
    <row r="672">
      <c r="A672" s="16"/>
      <c r="B672" s="16"/>
      <c r="C672" s="16"/>
      <c r="D672" s="16"/>
      <c r="E672" s="16"/>
    </row>
    <row r="673">
      <c r="A673" s="16"/>
      <c r="B673" s="16"/>
      <c r="C673" s="16"/>
      <c r="D673" s="16"/>
      <c r="E673" s="16"/>
    </row>
    <row r="674">
      <c r="A674" s="16"/>
      <c r="B674" s="16"/>
      <c r="C674" s="16"/>
      <c r="D674" s="16"/>
      <c r="E674" s="16"/>
    </row>
    <row r="675">
      <c r="A675" s="16"/>
      <c r="B675" s="16"/>
      <c r="C675" s="16"/>
      <c r="D675" s="16"/>
      <c r="E675" s="16"/>
    </row>
    <row r="676">
      <c r="A676" s="16"/>
      <c r="B676" s="16"/>
      <c r="C676" s="16"/>
      <c r="D676" s="16"/>
      <c r="E676" s="16"/>
    </row>
    <row r="677">
      <c r="A677" s="16"/>
      <c r="B677" s="16"/>
      <c r="C677" s="16"/>
      <c r="D677" s="16"/>
      <c r="E677" s="16"/>
    </row>
    <row r="678">
      <c r="A678" s="16"/>
      <c r="B678" s="16"/>
      <c r="C678" s="16"/>
      <c r="D678" s="16"/>
      <c r="E678" s="16"/>
    </row>
    <row r="679">
      <c r="A679" s="16"/>
      <c r="B679" s="16"/>
      <c r="C679" s="16"/>
      <c r="D679" s="16"/>
      <c r="E679" s="16"/>
    </row>
    <row r="680">
      <c r="A680" s="16"/>
      <c r="B680" s="16"/>
      <c r="C680" s="16"/>
      <c r="D680" s="16"/>
      <c r="E680" s="16"/>
    </row>
    <row r="681">
      <c r="A681" s="16"/>
      <c r="B681" s="16"/>
      <c r="C681" s="16"/>
      <c r="D681" s="16"/>
      <c r="E681" s="16"/>
    </row>
    <row r="682">
      <c r="A682" s="16"/>
      <c r="B682" s="16"/>
      <c r="C682" s="16"/>
      <c r="D682" s="16"/>
      <c r="E682" s="16"/>
    </row>
    <row r="683">
      <c r="A683" s="16"/>
      <c r="B683" s="16"/>
      <c r="C683" s="16"/>
      <c r="D683" s="16"/>
      <c r="E683" s="16"/>
    </row>
    <row r="684">
      <c r="A684" s="16"/>
      <c r="B684" s="16"/>
      <c r="C684" s="16"/>
      <c r="D684" s="16"/>
      <c r="E684" s="16"/>
    </row>
    <row r="685">
      <c r="A685" s="16"/>
      <c r="B685" s="16"/>
      <c r="C685" s="16"/>
      <c r="D685" s="16"/>
      <c r="E685" s="16"/>
    </row>
    <row r="686">
      <c r="A686" s="16"/>
      <c r="B686" s="16"/>
      <c r="C686" s="16"/>
      <c r="D686" s="16"/>
      <c r="E686" s="16"/>
    </row>
    <row r="687">
      <c r="A687" s="16"/>
      <c r="B687" s="16"/>
      <c r="C687" s="16"/>
      <c r="D687" s="16"/>
      <c r="E687" s="16"/>
    </row>
    <row r="688">
      <c r="A688" s="16"/>
      <c r="B688" s="16"/>
      <c r="C688" s="16"/>
      <c r="D688" s="16"/>
      <c r="E688" s="16"/>
    </row>
    <row r="689">
      <c r="A689" s="16"/>
      <c r="B689" s="16"/>
      <c r="C689" s="16"/>
      <c r="D689" s="16"/>
      <c r="E689" s="16"/>
    </row>
    <row r="690">
      <c r="A690" s="16"/>
      <c r="B690" s="16"/>
      <c r="C690" s="16"/>
      <c r="D690" s="16"/>
      <c r="E690" s="16"/>
    </row>
    <row r="691">
      <c r="A691" s="16"/>
      <c r="B691" s="16"/>
      <c r="C691" s="16"/>
      <c r="D691" s="16"/>
      <c r="E691" s="16"/>
    </row>
    <row r="692">
      <c r="A692" s="16"/>
      <c r="B692" s="16"/>
      <c r="C692" s="16"/>
      <c r="D692" s="16"/>
      <c r="E692" s="16"/>
    </row>
    <row r="693">
      <c r="A693" s="16"/>
      <c r="B693" s="16"/>
      <c r="C693" s="16"/>
      <c r="D693" s="16"/>
      <c r="E693" s="16"/>
    </row>
    <row r="694">
      <c r="A694" s="16"/>
      <c r="B694" s="16"/>
      <c r="C694" s="16"/>
      <c r="D694" s="16"/>
      <c r="E694" s="16"/>
    </row>
    <row r="695">
      <c r="A695" s="16"/>
      <c r="B695" s="16"/>
      <c r="C695" s="16"/>
      <c r="D695" s="16"/>
      <c r="E695" s="16"/>
    </row>
    <row r="696">
      <c r="A696" s="16"/>
      <c r="B696" s="16"/>
      <c r="C696" s="16"/>
      <c r="D696" s="16"/>
      <c r="E696" s="16"/>
    </row>
    <row r="697">
      <c r="A697" s="16"/>
      <c r="B697" s="16"/>
      <c r="C697" s="16"/>
      <c r="D697" s="16"/>
      <c r="E697" s="16"/>
    </row>
    <row r="698">
      <c r="A698" s="16"/>
      <c r="B698" s="16"/>
      <c r="C698" s="16"/>
      <c r="D698" s="16"/>
      <c r="E698" s="16"/>
    </row>
    <row r="699">
      <c r="A699" s="16"/>
      <c r="B699" s="16"/>
      <c r="C699" s="16"/>
      <c r="D699" s="16"/>
      <c r="E699" s="16"/>
    </row>
    <row r="700">
      <c r="A700" s="16"/>
      <c r="B700" s="16"/>
      <c r="C700" s="16"/>
      <c r="D700" s="16"/>
      <c r="E700" s="16"/>
    </row>
    <row r="701">
      <c r="A701" s="16"/>
      <c r="B701" s="16"/>
      <c r="C701" s="16"/>
      <c r="D701" s="16"/>
      <c r="E701" s="16"/>
    </row>
    <row r="702">
      <c r="A702" s="16"/>
      <c r="B702" s="16"/>
      <c r="C702" s="16"/>
      <c r="D702" s="16"/>
      <c r="E702" s="16"/>
    </row>
    <row r="703">
      <c r="A703" s="16"/>
      <c r="B703" s="16"/>
      <c r="C703" s="16"/>
      <c r="D703" s="16"/>
      <c r="E703" s="16"/>
    </row>
    <row r="704">
      <c r="A704" s="16"/>
      <c r="B704" s="16"/>
      <c r="C704" s="16"/>
      <c r="D704" s="16"/>
      <c r="E704" s="16"/>
    </row>
    <row r="705">
      <c r="A705" s="16"/>
      <c r="B705" s="16"/>
      <c r="C705" s="16"/>
      <c r="D705" s="16"/>
      <c r="E705" s="16"/>
    </row>
    <row r="706">
      <c r="A706" s="16"/>
      <c r="B706" s="16"/>
      <c r="C706" s="16"/>
      <c r="D706" s="16"/>
      <c r="E706" s="16"/>
    </row>
    <row r="707">
      <c r="A707" s="16"/>
      <c r="B707" s="16"/>
      <c r="C707" s="16"/>
      <c r="D707" s="16"/>
      <c r="E707" s="16"/>
    </row>
    <row r="708">
      <c r="A708" s="16"/>
      <c r="B708" s="16"/>
      <c r="C708" s="16"/>
      <c r="D708" s="16"/>
      <c r="E708" s="16"/>
    </row>
    <row r="709">
      <c r="A709" s="16"/>
      <c r="B709" s="16"/>
      <c r="C709" s="16"/>
      <c r="D709" s="16"/>
      <c r="E709" s="16"/>
    </row>
    <row r="710">
      <c r="A710" s="16"/>
      <c r="B710" s="16"/>
      <c r="C710" s="16"/>
      <c r="D710" s="16"/>
      <c r="E710" s="16"/>
    </row>
    <row r="711">
      <c r="A711" s="16"/>
      <c r="B711" s="16"/>
      <c r="C711" s="16"/>
      <c r="D711" s="16"/>
      <c r="E711" s="16"/>
    </row>
    <row r="712">
      <c r="A712" s="16"/>
      <c r="B712" s="16"/>
      <c r="C712" s="16"/>
      <c r="D712" s="16"/>
      <c r="E712" s="16"/>
    </row>
    <row r="713">
      <c r="A713" s="16"/>
      <c r="B713" s="16"/>
      <c r="C713" s="16"/>
      <c r="D713" s="16"/>
      <c r="E713" s="16"/>
    </row>
    <row r="714">
      <c r="A714" s="16"/>
      <c r="B714" s="16"/>
      <c r="C714" s="16"/>
      <c r="D714" s="16"/>
      <c r="E714" s="16"/>
    </row>
    <row r="715">
      <c r="A715" s="16"/>
      <c r="B715" s="16"/>
      <c r="C715" s="16"/>
      <c r="D715" s="16"/>
      <c r="E715" s="16"/>
    </row>
    <row r="716">
      <c r="A716" s="16"/>
      <c r="B716" s="16"/>
      <c r="C716" s="16"/>
      <c r="D716" s="16"/>
      <c r="E716" s="16"/>
    </row>
    <row r="717">
      <c r="A717" s="16"/>
      <c r="B717" s="16"/>
      <c r="C717" s="16"/>
      <c r="D717" s="16"/>
      <c r="E717" s="16"/>
    </row>
    <row r="718">
      <c r="A718" s="16"/>
      <c r="B718" s="16"/>
      <c r="C718" s="16"/>
      <c r="D718" s="16"/>
      <c r="E718" s="16"/>
    </row>
    <row r="719">
      <c r="A719" s="16"/>
      <c r="B719" s="16"/>
      <c r="C719" s="16"/>
      <c r="D719" s="16"/>
      <c r="E719" s="16"/>
    </row>
    <row r="720">
      <c r="A720" s="16"/>
      <c r="B720" s="16"/>
      <c r="C720" s="16"/>
      <c r="D720" s="16"/>
      <c r="E720" s="16"/>
    </row>
    <row r="721">
      <c r="A721" s="16"/>
      <c r="B721" s="16"/>
      <c r="C721" s="16"/>
      <c r="D721" s="16"/>
      <c r="E721" s="16"/>
    </row>
    <row r="722">
      <c r="A722" s="16"/>
      <c r="B722" s="16"/>
      <c r="C722" s="16"/>
      <c r="D722" s="16"/>
      <c r="E722" s="16"/>
    </row>
    <row r="723">
      <c r="A723" s="16"/>
      <c r="B723" s="16"/>
      <c r="C723" s="16"/>
      <c r="D723" s="16"/>
      <c r="E723" s="16"/>
    </row>
    <row r="724">
      <c r="A724" s="16"/>
      <c r="B724" s="16"/>
      <c r="C724" s="16"/>
      <c r="D724" s="16"/>
      <c r="E724" s="16"/>
    </row>
    <row r="725">
      <c r="A725" s="16"/>
      <c r="B725" s="16"/>
      <c r="C725" s="16"/>
      <c r="D725" s="16"/>
      <c r="E725" s="16"/>
    </row>
    <row r="726">
      <c r="A726" s="16"/>
      <c r="B726" s="16"/>
      <c r="C726" s="16"/>
      <c r="D726" s="16"/>
      <c r="E726" s="16"/>
    </row>
    <row r="727">
      <c r="A727" s="16"/>
      <c r="B727" s="16"/>
      <c r="C727" s="16"/>
      <c r="D727" s="16"/>
      <c r="E727" s="16"/>
    </row>
    <row r="728">
      <c r="A728" s="16"/>
      <c r="B728" s="16"/>
      <c r="C728" s="16"/>
      <c r="D728" s="16"/>
      <c r="E728" s="16"/>
    </row>
    <row r="729">
      <c r="A729" s="16"/>
      <c r="B729" s="16"/>
      <c r="C729" s="16"/>
      <c r="D729" s="16"/>
      <c r="E729" s="16"/>
    </row>
    <row r="730">
      <c r="A730" s="16"/>
      <c r="B730" s="16"/>
      <c r="C730" s="16"/>
      <c r="D730" s="16"/>
      <c r="E730" s="16"/>
    </row>
    <row r="731">
      <c r="A731" s="16"/>
      <c r="B731" s="16"/>
      <c r="C731" s="16"/>
      <c r="D731" s="16"/>
      <c r="E731" s="16"/>
    </row>
    <row r="732">
      <c r="A732" s="16"/>
      <c r="B732" s="16"/>
      <c r="C732" s="16"/>
      <c r="D732" s="16"/>
      <c r="E732" s="16"/>
    </row>
    <row r="733">
      <c r="A733" s="16"/>
      <c r="B733" s="16"/>
      <c r="C733" s="16"/>
      <c r="D733" s="16"/>
      <c r="E733" s="16"/>
    </row>
    <row r="734">
      <c r="A734" s="16"/>
      <c r="B734" s="16"/>
      <c r="C734" s="16"/>
      <c r="D734" s="16"/>
      <c r="E734" s="16"/>
    </row>
    <row r="735">
      <c r="A735" s="16"/>
      <c r="B735" s="16"/>
      <c r="C735" s="16"/>
      <c r="D735" s="16"/>
      <c r="E735" s="16"/>
    </row>
    <row r="736">
      <c r="A736" s="16"/>
      <c r="B736" s="16"/>
      <c r="C736" s="16"/>
      <c r="D736" s="16"/>
      <c r="E736" s="16"/>
    </row>
    <row r="737">
      <c r="A737" s="16"/>
      <c r="B737" s="16"/>
      <c r="C737" s="16"/>
      <c r="D737" s="16"/>
      <c r="E737" s="16"/>
    </row>
    <row r="738">
      <c r="A738" s="16"/>
      <c r="B738" s="16"/>
      <c r="C738" s="16"/>
      <c r="D738" s="16"/>
      <c r="E738" s="16"/>
    </row>
    <row r="739">
      <c r="A739" s="16"/>
      <c r="B739" s="16"/>
      <c r="C739" s="16"/>
      <c r="D739" s="16"/>
      <c r="E739" s="16"/>
    </row>
    <row r="740">
      <c r="A740" s="16"/>
      <c r="B740" s="16"/>
      <c r="C740" s="16"/>
      <c r="D740" s="16"/>
      <c r="E740" s="16"/>
    </row>
    <row r="741">
      <c r="A741" s="16"/>
      <c r="B741" s="16"/>
      <c r="C741" s="16"/>
      <c r="D741" s="16"/>
      <c r="E741" s="16"/>
    </row>
    <row r="742">
      <c r="A742" s="16"/>
      <c r="B742" s="16"/>
      <c r="C742" s="16"/>
      <c r="D742" s="16"/>
      <c r="E742" s="16"/>
    </row>
    <row r="743">
      <c r="A743" s="16"/>
      <c r="B743" s="16"/>
      <c r="C743" s="16"/>
      <c r="D743" s="16"/>
      <c r="E743" s="16"/>
    </row>
    <row r="744">
      <c r="A744" s="16"/>
      <c r="B744" s="16"/>
      <c r="C744" s="16"/>
      <c r="D744" s="16"/>
      <c r="E744" s="16"/>
    </row>
    <row r="745">
      <c r="A745" s="16"/>
      <c r="B745" s="16"/>
      <c r="C745" s="16"/>
      <c r="D745" s="16"/>
      <c r="E745" s="16"/>
    </row>
    <row r="746">
      <c r="A746" s="16"/>
      <c r="B746" s="16"/>
      <c r="C746" s="16"/>
      <c r="D746" s="16"/>
      <c r="E746" s="16"/>
    </row>
    <row r="747">
      <c r="A747" s="16"/>
      <c r="B747" s="16"/>
      <c r="C747" s="16"/>
      <c r="D747" s="16"/>
      <c r="E747" s="16"/>
    </row>
    <row r="748">
      <c r="A748" s="16"/>
      <c r="B748" s="16"/>
      <c r="C748" s="16"/>
      <c r="D748" s="16"/>
      <c r="E748" s="16"/>
    </row>
    <row r="749">
      <c r="A749" s="16"/>
      <c r="B749" s="16"/>
      <c r="C749" s="16"/>
      <c r="D749" s="16"/>
      <c r="E749" s="16"/>
    </row>
    <row r="750">
      <c r="A750" s="16"/>
      <c r="B750" s="16"/>
      <c r="C750" s="16"/>
      <c r="D750" s="16"/>
      <c r="E750" s="16"/>
    </row>
    <row r="751">
      <c r="A751" s="16"/>
      <c r="B751" s="16"/>
      <c r="C751" s="16"/>
      <c r="D751" s="16"/>
      <c r="E751" s="16"/>
    </row>
    <row r="752">
      <c r="A752" s="16"/>
      <c r="B752" s="16"/>
      <c r="C752" s="16"/>
      <c r="D752" s="16"/>
      <c r="E752" s="16"/>
    </row>
    <row r="753">
      <c r="A753" s="16"/>
      <c r="B753" s="16"/>
      <c r="C753" s="16"/>
      <c r="D753" s="16"/>
      <c r="E753" s="16"/>
    </row>
    <row r="754">
      <c r="A754" s="16"/>
      <c r="B754" s="16"/>
      <c r="C754" s="16"/>
      <c r="D754" s="16"/>
      <c r="E754" s="16"/>
    </row>
    <row r="755">
      <c r="A755" s="16"/>
      <c r="B755" s="16"/>
      <c r="C755" s="16"/>
      <c r="D755" s="16"/>
      <c r="E755" s="16"/>
    </row>
    <row r="756">
      <c r="A756" s="16"/>
      <c r="B756" s="16"/>
      <c r="C756" s="16"/>
      <c r="D756" s="16"/>
      <c r="E756" s="16"/>
    </row>
    <row r="757">
      <c r="A757" s="16"/>
      <c r="B757" s="16"/>
      <c r="C757" s="16"/>
      <c r="D757" s="16"/>
      <c r="E757" s="16"/>
    </row>
    <row r="758">
      <c r="A758" s="16"/>
      <c r="B758" s="16"/>
      <c r="C758" s="16"/>
      <c r="D758" s="16"/>
      <c r="E758" s="16"/>
    </row>
    <row r="759">
      <c r="A759" s="16"/>
      <c r="B759" s="16"/>
      <c r="C759" s="16"/>
      <c r="D759" s="16"/>
      <c r="E759" s="16"/>
    </row>
    <row r="760">
      <c r="A760" s="16"/>
      <c r="B760" s="16"/>
      <c r="C760" s="16"/>
      <c r="D760" s="16"/>
      <c r="E760" s="16"/>
    </row>
    <row r="761">
      <c r="A761" s="16"/>
      <c r="B761" s="16"/>
      <c r="C761" s="16"/>
      <c r="D761" s="16"/>
      <c r="E761" s="16"/>
    </row>
    <row r="762">
      <c r="A762" s="16"/>
      <c r="B762" s="16"/>
      <c r="C762" s="16"/>
      <c r="D762" s="16"/>
      <c r="E762" s="16"/>
    </row>
    <row r="763">
      <c r="A763" s="16"/>
      <c r="B763" s="16"/>
      <c r="C763" s="16"/>
      <c r="D763" s="16"/>
      <c r="E763" s="16"/>
    </row>
    <row r="764">
      <c r="A764" s="16"/>
      <c r="B764" s="16"/>
      <c r="C764" s="16"/>
      <c r="D764" s="16"/>
      <c r="E764" s="16"/>
    </row>
    <row r="765">
      <c r="A765" s="16"/>
      <c r="B765" s="16"/>
      <c r="C765" s="16"/>
      <c r="D765" s="16"/>
      <c r="E765" s="16"/>
    </row>
    <row r="766">
      <c r="A766" s="16"/>
      <c r="B766" s="16"/>
      <c r="C766" s="16"/>
      <c r="D766" s="16"/>
      <c r="E766" s="16"/>
    </row>
    <row r="767">
      <c r="A767" s="16"/>
      <c r="B767" s="16"/>
      <c r="C767" s="16"/>
      <c r="D767" s="16"/>
      <c r="E767" s="16"/>
    </row>
    <row r="768">
      <c r="A768" s="16"/>
      <c r="B768" s="16"/>
      <c r="C768" s="16"/>
      <c r="D768" s="16"/>
      <c r="E768" s="16"/>
    </row>
    <row r="769">
      <c r="A769" s="16"/>
      <c r="B769" s="16"/>
      <c r="C769" s="16"/>
      <c r="D769" s="16"/>
      <c r="E769" s="16"/>
    </row>
    <row r="770">
      <c r="A770" s="16"/>
      <c r="B770" s="16"/>
      <c r="C770" s="16"/>
      <c r="D770" s="16"/>
      <c r="E770" s="16"/>
    </row>
    <row r="771">
      <c r="A771" s="16"/>
      <c r="B771" s="16"/>
      <c r="C771" s="16"/>
      <c r="D771" s="16"/>
      <c r="E771" s="16"/>
    </row>
    <row r="772">
      <c r="A772" s="16"/>
      <c r="B772" s="16"/>
      <c r="C772" s="16"/>
      <c r="D772" s="16"/>
      <c r="E772" s="16"/>
    </row>
    <row r="773">
      <c r="A773" s="16"/>
      <c r="B773" s="16"/>
      <c r="C773" s="16"/>
      <c r="D773" s="16"/>
      <c r="E773" s="16"/>
    </row>
    <row r="774">
      <c r="A774" s="16"/>
      <c r="B774" s="16"/>
      <c r="C774" s="16"/>
      <c r="D774" s="16"/>
      <c r="E774" s="16"/>
    </row>
    <row r="775">
      <c r="A775" s="16"/>
      <c r="B775" s="16"/>
      <c r="C775" s="16"/>
      <c r="D775" s="16"/>
      <c r="E775" s="16"/>
    </row>
    <row r="776">
      <c r="A776" s="16"/>
      <c r="B776" s="16"/>
      <c r="C776" s="16"/>
      <c r="D776" s="16"/>
      <c r="E776" s="16"/>
    </row>
    <row r="777">
      <c r="A777" s="16"/>
      <c r="B777" s="16"/>
      <c r="C777" s="16"/>
      <c r="D777" s="16"/>
      <c r="E777" s="16"/>
    </row>
    <row r="778">
      <c r="A778" s="16"/>
      <c r="B778" s="16"/>
      <c r="C778" s="16"/>
      <c r="D778" s="16"/>
      <c r="E778" s="16"/>
    </row>
    <row r="779">
      <c r="A779" s="16"/>
      <c r="B779" s="16"/>
      <c r="C779" s="16"/>
      <c r="D779" s="16"/>
      <c r="E779" s="16"/>
    </row>
    <row r="780">
      <c r="A780" s="16"/>
      <c r="B780" s="16"/>
      <c r="C780" s="16"/>
      <c r="D780" s="16"/>
      <c r="E780" s="16"/>
    </row>
    <row r="781">
      <c r="A781" s="16"/>
      <c r="B781" s="16"/>
      <c r="C781" s="16"/>
      <c r="D781" s="16"/>
      <c r="E781" s="16"/>
    </row>
    <row r="782">
      <c r="A782" s="16"/>
      <c r="B782" s="16"/>
      <c r="C782" s="16"/>
      <c r="D782" s="16"/>
      <c r="E782" s="16"/>
    </row>
    <row r="783">
      <c r="A783" s="16"/>
      <c r="B783" s="16"/>
      <c r="C783" s="16"/>
      <c r="D783" s="16"/>
      <c r="E783" s="16"/>
    </row>
    <row r="784">
      <c r="A784" s="16"/>
      <c r="B784" s="16"/>
      <c r="C784" s="16"/>
      <c r="D784" s="16"/>
      <c r="E784" s="16"/>
    </row>
    <row r="785">
      <c r="A785" s="16"/>
      <c r="B785" s="16"/>
      <c r="C785" s="16"/>
      <c r="D785" s="16"/>
      <c r="E785" s="16"/>
    </row>
    <row r="786">
      <c r="A786" s="16"/>
      <c r="B786" s="16"/>
      <c r="C786" s="16"/>
      <c r="D786" s="16"/>
      <c r="E786" s="16"/>
    </row>
    <row r="787">
      <c r="A787" s="16"/>
      <c r="B787" s="16"/>
      <c r="C787" s="16"/>
      <c r="D787" s="16"/>
      <c r="E787" s="16"/>
    </row>
    <row r="788">
      <c r="A788" s="16"/>
      <c r="B788" s="16"/>
      <c r="C788" s="16"/>
      <c r="D788" s="16"/>
      <c r="E788" s="16"/>
    </row>
    <row r="789">
      <c r="A789" s="16"/>
      <c r="B789" s="16"/>
      <c r="C789" s="16"/>
      <c r="D789" s="16"/>
      <c r="E789" s="16"/>
    </row>
    <row r="790">
      <c r="A790" s="16"/>
      <c r="B790" s="16"/>
      <c r="C790" s="16"/>
      <c r="D790" s="16"/>
      <c r="E790" s="16"/>
    </row>
    <row r="791">
      <c r="A791" s="16"/>
      <c r="B791" s="16"/>
      <c r="C791" s="16"/>
      <c r="D791" s="16"/>
      <c r="E791" s="16"/>
    </row>
    <row r="792">
      <c r="A792" s="16"/>
      <c r="B792" s="16"/>
      <c r="C792" s="16"/>
      <c r="D792" s="16"/>
      <c r="E792" s="16"/>
    </row>
    <row r="793">
      <c r="A793" s="16"/>
      <c r="B793" s="16"/>
      <c r="C793" s="16"/>
      <c r="D793" s="16"/>
      <c r="E793" s="16"/>
    </row>
    <row r="794">
      <c r="A794" s="16"/>
      <c r="B794" s="16"/>
      <c r="C794" s="16"/>
      <c r="D794" s="16"/>
      <c r="E794" s="16"/>
    </row>
    <row r="795">
      <c r="A795" s="16"/>
      <c r="B795" s="16"/>
      <c r="C795" s="16"/>
      <c r="D795" s="16"/>
      <c r="E795" s="16"/>
    </row>
    <row r="796">
      <c r="A796" s="16"/>
      <c r="B796" s="16"/>
      <c r="C796" s="16"/>
      <c r="D796" s="16"/>
      <c r="E796" s="16"/>
    </row>
    <row r="797">
      <c r="A797" s="16"/>
      <c r="B797" s="16"/>
      <c r="C797" s="16"/>
      <c r="D797" s="16"/>
      <c r="E797" s="16"/>
    </row>
    <row r="798">
      <c r="A798" s="16"/>
      <c r="B798" s="16"/>
      <c r="C798" s="16"/>
      <c r="D798" s="16"/>
      <c r="E798" s="16"/>
    </row>
    <row r="799">
      <c r="A799" s="16"/>
      <c r="B799" s="16"/>
      <c r="C799" s="16"/>
      <c r="D799" s="16"/>
      <c r="E799" s="16"/>
    </row>
    <row r="800">
      <c r="A800" s="16"/>
      <c r="B800" s="16"/>
      <c r="C800" s="16"/>
      <c r="D800" s="16"/>
      <c r="E800" s="16"/>
    </row>
    <row r="801">
      <c r="A801" s="16"/>
      <c r="B801" s="16"/>
      <c r="C801" s="16"/>
      <c r="D801" s="16"/>
      <c r="E801" s="16"/>
    </row>
    <row r="802">
      <c r="A802" s="16"/>
      <c r="B802" s="16"/>
      <c r="C802" s="16"/>
      <c r="D802" s="16"/>
      <c r="E802" s="16"/>
    </row>
    <row r="803">
      <c r="A803" s="16"/>
      <c r="B803" s="16"/>
      <c r="C803" s="16"/>
      <c r="D803" s="16"/>
      <c r="E803" s="16"/>
    </row>
    <row r="804">
      <c r="A804" s="16"/>
      <c r="B804" s="16"/>
      <c r="C804" s="16"/>
      <c r="D804" s="16"/>
      <c r="E804" s="16"/>
    </row>
    <row r="805">
      <c r="A805" s="16"/>
      <c r="B805" s="16"/>
      <c r="C805" s="16"/>
      <c r="D805" s="16"/>
      <c r="E805" s="16"/>
    </row>
    <row r="806">
      <c r="A806" s="16"/>
      <c r="B806" s="16"/>
      <c r="C806" s="16"/>
      <c r="D806" s="16"/>
      <c r="E806" s="16"/>
    </row>
    <row r="807">
      <c r="A807" s="16"/>
      <c r="B807" s="16"/>
      <c r="C807" s="16"/>
      <c r="D807" s="16"/>
      <c r="E807" s="16"/>
    </row>
    <row r="808">
      <c r="A808" s="16"/>
      <c r="B808" s="16"/>
      <c r="C808" s="16"/>
      <c r="D808" s="16"/>
      <c r="E808" s="16"/>
    </row>
    <row r="809">
      <c r="A809" s="16"/>
      <c r="B809" s="16"/>
      <c r="C809" s="16"/>
      <c r="D809" s="16"/>
      <c r="E809" s="16"/>
    </row>
    <row r="810">
      <c r="A810" s="16"/>
      <c r="B810" s="16"/>
      <c r="C810" s="16"/>
      <c r="D810" s="16"/>
      <c r="E810" s="16"/>
    </row>
    <row r="811">
      <c r="A811" s="16"/>
      <c r="B811" s="16"/>
      <c r="C811" s="16"/>
      <c r="D811" s="16"/>
      <c r="E811" s="16"/>
    </row>
    <row r="812">
      <c r="A812" s="16"/>
      <c r="B812" s="16"/>
      <c r="C812" s="16"/>
      <c r="D812" s="16"/>
      <c r="E812" s="16"/>
    </row>
    <row r="813">
      <c r="A813" s="16"/>
      <c r="B813" s="16"/>
      <c r="C813" s="16"/>
      <c r="D813" s="16"/>
      <c r="E813" s="16"/>
    </row>
    <row r="814">
      <c r="A814" s="16"/>
      <c r="B814" s="16"/>
      <c r="C814" s="16"/>
      <c r="D814" s="16"/>
      <c r="E814" s="16"/>
    </row>
    <row r="815">
      <c r="A815" s="16"/>
      <c r="B815" s="16"/>
      <c r="C815" s="16"/>
      <c r="D815" s="16"/>
      <c r="E815" s="16"/>
    </row>
    <row r="816">
      <c r="A816" s="16"/>
      <c r="B816" s="16"/>
      <c r="C816" s="16"/>
      <c r="D816" s="16"/>
      <c r="E816" s="16"/>
    </row>
    <row r="817">
      <c r="A817" s="16"/>
      <c r="B817" s="16"/>
      <c r="C817" s="16"/>
      <c r="D817" s="16"/>
      <c r="E817" s="16"/>
    </row>
    <row r="818">
      <c r="A818" s="16"/>
      <c r="B818" s="16"/>
      <c r="C818" s="16"/>
      <c r="D818" s="16"/>
      <c r="E818" s="16"/>
    </row>
    <row r="819">
      <c r="A819" s="16"/>
      <c r="B819" s="16"/>
      <c r="C819" s="16"/>
      <c r="D819" s="16"/>
      <c r="E819" s="16"/>
    </row>
    <row r="820">
      <c r="A820" s="16"/>
      <c r="B820" s="16"/>
      <c r="C820" s="16"/>
      <c r="D820" s="16"/>
      <c r="E820" s="16"/>
    </row>
    <row r="821">
      <c r="A821" s="16"/>
      <c r="B821" s="16"/>
      <c r="C821" s="16"/>
      <c r="D821" s="16"/>
      <c r="E821" s="16"/>
    </row>
    <row r="822">
      <c r="A822" s="16"/>
      <c r="B822" s="16"/>
      <c r="C822" s="16"/>
      <c r="D822" s="16"/>
      <c r="E822" s="16"/>
    </row>
    <row r="823">
      <c r="A823" s="16"/>
      <c r="B823" s="16"/>
      <c r="C823" s="16"/>
      <c r="D823" s="16"/>
      <c r="E823" s="16"/>
    </row>
    <row r="824">
      <c r="A824" s="16"/>
      <c r="B824" s="16"/>
      <c r="C824" s="16"/>
      <c r="D824" s="16"/>
      <c r="E824" s="16"/>
    </row>
    <row r="825">
      <c r="A825" s="16"/>
      <c r="B825" s="16"/>
      <c r="C825" s="16"/>
      <c r="D825" s="16"/>
      <c r="E825" s="16"/>
    </row>
    <row r="826">
      <c r="A826" s="16"/>
      <c r="B826" s="16"/>
      <c r="C826" s="16"/>
      <c r="D826" s="16"/>
      <c r="E826" s="16"/>
    </row>
    <row r="827">
      <c r="A827" s="16"/>
      <c r="B827" s="16"/>
      <c r="C827" s="16"/>
      <c r="D827" s="16"/>
      <c r="E827" s="16"/>
    </row>
    <row r="828">
      <c r="A828" s="16"/>
      <c r="B828" s="16"/>
      <c r="C828" s="16"/>
      <c r="D828" s="16"/>
      <c r="E828" s="16"/>
    </row>
    <row r="829">
      <c r="A829" s="16"/>
      <c r="B829" s="16"/>
      <c r="C829" s="16"/>
      <c r="D829" s="16"/>
      <c r="E829" s="16"/>
    </row>
    <row r="830">
      <c r="A830" s="16"/>
      <c r="B830" s="16"/>
      <c r="C830" s="16"/>
      <c r="D830" s="16"/>
      <c r="E830" s="16"/>
    </row>
    <row r="831">
      <c r="A831" s="16"/>
      <c r="B831" s="16"/>
      <c r="C831" s="16"/>
      <c r="D831" s="16"/>
      <c r="E831" s="16"/>
    </row>
    <row r="832">
      <c r="A832" s="16"/>
      <c r="B832" s="16"/>
      <c r="C832" s="16"/>
      <c r="D832" s="16"/>
      <c r="E832" s="16"/>
    </row>
    <row r="833">
      <c r="A833" s="16"/>
      <c r="B833" s="16"/>
      <c r="C833" s="16"/>
      <c r="D833" s="16"/>
      <c r="E833" s="16"/>
    </row>
    <row r="834">
      <c r="A834" s="16"/>
      <c r="B834" s="16"/>
      <c r="C834" s="16"/>
      <c r="D834" s="16"/>
      <c r="E834" s="16"/>
    </row>
    <row r="835">
      <c r="A835" s="16"/>
      <c r="B835" s="16"/>
      <c r="C835" s="16"/>
      <c r="D835" s="16"/>
      <c r="E835" s="16"/>
    </row>
    <row r="836">
      <c r="A836" s="16"/>
      <c r="B836" s="16"/>
      <c r="C836" s="16"/>
      <c r="D836" s="16"/>
      <c r="E836" s="16"/>
    </row>
    <row r="837">
      <c r="A837" s="16"/>
      <c r="B837" s="16"/>
      <c r="C837" s="16"/>
      <c r="D837" s="16"/>
      <c r="E837" s="16"/>
    </row>
    <row r="838">
      <c r="A838" s="16"/>
      <c r="B838" s="16"/>
      <c r="C838" s="16"/>
      <c r="D838" s="16"/>
      <c r="E838" s="16"/>
    </row>
    <row r="839">
      <c r="A839" s="16"/>
      <c r="B839" s="16"/>
      <c r="C839" s="16"/>
      <c r="D839" s="16"/>
      <c r="E839" s="16"/>
    </row>
    <row r="840">
      <c r="A840" s="16"/>
      <c r="B840" s="16"/>
      <c r="C840" s="16"/>
      <c r="D840" s="16"/>
      <c r="E840" s="16"/>
    </row>
    <row r="841">
      <c r="A841" s="16"/>
      <c r="B841" s="16"/>
      <c r="C841" s="16"/>
      <c r="D841" s="16"/>
      <c r="E841" s="16"/>
    </row>
    <row r="842">
      <c r="A842" s="16"/>
      <c r="B842" s="16"/>
      <c r="C842" s="16"/>
      <c r="D842" s="16"/>
      <c r="E842" s="16"/>
    </row>
    <row r="843">
      <c r="A843" s="16"/>
      <c r="B843" s="16"/>
      <c r="C843" s="16"/>
      <c r="D843" s="16"/>
      <c r="E843" s="16"/>
    </row>
    <row r="844">
      <c r="A844" s="16"/>
      <c r="B844" s="16"/>
      <c r="C844" s="16"/>
      <c r="D844" s="16"/>
      <c r="E844" s="16"/>
    </row>
    <row r="845">
      <c r="A845" s="16"/>
      <c r="B845" s="16"/>
      <c r="C845" s="16"/>
      <c r="D845" s="16"/>
      <c r="E845" s="16"/>
    </row>
    <row r="846">
      <c r="A846" s="16"/>
      <c r="B846" s="16"/>
      <c r="C846" s="16"/>
      <c r="D846" s="16"/>
      <c r="E846" s="16"/>
    </row>
    <row r="847">
      <c r="A847" s="16"/>
      <c r="B847" s="16"/>
      <c r="C847" s="16"/>
      <c r="D847" s="16"/>
      <c r="E847" s="16"/>
    </row>
    <row r="848">
      <c r="A848" s="16"/>
      <c r="B848" s="16"/>
      <c r="C848" s="16"/>
      <c r="D848" s="16"/>
      <c r="E848" s="16"/>
    </row>
    <row r="849">
      <c r="A849" s="16"/>
      <c r="B849" s="16"/>
      <c r="C849" s="16"/>
      <c r="D849" s="16"/>
      <c r="E849" s="16"/>
    </row>
    <row r="850">
      <c r="A850" s="16"/>
      <c r="B850" s="16"/>
      <c r="C850" s="16"/>
      <c r="D850" s="16"/>
      <c r="E850" s="16"/>
    </row>
    <row r="851">
      <c r="A851" s="16"/>
      <c r="B851" s="16"/>
      <c r="C851" s="16"/>
      <c r="D851" s="16"/>
      <c r="E851" s="16"/>
    </row>
    <row r="852">
      <c r="A852" s="16"/>
      <c r="B852" s="16"/>
      <c r="C852" s="16"/>
      <c r="D852" s="16"/>
      <c r="E852" s="16"/>
    </row>
    <row r="853">
      <c r="A853" s="16"/>
      <c r="B853" s="16"/>
      <c r="C853" s="16"/>
      <c r="D853" s="16"/>
      <c r="E853" s="16"/>
    </row>
    <row r="854">
      <c r="A854" s="16"/>
      <c r="B854" s="16"/>
      <c r="C854" s="16"/>
      <c r="D854" s="16"/>
      <c r="E854" s="16"/>
    </row>
    <row r="855">
      <c r="A855" s="16"/>
      <c r="B855" s="16"/>
      <c r="C855" s="16"/>
      <c r="D855" s="16"/>
      <c r="E855" s="16"/>
    </row>
    <row r="856">
      <c r="A856" s="16"/>
      <c r="B856" s="16"/>
      <c r="C856" s="16"/>
      <c r="D856" s="16"/>
      <c r="E856" s="16"/>
    </row>
    <row r="857">
      <c r="A857" s="16"/>
      <c r="B857" s="16"/>
      <c r="C857" s="16"/>
      <c r="D857" s="16"/>
      <c r="E857" s="16"/>
    </row>
    <row r="858">
      <c r="A858" s="16"/>
      <c r="B858" s="16"/>
      <c r="C858" s="16"/>
      <c r="D858" s="16"/>
      <c r="E858" s="16"/>
    </row>
    <row r="859">
      <c r="A859" s="16"/>
      <c r="B859" s="16"/>
      <c r="C859" s="16"/>
      <c r="D859" s="16"/>
      <c r="E859" s="16"/>
    </row>
    <row r="860">
      <c r="A860" s="16"/>
      <c r="B860" s="16"/>
      <c r="C860" s="16"/>
      <c r="D860" s="16"/>
      <c r="E860" s="16"/>
    </row>
    <row r="861">
      <c r="A861" s="16"/>
      <c r="B861" s="16"/>
      <c r="C861" s="16"/>
      <c r="D861" s="16"/>
      <c r="E861" s="16"/>
    </row>
    <row r="862">
      <c r="A862" s="16"/>
      <c r="B862" s="16"/>
      <c r="C862" s="16"/>
      <c r="D862" s="16"/>
      <c r="E862" s="16"/>
    </row>
    <row r="863">
      <c r="A863" s="16"/>
      <c r="B863" s="16"/>
      <c r="C863" s="16"/>
      <c r="D863" s="16"/>
      <c r="E863" s="16"/>
    </row>
    <row r="864">
      <c r="A864" s="16"/>
      <c r="B864" s="16"/>
      <c r="C864" s="16"/>
      <c r="D864" s="16"/>
      <c r="E864" s="16"/>
    </row>
    <row r="865">
      <c r="A865" s="16"/>
      <c r="B865" s="16"/>
      <c r="C865" s="16"/>
      <c r="D865" s="16"/>
      <c r="E865" s="16"/>
    </row>
    <row r="866">
      <c r="A866" s="16"/>
      <c r="B866" s="16"/>
      <c r="C866" s="16"/>
      <c r="D866" s="16"/>
      <c r="E866" s="16"/>
    </row>
    <row r="867">
      <c r="A867" s="16"/>
      <c r="B867" s="16"/>
      <c r="C867" s="16"/>
      <c r="D867" s="16"/>
      <c r="E867" s="16"/>
    </row>
    <row r="868">
      <c r="A868" s="16"/>
      <c r="B868" s="16"/>
      <c r="C868" s="16"/>
      <c r="D868" s="16"/>
      <c r="E868" s="16"/>
    </row>
    <row r="869">
      <c r="A869" s="16"/>
      <c r="B869" s="16"/>
      <c r="C869" s="16"/>
      <c r="D869" s="16"/>
      <c r="E869" s="16"/>
    </row>
    <row r="870">
      <c r="A870" s="16"/>
      <c r="B870" s="16"/>
      <c r="C870" s="16"/>
      <c r="D870" s="16"/>
      <c r="E870" s="16"/>
    </row>
    <row r="871">
      <c r="A871" s="16"/>
      <c r="B871" s="16"/>
      <c r="C871" s="16"/>
      <c r="D871" s="16"/>
      <c r="E871" s="16"/>
    </row>
    <row r="872">
      <c r="A872" s="16"/>
      <c r="B872" s="16"/>
      <c r="C872" s="16"/>
      <c r="D872" s="16"/>
      <c r="E872" s="16"/>
    </row>
    <row r="873">
      <c r="A873" s="16"/>
      <c r="B873" s="16"/>
      <c r="C873" s="16"/>
      <c r="D873" s="16"/>
      <c r="E873" s="16"/>
    </row>
    <row r="874">
      <c r="A874" s="16"/>
      <c r="B874" s="16"/>
      <c r="C874" s="16"/>
      <c r="D874" s="16"/>
      <c r="E874" s="16"/>
    </row>
    <row r="875">
      <c r="A875" s="16"/>
      <c r="B875" s="16"/>
      <c r="C875" s="16"/>
      <c r="D875" s="16"/>
      <c r="E875" s="16"/>
    </row>
    <row r="876">
      <c r="A876" s="16"/>
      <c r="B876" s="16"/>
      <c r="C876" s="16"/>
      <c r="D876" s="16"/>
      <c r="E876" s="16"/>
    </row>
    <row r="877">
      <c r="A877" s="16"/>
      <c r="B877" s="16"/>
      <c r="C877" s="16"/>
      <c r="D877" s="16"/>
      <c r="E877" s="16"/>
    </row>
    <row r="878">
      <c r="A878" s="16"/>
      <c r="B878" s="16"/>
      <c r="C878" s="16"/>
      <c r="D878" s="16"/>
      <c r="E878" s="16"/>
    </row>
    <row r="879">
      <c r="A879" s="16"/>
      <c r="B879" s="16"/>
      <c r="C879" s="16"/>
      <c r="D879" s="16"/>
      <c r="E879" s="16"/>
    </row>
    <row r="880">
      <c r="A880" s="16"/>
      <c r="B880" s="16"/>
      <c r="C880" s="16"/>
      <c r="D880" s="16"/>
      <c r="E880" s="16"/>
    </row>
    <row r="881">
      <c r="A881" s="16"/>
      <c r="B881" s="16"/>
      <c r="C881" s="16"/>
      <c r="D881" s="16"/>
      <c r="E881" s="16"/>
    </row>
    <row r="882">
      <c r="A882" s="16"/>
      <c r="B882" s="16"/>
      <c r="C882" s="16"/>
      <c r="D882" s="16"/>
      <c r="E882" s="16"/>
    </row>
    <row r="883">
      <c r="A883" s="16"/>
      <c r="B883" s="16"/>
      <c r="C883" s="16"/>
      <c r="D883" s="16"/>
      <c r="E883" s="16"/>
    </row>
    <row r="884">
      <c r="A884" s="16"/>
      <c r="B884" s="16"/>
      <c r="C884" s="16"/>
      <c r="D884" s="16"/>
      <c r="E884" s="16"/>
    </row>
    <row r="885">
      <c r="A885" s="16"/>
      <c r="B885" s="16"/>
      <c r="C885" s="16"/>
      <c r="D885" s="16"/>
      <c r="E885" s="16"/>
    </row>
    <row r="886">
      <c r="A886" s="16"/>
      <c r="B886" s="16"/>
      <c r="C886" s="16"/>
      <c r="D886" s="16"/>
      <c r="E886" s="16"/>
    </row>
    <row r="887">
      <c r="A887" s="16"/>
      <c r="B887" s="16"/>
      <c r="C887" s="16"/>
      <c r="D887" s="16"/>
      <c r="E887" s="16"/>
    </row>
    <row r="888">
      <c r="A888" s="16"/>
      <c r="B888" s="16"/>
      <c r="C888" s="16"/>
      <c r="D888" s="16"/>
      <c r="E888" s="16"/>
    </row>
    <row r="889">
      <c r="A889" s="16"/>
      <c r="B889" s="16"/>
      <c r="C889" s="16"/>
      <c r="D889" s="16"/>
      <c r="E889" s="16"/>
    </row>
    <row r="890">
      <c r="A890" s="16"/>
      <c r="B890" s="16"/>
      <c r="C890" s="16"/>
      <c r="D890" s="16"/>
      <c r="E890" s="16"/>
    </row>
    <row r="891">
      <c r="A891" s="16"/>
      <c r="B891" s="16"/>
      <c r="C891" s="16"/>
      <c r="D891" s="16"/>
      <c r="E891" s="16"/>
    </row>
    <row r="892">
      <c r="A892" s="16"/>
      <c r="B892" s="16"/>
      <c r="C892" s="16"/>
      <c r="D892" s="16"/>
      <c r="E892" s="16"/>
    </row>
    <row r="893">
      <c r="A893" s="16"/>
      <c r="B893" s="16"/>
      <c r="C893" s="16"/>
      <c r="D893" s="16"/>
      <c r="E893" s="16"/>
    </row>
    <row r="894">
      <c r="A894" s="16"/>
      <c r="B894" s="16"/>
      <c r="C894" s="16"/>
      <c r="D894" s="16"/>
      <c r="E894" s="16"/>
    </row>
    <row r="895">
      <c r="A895" s="16"/>
      <c r="B895" s="16"/>
      <c r="C895" s="16"/>
      <c r="D895" s="16"/>
      <c r="E895" s="16"/>
    </row>
    <row r="896">
      <c r="A896" s="16"/>
      <c r="B896" s="16"/>
      <c r="C896" s="16"/>
      <c r="D896" s="16"/>
      <c r="E896" s="16"/>
    </row>
    <row r="897">
      <c r="A897" s="16"/>
      <c r="B897" s="16"/>
      <c r="C897" s="16"/>
      <c r="D897" s="16"/>
      <c r="E897" s="16"/>
    </row>
    <row r="898">
      <c r="A898" s="16"/>
      <c r="B898" s="16"/>
      <c r="C898" s="16"/>
      <c r="D898" s="16"/>
      <c r="E898" s="16"/>
    </row>
    <row r="899">
      <c r="A899" s="16"/>
      <c r="B899" s="16"/>
      <c r="C899" s="16"/>
      <c r="D899" s="16"/>
      <c r="E899" s="16"/>
    </row>
    <row r="900">
      <c r="A900" s="16"/>
      <c r="B900" s="16"/>
      <c r="C900" s="16"/>
      <c r="D900" s="16"/>
      <c r="E900" s="16"/>
    </row>
    <row r="901">
      <c r="A901" s="16"/>
      <c r="B901" s="16"/>
      <c r="C901" s="16"/>
      <c r="D901" s="16"/>
      <c r="E901" s="16"/>
    </row>
    <row r="902">
      <c r="A902" s="16"/>
      <c r="B902" s="16"/>
      <c r="C902" s="16"/>
      <c r="D902" s="16"/>
      <c r="E902" s="16"/>
    </row>
    <row r="903">
      <c r="A903" s="16"/>
      <c r="B903" s="16"/>
      <c r="C903" s="16"/>
      <c r="D903" s="16"/>
      <c r="E903" s="16"/>
    </row>
    <row r="904">
      <c r="A904" s="16"/>
      <c r="B904" s="16"/>
      <c r="C904" s="16"/>
      <c r="D904" s="16"/>
      <c r="E904" s="16"/>
    </row>
    <row r="905">
      <c r="A905" s="16"/>
      <c r="B905" s="16"/>
      <c r="C905" s="16"/>
      <c r="D905" s="16"/>
      <c r="E905" s="16"/>
    </row>
    <row r="906">
      <c r="A906" s="16"/>
      <c r="B906" s="16"/>
      <c r="C906" s="16"/>
      <c r="D906" s="16"/>
      <c r="E906" s="16"/>
    </row>
    <row r="907">
      <c r="A907" s="16"/>
      <c r="B907" s="16"/>
      <c r="C907" s="16"/>
      <c r="D907" s="16"/>
      <c r="E907" s="16"/>
    </row>
    <row r="908">
      <c r="A908" s="16"/>
      <c r="B908" s="16"/>
      <c r="C908" s="16"/>
      <c r="D908" s="16"/>
      <c r="E908" s="16"/>
    </row>
    <row r="909">
      <c r="A909" s="16"/>
      <c r="B909" s="16"/>
      <c r="C909" s="16"/>
      <c r="D909" s="16"/>
      <c r="E909" s="16"/>
    </row>
    <row r="910">
      <c r="A910" s="16"/>
      <c r="B910" s="16"/>
      <c r="C910" s="16"/>
      <c r="D910" s="16"/>
      <c r="E910" s="16"/>
    </row>
    <row r="911">
      <c r="A911" s="16"/>
      <c r="B911" s="16"/>
      <c r="C911" s="16"/>
      <c r="D911" s="16"/>
      <c r="E911" s="16"/>
    </row>
    <row r="912">
      <c r="A912" s="16"/>
      <c r="B912" s="16"/>
      <c r="C912" s="16"/>
      <c r="D912" s="16"/>
      <c r="E912" s="16"/>
    </row>
    <row r="913">
      <c r="A913" s="16"/>
      <c r="B913" s="16"/>
      <c r="C913" s="16"/>
      <c r="D913" s="16"/>
      <c r="E913" s="16"/>
    </row>
    <row r="914">
      <c r="A914" s="16"/>
      <c r="B914" s="16"/>
      <c r="C914" s="16"/>
      <c r="D914" s="16"/>
      <c r="E914" s="16"/>
    </row>
    <row r="915">
      <c r="A915" s="16"/>
      <c r="B915" s="16"/>
      <c r="C915" s="16"/>
      <c r="D915" s="16"/>
      <c r="E915" s="16"/>
    </row>
    <row r="916">
      <c r="A916" s="16"/>
      <c r="B916" s="16"/>
      <c r="C916" s="16"/>
      <c r="D916" s="16"/>
      <c r="E916" s="16"/>
    </row>
    <row r="917">
      <c r="A917" s="16"/>
      <c r="B917" s="16"/>
      <c r="C917" s="16"/>
      <c r="D917" s="16"/>
      <c r="E917" s="16"/>
    </row>
    <row r="918">
      <c r="A918" s="16"/>
      <c r="B918" s="16"/>
      <c r="C918" s="16"/>
      <c r="D918" s="16"/>
      <c r="E918" s="16"/>
    </row>
    <row r="919">
      <c r="A919" s="16"/>
      <c r="B919" s="16"/>
      <c r="C919" s="16"/>
      <c r="D919" s="16"/>
      <c r="E919" s="16"/>
    </row>
    <row r="920">
      <c r="A920" s="16"/>
      <c r="B920" s="16"/>
      <c r="C920" s="16"/>
      <c r="D920" s="16"/>
      <c r="E920" s="16"/>
    </row>
    <row r="921">
      <c r="A921" s="16"/>
      <c r="B921" s="16"/>
      <c r="C921" s="16"/>
      <c r="D921" s="16"/>
      <c r="E921" s="16"/>
    </row>
    <row r="922">
      <c r="A922" s="16"/>
      <c r="B922" s="16"/>
      <c r="C922" s="16"/>
      <c r="D922" s="16"/>
      <c r="E922" s="16"/>
    </row>
    <row r="923">
      <c r="A923" s="16"/>
      <c r="B923" s="16"/>
      <c r="C923" s="16"/>
      <c r="D923" s="16"/>
      <c r="E923" s="16"/>
    </row>
    <row r="924">
      <c r="A924" s="16"/>
      <c r="B924" s="16"/>
      <c r="C924" s="16"/>
      <c r="D924" s="16"/>
      <c r="E924" s="16"/>
    </row>
    <row r="925">
      <c r="A925" s="16"/>
      <c r="B925" s="16"/>
      <c r="C925" s="16"/>
      <c r="D925" s="16"/>
      <c r="E925" s="16"/>
    </row>
    <row r="926">
      <c r="A926" s="16"/>
      <c r="B926" s="16"/>
      <c r="C926" s="16"/>
      <c r="D926" s="16"/>
      <c r="E926" s="16"/>
    </row>
    <row r="927">
      <c r="A927" s="16"/>
      <c r="B927" s="16"/>
      <c r="C927" s="16"/>
      <c r="D927" s="16"/>
      <c r="E927" s="16"/>
    </row>
    <row r="928">
      <c r="A928" s="16"/>
      <c r="B928" s="16"/>
      <c r="C928" s="16"/>
      <c r="D928" s="16"/>
      <c r="E928" s="16"/>
    </row>
    <row r="929">
      <c r="A929" s="16"/>
      <c r="B929" s="16"/>
      <c r="C929" s="16"/>
      <c r="D929" s="16"/>
      <c r="E929" s="16"/>
    </row>
    <row r="930">
      <c r="A930" s="16"/>
      <c r="B930" s="16"/>
      <c r="C930" s="16"/>
      <c r="D930" s="16"/>
      <c r="E930" s="16"/>
    </row>
    <row r="931">
      <c r="A931" s="16"/>
      <c r="B931" s="16"/>
      <c r="C931" s="16"/>
      <c r="D931" s="16"/>
      <c r="E931" s="16"/>
    </row>
    <row r="932">
      <c r="A932" s="16"/>
      <c r="B932" s="16"/>
      <c r="C932" s="16"/>
      <c r="D932" s="16"/>
      <c r="E932" s="16"/>
    </row>
    <row r="933">
      <c r="A933" s="16"/>
      <c r="B933" s="16"/>
      <c r="C933" s="16"/>
      <c r="D933" s="16"/>
      <c r="E933" s="16"/>
    </row>
    <row r="934">
      <c r="A934" s="16"/>
      <c r="B934" s="16"/>
      <c r="C934" s="16"/>
      <c r="D934" s="16"/>
      <c r="E934" s="16"/>
    </row>
    <row r="935">
      <c r="A935" s="16"/>
      <c r="B935" s="16"/>
      <c r="C935" s="16"/>
      <c r="D935" s="16"/>
      <c r="E935" s="16"/>
    </row>
    <row r="936">
      <c r="A936" s="16"/>
      <c r="B936" s="16"/>
      <c r="C936" s="16"/>
      <c r="D936" s="16"/>
      <c r="E936" s="16"/>
    </row>
    <row r="937">
      <c r="A937" s="16"/>
      <c r="B937" s="16"/>
      <c r="C937" s="16"/>
      <c r="D937" s="16"/>
      <c r="E937" s="16"/>
    </row>
    <row r="938">
      <c r="A938" s="16"/>
      <c r="B938" s="16"/>
      <c r="C938" s="16"/>
      <c r="D938" s="16"/>
      <c r="E938" s="16"/>
    </row>
    <row r="939">
      <c r="A939" s="16"/>
      <c r="B939" s="16"/>
      <c r="C939" s="16"/>
      <c r="D939" s="16"/>
      <c r="E939" s="16"/>
    </row>
    <row r="940">
      <c r="A940" s="16"/>
      <c r="B940" s="16"/>
      <c r="C940" s="16"/>
      <c r="D940" s="16"/>
      <c r="E940" s="16"/>
    </row>
    <row r="941">
      <c r="A941" s="16"/>
      <c r="B941" s="16"/>
      <c r="C941" s="16"/>
      <c r="D941" s="16"/>
      <c r="E941" s="16"/>
    </row>
    <row r="942">
      <c r="A942" s="16"/>
      <c r="B942" s="16"/>
      <c r="C942" s="16"/>
      <c r="D942" s="16"/>
      <c r="E942" s="16"/>
    </row>
    <row r="943">
      <c r="A943" s="16"/>
      <c r="B943" s="16"/>
      <c r="C943" s="16"/>
      <c r="D943" s="16"/>
      <c r="E943" s="16"/>
    </row>
    <row r="944">
      <c r="A944" s="16"/>
      <c r="B944" s="16"/>
      <c r="C944" s="16"/>
      <c r="D944" s="16"/>
      <c r="E944" s="16"/>
    </row>
    <row r="945">
      <c r="A945" s="16"/>
      <c r="B945" s="16"/>
      <c r="C945" s="16"/>
      <c r="D945" s="16"/>
      <c r="E945" s="16"/>
    </row>
    <row r="946">
      <c r="A946" s="16"/>
      <c r="B946" s="16"/>
      <c r="C946" s="16"/>
      <c r="D946" s="16"/>
      <c r="E946" s="16"/>
    </row>
    <row r="947">
      <c r="A947" s="16"/>
      <c r="B947" s="16"/>
      <c r="C947" s="16"/>
      <c r="D947" s="16"/>
      <c r="E947" s="16"/>
    </row>
    <row r="948">
      <c r="A948" s="16"/>
      <c r="B948" s="16"/>
      <c r="C948" s="16"/>
      <c r="D948" s="16"/>
      <c r="E948" s="16"/>
    </row>
    <row r="949">
      <c r="A949" s="16"/>
      <c r="B949" s="16"/>
      <c r="C949" s="16"/>
      <c r="D949" s="16"/>
      <c r="E949" s="16"/>
    </row>
    <row r="950">
      <c r="A950" s="16"/>
      <c r="B950" s="16"/>
      <c r="C950" s="16"/>
      <c r="D950" s="16"/>
      <c r="E950" s="16"/>
    </row>
    <row r="951">
      <c r="A951" s="16"/>
      <c r="B951" s="16"/>
      <c r="C951" s="16"/>
      <c r="D951" s="16"/>
      <c r="E951" s="16"/>
    </row>
    <row r="952">
      <c r="A952" s="16"/>
      <c r="B952" s="16"/>
      <c r="C952" s="16"/>
      <c r="D952" s="16"/>
      <c r="E952" s="16"/>
    </row>
    <row r="953">
      <c r="A953" s="16"/>
      <c r="B953" s="16"/>
      <c r="C953" s="16"/>
      <c r="D953" s="16"/>
      <c r="E953" s="16"/>
    </row>
    <row r="954">
      <c r="A954" s="16"/>
      <c r="B954" s="16"/>
      <c r="C954" s="16"/>
      <c r="D954" s="16"/>
      <c r="E954" s="16"/>
    </row>
    <row r="955">
      <c r="A955" s="16"/>
      <c r="B955" s="16"/>
      <c r="C955" s="16"/>
      <c r="D955" s="16"/>
      <c r="E955" s="16"/>
    </row>
    <row r="956">
      <c r="A956" s="16"/>
      <c r="B956" s="16"/>
      <c r="C956" s="16"/>
      <c r="D956" s="16"/>
      <c r="E956" s="16"/>
    </row>
    <row r="957">
      <c r="A957" s="16"/>
      <c r="B957" s="16"/>
      <c r="C957" s="16"/>
      <c r="D957" s="16"/>
      <c r="E957" s="16"/>
    </row>
    <row r="958">
      <c r="A958" s="16"/>
      <c r="B958" s="16"/>
      <c r="C958" s="16"/>
      <c r="D958" s="16"/>
      <c r="E958" s="16"/>
    </row>
    <row r="959">
      <c r="A959" s="16"/>
      <c r="B959" s="16"/>
      <c r="C959" s="16"/>
      <c r="D959" s="16"/>
      <c r="E959" s="16"/>
    </row>
    <row r="960">
      <c r="A960" s="16"/>
      <c r="B960" s="16"/>
      <c r="C960" s="16"/>
      <c r="D960" s="16"/>
      <c r="E960" s="16"/>
    </row>
    <row r="961">
      <c r="A961" s="16"/>
      <c r="B961" s="16"/>
      <c r="C961" s="16"/>
      <c r="D961" s="16"/>
      <c r="E961" s="16"/>
    </row>
    <row r="962">
      <c r="A962" s="16"/>
      <c r="B962" s="16"/>
      <c r="C962" s="16"/>
      <c r="D962" s="16"/>
      <c r="E962" s="16"/>
    </row>
    <row r="963">
      <c r="A963" s="16"/>
      <c r="B963" s="16"/>
      <c r="C963" s="16"/>
      <c r="D963" s="16"/>
      <c r="E963" s="16"/>
    </row>
    <row r="964">
      <c r="A964" s="16"/>
      <c r="B964" s="16"/>
      <c r="C964" s="16"/>
      <c r="D964" s="16"/>
      <c r="E964" s="16"/>
    </row>
    <row r="965">
      <c r="A965" s="16"/>
      <c r="B965" s="16"/>
      <c r="C965" s="16"/>
      <c r="D965" s="16"/>
      <c r="E965" s="16"/>
    </row>
    <row r="966">
      <c r="A966" s="16"/>
      <c r="B966" s="16"/>
      <c r="C966" s="16"/>
      <c r="D966" s="16"/>
      <c r="E966" s="16"/>
    </row>
    <row r="967">
      <c r="A967" s="16"/>
      <c r="B967" s="16"/>
      <c r="C967" s="16"/>
      <c r="D967" s="16"/>
      <c r="E967" s="16"/>
    </row>
    <row r="968">
      <c r="A968" s="16"/>
      <c r="B968" s="16"/>
      <c r="C968" s="16"/>
      <c r="D968" s="16"/>
      <c r="E968" s="16"/>
    </row>
    <row r="969">
      <c r="A969" s="16"/>
      <c r="B969" s="16"/>
      <c r="C969" s="16"/>
      <c r="D969" s="16"/>
      <c r="E969" s="16"/>
    </row>
    <row r="970">
      <c r="A970" s="16"/>
      <c r="B970" s="16"/>
      <c r="C970" s="16"/>
      <c r="D970" s="16"/>
      <c r="E970" s="16"/>
    </row>
    <row r="971">
      <c r="A971" s="16"/>
      <c r="B971" s="16"/>
      <c r="C971" s="16"/>
      <c r="D971" s="16"/>
      <c r="E971" s="16"/>
    </row>
    <row r="972">
      <c r="A972" s="16"/>
      <c r="B972" s="16"/>
      <c r="C972" s="16"/>
      <c r="D972" s="16"/>
      <c r="E972" s="16"/>
    </row>
    <row r="973">
      <c r="A973" s="16"/>
      <c r="B973" s="16"/>
      <c r="C973" s="16"/>
      <c r="D973" s="16"/>
      <c r="E973" s="16"/>
    </row>
    <row r="974">
      <c r="A974" s="16"/>
      <c r="B974" s="16"/>
      <c r="C974" s="16"/>
      <c r="D974" s="16"/>
      <c r="E974" s="16"/>
    </row>
    <row r="975">
      <c r="A975" s="16"/>
      <c r="B975" s="16"/>
      <c r="C975" s="16"/>
      <c r="D975" s="16"/>
      <c r="E975" s="16"/>
    </row>
    <row r="976">
      <c r="A976" s="16"/>
      <c r="B976" s="16"/>
      <c r="C976" s="16"/>
      <c r="D976" s="16"/>
      <c r="E976" s="16"/>
    </row>
    <row r="977">
      <c r="A977" s="16"/>
      <c r="B977" s="16"/>
      <c r="C977" s="16"/>
      <c r="D977" s="16"/>
      <c r="E977" s="16"/>
    </row>
    <row r="978">
      <c r="A978" s="16"/>
      <c r="B978" s="16"/>
      <c r="C978" s="16"/>
      <c r="D978" s="16"/>
      <c r="E978" s="16"/>
    </row>
    <row r="979">
      <c r="A979" s="16"/>
      <c r="B979" s="16"/>
      <c r="C979" s="16"/>
      <c r="D979" s="16"/>
      <c r="E979" s="16"/>
    </row>
    <row r="980">
      <c r="A980" s="16"/>
      <c r="B980" s="16"/>
      <c r="C980" s="16"/>
      <c r="D980" s="16"/>
      <c r="E980" s="16"/>
    </row>
    <row r="981">
      <c r="A981" s="16"/>
      <c r="B981" s="16"/>
      <c r="C981" s="16"/>
      <c r="D981" s="16"/>
      <c r="E981" s="16"/>
    </row>
    <row r="982">
      <c r="A982" s="16"/>
      <c r="B982" s="16"/>
      <c r="C982" s="16"/>
      <c r="D982" s="16"/>
      <c r="E982" s="16"/>
    </row>
    <row r="983">
      <c r="A983" s="16"/>
      <c r="B983" s="16"/>
      <c r="C983" s="16"/>
      <c r="D983" s="16"/>
      <c r="E983" s="16"/>
    </row>
    <row r="984">
      <c r="A984" s="16"/>
      <c r="B984" s="16"/>
      <c r="C984" s="16"/>
      <c r="D984" s="16"/>
      <c r="E984" s="16"/>
    </row>
    <row r="985">
      <c r="A985" s="16"/>
      <c r="B985" s="16"/>
      <c r="C985" s="16"/>
      <c r="D985" s="16"/>
      <c r="E985" s="16"/>
    </row>
    <row r="986">
      <c r="A986" s="16"/>
      <c r="B986" s="16"/>
      <c r="C986" s="16"/>
      <c r="D986" s="16"/>
      <c r="E986" s="16"/>
    </row>
    <row r="987">
      <c r="A987" s="16"/>
      <c r="B987" s="16"/>
      <c r="C987" s="16"/>
      <c r="D987" s="16"/>
      <c r="E987" s="16"/>
    </row>
    <row r="988">
      <c r="A988" s="16"/>
      <c r="B988" s="16"/>
      <c r="C988" s="16"/>
      <c r="D988" s="16"/>
      <c r="E988" s="16"/>
    </row>
    <row r="989">
      <c r="A989" s="16"/>
      <c r="B989" s="16"/>
      <c r="C989" s="16"/>
      <c r="D989" s="16"/>
      <c r="E989" s="16"/>
    </row>
    <row r="990">
      <c r="A990" s="16"/>
      <c r="B990" s="16"/>
      <c r="C990" s="16"/>
      <c r="D990" s="16"/>
      <c r="E990" s="16"/>
    </row>
    <row r="991">
      <c r="A991" s="16"/>
      <c r="B991" s="16"/>
      <c r="C991" s="16"/>
      <c r="D991" s="16"/>
      <c r="E991" s="16"/>
    </row>
    <row r="992">
      <c r="A992" s="16"/>
      <c r="B992" s="16"/>
      <c r="C992" s="16"/>
      <c r="D992" s="16"/>
      <c r="E992" s="16"/>
    </row>
    <row r="993">
      <c r="A993" s="16"/>
      <c r="B993" s="16"/>
      <c r="C993" s="16"/>
      <c r="D993" s="16"/>
      <c r="E993" s="16"/>
    </row>
    <row r="994">
      <c r="A994" s="16"/>
      <c r="B994" s="16"/>
      <c r="C994" s="16"/>
      <c r="D994" s="16"/>
      <c r="E994" s="16"/>
    </row>
    <row r="995">
      <c r="A995" s="16"/>
      <c r="B995" s="16"/>
      <c r="C995" s="16"/>
      <c r="D995" s="16"/>
      <c r="E995" s="16"/>
    </row>
    <row r="996">
      <c r="A996" s="16"/>
      <c r="B996" s="16"/>
      <c r="C996" s="16"/>
      <c r="D996" s="16"/>
      <c r="E996" s="16"/>
    </row>
    <row r="997">
      <c r="A997" s="16"/>
      <c r="B997" s="16"/>
      <c r="C997" s="16"/>
      <c r="D997" s="16"/>
      <c r="E997" s="16"/>
    </row>
    <row r="998">
      <c r="A998" s="16"/>
      <c r="B998" s="16"/>
      <c r="C998" s="16"/>
      <c r="D998" s="16"/>
      <c r="E998" s="16"/>
    </row>
    <row r="999">
      <c r="A999" s="16"/>
      <c r="B999" s="16"/>
      <c r="C999" s="16"/>
      <c r="D999" s="16"/>
      <c r="E999" s="16"/>
    </row>
    <row r="1000">
      <c r="A1000" s="16"/>
      <c r="B1000" s="16"/>
      <c r="C1000" s="16"/>
      <c r="D1000" s="16"/>
      <c r="E1000" s="16"/>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88"/>
    <col customWidth="1" min="2" max="2" width="110.5"/>
    <col customWidth="1" min="3" max="3" width="21.5"/>
    <col customWidth="1" min="4" max="4" width="23.25"/>
    <col customWidth="1" min="5" max="5" width="37.88"/>
  </cols>
  <sheetData>
    <row r="1">
      <c r="A1" s="91" t="str">
        <f>IFERROR(__xludf.DUMMYFUNCTION("IMPORTRANGE(""https://docs.google.com/spreadsheets/d/""&amp;Config!B1,""Factions!A:AX"")"),"Faction")</f>
        <v>Faction</v>
      </c>
      <c r="B1" s="91" t="str">
        <f>IFERROR(__xludf.DUMMYFUNCTION("""COMPUTED_VALUE"""),"Faction Description")</f>
        <v>Faction Description</v>
      </c>
      <c r="C1" s="91" t="str">
        <f>IFERROR(__xludf.DUMMYFUNCTION("""COMPUTED_VALUE"""),"Faction Ability 1")</f>
        <v>Faction Ability 1</v>
      </c>
      <c r="D1" s="91" t="str">
        <f>IFERROR(__xludf.DUMMYFUNCTION("""COMPUTED_VALUE"""),"Ability Description 1")</f>
        <v>Ability Description 1</v>
      </c>
      <c r="E1" s="91" t="str">
        <f>IFERROR(__xludf.DUMMYFUNCTION("""COMPUTED_VALUE"""),"Faction Ability 2")</f>
        <v>Faction Ability 2</v>
      </c>
      <c r="F1" s="16" t="str">
        <f>IFERROR(__xludf.DUMMYFUNCTION("""COMPUTED_VALUE"""),"Ability Description 2")</f>
        <v>Ability Description 2</v>
      </c>
      <c r="G1" s="16" t="str">
        <f>IFERROR(__xludf.DUMMYFUNCTION("""COMPUTED_VALUE"""),"Faction Ability 3")</f>
        <v>Faction Ability 3</v>
      </c>
      <c r="H1" s="16" t="str">
        <f>IFERROR(__xludf.DUMMYFUNCTION("""COMPUTED_VALUE"""),"Ability Description 3")</f>
        <v>Ability Description 3</v>
      </c>
      <c r="I1" s="16" t="str">
        <f>IFERROR(__xludf.DUMMYFUNCTION("""COMPUTED_VALUE"""),"Lawful Good")</f>
        <v>Lawful Good</v>
      </c>
      <c r="J1" s="16" t="str">
        <f>IFERROR(__xludf.DUMMYFUNCTION("""COMPUTED_VALUE"""),"Neutral Good")</f>
        <v>Neutral Good</v>
      </c>
      <c r="K1" s="16" t="str">
        <f>IFERROR(__xludf.DUMMYFUNCTION("""COMPUTED_VALUE"""),"Chaotic Good")</f>
        <v>Chaotic Good</v>
      </c>
      <c r="L1" s="16" t="str">
        <f>IFERROR(__xludf.DUMMYFUNCTION("""COMPUTED_VALUE"""),"Lawful Neutral")</f>
        <v>Lawful Neutral</v>
      </c>
      <c r="M1" s="16" t="str">
        <f>IFERROR(__xludf.DUMMYFUNCTION("""COMPUTED_VALUE"""),"True Neutral")</f>
        <v>True Neutral</v>
      </c>
      <c r="N1" s="16" t="str">
        <f>IFERROR(__xludf.DUMMYFUNCTION("""COMPUTED_VALUE"""),"Chaotic Neutral")</f>
        <v>Chaotic Neutral</v>
      </c>
      <c r="O1" s="16" t="str">
        <f>IFERROR(__xludf.DUMMYFUNCTION("""COMPUTED_VALUE"""),"Lawful Evil")</f>
        <v>Lawful Evil</v>
      </c>
      <c r="P1" s="16" t="str">
        <f>IFERROR(__xludf.DUMMYFUNCTION("""COMPUTED_VALUE"""),"Neutral Evil")</f>
        <v>Neutral Evil</v>
      </c>
      <c r="Q1" s="16" t="str">
        <f>IFERROR(__xludf.DUMMYFUNCTION("""COMPUTED_VALUE"""),"Chaotic Evil")</f>
        <v>Chaotic Evil</v>
      </c>
      <c r="R1" s="16"/>
      <c r="S1" s="16"/>
      <c r="T1" s="16"/>
      <c r="U1" s="16"/>
      <c r="V1" s="16"/>
      <c r="W1" s="16"/>
      <c r="X1" s="16"/>
      <c r="Y1" s="16"/>
      <c r="Z1" s="16"/>
    </row>
    <row r="2">
      <c r="A2" s="115" t="str">
        <f>IFERROR(__xludf.DUMMYFUNCTION("""COMPUTED_VALUE"""),"The Heroes of Spira")</f>
        <v>The Heroes of Spira</v>
      </c>
      <c r="B2" s="116" t="str">
        <f>IFERROR(__xludf.DUMMYFUNCTION("""COMPUTED_VALUE"""),"The Heroes of Spira are a renowned and revered faction within The Land of Spira. Comprising a diverse group of individuals from different walks of life, they have united under a common cause: to protect the realm, its inhabitants, and its mystical treasur"&amp;"es from the sinister ambitions of Lord Dreadful and his malevolent forces.
These heroes are characterized by their unwavering dedication to justice, selflessness, and a deep-seated commitment to the betterment of their land. They have earned their reputa"&amp;"tion through countless acts of bravery and valor, often risking their lives to confront dangerous creatures, thwart nefarious plots, and safeguard the realm's most cherished relics.
The Heroes of Spira consist of a wide range of members, including warrio"&amp;"rs, mages, scholars, and adventurers. Each member brings a unique set of skills and knowledge to the faction, making them a formidable force against any threat. Their camaraderie and unity are the driving forces behind their continued success in facing th"&amp;"e challenges that plague The Land of Spira.
In times of crisis, the heroes come together to strategize, share intelligence, and embark on daring quests to uphold the values of honor and righteousness. They are the beacon of hope for the realm's citizens,"&amp;" symbolizing the potential for good even in the face of overwhelming darkness.")</f>
        <v>The Heroes of Spira are a renowned and revered faction within The Land of Spira. Comprising a diverse group of individuals from different walks of life, they have united under a common cause: to protect the realm, its inhabitants, and its mystical treasures from the sinister ambitions of Lord Dreadful and his malevolent forces.
These heroes are characterized by their unwavering dedication to justice, selflessness, and a deep-seated commitment to the betterment of their land. They have earned their reputation through countless acts of bravery and valor, often risking their lives to confront dangerous creatures, thwart nefarious plots, and safeguard the realm's most cherished relics.
The Heroes of Spira consist of a wide range of members, including warriors, mages, scholars, and adventurers. Each member brings a unique set of skills and knowledge to the faction, making them a formidable force against any threat. Their camaraderie and unity are the driving forces behind their continued success in facing the challenges that plague The Land of Spira.
In times of crisis, the heroes come together to strategize, share intelligence, and embark on daring quests to uphold the values of honor and righteousness. They are the beacon of hope for the realm's citizens, symbolizing the potential for good even in the face of overwhelming darkness.</v>
      </c>
      <c r="C2" s="115" t="str">
        <f>IFERROR(__xludf.DUMMYFUNCTION("""COMPUTED_VALUE"""),"Extra Treasure")</f>
        <v>Extra Treasure</v>
      </c>
      <c r="D2" s="117" t="str">
        <f>IFERROR(__xludf.DUMMYFUNCTION("""COMPUTED_VALUE"""),"When rolling for loot Double what you get from your first roll for Mob loot.")</f>
        <v>When rolling for loot Double what you get from your first roll for Mob loot.</v>
      </c>
      <c r="E2" s="117" t="str">
        <f>IFERROR(__xludf.DUMMYFUNCTION("""COMPUTED_VALUE"""),"Hidden Treasure")</f>
        <v>Hidden Treasure</v>
      </c>
      <c r="F2" s="16" t="str">
        <f>IFERROR(__xludf.DUMMYFUNCTION("""COMPUTED_VALUE"""),"At the end of a battle, If a mob does not drop loot you get 50,000G.")</f>
        <v>At the end of a battle, If a mob does not drop loot you get 50,000G.</v>
      </c>
      <c r="G2" s="16" t="str">
        <f>IFERROR(__xludf.DUMMYFUNCTION("""COMPUTED_VALUE"""),"Burried Treasure")</f>
        <v>Burried Treasure</v>
      </c>
      <c r="H2" s="16" t="str">
        <f>IFERROR(__xludf.DUMMYFUNCTION("""COMPUTED_VALUE"""),"10% Chance of finding a Tier 1 Treasure Chest during any good day of travel. Unaffected by bonuses.")</f>
        <v>10% Chance of finding a Tier 1 Treasure Chest during any good day of travel. Unaffected by bonuses.</v>
      </c>
      <c r="I2" s="16" t="b">
        <f>IFERROR(__xludf.DUMMYFUNCTION("""COMPUTED_VALUE"""),TRUE)</f>
        <v>1</v>
      </c>
      <c r="J2" s="16" t="b">
        <f>IFERROR(__xludf.DUMMYFUNCTION("""COMPUTED_VALUE"""),TRUE)</f>
        <v>1</v>
      </c>
      <c r="K2" s="16" t="b">
        <f>IFERROR(__xludf.DUMMYFUNCTION("""COMPUTED_VALUE"""),TRUE)</f>
        <v>1</v>
      </c>
      <c r="L2" s="16" t="b">
        <f>IFERROR(__xludf.DUMMYFUNCTION("""COMPUTED_VALUE"""),TRUE)</f>
        <v>1</v>
      </c>
      <c r="M2" s="16" t="b">
        <f>IFERROR(__xludf.DUMMYFUNCTION("""COMPUTED_VALUE"""),TRUE)</f>
        <v>1</v>
      </c>
      <c r="N2" s="16" t="b">
        <f>IFERROR(__xludf.DUMMYFUNCTION("""COMPUTED_VALUE"""),TRUE)</f>
        <v>1</v>
      </c>
      <c r="O2" s="16" t="b">
        <f>IFERROR(__xludf.DUMMYFUNCTION("""COMPUTED_VALUE"""),TRUE)</f>
        <v>1</v>
      </c>
      <c r="P2" s="16" t="b">
        <f>IFERROR(__xludf.DUMMYFUNCTION("""COMPUTED_VALUE"""),TRUE)</f>
        <v>1</v>
      </c>
      <c r="Q2" s="16" t="b">
        <f>IFERROR(__xludf.DUMMYFUNCTION("""COMPUTED_VALUE"""),TRUE)</f>
        <v>1</v>
      </c>
      <c r="R2" s="16"/>
      <c r="S2" s="16"/>
      <c r="T2" s="16"/>
      <c r="U2" s="16"/>
      <c r="V2" s="16"/>
      <c r="W2" s="16"/>
      <c r="X2" s="16"/>
      <c r="Y2" s="16"/>
      <c r="Z2" s="16"/>
    </row>
    <row r="3">
      <c r="A3" s="115" t="str">
        <f>IFERROR(__xludf.DUMMYFUNCTION("""COMPUTED_VALUE"""),"The Cult of Dreadful")</f>
        <v>The Cult of Dreadful</v>
      </c>
      <c r="B3" s="116" t="str">
        <f>IFERROR(__xludf.DUMMYFUNCTION("""COMPUTED_VALUE"""),"The Cult of Dreadful is a secretive and malevolent faction that has long been a dark shadow cast upon The Land of Spira. Its members are fanatical devotees of Lord Dreadful, an enigmatic and sinister figure with ambitions that threaten the peace and stabi"&amp;"lity of the realm.
This cult's activities are shrouded in secrecy, and its membership is composed of individuals from various backgrounds, all drawn together by their unwavering loyalty to Lord Dreadful and their commitment to carrying out his nefarious "&amp;"plans. The Cult of Dreadful is known for its insidious rituals, forbidden magic, and ruthless tactics, all of which are used to further the agenda of their enigmatic leader.
One of the cult's primary objectives is to acquire and harness the power of anci"&amp;"ent artifacts and mystical relics scattered throughout The Land of Spira. These artifacts are believed to grant unimaginable power, and the cult seeks to use them to aid Lord Dreadful in his quest for dominance. The cult's members are willing to go to gre"&amp;"at lengths, including sabotage, espionage, and even violence, to achieve their malevolent goals.
Their actions have not gone unnoticed, and they are widely feared and reviled throughout the land. The Cult of Dreadful operates in the shadows, making it di"&amp;"fficult for law enforcement and other factions to track and combat their activities effectively.")</f>
        <v>The Cult of Dreadful is a secretive and malevolent faction that has long been a dark shadow cast upon The Land of Spira. Its members are fanatical devotees of Lord Dreadful, an enigmatic and sinister figure with ambitions that threaten the peace and stability of the realm.
This cult's activities are shrouded in secrecy, and its membership is composed of individuals from various backgrounds, all drawn together by their unwavering loyalty to Lord Dreadful and their commitment to carrying out his nefarious plans. The Cult of Dreadful is known for its insidious rituals, forbidden magic, and ruthless tactics, all of which are used to further the agenda of their enigmatic leader.
One of the cult's primary objectives is to acquire and harness the power of ancient artifacts and mystical relics scattered throughout The Land of Spira. These artifacts are believed to grant unimaginable power, and the cult seeks to use them to aid Lord Dreadful in his quest for dominance. The cult's members are willing to go to great lengths, including sabotage, espionage, and even violence, to achieve their malevolent goals.
Their actions have not gone unnoticed, and they are widely feared and reviled throughout the land. The Cult of Dreadful operates in the shadows, making it difficult for law enforcement and other factions to track and combat their activities effectively.</v>
      </c>
      <c r="C3" s="115" t="str">
        <f>IFERROR(__xludf.DUMMYFUNCTION("""COMPUTED_VALUE"""),"Lesser Pain")</f>
        <v>Lesser Pain</v>
      </c>
      <c r="D3" s="117" t="str">
        <f>IFERROR(__xludf.DUMMYFUNCTION("""COMPUTED_VALUE"""),"Half the HP costs for Blood Spells, and Half the SP costs for Dark, Chaos, and Voodoo Spells.")</f>
        <v>Half the HP costs for Blood Spells, and Half the SP costs for Dark, Chaos, and Voodoo Spells.</v>
      </c>
      <c r="E3" s="117" t="str">
        <f>IFERROR(__xludf.DUMMYFUNCTION("""COMPUTED_VALUE"""),"Lord Dreadful's Offering")</f>
        <v>Lord Dreadful's Offering</v>
      </c>
      <c r="F3" s="16" t="str">
        <f>IFERROR(__xludf.DUMMYFUNCTION("""COMPUTED_VALUE"""),"If you were to take damage that would kill you, you will have a 20% chance to direct that damage to a random party member or enemy insead but your current HP will be set to 1.")</f>
        <v>If you were to take damage that would kill you, you will have a 20% chance to direct that damage to a random party member or enemy insead but your current HP will be set to 1.</v>
      </c>
      <c r="G3" s="16" t="str">
        <f>IFERROR(__xludf.DUMMYFUNCTION("""COMPUTED_VALUE"""),"Lord Dreadful's Madness")</f>
        <v>Lord Dreadful's Madness</v>
      </c>
      <c r="H3" s="16" t="str">
        <f>IFERROR(__xludf.DUMMYFUNCTION("""COMPUTED_VALUE"""),"Allows you to roll 2d20 when using an item with a random effect sheet.")</f>
        <v>Allows you to roll 2d20 when using an item with a random effect sheet.</v>
      </c>
      <c r="I3" s="16" t="b">
        <f>IFERROR(__xludf.DUMMYFUNCTION("""COMPUTED_VALUE"""),TRUE)</f>
        <v>1</v>
      </c>
      <c r="J3" s="16" t="b">
        <f>IFERROR(__xludf.DUMMYFUNCTION("""COMPUTED_VALUE"""),TRUE)</f>
        <v>1</v>
      </c>
      <c r="K3" s="16" t="b">
        <f>IFERROR(__xludf.DUMMYFUNCTION("""COMPUTED_VALUE"""),TRUE)</f>
        <v>1</v>
      </c>
      <c r="L3" s="16" t="b">
        <f>IFERROR(__xludf.DUMMYFUNCTION("""COMPUTED_VALUE"""),TRUE)</f>
        <v>1</v>
      </c>
      <c r="M3" s="16" t="b">
        <f>IFERROR(__xludf.DUMMYFUNCTION("""COMPUTED_VALUE"""),TRUE)</f>
        <v>1</v>
      </c>
      <c r="N3" s="16" t="b">
        <f>IFERROR(__xludf.DUMMYFUNCTION("""COMPUTED_VALUE"""),TRUE)</f>
        <v>1</v>
      </c>
      <c r="O3" s="16" t="b">
        <f>IFERROR(__xludf.DUMMYFUNCTION("""COMPUTED_VALUE"""),TRUE)</f>
        <v>1</v>
      </c>
      <c r="P3" s="16" t="b">
        <f>IFERROR(__xludf.DUMMYFUNCTION("""COMPUTED_VALUE"""),TRUE)</f>
        <v>1</v>
      </c>
      <c r="Q3" s="16" t="b">
        <f>IFERROR(__xludf.DUMMYFUNCTION("""COMPUTED_VALUE"""),TRUE)</f>
        <v>1</v>
      </c>
      <c r="R3" s="16"/>
      <c r="S3" s="16"/>
      <c r="T3" s="16"/>
      <c r="U3" s="16"/>
      <c r="V3" s="16"/>
      <c r="W3" s="16"/>
      <c r="X3" s="16"/>
      <c r="Y3" s="16"/>
      <c r="Z3" s="16"/>
    </row>
    <row r="4">
      <c r="A4" s="115" t="str">
        <f>IFERROR(__xludf.DUMMYFUNCTION("""COMPUTED_VALUE"""),"The Storm Shamans")</f>
        <v>The Storm Shamans</v>
      </c>
      <c r="B4" s="116" t="str">
        <f>IFERROR(__xludf.DUMMYFUNCTION("""COMPUTED_VALUE"""),"The Storm Shamans are a revered and ancient faction within The Land of Spira, closely associated with the elemental powers of the sky and the domain of Zeus, the Thunder God. This faction is comprised of skilled and knowledgeable individuals who have dedi"&amp;"cated their lives to the study and mastery of the atmospheric and electrical forces that Zeus, the divine figure of thunder and lightning, represents.
Members of The Storm Shamans are highly regarded as keepers of sacred knowledge and wielders of tremend"&amp;"ous power. They are well-versed in the secrets of meteorology, atmospheric manipulation, and the harnessing of electricity as both a destructive and protective force. Their abilities allow them to conjure lightning, control weather patterns, and protect t"&amp;"he land from the devastation of violent storms.
The Storm Shamans are also known for their connection to the divine realm and their ability to communicate with and seek the blessings of Zeus. Their rituals often involve intricate ceremonies, invoking the"&amp;" Thunder God's favor to bring rain in times of drought or to shield the land from the wrath of thunderstorms. In times of great need, they have been called upon to use their powers to defend the realm from supernatural threats and natural disasters.
The "&amp;"faction's members come from diverse backgrounds and may include mages, druids, scholars, and weather experts. They undergo rigorous training and initiations to harness their abilities and deepen their connection to the elemental forces that Zeus governs.
"&amp;"
The Storm Shamans are not only guardians of the realm's skies but also its protectors, ensuring that the forces of nature remain in balance and harmony. Their presence is a source of solace and hope for the realm's inhabitants, as they can call upon the "&amp;"Storm Shamans to shield them from natural calamities and provide guidance in times of meteorological distress.")</f>
        <v>The Storm Shamans are a revered and ancient faction within The Land of Spira, closely associated with the elemental powers of the sky and the domain of Zeus, the Thunder God. This faction is comprised of skilled and knowledgeable individuals who have dedicated their lives to the study and mastery of the atmospheric and electrical forces that Zeus, the divine figure of thunder and lightning, represents.
Members of The Storm Shamans are highly regarded as keepers of sacred knowledge and wielders of tremendous power. They are well-versed in the secrets of meteorology, atmospheric manipulation, and the harnessing of electricity as both a destructive and protective force. Their abilities allow them to conjure lightning, control weather patterns, and protect the land from the devastation of violent storms.
The Storm Shamans are also known for their connection to the divine realm and their ability to communicate with and seek the blessings of Zeus. Their rituals often involve intricate ceremonies, invoking the Thunder God's favor to bring rain in times of drought or to shield the land from the wrath of thunderstorms. In times of great need, they have been called upon to use their powers to defend the realm from supernatural threats and natural disasters.
The faction's members come from diverse backgrounds and may include mages, druids, scholars, and weather experts. They undergo rigorous training and initiations to harness their abilities and deepen their connection to the elemental forces that Zeus governs.
The Storm Shamans are not only guardians of the realm's skies but also its protectors, ensuring that the forces of nature remain in balance and harmony. Their presence is a source of solace and hope for the realm's inhabitants, as they can call upon the Storm Shamans to shield them from natural calamities and provide guidance in times of meteorological distress.</v>
      </c>
      <c r="C4" s="115" t="str">
        <f>IFERROR(__xludf.DUMMYFUNCTION("""COMPUTED_VALUE"""),"Storming Vengeance ")</f>
        <v>Storming Vengeance </v>
      </c>
      <c r="D4" s="117" t="str">
        <f>IFERROR(__xludf.DUMMYFUNCTION("""COMPUTED_VALUE"""),"+5 evasion and mobility if the weather is stormy.")</f>
        <v>+5 evasion and mobility if the weather is stormy.</v>
      </c>
      <c r="E4" s="117" t="str">
        <f>IFERROR(__xludf.DUMMYFUNCTION("""COMPUTED_VALUE"""),"Storming Vengeance II")</f>
        <v>Storming Vengeance II</v>
      </c>
      <c r="F4" s="16" t="str">
        <f>IFERROR(__xludf.DUMMYFUNCTION("""COMPUTED_VALUE"""),"X2 additional Storm damage for the user.")</f>
        <v>X2 additional Storm damage for the user.</v>
      </c>
      <c r="G4" s="16" t="str">
        <f>IFERROR(__xludf.DUMMYFUNCTION("""COMPUTED_VALUE"""),"Storming Vengeance III")</f>
        <v>Storming Vengeance III</v>
      </c>
      <c r="H4" s="16" t="str">
        <f>IFERROR(__xludf.DUMMYFUNCTION("""COMPUTED_VALUE"""),"All Storm Related Attacks have a 20% chance to stun the target(s) they hit for 3 rounds.")</f>
        <v>All Storm Related Attacks have a 20% chance to stun the target(s) they hit for 3 rounds.</v>
      </c>
      <c r="I4" s="16" t="b">
        <f>IFERROR(__xludf.DUMMYFUNCTION("""COMPUTED_VALUE"""),TRUE)</f>
        <v>1</v>
      </c>
      <c r="J4" s="16" t="b">
        <f>IFERROR(__xludf.DUMMYFUNCTION("""COMPUTED_VALUE"""),TRUE)</f>
        <v>1</v>
      </c>
      <c r="K4" s="16" t="b">
        <f>IFERROR(__xludf.DUMMYFUNCTION("""COMPUTED_VALUE"""),TRUE)</f>
        <v>1</v>
      </c>
      <c r="L4" s="16" t="b">
        <f>IFERROR(__xludf.DUMMYFUNCTION("""COMPUTED_VALUE"""),TRUE)</f>
        <v>1</v>
      </c>
      <c r="M4" s="16" t="b">
        <f>IFERROR(__xludf.DUMMYFUNCTION("""COMPUTED_VALUE"""),TRUE)</f>
        <v>1</v>
      </c>
      <c r="N4" s="16" t="b">
        <f>IFERROR(__xludf.DUMMYFUNCTION("""COMPUTED_VALUE"""),TRUE)</f>
        <v>1</v>
      </c>
      <c r="O4" s="16" t="b">
        <f>IFERROR(__xludf.DUMMYFUNCTION("""COMPUTED_VALUE"""),TRUE)</f>
        <v>1</v>
      </c>
      <c r="P4" s="16" t="b">
        <f>IFERROR(__xludf.DUMMYFUNCTION("""COMPUTED_VALUE"""),TRUE)</f>
        <v>1</v>
      </c>
      <c r="Q4" s="16" t="b">
        <f>IFERROR(__xludf.DUMMYFUNCTION("""COMPUTED_VALUE"""),TRUE)</f>
        <v>1</v>
      </c>
      <c r="R4" s="16"/>
      <c r="S4" s="16"/>
      <c r="T4" s="16"/>
      <c r="U4" s="16"/>
      <c r="V4" s="16"/>
      <c r="W4" s="16"/>
      <c r="X4" s="16"/>
      <c r="Y4" s="16"/>
      <c r="Z4" s="16"/>
    </row>
    <row r="5">
      <c r="A5" s="115" t="str">
        <f>IFERROR(__xludf.DUMMYFUNCTION("""COMPUTED_VALUE"""),"The Graceful Defenders")</f>
        <v>The Graceful Defenders</v>
      </c>
      <c r="B5" s="116" t="str">
        <f>IFERROR(__xludf.DUMMYFUNCTION("""COMPUTED_VALUE"""),"The Graceful Defenders are an esteemed faction deeply rooted in the principles of defense and the reverence of Gaia, the Goddess of Earth. Their mission revolves around safeguarding the realms, the environment, and all life that inhabits it from external "&amp;"threats, be they supernatural, magical, or mortal in nature.
Members of The Graceful Defenders are warriors, guardians, and protectors, united by their unwavering commitment to the security and preservation of the land. Their training encompasses a blend"&amp;" of martial skills, mystical prowess, and a profound connection to the earth itself. These defenders have a unique ability to harness the power of the earth, manipulating the very terrain beneath them to enhance their protective capabilities.
The faction"&amp;" is composed of a diverse group of individuals, including knights, elementalists, geomancers, and druidic guardians. Their shared belief in the sanctity of the earth, its resources, and its inhabitants unites them as a formidable force.
The Graceful Defe"&amp;"nders are often called upon in times of crisis, whether it be defending villages from marauding foes, repelling dark forces seeking to exploit the earth's power, or shielding the land from destructive magical incursions. Their unique abilities allow them "&amp;"to fortify regions, create protective barriers, and summon the earth's might to repel aggressors.")</f>
        <v>The Graceful Defenders are an esteemed faction deeply rooted in the principles of defense and the reverence of Gaia, the Goddess of Earth. Their mission revolves around safeguarding the realms, the environment, and all life that inhabits it from external threats, be they supernatural, magical, or mortal in nature.
Members of The Graceful Defenders are warriors, guardians, and protectors, united by their unwavering commitment to the security and preservation of the land. Their training encompasses a blend of martial skills, mystical prowess, and a profound connection to the earth itself. These defenders have a unique ability to harness the power of the earth, manipulating the very terrain beneath them to enhance their protective capabilities.
The faction is composed of a diverse group of individuals, including knights, elementalists, geomancers, and druidic guardians. Their shared belief in the sanctity of the earth, its resources, and its inhabitants unites them as a formidable force.
The Graceful Defenders are often called upon in times of crisis, whether it be defending villages from marauding foes, repelling dark forces seeking to exploit the earth's power, or shielding the land from destructive magical incursions. Their unique abilities allow them to fortify regions, create protective barriers, and summon the earth's might to repel aggressors.</v>
      </c>
      <c r="C5" s="115" t="str">
        <f>IFERROR(__xludf.DUMMYFUNCTION("""COMPUTED_VALUE"""),"Defending Bond")</f>
        <v>Defending Bond</v>
      </c>
      <c r="D5" s="117" t="str">
        <f>IFERROR(__xludf.DUMMYFUNCTION("""COMPUTED_VALUE"""),"At the beginning of battle, Choose 1 target, Their defense becomes equal to yours until the end of battle. Fail/Succeed. Unaffected by bonuses.")</f>
        <v>At the beginning of battle, Choose 1 target, Their defense becomes equal to yours until the end of battle. Fail/Succeed. Unaffected by bonuses.</v>
      </c>
      <c r="E5" s="117" t="str">
        <f>IFERROR(__xludf.DUMMYFUNCTION("""COMPUTED_VALUE"""),"Wall of Fortification")</f>
        <v>Wall of Fortification</v>
      </c>
      <c r="F5" s="16" t="str">
        <f>IFERROR(__xludf.DUMMYFUNCTION("""COMPUTED_VALUE"""),"You can defend against unblockable attacks.")</f>
        <v>You can defend against unblockable attacks.</v>
      </c>
      <c r="G5" s="16" t="str">
        <f>IFERROR(__xludf.DUMMYFUNCTION("""COMPUTED_VALUE"""),"Wall of Fortification II")</f>
        <v>Wall of Fortification II</v>
      </c>
      <c r="H5" s="16" t="str">
        <f>IFERROR(__xludf.DUMMYFUNCTION("""COMPUTED_VALUE"""),"Your defense will still be applied against undefendable attacks.")</f>
        <v>Your defense will still be applied against undefendable attacks.</v>
      </c>
      <c r="I5" s="16" t="b">
        <f>IFERROR(__xludf.DUMMYFUNCTION("""COMPUTED_VALUE"""),TRUE)</f>
        <v>1</v>
      </c>
      <c r="J5" s="16" t="b">
        <f>IFERROR(__xludf.DUMMYFUNCTION("""COMPUTED_VALUE"""),TRUE)</f>
        <v>1</v>
      </c>
      <c r="K5" s="16" t="b">
        <f>IFERROR(__xludf.DUMMYFUNCTION("""COMPUTED_VALUE"""),TRUE)</f>
        <v>1</v>
      </c>
      <c r="L5" s="16" t="b">
        <f>IFERROR(__xludf.DUMMYFUNCTION("""COMPUTED_VALUE"""),TRUE)</f>
        <v>1</v>
      </c>
      <c r="M5" s="16" t="b">
        <f>IFERROR(__xludf.DUMMYFUNCTION("""COMPUTED_VALUE"""),TRUE)</f>
        <v>1</v>
      </c>
      <c r="N5" s="16" t="b">
        <f>IFERROR(__xludf.DUMMYFUNCTION("""COMPUTED_VALUE"""),TRUE)</f>
        <v>1</v>
      </c>
      <c r="O5" s="16" t="b">
        <f>IFERROR(__xludf.DUMMYFUNCTION("""COMPUTED_VALUE"""),TRUE)</f>
        <v>1</v>
      </c>
      <c r="P5" s="16" t="b">
        <f>IFERROR(__xludf.DUMMYFUNCTION("""COMPUTED_VALUE"""),TRUE)</f>
        <v>1</v>
      </c>
      <c r="Q5" s="16" t="b">
        <f>IFERROR(__xludf.DUMMYFUNCTION("""COMPUTED_VALUE"""),TRUE)</f>
        <v>1</v>
      </c>
      <c r="R5" s="16"/>
      <c r="S5" s="16"/>
      <c r="T5" s="16"/>
      <c r="U5" s="16"/>
      <c r="V5" s="16"/>
      <c r="W5" s="16"/>
      <c r="X5" s="16"/>
      <c r="Y5" s="16"/>
      <c r="Z5" s="16"/>
    </row>
    <row r="6">
      <c r="A6" s="115" t="str">
        <f>IFERROR(__xludf.DUMMYFUNCTION("""COMPUTED_VALUE"""),"The Guardians of The Forge")</f>
        <v>The Guardians of The Forge</v>
      </c>
      <c r="B6" s="116" t="str">
        <f>IFERROR(__xludf.DUMMYFUNCTION("""COMPUTED_VALUE"""),"The Guardians of The Forge are an esteemed and dedicated faction within The Land of Spira, inspired by the craftsmanship, ingenuity, and boundless creativity of Hephaestus, the God of the Forge. This faction comprises individuals who have harnessed the ar"&amp;"t of forging and metallurgy to serve as defenders, creators, and protectors of the realm.
Members of The Guardians of The Forge are revered for their unparalleled skills in metallurgy, blacksmithing, engineering, and the creation of powerful and enchante"&amp;"d artifacts. They have chosen to devote their lives to harnessing the potential of metal and fire, crafting tools, weapons, and armor that not only serve as instruments of defense but also symbolize the artistry and innovation of Hephaestus himself.
The "&amp;"faction is a diverse blend of artisans, blacksmiths, engineers, and inventors, all united by their shared reverence for the forging arts and their unwavering commitment to the protection of The Land of Spira. Each member is a master in their own right, ca"&amp;"pable of manipulating the raw elements of the earth to forge exceptional weapons and artifacts that can be wielded in defense of the realm.
The Guardians of The Forge have made it their mission to not only create mighty weapons and armor but also to main"&amp;"tain a vast repository of ancient knowledge about the enchanted properties of various metals, materials, and mystical alloys. They use this knowledge to forge defenses against formidable adversaries and supernatural threats that may threaten the realm.
I"&amp;"n times of crisis, The Guardians of The Forge are called upon to create powerful tools, armor, and weapons, forging a line of defense to repel the forces that seek to disrupt the peace of the land. They are known for their ingenuity in crafting siege engi"&amp;"nes and powerful devices, as well as their readiness to equip armies and adventurers with the means to face the challenges that lie ahead.")</f>
        <v>The Guardians of The Forge are an esteemed and dedicated faction within The Land of Spira, inspired by the craftsmanship, ingenuity, and boundless creativity of Hephaestus, the God of the Forge. This faction comprises individuals who have harnessed the art of forging and metallurgy to serve as defenders, creators, and protectors of the realm.
Members of The Guardians of The Forge are revered for their unparalleled skills in metallurgy, blacksmithing, engineering, and the creation of powerful and enchanted artifacts. They have chosen to devote their lives to harnessing the potential of metal and fire, crafting tools, weapons, and armor that not only serve as instruments of defense but also symbolize the artistry and innovation of Hephaestus himself.
The faction is a diverse blend of artisans, blacksmiths, engineers, and inventors, all united by their shared reverence for the forging arts and their unwavering commitment to the protection of The Land of Spira. Each member is a master in their own right, capable of manipulating the raw elements of the earth to forge exceptional weapons and artifacts that can be wielded in defense of the realm.
The Guardians of The Forge have made it their mission to not only create mighty weapons and armor but also to maintain a vast repository of ancient knowledge about the enchanted properties of various metals, materials, and mystical alloys. They use this knowledge to forge defenses against formidable adversaries and supernatural threats that may threaten the realm.
In times of crisis, The Guardians of The Forge are called upon to create powerful tools, armor, and weapons, forging a line of defense to repel the forces that seek to disrupt the peace of the land. They are known for their ingenuity in crafting siege engines and powerful devices, as well as their readiness to equip armies and adventurers with the means to face the challenges that lie ahead.</v>
      </c>
      <c r="C6" s="115" t="str">
        <f>IFERROR(__xludf.DUMMYFUNCTION("""COMPUTED_VALUE"""),"Burning Might")</f>
        <v>Burning Might</v>
      </c>
      <c r="D6" s="117" t="str">
        <f>IFERROR(__xludf.DUMMYFUNCTION("""COMPUTED_VALUE"""),"Burn damage dealt to enemies is doubled.")</f>
        <v>Burn damage dealt to enemies is doubled.</v>
      </c>
      <c r="E6" s="117" t="str">
        <f>IFERROR(__xludf.DUMMYFUNCTION("""COMPUTED_VALUE"""),"Forged in Fire.")</f>
        <v>Forged in Fire.</v>
      </c>
      <c r="F6" s="16" t="str">
        <f>IFERROR(__xludf.DUMMYFUNCTION("""COMPUTED_VALUE"""),"Forged weapons deal an additional X2 damage.")</f>
        <v>Forged weapons deal an additional X2 damage.</v>
      </c>
      <c r="G6" s="16" t="str">
        <f>IFERROR(__xludf.DUMMYFUNCTION("""COMPUTED_VALUE"""),"Unbreaking Steel")</f>
        <v>Unbreaking Steel</v>
      </c>
      <c r="H6" s="16" t="str">
        <f>IFERROR(__xludf.DUMMYFUNCTION("""COMPUTED_VALUE"""),"The first time you attempt a forge roll that fails it does not fail once per forge.")</f>
        <v>The first time you attempt a forge roll that fails it does not fail once per forge.</v>
      </c>
      <c r="I6" s="16" t="b">
        <f>IFERROR(__xludf.DUMMYFUNCTION("""COMPUTED_VALUE"""),TRUE)</f>
        <v>1</v>
      </c>
      <c r="J6" s="16" t="b">
        <f>IFERROR(__xludf.DUMMYFUNCTION("""COMPUTED_VALUE"""),TRUE)</f>
        <v>1</v>
      </c>
      <c r="K6" s="16" t="b">
        <f>IFERROR(__xludf.DUMMYFUNCTION("""COMPUTED_VALUE"""),TRUE)</f>
        <v>1</v>
      </c>
      <c r="L6" s="16" t="b">
        <f>IFERROR(__xludf.DUMMYFUNCTION("""COMPUTED_VALUE"""),TRUE)</f>
        <v>1</v>
      </c>
      <c r="M6" s="16" t="b">
        <f>IFERROR(__xludf.DUMMYFUNCTION("""COMPUTED_VALUE"""),TRUE)</f>
        <v>1</v>
      </c>
      <c r="N6" s="16" t="b">
        <f>IFERROR(__xludf.DUMMYFUNCTION("""COMPUTED_VALUE"""),TRUE)</f>
        <v>1</v>
      </c>
      <c r="O6" s="16" t="b">
        <f>IFERROR(__xludf.DUMMYFUNCTION("""COMPUTED_VALUE"""),TRUE)</f>
        <v>1</v>
      </c>
      <c r="P6" s="16" t="b">
        <f>IFERROR(__xludf.DUMMYFUNCTION("""COMPUTED_VALUE"""),TRUE)</f>
        <v>1</v>
      </c>
      <c r="Q6" s="16" t="b">
        <f>IFERROR(__xludf.DUMMYFUNCTION("""COMPUTED_VALUE"""),TRUE)</f>
        <v>1</v>
      </c>
      <c r="R6" s="16"/>
      <c r="S6" s="16"/>
      <c r="T6" s="16"/>
      <c r="U6" s="16"/>
      <c r="V6" s="16"/>
      <c r="W6" s="16"/>
      <c r="X6" s="16"/>
      <c r="Y6" s="16"/>
      <c r="Z6" s="16"/>
    </row>
    <row r="7">
      <c r="A7" s="115" t="str">
        <f>IFERROR(__xludf.DUMMYFUNCTION("""COMPUTED_VALUE"""),"The Soul Shepherds")</f>
        <v>The Soul Shepherds</v>
      </c>
      <c r="B7" s="116" t="str">
        <f>IFERROR(__xludf.DUMMYFUNCTION("""COMPUTED_VALUE"""),"The Soul Shepherds are a mysterious and enigmatic faction within The Land of Spira, deeply influenced by the realm of Hades, the God of the Underworld. Their primary mission is to guide and protect the souls of the departed as they journey through the rea"&amp;"lms beyond life, and to maintain the balance between the living and the deceased.
Members of The Soul Shepherds are unique individuals who have forged a connection with the spiritual realm. They have dedicated themselves to the solemn task of ensuring th"&amp;"at souls reach their final resting place and that the boundaries between the living and the afterlife remain intact. These shepherds possess the rare ability to communicate with and influence the spirits of the deceased.
The faction includes an eclectic "&amp;"group of individuals, such as mediums, necromancers, spiritual guides, and healers. Each member has a deep understanding of the spiritual and metaphysical aspects of life and death, and they use this knowledge to help souls find peace and resolve lingerin"&amp;"g issues from their past life.
The Soul Shepherds are responsible for conducting rituals, ceremonies, and rites to honor the deceased and assist in their transition to the afterlife. They also safeguard the realm from restless spirits and malevolent enti"&amp;"ties that may seek to disrupt the balance between life and death.
In times of spiritual crises, The Soul Shepherds are summoned to investigate paranormal phenomena, communicate with ghosts, and aid in exorcisms. They also provide comfort and solace to th"&amp;"e living who seek closure with their departed loved ones.")</f>
        <v>The Soul Shepherds are a mysterious and enigmatic faction within The Land of Spira, deeply influenced by the realm of Hades, the God of the Underworld. Their primary mission is to guide and protect the souls of the departed as they journey through the realms beyond life, and to maintain the balance between the living and the deceased.
Members of The Soul Shepherds are unique individuals who have forged a connection with the spiritual realm. They have dedicated themselves to the solemn task of ensuring that souls reach their final resting place and that the boundaries between the living and the afterlife remain intact. These shepherds possess the rare ability to communicate with and influence the spirits of the deceased.
The faction includes an eclectic group of individuals, such as mediums, necromancers, spiritual guides, and healers. Each member has a deep understanding of the spiritual and metaphysical aspects of life and death, and they use this knowledge to help souls find peace and resolve lingering issues from their past life.
The Soul Shepherds are responsible for conducting rituals, ceremonies, and rites to honor the deceased and assist in their transition to the afterlife. They also safeguard the realm from restless spirits and malevolent entities that may seek to disrupt the balance between life and death.
In times of spiritual crises, The Soul Shepherds are summoned to investigate paranormal phenomena, communicate with ghosts, and aid in exorcisms. They also provide comfort and solace to the living who seek closure with their departed loved ones.</v>
      </c>
      <c r="C7" s="115" t="str">
        <f>IFERROR(__xludf.DUMMYFUNCTION("""COMPUTED_VALUE"""),"Soul Harvest")</f>
        <v>Soul Harvest</v>
      </c>
      <c r="D7" s="117" t="str">
        <f>IFERROR(__xludf.DUMMYFUNCTION("""COMPUTED_VALUE"""),"When rolling for loot and you get a soul, you get 2 of that same soul.")</f>
        <v>When rolling for loot and you get a soul, you get 2 of that same soul.</v>
      </c>
      <c r="E7" s="117" t="str">
        <f>IFERROR(__xludf.DUMMYFUNCTION("""COMPUTED_VALUE"""),"Soul Harvest II")</f>
        <v>Soul Harvest II</v>
      </c>
      <c r="F7" s="16" t="str">
        <f>IFERROR(__xludf.DUMMYFUNCTION("""COMPUTED_VALUE"""),"Guaranteed an extra soul each battle if the enemy drops a soul.")</f>
        <v>Guaranteed an extra soul each battle if the enemy drops a soul.</v>
      </c>
      <c r="G7" s="16" t="str">
        <f>IFERROR(__xludf.DUMMYFUNCTION("""COMPUTED_VALUE"""),"Scythe Mastery ")</f>
        <v>Scythe Mastery </v>
      </c>
      <c r="H7" s="16" t="str">
        <f>IFERROR(__xludf.DUMMYFUNCTION("""COMPUTED_VALUE"""),"When hitting an enemy with a scythe they are inflicted with Soulburn 100")</f>
        <v>When hitting an enemy with a scythe they are inflicted with Soulburn 100</v>
      </c>
      <c r="I7" s="16" t="b">
        <f>IFERROR(__xludf.DUMMYFUNCTION("""COMPUTED_VALUE"""),TRUE)</f>
        <v>1</v>
      </c>
      <c r="J7" s="16" t="b">
        <f>IFERROR(__xludf.DUMMYFUNCTION("""COMPUTED_VALUE"""),TRUE)</f>
        <v>1</v>
      </c>
      <c r="K7" s="16" t="b">
        <f>IFERROR(__xludf.DUMMYFUNCTION("""COMPUTED_VALUE"""),TRUE)</f>
        <v>1</v>
      </c>
      <c r="L7" s="16" t="b">
        <f>IFERROR(__xludf.DUMMYFUNCTION("""COMPUTED_VALUE"""),TRUE)</f>
        <v>1</v>
      </c>
      <c r="M7" s="16" t="b">
        <f>IFERROR(__xludf.DUMMYFUNCTION("""COMPUTED_VALUE"""),TRUE)</f>
        <v>1</v>
      </c>
      <c r="N7" s="16" t="b">
        <f>IFERROR(__xludf.DUMMYFUNCTION("""COMPUTED_VALUE"""),TRUE)</f>
        <v>1</v>
      </c>
      <c r="O7" s="16" t="b">
        <f>IFERROR(__xludf.DUMMYFUNCTION("""COMPUTED_VALUE"""),TRUE)</f>
        <v>1</v>
      </c>
      <c r="P7" s="16" t="b">
        <f>IFERROR(__xludf.DUMMYFUNCTION("""COMPUTED_VALUE"""),TRUE)</f>
        <v>1</v>
      </c>
      <c r="Q7" s="16" t="b">
        <f>IFERROR(__xludf.DUMMYFUNCTION("""COMPUTED_VALUE"""),TRUE)</f>
        <v>1</v>
      </c>
      <c r="R7" s="16"/>
      <c r="S7" s="16"/>
      <c r="T7" s="16"/>
      <c r="U7" s="16"/>
      <c r="V7" s="16"/>
      <c r="W7" s="16"/>
      <c r="X7" s="16"/>
      <c r="Y7" s="16"/>
      <c r="Z7" s="16"/>
    </row>
    <row r="8">
      <c r="A8" s="115" t="str">
        <f>IFERROR(__xludf.DUMMYFUNCTION("""COMPUTED_VALUE"""),"The Judges of Abstara")</f>
        <v>The Judges of Abstara</v>
      </c>
      <c r="B8" s="116" t="str">
        <f>IFERROR(__xludf.DUMMYFUNCTION("""COMPUTED_VALUE"""),"The Judges of Abstara are a formidable and shadowy faction within The Land of Spira, influenced by the archetype of Satan but aligned with a strict code of Lawful Evil. In a world that often struggles to maintain order and balance, they have chosen to emb"&amp;"race their interpretation of Satan as a symbol of authority, ambition, and discipline, and they employ these principles to shape the realm in their image.
Members of The Judges of Abstara are characterized by their unwavering commitment to order, discipl"&amp;"ine, and the pursuit of power. They view themselves as the rightful rulers of The Land of Spira, and they are unapologetic in their use of manipulation, cunning, and authority to maintain control.
The faction is composed of a hierarchy of individuals, in"&amp;"cluding judges, enforcers, strategists, and those who seek to expand their influence. They share a common belief in their right to rule and dominate the realm through careful planning and calculated actions.
The Judges of Abstara focus their efforts on c"&amp;"onsolidating power, controlling resources, and establishing a rigid hierarchy. They are known for their strict adherence to laws and codes, which they use to legitimize their authority and further their ambitions.
In times of challenge, The Judges of Abs"&amp;"tara act as both rulers and enforcers, maintaining a strict regime that imposes order and quashes dissent. They are known for their discipline, their efficient control of resources, and their unwavering commitment to their vision of a perfectly ordered re"&amp;"alm.")</f>
        <v>The Judges of Abstara are a formidable and shadowy faction within The Land of Spira, influenced by the archetype of Satan but aligned with a strict code of Lawful Evil. In a world that often struggles to maintain order and balance, they have chosen to embrace their interpretation of Satan as a symbol of authority, ambition, and discipline, and they employ these principles to shape the realm in their image.
Members of The Judges of Abstara are characterized by their unwavering commitment to order, discipline, and the pursuit of power. They view themselves as the rightful rulers of The Land of Spira, and they are unapologetic in their use of manipulation, cunning, and authority to maintain control.
The faction is composed of a hierarchy of individuals, including judges, enforcers, strategists, and those who seek to expand their influence. They share a common belief in their right to rule and dominate the realm through careful planning and calculated actions.
The Judges of Abstara focus their efforts on consolidating power, controlling resources, and establishing a rigid hierarchy. They are known for their strict adherence to laws and codes, which they use to legitimize their authority and further their ambitions.
In times of challenge, The Judges of Abstara act as both rulers and enforcers, maintaining a strict regime that imposes order and quashes dissent. They are known for their discipline, their efficient control of resources, and their unwavering commitment to their vision of a perfectly ordered realm.</v>
      </c>
      <c r="C8" s="115" t="str">
        <f>IFERROR(__xludf.DUMMYFUNCTION("""COMPUTED_VALUE"""),"Threatening Stare")</f>
        <v>Threatening Stare</v>
      </c>
      <c r="D8" s="117" t="str">
        <f>IFERROR(__xludf.DUMMYFUNCTION("""COMPUTED_VALUE"""),"+5 permanent Intimidation.")</f>
        <v>+5 permanent Intimidation.</v>
      </c>
      <c r="E8" s="117" t="str">
        <f>IFERROR(__xludf.DUMMYFUNCTION("""COMPUTED_VALUE"""),"Blood Plague")</f>
        <v>Blood Plague</v>
      </c>
      <c r="F8" s="16" t="str">
        <f>IFERROR(__xludf.DUMMYFUNCTION("""COMPUTED_VALUE"""),"All Weapons now deal Bleeding X per round where X is equal to your attack stat.")</f>
        <v>All Weapons now deal Bleeding X per round where X is equal to your attack stat.</v>
      </c>
      <c r="G8" s="16" t="str">
        <f>IFERROR(__xludf.DUMMYFUNCTION("""COMPUTED_VALUE"""),"Unwavering Authority")</f>
        <v>Unwavering Authority</v>
      </c>
      <c r="H8" s="16" t="str">
        <f>IFERROR(__xludf.DUMMYFUNCTION("""COMPUTED_VALUE"""),"20% chance of not having to battle a non corrupt guard. Unaffected by bonuses.")</f>
        <v>20% chance of not having to battle a non corrupt guard. Unaffected by bonuses.</v>
      </c>
      <c r="I8" s="16" t="b">
        <f>IFERROR(__xludf.DUMMYFUNCTION("""COMPUTED_VALUE"""),TRUE)</f>
        <v>1</v>
      </c>
      <c r="J8" s="16" t="b">
        <f>IFERROR(__xludf.DUMMYFUNCTION("""COMPUTED_VALUE"""),TRUE)</f>
        <v>1</v>
      </c>
      <c r="K8" s="16" t="b">
        <f>IFERROR(__xludf.DUMMYFUNCTION("""COMPUTED_VALUE"""),TRUE)</f>
        <v>1</v>
      </c>
      <c r="L8" s="16" t="b">
        <f>IFERROR(__xludf.DUMMYFUNCTION("""COMPUTED_VALUE"""),TRUE)</f>
        <v>1</v>
      </c>
      <c r="M8" s="16" t="b">
        <f>IFERROR(__xludf.DUMMYFUNCTION("""COMPUTED_VALUE"""),TRUE)</f>
        <v>1</v>
      </c>
      <c r="N8" s="16" t="b">
        <f>IFERROR(__xludf.DUMMYFUNCTION("""COMPUTED_VALUE"""),TRUE)</f>
        <v>1</v>
      </c>
      <c r="O8" s="16" t="b">
        <f>IFERROR(__xludf.DUMMYFUNCTION("""COMPUTED_VALUE"""),TRUE)</f>
        <v>1</v>
      </c>
      <c r="P8" s="16" t="b">
        <f>IFERROR(__xludf.DUMMYFUNCTION("""COMPUTED_VALUE"""),TRUE)</f>
        <v>1</v>
      </c>
      <c r="Q8" s="16" t="b">
        <f>IFERROR(__xludf.DUMMYFUNCTION("""COMPUTED_VALUE"""),TRUE)</f>
        <v>1</v>
      </c>
      <c r="R8" s="16"/>
      <c r="S8" s="16"/>
      <c r="T8" s="16"/>
      <c r="U8" s="16"/>
      <c r="V8" s="16"/>
      <c r="W8" s="16"/>
      <c r="X8" s="16"/>
      <c r="Y8" s="16"/>
      <c r="Z8" s="16"/>
    </row>
    <row r="9">
      <c r="A9" s="115" t="str">
        <f>IFERROR(__xludf.DUMMYFUNCTION("""COMPUTED_VALUE"""),"The Gods of The Sea")</f>
        <v>The Gods of The Sea</v>
      </c>
      <c r="B9" s="116" t="str">
        <f>IFERROR(__xludf.DUMMYFUNCTION("""COMPUTED_VALUE"""),"The Gods of The Sea are a revered and ancient faction within The Land of Spira, deeply influenced by the mythological figures Neptune and Poseidon. This faction is composed of individuals who have chosen to dedicate their lives to the protection, explorat"&amp;"ion, and stewardship of the vast and mysterious oceans that cradle the realm.
Members of The Gods of The Sea are known for their intimate connection with the aquatic world and their unwavering commitment to the preservation of the oceans. They are skille"&amp;"d seafarers, navigators, and explorers who possess a deep understanding of maritime ecosystems, the creatures that inhabit them, and the spiritual aspects of the sea.
The faction comprises a diverse group of individuals, including sailors, marine biologi"&amp;"sts, navigators, and water mages. They share a common reverence for the power, beauty, and enigmatic depths of the ocean and dedicate their efforts to ensuring the seas remain a vital part of The Land of Spira.
The Gods of The Sea actively engage in seaf"&amp;"aring exploration, marine research, and the protection of marine life. They are known for their efforts to combat pollution, illegal fishing, and the conservation of endangered species, as well as their commitment to understanding the spiritual and magica"&amp;"l aspects of the seas.
This faction conducts rituals and ceremonies in honor of Neptune and Poseidon, seeking their blessings to ensure safe voyages, bountiful catches, and the overall harmony of the oceans. Their sacred knowledge includes an understandi"&amp;"ng of ocean currents, weather patterns, and the natural cycles that govern the seas.
The Gods of The Sea also serve as protectors, acting as guardians against maritime threats, ensuring safe passage for travelers and protecting coastal communities from n"&amp;"atural disasters. They are skilled at shipbuilding, navigation, and harnessing the power of water and weather.")</f>
        <v>The Gods of The Sea are a revered and ancient faction within The Land of Spira, deeply influenced by the mythological figures Neptune and Poseidon. This faction is composed of individuals who have chosen to dedicate their lives to the protection, exploration, and stewardship of the vast and mysterious oceans that cradle the realm.
Members of The Gods of The Sea are known for their intimate connection with the aquatic world and their unwavering commitment to the preservation of the oceans. They are skilled seafarers, navigators, and explorers who possess a deep understanding of maritime ecosystems, the creatures that inhabit them, and the spiritual aspects of the sea.
The faction comprises a diverse group of individuals, including sailors, marine biologists, navigators, and water mages. They share a common reverence for the power, beauty, and enigmatic depths of the ocean and dedicate their efforts to ensuring the seas remain a vital part of The Land of Spira.
The Gods of The Sea actively engage in seafaring exploration, marine research, and the protection of marine life. They are known for their efforts to combat pollution, illegal fishing, and the conservation of endangered species, as well as their commitment to understanding the spiritual and magical aspects of the seas.
This faction conducts rituals and ceremonies in honor of Neptune and Poseidon, seeking their blessings to ensure safe voyages, bountiful catches, and the overall harmony of the oceans. Their sacred knowledge includes an understanding of ocean currents, weather patterns, and the natural cycles that govern the seas.
The Gods of The Sea also serve as protectors, acting as guardians against maritime threats, ensuring safe passage for travelers and protecting coastal communities from natural disasters. They are skilled at shipbuilding, navigation, and harnessing the power of water and weather.</v>
      </c>
      <c r="C9" s="115" t="str">
        <f>IFERROR(__xludf.DUMMYFUNCTION("""COMPUTED_VALUE"""),"Healing Fountain")</f>
        <v>Healing Fountain</v>
      </c>
      <c r="D9" s="117" t="str">
        <f>IFERROR(__xludf.DUMMYFUNCTION("""COMPUTED_VALUE"""),"When dealing water damage to an enemy, Your HP and SP will be restored equal to 0.5% of the damage dealt ")</f>
        <v>When dealing water damage to an enemy, Your HP and SP will be restored equal to 0.5% of the damage dealt </v>
      </c>
      <c r="E9" s="117" t="str">
        <f>IFERROR(__xludf.DUMMYFUNCTION("""COMPUTED_VALUE"""),"Aquatic Destruction")</f>
        <v>Aquatic Destruction</v>
      </c>
      <c r="F9" s="16" t="str">
        <f>IFERROR(__xludf.DUMMYFUNCTION("""COMPUTED_VALUE"""),"X2 additional Water damage ")</f>
        <v>X2 additional Water damage </v>
      </c>
      <c r="G9" s="16" t="str">
        <f>IFERROR(__xludf.DUMMYFUNCTION("""COMPUTED_VALUE"""),"Call of The Kraken")</f>
        <v>Call of The Kraken</v>
      </c>
      <c r="H9" s="16" t="str">
        <f>IFERROR(__xludf.DUMMYFUNCTION("""COMPUTED_VALUE"""),"When using a Rank 9 Water Spell their will be a 5% chance to call upon the Kraken to aid you in battle.")</f>
        <v>When using a Rank 9 Water Spell their will be a 5% chance to call upon the Kraken to aid you in battle.</v>
      </c>
      <c r="I9" s="16" t="b">
        <f>IFERROR(__xludf.DUMMYFUNCTION("""COMPUTED_VALUE"""),TRUE)</f>
        <v>1</v>
      </c>
      <c r="J9" s="16" t="b">
        <f>IFERROR(__xludf.DUMMYFUNCTION("""COMPUTED_VALUE"""),TRUE)</f>
        <v>1</v>
      </c>
      <c r="K9" s="16" t="b">
        <f>IFERROR(__xludf.DUMMYFUNCTION("""COMPUTED_VALUE"""),TRUE)</f>
        <v>1</v>
      </c>
      <c r="L9" s="16" t="b">
        <f>IFERROR(__xludf.DUMMYFUNCTION("""COMPUTED_VALUE"""),TRUE)</f>
        <v>1</v>
      </c>
      <c r="M9" s="16" t="b">
        <f>IFERROR(__xludf.DUMMYFUNCTION("""COMPUTED_VALUE"""),TRUE)</f>
        <v>1</v>
      </c>
      <c r="N9" s="16" t="b">
        <f>IFERROR(__xludf.DUMMYFUNCTION("""COMPUTED_VALUE"""),TRUE)</f>
        <v>1</v>
      </c>
      <c r="O9" s="16" t="b">
        <f>IFERROR(__xludf.DUMMYFUNCTION("""COMPUTED_VALUE"""),TRUE)</f>
        <v>1</v>
      </c>
      <c r="P9" s="16" t="b">
        <f>IFERROR(__xludf.DUMMYFUNCTION("""COMPUTED_VALUE"""),TRUE)</f>
        <v>1</v>
      </c>
      <c r="Q9" s="16" t="b">
        <f>IFERROR(__xludf.DUMMYFUNCTION("""COMPUTED_VALUE"""),TRUE)</f>
        <v>1</v>
      </c>
      <c r="R9" s="16"/>
      <c r="S9" s="16"/>
      <c r="T9" s="16"/>
      <c r="U9" s="16"/>
      <c r="V9" s="16"/>
      <c r="W9" s="16"/>
      <c r="X9" s="16"/>
      <c r="Y9" s="16"/>
      <c r="Z9" s="16"/>
    </row>
    <row r="10">
      <c r="A10" s="115" t="str">
        <f>IFERROR(__xludf.DUMMYFUNCTION("""COMPUTED_VALUE"""),"The God's Quiver")</f>
        <v>The God's Quiver</v>
      </c>
      <c r="B10" s="116" t="str">
        <f>IFERROR(__xludf.DUMMYFUNCTION("""COMPUTED_VALUE"""),"The Guardians of Nature are a revered and ecologically-minded faction within The Land of Spira, deeply influenced by the ancient goddess Aranyani, the Goddess of the Forest. This faction is composed of individuals who have chosen to dedicate their lives t"&amp;"o the protection, preservation, and harmony of the natural world, encompassing not only the forests but also the entire spectrum of the environment.
Members of The Guardians of Nature are known for their intimate connection with the forests and the wild,"&amp;" and their unwavering commitment to the well-being of the realm's ecosystems. They are naturalists, botanists, foresters, and guardians of the land who possess a deep understanding of the delicate balance of nature.
The faction is a diverse and harmoniou"&amp;"s group, including druids, herbalists, rangers, and nature mages. They share a common reverence for the goddess Aranyani and her teachings, advocating for the responsible stewardship of the land, the conservation of wildlife, and the preservation of natur"&amp;"al habitats.
The Guardians of Nature actively engage in reforestation efforts, wildlife protection, and the restoration of ecosystems. They are known for their initiatives to combat deforestation, habitat destruction, and the conservation of endangered s"&amp;"pecies. They have an innate understanding of plant and animal life, using their knowledge to ensure the harmony of the natural world.
This faction conducts rituals and ceremonies in honor of Aranyani, seeking her blessings to maintain the delicate balanc"&amp;"e of nature, heal the land, and protect the wild. Their sacred knowledge includes an understanding of the lifecycles, plant medicines, and the secrets of the forest.
The Guardians of Nature serve as protectors and stewards of the natural world, acting as"&amp;" defenders against ecological threats, preventing exploitation, and aiding in the reparation of damaged lands. They are also known for their skills in tracking, camouflage, and the ability to commune with animals.")</f>
        <v>The Guardians of Nature are a revered and ecologically-minded faction within The Land of Spira, deeply influenced by the ancient goddess Aranyani, the Goddess of the Forest. This faction is composed of individuals who have chosen to dedicate their lives to the protection, preservation, and harmony of the natural world, encompassing not only the forests but also the entire spectrum of the environment.
Members of The Guardians of Nature are known for their intimate connection with the forests and the wild, and their unwavering commitment to the well-being of the realm's ecosystems. They are naturalists, botanists, foresters, and guardians of the land who possess a deep understanding of the delicate balance of nature.
The faction is a diverse and harmonious group, including druids, herbalists, rangers, and nature mages. They share a common reverence for the goddess Aranyani and her teachings, advocating for the responsible stewardship of the land, the conservation of wildlife, and the preservation of natural habitats.
The Guardians of Nature actively engage in reforestation efforts, wildlife protection, and the restoration of ecosystems. They are known for their initiatives to combat deforestation, habitat destruction, and the conservation of endangered species. They have an innate understanding of plant and animal life, using their knowledge to ensure the harmony of the natural world.
This faction conducts rituals and ceremonies in honor of Aranyani, seeking her blessings to maintain the delicate balance of nature, heal the land, and protect the wild. Their sacred knowledge includes an understanding of the lifecycles, plant medicines, and the secrets of the forest.
The Guardians of Nature serve as protectors and stewards of the natural world, acting as defenders against ecological threats, preventing exploitation, and aiding in the reparation of damaged lands. They are also known for their skills in tracking, camouflage, and the ability to commune with animals.</v>
      </c>
      <c r="C10" s="115" t="str">
        <f>IFERROR(__xludf.DUMMYFUNCTION("""COMPUTED_VALUE"""),"Natures Blessing")</f>
        <v>Natures Blessing</v>
      </c>
      <c r="D10" s="117" t="str">
        <f>IFERROR(__xludf.DUMMYFUNCTION("""COMPUTED_VALUE"""),"When dealing nature damage to an enemy, Your HP and SP will be restored equal to half of the damage dealt ")</f>
        <v>When dealing nature damage to an enemy, Your HP and SP will be restored equal to half of the damage dealt </v>
      </c>
      <c r="E10" s="117" t="str">
        <f>IFERROR(__xludf.DUMMYFUNCTION("""COMPUTED_VALUE"""),"Natures Helping Hand")</f>
        <v>Natures Helping Hand</v>
      </c>
      <c r="F10" s="16" t="str">
        <f>IFERROR(__xludf.DUMMYFUNCTION("""COMPUTED_VALUE"""),"You gain Truesight 1 at the beginning of battle if the battle is in a Forest, Jungle, or Swamp. ")</f>
        <v>You gain Truesight 1 at the beginning of battle if the battle is in a Forest, Jungle, or Swamp. </v>
      </c>
      <c r="G10" s="16" t="str">
        <f>IFERROR(__xludf.DUMMYFUNCTION("""COMPUTED_VALUE"""),"Natures Guide")</f>
        <v>Natures Guide</v>
      </c>
      <c r="H10" s="16" t="str">
        <f>IFERROR(__xludf.DUMMYFUNCTION("""COMPUTED_VALUE"""),"You will never fail to find herbs. If you don't find one keep rolling until you do.")</f>
        <v>You will never fail to find herbs. If you don't find one keep rolling until you do.</v>
      </c>
      <c r="I10" s="16" t="b">
        <f>IFERROR(__xludf.DUMMYFUNCTION("""COMPUTED_VALUE"""),TRUE)</f>
        <v>1</v>
      </c>
      <c r="J10" s="16" t="b">
        <f>IFERROR(__xludf.DUMMYFUNCTION("""COMPUTED_VALUE"""),TRUE)</f>
        <v>1</v>
      </c>
      <c r="K10" s="16" t="b">
        <f>IFERROR(__xludf.DUMMYFUNCTION("""COMPUTED_VALUE"""),TRUE)</f>
        <v>1</v>
      </c>
      <c r="L10" s="16" t="b">
        <f>IFERROR(__xludf.DUMMYFUNCTION("""COMPUTED_VALUE"""),TRUE)</f>
        <v>1</v>
      </c>
      <c r="M10" s="16" t="b">
        <f>IFERROR(__xludf.DUMMYFUNCTION("""COMPUTED_VALUE"""),TRUE)</f>
        <v>1</v>
      </c>
      <c r="N10" s="16" t="b">
        <f>IFERROR(__xludf.DUMMYFUNCTION("""COMPUTED_VALUE"""),TRUE)</f>
        <v>1</v>
      </c>
      <c r="O10" s="16" t="b">
        <f>IFERROR(__xludf.DUMMYFUNCTION("""COMPUTED_VALUE"""),TRUE)</f>
        <v>1</v>
      </c>
      <c r="P10" s="16" t="b">
        <f>IFERROR(__xludf.DUMMYFUNCTION("""COMPUTED_VALUE"""),TRUE)</f>
        <v>1</v>
      </c>
      <c r="Q10" s="16" t="b">
        <f>IFERROR(__xludf.DUMMYFUNCTION("""COMPUTED_VALUE"""),TRUE)</f>
        <v>1</v>
      </c>
      <c r="R10" s="16"/>
      <c r="S10" s="16"/>
      <c r="T10" s="16"/>
      <c r="U10" s="16"/>
      <c r="V10" s="16"/>
      <c r="W10" s="16"/>
      <c r="X10" s="16"/>
      <c r="Y10" s="16"/>
      <c r="Z10" s="16"/>
    </row>
    <row r="11">
      <c r="A11" s="115" t="str">
        <f>IFERROR(__xludf.DUMMYFUNCTION("""COMPUTED_VALUE"""),"The Exiled Ones")</f>
        <v>The Exiled Ones</v>
      </c>
      <c r="B11" s="116" t="str">
        <f>IFERROR(__xludf.DUMMYFUNCTION("""COMPUTED_VALUE"""),"The Exiled Ones are a mysterious and enigmatic faction within The Land of Spira, deeply influenced by the mythic figure known as The Keeper of the Banished. This faction is composed of individuals who have embraced their roles as outcasts, pariahs, and ex"&amp;"iles from society, forging their own path on the fringes of the realm.
Members of The Exiled Ones are marked by their resilience, resourcefulness, and the weight of their past transgressions or unique life circumstances. They have chosen to live beyond t"&amp;"he boundaries of conventional society and have become adept at surviving in the most challenging and unforgiving environments.
The faction consists of a diverse group of individuals, including rogues, wanderers, solitary mages, and those who have been ca"&amp;"st out of mainstream society. Their shared belief is in the freedom of living on their own terms, unburdened by the constraints of tradition or authority.
The Exiled Ones actively engage in nomadic lifestyles, scavenging, and the forging of new communiti"&amp;"es in isolated regions. They are known for their skills in survival, unconventional problem-solving, and adapting to the ever-changing and often perilous circumstances of their existence.")</f>
        <v>The Exiled Ones are a mysterious and enigmatic faction within The Land of Spira, deeply influenced by the mythic figure known as The Keeper of the Banished. This faction is composed of individuals who have embraced their roles as outcasts, pariahs, and exiles from society, forging their own path on the fringes of the realm.
Members of The Exiled Ones are marked by their resilience, resourcefulness, and the weight of their past transgressions or unique life circumstances. They have chosen to live beyond the boundaries of conventional society and have become adept at surviving in the most challenging and unforgiving environments.
The faction consists of a diverse group of individuals, including rogues, wanderers, solitary mages, and those who have been cast out of mainstream society. Their shared belief is in the freedom of living on their own terms, unburdened by the constraints of tradition or authority.
The Exiled Ones actively engage in nomadic lifestyles, scavenging, and the forging of new communities in isolated regions. They are known for their skills in survival, unconventional problem-solving, and adapting to the ever-changing and often perilous circumstances of their existence.</v>
      </c>
      <c r="C11" s="115" t="str">
        <f>IFERROR(__xludf.DUMMYFUNCTION("""COMPUTED_VALUE"""),"Panic")</f>
        <v>Panic</v>
      </c>
      <c r="D11" s="117" t="str">
        <f>IFERROR(__xludf.DUMMYFUNCTION("""COMPUTED_VALUE"""),"When adventuring alone or partaking in a party with 3 or less party members, your fleeing rolls are doubled.")</f>
        <v>When adventuring alone or partaking in a party with 3 or less party members, your fleeing rolls are doubled.</v>
      </c>
      <c r="E11" s="117" t="str">
        <f>IFERROR(__xludf.DUMMYFUNCTION("""COMPUTED_VALUE"""),"Isolation")</f>
        <v>Isolation</v>
      </c>
      <c r="F11" s="16" t="str">
        <f>IFERROR(__xludf.DUMMYFUNCTION("""COMPUTED_VALUE"""),"25% chance to seperate yourself from the party in battle creating a second battle against the same enemies, Fail/Succeed. Unaffected by bonuses.")</f>
        <v>25% chance to seperate yourself from the party in battle creating a second battle against the same enemies, Fail/Succeed. Unaffected by bonuses.</v>
      </c>
      <c r="G11" s="16" t="str">
        <f>IFERROR(__xludf.DUMMYFUNCTION("""COMPUTED_VALUE"""),"Exile")</f>
        <v>Exile</v>
      </c>
      <c r="H11" s="16" t="str">
        <f>IFERROR(__xludf.DUMMYFUNCTION("""COMPUTED_VALUE"""),"20% chance of all enemies being banished if you are the only party member in battle or alive (Unaffected by bonuses), or if you are the only party member in battle or alive you can flee without fail.")</f>
        <v>20% chance of all enemies being banished if you are the only party member in battle or alive (Unaffected by bonuses), or if you are the only party member in battle or alive you can flee without fail.</v>
      </c>
      <c r="I11" s="16" t="b">
        <f>IFERROR(__xludf.DUMMYFUNCTION("""COMPUTED_VALUE"""),TRUE)</f>
        <v>1</v>
      </c>
      <c r="J11" s="16" t="b">
        <f>IFERROR(__xludf.DUMMYFUNCTION("""COMPUTED_VALUE"""),TRUE)</f>
        <v>1</v>
      </c>
      <c r="K11" s="16" t="b">
        <f>IFERROR(__xludf.DUMMYFUNCTION("""COMPUTED_VALUE"""),TRUE)</f>
        <v>1</v>
      </c>
      <c r="L11" s="16" t="b">
        <f>IFERROR(__xludf.DUMMYFUNCTION("""COMPUTED_VALUE"""),TRUE)</f>
        <v>1</v>
      </c>
      <c r="M11" s="16" t="b">
        <f>IFERROR(__xludf.DUMMYFUNCTION("""COMPUTED_VALUE"""),TRUE)</f>
        <v>1</v>
      </c>
      <c r="N11" s="16" t="b">
        <f>IFERROR(__xludf.DUMMYFUNCTION("""COMPUTED_VALUE"""),TRUE)</f>
        <v>1</v>
      </c>
      <c r="O11" s="16" t="b">
        <f>IFERROR(__xludf.DUMMYFUNCTION("""COMPUTED_VALUE"""),TRUE)</f>
        <v>1</v>
      </c>
      <c r="P11" s="16" t="b">
        <f>IFERROR(__xludf.DUMMYFUNCTION("""COMPUTED_VALUE"""),TRUE)</f>
        <v>1</v>
      </c>
      <c r="Q11" s="16" t="b">
        <f>IFERROR(__xludf.DUMMYFUNCTION("""COMPUTED_VALUE"""),TRUE)</f>
        <v>1</v>
      </c>
      <c r="R11" s="16"/>
      <c r="S11" s="16"/>
      <c r="T11" s="16"/>
      <c r="U11" s="16"/>
      <c r="V11" s="16"/>
      <c r="W11" s="16"/>
      <c r="X11" s="16"/>
      <c r="Y11" s="16"/>
      <c r="Z11" s="16"/>
    </row>
    <row r="12">
      <c r="A12" s="115" t="str">
        <f>IFERROR(__xludf.DUMMYFUNCTION("""COMPUTED_VALUE"""),"The Astrologist's")</f>
        <v>The Astrologist's</v>
      </c>
      <c r="B12" s="116" t="str">
        <f>IFERROR(__xludf.DUMMYFUNCTION("""COMPUTED_VALUE"""),"The Astrologers are a revered and enigmatic faction within The Land of Spira, deeply influenced by the ancient and mythical Dragon Deity, Astralis, the Bearer of Branches and Creator of the Universe. This faction is composed of individuals who have chosen"&amp;" to dedicate their lives to the study of the cosmos, the pursuit of cosmic knowledge, and the understanding of the intricate web that connects all existence.
Members of The Astrologers are known for their deep reverence for the celestial, and their unwav"&amp;"ering commitment to unraveling the mysteries of the universe. They are stargazers, astronomers, cosmologists, and seekers of the profound cosmic truths that shape the destiny of the realm.
The faction encompasses a diverse and contemplative group of indi"&amp;"viduals, including star mages, celestial scholars, and those who delve into the secrets of the night sky. They share a common devotion to the study of celestial bodies, the cosmic cycles, and the belief that the cosmos holds the key to understanding the p"&amp;"ast, present, and future.
The Astrologers actively engage in the observation of celestial phenomena, the deciphering of cosmic patterns, and the exploration of the divine influence of the stars on the realm. They are known for their skills in celestial n"&amp;"avigation, prophecy, and the interpretation of celestial omens.
This faction conducts rituals and ceremonies that pay homage to Astralis, the ancient Dragon Deity, seeking divine insight and guidance from the celestial realms. Their sacred knowledge enco"&amp;"mpasses the principles of astrology, the mysteries of cosmic forces, and the interconnectedness of all things in the universe.
The Astrologers are not only scholars and observers but also interpreters of destiny. They are consulted for their wisdom in gu"&amp;"iding individuals and communities, predicting celestial events, and offering insights into the great cosmic design.")</f>
        <v>The Astrologers are a revered and enigmatic faction within The Land of Spira, deeply influenced by the ancient and mythical Dragon Deity, Astralis, the Bearer of Branches and Creator of the Universe. This faction is composed of individuals who have chosen to dedicate their lives to the study of the cosmos, the pursuit of cosmic knowledge, and the understanding of the intricate web that connects all existence.
Members of The Astrologers are known for their deep reverence for the celestial, and their unwavering commitment to unraveling the mysteries of the universe. They are stargazers, astronomers, cosmologists, and seekers of the profound cosmic truths that shape the destiny of the realm.
The faction encompasses a diverse and contemplative group of individuals, including star mages, celestial scholars, and those who delve into the secrets of the night sky. They share a common devotion to the study of celestial bodies, the cosmic cycles, and the belief that the cosmos holds the key to understanding the past, present, and future.
The Astrologers actively engage in the observation of celestial phenomena, the deciphering of cosmic patterns, and the exploration of the divine influence of the stars on the realm. They are known for their skills in celestial navigation, prophecy, and the interpretation of celestial omens.
This faction conducts rituals and ceremonies that pay homage to Astralis, the ancient Dragon Deity, seeking divine insight and guidance from the celestial realms. Their sacred knowledge encompasses the principles of astrology, the mysteries of cosmic forces, and the interconnectedness of all things in the universe.
The Astrologers are not only scholars and observers but also interpreters of destiny. They are consulted for their wisdom in guiding individuals and communities, predicting celestial events, and offering insights into the great cosmic design.</v>
      </c>
      <c r="C12" s="115" t="str">
        <f>IFERROR(__xludf.DUMMYFUNCTION("""COMPUTED_VALUE"""),"The Universe of Spira")</f>
        <v>The Universe of Spira</v>
      </c>
      <c r="D12" s="117" t="str">
        <f>IFERROR(__xludf.DUMMYFUNCTION("""COMPUTED_VALUE"""),"Astral Spell/Power Attacks will also deal X Celestial damage where X is equal to your accuracy.")</f>
        <v>Astral Spell/Power Attacks will also deal X Celestial damage where X is equal to your accuracy.</v>
      </c>
      <c r="E12" s="117" t="str">
        <f>IFERROR(__xludf.DUMMYFUNCTION("""COMPUTED_VALUE"""),"Shooting Star")</f>
        <v>Shooting Star</v>
      </c>
      <c r="F12" s="16" t="str">
        <f>IFERROR(__xludf.DUMMYFUNCTION("""COMPUTED_VALUE"""),"When traveling on a 50+ day journey roll a d20. 1-5 You find d20 Star Pieces,   6-10 Switch the time of day at any point in the journey without waiting once, 11-15 +5 to your rolls for the next 3 battles during this journey, 16-20 deduct up to 5 bad days "&amp;"of travel this journey.")</f>
        <v>When traveling on a 50+ day journey roll a d20. 1-5 You find d20 Star Pieces,   6-10 Switch the time of day at any point in the journey without waiting once, 11-15 +5 to your rolls for the next 3 battles during this journey, 16-20 deduct up to 5 bad days of travel this journey.</v>
      </c>
      <c r="G12" s="16" t="str">
        <f>IFERROR(__xludf.DUMMYFUNCTION("""COMPUTED_VALUE"""),"Lucky Rainbow")</f>
        <v>Lucky Rainbow</v>
      </c>
      <c r="H12" s="16" t="str">
        <f>IFERROR(__xludf.DUMMYFUNCTION("""COMPUTED_VALUE"""),"If you successfully complete a 50+ day journey without dying or deducting any bad days you can deduct 10 bad days of travel from the next journey.")</f>
        <v>If you successfully complete a 50+ day journey without dying or deducting any bad days you can deduct 10 bad days of travel from the next journey.</v>
      </c>
      <c r="I12" s="16" t="b">
        <f>IFERROR(__xludf.DUMMYFUNCTION("""COMPUTED_VALUE"""),TRUE)</f>
        <v>1</v>
      </c>
      <c r="J12" s="16" t="b">
        <f>IFERROR(__xludf.DUMMYFUNCTION("""COMPUTED_VALUE"""),TRUE)</f>
        <v>1</v>
      </c>
      <c r="K12" s="16" t="b">
        <f>IFERROR(__xludf.DUMMYFUNCTION("""COMPUTED_VALUE"""),TRUE)</f>
        <v>1</v>
      </c>
      <c r="L12" s="16" t="b">
        <f>IFERROR(__xludf.DUMMYFUNCTION("""COMPUTED_VALUE"""),TRUE)</f>
        <v>1</v>
      </c>
      <c r="M12" s="16" t="b">
        <f>IFERROR(__xludf.DUMMYFUNCTION("""COMPUTED_VALUE"""),TRUE)</f>
        <v>1</v>
      </c>
      <c r="N12" s="16" t="b">
        <f>IFERROR(__xludf.DUMMYFUNCTION("""COMPUTED_VALUE"""),TRUE)</f>
        <v>1</v>
      </c>
      <c r="O12" s="16" t="b">
        <f>IFERROR(__xludf.DUMMYFUNCTION("""COMPUTED_VALUE"""),TRUE)</f>
        <v>1</v>
      </c>
      <c r="P12" s="16" t="b">
        <f>IFERROR(__xludf.DUMMYFUNCTION("""COMPUTED_VALUE"""),TRUE)</f>
        <v>1</v>
      </c>
      <c r="Q12" s="16" t="b">
        <f>IFERROR(__xludf.DUMMYFUNCTION("""COMPUTED_VALUE"""),TRUE)</f>
        <v>1</v>
      </c>
      <c r="R12" s="16"/>
      <c r="S12" s="16"/>
      <c r="T12" s="16"/>
      <c r="U12" s="16"/>
      <c r="V12" s="16"/>
      <c r="W12" s="16"/>
      <c r="X12" s="16"/>
      <c r="Y12" s="16"/>
      <c r="Z12" s="16"/>
    </row>
    <row r="13">
      <c r="A13" s="115" t="str">
        <f>IFERROR(__xludf.DUMMYFUNCTION("""COMPUTED_VALUE"""),"The Choir of Dionysus")</f>
        <v>The Choir of Dionysus</v>
      </c>
      <c r="B13" s="116" t="str">
        <f>IFERROR(__xludf.DUMMYFUNCTION("""COMPUTED_VALUE"""),"The Choir of Dionysus is a lively and exuberant faction within The Land of Spira, deeply influenced by the festive and celebratory spirit of Dionysus, the God of the Party. This faction is composed of individuals who have embraced the revelry, music, and "&amp;"merrymaking that are central to their lives as bards and entertainers.
Members of The Choir of Dionysus are known for their passion for music, storytelling, and the joy of communal celebrations. They are bards, minstrels, troubadours, and artists who hav"&amp;"e chosen to dedicate their lives to spreading cheer and enchantment throughout the realm.
The faction is a diverse and artistic group, including musicians, actors, jesters, and performers who share a common belief in the power of art and music to uplift "&amp;"spirits and bring people together in celebration.
The Choir of Dionysus actively engages in performing arts, creating lively festivals, and organizing grand feasts and parties. They are known for their skills in music, dance, oratory, and their ability t"&amp;"o inspire euphoria and enchantment among those who experience their performances.
This faction conducts lively and vibrant celebrations, inviting all to join in the festivities. They seek to infuse every aspect of life with joy, whether through grand spe"&amp;"ctacles, impromptu gatherings, or spontaneous parades.")</f>
        <v>The Choir of Dionysus is a lively and exuberant faction within The Land of Spira, deeply influenced by the festive and celebratory spirit of Dionysus, the God of the Party. This faction is composed of individuals who have embraced the revelry, music, and merrymaking that are central to their lives as bards and entertainers.
Members of The Choir of Dionysus are known for their passion for music, storytelling, and the joy of communal celebrations. They are bards, minstrels, troubadours, and artists who have chosen to dedicate their lives to spreading cheer and enchantment throughout the realm.
The faction is a diverse and artistic group, including musicians, actors, jesters, and performers who share a common belief in the power of art and music to uplift spirits and bring people together in celebration.
The Choir of Dionysus actively engages in performing arts, creating lively festivals, and organizing grand feasts and parties. They are known for their skills in music, dance, oratory, and their ability to inspire euphoria and enchantment among those who experience their performances.
This faction conducts lively and vibrant celebrations, inviting all to join in the festivities. They seek to infuse every aspect of life with joy, whether through grand spectacles, impromptu gatherings, or spontaneous parades.</v>
      </c>
      <c r="C13" s="115" t="str">
        <f>IFERROR(__xludf.DUMMYFUNCTION("""COMPUTED_VALUE"""),"Preaching to the Choir")</f>
        <v>Preaching to the Choir</v>
      </c>
      <c r="D13" s="117" t="str">
        <f>IFERROR(__xludf.DUMMYFUNCTION("""COMPUTED_VALUE"""),"Buffs targetting an ally or self are guaranteed to succeed")</f>
        <v>Buffs targetting an ally or self are guaranteed to succeed</v>
      </c>
      <c r="E13" s="117" t="str">
        <f>IFERROR(__xludf.DUMMYFUNCTION("""COMPUTED_VALUE"""),"Beguiling Charm")</f>
        <v>Beguiling Charm</v>
      </c>
      <c r="F13" s="16" t="str">
        <f>IFERROR(__xludf.DUMMYFUNCTION("""COMPUTED_VALUE"""),"+5 Charisma")</f>
        <v>+5 Charisma</v>
      </c>
      <c r="G13" s="16" t="str">
        <f>IFERROR(__xludf.DUMMYFUNCTION("""COMPUTED_VALUE"""),"Ravaging Performance")</f>
        <v>Ravaging Performance</v>
      </c>
      <c r="H13" s="16" t="str">
        <f>IFERROR(__xludf.DUMMYFUNCTION("""COMPUTED_VALUE"""),"Acoustic Attacks do an additional X4 Damage, and will have a 15% chance to inflict any enemy hit with Disoriented 5")</f>
        <v>Acoustic Attacks do an additional X4 Damage, and will have a 15% chance to inflict any enemy hit with Disoriented 5</v>
      </c>
      <c r="I13" s="16" t="b">
        <f>IFERROR(__xludf.DUMMYFUNCTION("""COMPUTED_VALUE"""),TRUE)</f>
        <v>1</v>
      </c>
      <c r="J13" s="16" t="b">
        <f>IFERROR(__xludf.DUMMYFUNCTION("""COMPUTED_VALUE"""),TRUE)</f>
        <v>1</v>
      </c>
      <c r="K13" s="16" t="b">
        <f>IFERROR(__xludf.DUMMYFUNCTION("""COMPUTED_VALUE"""),TRUE)</f>
        <v>1</v>
      </c>
      <c r="L13" s="16" t="b">
        <f>IFERROR(__xludf.DUMMYFUNCTION("""COMPUTED_VALUE"""),TRUE)</f>
        <v>1</v>
      </c>
      <c r="M13" s="16" t="b">
        <f>IFERROR(__xludf.DUMMYFUNCTION("""COMPUTED_VALUE"""),TRUE)</f>
        <v>1</v>
      </c>
      <c r="N13" s="16" t="b">
        <f>IFERROR(__xludf.DUMMYFUNCTION("""COMPUTED_VALUE"""),TRUE)</f>
        <v>1</v>
      </c>
      <c r="O13" s="16" t="b">
        <f>IFERROR(__xludf.DUMMYFUNCTION("""COMPUTED_VALUE"""),TRUE)</f>
        <v>1</v>
      </c>
      <c r="P13" s="16" t="b">
        <f>IFERROR(__xludf.DUMMYFUNCTION("""COMPUTED_VALUE"""),TRUE)</f>
        <v>1</v>
      </c>
      <c r="Q13" s="16" t="b">
        <f>IFERROR(__xludf.DUMMYFUNCTION("""COMPUTED_VALUE"""),TRUE)</f>
        <v>1</v>
      </c>
      <c r="R13" s="16"/>
      <c r="S13" s="16"/>
      <c r="T13" s="16"/>
      <c r="U13" s="16"/>
      <c r="V13" s="16"/>
      <c r="W13" s="16"/>
      <c r="X13" s="16"/>
      <c r="Y13" s="16"/>
      <c r="Z13" s="16"/>
    </row>
    <row r="14">
      <c r="A14" s="115" t="str">
        <f>IFERROR(__xludf.DUMMYFUNCTION("""COMPUTED_VALUE"""),"The Abbott's")</f>
        <v>The Abbott's</v>
      </c>
      <c r="B14" s="116" t="str">
        <f>IFERROR(__xludf.DUMMYFUNCTION("""COMPUTED_VALUE"""),"The Abbott's are a venerable and disciplined faction within The Land of Spira, deeply influenced by the wisdom and teachings of Elder Monk Kenyu. This faction is composed of individuals who have chosen to dedicate their lives to the pursuit of spiritual e"&amp;"nlightenment, inner peace, and the cultivation of harmony in both themselves and the realm.
Members of The Abbott's are known for their unwavering commitment to self-discipline, mindfulness, and their deep connection with the spiritual world. They are mo"&amp;"nks, ascetics, scholars, and seekers who have chosen to follow the path of inner reflection and enlightenment.
The faction encompasses a diverse and contemplative group of individuals, including meditation masters, scholars of ancient wisdom, and those w"&amp;"ho seek to understand the inner workings of the human spirit. They share a common reverence for Elder Monk Kenyu's teachings, advocating for spiritual growth, self-discovery, and the achievement of inner peace.
The Abbott's actively engage in meditative "&amp;"practices, the study of ancient texts, and the quest for a deeper understanding of the inner self. They are known for their skills in meditation, martial arts, and their ability to bring tranquility to the chaotic world around them.
This faction conducts"&amp;" rituals and ceremonies that pay homage to Elder Monk Kenyu and the teachings of inner peace and harmony. Their sacred knowledge encompasses the wisdom of the ages, the art of mindfulness, and the pursuit of enlightenment.
The Abbott's are not only pract"&amp;"itioners but also mentors, guiding others on the path of inner reflection and spiritual growth. They are sought after for their wisdom and their ability to bring calm and clarity to those who seek their counsel.")</f>
        <v>The Abbott's are a venerable and disciplined faction within The Land of Spira, deeply influenced by the wisdom and teachings of Elder Monk Kenyu. This faction is composed of individuals who have chosen to dedicate their lives to the pursuit of spiritual enlightenment, inner peace, and the cultivation of harmony in both themselves and the realm.
Members of The Abbott's are known for their unwavering commitment to self-discipline, mindfulness, and their deep connection with the spiritual world. They are monks, ascetics, scholars, and seekers who have chosen to follow the path of inner reflection and enlightenment.
The faction encompasses a diverse and contemplative group of individuals, including meditation masters, scholars of ancient wisdom, and those who seek to understand the inner workings of the human spirit. They share a common reverence for Elder Monk Kenyu's teachings, advocating for spiritual growth, self-discovery, and the achievement of inner peace.
The Abbott's actively engage in meditative practices, the study of ancient texts, and the quest for a deeper understanding of the inner self. They are known for their skills in meditation, martial arts, and their ability to bring tranquility to the chaotic world around them.
This faction conducts rituals and ceremonies that pay homage to Elder Monk Kenyu and the teachings of inner peace and harmony. Their sacred knowledge encompasses the wisdom of the ages, the art of mindfulness, and the pursuit of enlightenment.
The Abbott's are not only practitioners but also mentors, guiding others on the path of inner reflection and spiritual growth. They are sought after for their wisdom and their ability to bring calm and clarity to those who seek their counsel.</v>
      </c>
      <c r="C14" s="115" t="str">
        <f>IFERROR(__xludf.DUMMYFUNCTION("""COMPUTED_VALUE"""),"Elemental Chi")</f>
        <v>Elemental Chi</v>
      </c>
      <c r="D14" s="117" t="str">
        <f>IFERROR(__xludf.DUMMYFUNCTION("""COMPUTED_VALUE"""),"Take half damage from Fire, Water, Storm, Earth, and Nature.")</f>
        <v>Take half damage from Fire, Water, Storm, Earth, and Nature.</v>
      </c>
      <c r="E14" s="117" t="str">
        <f>IFERROR(__xludf.DUMMYFUNCTION("""COMPUTED_VALUE"""),"Peaceful Mind")</f>
        <v>Peaceful Mind</v>
      </c>
      <c r="F14" s="16" t="str">
        <f>IFERROR(__xludf.DUMMYFUNCTION("""COMPUTED_VALUE"""),"10% Chance of preventing a corrupt guard from engaging the party in battle.")</f>
        <v>10% Chance of preventing a corrupt guard from engaging the party in battle.</v>
      </c>
      <c r="G14" s="16" t="str">
        <f>IFERROR(__xludf.DUMMYFUNCTION("""COMPUTED_VALUE"""),"Peacekeeper")</f>
        <v>Peacekeeper</v>
      </c>
      <c r="H14" s="16" t="str">
        <f>IFERROR(__xludf.DUMMYFUNCTION("""COMPUTED_VALUE"""),"25% chance of preventing party member from engaging each other in battle, stealing from each other, intimidating each other, or inconviencing each other in any way.")</f>
        <v>25% chance of preventing party member from engaging each other in battle, stealing from each other, intimidating each other, or inconviencing each other in any way.</v>
      </c>
      <c r="I14" s="16" t="b">
        <f>IFERROR(__xludf.DUMMYFUNCTION("""COMPUTED_VALUE"""),TRUE)</f>
        <v>1</v>
      </c>
      <c r="J14" s="16" t="b">
        <f>IFERROR(__xludf.DUMMYFUNCTION("""COMPUTED_VALUE"""),TRUE)</f>
        <v>1</v>
      </c>
      <c r="K14" s="16" t="b">
        <f>IFERROR(__xludf.DUMMYFUNCTION("""COMPUTED_VALUE"""),TRUE)</f>
        <v>1</v>
      </c>
      <c r="L14" s="16" t="b">
        <f>IFERROR(__xludf.DUMMYFUNCTION("""COMPUTED_VALUE"""),TRUE)</f>
        <v>1</v>
      </c>
      <c r="M14" s="16" t="b">
        <f>IFERROR(__xludf.DUMMYFUNCTION("""COMPUTED_VALUE"""),TRUE)</f>
        <v>1</v>
      </c>
      <c r="N14" s="16" t="b">
        <f>IFERROR(__xludf.DUMMYFUNCTION("""COMPUTED_VALUE"""),TRUE)</f>
        <v>1</v>
      </c>
      <c r="O14" s="16" t="b">
        <f>IFERROR(__xludf.DUMMYFUNCTION("""COMPUTED_VALUE"""),TRUE)</f>
        <v>1</v>
      </c>
      <c r="P14" s="16" t="b">
        <f>IFERROR(__xludf.DUMMYFUNCTION("""COMPUTED_VALUE"""),TRUE)</f>
        <v>1</v>
      </c>
      <c r="Q14" s="16" t="b">
        <f>IFERROR(__xludf.DUMMYFUNCTION("""COMPUTED_VALUE"""),TRUE)</f>
        <v>1</v>
      </c>
      <c r="R14" s="16"/>
      <c r="S14" s="16"/>
      <c r="T14" s="16"/>
      <c r="U14" s="16"/>
      <c r="V14" s="16"/>
      <c r="W14" s="16"/>
      <c r="X14" s="16"/>
      <c r="Y14" s="16"/>
      <c r="Z14" s="16"/>
    </row>
    <row r="15">
      <c r="A15" s="115" t="str">
        <f>IFERROR(__xludf.DUMMYFUNCTION("""COMPUTED_VALUE"""),"Harbingers of The Voidwoken")</f>
        <v>Harbingers of The Voidwoken</v>
      </c>
      <c r="B15" s="116" t="str">
        <f>IFERROR(__xludf.DUMMYFUNCTION("""COMPUTED_VALUE"""),"The Harbingers are people who stand on neither side of Spira's conflict, instead forming their own order more akin to a group of mercenaries than that of paladins. This Neutrality has lead to conflicts with many different factions and yet no one shuns the"&amp;" group simply due to how valuable an ally they are when their bloodlust is turned in the right directions.
The Harbingers value strength and spirit over all else accepting anyone with a will to fight, and tendency towards chaos, no matter their backgroun"&amp;"d. This lust for strength instills them with an unwaivering loyalty for those who they see as equals. 
The Harbingers, while technically under the Voidbeast Bahamunt acts independantly in most matters seeing as their patron is sealed in the fucking void."&amp;" Also since Bahamut is an ironically large advocate for personal freedom, that didn't get him far now did it? 
The worship methods of the Harbingers is rather different compared to many others in that they show their piety through regular combat, hosting"&amp;" events in the many arenas across Spira which are open to all. ")</f>
        <v>The Harbingers are people who stand on neither side of Spira's conflict, instead forming their own order more akin to a group of mercenaries than that of paladins. This Neutrality has lead to conflicts with many different factions and yet no one shuns the group simply due to how valuable an ally they are when their bloodlust is turned in the right directions.
The Harbingers value strength and spirit over all else accepting anyone with a will to fight, and tendency towards chaos, no matter their background. This lust for strength instills them with an unwaivering loyalty for those who they see as equals. 
The Harbingers, while technically under the Voidbeast Bahamunt acts independantly in most matters seeing as their patron is sealed in the fucking void. Also since Bahamut is an ironically large advocate for personal freedom, that didn't get him far now did it? 
The worship methods of the Harbingers is rather different compared to many others in that they show their piety through regular combat, hosting events in the many arenas across Spira which are open to all. </v>
      </c>
      <c r="C15" s="115" t="str">
        <f>IFERROR(__xludf.DUMMYFUNCTION("""COMPUTED_VALUE"""),"Harbinger's Bloodlust")</f>
        <v>Harbinger's Bloodlust</v>
      </c>
      <c r="D15" s="117" t="str">
        <f>IFERROR(__xludf.DUMMYFUNCTION("""COMPUTED_VALUE"""),"When attacking an enemy with a Natural, Claw, or Guantlet attack you deplete their mana equal to 5% of damage dealt. 
")</f>
        <v>When attacking an enemy with a Natural, Claw, or Guantlet attack you deplete their mana equal to 5% of damage dealt. 
</v>
      </c>
      <c r="E15" s="117" t="str">
        <f>IFERROR(__xludf.DUMMYFUNCTION("""COMPUTED_VALUE"""),"Harbinger's Fervor")</f>
        <v>Harbinger's Fervor</v>
      </c>
      <c r="F15" s="16" t="str">
        <f>IFERROR(__xludf.DUMMYFUNCTION("""COMPUTED_VALUE"""),"X2 additional Natural, Claw, and Guantlet damage.")</f>
        <v>X2 additional Natural, Claw, and Guantlet damage.</v>
      </c>
      <c r="G15" s="16" t="str">
        <f>IFERROR(__xludf.DUMMYFUNCTION("""COMPUTED_VALUE"""),"Harbinger's Honor")</f>
        <v>Harbinger's Honor</v>
      </c>
      <c r="H15" s="16" t="str">
        <f>IFERROR(__xludf.DUMMYFUNCTION("""COMPUTED_VALUE"""),"When fighting any boss enemy deal X4 damage for the first 3 rounds of battle.")</f>
        <v>When fighting any boss enemy deal X4 damage for the first 3 rounds of battle.</v>
      </c>
      <c r="I15" s="16" t="b">
        <f>IFERROR(__xludf.DUMMYFUNCTION("""COMPUTED_VALUE"""),TRUE)</f>
        <v>1</v>
      </c>
      <c r="J15" s="16" t="b">
        <f>IFERROR(__xludf.DUMMYFUNCTION("""COMPUTED_VALUE"""),TRUE)</f>
        <v>1</v>
      </c>
      <c r="K15" s="16" t="b">
        <f>IFERROR(__xludf.DUMMYFUNCTION("""COMPUTED_VALUE"""),TRUE)</f>
        <v>1</v>
      </c>
      <c r="L15" s="16" t="b">
        <f>IFERROR(__xludf.DUMMYFUNCTION("""COMPUTED_VALUE"""),TRUE)</f>
        <v>1</v>
      </c>
      <c r="M15" s="16" t="b">
        <f>IFERROR(__xludf.DUMMYFUNCTION("""COMPUTED_VALUE"""),TRUE)</f>
        <v>1</v>
      </c>
      <c r="N15" s="16" t="b">
        <f>IFERROR(__xludf.DUMMYFUNCTION("""COMPUTED_VALUE"""),TRUE)</f>
        <v>1</v>
      </c>
      <c r="O15" s="16" t="b">
        <f>IFERROR(__xludf.DUMMYFUNCTION("""COMPUTED_VALUE"""),TRUE)</f>
        <v>1</v>
      </c>
      <c r="P15" s="16" t="b">
        <f>IFERROR(__xludf.DUMMYFUNCTION("""COMPUTED_VALUE"""),TRUE)</f>
        <v>1</v>
      </c>
      <c r="Q15" s="16" t="b">
        <f>IFERROR(__xludf.DUMMYFUNCTION("""COMPUTED_VALUE"""),TRUE)</f>
        <v>1</v>
      </c>
      <c r="R15" s="16"/>
      <c r="S15" s="16"/>
      <c r="T15" s="16"/>
      <c r="U15" s="16"/>
      <c r="V15" s="16"/>
      <c r="W15" s="16"/>
      <c r="X15" s="16"/>
      <c r="Y15" s="16"/>
      <c r="Z15" s="16"/>
    </row>
    <row r="16">
      <c r="A16" s="115"/>
      <c r="B16" s="115"/>
      <c r="C16" s="115"/>
      <c r="D16" s="115"/>
      <c r="E16" s="115"/>
      <c r="F16" s="16"/>
      <c r="G16" s="16"/>
      <c r="H16" s="16"/>
      <c r="I16" s="16"/>
      <c r="J16" s="16"/>
      <c r="K16" s="16"/>
      <c r="L16" s="16"/>
      <c r="M16" s="16"/>
      <c r="N16" s="16"/>
      <c r="O16" s="16"/>
      <c r="P16" s="16"/>
      <c r="Q16" s="16"/>
      <c r="R16" s="16"/>
      <c r="S16" s="16"/>
      <c r="T16" s="16"/>
      <c r="U16" s="16"/>
      <c r="V16" s="16"/>
      <c r="W16" s="16"/>
      <c r="X16" s="16"/>
      <c r="Y16" s="16"/>
      <c r="Z16" s="16"/>
    </row>
    <row r="17">
      <c r="A17" s="115"/>
      <c r="B17" s="115"/>
      <c r="C17" s="115"/>
      <c r="D17" s="115"/>
      <c r="E17" s="115"/>
      <c r="F17" s="16"/>
      <c r="G17" s="16"/>
      <c r="H17" s="16"/>
      <c r="I17" s="16"/>
      <c r="J17" s="16"/>
      <c r="K17" s="16"/>
      <c r="L17" s="16"/>
      <c r="M17" s="16"/>
      <c r="N17" s="16"/>
      <c r="O17" s="16"/>
      <c r="P17" s="16"/>
      <c r="Q17" s="16"/>
      <c r="R17" s="16"/>
      <c r="S17" s="16"/>
      <c r="T17" s="16"/>
      <c r="U17" s="16"/>
      <c r="V17" s="16"/>
      <c r="W17" s="16"/>
      <c r="X17" s="16"/>
      <c r="Y17" s="16"/>
      <c r="Z17" s="16"/>
    </row>
    <row r="18">
      <c r="A18" s="115"/>
      <c r="B18" s="115"/>
      <c r="C18" s="115"/>
      <c r="D18" s="115"/>
      <c r="E18" s="115"/>
      <c r="F18" s="16"/>
      <c r="G18" s="16"/>
      <c r="H18" s="16"/>
      <c r="I18" s="16"/>
      <c r="J18" s="16"/>
      <c r="K18" s="16"/>
      <c r="L18" s="16"/>
      <c r="M18" s="16"/>
      <c r="N18" s="16"/>
      <c r="O18" s="16"/>
      <c r="P18" s="16"/>
      <c r="Q18" s="16"/>
      <c r="R18" s="16"/>
      <c r="S18" s="16"/>
      <c r="T18" s="16"/>
      <c r="U18" s="16"/>
      <c r="V18" s="16"/>
      <c r="W18" s="16"/>
      <c r="X18" s="16"/>
      <c r="Y18" s="16"/>
      <c r="Z18" s="16"/>
    </row>
    <row r="19">
      <c r="A19" s="115"/>
      <c r="B19" s="115"/>
      <c r="C19" s="115"/>
      <c r="D19" s="115"/>
      <c r="E19" s="115"/>
      <c r="F19" s="16"/>
      <c r="G19" s="16"/>
      <c r="H19" s="16"/>
      <c r="I19" s="16"/>
      <c r="J19" s="16"/>
      <c r="K19" s="16"/>
      <c r="L19" s="16"/>
      <c r="M19" s="16"/>
      <c r="N19" s="16"/>
      <c r="O19" s="16"/>
      <c r="P19" s="16"/>
      <c r="Q19" s="16"/>
      <c r="R19" s="16"/>
      <c r="S19" s="16"/>
      <c r="T19" s="16"/>
      <c r="U19" s="16"/>
      <c r="V19" s="16"/>
      <c r="W19" s="16"/>
      <c r="X19" s="16"/>
      <c r="Y19" s="16"/>
      <c r="Z19" s="16"/>
    </row>
    <row r="20">
      <c r="A20" s="115"/>
      <c r="B20" s="115"/>
      <c r="C20" s="115"/>
      <c r="D20" s="115"/>
      <c r="E20" s="115"/>
      <c r="F20" s="16"/>
      <c r="G20" s="16"/>
      <c r="H20" s="16"/>
      <c r="I20" s="16"/>
      <c r="J20" s="16"/>
      <c r="K20" s="16"/>
      <c r="L20" s="16"/>
      <c r="M20" s="16"/>
      <c r="N20" s="16"/>
      <c r="O20" s="16"/>
      <c r="P20" s="16"/>
      <c r="Q20" s="16"/>
      <c r="R20" s="16"/>
      <c r="S20" s="16"/>
      <c r="T20" s="16"/>
      <c r="U20" s="16"/>
      <c r="V20" s="16"/>
      <c r="W20" s="16"/>
      <c r="X20" s="16"/>
      <c r="Y20" s="16"/>
      <c r="Z20" s="16"/>
    </row>
    <row r="21">
      <c r="A21" s="115"/>
      <c r="B21" s="115"/>
      <c r="C21" s="115"/>
      <c r="D21" s="115"/>
      <c r="E21" s="115"/>
      <c r="F21" s="16"/>
      <c r="G21" s="16"/>
      <c r="H21" s="16"/>
      <c r="I21" s="16"/>
      <c r="J21" s="16"/>
      <c r="K21" s="16"/>
      <c r="L21" s="16"/>
      <c r="M21" s="16"/>
      <c r="N21" s="16"/>
      <c r="O21" s="16"/>
      <c r="P21" s="16"/>
      <c r="Q21" s="16"/>
      <c r="R21" s="16"/>
      <c r="S21" s="16"/>
      <c r="T21" s="16"/>
      <c r="U21" s="16"/>
      <c r="V21" s="16"/>
      <c r="W21" s="16"/>
      <c r="X21" s="16"/>
      <c r="Y21" s="16"/>
      <c r="Z21" s="16"/>
    </row>
    <row r="22">
      <c r="A22" s="115"/>
      <c r="B22" s="115"/>
      <c r="C22" s="115"/>
      <c r="D22" s="115"/>
      <c r="E22" s="115"/>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sheetData>
  <conditionalFormatting sqref="E2:M1000">
    <cfRule type="cellIs" dxfId="1" priority="1" operator="equal">
      <formula>"TRUE"</formula>
    </cfRule>
  </conditionalFormatting>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8.75"/>
    <col customWidth="1" min="2" max="2" width="46.25"/>
  </cols>
  <sheetData>
    <row r="1">
      <c r="A1" s="91" t="str">
        <f>IFERROR(__xludf.DUMMYFUNCTION("IMPORTRANGE(""https://docs.google.com/spreadsheets/d/""&amp;Config!B1,""Curses!A:AX"")"),"Name")</f>
        <v>Name</v>
      </c>
      <c r="B1" s="91" t="str">
        <f>IFERROR(__xludf.DUMMYFUNCTION("""COMPUTED_VALUE"""),"Description")</f>
        <v>Description</v>
      </c>
      <c r="C1" s="91" t="str">
        <f>IFERROR(__xludf.DUMMYFUNCTION("""COMPUTED_VALUE"""),"Permanent")</f>
        <v>Permanent</v>
      </c>
      <c r="D1" s="91" t="str">
        <f>IFERROR(__xludf.DUMMYFUNCTION("""COMPUTED_VALUE"""),"SemiPermanent ")</f>
        <v>SemiPermanent </v>
      </c>
      <c r="E1" s="91" t="str">
        <f>IFERROR(__xludf.DUMMYFUNCTION("""COMPUTED_VALUE"""),"Temp")</f>
        <v>Temp</v>
      </c>
      <c r="F1" s="91" t="str">
        <f>IFERROR(__xludf.DUMMYFUNCTION("""COMPUTED_VALUE"""),"Days of Effect")</f>
        <v>Days of Effect</v>
      </c>
      <c r="G1" s="91" t="str">
        <f>IFERROR(__xludf.DUMMYFUNCTION("""COMPUTED_VALUE"""),"Cure")</f>
        <v>Cure</v>
      </c>
      <c r="H1" s="16"/>
      <c r="I1" s="16"/>
      <c r="J1" s="16"/>
      <c r="K1" s="16"/>
      <c r="L1" s="16"/>
      <c r="M1" s="16"/>
      <c r="N1" s="16"/>
      <c r="O1" s="16"/>
      <c r="P1" s="16"/>
      <c r="Q1" s="16"/>
      <c r="R1" s="16"/>
      <c r="S1" s="16"/>
      <c r="T1" s="16"/>
      <c r="U1" s="16"/>
      <c r="V1" s="16"/>
      <c r="W1" s="16"/>
      <c r="X1" s="16"/>
    </row>
    <row r="2">
      <c r="A2" s="16" t="str">
        <f>IFERROR(__xludf.DUMMYFUNCTION("""COMPUTED_VALUE"""),"The Greed in Me")</f>
        <v>The Greed in Me</v>
      </c>
      <c r="B2" s="42" t="str">
        <f>IFERROR(__xludf.DUMMYFUNCTION("""COMPUTED_VALUE"""),"Half the ammount of gilders you recieve for 5 days of travel. ")</f>
        <v>Half the ammount of gilders you recieve for 5 days of travel. </v>
      </c>
      <c r="C2" s="16" t="b">
        <f>IFERROR(__xludf.DUMMYFUNCTION("""COMPUTED_VALUE"""),FALSE)</f>
        <v>0</v>
      </c>
      <c r="D2" s="16" t="b">
        <f>IFERROR(__xludf.DUMMYFUNCTION("""COMPUTED_VALUE"""),FALSE)</f>
        <v>0</v>
      </c>
      <c r="E2" s="16" t="b">
        <f>IFERROR(__xludf.DUMMYFUNCTION("""COMPUTED_VALUE"""),TRUE)</f>
        <v>1</v>
      </c>
      <c r="F2" s="16">
        <f>IFERROR(__xludf.DUMMYFUNCTION("""COMPUTED_VALUE"""),5.0)</f>
        <v>5</v>
      </c>
      <c r="G2" s="16" t="str">
        <f>IFERROR(__xludf.DUMMYFUNCTION("""COMPUTED_VALUE"""),"Traveling/Curse Antidote")</f>
        <v>Traveling/Curse Antidote</v>
      </c>
      <c r="H2" s="16"/>
      <c r="I2" s="16"/>
      <c r="J2" s="16"/>
      <c r="K2" s="16"/>
      <c r="L2" s="16"/>
      <c r="M2" s="16"/>
      <c r="N2" s="16"/>
      <c r="O2" s="16"/>
      <c r="P2" s="16"/>
      <c r="Q2" s="16"/>
      <c r="R2" s="16"/>
      <c r="S2" s="16"/>
      <c r="T2" s="16"/>
      <c r="U2" s="16"/>
      <c r="V2" s="16"/>
      <c r="W2" s="16"/>
      <c r="X2" s="16"/>
    </row>
    <row r="3">
      <c r="A3" s="16" t="str">
        <f>IFERROR(__xludf.DUMMYFUNCTION("""COMPUTED_VALUE"""),"Roll of The Odds")</f>
        <v>Roll of The Odds</v>
      </c>
      <c r="B3" s="42" t="str">
        <f>IFERROR(__xludf.DUMMYFUNCTION("""COMPUTED_VALUE"""),"if you roll an even number on a d20 it becomes the next lowest odd number for 50 days of travel.")</f>
        <v>if you roll an even number on a d20 it becomes the next lowest odd number for 50 days of travel.</v>
      </c>
      <c r="C3" s="16" t="b">
        <f>IFERROR(__xludf.DUMMYFUNCTION("""COMPUTED_VALUE"""),FALSE)</f>
        <v>0</v>
      </c>
      <c r="D3" s="16" t="b">
        <f>IFERROR(__xludf.DUMMYFUNCTION("""COMPUTED_VALUE"""),FALSE)</f>
        <v>0</v>
      </c>
      <c r="E3" s="16" t="b">
        <f>IFERROR(__xludf.DUMMYFUNCTION("""COMPUTED_VALUE"""),TRUE)</f>
        <v>1</v>
      </c>
      <c r="F3" s="16">
        <f>IFERROR(__xludf.DUMMYFUNCTION("""COMPUTED_VALUE"""),50.0)</f>
        <v>50</v>
      </c>
      <c r="G3" s="16" t="str">
        <f>IFERROR(__xludf.DUMMYFUNCTION("""COMPUTED_VALUE"""),"Traveling/Curse Antidote")</f>
        <v>Traveling/Curse Antidote</v>
      </c>
      <c r="H3" s="16"/>
      <c r="I3" s="16"/>
      <c r="J3" s="16"/>
      <c r="K3" s="16"/>
      <c r="L3" s="16"/>
      <c r="M3" s="16"/>
      <c r="N3" s="16"/>
      <c r="O3" s="16"/>
      <c r="P3" s="16"/>
      <c r="Q3" s="16"/>
      <c r="R3" s="16"/>
      <c r="S3" s="16"/>
      <c r="T3" s="16"/>
      <c r="U3" s="16"/>
      <c r="V3" s="16"/>
      <c r="W3" s="16"/>
      <c r="X3" s="16"/>
    </row>
    <row r="4">
      <c r="A4" s="16" t="str">
        <f>IFERROR(__xludf.DUMMYFUNCTION("""COMPUTED_VALUE"""),"Dying Hunger")</f>
        <v>Dying Hunger</v>
      </c>
      <c r="B4" s="42" t="str">
        <f>IFERROR(__xludf.DUMMYFUNCTION("""COMPUTED_VALUE"""),"Deduct an additional 100 from hunger thirst and energy for 20 days of travel.")</f>
        <v>Deduct an additional 100 from hunger thirst and energy for 20 days of travel.</v>
      </c>
      <c r="C4" s="16" t="b">
        <f>IFERROR(__xludf.DUMMYFUNCTION("""COMPUTED_VALUE"""),FALSE)</f>
        <v>0</v>
      </c>
      <c r="D4" s="16" t="b">
        <f>IFERROR(__xludf.DUMMYFUNCTION("""COMPUTED_VALUE"""),FALSE)</f>
        <v>0</v>
      </c>
      <c r="E4" s="16" t="b">
        <f>IFERROR(__xludf.DUMMYFUNCTION("""COMPUTED_VALUE"""),FALSE)</f>
        <v>0</v>
      </c>
      <c r="F4" s="16">
        <f>IFERROR(__xludf.DUMMYFUNCTION("""COMPUTED_VALUE"""),20.0)</f>
        <v>20</v>
      </c>
      <c r="G4" s="16" t="str">
        <f>IFERROR(__xludf.DUMMYFUNCTION("""COMPUTED_VALUE"""),"Traveling/Curse Antidote")</f>
        <v>Traveling/Curse Antidote</v>
      </c>
      <c r="H4" s="16"/>
      <c r="I4" s="16"/>
      <c r="J4" s="16"/>
      <c r="K4" s="16"/>
      <c r="L4" s="16"/>
      <c r="M4" s="16"/>
      <c r="N4" s="16"/>
      <c r="O4" s="16"/>
      <c r="P4" s="16"/>
      <c r="Q4" s="16"/>
      <c r="R4" s="16"/>
      <c r="S4" s="16"/>
      <c r="T4" s="16"/>
      <c r="U4" s="16"/>
      <c r="V4" s="16"/>
      <c r="W4" s="16"/>
      <c r="X4" s="16"/>
    </row>
    <row r="5">
      <c r="A5" s="16" t="str">
        <f>IFERROR(__xludf.DUMMYFUNCTION("""COMPUTED_VALUE"""),"Guards Curse")</f>
        <v>Guards Curse</v>
      </c>
      <c r="B5" s="42" t="str">
        <f>IFERROR(__xludf.DUMMYFUNCTION("""COMPUTED_VALUE"""),"Anytime you enter an area with guards they will have a 50% chance to engage you in battle.")</f>
        <v>Anytime you enter an area with guards they will have a 50% chance to engage you in battle.</v>
      </c>
      <c r="C5" s="16" t="b">
        <f>IFERROR(__xludf.DUMMYFUNCTION("""COMPUTED_VALUE"""),FALSE)</f>
        <v>0</v>
      </c>
      <c r="D5" s="16" t="b">
        <f>IFERROR(__xludf.DUMMYFUNCTION("""COMPUTED_VALUE"""),TRUE)</f>
        <v>1</v>
      </c>
      <c r="E5" s="16" t="b">
        <f>IFERROR(__xludf.DUMMYFUNCTION("""COMPUTED_VALUE"""),FALSE)</f>
        <v>0</v>
      </c>
      <c r="F5" s="16">
        <f>IFERROR(__xludf.DUMMYFUNCTION("""COMPUTED_VALUE"""),0.0)</f>
        <v>0</v>
      </c>
      <c r="G5" s="16" t="str">
        <f>IFERROR(__xludf.DUMMYFUNCTION("""COMPUTED_VALUE"""),"Curse Antidote")</f>
        <v>Curse Antidote</v>
      </c>
      <c r="H5" s="16"/>
      <c r="I5" s="16"/>
      <c r="J5" s="16"/>
      <c r="K5" s="16"/>
      <c r="L5" s="16"/>
      <c r="M5" s="16"/>
      <c r="N5" s="16"/>
      <c r="O5" s="16"/>
      <c r="P5" s="16"/>
      <c r="Q5" s="16"/>
      <c r="R5" s="16"/>
      <c r="S5" s="16"/>
      <c r="T5" s="16"/>
      <c r="U5" s="16"/>
      <c r="V5" s="16"/>
      <c r="W5" s="16"/>
      <c r="X5" s="16"/>
    </row>
    <row r="6">
      <c r="A6" s="16" t="str">
        <f>IFERROR(__xludf.DUMMYFUNCTION("""COMPUTED_VALUE"""),"Curse of The World Tree")</f>
        <v>Curse of The World Tree</v>
      </c>
      <c r="B6" s="42" t="str">
        <f>IFERROR(__xludf.DUMMYFUNCTION("""COMPUTED_VALUE"""),"Prevents you from going to the world tree for 100 days of travel.")</f>
        <v>Prevents you from going to the world tree for 100 days of travel.</v>
      </c>
      <c r="C6" s="16" t="b">
        <f>IFERROR(__xludf.DUMMYFUNCTION("""COMPUTED_VALUE"""),FALSE)</f>
        <v>0</v>
      </c>
      <c r="D6" s="16" t="b">
        <f>IFERROR(__xludf.DUMMYFUNCTION("""COMPUTED_VALUE"""),FALSE)</f>
        <v>0</v>
      </c>
      <c r="E6" s="16" t="b">
        <f>IFERROR(__xludf.DUMMYFUNCTION("""COMPUTED_VALUE"""),TRUE)</f>
        <v>1</v>
      </c>
      <c r="F6" s="16">
        <f>IFERROR(__xludf.DUMMYFUNCTION("""COMPUTED_VALUE"""),100.0)</f>
        <v>100</v>
      </c>
      <c r="G6" s="16" t="str">
        <f>IFERROR(__xludf.DUMMYFUNCTION("""COMPUTED_VALUE"""),"Traveling/Curse Antidote")</f>
        <v>Traveling/Curse Antidote</v>
      </c>
      <c r="H6" s="16"/>
      <c r="I6" s="16"/>
      <c r="J6" s="16"/>
      <c r="K6" s="16"/>
      <c r="L6" s="16"/>
      <c r="M6" s="16"/>
      <c r="N6" s="16"/>
      <c r="O6" s="16"/>
      <c r="P6" s="16"/>
      <c r="Q6" s="16"/>
      <c r="R6" s="16"/>
      <c r="S6" s="16"/>
      <c r="T6" s="16"/>
      <c r="U6" s="16"/>
      <c r="V6" s="16"/>
      <c r="W6" s="16"/>
      <c r="X6" s="16"/>
    </row>
    <row r="7">
      <c r="A7" s="16" t="str">
        <f>IFERROR(__xludf.DUMMYFUNCTION("""COMPUTED_VALUE"""),"Curse of Dying")</f>
        <v>Curse of Dying</v>
      </c>
      <c r="B7" s="42" t="str">
        <f>IFERROR(__xludf.DUMMYFUNCTION("""COMPUTED_VALUE"""),"You permananently die after 100 days of travel.")</f>
        <v>You permananently die after 100 days of travel.</v>
      </c>
      <c r="C7" s="16" t="b">
        <f>IFERROR(__xludf.DUMMYFUNCTION("""COMPUTED_VALUE"""),TRUE)</f>
        <v>1</v>
      </c>
      <c r="D7" s="16" t="b">
        <f>IFERROR(__xludf.DUMMYFUNCTION("""COMPUTED_VALUE"""),FALSE)</f>
        <v>0</v>
      </c>
      <c r="E7" s="16" t="b">
        <f>IFERROR(__xludf.DUMMYFUNCTION("""COMPUTED_VALUE"""),FALSE)</f>
        <v>0</v>
      </c>
      <c r="F7" s="16">
        <f>IFERROR(__xludf.DUMMYFUNCTION("""COMPUTED_VALUE"""),100.0)</f>
        <v>100</v>
      </c>
      <c r="G7" s="16" t="str">
        <f>IFERROR(__xludf.DUMMYFUNCTION("""COMPUTED_VALUE"""),"None")</f>
        <v>None</v>
      </c>
      <c r="H7" s="16"/>
      <c r="I7" s="16"/>
      <c r="J7" s="16"/>
      <c r="K7" s="16"/>
      <c r="L7" s="16"/>
      <c r="M7" s="16"/>
      <c r="N7" s="16"/>
      <c r="O7" s="16"/>
      <c r="P7" s="16"/>
      <c r="Q7" s="16"/>
      <c r="R7" s="16"/>
      <c r="S7" s="16"/>
      <c r="T7" s="16"/>
      <c r="U7" s="16"/>
      <c r="V7" s="16"/>
      <c r="W7" s="16"/>
      <c r="X7" s="16"/>
    </row>
    <row r="8">
      <c r="A8" s="16" t="str">
        <f>IFERROR(__xludf.DUMMYFUNCTION("""COMPUTED_VALUE"""),"Curse of The Samurai")</f>
        <v>Curse of The Samurai</v>
      </c>
      <c r="B8" s="42" t="str">
        <f>IFERROR(__xludf.DUMMYFUNCTION("""COMPUTED_VALUE"""),"Binds the target to the area they are in making it so they cannot leave it.")</f>
        <v>Binds the target to the area they are in making it so they cannot leave it.</v>
      </c>
      <c r="C8" s="16" t="b">
        <f>IFERROR(__xludf.DUMMYFUNCTION("""COMPUTED_VALUE"""),FALSE)</f>
        <v>0</v>
      </c>
      <c r="D8" s="16" t="b">
        <f>IFERROR(__xludf.DUMMYFUNCTION("""COMPUTED_VALUE"""),TRUE)</f>
        <v>1</v>
      </c>
      <c r="E8" s="16" t="b">
        <f>IFERROR(__xludf.DUMMYFUNCTION("""COMPUTED_VALUE"""),FALSE)</f>
        <v>0</v>
      </c>
      <c r="F8" s="16">
        <f>IFERROR(__xludf.DUMMYFUNCTION("""COMPUTED_VALUE"""),0.0)</f>
        <v>0</v>
      </c>
      <c r="G8" s="16" t="str">
        <f>IFERROR(__xludf.DUMMYFUNCTION("""COMPUTED_VALUE"""),"Curse Antidote")</f>
        <v>Curse Antidote</v>
      </c>
      <c r="H8" s="16"/>
      <c r="I8" s="16"/>
      <c r="J8" s="16"/>
      <c r="K8" s="16"/>
      <c r="L8" s="16"/>
      <c r="M8" s="16"/>
      <c r="N8" s="16"/>
      <c r="O8" s="16"/>
      <c r="P8" s="16"/>
      <c r="Q8" s="16"/>
      <c r="R8" s="16"/>
      <c r="S8" s="16"/>
      <c r="T8" s="16"/>
      <c r="U8" s="16"/>
      <c r="V8" s="16"/>
      <c r="W8" s="16"/>
      <c r="X8" s="16"/>
    </row>
    <row r="9">
      <c r="A9" s="16" t="str">
        <f>IFERROR(__xludf.DUMMYFUNCTION("""COMPUTED_VALUE"""),"Curse of Heatmore")</f>
        <v>Curse of Heatmore</v>
      </c>
      <c r="B9" s="42" t="str">
        <f>IFERROR(__xludf.DUMMYFUNCTION("""COMPUTED_VALUE"""),"Players affected by this curse will take 500 fire damage p/r every battle they are in. Cannot resist or be immune to.")</f>
        <v>Players affected by this curse will take 500 fire damage p/r every battle they are in. Cannot resist or be immune to.</v>
      </c>
      <c r="C9" s="16" t="b">
        <f>IFERROR(__xludf.DUMMYFUNCTION("""COMPUTED_VALUE"""),FALSE)</f>
        <v>0</v>
      </c>
      <c r="D9" s="16" t="b">
        <f>IFERROR(__xludf.DUMMYFUNCTION("""COMPUTED_VALUE"""),TRUE)</f>
        <v>1</v>
      </c>
      <c r="E9" s="16" t="b">
        <f>IFERROR(__xludf.DUMMYFUNCTION("""COMPUTED_VALUE"""),FALSE)</f>
        <v>0</v>
      </c>
      <c r="F9" s="16">
        <f>IFERROR(__xludf.DUMMYFUNCTION("""COMPUTED_VALUE"""),0.0)</f>
        <v>0</v>
      </c>
      <c r="G9" s="16" t="str">
        <f>IFERROR(__xludf.DUMMYFUNCTION("""COMPUTED_VALUE"""),"Curse Antidote")</f>
        <v>Curse Antidote</v>
      </c>
      <c r="H9" s="16"/>
      <c r="I9" s="16"/>
      <c r="J9" s="16"/>
      <c r="K9" s="16"/>
      <c r="L9" s="16"/>
      <c r="M9" s="16"/>
      <c r="N9" s="16"/>
      <c r="O9" s="16"/>
      <c r="P9" s="16"/>
      <c r="Q9" s="16"/>
      <c r="R9" s="16"/>
      <c r="S9" s="16"/>
      <c r="T9" s="16"/>
      <c r="U9" s="16"/>
      <c r="V9" s="16"/>
      <c r="W9" s="16"/>
      <c r="X9" s="16"/>
    </row>
    <row r="10">
      <c r="A10" s="16" t="str">
        <f>IFERROR(__xludf.DUMMYFUNCTION("""COMPUTED_VALUE"""),"Frozen Curse")</f>
        <v>Frozen Curse</v>
      </c>
      <c r="B10" s="42" t="str">
        <f>IFERROR(__xludf.DUMMYFUNCTION("""COMPUTED_VALUE"""),"A curse that is said to freeze you permanantly if you step on the wrong path of ice, Causes permanant death.")</f>
        <v>A curse that is said to freeze you permanantly if you step on the wrong path of ice, Causes permanant death.</v>
      </c>
      <c r="C10" s="16" t="b">
        <f>IFERROR(__xludf.DUMMYFUNCTION("""COMPUTED_VALUE"""),TRUE)</f>
        <v>1</v>
      </c>
      <c r="D10" s="16" t="b">
        <f>IFERROR(__xludf.DUMMYFUNCTION("""COMPUTED_VALUE"""),FALSE)</f>
        <v>0</v>
      </c>
      <c r="E10" s="16" t="b">
        <f>IFERROR(__xludf.DUMMYFUNCTION("""COMPUTED_VALUE"""),FALSE)</f>
        <v>0</v>
      </c>
      <c r="F10" s="16">
        <f>IFERROR(__xludf.DUMMYFUNCTION("""COMPUTED_VALUE"""),0.0)</f>
        <v>0</v>
      </c>
      <c r="G10" s="16" t="str">
        <f>IFERROR(__xludf.DUMMYFUNCTION("""COMPUTED_VALUE"""),"None")</f>
        <v>None</v>
      </c>
      <c r="H10" s="16"/>
      <c r="I10" s="16"/>
      <c r="J10" s="16"/>
      <c r="K10" s="16"/>
      <c r="L10" s="16"/>
      <c r="M10" s="16"/>
      <c r="N10" s="16"/>
      <c r="O10" s="16"/>
      <c r="P10" s="16"/>
      <c r="Q10" s="16"/>
      <c r="R10" s="16"/>
      <c r="S10" s="16"/>
      <c r="T10" s="16"/>
      <c r="U10" s="16"/>
      <c r="V10" s="16"/>
      <c r="W10" s="16"/>
      <c r="X10" s="16"/>
    </row>
    <row r="11">
      <c r="A11" s="16" t="str">
        <f>IFERROR(__xludf.DUMMYFUNCTION("""COMPUTED_VALUE"""),"Curse of Greed")</f>
        <v>Curse of Greed</v>
      </c>
      <c r="B11" s="42" t="str">
        <f>IFERROR(__xludf.DUMMYFUNCTION("""COMPUTED_VALUE"""),"All shop prices and town services will cost 75% more, You will lose 75% of the gilders rewarded to you from quests and loot drops.")</f>
        <v>All shop prices and town services will cost 75% more, You will lose 75% of the gilders rewarded to you from quests and loot drops.</v>
      </c>
      <c r="C11" s="16" t="b">
        <f>IFERROR(__xludf.DUMMYFUNCTION("""COMPUTED_VALUE"""),TRUE)</f>
        <v>1</v>
      </c>
      <c r="D11" s="16" t="b">
        <f>IFERROR(__xludf.DUMMYFUNCTION("""COMPUTED_VALUE"""),FALSE)</f>
        <v>0</v>
      </c>
      <c r="E11" s="16" t="b">
        <f>IFERROR(__xludf.DUMMYFUNCTION("""COMPUTED_VALUE"""),FALSE)</f>
        <v>0</v>
      </c>
      <c r="F11" s="16">
        <f>IFERROR(__xludf.DUMMYFUNCTION("""COMPUTED_VALUE"""),0.0)</f>
        <v>0</v>
      </c>
      <c r="G11" s="16" t="str">
        <f>IFERROR(__xludf.DUMMYFUNCTION("""COMPUTED_VALUE"""),"None")</f>
        <v>None</v>
      </c>
      <c r="H11" s="16"/>
      <c r="I11" s="16"/>
      <c r="J11" s="16"/>
      <c r="K11" s="16"/>
      <c r="L11" s="16"/>
      <c r="M11" s="16"/>
      <c r="N11" s="16"/>
      <c r="O11" s="16"/>
      <c r="P11" s="16"/>
      <c r="Q11" s="16"/>
      <c r="R11" s="16"/>
      <c r="S11" s="16"/>
      <c r="T11" s="16"/>
      <c r="U11" s="16"/>
      <c r="V11" s="16"/>
      <c r="W11" s="16"/>
      <c r="X11" s="16"/>
    </row>
    <row r="12">
      <c r="A12" s="16" t="str">
        <f>IFERROR(__xludf.DUMMYFUNCTION("""COMPUTED_VALUE"""),"Curse of The Ancestral Blood")</f>
        <v>Curse of The Ancestral Blood</v>
      </c>
      <c r="B12" s="42" t="str">
        <f>IFERROR(__xludf.DUMMYFUNCTION("""COMPUTED_VALUE"""),"The call of the cursed blade screams within your mind urging you to slice the throats of your comrades and enemies. 
At the start of your turn in battle you must roll 1d20 1-10 you enter a berserk state gaining Rampage 1 
11-20 you remain in control of y"&amp;"our character.")</f>
        <v>The call of the cursed blade screams within your mind urging you to slice the throats of your comrades and enemies. 
At the start of your turn in battle you must roll 1d20 1-10 you enter a berserk state gaining Rampage 1 
11-20 you remain in control of your character.</v>
      </c>
      <c r="C12" s="16" t="b">
        <f>IFERROR(__xludf.DUMMYFUNCTION("""COMPUTED_VALUE"""),FALSE)</f>
        <v>0</v>
      </c>
      <c r="D12" s="16" t="b">
        <f>IFERROR(__xludf.DUMMYFUNCTION("""COMPUTED_VALUE"""),TRUE)</f>
        <v>1</v>
      </c>
      <c r="E12" s="16" t="b">
        <f>IFERROR(__xludf.DUMMYFUNCTION("""COMPUTED_VALUE"""),FALSE)</f>
        <v>0</v>
      </c>
      <c r="F12" s="16">
        <f>IFERROR(__xludf.DUMMYFUNCTION("""COMPUTED_VALUE"""),0.0)</f>
        <v>0</v>
      </c>
      <c r="G12" s="16" t="str">
        <f>IFERROR(__xludf.DUMMYFUNCTION("""COMPUTED_VALUE"""),"Completeing the Quest: ""Cleansing the Blade Formed In Blood""")</f>
        <v>Completeing the Quest: "Cleansing the Blade Formed In Blood"</v>
      </c>
      <c r="H12" s="16"/>
      <c r="I12" s="16"/>
      <c r="J12" s="16"/>
      <c r="K12" s="16"/>
      <c r="L12" s="16"/>
      <c r="M12" s="16"/>
      <c r="N12" s="16"/>
      <c r="O12" s="16"/>
      <c r="P12" s="16"/>
      <c r="Q12" s="16"/>
      <c r="R12" s="16"/>
      <c r="S12" s="16"/>
      <c r="T12" s="16"/>
      <c r="U12" s="16"/>
      <c r="V12" s="16"/>
      <c r="W12" s="16"/>
      <c r="X12" s="16"/>
    </row>
    <row r="13">
      <c r="A13" s="16" t="str">
        <f>IFERROR(__xludf.DUMMYFUNCTION("""COMPUTED_VALUE"""),"Shadowbind Curse")</f>
        <v>Shadowbind Curse</v>
      </c>
      <c r="B13" s="42" t="str">
        <f>IFERROR(__xludf.DUMMYFUNCTION("""COMPUTED_VALUE"""),"Those afflicted by the Shadowbind Curse find that their shadows detach from them, taking on a life of their own. These shadow entities act independently, sometimes revealing secrets or even working against their host's intentions.
When affected by this c"&amp;"urse their will be a 25% chance during each battle a clone of your character will be created that will be allied with the enemies of the party.")</f>
        <v>Those afflicted by the Shadowbind Curse find that their shadows detach from them, taking on a life of their own. These shadow entities act independently, sometimes revealing secrets or even working against their host's intentions.
When affected by this curse their will be a 25% chance during each battle a clone of your character will be created that will be allied with the enemies of the party.</v>
      </c>
      <c r="C13" s="16" t="b">
        <f>IFERROR(__xludf.DUMMYFUNCTION("""COMPUTED_VALUE"""),FALSE)</f>
        <v>0</v>
      </c>
      <c r="D13" s="16" t="b">
        <f>IFERROR(__xludf.DUMMYFUNCTION("""COMPUTED_VALUE"""),TRUE)</f>
        <v>1</v>
      </c>
      <c r="E13" s="16" t="b">
        <f>IFERROR(__xludf.DUMMYFUNCTION("""COMPUTED_VALUE"""),FALSE)</f>
        <v>0</v>
      </c>
      <c r="F13" s="16">
        <f>IFERROR(__xludf.DUMMYFUNCTION("""COMPUTED_VALUE"""),0.0)</f>
        <v>0</v>
      </c>
      <c r="G13" s="16" t="str">
        <f>IFERROR(__xludf.DUMMYFUNCTION("""COMPUTED_VALUE"""),"Curse Antidote")</f>
        <v>Curse Antidote</v>
      </c>
      <c r="H13" s="16"/>
      <c r="I13" s="16"/>
      <c r="J13" s="16"/>
      <c r="K13" s="16"/>
      <c r="L13" s="16"/>
      <c r="M13" s="16"/>
      <c r="N13" s="16"/>
      <c r="O13" s="16"/>
      <c r="P13" s="16"/>
      <c r="Q13" s="16"/>
      <c r="R13" s="16"/>
      <c r="S13" s="16"/>
      <c r="T13" s="16"/>
      <c r="U13" s="16"/>
      <c r="V13" s="16"/>
      <c r="W13" s="16"/>
      <c r="X13" s="16"/>
    </row>
    <row r="14">
      <c r="A14" s="16" t="str">
        <f>IFERROR(__xludf.DUMMYFUNCTION("""COMPUTED_VALUE"""),"Eternal Eclipse")</f>
        <v>Eternal Eclipse</v>
      </c>
      <c r="B14" s="42" t="str">
        <f>IFERROR(__xludf.DUMMYFUNCTION("""COMPUTED_VALUE"""),"The cursed individual is shrouded in perpetual darkness, as if living under a never-ending solar eclipse. The absence of natural light hinders perception, making it difficult for the cursed to navigate or interact with the world.
When affected by this cu"&amp;"rse you will act under the effect of Blindness ∞")</f>
        <v>The cursed individual is shrouded in perpetual darkness, as if living under a never-ending solar eclipse. The absence of natural light hinders perception, making it difficult for the cursed to navigate or interact with the world.
When affected by this curse you will act under the effect of Blindness ∞</v>
      </c>
      <c r="C14" s="16" t="b">
        <f>IFERROR(__xludf.DUMMYFUNCTION("""COMPUTED_VALUE"""),FALSE)</f>
        <v>0</v>
      </c>
      <c r="D14" s="16" t="b">
        <f>IFERROR(__xludf.DUMMYFUNCTION("""COMPUTED_VALUE"""),TRUE)</f>
        <v>1</v>
      </c>
      <c r="E14" s="16" t="b">
        <f>IFERROR(__xludf.DUMMYFUNCTION("""COMPUTED_VALUE"""),FALSE)</f>
        <v>0</v>
      </c>
      <c r="F14" s="16">
        <f>IFERROR(__xludf.DUMMYFUNCTION("""COMPUTED_VALUE"""),0.0)</f>
        <v>0</v>
      </c>
      <c r="G14" s="16" t="str">
        <f>IFERROR(__xludf.DUMMYFUNCTION("""COMPUTED_VALUE"""),"Curse Antidote")</f>
        <v>Curse Antidote</v>
      </c>
      <c r="H14" s="16"/>
      <c r="I14" s="16"/>
      <c r="J14" s="16"/>
      <c r="K14" s="16"/>
      <c r="L14" s="16"/>
      <c r="M14" s="16"/>
      <c r="N14" s="16"/>
      <c r="O14" s="16"/>
      <c r="P14" s="16"/>
      <c r="Q14" s="16"/>
      <c r="R14" s="16"/>
      <c r="S14" s="16"/>
      <c r="T14" s="16"/>
      <c r="U14" s="16"/>
      <c r="V14" s="16"/>
      <c r="W14" s="16"/>
      <c r="X14" s="16"/>
    </row>
    <row r="15">
      <c r="A15" s="16" t="str">
        <f>IFERROR(__xludf.DUMMYFUNCTION("""COMPUTED_VALUE"""),"Mute Echo")</f>
        <v>Mute Echo</v>
      </c>
      <c r="B15" s="42" t="str">
        <f>IFERROR(__xludf.DUMMYFUNCTION("""COMPUTED_VALUE"""),"This curse steals the voice of its victim. Attempts to speak result in only faint echoes, making communication challenging. Breaking the curse may involve retrieving a stolen voice from a mysterious entity.
When affected by this curse you will deduct 10 "&amp;"from your d20 rolls.")</f>
        <v>This curse steals the voice of its victim. Attempts to speak result in only faint echoes, making communication challenging. Breaking the curse may involve retrieving a stolen voice from a mysterious entity.
When affected by this curse you will deduct 10 from your d20 rolls.</v>
      </c>
      <c r="C15" s="16" t="b">
        <f>IFERROR(__xludf.DUMMYFUNCTION("""COMPUTED_VALUE"""),FALSE)</f>
        <v>0</v>
      </c>
      <c r="D15" s="16" t="b">
        <f>IFERROR(__xludf.DUMMYFUNCTION("""COMPUTED_VALUE"""),TRUE)</f>
        <v>1</v>
      </c>
      <c r="E15" s="16" t="b">
        <f>IFERROR(__xludf.DUMMYFUNCTION("""COMPUTED_VALUE"""),FALSE)</f>
        <v>0</v>
      </c>
      <c r="F15" s="16">
        <f>IFERROR(__xludf.DUMMYFUNCTION("""COMPUTED_VALUE"""),0.0)</f>
        <v>0</v>
      </c>
      <c r="G15" s="16" t="str">
        <f>IFERROR(__xludf.DUMMYFUNCTION("""COMPUTED_VALUE"""),"A Quest")</f>
        <v>A Quest</v>
      </c>
      <c r="H15" s="16"/>
      <c r="I15" s="16"/>
      <c r="J15" s="16"/>
      <c r="K15" s="16"/>
      <c r="L15" s="16"/>
      <c r="M15" s="16"/>
      <c r="N15" s="16"/>
      <c r="O15" s="16"/>
      <c r="P15" s="16"/>
      <c r="Q15" s="16"/>
      <c r="R15" s="16"/>
      <c r="S15" s="16"/>
      <c r="T15" s="16"/>
      <c r="U15" s="16"/>
      <c r="V15" s="16"/>
      <c r="W15" s="16"/>
      <c r="X15" s="16"/>
    </row>
    <row r="16">
      <c r="A16" s="16" t="str">
        <f>IFERROR(__xludf.DUMMYFUNCTION("""COMPUTED_VALUE"""),"Iron Veins")</f>
        <v>Iron Veins</v>
      </c>
      <c r="B16" s="42" t="str">
        <f>IFERROR(__xludf.DUMMYFUNCTION("""COMPUTED_VALUE"""),"The cursed person's blood turns to molten iron, causing excruciating pain with every heartbeat. The metallic blood can be weaponized, but the curse prevents the afflicted from benefiting from this transformation.
Deal X2 additional damage but 1% of the d"&amp;"amage you deal is drained from your HP and SP.")</f>
        <v>The cursed person's blood turns to molten iron, causing excruciating pain with every heartbeat. The metallic blood can be weaponized, but the curse prevents the afflicted from benefiting from this transformation.
Deal X2 additional damage but 1% of the damage you deal is drained from your HP and SP.</v>
      </c>
      <c r="C16" s="16" t="b">
        <f>IFERROR(__xludf.DUMMYFUNCTION("""COMPUTED_VALUE"""),FALSE)</f>
        <v>0</v>
      </c>
      <c r="D16" s="16" t="b">
        <f>IFERROR(__xludf.DUMMYFUNCTION("""COMPUTED_VALUE"""),FALSE)</f>
        <v>0</v>
      </c>
      <c r="E16" s="16" t="b">
        <f>IFERROR(__xludf.DUMMYFUNCTION("""COMPUTED_VALUE"""),TRUE)</f>
        <v>1</v>
      </c>
      <c r="F16" s="16">
        <f>IFERROR(__xludf.DUMMYFUNCTION("""COMPUTED_VALUE"""),20.0)</f>
        <v>20</v>
      </c>
      <c r="G16" s="16" t="str">
        <f>IFERROR(__xludf.DUMMYFUNCTION("""COMPUTED_VALUE"""),"Traveling/Curse Antidote")</f>
        <v>Traveling/Curse Antidote</v>
      </c>
      <c r="H16" s="16"/>
      <c r="I16" s="16"/>
      <c r="J16" s="16"/>
      <c r="K16" s="16"/>
      <c r="L16" s="16"/>
      <c r="M16" s="16"/>
      <c r="N16" s="16"/>
      <c r="O16" s="16"/>
      <c r="P16" s="16"/>
      <c r="Q16" s="16"/>
      <c r="R16" s="16"/>
      <c r="S16" s="16"/>
      <c r="T16" s="16"/>
      <c r="U16" s="16"/>
      <c r="V16" s="16"/>
      <c r="W16" s="16"/>
      <c r="X16" s="16"/>
    </row>
    <row r="17">
      <c r="A17" s="16" t="str">
        <f>IFERROR(__xludf.DUMMYFUNCTION("""COMPUTED_VALUE"""),"Hollow Sight")</f>
        <v>Hollow Sight</v>
      </c>
      <c r="B17" s="42" t="str">
        <f>IFERROR(__xludf.DUMMYFUNCTION("""COMPUTED_VALUE"""),"Vision becomes distorted, and the cursed see the world as if through a shifting, ever-changing kaleidoscope. This curse makes navigation and combat extremely challenging, as reality becomes an unpredictable mosaic.
When affected by this curse you will ac"&amp;"t under the effect of Blindness ∞")</f>
        <v>Vision becomes distorted, and the cursed see the world as if through a shifting, ever-changing kaleidoscope. This curse makes navigation and combat extremely challenging, as reality becomes an unpredictable mosaic.
When affected by this curse you will act under the effect of Blindness ∞</v>
      </c>
      <c r="C17" s="16" t="b">
        <f>IFERROR(__xludf.DUMMYFUNCTION("""COMPUTED_VALUE"""),FALSE)</f>
        <v>0</v>
      </c>
      <c r="D17" s="16" t="b">
        <f>IFERROR(__xludf.DUMMYFUNCTION("""COMPUTED_VALUE"""),FALSE)</f>
        <v>0</v>
      </c>
      <c r="E17" s="16" t="b">
        <f>IFERROR(__xludf.DUMMYFUNCTION("""COMPUTED_VALUE"""),TRUE)</f>
        <v>1</v>
      </c>
      <c r="F17" s="16">
        <f>IFERROR(__xludf.DUMMYFUNCTION("""COMPUTED_VALUE"""),20.0)</f>
        <v>20</v>
      </c>
      <c r="G17" s="16" t="str">
        <f>IFERROR(__xludf.DUMMYFUNCTION("""COMPUTED_VALUE"""),"Traveling/Curse Antidote")</f>
        <v>Traveling/Curse Antidote</v>
      </c>
      <c r="H17" s="16"/>
      <c r="I17" s="16"/>
      <c r="J17" s="16"/>
      <c r="K17" s="16"/>
      <c r="L17" s="16"/>
      <c r="M17" s="16"/>
      <c r="N17" s="16"/>
      <c r="O17" s="16"/>
      <c r="P17" s="16"/>
      <c r="Q17" s="16"/>
      <c r="R17" s="16"/>
      <c r="S17" s="16"/>
      <c r="T17" s="16"/>
      <c r="U17" s="16"/>
      <c r="V17" s="16"/>
      <c r="W17" s="16"/>
      <c r="X17" s="16"/>
    </row>
    <row r="18">
      <c r="A18" s="16" t="str">
        <f>IFERROR(__xludf.DUMMYFUNCTION("""COMPUTED_VALUE"""),"Frostbound Heart")</f>
        <v>Frostbound Heart</v>
      </c>
      <c r="B18" s="42" t="str">
        <f>IFERROR(__xludf.DUMMYFUNCTION("""COMPUTED_VALUE"""),"The cursed individual's heart turns to ice, spreading a numbing cold throughout their body. While this grants resistance to fire, it also makes them susceptible to freezing temperatures and slows their movements.
When affected by this curse you will gain"&amp;" X2 Fire resistance but you will act under the effect of Slowness ∞ and have a 25% chance to freeze during each of your turns in battle.")</f>
        <v>The cursed individual's heart turns to ice, spreading a numbing cold throughout their body. While this grants resistance to fire, it also makes them susceptible to freezing temperatures and slows their movements.
When affected by this curse you will gain X2 Fire resistance but you will act under the effect of Slowness ∞ and have a 25% chance to freeze during each of your turns in battle.</v>
      </c>
      <c r="C18" s="16" t="b">
        <f>IFERROR(__xludf.DUMMYFUNCTION("""COMPUTED_VALUE"""),FALSE)</f>
        <v>0</v>
      </c>
      <c r="D18" s="16" t="b">
        <f>IFERROR(__xludf.DUMMYFUNCTION("""COMPUTED_VALUE"""),TRUE)</f>
        <v>1</v>
      </c>
      <c r="E18" s="16" t="b">
        <f>IFERROR(__xludf.DUMMYFUNCTION("""COMPUTED_VALUE"""),FALSE)</f>
        <v>0</v>
      </c>
      <c r="F18" s="16">
        <f>IFERROR(__xludf.DUMMYFUNCTION("""COMPUTED_VALUE"""),0.0)</f>
        <v>0</v>
      </c>
      <c r="G18" s="16" t="str">
        <f>IFERROR(__xludf.DUMMYFUNCTION("""COMPUTED_VALUE"""),"Curse Antidote")</f>
        <v>Curse Antidote</v>
      </c>
      <c r="H18" s="16"/>
      <c r="I18" s="16"/>
      <c r="J18" s="16"/>
      <c r="K18" s="16"/>
      <c r="L18" s="16"/>
      <c r="M18" s="16"/>
      <c r="N18" s="16"/>
      <c r="O18" s="16"/>
      <c r="P18" s="16"/>
      <c r="Q18" s="16"/>
      <c r="R18" s="16"/>
      <c r="S18" s="16"/>
      <c r="T18" s="16"/>
      <c r="U18" s="16"/>
      <c r="V18" s="16"/>
      <c r="W18" s="16"/>
      <c r="X18" s="16"/>
    </row>
    <row r="19">
      <c r="A19" s="16" t="str">
        <f>IFERROR(__xludf.DUMMYFUNCTION("""COMPUTED_VALUE"""),"Thorns of Betrayal")</f>
        <v>Thorns of Betrayal</v>
      </c>
      <c r="B19" s="42" t="str">
        <f>IFERROR(__xludf.DUMMYFUNCTION("""COMPUTED_VALUE"""),"A curse that causes anyone who forms a close bond with the afflicted to suffer pain and injury. The thorns metaphorically grow between the cursed individual and their allies, causing harm whenever trust is established.
When affected by this curse anyone "&amp;"who buffs you will lose Half their HP and SP.")</f>
        <v>A curse that causes anyone who forms a close bond with the afflicted to suffer pain and injury. The thorns metaphorically grow between the cursed individual and their allies, causing harm whenever trust is established.
When affected by this curse anyone who buffs you will lose Half their HP and SP.</v>
      </c>
      <c r="C19" s="16" t="b">
        <f>IFERROR(__xludf.DUMMYFUNCTION("""COMPUTED_VALUE"""),FALSE)</f>
        <v>0</v>
      </c>
      <c r="D19" s="16" t="b">
        <f>IFERROR(__xludf.DUMMYFUNCTION("""COMPUTED_VALUE"""),TRUE)</f>
        <v>1</v>
      </c>
      <c r="E19" s="16" t="b">
        <f>IFERROR(__xludf.DUMMYFUNCTION("""COMPUTED_VALUE"""),FALSE)</f>
        <v>0</v>
      </c>
      <c r="F19" s="16">
        <f>IFERROR(__xludf.DUMMYFUNCTION("""COMPUTED_VALUE"""),0.0)</f>
        <v>0</v>
      </c>
      <c r="G19" s="16" t="str">
        <f>IFERROR(__xludf.DUMMYFUNCTION("""COMPUTED_VALUE"""),"Curse Antidote")</f>
        <v>Curse Antidote</v>
      </c>
      <c r="H19" s="16"/>
      <c r="I19" s="16"/>
      <c r="J19" s="16"/>
      <c r="K19" s="16"/>
      <c r="L19" s="16"/>
      <c r="M19" s="16"/>
      <c r="N19" s="16"/>
      <c r="O19" s="16"/>
      <c r="P19" s="16"/>
      <c r="Q19" s="16"/>
      <c r="R19" s="16"/>
      <c r="S19" s="16"/>
      <c r="T19" s="16"/>
      <c r="U19" s="16"/>
      <c r="V19" s="16"/>
      <c r="W19" s="16"/>
      <c r="X19" s="16"/>
    </row>
    <row r="20">
      <c r="A20" s="16" t="str">
        <f>IFERROR(__xludf.DUMMYFUNCTION("""COMPUTED_VALUE"""),"Veil of Amnesia")</f>
        <v>Veil of Amnesia</v>
      </c>
      <c r="B20" s="42" t="str">
        <f>IFERROR(__xludf.DUMMYFUNCTION("""COMPUTED_VALUE"""),"The cursed person forgets their past, losing memories as if veiled by a mystical fog. Breaking the curse requires piecing together fragments of the forgotten past, scattered in hidden locations.
When affected by this curse you will have a period of time "&amp;"before you character recieves permanent death.")</f>
        <v>The cursed person forgets their past, losing memories as if veiled by a mystical fog. Breaking the curse requires piecing together fragments of the forgotten past, scattered in hidden locations.
When affected by this curse you will have a period of time before you character recieves permanent death.</v>
      </c>
      <c r="C20" s="16" t="b">
        <f>IFERROR(__xludf.DUMMYFUNCTION("""COMPUTED_VALUE"""),FALSE)</f>
        <v>0</v>
      </c>
      <c r="D20" s="16" t="b">
        <f>IFERROR(__xludf.DUMMYFUNCTION("""COMPUTED_VALUE"""),TRUE)</f>
        <v>1</v>
      </c>
      <c r="E20" s="16" t="b">
        <f>IFERROR(__xludf.DUMMYFUNCTION("""COMPUTED_VALUE"""),FALSE)</f>
        <v>0</v>
      </c>
      <c r="F20" s="16">
        <f>IFERROR(__xludf.DUMMYFUNCTION("""COMPUTED_VALUE"""),0.0)</f>
        <v>0</v>
      </c>
      <c r="G20" s="16" t="str">
        <f>IFERROR(__xludf.DUMMYFUNCTION("""COMPUTED_VALUE"""),"A Quest")</f>
        <v>A Quest</v>
      </c>
      <c r="H20" s="16"/>
      <c r="I20" s="16"/>
      <c r="J20" s="16"/>
      <c r="K20" s="16"/>
      <c r="L20" s="16"/>
      <c r="M20" s="16"/>
      <c r="N20" s="16"/>
      <c r="O20" s="16"/>
      <c r="P20" s="16"/>
      <c r="Q20" s="16"/>
      <c r="R20" s="16"/>
      <c r="S20" s="16"/>
      <c r="T20" s="16"/>
      <c r="U20" s="16"/>
      <c r="V20" s="16"/>
      <c r="W20" s="16"/>
      <c r="X20" s="16"/>
    </row>
    <row r="21">
      <c r="A21" s="16" t="str">
        <f>IFERROR(__xludf.DUMMYFUNCTION("""COMPUTED_VALUE"""),"Warping Reflection")</f>
        <v>Warping Reflection</v>
      </c>
      <c r="B21" s="42" t="str">
        <f>IFERROR(__xludf.DUMMYFUNCTION("""COMPUTED_VALUE"""),"Mirrors and reflective surfaces distort the cursed individual's appearance, projecting monstrous or grotesque images. The curse instills fear in those who see the distorted reflection, leading to social isolation.
When affected by this curse your intimid"&amp;"ation and charisma are halved.")</f>
        <v>Mirrors and reflective surfaces distort the cursed individual's appearance, projecting monstrous or grotesque images. The curse instills fear in those who see the distorted reflection, leading to social isolation.
When affected by this curse your intimidation and charisma are halved.</v>
      </c>
      <c r="C21" s="16" t="b">
        <f>IFERROR(__xludf.DUMMYFUNCTION("""COMPUTED_VALUE"""),FALSE)</f>
        <v>0</v>
      </c>
      <c r="D21" s="16" t="b">
        <f>IFERROR(__xludf.DUMMYFUNCTION("""COMPUTED_VALUE"""),TRUE)</f>
        <v>1</v>
      </c>
      <c r="E21" s="16" t="b">
        <f>IFERROR(__xludf.DUMMYFUNCTION("""COMPUTED_VALUE"""),FALSE)</f>
        <v>0</v>
      </c>
      <c r="F21" s="16">
        <f>IFERROR(__xludf.DUMMYFUNCTION("""COMPUTED_VALUE"""),0.0)</f>
        <v>0</v>
      </c>
      <c r="G21" s="16" t="str">
        <f>IFERROR(__xludf.DUMMYFUNCTION("""COMPUTED_VALUE"""),"Curse Antidote")</f>
        <v>Curse Antidote</v>
      </c>
      <c r="H21" s="16"/>
      <c r="I21" s="16"/>
      <c r="J21" s="16"/>
      <c r="K21" s="16"/>
      <c r="L21" s="16"/>
      <c r="M21" s="16"/>
      <c r="N21" s="16"/>
      <c r="O21" s="16"/>
      <c r="P21" s="16"/>
      <c r="Q21" s="16"/>
      <c r="R21" s="16"/>
      <c r="S21" s="16"/>
      <c r="T21" s="16"/>
      <c r="U21" s="16"/>
      <c r="V21" s="16"/>
      <c r="W21" s="16"/>
      <c r="X21" s="16"/>
    </row>
    <row r="22">
      <c r="A22" s="16" t="str">
        <f>IFERROR(__xludf.DUMMYFUNCTION("""COMPUTED_VALUE"""),"Vorpal Silence")</f>
        <v>Vorpal Silence</v>
      </c>
      <c r="B22" s="42" t="str">
        <f>IFERROR(__xludf.DUMMYFUNCTION("""COMPUTED_VALUE"""),"The cursed individual emits a zone of absolute silence, extinguishing all sound within a radius. This eerie quiet can be disorienting and isolating, making it challenging for the afflicted to communicate or coordinate with others.
When affected by this c"&amp;"urse you will deduct 5 from your d20 rolls.")</f>
        <v>The cursed individual emits a zone of absolute silence, extinguishing all sound within a radius. This eerie quiet can be disorienting and isolating, making it challenging for the afflicted to communicate or coordinate with others.
When affected by this curse you will deduct 5 from your d20 rolls.</v>
      </c>
      <c r="C22" s="16" t="b">
        <f>IFERROR(__xludf.DUMMYFUNCTION("""COMPUTED_VALUE"""),FALSE)</f>
        <v>0</v>
      </c>
      <c r="D22" s="16" t="b">
        <f>IFERROR(__xludf.DUMMYFUNCTION("""COMPUTED_VALUE"""),FALSE)</f>
        <v>0</v>
      </c>
      <c r="E22" s="16" t="b">
        <f>IFERROR(__xludf.DUMMYFUNCTION("""COMPUTED_VALUE"""),TRUE)</f>
        <v>1</v>
      </c>
      <c r="F22" s="16">
        <f>IFERROR(__xludf.DUMMYFUNCTION("""COMPUTED_VALUE"""),10.0)</f>
        <v>10</v>
      </c>
      <c r="G22" s="16" t="str">
        <f>IFERROR(__xludf.DUMMYFUNCTION("""COMPUTED_VALUE"""),"Traveling/Curse Antidote")</f>
        <v>Traveling/Curse Antidote</v>
      </c>
      <c r="H22" s="16"/>
      <c r="I22" s="16"/>
      <c r="J22" s="16"/>
      <c r="K22" s="16"/>
      <c r="L22" s="16"/>
      <c r="M22" s="16"/>
      <c r="N22" s="16"/>
      <c r="O22" s="16"/>
      <c r="P22" s="16"/>
      <c r="Q22" s="16"/>
      <c r="R22" s="16"/>
      <c r="S22" s="16"/>
      <c r="T22" s="16"/>
      <c r="U22" s="16"/>
      <c r="V22" s="16"/>
      <c r="W22" s="16"/>
      <c r="X22" s="16"/>
    </row>
    <row r="23">
      <c r="A23" s="16" t="str">
        <f>IFERROR(__xludf.DUMMYFUNCTION("""COMPUTED_VALUE"""),"Ancient Frost Grand Mages Curse")</f>
        <v>Ancient Frost Grand Mages Curse</v>
      </c>
      <c r="B23" s="42" t="str">
        <f>IFERROR(__xludf.DUMMYFUNCTION("""COMPUTED_VALUE"""),"A freezing curse on the target binding them to the area they are currently in, which they now cannot leave.")</f>
        <v>A freezing curse on the target binding them to the area they are currently in, which they now cannot leave.</v>
      </c>
      <c r="C23" s="16" t="b">
        <f>IFERROR(__xludf.DUMMYFUNCTION("""COMPUTED_VALUE"""),FALSE)</f>
        <v>0</v>
      </c>
      <c r="D23" s="16" t="b">
        <f>IFERROR(__xludf.DUMMYFUNCTION("""COMPUTED_VALUE"""),TRUE)</f>
        <v>1</v>
      </c>
      <c r="E23" s="16" t="b">
        <f>IFERROR(__xludf.DUMMYFUNCTION("""COMPUTED_VALUE"""),FALSE)</f>
        <v>0</v>
      </c>
      <c r="F23" s="16">
        <f>IFERROR(__xludf.DUMMYFUNCTION("""COMPUTED_VALUE"""),0.0)</f>
        <v>0</v>
      </c>
      <c r="G23" s="16" t="str">
        <f>IFERROR(__xludf.DUMMYFUNCTION("""COMPUTED_VALUE"""),"Curse Antidote")</f>
        <v>Curse Antidote</v>
      </c>
      <c r="H23" s="16"/>
      <c r="I23" s="16"/>
      <c r="J23" s="16"/>
      <c r="K23" s="16"/>
      <c r="L23" s="16"/>
      <c r="M23" s="16"/>
      <c r="N23" s="16"/>
      <c r="O23" s="16"/>
      <c r="P23" s="16"/>
      <c r="Q23" s="16"/>
      <c r="R23" s="16"/>
      <c r="S23" s="16"/>
      <c r="T23" s="16"/>
      <c r="U23" s="16"/>
      <c r="V23" s="16"/>
      <c r="W23" s="16"/>
      <c r="X23" s="16"/>
    </row>
    <row r="24">
      <c r="A24" s="16"/>
      <c r="B24" s="42"/>
      <c r="C24" s="16" t="b">
        <f>IFERROR(__xludf.DUMMYFUNCTION("""COMPUTED_VALUE"""),FALSE)</f>
        <v>0</v>
      </c>
      <c r="D24" s="16" t="b">
        <f>IFERROR(__xludf.DUMMYFUNCTION("""COMPUTED_VALUE"""),FALSE)</f>
        <v>0</v>
      </c>
      <c r="E24" s="16" t="b">
        <f>IFERROR(__xludf.DUMMYFUNCTION("""COMPUTED_VALUE"""),FALSE)</f>
        <v>0</v>
      </c>
      <c r="F24" s="16"/>
      <c r="G24" s="16"/>
      <c r="H24" s="16"/>
      <c r="I24" s="16"/>
      <c r="J24" s="16"/>
      <c r="K24" s="16"/>
      <c r="L24" s="16"/>
      <c r="M24" s="16"/>
      <c r="N24" s="16"/>
      <c r="O24" s="16"/>
      <c r="P24" s="16"/>
      <c r="Q24" s="16"/>
      <c r="R24" s="16"/>
      <c r="S24" s="16"/>
      <c r="T24" s="16"/>
      <c r="U24" s="16"/>
      <c r="V24" s="16"/>
      <c r="W24" s="16"/>
      <c r="X24" s="16"/>
    </row>
    <row r="25">
      <c r="A25" s="16"/>
      <c r="B25" s="42"/>
      <c r="C25" s="16" t="b">
        <f>IFERROR(__xludf.DUMMYFUNCTION("""COMPUTED_VALUE"""),FALSE)</f>
        <v>0</v>
      </c>
      <c r="D25" s="16" t="b">
        <f>IFERROR(__xludf.DUMMYFUNCTION("""COMPUTED_VALUE"""),FALSE)</f>
        <v>0</v>
      </c>
      <c r="E25" s="16" t="b">
        <f>IFERROR(__xludf.DUMMYFUNCTION("""COMPUTED_VALUE"""),FALSE)</f>
        <v>0</v>
      </c>
      <c r="F25" s="16"/>
      <c r="G25" s="16"/>
      <c r="H25" s="16"/>
      <c r="I25" s="16"/>
      <c r="J25" s="16"/>
      <c r="K25" s="16"/>
      <c r="L25" s="16"/>
      <c r="M25" s="16"/>
      <c r="N25" s="16"/>
      <c r="O25" s="16"/>
      <c r="P25" s="16"/>
      <c r="Q25" s="16"/>
      <c r="R25" s="16"/>
      <c r="S25" s="16"/>
      <c r="T25" s="16"/>
      <c r="U25" s="16"/>
      <c r="V25" s="16"/>
      <c r="W25" s="16"/>
      <c r="X25" s="16"/>
    </row>
    <row r="26">
      <c r="A26" s="16"/>
      <c r="B26" s="42"/>
      <c r="C26" s="16" t="b">
        <f>IFERROR(__xludf.DUMMYFUNCTION("""COMPUTED_VALUE"""),FALSE)</f>
        <v>0</v>
      </c>
      <c r="D26" s="16" t="b">
        <f>IFERROR(__xludf.DUMMYFUNCTION("""COMPUTED_VALUE"""),FALSE)</f>
        <v>0</v>
      </c>
      <c r="E26" s="16" t="b">
        <f>IFERROR(__xludf.DUMMYFUNCTION("""COMPUTED_VALUE"""),FALSE)</f>
        <v>0</v>
      </c>
      <c r="F26" s="16"/>
      <c r="G26" s="16"/>
      <c r="H26" s="16"/>
      <c r="I26" s="16"/>
      <c r="J26" s="16"/>
      <c r="K26" s="16"/>
      <c r="L26" s="16"/>
      <c r="M26" s="16"/>
      <c r="N26" s="16"/>
      <c r="O26" s="16"/>
      <c r="P26" s="16"/>
      <c r="Q26" s="16"/>
      <c r="R26" s="16"/>
      <c r="S26" s="16"/>
      <c r="T26" s="16"/>
      <c r="U26" s="16"/>
      <c r="V26" s="16"/>
      <c r="W26" s="16"/>
      <c r="X26" s="16"/>
    </row>
    <row r="27">
      <c r="A27" s="16"/>
      <c r="B27" s="42"/>
      <c r="C27" s="16" t="b">
        <f>IFERROR(__xludf.DUMMYFUNCTION("""COMPUTED_VALUE"""),FALSE)</f>
        <v>0</v>
      </c>
      <c r="D27" s="16" t="b">
        <f>IFERROR(__xludf.DUMMYFUNCTION("""COMPUTED_VALUE"""),FALSE)</f>
        <v>0</v>
      </c>
      <c r="E27" s="16" t="b">
        <f>IFERROR(__xludf.DUMMYFUNCTION("""COMPUTED_VALUE"""),FALSE)</f>
        <v>0</v>
      </c>
      <c r="F27" s="16"/>
      <c r="G27" s="16"/>
      <c r="H27" s="16"/>
      <c r="I27" s="16"/>
      <c r="J27" s="16"/>
      <c r="K27" s="16"/>
      <c r="L27" s="16"/>
      <c r="M27" s="16"/>
      <c r="N27" s="16"/>
      <c r="O27" s="16"/>
      <c r="P27" s="16"/>
      <c r="Q27" s="16"/>
      <c r="R27" s="16"/>
      <c r="S27" s="16"/>
      <c r="T27" s="16"/>
      <c r="U27" s="16"/>
      <c r="V27" s="16"/>
      <c r="W27" s="16"/>
      <c r="X27" s="16"/>
    </row>
    <row r="28">
      <c r="A28" s="16"/>
      <c r="B28" s="42"/>
      <c r="C28" s="16" t="b">
        <f>IFERROR(__xludf.DUMMYFUNCTION("""COMPUTED_VALUE"""),FALSE)</f>
        <v>0</v>
      </c>
      <c r="D28" s="16" t="b">
        <f>IFERROR(__xludf.DUMMYFUNCTION("""COMPUTED_VALUE"""),FALSE)</f>
        <v>0</v>
      </c>
      <c r="E28" s="16" t="b">
        <f>IFERROR(__xludf.DUMMYFUNCTION("""COMPUTED_VALUE"""),FALSE)</f>
        <v>0</v>
      </c>
      <c r="F28" s="16"/>
      <c r="G28" s="16"/>
      <c r="H28" s="16"/>
      <c r="I28" s="16"/>
      <c r="J28" s="16"/>
      <c r="K28" s="16"/>
      <c r="L28" s="16"/>
      <c r="M28" s="16"/>
      <c r="N28" s="16"/>
      <c r="O28" s="16"/>
      <c r="P28" s="16"/>
      <c r="Q28" s="16"/>
      <c r="R28" s="16"/>
      <c r="S28" s="16"/>
      <c r="T28" s="16"/>
      <c r="U28" s="16"/>
      <c r="V28" s="16"/>
      <c r="W28" s="16"/>
      <c r="X28" s="16"/>
    </row>
    <row r="29">
      <c r="A29" s="16"/>
      <c r="B29" s="42"/>
      <c r="C29" s="16" t="b">
        <f>IFERROR(__xludf.DUMMYFUNCTION("""COMPUTED_VALUE"""),FALSE)</f>
        <v>0</v>
      </c>
      <c r="D29" s="16" t="b">
        <f>IFERROR(__xludf.DUMMYFUNCTION("""COMPUTED_VALUE"""),FALSE)</f>
        <v>0</v>
      </c>
      <c r="E29" s="16" t="b">
        <f>IFERROR(__xludf.DUMMYFUNCTION("""COMPUTED_VALUE"""),FALSE)</f>
        <v>0</v>
      </c>
      <c r="F29" s="16"/>
      <c r="G29" s="16"/>
      <c r="H29" s="16"/>
      <c r="I29" s="16"/>
      <c r="J29" s="16"/>
      <c r="K29" s="16"/>
      <c r="L29" s="16"/>
      <c r="M29" s="16"/>
      <c r="N29" s="16"/>
      <c r="O29" s="16"/>
      <c r="P29" s="16"/>
      <c r="Q29" s="16"/>
      <c r="R29" s="16"/>
      <c r="S29" s="16"/>
      <c r="T29" s="16"/>
      <c r="U29" s="16"/>
      <c r="V29" s="16"/>
      <c r="W29" s="16"/>
      <c r="X29" s="16"/>
    </row>
    <row r="30">
      <c r="A30" s="16"/>
      <c r="B30" s="42"/>
      <c r="C30" s="16" t="b">
        <f>IFERROR(__xludf.DUMMYFUNCTION("""COMPUTED_VALUE"""),FALSE)</f>
        <v>0</v>
      </c>
      <c r="D30" s="16" t="b">
        <f>IFERROR(__xludf.DUMMYFUNCTION("""COMPUTED_VALUE"""),FALSE)</f>
        <v>0</v>
      </c>
      <c r="E30" s="16" t="b">
        <f>IFERROR(__xludf.DUMMYFUNCTION("""COMPUTED_VALUE"""),FALSE)</f>
        <v>0</v>
      </c>
      <c r="F30" s="16"/>
      <c r="G30" s="16"/>
      <c r="H30" s="16"/>
      <c r="I30" s="16"/>
      <c r="J30" s="16"/>
      <c r="K30" s="16"/>
      <c r="L30" s="16"/>
      <c r="M30" s="16"/>
      <c r="N30" s="16"/>
      <c r="O30" s="16"/>
      <c r="P30" s="16"/>
      <c r="Q30" s="16"/>
      <c r="R30" s="16"/>
      <c r="S30" s="16"/>
      <c r="T30" s="16"/>
      <c r="U30" s="16"/>
      <c r="V30" s="16"/>
      <c r="W30" s="16"/>
      <c r="X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8.75"/>
    <col customWidth="1" min="2" max="2" width="46.25"/>
  </cols>
  <sheetData>
    <row r="1">
      <c r="A1" s="91" t="str">
        <f>IFERROR(__xludf.DUMMYFUNCTION("IMPORTRANGE(""https://docs.google.com/spreadsheets/d/""&amp;Config!B1,""Diseases!A:AX"")"),"Name")</f>
        <v>Name</v>
      </c>
      <c r="B1" s="91" t="str">
        <f>IFERROR(__xludf.DUMMYFUNCTION("""COMPUTED_VALUE"""),"Description")</f>
        <v>Description</v>
      </c>
      <c r="C1" s="91" t="str">
        <f>IFERROR(__xludf.DUMMYFUNCTION("""COMPUTED_VALUE"""),"Permanent")</f>
        <v>Permanent</v>
      </c>
      <c r="D1" s="91" t="str">
        <f>IFERROR(__xludf.DUMMYFUNCTION("""COMPUTED_VALUE"""),"SemiPermanent ")</f>
        <v>SemiPermanent </v>
      </c>
      <c r="E1" s="91" t="str">
        <f>IFERROR(__xludf.DUMMYFUNCTION("""COMPUTED_VALUE"""),"Temp")</f>
        <v>Temp</v>
      </c>
      <c r="F1" s="91" t="str">
        <f>IFERROR(__xludf.DUMMYFUNCTION("""COMPUTED_VALUE"""),"Days of Effect")</f>
        <v>Days of Effect</v>
      </c>
      <c r="G1" s="91" t="str">
        <f>IFERROR(__xludf.DUMMYFUNCTION("""COMPUTED_VALUE"""),"Cure")</f>
        <v>Cure</v>
      </c>
      <c r="H1" s="16"/>
      <c r="I1" s="16"/>
      <c r="J1" s="16"/>
      <c r="K1" s="16"/>
      <c r="L1" s="16"/>
      <c r="M1" s="16"/>
      <c r="N1" s="16"/>
      <c r="O1" s="16"/>
      <c r="P1" s="16"/>
      <c r="Q1" s="16"/>
      <c r="R1" s="16"/>
      <c r="S1" s="16"/>
      <c r="T1" s="16"/>
      <c r="U1" s="16"/>
      <c r="V1" s="16"/>
      <c r="W1" s="16"/>
      <c r="X1" s="16"/>
    </row>
    <row r="2">
      <c r="A2" s="16" t="str">
        <f>IFERROR(__xludf.DUMMYFUNCTION("""COMPUTED_VALUE"""),"Common Cold")</f>
        <v>Common Cold</v>
      </c>
      <c r="B2" s="42" t="str">
        <f>IFERROR(__xludf.DUMMYFUNCTION("""COMPUTED_VALUE"""),"cough cough.")</f>
        <v>cough cough.</v>
      </c>
      <c r="C2" s="16" t="b">
        <f>IFERROR(__xludf.DUMMYFUNCTION("""COMPUTED_VALUE"""),FALSE)</f>
        <v>0</v>
      </c>
      <c r="D2" s="16" t="b">
        <f>IFERROR(__xludf.DUMMYFUNCTION("""COMPUTED_VALUE"""),FALSE)</f>
        <v>0</v>
      </c>
      <c r="E2" s="16" t="b">
        <f>IFERROR(__xludf.DUMMYFUNCTION("""COMPUTED_VALUE"""),TRUE)</f>
        <v>1</v>
      </c>
      <c r="F2" s="16">
        <f>IFERROR(__xludf.DUMMYFUNCTION("""COMPUTED_VALUE"""),3.0)</f>
        <v>3</v>
      </c>
      <c r="G2" s="16" t="str">
        <f>IFERROR(__xludf.DUMMYFUNCTION("""COMPUTED_VALUE"""),"Bed Rest")</f>
        <v>Bed Rest</v>
      </c>
      <c r="H2" s="16"/>
      <c r="I2" s="16"/>
      <c r="J2" s="16"/>
      <c r="K2" s="16"/>
      <c r="L2" s="16"/>
      <c r="M2" s="16"/>
      <c r="N2" s="16"/>
      <c r="O2" s="16"/>
      <c r="P2" s="16"/>
      <c r="Q2" s="16"/>
      <c r="R2" s="16"/>
      <c r="S2" s="16"/>
      <c r="T2" s="16"/>
      <c r="U2" s="16"/>
      <c r="V2" s="16"/>
      <c r="W2" s="16"/>
      <c r="X2" s="16"/>
    </row>
    <row r="3">
      <c r="A3" s="16" t="str">
        <f>IFERROR(__xludf.DUMMYFUNCTION("""COMPUTED_VALUE"""),"Mindweb Parasitism")</f>
        <v>Mindweb Parasitism</v>
      </c>
      <c r="B3" s="42" t="str">
        <f>IFERROR(__xludf.DUMMYFUNCTION("""COMPUTED_VALUE"""),"A parasitic organism infiltrates the minds of the infected, creating a shared consciousness known as the Mindweb. Those connected experience each other's thoughts and emotions, leading to a loss of individuality. 
When you die anyone in the party with th"&amp;"is same disease will lose their next turn
Each party member not infected by this disease will have a 10% chance of becoming infected during each battle/day of travel.")</f>
        <v>A parasitic organism infiltrates the minds of the infected, creating a shared consciousness known as the Mindweb. Those connected experience each other's thoughts and emotions, leading to a loss of individuality. 
When you die anyone in the party with this same disease will lose their next turn
Each party member not infected by this disease will have a 10% chance of becoming infected during each battle/day of travel.</v>
      </c>
      <c r="C3" s="16" t="b">
        <f>IFERROR(__xludf.DUMMYFUNCTION("""COMPUTED_VALUE"""),FALSE)</f>
        <v>0</v>
      </c>
      <c r="D3" s="16" t="b">
        <f>IFERROR(__xludf.DUMMYFUNCTION("""COMPUTED_VALUE"""),TRUE)</f>
        <v>1</v>
      </c>
      <c r="E3" s="16" t="b">
        <f>IFERROR(__xludf.DUMMYFUNCTION("""COMPUTED_VALUE"""),FALSE)</f>
        <v>0</v>
      </c>
      <c r="F3" s="16">
        <f>IFERROR(__xludf.DUMMYFUNCTION("""COMPUTED_VALUE"""),0.0)</f>
        <v>0</v>
      </c>
      <c r="G3" s="16" t="str">
        <f>IFERROR(__xludf.DUMMYFUNCTION("""COMPUTED_VALUE"""),"Disease Antidote")</f>
        <v>Disease Antidote</v>
      </c>
      <c r="H3" s="16"/>
      <c r="I3" s="16"/>
      <c r="J3" s="16"/>
      <c r="K3" s="16"/>
      <c r="L3" s="16"/>
      <c r="M3" s="16"/>
      <c r="N3" s="16"/>
      <c r="O3" s="16"/>
      <c r="P3" s="16"/>
      <c r="Q3" s="16"/>
      <c r="R3" s="16"/>
      <c r="S3" s="16"/>
      <c r="T3" s="16"/>
      <c r="U3" s="16"/>
      <c r="V3" s="16"/>
      <c r="W3" s="16"/>
      <c r="X3" s="16"/>
    </row>
    <row r="4">
      <c r="A4" s="16" t="str">
        <f>IFERROR(__xludf.DUMMYFUNCTION("""COMPUTED_VALUE"""),"Luminescent Flux")</f>
        <v>Luminescent Flux</v>
      </c>
      <c r="B4" s="42" t="str">
        <f>IFERROR(__xludf.DUMMYFUNCTION("""COMPUTED_VALUE"""),"This mysterious disease causes the skin of the infected to emit a soft, ethereal glow. As the disease progresses, the glow intensifies, attracting creatures and making it difficult for the afflicted to hide.
When affected by this disease an additional 2 "&amp;"mobs will join any battle.")</f>
        <v>This mysterious disease causes the skin of the infected to emit a soft, ethereal glow. As the disease progresses, the glow intensifies, attracting creatures and making it difficult for the afflicted to hide.
When affected by this disease an additional 2 mobs will join any battle.</v>
      </c>
      <c r="C4" s="16" t="b">
        <f>IFERROR(__xludf.DUMMYFUNCTION("""COMPUTED_VALUE"""),FALSE)</f>
        <v>0</v>
      </c>
      <c r="D4" s="16" t="b">
        <f>IFERROR(__xludf.DUMMYFUNCTION("""COMPUTED_VALUE"""),TRUE)</f>
        <v>1</v>
      </c>
      <c r="E4" s="16" t="b">
        <f>IFERROR(__xludf.DUMMYFUNCTION("""COMPUTED_VALUE"""),FALSE)</f>
        <v>0</v>
      </c>
      <c r="F4" s="16">
        <f>IFERROR(__xludf.DUMMYFUNCTION("""COMPUTED_VALUE"""),0.0)</f>
        <v>0</v>
      </c>
      <c r="G4" s="16" t="str">
        <f>IFERROR(__xludf.DUMMYFUNCTION("""COMPUTED_VALUE"""),"Disease Antidote")</f>
        <v>Disease Antidote</v>
      </c>
      <c r="H4" s="16"/>
      <c r="I4" s="16"/>
      <c r="J4" s="16"/>
      <c r="K4" s="16"/>
      <c r="L4" s="16"/>
      <c r="M4" s="16"/>
      <c r="N4" s="16"/>
      <c r="O4" s="16"/>
      <c r="P4" s="16"/>
      <c r="Q4" s="16"/>
      <c r="R4" s="16"/>
      <c r="S4" s="16"/>
      <c r="T4" s="16"/>
      <c r="U4" s="16"/>
      <c r="V4" s="16"/>
      <c r="W4" s="16"/>
      <c r="X4" s="16"/>
    </row>
    <row r="5">
      <c r="A5" s="16" t="str">
        <f>IFERROR(__xludf.DUMMYFUNCTION("""COMPUTED_VALUE"""),"Whispering Rot")</f>
        <v>Whispering Rot</v>
      </c>
      <c r="B5" s="42" t="str">
        <f>IFERROR(__xludf.DUMMYFUNCTION("""COMPUTED_VALUE"""),"Victims of the Whispering Rot hear unsettling whispers that only they can hear. The whispers grow louder and more malicious over time, driving the infected to madness. Those in close proximity may also begin to hear the disturbing voices. 
You will act u"&amp;"nder the effects of Rampage while affected by this disease. 
Each party member not infected by this disease will have a 10% chance of becoming infected during each battle/day of travel.")</f>
        <v>Victims of the Whispering Rot hear unsettling whispers that only they can hear. The whispers grow louder and more malicious over time, driving the infected to madness. Those in close proximity may also begin to hear the disturbing voices. 
You will act under the effects of Rampage while affected by this disease. 
Each party member not infected by this disease will have a 10% chance of becoming infected during each battle/day of travel.</v>
      </c>
      <c r="C5" s="16" t="b">
        <f>IFERROR(__xludf.DUMMYFUNCTION("""COMPUTED_VALUE"""),FALSE)</f>
        <v>0</v>
      </c>
      <c r="D5" s="16" t="b">
        <f>IFERROR(__xludf.DUMMYFUNCTION("""COMPUTED_VALUE"""),FALSE)</f>
        <v>0</v>
      </c>
      <c r="E5" s="16" t="b">
        <f>IFERROR(__xludf.DUMMYFUNCTION("""COMPUTED_VALUE"""),TRUE)</f>
        <v>1</v>
      </c>
      <c r="F5" s="16">
        <f>IFERROR(__xludf.DUMMYFUNCTION("""COMPUTED_VALUE"""),20.0)</f>
        <v>20</v>
      </c>
      <c r="G5" s="16" t="str">
        <f>IFERROR(__xludf.DUMMYFUNCTION("""COMPUTED_VALUE"""),"Traveling/Disease Antidote")</f>
        <v>Traveling/Disease Antidote</v>
      </c>
      <c r="H5" s="16"/>
      <c r="I5" s="16"/>
      <c r="J5" s="16"/>
      <c r="K5" s="16"/>
      <c r="L5" s="16"/>
      <c r="M5" s="16"/>
      <c r="N5" s="16"/>
      <c r="O5" s="16"/>
      <c r="P5" s="16"/>
      <c r="Q5" s="16"/>
      <c r="R5" s="16"/>
      <c r="S5" s="16"/>
      <c r="T5" s="16"/>
      <c r="U5" s="16"/>
      <c r="V5" s="16"/>
      <c r="W5" s="16"/>
      <c r="X5" s="16"/>
    </row>
    <row r="6">
      <c r="A6" s="16" t="str">
        <f>IFERROR(__xludf.DUMMYFUNCTION("""COMPUTED_VALUE"""),"Veilshade Fever")</f>
        <v>Veilshade Fever</v>
      </c>
      <c r="B6" s="42" t="str">
        <f>IFERROR(__xludf.DUMMYFUNCTION("""COMPUTED_VALUE"""),"Infected individuals experience vivid hallucinations of an otherworldly realm. As the fever worsens, these visions become more tangible, with creatures from the alternate dimension crossing over into reality. 
When affected by this disease you will have "&amp;"a 50% chance to target anyone at random with a power/attack.")</f>
        <v>Infected individuals experience vivid hallucinations of an otherworldly realm. As the fever worsens, these visions become more tangible, with creatures from the alternate dimension crossing over into reality. 
When affected by this disease you will have a 50% chance to target anyone at random with a power/attack.</v>
      </c>
      <c r="C6" s="16" t="b">
        <f>IFERROR(__xludf.DUMMYFUNCTION("""COMPUTED_VALUE"""),FALSE)</f>
        <v>0</v>
      </c>
      <c r="D6" s="16" t="b">
        <f>IFERROR(__xludf.DUMMYFUNCTION("""COMPUTED_VALUE"""),FALSE)</f>
        <v>0</v>
      </c>
      <c r="E6" s="16" t="b">
        <f>IFERROR(__xludf.DUMMYFUNCTION("""COMPUTED_VALUE"""),TRUE)</f>
        <v>1</v>
      </c>
      <c r="F6" s="16">
        <f>IFERROR(__xludf.DUMMYFUNCTION("""COMPUTED_VALUE"""),20.0)</f>
        <v>20</v>
      </c>
      <c r="G6" s="16" t="str">
        <f>IFERROR(__xludf.DUMMYFUNCTION("""COMPUTED_VALUE"""),"Traveling/Disease Antidote")</f>
        <v>Traveling/Disease Antidote</v>
      </c>
      <c r="H6" s="16"/>
      <c r="I6" s="16"/>
      <c r="J6" s="16"/>
      <c r="K6" s="16"/>
      <c r="L6" s="16"/>
      <c r="M6" s="16"/>
      <c r="N6" s="16"/>
      <c r="O6" s="16"/>
      <c r="P6" s="16"/>
      <c r="Q6" s="16"/>
      <c r="R6" s="16"/>
      <c r="S6" s="16"/>
      <c r="T6" s="16"/>
      <c r="U6" s="16"/>
      <c r="V6" s="16"/>
      <c r="W6" s="16"/>
      <c r="X6" s="16"/>
    </row>
    <row r="7">
      <c r="A7" s="16" t="str">
        <f>IFERROR(__xludf.DUMMYFUNCTION("""COMPUTED_VALUE"""),"Ephemeral Petrification")</f>
        <v>Ephemeral Petrification</v>
      </c>
      <c r="B7" s="42" t="str">
        <f>IFERROR(__xludf.DUMMYFUNCTION("""COMPUTED_VALUE"""),"Victims slowly turn to stone, starting from their extremities and working inward. 
When affected by this disease you will have a 25% chance to lose your turn during each of your turns each battle")</f>
        <v>Victims slowly turn to stone, starting from their extremities and working inward. 
When affected by this disease you will have a 25% chance to lose your turn during each of your turns each battle</v>
      </c>
      <c r="C7" s="16" t="b">
        <f>IFERROR(__xludf.DUMMYFUNCTION("""COMPUTED_VALUE"""),FALSE)</f>
        <v>0</v>
      </c>
      <c r="D7" s="16" t="b">
        <f>IFERROR(__xludf.DUMMYFUNCTION("""COMPUTED_VALUE"""),FALSE)</f>
        <v>0</v>
      </c>
      <c r="E7" s="16" t="b">
        <f>IFERROR(__xludf.DUMMYFUNCTION("""COMPUTED_VALUE"""),TRUE)</f>
        <v>1</v>
      </c>
      <c r="F7" s="16">
        <f>IFERROR(__xludf.DUMMYFUNCTION("""COMPUTED_VALUE"""),20.0)</f>
        <v>20</v>
      </c>
      <c r="G7" s="16" t="str">
        <f>IFERROR(__xludf.DUMMYFUNCTION("""COMPUTED_VALUE"""),"Traveling/Disease Antidote")</f>
        <v>Traveling/Disease Antidote</v>
      </c>
      <c r="H7" s="16"/>
      <c r="I7" s="16"/>
      <c r="J7" s="16"/>
      <c r="K7" s="16"/>
      <c r="L7" s="16"/>
      <c r="M7" s="16"/>
      <c r="N7" s="16"/>
      <c r="O7" s="16"/>
      <c r="P7" s="16"/>
      <c r="Q7" s="16"/>
      <c r="R7" s="16"/>
      <c r="S7" s="16"/>
      <c r="T7" s="16"/>
      <c r="U7" s="16"/>
      <c r="V7" s="16"/>
      <c r="W7" s="16"/>
      <c r="X7" s="16"/>
    </row>
    <row r="8">
      <c r="A8" s="16" t="str">
        <f>IFERROR(__xludf.DUMMYFUNCTION("""COMPUTED_VALUE"""),"Spectral Withering")</f>
        <v>Spectral Withering</v>
      </c>
      <c r="B8" s="42" t="str">
        <f>IFERROR(__xludf.DUMMYFUNCTION("""COMPUTED_VALUE"""),"The infected phase in and out of the material plane, making them partially incorporeal. This spectral existence causes physical decay, as their bodies struggle to maintain a solid form.
When affected by this disease you will be under the effects of Incor"&amp;"poreal ∞
If this disease is not cured by the end of it's effect you will gain the Undead Ability permanently.")</f>
        <v>The infected phase in and out of the material plane, making them partially incorporeal. This spectral existence causes physical decay, as their bodies struggle to maintain a solid form.
When affected by this disease you will be under the effects of Incorporeal ∞
If this disease is not cured by the end of it's effect you will gain the Undead Ability permanently.</v>
      </c>
      <c r="C8" s="16" t="b">
        <f>IFERROR(__xludf.DUMMYFUNCTION("""COMPUTED_VALUE"""),FALSE)</f>
        <v>0</v>
      </c>
      <c r="D8" s="16" t="b">
        <f>IFERROR(__xludf.DUMMYFUNCTION("""COMPUTED_VALUE"""),FALSE)</f>
        <v>0</v>
      </c>
      <c r="E8" s="16" t="b">
        <f>IFERROR(__xludf.DUMMYFUNCTION("""COMPUTED_VALUE"""),TRUE)</f>
        <v>1</v>
      </c>
      <c r="F8" s="16">
        <f>IFERROR(__xludf.DUMMYFUNCTION("""COMPUTED_VALUE"""),50.0)</f>
        <v>50</v>
      </c>
      <c r="G8" s="16" t="str">
        <f>IFERROR(__xludf.DUMMYFUNCTION("""COMPUTED_VALUE"""),"Traveling/Disease Antidote")</f>
        <v>Traveling/Disease Antidote</v>
      </c>
      <c r="H8" s="16"/>
      <c r="I8" s="16"/>
      <c r="J8" s="16"/>
      <c r="K8" s="16"/>
      <c r="L8" s="16"/>
      <c r="M8" s="16"/>
      <c r="N8" s="16"/>
      <c r="O8" s="16"/>
      <c r="P8" s="16"/>
      <c r="Q8" s="16"/>
      <c r="R8" s="16"/>
      <c r="S8" s="16"/>
      <c r="T8" s="16"/>
      <c r="U8" s="16"/>
      <c r="V8" s="16"/>
      <c r="W8" s="16"/>
      <c r="X8" s="16"/>
    </row>
    <row r="9">
      <c r="A9" s="16" t="str">
        <f>IFERROR(__xludf.DUMMYFUNCTION("""COMPUTED_VALUE"""),"Blazing Plague")</f>
        <v>Blazing Plague</v>
      </c>
      <c r="B9" s="42" t="str">
        <f>IFERROR(__xludf.DUMMYFUNCTION("""COMPUTED_VALUE"""),"A feverish sickness that causes the infected to burst into flames periodically. The flames do not harm the individual but can ignite nearby objects. The disease is highly contagious through contact with the burning embers.
Anyone affected by this disease"&amp;" cannot be immune to Fire and will take X2 additional Fire damage.
40% chance to infect a random party member during each day of travel. ")</f>
        <v>A feverish sickness that causes the infected to burst into flames periodically. The flames do not harm the individual but can ignite nearby objects. The disease is highly contagious through contact with the burning embers.
Anyone affected by this disease cannot be immune to Fire and will take X2 additional Fire damage.
40% chance to infect a random party member during each day of travel. </v>
      </c>
      <c r="C9" s="16" t="b">
        <f>IFERROR(__xludf.DUMMYFUNCTION("""COMPUTED_VALUE"""),FALSE)</f>
        <v>0</v>
      </c>
      <c r="D9" s="16" t="b">
        <f>IFERROR(__xludf.DUMMYFUNCTION("""COMPUTED_VALUE"""),FALSE)</f>
        <v>0</v>
      </c>
      <c r="E9" s="16" t="b">
        <f>IFERROR(__xludf.DUMMYFUNCTION("""COMPUTED_VALUE"""),TRUE)</f>
        <v>1</v>
      </c>
      <c r="F9" s="16">
        <f>IFERROR(__xludf.DUMMYFUNCTION("""COMPUTED_VALUE"""),40.0)</f>
        <v>40</v>
      </c>
      <c r="G9" s="16" t="str">
        <f>IFERROR(__xludf.DUMMYFUNCTION("""COMPUTED_VALUE"""),"Traveling/Disease Antidote")</f>
        <v>Traveling/Disease Antidote</v>
      </c>
      <c r="H9" s="16"/>
      <c r="I9" s="16"/>
      <c r="J9" s="16"/>
      <c r="K9" s="16"/>
      <c r="L9" s="16"/>
      <c r="M9" s="16"/>
      <c r="N9" s="16"/>
      <c r="O9" s="16"/>
      <c r="P9" s="16"/>
      <c r="Q9" s="16"/>
      <c r="R9" s="16"/>
      <c r="S9" s="16"/>
      <c r="T9" s="16"/>
      <c r="U9" s="16"/>
      <c r="V9" s="16"/>
      <c r="W9" s="16"/>
      <c r="X9" s="16"/>
    </row>
    <row r="10">
      <c r="A10" s="16" t="str">
        <f>IFERROR(__xludf.DUMMYFUNCTION("""COMPUTED_VALUE"""),"Abyssal Resonance")</f>
        <v>Abyssal Resonance</v>
      </c>
      <c r="B10" s="42" t="str">
        <f>IFERROR(__xludf.DUMMYFUNCTION("""COMPUTED_VALUE"""),"The infected carry an otherworldly aura that attracts malevolent entities from the abyss. These entities seek to possess or consume the infected, leading to dangerous encounters with demonic forces.
25% chance an undead mob will engage you in battle duri"&amp;"ng each day of travel whether or not the day is good or bad.")</f>
        <v>The infected carry an otherworldly aura that attracts malevolent entities from the abyss. These entities seek to possess or consume the infected, leading to dangerous encounters with demonic forces.
25% chance an undead mob will engage you in battle during each day of travel whether or not the day is good or bad.</v>
      </c>
      <c r="C10" s="16" t="b">
        <f>IFERROR(__xludf.DUMMYFUNCTION("""COMPUTED_VALUE"""),FALSE)</f>
        <v>0</v>
      </c>
      <c r="D10" s="16" t="b">
        <f>IFERROR(__xludf.DUMMYFUNCTION("""COMPUTED_VALUE"""),TRUE)</f>
        <v>1</v>
      </c>
      <c r="E10" s="16" t="b">
        <f>IFERROR(__xludf.DUMMYFUNCTION("""COMPUTED_VALUE"""),FALSE)</f>
        <v>0</v>
      </c>
      <c r="F10" s="16">
        <f>IFERROR(__xludf.DUMMYFUNCTION("""COMPUTED_VALUE"""),0.0)</f>
        <v>0</v>
      </c>
      <c r="G10" s="16" t="str">
        <f>IFERROR(__xludf.DUMMYFUNCTION("""COMPUTED_VALUE"""),"Disease Antidote")</f>
        <v>Disease Antidote</v>
      </c>
      <c r="H10" s="16"/>
      <c r="I10" s="16"/>
      <c r="J10" s="16"/>
      <c r="K10" s="16"/>
      <c r="L10" s="16"/>
      <c r="M10" s="16"/>
      <c r="N10" s="16"/>
      <c r="O10" s="16"/>
      <c r="P10" s="16"/>
      <c r="Q10" s="16"/>
      <c r="R10" s="16"/>
      <c r="S10" s="16"/>
      <c r="T10" s="16"/>
      <c r="U10" s="16"/>
      <c r="V10" s="16"/>
      <c r="W10" s="16"/>
      <c r="X10" s="16"/>
    </row>
    <row r="11">
      <c r="A11" s="16" t="str">
        <f>IFERROR(__xludf.DUMMYFUNCTION("""COMPUTED_VALUE"""),"Draconic Venomflux")</f>
        <v>Draconic Venomflux</v>
      </c>
      <c r="B11" s="42" t="str">
        <f>IFERROR(__xludf.DUMMYFUNCTION("""COMPUTED_VALUE"""),"The disease manifests in various stages, starting with subtle symptoms such as mild fever and disorientation.
Victims experience the development of venomous lesions on their skin, resembling the scales of a dragon. The venom within these scales can be tr"&amp;"ansmitted through touch, leading to the infection of others. In its advanced stages, Draconic Venomflux can induce hallucinations, making the line between reality and illusion blurred for the afflicted.
This desease spreads to anyone that buffs you.
25%"&amp;" chance you attack a random party member on each of your turns during battle.")</f>
        <v>The disease manifests in various stages, starting with subtle symptoms such as mild fever and disorientation.
Victims experience the development of venomous lesions on their skin, resembling the scales of a dragon. The venom within these scales can be transmitted through touch, leading to the infection of others. In its advanced stages, Draconic Venomflux can induce hallucinations, making the line between reality and illusion blurred for the afflicted.
This desease spreads to anyone that buffs you.
25% chance you attack a random party member on each of your turns during battle.</v>
      </c>
      <c r="C11" s="16" t="b">
        <f>IFERROR(__xludf.DUMMYFUNCTION("""COMPUTED_VALUE"""),FALSE)</f>
        <v>0</v>
      </c>
      <c r="D11" s="16" t="b">
        <f>IFERROR(__xludf.DUMMYFUNCTION("""COMPUTED_VALUE"""),TRUE)</f>
        <v>1</v>
      </c>
      <c r="E11" s="16" t="b">
        <f>IFERROR(__xludf.DUMMYFUNCTION("""COMPUTED_VALUE"""),FALSE)</f>
        <v>0</v>
      </c>
      <c r="F11" s="16">
        <f>IFERROR(__xludf.DUMMYFUNCTION("""COMPUTED_VALUE"""),0.0)</f>
        <v>0</v>
      </c>
      <c r="G11" s="16" t="str">
        <f>IFERROR(__xludf.DUMMYFUNCTION("""COMPUTED_VALUE"""),"Disease Antidote")</f>
        <v>Disease Antidote</v>
      </c>
      <c r="H11" s="16"/>
      <c r="I11" s="16"/>
      <c r="J11" s="16"/>
      <c r="K11" s="16"/>
      <c r="L11" s="16"/>
      <c r="M11" s="16"/>
      <c r="N11" s="16"/>
      <c r="O11" s="16"/>
      <c r="P11" s="16"/>
      <c r="Q11" s="16"/>
      <c r="R11" s="16"/>
      <c r="S11" s="16"/>
      <c r="T11" s="16"/>
      <c r="U11" s="16"/>
      <c r="V11" s="16"/>
      <c r="W11" s="16"/>
      <c r="X11" s="16"/>
    </row>
    <row r="12">
      <c r="A12" s="16"/>
      <c r="B12" s="42"/>
      <c r="C12" s="16"/>
      <c r="D12" s="16"/>
      <c r="E12" s="16"/>
      <c r="F12" s="16"/>
      <c r="G12" s="16"/>
      <c r="H12" s="16"/>
      <c r="I12" s="16"/>
      <c r="J12" s="16"/>
      <c r="K12" s="16"/>
      <c r="L12" s="16"/>
      <c r="M12" s="16"/>
      <c r="N12" s="16"/>
      <c r="O12" s="16"/>
      <c r="P12" s="16"/>
      <c r="Q12" s="16"/>
      <c r="R12" s="16"/>
      <c r="S12" s="16"/>
      <c r="T12" s="16"/>
      <c r="U12" s="16"/>
      <c r="V12" s="16"/>
      <c r="W12" s="16"/>
      <c r="X12" s="16"/>
    </row>
    <row r="13">
      <c r="A13" s="16"/>
      <c r="B13" s="42"/>
      <c r="C13" s="16" t="b">
        <f>IFERROR(__xludf.DUMMYFUNCTION("""COMPUTED_VALUE"""),FALSE)</f>
        <v>0</v>
      </c>
      <c r="D13" s="16" t="b">
        <f>IFERROR(__xludf.DUMMYFUNCTION("""COMPUTED_VALUE"""),FALSE)</f>
        <v>0</v>
      </c>
      <c r="E13" s="16" t="b">
        <f>IFERROR(__xludf.DUMMYFUNCTION("""COMPUTED_VALUE"""),FALSE)</f>
        <v>0</v>
      </c>
      <c r="F13" s="16"/>
      <c r="G13" s="16"/>
      <c r="H13" s="16"/>
      <c r="I13" s="16"/>
      <c r="J13" s="16"/>
      <c r="K13" s="16"/>
      <c r="L13" s="16"/>
      <c r="M13" s="16"/>
      <c r="N13" s="16"/>
      <c r="O13" s="16"/>
      <c r="P13" s="16"/>
      <c r="Q13" s="16"/>
      <c r="R13" s="16"/>
      <c r="S13" s="16"/>
      <c r="T13" s="16"/>
      <c r="U13" s="16"/>
      <c r="V13" s="16"/>
      <c r="W13" s="16"/>
      <c r="X13" s="16"/>
    </row>
    <row r="14">
      <c r="A14" s="16"/>
      <c r="B14" s="42"/>
      <c r="C14" s="16" t="b">
        <f>IFERROR(__xludf.DUMMYFUNCTION("""COMPUTED_VALUE"""),FALSE)</f>
        <v>0</v>
      </c>
      <c r="D14" s="16" t="b">
        <f>IFERROR(__xludf.DUMMYFUNCTION("""COMPUTED_VALUE"""),FALSE)</f>
        <v>0</v>
      </c>
      <c r="E14" s="16" t="b">
        <f>IFERROR(__xludf.DUMMYFUNCTION("""COMPUTED_VALUE"""),FALSE)</f>
        <v>0</v>
      </c>
      <c r="F14" s="16"/>
      <c r="G14" s="16"/>
      <c r="H14" s="16"/>
      <c r="I14" s="16"/>
      <c r="J14" s="16"/>
      <c r="K14" s="16"/>
      <c r="L14" s="16"/>
      <c r="M14" s="16"/>
      <c r="N14" s="16"/>
      <c r="O14" s="16"/>
      <c r="P14" s="16"/>
      <c r="Q14" s="16"/>
      <c r="R14" s="16"/>
      <c r="S14" s="16"/>
      <c r="T14" s="16"/>
      <c r="U14" s="16"/>
      <c r="V14" s="16"/>
      <c r="W14" s="16"/>
      <c r="X14" s="16"/>
    </row>
    <row r="15">
      <c r="A15" s="16"/>
      <c r="B15" s="42"/>
      <c r="C15" s="16" t="b">
        <f>IFERROR(__xludf.DUMMYFUNCTION("""COMPUTED_VALUE"""),FALSE)</f>
        <v>0</v>
      </c>
      <c r="D15" s="16" t="b">
        <f>IFERROR(__xludf.DUMMYFUNCTION("""COMPUTED_VALUE"""),FALSE)</f>
        <v>0</v>
      </c>
      <c r="E15" s="16" t="b">
        <f>IFERROR(__xludf.DUMMYFUNCTION("""COMPUTED_VALUE"""),FALSE)</f>
        <v>0</v>
      </c>
      <c r="F15" s="16"/>
      <c r="G15" s="16"/>
      <c r="H15" s="16"/>
      <c r="I15" s="16"/>
      <c r="J15" s="16"/>
      <c r="K15" s="16"/>
      <c r="L15" s="16"/>
      <c r="M15" s="16"/>
      <c r="N15" s="16"/>
      <c r="O15" s="16"/>
      <c r="P15" s="16"/>
      <c r="Q15" s="16"/>
      <c r="R15" s="16"/>
      <c r="S15" s="16"/>
      <c r="T15" s="16"/>
      <c r="U15" s="16"/>
      <c r="V15" s="16"/>
      <c r="W15" s="16"/>
      <c r="X15" s="16"/>
    </row>
    <row r="16">
      <c r="A16" s="16"/>
      <c r="B16" s="42"/>
      <c r="C16" s="16" t="b">
        <f>IFERROR(__xludf.DUMMYFUNCTION("""COMPUTED_VALUE"""),FALSE)</f>
        <v>0</v>
      </c>
      <c r="D16" s="16" t="b">
        <f>IFERROR(__xludf.DUMMYFUNCTION("""COMPUTED_VALUE"""),FALSE)</f>
        <v>0</v>
      </c>
      <c r="E16" s="16" t="b">
        <f>IFERROR(__xludf.DUMMYFUNCTION("""COMPUTED_VALUE"""),FALSE)</f>
        <v>0</v>
      </c>
      <c r="F16" s="16"/>
      <c r="G16" s="16"/>
      <c r="H16" s="16"/>
      <c r="I16" s="16"/>
      <c r="J16" s="16"/>
      <c r="K16" s="16"/>
      <c r="L16" s="16"/>
      <c r="M16" s="16"/>
      <c r="N16" s="16"/>
      <c r="O16" s="16"/>
      <c r="P16" s="16"/>
      <c r="Q16" s="16"/>
      <c r="R16" s="16"/>
      <c r="S16" s="16"/>
      <c r="T16" s="16"/>
      <c r="U16" s="16"/>
      <c r="V16" s="16"/>
      <c r="W16" s="16"/>
      <c r="X16" s="16"/>
    </row>
    <row r="17">
      <c r="A17" s="16"/>
      <c r="B17" s="42"/>
      <c r="C17" s="16" t="b">
        <f>IFERROR(__xludf.DUMMYFUNCTION("""COMPUTED_VALUE"""),FALSE)</f>
        <v>0</v>
      </c>
      <c r="D17" s="16" t="b">
        <f>IFERROR(__xludf.DUMMYFUNCTION("""COMPUTED_VALUE"""),FALSE)</f>
        <v>0</v>
      </c>
      <c r="E17" s="16" t="b">
        <f>IFERROR(__xludf.DUMMYFUNCTION("""COMPUTED_VALUE"""),FALSE)</f>
        <v>0</v>
      </c>
      <c r="F17" s="16"/>
      <c r="G17" s="16"/>
      <c r="H17" s="16"/>
      <c r="I17" s="16"/>
      <c r="J17" s="16"/>
      <c r="K17" s="16"/>
      <c r="L17" s="16"/>
      <c r="M17" s="16"/>
      <c r="N17" s="16"/>
      <c r="O17" s="16"/>
      <c r="P17" s="16"/>
      <c r="Q17" s="16"/>
      <c r="R17" s="16"/>
      <c r="S17" s="16"/>
      <c r="T17" s="16"/>
      <c r="U17" s="16"/>
      <c r="V17" s="16"/>
      <c r="W17" s="16"/>
      <c r="X17" s="16"/>
    </row>
    <row r="18">
      <c r="A18" s="16"/>
      <c r="B18" s="42"/>
      <c r="C18" s="16" t="b">
        <f>IFERROR(__xludf.DUMMYFUNCTION("""COMPUTED_VALUE"""),FALSE)</f>
        <v>0</v>
      </c>
      <c r="D18" s="16" t="b">
        <f>IFERROR(__xludf.DUMMYFUNCTION("""COMPUTED_VALUE"""),FALSE)</f>
        <v>0</v>
      </c>
      <c r="E18" s="16" t="b">
        <f>IFERROR(__xludf.DUMMYFUNCTION("""COMPUTED_VALUE"""),FALSE)</f>
        <v>0</v>
      </c>
      <c r="F18" s="16"/>
      <c r="G18" s="16"/>
      <c r="H18" s="16"/>
      <c r="I18" s="16"/>
      <c r="J18" s="16"/>
      <c r="K18" s="16"/>
      <c r="L18" s="16"/>
      <c r="M18" s="16"/>
      <c r="N18" s="16"/>
      <c r="O18" s="16"/>
      <c r="P18" s="16"/>
      <c r="Q18" s="16"/>
      <c r="R18" s="16"/>
      <c r="S18" s="16"/>
      <c r="T18" s="16"/>
      <c r="U18" s="16"/>
      <c r="V18" s="16"/>
      <c r="W18" s="16"/>
      <c r="X18" s="16"/>
    </row>
    <row r="19">
      <c r="A19" s="16"/>
      <c r="B19" s="42"/>
      <c r="C19" s="16" t="b">
        <f>IFERROR(__xludf.DUMMYFUNCTION("""COMPUTED_VALUE"""),FALSE)</f>
        <v>0</v>
      </c>
      <c r="D19" s="16" t="b">
        <f>IFERROR(__xludf.DUMMYFUNCTION("""COMPUTED_VALUE"""),FALSE)</f>
        <v>0</v>
      </c>
      <c r="E19" s="16" t="b">
        <f>IFERROR(__xludf.DUMMYFUNCTION("""COMPUTED_VALUE"""),FALSE)</f>
        <v>0</v>
      </c>
      <c r="F19" s="16"/>
      <c r="G19" s="16"/>
      <c r="H19" s="16"/>
      <c r="I19" s="16"/>
      <c r="J19" s="16"/>
      <c r="K19" s="16"/>
      <c r="L19" s="16"/>
      <c r="M19" s="16"/>
      <c r="N19" s="16"/>
      <c r="O19" s="16"/>
      <c r="P19" s="16"/>
      <c r="Q19" s="16"/>
      <c r="R19" s="16"/>
      <c r="S19" s="16"/>
      <c r="T19" s="16"/>
      <c r="U19" s="16"/>
      <c r="V19" s="16"/>
      <c r="W19" s="16"/>
      <c r="X19" s="16"/>
    </row>
    <row r="20">
      <c r="A20" s="16"/>
      <c r="B20" s="42"/>
      <c r="C20" s="16" t="b">
        <f>IFERROR(__xludf.DUMMYFUNCTION("""COMPUTED_VALUE"""),FALSE)</f>
        <v>0</v>
      </c>
      <c r="D20" s="16" t="b">
        <f>IFERROR(__xludf.DUMMYFUNCTION("""COMPUTED_VALUE"""),FALSE)</f>
        <v>0</v>
      </c>
      <c r="E20" s="16" t="b">
        <f>IFERROR(__xludf.DUMMYFUNCTION("""COMPUTED_VALUE"""),FALSE)</f>
        <v>0</v>
      </c>
      <c r="F20" s="16"/>
      <c r="G20" s="16"/>
      <c r="H20" s="16"/>
      <c r="I20" s="16"/>
      <c r="J20" s="16"/>
      <c r="K20" s="16"/>
      <c r="L20" s="16"/>
      <c r="M20" s="16"/>
      <c r="N20" s="16"/>
      <c r="O20" s="16"/>
      <c r="P20" s="16"/>
      <c r="Q20" s="16"/>
      <c r="R20" s="16"/>
      <c r="S20" s="16"/>
      <c r="T20" s="16"/>
      <c r="U20" s="16"/>
      <c r="V20" s="16"/>
      <c r="W20" s="16"/>
      <c r="X20" s="16"/>
    </row>
    <row r="21">
      <c r="A21" s="16"/>
      <c r="B21" s="42"/>
      <c r="C21" s="16" t="b">
        <f>IFERROR(__xludf.DUMMYFUNCTION("""COMPUTED_VALUE"""),FALSE)</f>
        <v>0</v>
      </c>
      <c r="D21" s="16" t="b">
        <f>IFERROR(__xludf.DUMMYFUNCTION("""COMPUTED_VALUE"""),FALSE)</f>
        <v>0</v>
      </c>
      <c r="E21" s="16" t="b">
        <f>IFERROR(__xludf.DUMMYFUNCTION("""COMPUTED_VALUE"""),FALSE)</f>
        <v>0</v>
      </c>
      <c r="F21" s="16"/>
      <c r="G21" s="16"/>
      <c r="H21" s="16"/>
      <c r="I21" s="16"/>
      <c r="J21" s="16"/>
      <c r="K21" s="16"/>
      <c r="L21" s="16"/>
      <c r="M21" s="16"/>
      <c r="N21" s="16"/>
      <c r="O21" s="16"/>
      <c r="P21" s="16"/>
      <c r="Q21" s="16"/>
      <c r="R21" s="16"/>
      <c r="S21" s="16"/>
      <c r="T21" s="16"/>
      <c r="U21" s="16"/>
      <c r="V21" s="16"/>
      <c r="W21" s="16"/>
      <c r="X21" s="16"/>
    </row>
    <row r="22">
      <c r="A22" s="16"/>
      <c r="B22" s="42"/>
      <c r="C22" s="16" t="b">
        <f>IFERROR(__xludf.DUMMYFUNCTION("""COMPUTED_VALUE"""),FALSE)</f>
        <v>0</v>
      </c>
      <c r="D22" s="16" t="b">
        <f>IFERROR(__xludf.DUMMYFUNCTION("""COMPUTED_VALUE"""),FALSE)</f>
        <v>0</v>
      </c>
      <c r="E22" s="16" t="b">
        <f>IFERROR(__xludf.DUMMYFUNCTION("""COMPUTED_VALUE"""),FALSE)</f>
        <v>0</v>
      </c>
      <c r="F22" s="16"/>
      <c r="G22" s="16"/>
      <c r="H22" s="16"/>
      <c r="I22" s="16"/>
      <c r="J22" s="16"/>
      <c r="K22" s="16"/>
      <c r="L22" s="16"/>
      <c r="M22" s="16"/>
      <c r="N22" s="16"/>
      <c r="O22" s="16"/>
      <c r="P22" s="16"/>
      <c r="Q22" s="16"/>
      <c r="R22" s="16"/>
      <c r="S22" s="16"/>
      <c r="T22" s="16"/>
      <c r="U22" s="16"/>
      <c r="V22" s="16"/>
      <c r="W22" s="16"/>
      <c r="X22" s="16"/>
    </row>
    <row r="23">
      <c r="A23" s="16"/>
      <c r="B23" s="42"/>
      <c r="C23" s="16" t="b">
        <f>IFERROR(__xludf.DUMMYFUNCTION("""COMPUTED_VALUE"""),FALSE)</f>
        <v>0</v>
      </c>
      <c r="D23" s="16" t="b">
        <f>IFERROR(__xludf.DUMMYFUNCTION("""COMPUTED_VALUE"""),FALSE)</f>
        <v>0</v>
      </c>
      <c r="E23" s="16" t="b">
        <f>IFERROR(__xludf.DUMMYFUNCTION("""COMPUTED_VALUE"""),FALSE)</f>
        <v>0</v>
      </c>
      <c r="F23" s="16"/>
      <c r="G23" s="16"/>
      <c r="H23" s="16"/>
      <c r="I23" s="16"/>
      <c r="J23" s="16"/>
      <c r="K23" s="16"/>
      <c r="L23" s="16"/>
      <c r="M23" s="16"/>
      <c r="N23" s="16"/>
      <c r="O23" s="16"/>
      <c r="P23" s="16"/>
      <c r="Q23" s="16"/>
      <c r="R23" s="16"/>
      <c r="S23" s="16"/>
      <c r="T23" s="16"/>
      <c r="U23" s="16"/>
      <c r="V23" s="16"/>
      <c r="W23" s="16"/>
      <c r="X23" s="16"/>
    </row>
    <row r="24">
      <c r="A24" s="16"/>
      <c r="B24" s="42"/>
      <c r="C24" s="16" t="b">
        <f>IFERROR(__xludf.DUMMYFUNCTION("""COMPUTED_VALUE"""),FALSE)</f>
        <v>0</v>
      </c>
      <c r="D24" s="16" t="b">
        <f>IFERROR(__xludf.DUMMYFUNCTION("""COMPUTED_VALUE"""),FALSE)</f>
        <v>0</v>
      </c>
      <c r="E24" s="16" t="b">
        <f>IFERROR(__xludf.DUMMYFUNCTION("""COMPUTED_VALUE"""),FALSE)</f>
        <v>0</v>
      </c>
      <c r="F24" s="16"/>
      <c r="G24" s="16"/>
      <c r="H24" s="16"/>
      <c r="I24" s="16"/>
      <c r="J24" s="16"/>
      <c r="K24" s="16"/>
      <c r="L24" s="16"/>
      <c r="M24" s="16"/>
      <c r="N24" s="16"/>
      <c r="O24" s="16"/>
      <c r="P24" s="16"/>
      <c r="Q24" s="16"/>
      <c r="R24" s="16"/>
      <c r="S24" s="16"/>
      <c r="T24" s="16"/>
      <c r="U24" s="16"/>
      <c r="V24" s="16"/>
      <c r="W24" s="16"/>
      <c r="X24" s="16"/>
    </row>
    <row r="25">
      <c r="A25" s="16"/>
      <c r="B25" s="42"/>
      <c r="C25" s="16" t="b">
        <f>IFERROR(__xludf.DUMMYFUNCTION("""COMPUTED_VALUE"""),FALSE)</f>
        <v>0</v>
      </c>
      <c r="D25" s="16" t="b">
        <f>IFERROR(__xludf.DUMMYFUNCTION("""COMPUTED_VALUE"""),FALSE)</f>
        <v>0</v>
      </c>
      <c r="E25" s="16" t="b">
        <f>IFERROR(__xludf.DUMMYFUNCTION("""COMPUTED_VALUE"""),FALSE)</f>
        <v>0</v>
      </c>
      <c r="F25" s="16"/>
      <c r="G25" s="16"/>
      <c r="H25" s="16"/>
      <c r="I25" s="16"/>
      <c r="J25" s="16"/>
      <c r="K25" s="16"/>
      <c r="L25" s="16"/>
      <c r="M25" s="16"/>
      <c r="N25" s="16"/>
      <c r="O25" s="16"/>
      <c r="P25" s="16"/>
      <c r="Q25" s="16"/>
      <c r="R25" s="16"/>
      <c r="S25" s="16"/>
      <c r="T25" s="16"/>
      <c r="U25" s="16"/>
      <c r="V25" s="16"/>
      <c r="W25" s="16"/>
      <c r="X25" s="16"/>
    </row>
    <row r="26">
      <c r="A26" s="16"/>
      <c r="B26" s="42"/>
      <c r="C26" s="16" t="b">
        <f>IFERROR(__xludf.DUMMYFUNCTION("""COMPUTED_VALUE"""),FALSE)</f>
        <v>0</v>
      </c>
      <c r="D26" s="16" t="b">
        <f>IFERROR(__xludf.DUMMYFUNCTION("""COMPUTED_VALUE"""),FALSE)</f>
        <v>0</v>
      </c>
      <c r="E26" s="16" t="b">
        <f>IFERROR(__xludf.DUMMYFUNCTION("""COMPUTED_VALUE"""),FALSE)</f>
        <v>0</v>
      </c>
      <c r="F26" s="16"/>
      <c r="G26" s="16"/>
      <c r="H26" s="16"/>
      <c r="I26" s="16"/>
      <c r="J26" s="16"/>
      <c r="K26" s="16"/>
      <c r="L26" s="16"/>
      <c r="M26" s="16"/>
      <c r="N26" s="16"/>
      <c r="O26" s="16"/>
      <c r="P26" s="16"/>
      <c r="Q26" s="16"/>
      <c r="R26" s="16"/>
      <c r="S26" s="16"/>
      <c r="T26" s="16"/>
      <c r="U26" s="16"/>
      <c r="V26" s="16"/>
      <c r="W26" s="16"/>
      <c r="X26" s="16"/>
    </row>
    <row r="27">
      <c r="A27" s="16"/>
      <c r="B27" s="42"/>
      <c r="C27" s="16" t="b">
        <f>IFERROR(__xludf.DUMMYFUNCTION("""COMPUTED_VALUE"""),FALSE)</f>
        <v>0</v>
      </c>
      <c r="D27" s="16" t="b">
        <f>IFERROR(__xludf.DUMMYFUNCTION("""COMPUTED_VALUE"""),FALSE)</f>
        <v>0</v>
      </c>
      <c r="E27" s="16" t="b">
        <f>IFERROR(__xludf.DUMMYFUNCTION("""COMPUTED_VALUE"""),FALSE)</f>
        <v>0</v>
      </c>
      <c r="F27" s="16"/>
      <c r="G27" s="16"/>
      <c r="H27" s="16"/>
      <c r="I27" s="16"/>
      <c r="J27" s="16"/>
      <c r="K27" s="16"/>
      <c r="L27" s="16"/>
      <c r="M27" s="16"/>
      <c r="N27" s="16"/>
      <c r="O27" s="16"/>
      <c r="P27" s="16"/>
      <c r="Q27" s="16"/>
      <c r="R27" s="16"/>
      <c r="S27" s="16"/>
      <c r="T27" s="16"/>
      <c r="U27" s="16"/>
      <c r="V27" s="16"/>
      <c r="W27" s="16"/>
      <c r="X27" s="16"/>
    </row>
    <row r="28">
      <c r="A28" s="16"/>
      <c r="B28" s="42"/>
      <c r="C28" s="16" t="b">
        <f>IFERROR(__xludf.DUMMYFUNCTION("""COMPUTED_VALUE"""),FALSE)</f>
        <v>0</v>
      </c>
      <c r="D28" s="16" t="b">
        <f>IFERROR(__xludf.DUMMYFUNCTION("""COMPUTED_VALUE"""),FALSE)</f>
        <v>0</v>
      </c>
      <c r="E28" s="16" t="b">
        <f>IFERROR(__xludf.DUMMYFUNCTION("""COMPUTED_VALUE"""),FALSE)</f>
        <v>0</v>
      </c>
      <c r="F28" s="16"/>
      <c r="G28" s="16"/>
      <c r="H28" s="16"/>
      <c r="I28" s="16"/>
      <c r="J28" s="16"/>
      <c r="K28" s="16"/>
      <c r="L28" s="16"/>
      <c r="M28" s="16"/>
      <c r="N28" s="16"/>
      <c r="O28" s="16"/>
      <c r="P28" s="16"/>
      <c r="Q28" s="16"/>
      <c r="R28" s="16"/>
      <c r="S28" s="16"/>
      <c r="T28" s="16"/>
      <c r="U28" s="16"/>
      <c r="V28" s="16"/>
      <c r="W28" s="16"/>
      <c r="X28" s="16"/>
    </row>
    <row r="29">
      <c r="A29" s="16"/>
      <c r="B29" s="42"/>
      <c r="C29" s="16" t="b">
        <f>IFERROR(__xludf.DUMMYFUNCTION("""COMPUTED_VALUE"""),FALSE)</f>
        <v>0</v>
      </c>
      <c r="D29" s="16" t="b">
        <f>IFERROR(__xludf.DUMMYFUNCTION("""COMPUTED_VALUE"""),FALSE)</f>
        <v>0</v>
      </c>
      <c r="E29" s="16" t="b">
        <f>IFERROR(__xludf.DUMMYFUNCTION("""COMPUTED_VALUE"""),FALSE)</f>
        <v>0</v>
      </c>
      <c r="F29" s="16"/>
      <c r="G29" s="16"/>
      <c r="H29" s="16"/>
      <c r="I29" s="16"/>
      <c r="J29" s="16"/>
      <c r="K29" s="16"/>
      <c r="L29" s="16"/>
      <c r="M29" s="16"/>
      <c r="N29" s="16"/>
      <c r="O29" s="16"/>
      <c r="P29" s="16"/>
      <c r="Q29" s="16"/>
      <c r="R29" s="16"/>
      <c r="S29" s="16"/>
      <c r="T29" s="16"/>
      <c r="U29" s="16"/>
      <c r="V29" s="16"/>
      <c r="W29" s="16"/>
      <c r="X29" s="16"/>
    </row>
    <row r="30">
      <c r="A30" s="16"/>
      <c r="B30" s="42"/>
      <c r="C30" s="16" t="b">
        <f>IFERROR(__xludf.DUMMYFUNCTION("""COMPUTED_VALUE"""),FALSE)</f>
        <v>0</v>
      </c>
      <c r="D30" s="16" t="b">
        <f>IFERROR(__xludf.DUMMYFUNCTION("""COMPUTED_VALUE"""),FALSE)</f>
        <v>0</v>
      </c>
      <c r="E30" s="16" t="b">
        <f>IFERROR(__xludf.DUMMYFUNCTION("""COMPUTED_VALUE"""),FALSE)</f>
        <v>0</v>
      </c>
      <c r="F30" s="16"/>
      <c r="G30" s="16"/>
      <c r="H30" s="16"/>
      <c r="I30" s="16"/>
      <c r="J30" s="16"/>
      <c r="K30" s="16"/>
      <c r="L30" s="16"/>
      <c r="M30" s="16"/>
      <c r="N30" s="16"/>
      <c r="O30" s="16"/>
      <c r="P30" s="16"/>
      <c r="Q30" s="16"/>
      <c r="R30" s="16"/>
      <c r="S30" s="16"/>
      <c r="T30" s="16"/>
      <c r="U30" s="16"/>
      <c r="V30" s="16"/>
      <c r="W30" s="16"/>
      <c r="X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IFERROR(__xludf.DUMMYFUNCTION("IMPORTRANGE(""https://docs.google.com/spreadsheets/d/""&amp;Config!B2,""Guilds!A:AX"")"),"Guild Name")</f>
        <v>Guild Name</v>
      </c>
      <c r="B1" s="16" t="str">
        <f>IFERROR(__xludf.DUMMYFUNCTION("""COMPUTED_VALUE"""),"Guild Type")</f>
        <v>Guild Type</v>
      </c>
      <c r="C1" s="16" t="str">
        <f>IFERROR(__xludf.DUMMYFUNCTION("""COMPUTED_VALUE"""),"Description")</f>
        <v>Description</v>
      </c>
      <c r="D1" s="16"/>
      <c r="E1" s="16"/>
      <c r="F1" s="16"/>
      <c r="G1" s="16"/>
      <c r="H1" s="16"/>
      <c r="I1" s="16"/>
      <c r="J1" s="16"/>
      <c r="K1" s="16"/>
      <c r="L1" s="16"/>
      <c r="M1" s="16"/>
      <c r="N1" s="16"/>
      <c r="O1" s="16"/>
      <c r="P1" s="16"/>
      <c r="Q1" s="16"/>
      <c r="R1" s="16"/>
      <c r="S1" s="16"/>
      <c r="T1" s="16"/>
      <c r="U1" s="16"/>
      <c r="V1" s="16"/>
      <c r="W1" s="16"/>
      <c r="X1" s="16"/>
      <c r="Y1" s="16"/>
      <c r="Z1" s="16"/>
    </row>
    <row r="2">
      <c r="A2" s="16" t="str">
        <f>IFERROR(__xludf.DUMMYFUNCTION("""COMPUTED_VALUE"""),"Adventurers Guild")</f>
        <v>Adventurers Guild</v>
      </c>
      <c r="B2" s="16" t="str">
        <f>IFERROR(__xludf.DUMMYFUNCTION("""COMPUTED_VALUE"""),"Public")</f>
        <v>Public</v>
      </c>
      <c r="C2" s="16" t="str">
        <f>IFERROR(__xludf.DUMMYFUNCTION("""COMPUTED_VALUE"""),"A guild that takes contracts and jobs from various people, governments, and entities and assigns their members to take care of them.")</f>
        <v>A guild that takes contracts and jobs from various people, governments, and entities and assigns their members to take care of them.</v>
      </c>
      <c r="D2" s="16"/>
      <c r="E2" s="16"/>
      <c r="F2" s="16"/>
      <c r="G2" s="16"/>
      <c r="H2" s="16"/>
      <c r="I2" s="16"/>
      <c r="J2" s="16"/>
      <c r="K2" s="16"/>
      <c r="L2" s="16"/>
      <c r="M2" s="16"/>
      <c r="N2" s="16"/>
      <c r="O2" s="16"/>
      <c r="P2" s="16"/>
      <c r="Q2" s="16"/>
      <c r="R2" s="16"/>
      <c r="S2" s="16"/>
      <c r="T2" s="16"/>
      <c r="U2" s="16"/>
      <c r="V2" s="16"/>
      <c r="W2" s="16"/>
      <c r="X2" s="16"/>
      <c r="Y2" s="16"/>
      <c r="Z2" s="16"/>
    </row>
    <row r="3">
      <c r="A3" s="16" t="str">
        <f>IFERROR(__xludf.DUMMYFUNCTION("""COMPUTED_VALUE"""),"Merchants Guild")</f>
        <v>Merchants Guild</v>
      </c>
      <c r="B3" s="16" t="str">
        <f>IFERROR(__xludf.DUMMYFUNCTION("""COMPUTED_VALUE"""),"Public")</f>
        <v>Public</v>
      </c>
      <c r="C3" s="16" t="str">
        <f>IFERROR(__xludf.DUMMYFUNCTION("""COMPUTED_VALUE"""),"Traders interested in trading, buying, and selling within The Land of Spira. The privileged fraternity formed by the merchants.")</f>
        <v>Traders interested in trading, buying, and selling within The Land of Spira. The privileged fraternity formed by the merchants.</v>
      </c>
      <c r="D3" s="16"/>
      <c r="E3" s="16"/>
      <c r="F3" s="16"/>
      <c r="G3" s="16"/>
      <c r="H3" s="16"/>
      <c r="I3" s="16"/>
      <c r="J3" s="16"/>
      <c r="K3" s="16"/>
      <c r="L3" s="16"/>
      <c r="M3" s="16"/>
      <c r="N3" s="16"/>
      <c r="O3" s="16"/>
      <c r="P3" s="16"/>
      <c r="Q3" s="16"/>
      <c r="R3" s="16"/>
      <c r="S3" s="16"/>
      <c r="T3" s="16"/>
      <c r="U3" s="16"/>
      <c r="V3" s="16"/>
      <c r="W3" s="16"/>
      <c r="X3" s="16"/>
      <c r="Y3" s="16"/>
      <c r="Z3" s="16"/>
    </row>
    <row r="4">
      <c r="A4" s="16" t="str">
        <f>IFERROR(__xludf.DUMMYFUNCTION("""COMPUTED_VALUE"""),"Thieves Guild")</f>
        <v>Thieves Guild</v>
      </c>
      <c r="B4" s="16" t="str">
        <f>IFERROR(__xludf.DUMMYFUNCTION("""COMPUTED_VALUE"""),"Private")</f>
        <v>Private</v>
      </c>
      <c r="C4" s="16" t="str">
        <f>IFERROR(__xludf.DUMMYFUNCTION("""COMPUTED_VALUE"""),"A formal association of criminals who participate in theft-related organized crime. This guild only welcomes criminals.")</f>
        <v>A formal association of criminals who participate in theft-related organized crime. This guild only welcomes criminals.</v>
      </c>
      <c r="D4" s="16"/>
      <c r="E4" s="16"/>
      <c r="F4" s="16"/>
      <c r="G4" s="16"/>
      <c r="H4" s="16"/>
      <c r="I4" s="16"/>
      <c r="J4" s="16"/>
      <c r="K4" s="16"/>
      <c r="L4" s="16"/>
      <c r="M4" s="16"/>
      <c r="N4" s="16"/>
      <c r="O4" s="16"/>
      <c r="P4" s="16"/>
      <c r="Q4" s="16"/>
      <c r="R4" s="16"/>
      <c r="S4" s="16"/>
      <c r="T4" s="16"/>
      <c r="U4" s="16"/>
      <c r="V4" s="16"/>
      <c r="W4" s="16"/>
      <c r="X4" s="16"/>
      <c r="Y4" s="16"/>
      <c r="Z4" s="16"/>
    </row>
    <row r="5">
      <c r="A5" s="16" t="str">
        <f>IFERROR(__xludf.DUMMYFUNCTION("""COMPUTED_VALUE"""),"Blacksmiths Guild")</f>
        <v>Blacksmiths Guild</v>
      </c>
      <c r="B5" s="16" t="str">
        <f>IFERROR(__xludf.DUMMYFUNCTION("""COMPUTED_VALUE"""),"Public")</f>
        <v>Public</v>
      </c>
      <c r="C5" s="16" t="str">
        <f>IFERROR(__xludf.DUMMYFUNCTION("""COMPUTED_VALUE"""),"The Guild welcomes both working blacksmiths and members of the public. For those active in ironwork, it is a structure to share work and pool resources, increasing learning and productivity.")</f>
        <v>The Guild welcomes both working blacksmiths and members of the public. For those active in ironwork, it is a structure to share work and pool resources, increasing learning and productivity.</v>
      </c>
      <c r="D5" s="16"/>
      <c r="E5" s="16"/>
      <c r="F5" s="16"/>
      <c r="G5" s="16"/>
      <c r="H5" s="16"/>
      <c r="I5" s="16"/>
      <c r="J5" s="16"/>
      <c r="K5" s="16"/>
      <c r="L5" s="16"/>
      <c r="M5" s="16"/>
      <c r="N5" s="16"/>
      <c r="O5" s="16"/>
      <c r="P5" s="16"/>
      <c r="Q5" s="16"/>
      <c r="R5" s="16"/>
      <c r="S5" s="16"/>
      <c r="T5" s="16"/>
      <c r="U5" s="16"/>
      <c r="V5" s="16"/>
      <c r="W5" s="16"/>
      <c r="X5" s="16"/>
      <c r="Y5" s="16"/>
      <c r="Z5" s="16"/>
    </row>
    <row r="6">
      <c r="A6" s="16" t="str">
        <f>IFERROR(__xludf.DUMMYFUNCTION("""COMPUTED_VALUE"""),"Enchanters Guild")</f>
        <v>Enchanters Guild</v>
      </c>
      <c r="B6" s="16" t="str">
        <f>IFERROR(__xludf.DUMMYFUNCTION("""COMPUTED_VALUE"""),"Public")</f>
        <v>Public</v>
      </c>
      <c r="C6" s="16" t="str">
        <f>IFERROR(__xludf.DUMMYFUNCTION("""COMPUTED_VALUE"""),"This guild is the natural home to the tinkering spell caster. The enchanters like nothing more than mixing and matching items of arcana.")</f>
        <v>This guild is the natural home to the tinkering spell caster. The enchanters like nothing more than mixing and matching items of arcana.</v>
      </c>
      <c r="D6" s="16"/>
      <c r="E6" s="16"/>
      <c r="F6" s="16"/>
      <c r="G6" s="16"/>
      <c r="H6" s="16"/>
      <c r="I6" s="16"/>
      <c r="J6" s="16"/>
      <c r="K6" s="16"/>
      <c r="L6" s="16"/>
      <c r="M6" s="16"/>
      <c r="N6" s="16"/>
      <c r="O6" s="16"/>
      <c r="P6" s="16"/>
      <c r="Q6" s="16"/>
      <c r="R6" s="16"/>
      <c r="S6" s="16"/>
      <c r="T6" s="16"/>
      <c r="U6" s="16"/>
      <c r="V6" s="16"/>
      <c r="W6" s="16"/>
      <c r="X6" s="16"/>
      <c r="Y6" s="16"/>
      <c r="Z6" s="16"/>
    </row>
    <row r="7">
      <c r="A7" s="16" t="str">
        <f>IFERROR(__xludf.DUMMYFUNCTION("""COMPUTED_VALUE"""),"Alchemists Guild")</f>
        <v>Alchemists Guild</v>
      </c>
      <c r="B7" s="16" t="str">
        <f>IFERROR(__xludf.DUMMYFUNCTION("""COMPUTED_VALUE"""),"Public")</f>
        <v>Public</v>
      </c>
      <c r="C7" s="16" t="str">
        <f>IFERROR(__xludf.DUMMYFUNCTION("""COMPUTED_VALUE"""),"The Alchemists' Guild is an ancient order claiming magical and arcane knowledge.")</f>
        <v>The Alchemists' Guild is an ancient order claiming magical and arcane knowledge.</v>
      </c>
      <c r="D7" s="16"/>
      <c r="E7" s="16"/>
      <c r="F7" s="16"/>
      <c r="G7" s="16"/>
      <c r="H7" s="16"/>
      <c r="I7" s="16"/>
      <c r="J7" s="16"/>
      <c r="K7" s="16"/>
      <c r="L7" s="16"/>
      <c r="M7" s="16"/>
      <c r="N7" s="16"/>
      <c r="O7" s="16"/>
      <c r="P7" s="16"/>
      <c r="Q7" s="16"/>
      <c r="R7" s="16"/>
      <c r="S7" s="16"/>
      <c r="T7" s="16"/>
      <c r="U7" s="16"/>
      <c r="V7" s="16"/>
      <c r="W7" s="16"/>
      <c r="X7" s="16"/>
      <c r="Y7" s="16"/>
      <c r="Z7" s="16"/>
    </row>
    <row r="8">
      <c r="A8" s="16" t="str">
        <f>IFERROR(__xludf.DUMMYFUNCTION("""COMPUTED_VALUE"""),"Chefs Guild")</f>
        <v>Chefs Guild</v>
      </c>
      <c r="B8" s="16" t="str">
        <f>IFERROR(__xludf.DUMMYFUNCTION("""COMPUTED_VALUE"""),"Public")</f>
        <v>Public</v>
      </c>
      <c r="C8" s="16" t="str">
        <f>IFERROR(__xludf.DUMMYFUNCTION("""COMPUTED_VALUE"""),"A guild for chefs alike to come together and prepare meals for the travelers of Spira.")</f>
        <v>A guild for chefs alike to come together and prepare meals for the travelers of Spira.</v>
      </c>
      <c r="D8" s="16"/>
      <c r="E8" s="16"/>
      <c r="F8" s="16"/>
      <c r="G8" s="16"/>
      <c r="H8" s="16"/>
      <c r="I8" s="16"/>
      <c r="J8" s="16"/>
      <c r="K8" s="16"/>
      <c r="L8" s="16"/>
      <c r="M8" s="16"/>
      <c r="N8" s="16"/>
      <c r="O8" s="16"/>
      <c r="P8" s="16"/>
      <c r="Q8" s="16"/>
      <c r="R8" s="16"/>
      <c r="S8" s="16"/>
      <c r="T8" s="16"/>
      <c r="U8" s="16"/>
      <c r="V8" s="16"/>
      <c r="W8" s="16"/>
      <c r="X8" s="16"/>
      <c r="Y8" s="16"/>
      <c r="Z8" s="16"/>
    </row>
    <row r="9">
      <c r="A9" s="16" t="str">
        <f>IFERROR(__xludf.DUMMYFUNCTION("""COMPUTED_VALUE"""),"Beast Masters Guild")</f>
        <v>Beast Masters Guild</v>
      </c>
      <c r="B9" s="16" t="str">
        <f>IFERROR(__xludf.DUMMYFUNCTION("""COMPUTED_VALUE"""),"Public")</f>
        <v>Public</v>
      </c>
      <c r="C9" s="16" t="str">
        <f>IFERROR(__xludf.DUMMYFUNCTION("""COMPUTED_VALUE"""),"A guild to help companion lovers share their experiences and knowledge of creatures across The Land Of Spira.")</f>
        <v>A guild to help companion lovers share their experiences and knowledge of creatures across The Land Of Spira.</v>
      </c>
      <c r="D9" s="16"/>
      <c r="E9" s="16"/>
      <c r="F9" s="16"/>
      <c r="G9" s="16"/>
      <c r="H9" s="16"/>
      <c r="I9" s="16"/>
      <c r="J9" s="16"/>
      <c r="K9" s="16"/>
      <c r="L9" s="16"/>
      <c r="M9" s="16"/>
      <c r="N9" s="16"/>
      <c r="O9" s="16"/>
      <c r="P9" s="16"/>
      <c r="Q9" s="16"/>
      <c r="R9" s="16"/>
      <c r="S9" s="16"/>
      <c r="T9" s="16"/>
      <c r="U9" s="16"/>
      <c r="V9" s="16"/>
      <c r="W9" s="16"/>
      <c r="X9" s="16"/>
      <c r="Y9" s="16"/>
      <c r="Z9" s="16"/>
    </row>
    <row r="10">
      <c r="A10" s="16" t="str">
        <f>IFERROR(__xludf.DUMMYFUNCTION("""COMPUTED_VALUE"""),"Royal Knights of Spira Guild")</f>
        <v>Royal Knights of Spira Guild</v>
      </c>
      <c r="B10" s="16" t="str">
        <f>IFERROR(__xludf.DUMMYFUNCTION("""COMPUTED_VALUE"""),"Private")</f>
        <v>Private</v>
      </c>
      <c r="C10" s="16" t="str">
        <f>IFERROR(__xludf.DUMMYFUNCTION("""COMPUTED_VALUE"""),"A large but highly-structured alliance of guards whose members represent a variety of age groups and who come from various cities across The Land of Spira to help people in need. This guild only welcomes guards of Spira.")</f>
        <v>A large but highly-structured alliance of guards whose members represent a variety of age groups and who come from various cities across The Land of Spira to help people in need. This guild only welcomes guards of Spira.</v>
      </c>
      <c r="D10" s="16"/>
      <c r="E10" s="16"/>
      <c r="F10" s="16"/>
      <c r="G10" s="16"/>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IFERROR(__xludf.DUMMYFUNCTION("""COMPUTED_VALUE"""),"The Bleach Clan")</f>
        <v>The Bleach Clan</v>
      </c>
      <c r="B11" s="16" t="str">
        <f>IFERROR(__xludf.DUMMYFUNCTION("""COMPUTED_VALUE"""),"Public")</f>
        <v>Public</v>
      </c>
      <c r="C11" s="16" t="str">
        <f>IFERROR(__xludf.DUMMYFUNCTION("""COMPUTED_VALUE"""),"""Ever danced with a gnome in the pale moonlight? Done the boogie woogie in Forest View until you were lactose intolerant? Either way, if you’ve read this far, you’re the guildie for us!")</f>
        <v>"Ever danced with a gnome in the pale moonlight? Done the boogie woogie in Forest View until you were lactose intolerant? Either way, if you’ve read this far, you’re the guildie for us!</v>
      </c>
      <c r="D11" s="16"/>
      <c r="E11" s="16"/>
      <c r="F11" s="16"/>
      <c r="G11" s="16"/>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IFERROR(__xludf.DUMMYFUNCTION("""COMPUTED_VALUE"""),"Pyromaniacs Guild")</f>
        <v>Pyromaniacs Guild</v>
      </c>
      <c r="B12" s="16" t="str">
        <f>IFERROR(__xludf.DUMMYFUNCTION("""COMPUTED_VALUE"""),"Private")</f>
        <v>Private</v>
      </c>
      <c r="C12" s="16" t="str">
        <f>IFERROR(__xludf.DUMMYFUNCTION("""COMPUTED_VALUE"""),"A Secret association of Pyromaniacs that like setting fires throughout The Land of Spira. If you like setting Forest View on fire this is the guild for you. This guild only welcomes criminals.")</f>
        <v>A Secret association of Pyromaniacs that like setting fires throughout The Land of Spira. If you like setting Forest View on fire this is the guild for you. This guild only welcomes criminals.</v>
      </c>
      <c r="D12" s="16"/>
      <c r="E12" s="16"/>
      <c r="F12" s="16"/>
      <c r="G12" s="16"/>
      <c r="H12" s="16"/>
      <c r="I12" s="16"/>
      <c r="J12" s="16"/>
      <c r="K12" s="16"/>
      <c r="L12" s="16"/>
      <c r="M12" s="16"/>
      <c r="N12" s="16"/>
      <c r="O12" s="16"/>
      <c r="P12" s="16"/>
      <c r="Q12" s="16"/>
      <c r="R12" s="16"/>
      <c r="S12" s="16"/>
      <c r="T12" s="16"/>
      <c r="U12" s="16"/>
      <c r="V12" s="16"/>
      <c r="W12" s="16"/>
      <c r="X12" s="16"/>
      <c r="Y12" s="16"/>
      <c r="Z12" s="16"/>
    </row>
    <row r="13">
      <c r="A13" s="16" t="str">
        <f>IFERROR(__xludf.DUMMYFUNCTION("""COMPUTED_VALUE"""),"The Cult of Spira Guild")</f>
        <v>The Cult of Spira Guild</v>
      </c>
      <c r="B13" s="16" t="str">
        <f>IFERROR(__xludf.DUMMYFUNCTION("""COMPUTED_VALUE"""),"Private")</f>
        <v>Private</v>
      </c>
      <c r="C13" s="16" t="str">
        <f>IFERROR(__xludf.DUMMYFUNCTION("""COMPUTED_VALUE"""),"A Secret association of Cultists and Cult Leaders that special rituals around The Land of Spira. This guild only welcomes cultists.")</f>
        <v>A Secret association of Cultists and Cult Leaders that special rituals around The Land of Spira. This guild only welcomes cultists.</v>
      </c>
      <c r="D13" s="16"/>
      <c r="E13" s="16"/>
      <c r="F13" s="16"/>
      <c r="G13" s="16"/>
      <c r="H13" s="16"/>
      <c r="I13" s="16"/>
      <c r="J13" s="16"/>
      <c r="K13" s="16"/>
      <c r="L13" s="16"/>
      <c r="M13" s="16"/>
      <c r="N13" s="16"/>
      <c r="O13" s="16"/>
      <c r="P13" s="16"/>
      <c r="Q13" s="16"/>
      <c r="R13" s="16"/>
      <c r="S13" s="16"/>
      <c r="T13" s="16"/>
      <c r="U13" s="16"/>
      <c r="V13" s="16"/>
      <c r="W13" s="16"/>
      <c r="X13" s="16"/>
      <c r="Y13" s="16"/>
      <c r="Z13" s="16"/>
    </row>
    <row r="14">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c r="Z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IFERROR(__xludf.DUMMYFUNCTION("IMPORTRANGE(""https://docs.google.com/spreadsheets/d/""&amp;Config!B4,""GuildMembers!A:AX"")"),"Guild")</f>
        <v>Guild</v>
      </c>
      <c r="B1" s="16" t="str">
        <f>IFERROR(__xludf.DUMMYFUNCTION("""COMPUTED_VALUE"""),"Member")</f>
        <v>Member</v>
      </c>
      <c r="C1" s="16" t="str">
        <f>IFERROR(__xludf.DUMMYFUNCTION("""COMPUTED_VALUE"""),"Rank")</f>
        <v>Rank</v>
      </c>
      <c r="D1" s="16" t="str">
        <f>IFERROR(__xludf.DUMMYFUNCTION("""COMPUTED_VALUE"""),"Guild Quests Completed")</f>
        <v>Guild Quests Completed</v>
      </c>
      <c r="E1" s="16"/>
      <c r="F1" s="16"/>
      <c r="G1" s="16"/>
      <c r="H1" s="16"/>
      <c r="I1" s="16"/>
      <c r="J1" s="16"/>
      <c r="K1" s="16"/>
      <c r="L1" s="16"/>
      <c r="M1" s="16"/>
      <c r="N1" s="16"/>
      <c r="O1" s="16"/>
      <c r="P1" s="16"/>
      <c r="Q1" s="16"/>
      <c r="R1" s="16"/>
      <c r="S1" s="16"/>
      <c r="T1" s="16"/>
      <c r="U1" s="16"/>
      <c r="V1" s="16"/>
      <c r="W1" s="16"/>
      <c r="X1" s="16"/>
      <c r="Y1" s="16"/>
      <c r="Z1" s="16"/>
    </row>
    <row r="2">
      <c r="A2" s="16"/>
      <c r="B2" s="16"/>
      <c r="C2" s="16"/>
      <c r="D2" s="16"/>
      <c r="E2" s="16"/>
      <c r="F2" s="16"/>
      <c r="G2" s="16"/>
      <c r="H2" s="16"/>
      <c r="I2" s="16"/>
      <c r="J2" s="16"/>
      <c r="K2" s="16"/>
      <c r="L2" s="16"/>
      <c r="M2" s="16"/>
      <c r="N2" s="16"/>
      <c r="O2" s="16"/>
      <c r="P2" s="16"/>
      <c r="Q2" s="16"/>
      <c r="R2" s="16"/>
      <c r="S2" s="16"/>
      <c r="T2" s="16"/>
      <c r="U2" s="16"/>
      <c r="V2" s="16"/>
      <c r="W2" s="16"/>
      <c r="X2" s="16"/>
      <c r="Y2" s="16"/>
      <c r="Z2" s="16"/>
    </row>
    <row r="3">
      <c r="A3" s="16" t="str">
        <f>IFERROR(__xludf.DUMMYFUNCTION("""COMPUTED_VALUE"""),"Royal Knights of Spira Guild")</f>
        <v>Royal Knights of Spira Guild</v>
      </c>
      <c r="B3" s="16" t="str">
        <f>IFERROR(__xludf.DUMMYFUNCTION("""COMPUTED_VALUE"""),"""Zordius""")</f>
        <v>"Zordius"</v>
      </c>
      <c r="C3" s="16" t="str">
        <f>IFERROR(__xludf.DUMMYFUNCTION("""COMPUTED_VALUE"""),"Guild Member")</f>
        <v>Guild Member</v>
      </c>
      <c r="D3" s="16"/>
      <c r="E3" s="16"/>
      <c r="F3" s="16"/>
      <c r="G3" s="16"/>
      <c r="H3" s="16"/>
      <c r="I3" s="16"/>
      <c r="J3" s="16"/>
      <c r="K3" s="16"/>
      <c r="L3" s="16"/>
      <c r="M3" s="16"/>
      <c r="N3" s="16"/>
      <c r="O3" s="16"/>
      <c r="P3" s="16"/>
      <c r="Q3" s="16"/>
      <c r="R3" s="16"/>
      <c r="S3" s="16"/>
      <c r="T3" s="16"/>
      <c r="U3" s="16"/>
      <c r="V3" s="16"/>
      <c r="W3" s="16"/>
      <c r="X3" s="16"/>
      <c r="Y3" s="16"/>
      <c r="Z3" s="16"/>
    </row>
    <row r="4">
      <c r="A4" s="16" t="str">
        <f>IFERROR(__xludf.DUMMYFUNCTION("""COMPUTED_VALUE"""),"The Bleach Clan")</f>
        <v>The Bleach Clan</v>
      </c>
      <c r="B4" s="16" t="str">
        <f>IFERROR(__xludf.DUMMYFUNCTION("""COMPUTED_VALUE"""),"""Filia""")</f>
        <v>"Filia"</v>
      </c>
      <c r="C4" s="16" t="str">
        <f>IFERROR(__xludf.DUMMYFUNCTION("""COMPUTED_VALUE"""),"Guild Member")</f>
        <v>Guild Member</v>
      </c>
      <c r="D4" s="16"/>
      <c r="E4" s="16"/>
      <c r="F4" s="16"/>
      <c r="G4" s="16"/>
      <c r="H4" s="16"/>
      <c r="I4" s="16"/>
      <c r="J4" s="16"/>
      <c r="K4" s="16"/>
      <c r="L4" s="16"/>
      <c r="M4" s="16"/>
      <c r="N4" s="16"/>
      <c r="O4" s="16"/>
      <c r="P4" s="16"/>
      <c r="Q4" s="16"/>
      <c r="R4" s="16"/>
      <c r="S4" s="16"/>
      <c r="T4" s="16"/>
      <c r="U4" s="16"/>
      <c r="V4" s="16"/>
      <c r="W4" s="16"/>
      <c r="X4" s="16"/>
      <c r="Y4" s="16"/>
      <c r="Z4" s="16"/>
    </row>
    <row r="5">
      <c r="A5" s="16" t="str">
        <f>IFERROR(__xludf.DUMMYFUNCTION("""COMPUTED_VALUE"""),"Adventurers Guild")</f>
        <v>Adventurers Guild</v>
      </c>
      <c r="B5" s="16" t="str">
        <f>IFERROR(__xludf.DUMMYFUNCTION("""COMPUTED_VALUE"""),"""Filia""")</f>
        <v>"Filia"</v>
      </c>
      <c r="C5" s="16" t="str">
        <f>IFERROR(__xludf.DUMMYFUNCTION("""COMPUTED_VALUE"""),"Guild Member")</f>
        <v>Guild Member</v>
      </c>
      <c r="D5" s="16"/>
      <c r="E5" s="16"/>
      <c r="F5" s="16"/>
      <c r="G5" s="16"/>
      <c r="H5" s="16"/>
      <c r="I5" s="16"/>
      <c r="J5" s="16"/>
      <c r="K5" s="16"/>
      <c r="L5" s="16"/>
      <c r="M5" s="16"/>
      <c r="N5" s="16"/>
      <c r="O5" s="16"/>
      <c r="P5" s="16"/>
      <c r="Q5" s="16"/>
      <c r="R5" s="16"/>
      <c r="S5" s="16"/>
      <c r="T5" s="16"/>
      <c r="U5" s="16"/>
      <c r="V5" s="16"/>
      <c r="W5" s="16"/>
      <c r="X5" s="16"/>
      <c r="Y5" s="16"/>
      <c r="Z5" s="16"/>
    </row>
    <row r="6">
      <c r="A6" s="16" t="str">
        <f>IFERROR(__xludf.DUMMYFUNCTION("""COMPUTED_VALUE"""),"Alchemists Guild")</f>
        <v>Alchemists Guild</v>
      </c>
      <c r="B6" s="16" t="str">
        <f>IFERROR(__xludf.DUMMYFUNCTION("""COMPUTED_VALUE"""),"""Filia""")</f>
        <v>"Filia"</v>
      </c>
      <c r="C6" s="16" t="str">
        <f>IFERROR(__xludf.DUMMYFUNCTION("""COMPUTED_VALUE"""),"Guild Member")</f>
        <v>Guild Member</v>
      </c>
      <c r="D6" s="16"/>
      <c r="E6" s="16"/>
      <c r="F6" s="16"/>
      <c r="G6" s="16"/>
      <c r="H6" s="16"/>
      <c r="I6" s="16"/>
      <c r="J6" s="16"/>
      <c r="K6" s="16"/>
      <c r="L6" s="16"/>
      <c r="M6" s="16"/>
      <c r="N6" s="16"/>
      <c r="O6" s="16"/>
      <c r="P6" s="16"/>
      <c r="Q6" s="16"/>
      <c r="R6" s="16"/>
      <c r="S6" s="16"/>
      <c r="T6" s="16"/>
      <c r="U6" s="16"/>
      <c r="V6" s="16"/>
      <c r="W6" s="16"/>
      <c r="X6" s="16"/>
      <c r="Y6" s="16"/>
      <c r="Z6" s="16"/>
    </row>
    <row r="7">
      <c r="A7" s="16" t="str">
        <f>IFERROR(__xludf.DUMMYFUNCTION("""COMPUTED_VALUE"""),"Adventurers Guild")</f>
        <v>Adventurers Guild</v>
      </c>
      <c r="B7" s="16" t="str">
        <f>IFERROR(__xludf.DUMMYFUNCTION("""COMPUTED_VALUE"""),"""Theowolfe Fjordsong""")</f>
        <v>"Theowolfe Fjordsong"</v>
      </c>
      <c r="C7" s="16" t="str">
        <f>IFERROR(__xludf.DUMMYFUNCTION("""COMPUTED_VALUE"""),"Guild Member")</f>
        <v>Guild Member</v>
      </c>
      <c r="D7" s="16"/>
      <c r="E7" s="16"/>
      <c r="F7" s="16"/>
      <c r="G7" s="16"/>
      <c r="H7" s="16"/>
      <c r="I7" s="16"/>
      <c r="J7" s="16"/>
      <c r="K7" s="16"/>
      <c r="L7" s="16"/>
      <c r="M7" s="16"/>
      <c r="N7" s="16"/>
      <c r="O7" s="16"/>
      <c r="P7" s="16"/>
      <c r="Q7" s="16"/>
      <c r="R7" s="16"/>
      <c r="S7" s="16"/>
      <c r="T7" s="16"/>
      <c r="U7" s="16"/>
      <c r="V7" s="16"/>
      <c r="W7" s="16"/>
      <c r="X7" s="16"/>
      <c r="Y7" s="16"/>
      <c r="Z7" s="16"/>
    </row>
    <row r="8">
      <c r="A8" s="16" t="str">
        <f>IFERROR(__xludf.DUMMYFUNCTION("""COMPUTED_VALUE"""),"Royal Knights of Spira Guild")</f>
        <v>Royal Knights of Spira Guild</v>
      </c>
      <c r="B8" s="16" t="str">
        <f>IFERROR(__xludf.DUMMYFUNCTION("""COMPUTED_VALUE"""),"""Tiberius Thunderthane""")</f>
        <v>"Tiberius Thunderthane"</v>
      </c>
      <c r="C8" s="16" t="str">
        <f>IFERROR(__xludf.DUMMYFUNCTION("""COMPUTED_VALUE"""),"Guild Member")</f>
        <v>Guild Member</v>
      </c>
      <c r="D8" s="16"/>
      <c r="E8" s="16"/>
      <c r="F8" s="16"/>
      <c r="G8" s="16"/>
      <c r="H8" s="16"/>
      <c r="I8" s="16"/>
      <c r="J8" s="16"/>
      <c r="K8" s="16"/>
      <c r="L8" s="16"/>
      <c r="M8" s="16"/>
      <c r="N8" s="16"/>
      <c r="O8" s="16"/>
      <c r="P8" s="16"/>
      <c r="Q8" s="16"/>
      <c r="R8" s="16"/>
      <c r="S8" s="16"/>
      <c r="T8" s="16"/>
      <c r="U8" s="16"/>
      <c r="V8" s="16"/>
      <c r="W8" s="16"/>
      <c r="X8" s="16"/>
      <c r="Y8" s="16"/>
      <c r="Z8" s="16"/>
    </row>
    <row r="9">
      <c r="A9" s="16" t="str">
        <f>IFERROR(__xludf.DUMMYFUNCTION("""COMPUTED_VALUE"""),"Merchants Guild")</f>
        <v>Merchants Guild</v>
      </c>
      <c r="B9" s="16" t="str">
        <f>IFERROR(__xludf.DUMMYFUNCTION("""COMPUTED_VALUE"""),"""Elowen Starwhisper""")</f>
        <v>"Elowen Starwhisper"</v>
      </c>
      <c r="C9" s="16" t="str">
        <f>IFERROR(__xludf.DUMMYFUNCTION("""COMPUTED_VALUE"""),"Guild Member")</f>
        <v>Guild Member</v>
      </c>
      <c r="D9" s="16"/>
      <c r="E9" s="16"/>
      <c r="F9" s="16"/>
      <c r="G9" s="16"/>
      <c r="H9" s="16"/>
      <c r="I9" s="16"/>
      <c r="J9" s="16"/>
      <c r="K9" s="16"/>
      <c r="L9" s="16"/>
      <c r="M9" s="16"/>
      <c r="N9" s="16"/>
      <c r="O9" s="16"/>
      <c r="P9" s="16"/>
      <c r="Q9" s="16"/>
      <c r="R9" s="16"/>
      <c r="S9" s="16"/>
      <c r="T9" s="16"/>
      <c r="U9" s="16"/>
      <c r="V9" s="16"/>
      <c r="W9" s="16"/>
      <c r="X9" s="16"/>
      <c r="Y9" s="16"/>
      <c r="Z9" s="16"/>
    </row>
    <row r="10">
      <c r="A10" s="16" t="str">
        <f>IFERROR(__xludf.DUMMYFUNCTION("""COMPUTED_VALUE"""),"Adventurers Guild")</f>
        <v>Adventurers Guild</v>
      </c>
      <c r="B10" s="16" t="str">
        <f>IFERROR(__xludf.DUMMYFUNCTION("""COMPUTED_VALUE"""),"""Elowen Starwhisper""")</f>
        <v>"Elowen Starwhisper"</v>
      </c>
      <c r="C10" s="16" t="str">
        <f>IFERROR(__xludf.DUMMYFUNCTION("""COMPUTED_VALUE"""),"Guild Member")</f>
        <v>Guild Member</v>
      </c>
      <c r="D10" s="16"/>
      <c r="E10" s="16"/>
      <c r="F10" s="16"/>
      <c r="G10" s="16"/>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IFERROR(__xludf.DUMMYFUNCTION("""COMPUTED_VALUE"""),"Adventurers Guild")</f>
        <v>Adventurers Guild</v>
      </c>
      <c r="B11" s="16" t="str">
        <f>IFERROR(__xludf.DUMMYFUNCTION("""COMPUTED_VALUE"""),"""Revalor Thegella""")</f>
        <v>"Revalor Thegella"</v>
      </c>
      <c r="C11" s="16" t="str">
        <f>IFERROR(__xludf.DUMMYFUNCTION("""COMPUTED_VALUE"""),"Guild Member")</f>
        <v>Guild Member</v>
      </c>
      <c r="D11" s="16"/>
      <c r="E11" s="16"/>
      <c r="F11" s="16"/>
      <c r="G11" s="16"/>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IFERROR(__xludf.DUMMYFUNCTION("""COMPUTED_VALUE"""),"Merchants Guild")</f>
        <v>Merchants Guild</v>
      </c>
      <c r="B12" s="16" t="str">
        <f>IFERROR(__xludf.DUMMYFUNCTION("""COMPUTED_VALUE"""),"""Revalor Thegella""")</f>
        <v>"Revalor Thegella"</v>
      </c>
      <c r="C12" s="16" t="str">
        <f>IFERROR(__xludf.DUMMYFUNCTION("""COMPUTED_VALUE"""),"Guild Member")</f>
        <v>Guild Member</v>
      </c>
      <c r="D12" s="16"/>
      <c r="E12" s="16"/>
      <c r="F12" s="16"/>
      <c r="G12" s="16"/>
      <c r="H12" s="16"/>
      <c r="I12" s="16"/>
      <c r="J12" s="16"/>
      <c r="K12" s="16"/>
      <c r="L12" s="16"/>
      <c r="M12" s="16"/>
      <c r="N12" s="16"/>
      <c r="O12" s="16"/>
      <c r="P12" s="16"/>
      <c r="Q12" s="16"/>
      <c r="R12" s="16"/>
      <c r="S12" s="16"/>
      <c r="T12" s="16"/>
      <c r="U12" s="16"/>
      <c r="V12" s="16"/>
      <c r="W12" s="16"/>
      <c r="X12" s="16"/>
      <c r="Y12" s="16"/>
      <c r="Z12" s="16"/>
    </row>
    <row r="13">
      <c r="A13" s="16"/>
      <c r="B13" s="16"/>
      <c r="C13" s="16"/>
      <c r="D13" s="16"/>
      <c r="E13" s="16"/>
      <c r="F13" s="16"/>
      <c r="G13" s="16"/>
      <c r="H13" s="16"/>
      <c r="I13" s="16"/>
      <c r="J13" s="16"/>
      <c r="K13" s="16"/>
      <c r="L13" s="16"/>
      <c r="M13" s="16"/>
      <c r="N13" s="16"/>
      <c r="O13" s="16"/>
      <c r="P13" s="16"/>
      <c r="Q13" s="16"/>
      <c r="R13" s="16"/>
      <c r="S13" s="16"/>
      <c r="T13" s="16"/>
      <c r="U13" s="16"/>
      <c r="V13" s="16"/>
      <c r="W13" s="16"/>
      <c r="X13" s="16"/>
      <c r="Y13" s="16"/>
      <c r="Z13" s="16"/>
    </row>
    <row r="14">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c r="Z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IFERROR(__xludf.DUMMYFUNCTION("IMPORTRANGE(""https://docs.google.com/spreadsheets/d/""&amp;Config!B4,""Cursed!A:AX"")"),"Character")</f>
        <v>Character</v>
      </c>
      <c r="B1" s="16" t="str">
        <f>IFERROR(__xludf.DUMMYFUNCTION("""COMPUTED_VALUE"""),"Curse")</f>
        <v>Curse</v>
      </c>
      <c r="C1" s="16" t="str">
        <f>IFERROR(__xludf.DUMMYFUNCTION("""COMPUTED_VALUE"""),"Date Afflicted")</f>
        <v>Date Afflicted</v>
      </c>
      <c r="D1" s="16"/>
      <c r="E1" s="16"/>
      <c r="F1" s="16"/>
      <c r="G1" s="16"/>
      <c r="H1" s="16"/>
      <c r="I1" s="16"/>
      <c r="J1" s="16"/>
      <c r="K1" s="16"/>
      <c r="L1" s="16"/>
      <c r="M1" s="16"/>
      <c r="N1" s="16"/>
      <c r="O1" s="16"/>
      <c r="P1" s="16"/>
      <c r="Q1" s="16"/>
      <c r="R1" s="16"/>
      <c r="S1" s="16"/>
      <c r="T1" s="16"/>
      <c r="U1" s="16"/>
      <c r="V1" s="16"/>
      <c r="W1" s="16"/>
      <c r="X1" s="16"/>
      <c r="Y1" s="16"/>
    </row>
    <row r="2">
      <c r="A2" s="16"/>
      <c r="B2" s="16"/>
      <c r="C2" s="16"/>
      <c r="D2" s="16"/>
      <c r="E2" s="16"/>
      <c r="F2" s="16"/>
      <c r="G2" s="16"/>
      <c r="H2" s="16"/>
      <c r="I2" s="16"/>
      <c r="J2" s="16"/>
      <c r="K2" s="16"/>
      <c r="L2" s="16"/>
      <c r="M2" s="16"/>
      <c r="N2" s="16"/>
      <c r="O2" s="16"/>
      <c r="P2" s="16"/>
      <c r="Q2" s="16"/>
      <c r="R2" s="16"/>
      <c r="S2" s="16"/>
      <c r="T2" s="16"/>
      <c r="U2" s="16"/>
      <c r="V2" s="16"/>
      <c r="W2" s="16"/>
      <c r="X2" s="16"/>
      <c r="Y2" s="16"/>
    </row>
    <row r="3">
      <c r="A3" s="16"/>
      <c r="B3" s="16"/>
      <c r="C3" s="16"/>
      <c r="D3" s="16"/>
      <c r="E3" s="16"/>
      <c r="F3" s="16"/>
      <c r="G3" s="16"/>
      <c r="H3" s="16"/>
      <c r="I3" s="16"/>
      <c r="J3" s="16"/>
      <c r="K3" s="16"/>
      <c r="L3" s="16"/>
      <c r="M3" s="16"/>
      <c r="N3" s="16"/>
      <c r="O3" s="16"/>
      <c r="P3" s="16"/>
      <c r="Q3" s="16"/>
      <c r="R3" s="16"/>
      <c r="S3" s="16"/>
      <c r="T3" s="16"/>
      <c r="U3" s="16"/>
      <c r="V3" s="16"/>
      <c r="W3" s="16"/>
      <c r="X3" s="16"/>
      <c r="Y3" s="16"/>
    </row>
    <row r="4">
      <c r="A4" s="16"/>
      <c r="B4" s="16"/>
      <c r="C4" s="16"/>
      <c r="D4" s="16"/>
      <c r="E4" s="16"/>
      <c r="F4" s="16"/>
      <c r="G4" s="16"/>
      <c r="H4" s="16"/>
      <c r="I4" s="16"/>
      <c r="J4" s="16"/>
      <c r="K4" s="16"/>
      <c r="L4" s="16"/>
      <c r="M4" s="16"/>
      <c r="N4" s="16"/>
      <c r="O4" s="16"/>
      <c r="P4" s="16"/>
      <c r="Q4" s="16"/>
      <c r="R4" s="16"/>
      <c r="S4" s="16"/>
      <c r="T4" s="16"/>
      <c r="U4" s="16"/>
      <c r="V4" s="16"/>
      <c r="W4" s="16"/>
      <c r="X4" s="16"/>
      <c r="Y4" s="16"/>
    </row>
    <row r="5">
      <c r="A5" s="16"/>
      <c r="B5" s="16"/>
      <c r="C5" s="16"/>
      <c r="D5" s="16"/>
      <c r="E5" s="16"/>
      <c r="F5" s="16"/>
      <c r="G5" s="16"/>
      <c r="H5" s="16"/>
      <c r="I5" s="16"/>
      <c r="J5" s="16"/>
      <c r="K5" s="16"/>
      <c r="L5" s="16"/>
      <c r="M5" s="16"/>
      <c r="N5" s="16"/>
      <c r="O5" s="16"/>
      <c r="P5" s="16"/>
      <c r="Q5" s="16"/>
      <c r="R5" s="16"/>
      <c r="S5" s="16"/>
      <c r="T5" s="16"/>
      <c r="U5" s="16"/>
      <c r="V5" s="16"/>
      <c r="W5" s="16"/>
      <c r="X5" s="16"/>
      <c r="Y5" s="16"/>
    </row>
    <row r="6">
      <c r="A6" s="16"/>
      <c r="B6" s="16"/>
      <c r="C6" s="16"/>
      <c r="D6" s="16"/>
      <c r="E6" s="16"/>
      <c r="F6" s="16"/>
      <c r="G6" s="16"/>
      <c r="H6" s="16"/>
      <c r="I6" s="16"/>
      <c r="J6" s="16"/>
      <c r="K6" s="16"/>
      <c r="L6" s="16"/>
      <c r="M6" s="16"/>
      <c r="N6" s="16"/>
      <c r="O6" s="16"/>
      <c r="P6" s="16"/>
      <c r="Q6" s="16"/>
      <c r="R6" s="16"/>
      <c r="S6" s="16"/>
      <c r="T6" s="16"/>
      <c r="U6" s="16"/>
      <c r="V6" s="16"/>
      <c r="W6" s="16"/>
      <c r="X6" s="16"/>
      <c r="Y6" s="16"/>
    </row>
    <row r="7">
      <c r="A7" s="16"/>
      <c r="B7" s="16"/>
      <c r="C7" s="16"/>
      <c r="D7" s="16"/>
      <c r="E7" s="16"/>
      <c r="F7" s="16"/>
      <c r="G7" s="16"/>
      <c r="H7" s="16"/>
      <c r="I7" s="16"/>
      <c r="J7" s="16"/>
      <c r="K7" s="16"/>
      <c r="L7" s="16"/>
      <c r="M7" s="16"/>
      <c r="N7" s="16"/>
      <c r="O7" s="16"/>
      <c r="P7" s="16"/>
      <c r="Q7" s="16"/>
      <c r="R7" s="16"/>
      <c r="S7" s="16"/>
      <c r="T7" s="16"/>
      <c r="U7" s="16"/>
      <c r="V7" s="16"/>
      <c r="W7" s="16"/>
      <c r="X7" s="16"/>
      <c r="Y7" s="16"/>
    </row>
    <row r="8">
      <c r="A8" s="16"/>
      <c r="B8" s="16"/>
      <c r="C8" s="16"/>
      <c r="D8" s="16"/>
      <c r="E8" s="16"/>
      <c r="F8" s="16"/>
      <c r="G8" s="16"/>
      <c r="H8" s="16"/>
      <c r="I8" s="16"/>
      <c r="J8" s="16"/>
      <c r="K8" s="16"/>
      <c r="L8" s="16"/>
      <c r="M8" s="16"/>
      <c r="N8" s="16"/>
      <c r="O8" s="16"/>
      <c r="P8" s="16"/>
      <c r="Q8" s="16"/>
      <c r="R8" s="16"/>
      <c r="S8" s="16"/>
      <c r="T8" s="16"/>
      <c r="U8" s="16"/>
      <c r="V8" s="16"/>
      <c r="W8" s="16"/>
      <c r="X8" s="16"/>
      <c r="Y8" s="16"/>
    </row>
    <row r="9">
      <c r="A9" s="16"/>
      <c r="B9" s="16"/>
      <c r="C9" s="16"/>
      <c r="D9" s="16"/>
      <c r="E9" s="16"/>
      <c r="F9" s="16"/>
      <c r="G9" s="16"/>
      <c r="H9" s="16"/>
      <c r="I9" s="16"/>
      <c r="J9" s="16"/>
      <c r="K9" s="16"/>
      <c r="L9" s="16"/>
      <c r="M9" s="16"/>
      <c r="N9" s="16"/>
      <c r="O9" s="16"/>
      <c r="P9" s="16"/>
      <c r="Q9" s="16"/>
      <c r="R9" s="16"/>
      <c r="S9" s="16"/>
      <c r="T9" s="16"/>
      <c r="U9" s="16"/>
      <c r="V9" s="16"/>
      <c r="W9" s="16"/>
      <c r="X9" s="16"/>
      <c r="Y9" s="16"/>
    </row>
    <row r="10">
      <c r="A10" s="16"/>
      <c r="B10" s="16"/>
      <c r="C10" s="16"/>
      <c r="D10" s="16"/>
      <c r="E10" s="16"/>
      <c r="F10" s="16"/>
      <c r="G10" s="16"/>
      <c r="H10" s="16"/>
      <c r="I10" s="16"/>
      <c r="J10" s="16"/>
      <c r="K10" s="16"/>
      <c r="L10" s="16"/>
      <c r="M10" s="16"/>
      <c r="N10" s="16"/>
      <c r="O10" s="16"/>
      <c r="P10" s="16"/>
      <c r="Q10" s="16"/>
      <c r="R10" s="16"/>
      <c r="S10" s="16"/>
      <c r="T10" s="16"/>
      <c r="U10" s="16"/>
      <c r="V10" s="16"/>
      <c r="W10" s="16"/>
      <c r="X10" s="16"/>
      <c r="Y10" s="16"/>
    </row>
    <row r="11">
      <c r="A11" s="16"/>
      <c r="B11" s="16"/>
      <c r="C11" s="16"/>
      <c r="D11" s="16"/>
      <c r="E11" s="16"/>
      <c r="F11" s="16"/>
      <c r="G11" s="16"/>
      <c r="H11" s="16"/>
      <c r="I11" s="16"/>
      <c r="J11" s="16"/>
      <c r="K11" s="16"/>
      <c r="L11" s="16"/>
      <c r="M11" s="16"/>
      <c r="N11" s="16"/>
      <c r="O11" s="16"/>
      <c r="P11" s="16"/>
      <c r="Q11" s="16"/>
      <c r="R11" s="16"/>
      <c r="S11" s="16"/>
      <c r="T11" s="16"/>
      <c r="U11" s="16"/>
      <c r="V11" s="16"/>
      <c r="W11" s="16"/>
      <c r="X11" s="16"/>
      <c r="Y11" s="16"/>
    </row>
    <row r="12">
      <c r="A12" s="16"/>
      <c r="B12" s="16"/>
      <c r="C12" s="16"/>
      <c r="D12" s="16"/>
      <c r="E12" s="16"/>
      <c r="F12" s="16"/>
      <c r="G12" s="16"/>
      <c r="H12" s="16"/>
      <c r="I12" s="16"/>
      <c r="J12" s="16"/>
      <c r="K12" s="16"/>
      <c r="L12" s="16"/>
      <c r="M12" s="16"/>
      <c r="N12" s="16"/>
      <c r="O12" s="16"/>
      <c r="P12" s="16"/>
      <c r="Q12" s="16"/>
      <c r="R12" s="16"/>
      <c r="S12" s="16"/>
      <c r="T12" s="16"/>
      <c r="U12" s="16"/>
      <c r="V12" s="16"/>
      <c r="W12" s="16"/>
      <c r="X12" s="16"/>
      <c r="Y12" s="16"/>
    </row>
    <row r="13">
      <c r="A13" s="16"/>
      <c r="B13" s="16"/>
      <c r="C13" s="16"/>
      <c r="D13" s="16"/>
      <c r="E13" s="16"/>
      <c r="F13" s="16"/>
      <c r="G13" s="16"/>
      <c r="H13" s="16"/>
      <c r="I13" s="16"/>
      <c r="J13" s="16"/>
      <c r="K13" s="16"/>
      <c r="L13" s="16"/>
      <c r="M13" s="16"/>
      <c r="N13" s="16"/>
      <c r="O13" s="16"/>
      <c r="P13" s="16"/>
      <c r="Q13" s="16"/>
      <c r="R13" s="16"/>
      <c r="S13" s="16"/>
      <c r="T13" s="16"/>
      <c r="U13" s="16"/>
      <c r="V13" s="16"/>
      <c r="W13" s="16"/>
      <c r="X13" s="16"/>
      <c r="Y13" s="16"/>
    </row>
    <row r="14">
      <c r="A14" s="16"/>
      <c r="B14" s="16"/>
      <c r="C14" s="16"/>
      <c r="D14" s="16"/>
      <c r="E14" s="16"/>
      <c r="F14" s="16"/>
      <c r="G14" s="16"/>
      <c r="H14" s="16"/>
      <c r="I14" s="16"/>
      <c r="J14" s="16"/>
      <c r="K14" s="16"/>
      <c r="L14" s="16"/>
      <c r="M14" s="16"/>
      <c r="N14" s="16"/>
      <c r="O14" s="16"/>
      <c r="P14" s="16"/>
      <c r="Q14" s="16"/>
      <c r="R14" s="16"/>
      <c r="S14" s="16"/>
      <c r="T14" s="16"/>
      <c r="U14" s="16"/>
      <c r="V14" s="16"/>
      <c r="W14" s="16"/>
      <c r="X14" s="16"/>
      <c r="Y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IFERROR(__xludf.DUMMYFUNCTION("IMPORTRANGE(""https://docs.google.com/spreadsheets/d/""&amp;Config!B4,""Diseased!A:AX"")"),"Character")</f>
        <v>Character</v>
      </c>
      <c r="B1" s="16" t="str">
        <f>IFERROR(__xludf.DUMMYFUNCTION("""COMPUTED_VALUE"""),"Disease")</f>
        <v>Disease</v>
      </c>
      <c r="C1" s="16" t="str">
        <f>IFERROR(__xludf.DUMMYFUNCTION("""COMPUTED_VALUE"""),"Date Afflicted")</f>
        <v>Date Afflicted</v>
      </c>
      <c r="D1" s="16"/>
      <c r="E1" s="16"/>
      <c r="F1" s="16"/>
      <c r="G1" s="16"/>
      <c r="H1" s="16"/>
      <c r="I1" s="16"/>
      <c r="J1" s="16"/>
      <c r="K1" s="16"/>
      <c r="L1" s="16"/>
      <c r="M1" s="16"/>
      <c r="N1" s="16"/>
      <c r="O1" s="16"/>
      <c r="P1" s="16"/>
      <c r="Q1" s="16"/>
      <c r="R1" s="16"/>
      <c r="S1" s="16"/>
      <c r="T1" s="16"/>
      <c r="U1" s="16"/>
      <c r="V1" s="16"/>
      <c r="W1" s="16"/>
      <c r="X1" s="16"/>
      <c r="Y1" s="16"/>
    </row>
    <row r="2">
      <c r="A2" s="16" t="str">
        <f>IFERROR(__xludf.DUMMYFUNCTION("""COMPUTED_VALUE"""),"""Dreadful Roger The lll""")</f>
        <v>"Dreadful Roger The lll"</v>
      </c>
      <c r="B2" s="16" t="str">
        <f>IFERROR(__xludf.DUMMYFUNCTION("""COMPUTED_VALUE"""),"Luminescent Flux")</f>
        <v>Luminescent Flux</v>
      </c>
      <c r="C2" s="118">
        <f>IFERROR(__xludf.DUMMYFUNCTION("""COMPUTED_VALUE"""),45338.0)</f>
        <v>45338</v>
      </c>
      <c r="D2" s="16"/>
      <c r="E2" s="16"/>
      <c r="F2" s="16"/>
      <c r="G2" s="16"/>
      <c r="H2" s="16"/>
      <c r="I2" s="16"/>
      <c r="J2" s="16"/>
      <c r="K2" s="16"/>
      <c r="L2" s="16"/>
      <c r="M2" s="16"/>
      <c r="N2" s="16"/>
      <c r="O2" s="16"/>
      <c r="P2" s="16"/>
      <c r="Q2" s="16"/>
      <c r="R2" s="16"/>
      <c r="S2" s="16"/>
      <c r="T2" s="16"/>
      <c r="U2" s="16"/>
      <c r="V2" s="16"/>
      <c r="W2" s="16"/>
      <c r="X2" s="16"/>
      <c r="Y2" s="16"/>
    </row>
    <row r="3">
      <c r="A3" s="16"/>
      <c r="B3" s="16"/>
      <c r="C3" s="16"/>
      <c r="D3" s="16"/>
      <c r="E3" s="16"/>
      <c r="F3" s="16"/>
      <c r="G3" s="16"/>
      <c r="H3" s="16"/>
      <c r="I3" s="16"/>
      <c r="J3" s="16"/>
      <c r="K3" s="16"/>
      <c r="L3" s="16"/>
      <c r="M3" s="16"/>
      <c r="N3" s="16"/>
      <c r="O3" s="16"/>
      <c r="P3" s="16"/>
      <c r="Q3" s="16"/>
      <c r="R3" s="16"/>
      <c r="S3" s="16"/>
      <c r="T3" s="16"/>
      <c r="U3" s="16"/>
      <c r="V3" s="16"/>
      <c r="W3" s="16"/>
      <c r="X3" s="16"/>
      <c r="Y3" s="16"/>
    </row>
    <row r="4">
      <c r="A4" s="16"/>
      <c r="B4" s="16"/>
      <c r="C4" s="16"/>
      <c r="D4" s="16"/>
      <c r="E4" s="16"/>
      <c r="F4" s="16"/>
      <c r="G4" s="16"/>
      <c r="H4" s="16"/>
      <c r="I4" s="16"/>
      <c r="J4" s="16"/>
      <c r="K4" s="16"/>
      <c r="L4" s="16"/>
      <c r="M4" s="16"/>
      <c r="N4" s="16"/>
      <c r="O4" s="16"/>
      <c r="P4" s="16"/>
      <c r="Q4" s="16"/>
      <c r="R4" s="16"/>
      <c r="S4" s="16"/>
      <c r="T4" s="16"/>
      <c r="U4" s="16"/>
      <c r="V4" s="16"/>
      <c r="W4" s="16"/>
      <c r="X4" s="16"/>
      <c r="Y4" s="16"/>
    </row>
    <row r="5">
      <c r="A5" s="16"/>
      <c r="B5" s="16"/>
      <c r="C5" s="16"/>
      <c r="D5" s="16"/>
      <c r="E5" s="16"/>
      <c r="F5" s="16"/>
      <c r="G5" s="16"/>
      <c r="H5" s="16"/>
      <c r="I5" s="16"/>
      <c r="J5" s="16"/>
      <c r="K5" s="16"/>
      <c r="L5" s="16"/>
      <c r="M5" s="16"/>
      <c r="N5" s="16"/>
      <c r="O5" s="16"/>
      <c r="P5" s="16"/>
      <c r="Q5" s="16"/>
      <c r="R5" s="16"/>
      <c r="S5" s="16"/>
      <c r="T5" s="16"/>
      <c r="U5" s="16"/>
      <c r="V5" s="16"/>
      <c r="W5" s="16"/>
      <c r="X5" s="16"/>
      <c r="Y5" s="16"/>
    </row>
    <row r="6">
      <c r="A6" s="16"/>
      <c r="B6" s="16"/>
      <c r="C6" s="16"/>
      <c r="D6" s="16"/>
      <c r="E6" s="16"/>
      <c r="F6" s="16"/>
      <c r="G6" s="16"/>
      <c r="H6" s="16"/>
      <c r="I6" s="16"/>
      <c r="J6" s="16"/>
      <c r="K6" s="16"/>
      <c r="L6" s="16"/>
      <c r="M6" s="16"/>
      <c r="N6" s="16"/>
      <c r="O6" s="16"/>
      <c r="P6" s="16"/>
      <c r="Q6" s="16"/>
      <c r="R6" s="16"/>
      <c r="S6" s="16"/>
      <c r="T6" s="16"/>
      <c r="U6" s="16"/>
      <c r="V6" s="16"/>
      <c r="W6" s="16"/>
      <c r="X6" s="16"/>
      <c r="Y6" s="16"/>
    </row>
    <row r="7">
      <c r="A7" s="16"/>
      <c r="B7" s="16"/>
      <c r="C7" s="16"/>
      <c r="D7" s="16"/>
      <c r="E7" s="16"/>
      <c r="F7" s="16"/>
      <c r="G7" s="16"/>
      <c r="H7" s="16"/>
      <c r="I7" s="16"/>
      <c r="J7" s="16"/>
      <c r="K7" s="16"/>
      <c r="L7" s="16"/>
      <c r="M7" s="16"/>
      <c r="N7" s="16"/>
      <c r="O7" s="16"/>
      <c r="P7" s="16"/>
      <c r="Q7" s="16"/>
      <c r="R7" s="16"/>
      <c r="S7" s="16"/>
      <c r="T7" s="16"/>
      <c r="U7" s="16"/>
      <c r="V7" s="16"/>
      <c r="W7" s="16"/>
      <c r="X7" s="16"/>
      <c r="Y7" s="16"/>
    </row>
    <row r="8">
      <c r="A8" s="16"/>
      <c r="B8" s="16"/>
      <c r="C8" s="16"/>
      <c r="D8" s="16"/>
      <c r="E8" s="16"/>
      <c r="F8" s="16"/>
      <c r="G8" s="16"/>
      <c r="H8" s="16"/>
      <c r="I8" s="16"/>
      <c r="J8" s="16"/>
      <c r="K8" s="16"/>
      <c r="L8" s="16"/>
      <c r="M8" s="16"/>
      <c r="N8" s="16"/>
      <c r="O8" s="16"/>
      <c r="P8" s="16"/>
      <c r="Q8" s="16"/>
      <c r="R8" s="16"/>
      <c r="S8" s="16"/>
      <c r="T8" s="16"/>
      <c r="U8" s="16"/>
      <c r="V8" s="16"/>
      <c r="W8" s="16"/>
      <c r="X8" s="16"/>
      <c r="Y8" s="16"/>
    </row>
    <row r="9">
      <c r="A9" s="16"/>
      <c r="B9" s="16"/>
      <c r="C9" s="16"/>
      <c r="D9" s="16"/>
      <c r="E9" s="16"/>
      <c r="F9" s="16"/>
      <c r="G9" s="16"/>
      <c r="H9" s="16"/>
      <c r="I9" s="16"/>
      <c r="J9" s="16"/>
      <c r="K9" s="16"/>
      <c r="L9" s="16"/>
      <c r="M9" s="16"/>
      <c r="N9" s="16"/>
      <c r="O9" s="16"/>
      <c r="P9" s="16"/>
      <c r="Q9" s="16"/>
      <c r="R9" s="16"/>
      <c r="S9" s="16"/>
      <c r="T9" s="16"/>
      <c r="U9" s="16"/>
      <c r="V9" s="16"/>
      <c r="W9" s="16"/>
      <c r="X9" s="16"/>
      <c r="Y9" s="16"/>
    </row>
    <row r="10">
      <c r="A10" s="16"/>
      <c r="B10" s="16"/>
      <c r="C10" s="16"/>
      <c r="D10" s="16"/>
      <c r="E10" s="16"/>
      <c r="F10" s="16"/>
      <c r="G10" s="16"/>
      <c r="H10" s="16"/>
      <c r="I10" s="16"/>
      <c r="J10" s="16"/>
      <c r="K10" s="16"/>
      <c r="L10" s="16"/>
      <c r="M10" s="16"/>
      <c r="N10" s="16"/>
      <c r="O10" s="16"/>
      <c r="P10" s="16"/>
      <c r="Q10" s="16"/>
      <c r="R10" s="16"/>
      <c r="S10" s="16"/>
      <c r="T10" s="16"/>
      <c r="U10" s="16"/>
      <c r="V10" s="16"/>
      <c r="W10" s="16"/>
      <c r="X10" s="16"/>
      <c r="Y10" s="16"/>
    </row>
    <row r="11">
      <c r="A11" s="16"/>
      <c r="B11" s="16"/>
      <c r="C11" s="16"/>
      <c r="D11" s="16"/>
      <c r="E11" s="16"/>
      <c r="F11" s="16"/>
      <c r="G11" s="16"/>
      <c r="H11" s="16"/>
      <c r="I11" s="16"/>
      <c r="J11" s="16"/>
      <c r="K11" s="16"/>
      <c r="L11" s="16"/>
      <c r="M11" s="16"/>
      <c r="N11" s="16"/>
      <c r="O11" s="16"/>
      <c r="P11" s="16"/>
      <c r="Q11" s="16"/>
      <c r="R11" s="16"/>
      <c r="S11" s="16"/>
      <c r="T11" s="16"/>
      <c r="U11" s="16"/>
      <c r="V11" s="16"/>
      <c r="W11" s="16"/>
      <c r="X11" s="16"/>
      <c r="Y11" s="16"/>
    </row>
    <row r="12">
      <c r="A12" s="16"/>
      <c r="B12" s="16"/>
      <c r="C12" s="16"/>
      <c r="D12" s="16"/>
      <c r="E12" s="16"/>
      <c r="F12" s="16"/>
      <c r="G12" s="16"/>
      <c r="H12" s="16"/>
      <c r="I12" s="16"/>
      <c r="J12" s="16"/>
      <c r="K12" s="16"/>
      <c r="L12" s="16"/>
      <c r="M12" s="16"/>
      <c r="N12" s="16"/>
      <c r="O12" s="16"/>
      <c r="P12" s="16"/>
      <c r="Q12" s="16"/>
      <c r="R12" s="16"/>
      <c r="S12" s="16"/>
      <c r="T12" s="16"/>
      <c r="U12" s="16"/>
      <c r="V12" s="16"/>
      <c r="W12" s="16"/>
      <c r="X12" s="16"/>
      <c r="Y12" s="16"/>
    </row>
    <row r="13">
      <c r="A13" s="16"/>
      <c r="B13" s="16"/>
      <c r="C13" s="16"/>
      <c r="D13" s="16"/>
      <c r="E13" s="16"/>
      <c r="F13" s="16"/>
      <c r="G13" s="16"/>
      <c r="H13" s="16"/>
      <c r="I13" s="16"/>
      <c r="J13" s="16"/>
      <c r="K13" s="16"/>
      <c r="L13" s="16"/>
      <c r="M13" s="16"/>
      <c r="N13" s="16"/>
      <c r="O13" s="16"/>
      <c r="P13" s="16"/>
      <c r="Q13" s="16"/>
      <c r="R13" s="16"/>
      <c r="S13" s="16"/>
      <c r="T13" s="16"/>
      <c r="U13" s="16"/>
      <c r="V13" s="16"/>
      <c r="W13" s="16"/>
      <c r="X13" s="16"/>
      <c r="Y13" s="16"/>
    </row>
    <row r="14">
      <c r="A14" s="16"/>
      <c r="B14" s="16"/>
      <c r="C14" s="16"/>
      <c r="D14" s="16"/>
      <c r="E14" s="16"/>
      <c r="F14" s="16"/>
      <c r="G14" s="16"/>
      <c r="H14" s="16"/>
      <c r="I14" s="16"/>
      <c r="J14" s="16"/>
      <c r="K14" s="16"/>
      <c r="L14" s="16"/>
      <c r="M14" s="16"/>
      <c r="N14" s="16"/>
      <c r="O14" s="16"/>
      <c r="P14" s="16"/>
      <c r="Q14" s="16"/>
      <c r="R14" s="16"/>
      <c r="S14" s="16"/>
      <c r="T14" s="16"/>
      <c r="U14" s="16"/>
      <c r="V14" s="16"/>
      <c r="W14" s="16"/>
      <c r="X14" s="16"/>
      <c r="Y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IFERROR(__xludf.DUMMYFUNCTION("IMPORTRANGE(""https://docs.google.com/spreadsheets/d/""&amp;Config!B3,""DB!A2:A"")"),"""Looter (Change Name)""")</f>
        <v>"Looter (Change Name)"</v>
      </c>
    </row>
    <row r="2">
      <c r="A2" s="16" t="str">
        <f>IFERROR(__xludf.DUMMYFUNCTION("""COMPUTED_VALUE"""),"""God of The Sea (Change Name)""")</f>
        <v>"God of The Sea (Change Name)"</v>
      </c>
    </row>
    <row r="3">
      <c r="A3" s="16" t="str">
        <f>IFERROR(__xludf.DUMMYFUNCTION("""COMPUTED_VALUE"""),"""Soul Harvester (Change Name)""")</f>
        <v>"Soul Harvester (Change Name)"</v>
      </c>
    </row>
    <row r="4">
      <c r="A4" s="16" t="str">
        <f>IFERROR(__xludf.DUMMYFUNCTION("""COMPUTED_VALUE"""),"""Spira Guard (Change Name)""")</f>
        <v>"Spira Guard (Change Name)"</v>
      </c>
    </row>
    <row r="5">
      <c r="A5" s="16" t="str">
        <f>IFERROR(__xludf.DUMMYFUNCTION("""COMPUTED_VALUE"""),"""Weapon Strategist (Change Name)""")</f>
        <v>"Weapon Strategist (Change Name)"</v>
      </c>
    </row>
    <row r="6">
      <c r="A6" s="16" t="str">
        <f>IFERROR(__xludf.DUMMYFUNCTION("""COMPUTED_VALUE"""),"""Master Blacksmith (Change Name)""")</f>
        <v>"Master Blacksmith (Change Name)"</v>
      </c>
    </row>
    <row r="7">
      <c r="A7" s="16" t="str">
        <f>IFERROR(__xludf.DUMMYFUNCTION("""COMPUTED_VALUE"""),"""Master of Magic (Change Name)""")</f>
        <v>"Master of Magic (Change Name)"</v>
      </c>
    </row>
    <row r="8">
      <c r="A8" s="16" t="str">
        <f>IFERROR(__xludf.DUMMYFUNCTION("""COMPUTED_VALUE"""),"""Criminal Mastermind (Change Name)""")</f>
        <v>"Criminal Mastermind (Change Name)"</v>
      </c>
    </row>
    <row r="9">
      <c r="A9" s="16" t="str">
        <f>IFERROR(__xludf.DUMMYFUNCTION("""COMPUTED_VALUE"""),"""Skilled Alchemist (Change Name)""")</f>
        <v>"Skilled Alchemist (Change Name)"</v>
      </c>
    </row>
    <row r="10">
      <c r="A10" s="16" t="str">
        <f>IFERROR(__xludf.DUMMYFUNCTION("""COMPUTED_VALUE"""),"""Surpreme Cultist (Change Name)""")</f>
        <v>"Surpreme Cultist (Change Name)"</v>
      </c>
    </row>
    <row r="11">
      <c r="A11" s="16" t="str">
        <f>IFERROR(__xludf.DUMMYFUNCTION("""COMPUTED_VALUE"""),"""Bare-Knuckle Brawler (Change Name)""")</f>
        <v>"Bare-Knuckle Brawler (Change Name)"</v>
      </c>
    </row>
    <row r="12">
      <c r="A12" s="16" t="str">
        <f>IFERROR(__xludf.DUMMYFUNCTION("""COMPUTED_VALUE"""),"""Archer of Swiftness (Change Name)""")</f>
        <v>"Archer of Swiftness (Change Name)"</v>
      </c>
    </row>
    <row r="13">
      <c r="A13" s="16" t="str">
        <f>IFERROR(__xludf.DUMMYFUNCTION("""COMPUTED_VALUE"""),"""Priest of Peace (Change Name)""")</f>
        <v>"Priest of Peace (Change Name)"</v>
      </c>
    </row>
    <row r="14">
      <c r="A14" s="16" t="str">
        <f>IFERROR(__xludf.DUMMYFUNCTION("""COMPUTED_VALUE"""),"""Gunsmith (Change Name)""")</f>
        <v>"Gunsmith (Change Name)"</v>
      </c>
    </row>
    <row r="15">
      <c r="A15" s="16" t="str">
        <f>IFERROR(__xludf.DUMMYFUNCTION("""COMPUTED_VALUE"""),"""Experienced Broker (Change Name)""")</f>
        <v>"Experienced Broker (Change Name)"</v>
      </c>
    </row>
    <row r="16">
      <c r="A16" s="16" t="str">
        <f>IFERROR(__xludf.DUMMYFUNCTION("""COMPUTED_VALUE"""),"""Inspiring Bard (Change Name)""")</f>
        <v>"Inspiring Bard (Change Name)"</v>
      </c>
    </row>
    <row r="17">
      <c r="A17" s="16" t="str">
        <f>IFERROR(__xludf.DUMMYFUNCTION("""COMPUTED_VALUE"""),"""Experienced Breeder (Change Name)""")</f>
        <v>"Experienced Breeder (Change Name)"</v>
      </c>
    </row>
    <row r="18">
      <c r="A18" s="16" t="str">
        <f>IFERROR(__xludf.DUMMYFUNCTION("""COMPUTED_VALUE"""),"""Ninja Ambusher (Change Name)""")</f>
        <v>"Ninja Ambusher (Change Name)"</v>
      </c>
    </row>
    <row r="19">
      <c r="A19" s="16" t="str">
        <f>IFERROR(__xludf.DUMMYFUNCTION("""COMPUTED_VALUE"""),"""Master of Poisons (Change Name)""")</f>
        <v>"Master of Poisons (Change Name)"</v>
      </c>
    </row>
    <row r="20">
      <c r="A20" s="16" t="str">
        <f>IFERROR(__xludf.DUMMYFUNCTION("""COMPUTED_VALUE"""),"""The Necromantic Lord (Change Name)""")</f>
        <v>"The Necromantic Lord (Change Name)"</v>
      </c>
    </row>
    <row r="21">
      <c r="A21" s="16" t="str">
        <f>IFERROR(__xludf.DUMMYFUNCTION("""COMPUTED_VALUE"""),"""Harbinger (Change Name)""")</f>
        <v>"Harbinger (Change Name)"</v>
      </c>
    </row>
    <row r="22">
      <c r="A22" s="16" t="str">
        <f>IFERROR(__xludf.DUMMYFUNCTION("""COMPUTED_VALUE"""),"""Guardian Paladin of Spira (Change Name)""")</f>
        <v>"Guardian Paladin of Spira (Change Name)"</v>
      </c>
    </row>
    <row r="23">
      <c r="A23" s="16" t="str">
        <f>IFERROR(__xludf.DUMMYFUNCTION("""COMPUTED_VALUE"""),"""Pedro Pascel""")</f>
        <v>"Pedro Pascel"</v>
      </c>
    </row>
    <row r="24">
      <c r="A24" s="16" t="str">
        <f>IFERROR(__xludf.DUMMYFUNCTION("""COMPUTED_VALUE"""),"""Corrupt Guard (Change Name)""")</f>
        <v>"Corrupt Guard (Change Name)"</v>
      </c>
    </row>
    <row r="25">
      <c r="A25" s="16" t="str">
        <f>IFERROR(__xludf.DUMMYFUNCTION("""COMPUTED_VALUE"""),"""Durlan Venlar""")</f>
        <v>"Durlan Venlar"</v>
      </c>
    </row>
    <row r="26">
      <c r="A26" s="16" t="str">
        <f>IFERROR(__xludf.DUMMYFUNCTION("""COMPUTED_VALUE"""),"""Revalor Thegella""")</f>
        <v>"Revalor Thegella"</v>
      </c>
    </row>
    <row r="27">
      <c r="A27" s="16" t="str">
        <f>IFERROR(__xludf.DUMMYFUNCTION("""COMPUTED_VALUE"""),"""Zordius""")</f>
        <v>"Zordius"</v>
      </c>
    </row>
    <row r="28">
      <c r="A28" s="16" t="str">
        <f>IFERROR(__xludf.DUMMYFUNCTION("""COMPUTED_VALUE"""),"""Dreadful Roger The lll""")</f>
        <v>"Dreadful Roger The lll"</v>
      </c>
    </row>
    <row r="29">
      <c r="A29" s="16" t="str">
        <f>IFERROR(__xludf.DUMMYFUNCTION("""COMPUTED_VALUE"""),"""Tiberius Thunderthane""")</f>
        <v>"Tiberius Thunderthane"</v>
      </c>
    </row>
    <row r="30">
      <c r="A30" s="16" t="str">
        <f>IFERROR(__xludf.DUMMYFUNCTION("""COMPUTED_VALUE"""),"""mittenz""")</f>
        <v>"mittenz"</v>
      </c>
    </row>
    <row r="31">
      <c r="A31" s="16" t="str">
        <f>IFERROR(__xludf.DUMMYFUNCTION("""COMPUTED_VALUE"""),"""Filia""")</f>
        <v>"Filia"</v>
      </c>
    </row>
    <row r="32">
      <c r="A32" s="16" t="str">
        <f>IFERROR(__xludf.DUMMYFUNCTION("""COMPUTED_VALUE"""),"""Soul Devourer (Change Name)""")</f>
        <v>"Soul Devourer (Change Name)"</v>
      </c>
    </row>
    <row r="33">
      <c r="A33" s="16" t="str">
        <f>IFERROR(__xludf.DUMMYFUNCTION("""COMPUTED_VALUE"""),"""Controller of Minds (Change Name)""")</f>
        <v>"Controller of Minds (Change Name)"</v>
      </c>
    </row>
    <row r="34">
      <c r="A34" s="16" t="str">
        <f>IFERROR(__xludf.DUMMYFUNCTION("""COMPUTED_VALUE"""),"""Priest of Power (Change Name)""")</f>
        <v>"Priest of Power (Change Name)"</v>
      </c>
    </row>
    <row r="35">
      <c r="A35" s="16" t="str">
        <f>IFERROR(__xludf.DUMMYFUNCTION("""COMPUTED_VALUE"""),"""Alucard""")</f>
        <v>"Alucard"</v>
      </c>
    </row>
    <row r="36">
      <c r="A36" s="16" t="str">
        <f>IFERROR(__xludf.DUMMYFUNCTION("""COMPUTED_VALUE"""),"""Guinevere Buchanon""")</f>
        <v>"Guinevere Buchanon"</v>
      </c>
    </row>
    <row r="37">
      <c r="A37" s="16" t="str">
        <f>IFERROR(__xludf.DUMMYFUNCTION("""COMPUTED_VALUE"""),"""ShadowBane""")</f>
        <v>"ShadowBane"</v>
      </c>
    </row>
    <row r="38">
      <c r="A38" s="16" t="str">
        <f>IFERROR(__xludf.DUMMYFUNCTION("""COMPUTED_VALUE"""),"""Zorbane""")</f>
        <v>"Zorbane"</v>
      </c>
    </row>
    <row r="39">
      <c r="A39" s="16" t="str">
        <f>IFERROR(__xludf.DUMMYFUNCTION("""COMPUTED_VALUE"""),"""Adriana""")</f>
        <v>"Adriana"</v>
      </c>
    </row>
    <row r="40">
      <c r="A40" s="16" t="str">
        <f>IFERROR(__xludf.DUMMYFUNCTION("""COMPUTED_VALUE"""),"""Elowen Starwhisper""")</f>
        <v>"Elowen Starwhisper"</v>
      </c>
    </row>
    <row r="41">
      <c r="A41" s="16" t="str">
        <f>IFERROR(__xludf.DUMMYFUNCTION("""COMPUTED_VALUE"""),"""Theowolfe Fjordsong""")</f>
        <v>"Theowolfe Fjordsong"</v>
      </c>
    </row>
    <row r="42">
      <c r="A42" s="16" t="str">
        <f>IFERROR(__xludf.DUMMYFUNCTION("""COMPUTED_VALUE"""),"""Mephistopheles""")</f>
        <v>"Mephistopheles"</v>
      </c>
    </row>
    <row r="43">
      <c r="A43" s="16" t="str">
        <f>IFERROR(__xludf.DUMMYFUNCTION("""COMPUTED_VALUE"""),"""Jinx II""")</f>
        <v>"Jinx II"</v>
      </c>
    </row>
    <row r="44">
      <c r="A44" s="16" t="str">
        <f>IFERROR(__xludf.DUMMYFUNCTION("""COMPUTED_VALUE"""),"""Mr.Click""")</f>
        <v>"Mr.Click"</v>
      </c>
    </row>
    <row r="45">
      <c r="A45" s="16" t="str">
        <f>IFERROR(__xludf.DUMMYFUNCTION("""COMPUTED_VALUE"""),"""Blort""")</f>
        <v>"Blort"</v>
      </c>
    </row>
    <row r="46">
      <c r="A46" s="16" t="str">
        <f>IFERROR(__xludf.DUMMYFUNCTION("""COMPUTED_VALUE"""),"""Dragonian Bard (Change Name)""")</f>
        <v>"Dragonian Bard (Change Name)"</v>
      </c>
    </row>
    <row r="47">
      <c r="A47" s="16" t="str">
        <f>IFERROR(__xludf.DUMMYFUNCTION("""COMPUTED_VALUE"""),"""Draco""")</f>
        <v>"Draco"</v>
      </c>
    </row>
    <row r="48">
      <c r="A48" s="16"/>
    </row>
    <row r="49">
      <c r="A49" s="16"/>
    </row>
    <row r="50">
      <c r="A50" s="16"/>
    </row>
    <row r="51">
      <c r="A51" s="16"/>
    </row>
    <row r="52">
      <c r="A52" s="16"/>
    </row>
    <row r="53">
      <c r="A53" s="16"/>
    </row>
    <row r="54">
      <c r="A54" s="16"/>
    </row>
    <row r="55">
      <c r="A55" s="16"/>
    </row>
    <row r="56">
      <c r="A56" s="16"/>
    </row>
    <row r="57">
      <c r="A57" s="16"/>
    </row>
    <row r="58">
      <c r="A58" s="16"/>
    </row>
    <row r="59">
      <c r="A59" s="16"/>
    </row>
    <row r="60">
      <c r="A60" s="16"/>
    </row>
    <row r="61">
      <c r="A61" s="16"/>
    </row>
    <row r="62">
      <c r="A62" s="16"/>
    </row>
    <row r="63">
      <c r="A63" s="16"/>
    </row>
    <row r="64">
      <c r="A64" s="16"/>
    </row>
    <row r="65">
      <c r="A65" s="16"/>
    </row>
    <row r="66">
      <c r="A66" s="16"/>
    </row>
    <row r="67">
      <c r="A67" s="16"/>
    </row>
    <row r="68">
      <c r="A68" s="16"/>
    </row>
    <row r="69">
      <c r="A69" s="16"/>
    </row>
    <row r="70">
      <c r="A70" s="16"/>
    </row>
    <row r="71">
      <c r="A71" s="16"/>
    </row>
    <row r="72">
      <c r="A72" s="16"/>
    </row>
    <row r="73">
      <c r="A73" s="16"/>
    </row>
    <row r="74">
      <c r="A74" s="16"/>
    </row>
    <row r="75">
      <c r="A75" s="16"/>
    </row>
    <row r="76">
      <c r="A76" s="16"/>
    </row>
    <row r="77">
      <c r="A77" s="16"/>
    </row>
    <row r="78">
      <c r="A78" s="16"/>
    </row>
    <row r="79">
      <c r="A79" s="16"/>
    </row>
    <row r="80">
      <c r="A80" s="16"/>
    </row>
    <row r="81">
      <c r="A81" s="16"/>
    </row>
    <row r="82">
      <c r="A82" s="16"/>
    </row>
    <row r="83">
      <c r="A83" s="16"/>
    </row>
    <row r="84">
      <c r="A84" s="16"/>
    </row>
    <row r="85">
      <c r="A85" s="16"/>
    </row>
    <row r="86">
      <c r="A86" s="16"/>
    </row>
    <row r="87">
      <c r="A87" s="16"/>
    </row>
    <row r="88">
      <c r="A88" s="16"/>
    </row>
    <row r="89">
      <c r="A89" s="16"/>
    </row>
    <row r="90">
      <c r="A90" s="16"/>
    </row>
    <row r="91">
      <c r="A91" s="16"/>
    </row>
    <row r="92">
      <c r="A92" s="16"/>
    </row>
    <row r="93">
      <c r="A93" s="16"/>
    </row>
    <row r="94">
      <c r="A94" s="16"/>
    </row>
    <row r="95">
      <c r="A95" s="16"/>
    </row>
    <row r="96">
      <c r="A96" s="16"/>
    </row>
    <row r="97">
      <c r="A97" s="16"/>
    </row>
    <row r="98">
      <c r="A98" s="16"/>
    </row>
    <row r="99">
      <c r="A99" s="16"/>
    </row>
    <row r="100">
      <c r="A100" s="16"/>
    </row>
    <row r="101">
      <c r="A101" s="16"/>
    </row>
    <row r="102">
      <c r="A102" s="16"/>
    </row>
    <row r="103">
      <c r="A103" s="16"/>
    </row>
    <row r="104">
      <c r="A104" s="16"/>
    </row>
    <row r="105">
      <c r="A105" s="16"/>
    </row>
    <row r="106">
      <c r="A106" s="16"/>
    </row>
    <row r="107">
      <c r="A107" s="16"/>
    </row>
    <row r="108">
      <c r="A108" s="16"/>
    </row>
    <row r="109">
      <c r="A109" s="16"/>
    </row>
    <row r="110">
      <c r="A110" s="16"/>
    </row>
    <row r="111">
      <c r="A111" s="16"/>
    </row>
    <row r="112">
      <c r="A112" s="16"/>
    </row>
    <row r="113">
      <c r="A113" s="16"/>
    </row>
    <row r="114">
      <c r="A114" s="16"/>
    </row>
    <row r="115">
      <c r="A115" s="16"/>
    </row>
    <row r="116">
      <c r="A116" s="16"/>
    </row>
    <row r="117">
      <c r="A117" s="16"/>
    </row>
    <row r="118">
      <c r="A118" s="16"/>
    </row>
    <row r="119">
      <c r="A119" s="16"/>
    </row>
    <row r="120">
      <c r="A120" s="16"/>
    </row>
    <row r="121">
      <c r="A121" s="16"/>
    </row>
    <row r="122">
      <c r="A122" s="16"/>
    </row>
    <row r="123">
      <c r="A123" s="16"/>
    </row>
    <row r="124">
      <c r="A124" s="16"/>
    </row>
    <row r="125">
      <c r="A125" s="16"/>
    </row>
    <row r="126">
      <c r="A126" s="16"/>
    </row>
    <row r="127">
      <c r="A127" s="16"/>
    </row>
    <row r="128">
      <c r="A128" s="16"/>
    </row>
    <row r="129">
      <c r="A129" s="16"/>
    </row>
    <row r="130">
      <c r="A130" s="16"/>
    </row>
    <row r="131">
      <c r="A131" s="16"/>
    </row>
    <row r="132">
      <c r="A132" s="16"/>
    </row>
    <row r="133">
      <c r="A133" s="16"/>
    </row>
    <row r="134">
      <c r="A134" s="16"/>
    </row>
    <row r="135">
      <c r="A135" s="16"/>
    </row>
    <row r="136">
      <c r="A136" s="16"/>
    </row>
    <row r="137">
      <c r="A137" s="16"/>
    </row>
    <row r="138">
      <c r="A138" s="16"/>
    </row>
    <row r="139">
      <c r="A139" s="16"/>
    </row>
    <row r="140">
      <c r="A140" s="16"/>
    </row>
    <row r="141">
      <c r="A141" s="16"/>
    </row>
    <row r="142">
      <c r="A142" s="16"/>
    </row>
    <row r="143">
      <c r="A143" s="16"/>
    </row>
    <row r="144">
      <c r="A144" s="16"/>
    </row>
    <row r="145">
      <c r="A145" s="16"/>
    </row>
    <row r="146">
      <c r="A146" s="16"/>
    </row>
    <row r="147">
      <c r="A147" s="16"/>
    </row>
    <row r="148">
      <c r="A148" s="16"/>
    </row>
    <row r="149">
      <c r="A149" s="16"/>
    </row>
    <row r="150">
      <c r="A150" s="16"/>
    </row>
    <row r="151">
      <c r="A151" s="16"/>
    </row>
    <row r="152">
      <c r="A152" s="16"/>
    </row>
    <row r="153">
      <c r="A153" s="16"/>
    </row>
    <row r="154">
      <c r="A154" s="16"/>
    </row>
    <row r="155">
      <c r="A155" s="16"/>
    </row>
    <row r="156">
      <c r="A156" s="16"/>
    </row>
    <row r="157">
      <c r="A157" s="16"/>
    </row>
    <row r="158">
      <c r="A158" s="16"/>
    </row>
    <row r="159">
      <c r="A159" s="16"/>
    </row>
    <row r="160">
      <c r="A160" s="16"/>
    </row>
    <row r="161">
      <c r="A161" s="16"/>
    </row>
    <row r="162">
      <c r="A162" s="16"/>
    </row>
    <row r="163">
      <c r="A163" s="16"/>
    </row>
    <row r="164">
      <c r="A164" s="16"/>
    </row>
    <row r="165">
      <c r="A165" s="16"/>
    </row>
    <row r="166">
      <c r="A166" s="16"/>
    </row>
    <row r="167">
      <c r="A167" s="16"/>
    </row>
    <row r="168">
      <c r="A168" s="16"/>
    </row>
    <row r="169">
      <c r="A169" s="16"/>
    </row>
    <row r="170">
      <c r="A170" s="16"/>
    </row>
    <row r="171">
      <c r="A171" s="16"/>
    </row>
    <row r="172">
      <c r="A172" s="16"/>
    </row>
    <row r="173">
      <c r="A173" s="16"/>
    </row>
    <row r="174">
      <c r="A174" s="16"/>
    </row>
    <row r="175">
      <c r="A175" s="16"/>
    </row>
    <row r="176">
      <c r="A176" s="16"/>
    </row>
    <row r="177">
      <c r="A177" s="16"/>
    </row>
    <row r="178">
      <c r="A178" s="16"/>
    </row>
    <row r="179">
      <c r="A179" s="16"/>
    </row>
    <row r="180">
      <c r="A180" s="16"/>
    </row>
    <row r="181">
      <c r="A181" s="16"/>
    </row>
    <row r="182">
      <c r="A182" s="16"/>
    </row>
    <row r="183">
      <c r="A183" s="16"/>
    </row>
    <row r="184">
      <c r="A184" s="16"/>
    </row>
    <row r="185">
      <c r="A185" s="16"/>
    </row>
    <row r="186">
      <c r="A186" s="16"/>
    </row>
    <row r="187">
      <c r="A187" s="16"/>
    </row>
    <row r="188">
      <c r="A188" s="16"/>
    </row>
    <row r="189">
      <c r="A189" s="16"/>
    </row>
    <row r="190">
      <c r="A190" s="16"/>
    </row>
    <row r="191">
      <c r="A191" s="16"/>
    </row>
    <row r="192">
      <c r="A192" s="16"/>
    </row>
    <row r="193">
      <c r="A193" s="16"/>
    </row>
    <row r="194">
      <c r="A194" s="16"/>
    </row>
    <row r="195">
      <c r="A195" s="16"/>
    </row>
    <row r="196">
      <c r="A196" s="16"/>
    </row>
    <row r="197">
      <c r="A197" s="16"/>
    </row>
    <row r="198">
      <c r="A198" s="16"/>
    </row>
    <row r="199">
      <c r="A199" s="16"/>
    </row>
    <row r="200">
      <c r="A200" s="16"/>
    </row>
    <row r="201">
      <c r="A201" s="16"/>
    </row>
    <row r="202">
      <c r="A202" s="16"/>
    </row>
    <row r="203">
      <c r="A203" s="16"/>
    </row>
    <row r="204">
      <c r="A204" s="16"/>
    </row>
    <row r="205">
      <c r="A205" s="16"/>
    </row>
    <row r="206">
      <c r="A206" s="16"/>
    </row>
    <row r="207">
      <c r="A207" s="16"/>
    </row>
    <row r="208">
      <c r="A208" s="16"/>
    </row>
    <row r="209">
      <c r="A209" s="16"/>
    </row>
    <row r="210">
      <c r="A210" s="16"/>
    </row>
    <row r="211">
      <c r="A211" s="16"/>
    </row>
    <row r="212">
      <c r="A212" s="16"/>
    </row>
    <row r="213">
      <c r="A213" s="16"/>
    </row>
    <row r="214">
      <c r="A214" s="16"/>
    </row>
    <row r="215">
      <c r="A215" s="16"/>
    </row>
    <row r="216">
      <c r="A216" s="16"/>
    </row>
    <row r="217">
      <c r="A217" s="16"/>
    </row>
    <row r="218">
      <c r="A218" s="16"/>
    </row>
    <row r="219">
      <c r="A219" s="16"/>
    </row>
    <row r="220">
      <c r="A220" s="16"/>
    </row>
    <row r="221">
      <c r="A221" s="16"/>
    </row>
    <row r="222">
      <c r="A222" s="16"/>
    </row>
    <row r="223">
      <c r="A223" s="16"/>
    </row>
    <row r="224">
      <c r="A224" s="16"/>
    </row>
    <row r="225">
      <c r="A225" s="16"/>
    </row>
    <row r="226">
      <c r="A226" s="16"/>
    </row>
    <row r="227">
      <c r="A227" s="16"/>
    </row>
    <row r="228">
      <c r="A228" s="16"/>
    </row>
    <row r="229">
      <c r="A229" s="16"/>
    </row>
    <row r="230">
      <c r="A230" s="16"/>
    </row>
    <row r="231">
      <c r="A231" s="16"/>
    </row>
    <row r="232">
      <c r="A232" s="16"/>
    </row>
    <row r="233">
      <c r="A233" s="16"/>
    </row>
    <row r="234">
      <c r="A234" s="16"/>
    </row>
    <row r="235">
      <c r="A235" s="16"/>
    </row>
    <row r="236">
      <c r="A236" s="16"/>
    </row>
    <row r="237">
      <c r="A237" s="16"/>
    </row>
    <row r="238">
      <c r="A238" s="16"/>
    </row>
    <row r="239">
      <c r="A239" s="16"/>
    </row>
    <row r="240">
      <c r="A240" s="16"/>
    </row>
    <row r="241">
      <c r="A241" s="16"/>
    </row>
    <row r="242">
      <c r="A242" s="16"/>
    </row>
    <row r="243">
      <c r="A243" s="16"/>
    </row>
    <row r="244">
      <c r="A244" s="16"/>
    </row>
    <row r="245">
      <c r="A245" s="16"/>
    </row>
    <row r="246">
      <c r="A246" s="16"/>
    </row>
    <row r="247">
      <c r="A247" s="16"/>
    </row>
    <row r="248">
      <c r="A248" s="16"/>
    </row>
    <row r="249">
      <c r="A249" s="16"/>
    </row>
    <row r="250">
      <c r="A250" s="16"/>
    </row>
    <row r="251">
      <c r="A251" s="16"/>
    </row>
    <row r="252">
      <c r="A252" s="16"/>
    </row>
    <row r="253">
      <c r="A253" s="16"/>
    </row>
    <row r="254">
      <c r="A254" s="16"/>
    </row>
    <row r="255">
      <c r="A255" s="16"/>
    </row>
    <row r="256">
      <c r="A256" s="16"/>
    </row>
    <row r="257">
      <c r="A257" s="16"/>
    </row>
    <row r="258">
      <c r="A258" s="16"/>
    </row>
    <row r="259">
      <c r="A259" s="16"/>
    </row>
    <row r="260">
      <c r="A260" s="16"/>
    </row>
    <row r="261">
      <c r="A261" s="16"/>
    </row>
    <row r="262">
      <c r="A262" s="16"/>
    </row>
    <row r="263">
      <c r="A263" s="16"/>
    </row>
    <row r="264">
      <c r="A264" s="16"/>
    </row>
    <row r="265">
      <c r="A265" s="16"/>
    </row>
    <row r="266">
      <c r="A266" s="16"/>
    </row>
    <row r="267">
      <c r="A267" s="16"/>
    </row>
    <row r="268">
      <c r="A268" s="16"/>
    </row>
    <row r="269">
      <c r="A269" s="16"/>
    </row>
    <row r="270">
      <c r="A270" s="16"/>
    </row>
    <row r="271">
      <c r="A271" s="16"/>
    </row>
    <row r="272">
      <c r="A272" s="16"/>
    </row>
    <row r="273">
      <c r="A273" s="16"/>
    </row>
    <row r="274">
      <c r="A274" s="16"/>
    </row>
    <row r="275">
      <c r="A275" s="16"/>
    </row>
    <row r="276">
      <c r="A276" s="16"/>
    </row>
    <row r="277">
      <c r="A277" s="16"/>
    </row>
    <row r="278">
      <c r="A278" s="16"/>
    </row>
    <row r="279">
      <c r="A279" s="16"/>
    </row>
    <row r="280">
      <c r="A280" s="16"/>
    </row>
    <row r="281">
      <c r="A281" s="16"/>
    </row>
    <row r="282">
      <c r="A282" s="16"/>
    </row>
    <row r="283">
      <c r="A283" s="16"/>
    </row>
    <row r="284">
      <c r="A284" s="16"/>
    </row>
    <row r="285">
      <c r="A285" s="16"/>
    </row>
    <row r="286">
      <c r="A286" s="16"/>
    </row>
    <row r="287">
      <c r="A287" s="16"/>
    </row>
    <row r="288">
      <c r="A288" s="16"/>
    </row>
    <row r="289">
      <c r="A289" s="16"/>
    </row>
    <row r="290">
      <c r="A290" s="16"/>
    </row>
    <row r="291">
      <c r="A291" s="16"/>
    </row>
    <row r="292">
      <c r="A292" s="16"/>
    </row>
    <row r="293">
      <c r="A293" s="16"/>
    </row>
    <row r="294">
      <c r="A294" s="16"/>
    </row>
    <row r="295">
      <c r="A295" s="16"/>
    </row>
    <row r="296">
      <c r="A296" s="16"/>
    </row>
    <row r="297">
      <c r="A297" s="16"/>
    </row>
    <row r="298">
      <c r="A298" s="16"/>
    </row>
    <row r="299">
      <c r="A299" s="16"/>
    </row>
    <row r="300">
      <c r="A300" s="16"/>
    </row>
    <row r="301">
      <c r="A301" s="16"/>
    </row>
    <row r="302">
      <c r="A302" s="16"/>
    </row>
    <row r="303">
      <c r="A303" s="16"/>
    </row>
    <row r="304">
      <c r="A304" s="16"/>
    </row>
    <row r="305">
      <c r="A305" s="16"/>
    </row>
    <row r="306">
      <c r="A306" s="16"/>
    </row>
    <row r="307">
      <c r="A307" s="16"/>
    </row>
    <row r="308">
      <c r="A308" s="16"/>
    </row>
    <row r="309">
      <c r="A309" s="16"/>
    </row>
    <row r="310">
      <c r="A310" s="16"/>
    </row>
    <row r="311">
      <c r="A311" s="16"/>
    </row>
    <row r="312">
      <c r="A312" s="16"/>
    </row>
    <row r="313">
      <c r="A313" s="16"/>
    </row>
    <row r="314">
      <c r="A314" s="16"/>
    </row>
    <row r="315">
      <c r="A315" s="16"/>
    </row>
    <row r="316">
      <c r="A316" s="16"/>
    </row>
    <row r="317">
      <c r="A317" s="16"/>
    </row>
    <row r="318">
      <c r="A318" s="16"/>
    </row>
    <row r="319">
      <c r="A319" s="16"/>
    </row>
    <row r="320">
      <c r="A320" s="16"/>
    </row>
    <row r="321">
      <c r="A321" s="16"/>
    </row>
    <row r="322">
      <c r="A322" s="16"/>
    </row>
    <row r="323">
      <c r="A323" s="16"/>
    </row>
    <row r="324">
      <c r="A324" s="16"/>
    </row>
    <row r="325">
      <c r="A325" s="16"/>
    </row>
    <row r="326">
      <c r="A326" s="16"/>
    </row>
    <row r="327">
      <c r="A327" s="16"/>
    </row>
    <row r="328">
      <c r="A328" s="16"/>
    </row>
    <row r="329">
      <c r="A329" s="16"/>
    </row>
    <row r="330">
      <c r="A330" s="16"/>
    </row>
    <row r="331">
      <c r="A331" s="16"/>
    </row>
    <row r="332">
      <c r="A332" s="16"/>
    </row>
    <row r="333">
      <c r="A333" s="16"/>
    </row>
    <row r="334">
      <c r="A334" s="16"/>
    </row>
    <row r="335">
      <c r="A335" s="16"/>
    </row>
    <row r="336">
      <c r="A336" s="16"/>
    </row>
    <row r="337">
      <c r="A337" s="16"/>
    </row>
    <row r="338">
      <c r="A338" s="16"/>
    </row>
    <row r="339">
      <c r="A339" s="16"/>
    </row>
    <row r="340">
      <c r="A340" s="16"/>
    </row>
    <row r="341">
      <c r="A341" s="16"/>
    </row>
    <row r="342">
      <c r="A342" s="16"/>
    </row>
    <row r="343">
      <c r="A343" s="16"/>
    </row>
    <row r="344">
      <c r="A344" s="16"/>
    </row>
    <row r="345">
      <c r="A345" s="16"/>
    </row>
    <row r="346">
      <c r="A346" s="16"/>
    </row>
    <row r="347">
      <c r="A347" s="16"/>
    </row>
    <row r="348">
      <c r="A348" s="16"/>
    </row>
    <row r="349">
      <c r="A349" s="16"/>
    </row>
    <row r="350">
      <c r="A350" s="16"/>
    </row>
    <row r="351">
      <c r="A351" s="16"/>
    </row>
    <row r="352">
      <c r="A352" s="16"/>
    </row>
    <row r="353">
      <c r="A353" s="16"/>
    </row>
    <row r="354">
      <c r="A354" s="16"/>
    </row>
    <row r="355">
      <c r="A355" s="16"/>
    </row>
    <row r="356">
      <c r="A356" s="16"/>
    </row>
    <row r="357">
      <c r="A357" s="16"/>
    </row>
    <row r="358">
      <c r="A358" s="16"/>
    </row>
    <row r="359">
      <c r="A359" s="16"/>
    </row>
    <row r="360">
      <c r="A360" s="16"/>
    </row>
    <row r="361">
      <c r="A361" s="16"/>
    </row>
    <row r="362">
      <c r="A362" s="16"/>
    </row>
    <row r="363">
      <c r="A363" s="16"/>
    </row>
    <row r="364">
      <c r="A364" s="16"/>
    </row>
    <row r="365">
      <c r="A365" s="16"/>
    </row>
    <row r="366">
      <c r="A366" s="16"/>
    </row>
    <row r="367">
      <c r="A367" s="16"/>
    </row>
    <row r="368">
      <c r="A368" s="16"/>
    </row>
    <row r="369">
      <c r="A369" s="16"/>
    </row>
    <row r="370">
      <c r="A370" s="16"/>
    </row>
    <row r="371">
      <c r="A371" s="16"/>
    </row>
    <row r="372">
      <c r="A372" s="16"/>
    </row>
    <row r="373">
      <c r="A373" s="16"/>
    </row>
    <row r="374">
      <c r="A374" s="16"/>
    </row>
    <row r="375">
      <c r="A375" s="16"/>
    </row>
    <row r="376">
      <c r="A376" s="16"/>
    </row>
    <row r="377">
      <c r="A377" s="16"/>
    </row>
    <row r="378">
      <c r="A378" s="16"/>
    </row>
    <row r="379">
      <c r="A379" s="16"/>
    </row>
    <row r="380">
      <c r="A380" s="16"/>
    </row>
    <row r="381">
      <c r="A381" s="16"/>
    </row>
    <row r="382">
      <c r="A382" s="16"/>
    </row>
    <row r="383">
      <c r="A383" s="16"/>
    </row>
    <row r="384">
      <c r="A384" s="16"/>
    </row>
    <row r="385">
      <c r="A385" s="16"/>
    </row>
    <row r="386">
      <c r="A386" s="16"/>
    </row>
    <row r="387">
      <c r="A387" s="16"/>
    </row>
    <row r="388">
      <c r="A388" s="16"/>
    </row>
    <row r="389">
      <c r="A389" s="16"/>
    </row>
    <row r="390">
      <c r="A390" s="16"/>
    </row>
    <row r="391">
      <c r="A391" s="16"/>
    </row>
    <row r="392">
      <c r="A392" s="16"/>
    </row>
    <row r="393">
      <c r="A393" s="16"/>
    </row>
    <row r="394">
      <c r="A394" s="16"/>
    </row>
    <row r="395">
      <c r="A395" s="16"/>
    </row>
    <row r="396">
      <c r="A396" s="16"/>
    </row>
    <row r="397">
      <c r="A397" s="16"/>
    </row>
    <row r="398">
      <c r="A398" s="16"/>
    </row>
    <row r="399">
      <c r="A399" s="16"/>
    </row>
    <row r="400">
      <c r="A400" s="16"/>
    </row>
    <row r="401">
      <c r="A401" s="16"/>
    </row>
    <row r="402">
      <c r="A402" s="16"/>
    </row>
    <row r="403">
      <c r="A403" s="16"/>
    </row>
    <row r="404">
      <c r="A404" s="16"/>
    </row>
    <row r="405">
      <c r="A405" s="16"/>
    </row>
    <row r="406">
      <c r="A406" s="16"/>
    </row>
    <row r="407">
      <c r="A407" s="16"/>
    </row>
    <row r="408">
      <c r="A408" s="16"/>
    </row>
    <row r="409">
      <c r="A409" s="16"/>
    </row>
    <row r="410">
      <c r="A410" s="16"/>
    </row>
    <row r="411">
      <c r="A411" s="16"/>
    </row>
    <row r="412">
      <c r="A412" s="16"/>
    </row>
    <row r="413">
      <c r="A413" s="16"/>
    </row>
    <row r="414">
      <c r="A414" s="16"/>
    </row>
    <row r="415">
      <c r="A415" s="16"/>
    </row>
    <row r="416">
      <c r="A416" s="16"/>
    </row>
    <row r="417">
      <c r="A417" s="16"/>
    </row>
    <row r="418">
      <c r="A418" s="16"/>
    </row>
    <row r="419">
      <c r="A419" s="16"/>
    </row>
    <row r="420">
      <c r="A420" s="16"/>
    </row>
    <row r="421">
      <c r="A421" s="16"/>
    </row>
    <row r="422">
      <c r="A422" s="16"/>
    </row>
    <row r="423">
      <c r="A423" s="16"/>
    </row>
    <row r="424">
      <c r="A424" s="16"/>
    </row>
    <row r="425">
      <c r="A425" s="16"/>
    </row>
    <row r="426">
      <c r="A426" s="16"/>
    </row>
    <row r="427">
      <c r="A427" s="16"/>
    </row>
    <row r="428">
      <c r="A428" s="16"/>
    </row>
    <row r="429">
      <c r="A429" s="16"/>
    </row>
    <row r="430">
      <c r="A430" s="16"/>
    </row>
    <row r="431">
      <c r="A431" s="16"/>
    </row>
    <row r="432">
      <c r="A432" s="16"/>
    </row>
    <row r="433">
      <c r="A433" s="16"/>
    </row>
    <row r="434">
      <c r="A434" s="16"/>
    </row>
    <row r="435">
      <c r="A435" s="16"/>
    </row>
    <row r="436">
      <c r="A436" s="16"/>
    </row>
    <row r="437">
      <c r="A437" s="16"/>
    </row>
    <row r="438">
      <c r="A438" s="16"/>
    </row>
    <row r="439">
      <c r="A439" s="16"/>
    </row>
    <row r="440">
      <c r="A440" s="16"/>
    </row>
    <row r="441">
      <c r="A441" s="16"/>
    </row>
    <row r="442">
      <c r="A442" s="16"/>
    </row>
    <row r="443">
      <c r="A443" s="16"/>
    </row>
    <row r="444">
      <c r="A444" s="16"/>
    </row>
    <row r="445">
      <c r="A445" s="16"/>
    </row>
    <row r="446">
      <c r="A446" s="16"/>
    </row>
    <row r="447">
      <c r="A447" s="16"/>
    </row>
    <row r="448">
      <c r="A448" s="16"/>
    </row>
    <row r="449">
      <c r="A449" s="16"/>
    </row>
    <row r="450">
      <c r="A450" s="16"/>
    </row>
    <row r="451">
      <c r="A451" s="16"/>
    </row>
    <row r="452">
      <c r="A452" s="16"/>
    </row>
    <row r="453">
      <c r="A453" s="16"/>
    </row>
    <row r="454">
      <c r="A454" s="16"/>
    </row>
    <row r="455">
      <c r="A455" s="16"/>
    </row>
    <row r="456">
      <c r="A456" s="16"/>
    </row>
    <row r="457">
      <c r="A457" s="16"/>
    </row>
    <row r="458">
      <c r="A458" s="16"/>
    </row>
    <row r="459">
      <c r="A459" s="16"/>
    </row>
    <row r="460">
      <c r="A460" s="16"/>
    </row>
    <row r="461">
      <c r="A461" s="16"/>
    </row>
    <row r="462">
      <c r="A462" s="16"/>
    </row>
    <row r="463">
      <c r="A463" s="16"/>
    </row>
    <row r="464">
      <c r="A464" s="16"/>
    </row>
    <row r="465">
      <c r="A465" s="16"/>
    </row>
    <row r="466">
      <c r="A466" s="16"/>
    </row>
    <row r="467">
      <c r="A467" s="16"/>
    </row>
    <row r="468">
      <c r="A468" s="16"/>
    </row>
    <row r="469">
      <c r="A469" s="16"/>
    </row>
    <row r="470">
      <c r="A470" s="16"/>
    </row>
    <row r="471">
      <c r="A471" s="16"/>
    </row>
    <row r="472">
      <c r="A472" s="16"/>
    </row>
    <row r="473">
      <c r="A473" s="16"/>
    </row>
    <row r="474">
      <c r="A474" s="16"/>
    </row>
    <row r="475">
      <c r="A475" s="16"/>
    </row>
    <row r="476">
      <c r="A476" s="16"/>
    </row>
    <row r="477">
      <c r="A477" s="16"/>
    </row>
    <row r="478">
      <c r="A478" s="16"/>
    </row>
    <row r="479">
      <c r="A479" s="16"/>
    </row>
    <row r="480">
      <c r="A480" s="16"/>
    </row>
    <row r="481">
      <c r="A481" s="16"/>
    </row>
    <row r="482">
      <c r="A482" s="16"/>
    </row>
    <row r="483">
      <c r="A483" s="16"/>
    </row>
    <row r="484">
      <c r="A484" s="16"/>
    </row>
    <row r="485">
      <c r="A485" s="16"/>
    </row>
    <row r="486">
      <c r="A486" s="16"/>
    </row>
    <row r="487">
      <c r="A487" s="16"/>
    </row>
    <row r="488">
      <c r="A488" s="16"/>
    </row>
    <row r="489">
      <c r="A489" s="16"/>
    </row>
    <row r="490">
      <c r="A490" s="16"/>
    </row>
    <row r="491">
      <c r="A491" s="16"/>
    </row>
    <row r="492">
      <c r="A492" s="16"/>
    </row>
    <row r="493">
      <c r="A493" s="16"/>
    </row>
    <row r="494">
      <c r="A494" s="16"/>
    </row>
    <row r="495">
      <c r="A495" s="16"/>
    </row>
    <row r="496">
      <c r="A496" s="16"/>
    </row>
    <row r="497">
      <c r="A497" s="16"/>
    </row>
    <row r="498">
      <c r="A498" s="16"/>
    </row>
    <row r="499">
      <c r="A499" s="16"/>
    </row>
    <row r="500">
      <c r="A500" s="16"/>
    </row>
    <row r="501">
      <c r="A501" s="16"/>
    </row>
    <row r="502">
      <c r="A502" s="16"/>
    </row>
    <row r="503">
      <c r="A503" s="16"/>
    </row>
    <row r="504">
      <c r="A504" s="16"/>
    </row>
    <row r="505">
      <c r="A505" s="16"/>
    </row>
    <row r="506">
      <c r="A506" s="16"/>
    </row>
    <row r="507">
      <c r="A507" s="16"/>
    </row>
    <row r="508">
      <c r="A508" s="16"/>
    </row>
    <row r="509">
      <c r="A509" s="16"/>
    </row>
    <row r="510">
      <c r="A510" s="16"/>
    </row>
    <row r="511">
      <c r="A511" s="16"/>
    </row>
    <row r="512">
      <c r="A512" s="16"/>
    </row>
    <row r="513">
      <c r="A513" s="16"/>
    </row>
    <row r="514">
      <c r="A514" s="16"/>
    </row>
    <row r="515">
      <c r="A515" s="16"/>
    </row>
    <row r="516">
      <c r="A516" s="16"/>
    </row>
    <row r="517">
      <c r="A517" s="16"/>
    </row>
    <row r="518">
      <c r="A518" s="16"/>
    </row>
    <row r="519">
      <c r="A519" s="16"/>
    </row>
    <row r="520">
      <c r="A520" s="16"/>
    </row>
    <row r="521">
      <c r="A521" s="16"/>
    </row>
    <row r="522">
      <c r="A522" s="16"/>
    </row>
    <row r="523">
      <c r="A523" s="16"/>
    </row>
    <row r="524">
      <c r="A524" s="16"/>
    </row>
    <row r="525">
      <c r="A525" s="16"/>
    </row>
    <row r="526">
      <c r="A526" s="16"/>
    </row>
    <row r="527">
      <c r="A527" s="16"/>
    </row>
    <row r="528">
      <c r="A528" s="16"/>
    </row>
    <row r="529">
      <c r="A529" s="16"/>
    </row>
    <row r="530">
      <c r="A530" s="16"/>
    </row>
    <row r="531">
      <c r="A531" s="16"/>
    </row>
    <row r="532">
      <c r="A532" s="16"/>
    </row>
    <row r="533">
      <c r="A533" s="16"/>
    </row>
    <row r="534">
      <c r="A534" s="16"/>
    </row>
    <row r="535">
      <c r="A535" s="16"/>
    </row>
    <row r="536">
      <c r="A536" s="16"/>
    </row>
    <row r="537">
      <c r="A537" s="16"/>
    </row>
    <row r="538">
      <c r="A538" s="16"/>
    </row>
    <row r="539">
      <c r="A539" s="16"/>
    </row>
    <row r="540">
      <c r="A540" s="16"/>
    </row>
    <row r="541">
      <c r="A541" s="16"/>
    </row>
    <row r="542">
      <c r="A542" s="16"/>
    </row>
    <row r="543">
      <c r="A543" s="16"/>
    </row>
    <row r="544">
      <c r="A544" s="16"/>
    </row>
    <row r="545">
      <c r="A545" s="16"/>
    </row>
    <row r="546">
      <c r="A546" s="16"/>
    </row>
    <row r="547">
      <c r="A547" s="16"/>
    </row>
    <row r="548">
      <c r="A548" s="16"/>
    </row>
    <row r="549">
      <c r="A549" s="16"/>
    </row>
    <row r="550">
      <c r="A550" s="16"/>
    </row>
    <row r="551">
      <c r="A551" s="16"/>
    </row>
    <row r="552">
      <c r="A552" s="16"/>
    </row>
    <row r="553">
      <c r="A553" s="16"/>
    </row>
    <row r="554">
      <c r="A554" s="16"/>
    </row>
    <row r="555">
      <c r="A555" s="16"/>
    </row>
    <row r="556">
      <c r="A556" s="16"/>
    </row>
    <row r="557">
      <c r="A557" s="16"/>
    </row>
    <row r="558">
      <c r="A558" s="16"/>
    </row>
    <row r="559">
      <c r="A559" s="16"/>
    </row>
    <row r="560">
      <c r="A560" s="16"/>
    </row>
    <row r="561">
      <c r="A561" s="16"/>
    </row>
    <row r="562">
      <c r="A562" s="16"/>
    </row>
    <row r="563">
      <c r="A563" s="16"/>
    </row>
    <row r="564">
      <c r="A564" s="16"/>
    </row>
    <row r="565">
      <c r="A565" s="16"/>
    </row>
    <row r="566">
      <c r="A566" s="16"/>
    </row>
    <row r="567">
      <c r="A567" s="16"/>
    </row>
    <row r="568">
      <c r="A568" s="16"/>
    </row>
    <row r="569">
      <c r="A569" s="16"/>
    </row>
    <row r="570">
      <c r="A570" s="16"/>
    </row>
    <row r="571">
      <c r="A571" s="16"/>
    </row>
    <row r="572">
      <c r="A572" s="16"/>
    </row>
    <row r="573">
      <c r="A573" s="16"/>
    </row>
    <row r="574">
      <c r="A574" s="16"/>
    </row>
    <row r="575">
      <c r="A575" s="16"/>
    </row>
    <row r="576">
      <c r="A576" s="16"/>
    </row>
    <row r="577">
      <c r="A577" s="16"/>
    </row>
    <row r="578">
      <c r="A578" s="16"/>
    </row>
    <row r="579">
      <c r="A579" s="16"/>
    </row>
    <row r="580">
      <c r="A580" s="16"/>
    </row>
    <row r="581">
      <c r="A581" s="16"/>
    </row>
    <row r="582">
      <c r="A582" s="16"/>
    </row>
    <row r="583">
      <c r="A583" s="16"/>
    </row>
    <row r="584">
      <c r="A584" s="16"/>
    </row>
    <row r="585">
      <c r="A585" s="16"/>
    </row>
    <row r="586">
      <c r="A586" s="16"/>
    </row>
    <row r="587">
      <c r="A587" s="16"/>
    </row>
    <row r="588">
      <c r="A588" s="16"/>
    </row>
    <row r="589">
      <c r="A589" s="16"/>
    </row>
    <row r="590">
      <c r="A590" s="16"/>
    </row>
    <row r="591">
      <c r="A591" s="16"/>
    </row>
    <row r="592">
      <c r="A592" s="16"/>
    </row>
    <row r="593">
      <c r="A593" s="16"/>
    </row>
    <row r="594">
      <c r="A594" s="16"/>
    </row>
    <row r="595">
      <c r="A595" s="16"/>
    </row>
    <row r="596">
      <c r="A596" s="16"/>
    </row>
    <row r="597">
      <c r="A597" s="16"/>
    </row>
    <row r="598">
      <c r="A598" s="16"/>
    </row>
    <row r="599">
      <c r="A599" s="16"/>
    </row>
    <row r="600">
      <c r="A600" s="16"/>
    </row>
    <row r="601">
      <c r="A601" s="16"/>
    </row>
    <row r="602">
      <c r="A602" s="16"/>
    </row>
    <row r="603">
      <c r="A603" s="16"/>
    </row>
    <row r="604">
      <c r="A604" s="16"/>
    </row>
    <row r="605">
      <c r="A605" s="16"/>
    </row>
    <row r="606">
      <c r="A606" s="16"/>
    </row>
    <row r="607">
      <c r="A607" s="16"/>
    </row>
    <row r="608">
      <c r="A608" s="16"/>
    </row>
    <row r="609">
      <c r="A609" s="16"/>
    </row>
    <row r="610">
      <c r="A610" s="16"/>
    </row>
    <row r="611">
      <c r="A611" s="16"/>
    </row>
    <row r="612">
      <c r="A612" s="16"/>
    </row>
    <row r="613">
      <c r="A613" s="16"/>
    </row>
    <row r="614">
      <c r="A614" s="16"/>
    </row>
    <row r="615">
      <c r="A615" s="16"/>
    </row>
    <row r="616">
      <c r="A616" s="16"/>
    </row>
    <row r="617">
      <c r="A617" s="16"/>
    </row>
    <row r="618">
      <c r="A618" s="16"/>
    </row>
    <row r="619">
      <c r="A619" s="16"/>
    </row>
    <row r="620">
      <c r="A620" s="16"/>
    </row>
    <row r="621">
      <c r="A621" s="16"/>
    </row>
    <row r="622">
      <c r="A622" s="16"/>
    </row>
    <row r="623">
      <c r="A623" s="16"/>
    </row>
    <row r="624">
      <c r="A624" s="16"/>
    </row>
    <row r="625">
      <c r="A625" s="16"/>
    </row>
    <row r="626">
      <c r="A626" s="16"/>
    </row>
    <row r="627">
      <c r="A627" s="16"/>
    </row>
    <row r="628">
      <c r="A628" s="16"/>
    </row>
    <row r="629">
      <c r="A629" s="16"/>
    </row>
    <row r="630">
      <c r="A630" s="16"/>
    </row>
    <row r="631">
      <c r="A631" s="16"/>
    </row>
    <row r="632">
      <c r="A632" s="16"/>
    </row>
    <row r="633">
      <c r="A633" s="16"/>
    </row>
    <row r="634">
      <c r="A634" s="16"/>
    </row>
    <row r="635">
      <c r="A635" s="16"/>
    </row>
    <row r="636">
      <c r="A636" s="16"/>
    </row>
    <row r="637">
      <c r="A637" s="16"/>
    </row>
    <row r="638">
      <c r="A638" s="16"/>
    </row>
    <row r="639">
      <c r="A639" s="16"/>
    </row>
    <row r="640">
      <c r="A640" s="16"/>
    </row>
    <row r="641">
      <c r="A641" s="16"/>
    </row>
    <row r="642">
      <c r="A642" s="16"/>
    </row>
    <row r="643">
      <c r="A643" s="16"/>
    </row>
    <row r="644">
      <c r="A644" s="16"/>
    </row>
    <row r="645">
      <c r="A645" s="16"/>
    </row>
    <row r="646">
      <c r="A646" s="16"/>
    </row>
    <row r="647">
      <c r="A647" s="16"/>
    </row>
    <row r="648">
      <c r="A648" s="16"/>
    </row>
    <row r="649">
      <c r="A649" s="16"/>
    </row>
    <row r="650">
      <c r="A650" s="16"/>
    </row>
    <row r="651">
      <c r="A651" s="16"/>
    </row>
    <row r="652">
      <c r="A652" s="16"/>
    </row>
    <row r="653">
      <c r="A653" s="16"/>
    </row>
    <row r="654">
      <c r="A654" s="16"/>
    </row>
    <row r="655">
      <c r="A655" s="16"/>
    </row>
    <row r="656">
      <c r="A656" s="16"/>
    </row>
    <row r="657">
      <c r="A657" s="16"/>
    </row>
    <row r="658">
      <c r="A658" s="16"/>
    </row>
    <row r="659">
      <c r="A659" s="16"/>
    </row>
    <row r="660">
      <c r="A660" s="16"/>
    </row>
    <row r="661">
      <c r="A661" s="16"/>
    </row>
    <row r="662">
      <c r="A662" s="16"/>
    </row>
    <row r="663">
      <c r="A663" s="16"/>
    </row>
    <row r="664">
      <c r="A664" s="16"/>
    </row>
    <row r="665">
      <c r="A665" s="16"/>
    </row>
    <row r="666">
      <c r="A666" s="16"/>
    </row>
    <row r="667">
      <c r="A667" s="16"/>
    </row>
    <row r="668">
      <c r="A668" s="16"/>
    </row>
    <row r="669">
      <c r="A669" s="16"/>
    </row>
    <row r="670">
      <c r="A670" s="16"/>
    </row>
    <row r="671">
      <c r="A671" s="16"/>
    </row>
    <row r="672">
      <c r="A672" s="16"/>
    </row>
    <row r="673">
      <c r="A673" s="16"/>
    </row>
    <row r="674">
      <c r="A674" s="16"/>
    </row>
    <row r="675">
      <c r="A675" s="16"/>
    </row>
    <row r="676">
      <c r="A676" s="16"/>
    </row>
    <row r="677">
      <c r="A677" s="16"/>
    </row>
    <row r="678">
      <c r="A678" s="16"/>
    </row>
    <row r="679">
      <c r="A679" s="16"/>
    </row>
    <row r="680">
      <c r="A680" s="16"/>
    </row>
    <row r="681">
      <c r="A681" s="16"/>
    </row>
    <row r="682">
      <c r="A682" s="16"/>
    </row>
    <row r="683">
      <c r="A683" s="16"/>
    </row>
    <row r="684">
      <c r="A684" s="16"/>
    </row>
    <row r="685">
      <c r="A685" s="16"/>
    </row>
    <row r="686">
      <c r="A686" s="16"/>
    </row>
    <row r="687">
      <c r="A687" s="16"/>
    </row>
    <row r="688">
      <c r="A688" s="16"/>
    </row>
    <row r="689">
      <c r="A689" s="16"/>
    </row>
    <row r="690">
      <c r="A690" s="16"/>
    </row>
    <row r="691">
      <c r="A691" s="16"/>
    </row>
    <row r="692">
      <c r="A692" s="16"/>
    </row>
    <row r="693">
      <c r="A693" s="16"/>
    </row>
    <row r="694">
      <c r="A694" s="16"/>
    </row>
    <row r="695">
      <c r="A695" s="16"/>
    </row>
    <row r="696">
      <c r="A696" s="16"/>
    </row>
    <row r="697">
      <c r="A697" s="16"/>
    </row>
    <row r="698">
      <c r="A698" s="16"/>
    </row>
    <row r="699">
      <c r="A699" s="16"/>
    </row>
    <row r="700">
      <c r="A700" s="16"/>
    </row>
    <row r="701">
      <c r="A701" s="16"/>
    </row>
    <row r="702">
      <c r="A702" s="16"/>
    </row>
    <row r="703">
      <c r="A703" s="16"/>
    </row>
    <row r="704">
      <c r="A704" s="16"/>
    </row>
    <row r="705">
      <c r="A705" s="16"/>
    </row>
    <row r="706">
      <c r="A706" s="16"/>
    </row>
    <row r="707">
      <c r="A707" s="16"/>
    </row>
    <row r="708">
      <c r="A708" s="16"/>
    </row>
    <row r="709">
      <c r="A709" s="16"/>
    </row>
    <row r="710">
      <c r="A710" s="16"/>
    </row>
    <row r="711">
      <c r="A711" s="16"/>
    </row>
    <row r="712">
      <c r="A712" s="16"/>
    </row>
    <row r="713">
      <c r="A713" s="16"/>
    </row>
    <row r="714">
      <c r="A714" s="16"/>
    </row>
    <row r="715">
      <c r="A715" s="16"/>
    </row>
    <row r="716">
      <c r="A716" s="16"/>
    </row>
    <row r="717">
      <c r="A717" s="16"/>
    </row>
    <row r="718">
      <c r="A718" s="16"/>
    </row>
    <row r="719">
      <c r="A719" s="16"/>
    </row>
    <row r="720">
      <c r="A720" s="16"/>
    </row>
    <row r="721">
      <c r="A721" s="16"/>
    </row>
    <row r="722">
      <c r="A722" s="16"/>
    </row>
    <row r="723">
      <c r="A723" s="16"/>
    </row>
    <row r="724">
      <c r="A724" s="16"/>
    </row>
    <row r="725">
      <c r="A725" s="16"/>
    </row>
    <row r="726">
      <c r="A726" s="16"/>
    </row>
    <row r="727">
      <c r="A727" s="16"/>
    </row>
    <row r="728">
      <c r="A728" s="16"/>
    </row>
    <row r="729">
      <c r="A729" s="16"/>
    </row>
    <row r="730">
      <c r="A730" s="16"/>
    </row>
    <row r="731">
      <c r="A731" s="16"/>
    </row>
    <row r="732">
      <c r="A732" s="16"/>
    </row>
    <row r="733">
      <c r="A733" s="16"/>
    </row>
    <row r="734">
      <c r="A734" s="16"/>
    </row>
    <row r="735">
      <c r="A735" s="16"/>
    </row>
    <row r="736">
      <c r="A736" s="16"/>
    </row>
    <row r="737">
      <c r="A737" s="16"/>
    </row>
    <row r="738">
      <c r="A738" s="16"/>
    </row>
    <row r="739">
      <c r="A739" s="16"/>
    </row>
    <row r="740">
      <c r="A740" s="16"/>
    </row>
    <row r="741">
      <c r="A741" s="16"/>
    </row>
    <row r="742">
      <c r="A742" s="16"/>
    </row>
    <row r="743">
      <c r="A743" s="16"/>
    </row>
    <row r="744">
      <c r="A744" s="16"/>
    </row>
    <row r="745">
      <c r="A745" s="16"/>
    </row>
    <row r="746">
      <c r="A746" s="16"/>
    </row>
    <row r="747">
      <c r="A747" s="16"/>
    </row>
    <row r="748">
      <c r="A748" s="16"/>
    </row>
    <row r="749">
      <c r="A749" s="16"/>
    </row>
    <row r="750">
      <c r="A750" s="16"/>
    </row>
    <row r="751">
      <c r="A751" s="16"/>
    </row>
    <row r="752">
      <c r="A752" s="16"/>
    </row>
    <row r="753">
      <c r="A753" s="16"/>
    </row>
    <row r="754">
      <c r="A754" s="16"/>
    </row>
    <row r="755">
      <c r="A755" s="16"/>
    </row>
    <row r="756">
      <c r="A756" s="16"/>
    </row>
    <row r="757">
      <c r="A757" s="16"/>
    </row>
    <row r="758">
      <c r="A758" s="16"/>
    </row>
    <row r="759">
      <c r="A759" s="16"/>
    </row>
    <row r="760">
      <c r="A760" s="16"/>
    </row>
    <row r="761">
      <c r="A761" s="16"/>
    </row>
    <row r="762">
      <c r="A762" s="16"/>
    </row>
    <row r="763">
      <c r="A763" s="16"/>
    </row>
    <row r="764">
      <c r="A764" s="16"/>
    </row>
    <row r="765">
      <c r="A765" s="16"/>
    </row>
    <row r="766">
      <c r="A766" s="16"/>
    </row>
    <row r="767">
      <c r="A767" s="16"/>
    </row>
    <row r="768">
      <c r="A768" s="16"/>
    </row>
    <row r="769">
      <c r="A769" s="16"/>
    </row>
    <row r="770">
      <c r="A770" s="16"/>
    </row>
    <row r="771">
      <c r="A771" s="16"/>
    </row>
    <row r="772">
      <c r="A772" s="16"/>
    </row>
    <row r="773">
      <c r="A773" s="16"/>
    </row>
    <row r="774">
      <c r="A774" s="16"/>
    </row>
    <row r="775">
      <c r="A775" s="16"/>
    </row>
    <row r="776">
      <c r="A776" s="16"/>
    </row>
    <row r="777">
      <c r="A777" s="16"/>
    </row>
    <row r="778">
      <c r="A778" s="16"/>
    </row>
    <row r="779">
      <c r="A779" s="16"/>
    </row>
    <row r="780">
      <c r="A780" s="16"/>
    </row>
    <row r="781">
      <c r="A781" s="16"/>
    </row>
    <row r="782">
      <c r="A782" s="16"/>
    </row>
    <row r="783">
      <c r="A783" s="16"/>
    </row>
    <row r="784">
      <c r="A784" s="16"/>
    </row>
    <row r="785">
      <c r="A785" s="16"/>
    </row>
    <row r="786">
      <c r="A786" s="16"/>
    </row>
    <row r="787">
      <c r="A787" s="16"/>
    </row>
    <row r="788">
      <c r="A788" s="16"/>
    </row>
    <row r="789">
      <c r="A789" s="16"/>
    </row>
    <row r="790">
      <c r="A790" s="16"/>
    </row>
    <row r="791">
      <c r="A791" s="16"/>
    </row>
    <row r="792">
      <c r="A792" s="16"/>
    </row>
    <row r="793">
      <c r="A793" s="16"/>
    </row>
    <row r="794">
      <c r="A794" s="16"/>
    </row>
    <row r="795">
      <c r="A795" s="16"/>
    </row>
    <row r="796">
      <c r="A796" s="16"/>
    </row>
    <row r="797">
      <c r="A797" s="16"/>
    </row>
    <row r="798">
      <c r="A798" s="16"/>
    </row>
    <row r="799">
      <c r="A799" s="16"/>
    </row>
    <row r="800">
      <c r="A800" s="16"/>
    </row>
    <row r="801">
      <c r="A801" s="16"/>
    </row>
    <row r="802">
      <c r="A802" s="16"/>
    </row>
    <row r="803">
      <c r="A803" s="16"/>
    </row>
    <row r="804">
      <c r="A804" s="16"/>
    </row>
    <row r="805">
      <c r="A805" s="16"/>
    </row>
    <row r="806">
      <c r="A806" s="16"/>
    </row>
    <row r="807">
      <c r="A807" s="16"/>
    </row>
    <row r="808">
      <c r="A808" s="16"/>
    </row>
    <row r="809">
      <c r="A809" s="16"/>
    </row>
    <row r="810">
      <c r="A810" s="16"/>
    </row>
    <row r="811">
      <c r="A811" s="16"/>
    </row>
    <row r="812">
      <c r="A812" s="16"/>
    </row>
    <row r="813">
      <c r="A813" s="16"/>
    </row>
    <row r="814">
      <c r="A814" s="16"/>
    </row>
    <row r="815">
      <c r="A815" s="16"/>
    </row>
    <row r="816">
      <c r="A816" s="16"/>
    </row>
    <row r="817">
      <c r="A817" s="16"/>
    </row>
    <row r="818">
      <c r="A818" s="16"/>
    </row>
    <row r="819">
      <c r="A819" s="16"/>
    </row>
    <row r="820">
      <c r="A820" s="16"/>
    </row>
    <row r="821">
      <c r="A821" s="16"/>
    </row>
    <row r="822">
      <c r="A822" s="16"/>
    </row>
    <row r="823">
      <c r="A823" s="16"/>
    </row>
    <row r="824">
      <c r="A824" s="16"/>
    </row>
    <row r="825">
      <c r="A825" s="16"/>
    </row>
    <row r="826">
      <c r="A826" s="16"/>
    </row>
    <row r="827">
      <c r="A827" s="16"/>
    </row>
    <row r="828">
      <c r="A828" s="16"/>
    </row>
    <row r="829">
      <c r="A829" s="16"/>
    </row>
    <row r="830">
      <c r="A830" s="16"/>
    </row>
    <row r="831">
      <c r="A831" s="16"/>
    </row>
    <row r="832">
      <c r="A832" s="16"/>
    </row>
    <row r="833">
      <c r="A833" s="16"/>
    </row>
    <row r="834">
      <c r="A834" s="16"/>
    </row>
    <row r="835">
      <c r="A835" s="16"/>
    </row>
    <row r="836">
      <c r="A836" s="16"/>
    </row>
    <row r="837">
      <c r="A837" s="16"/>
    </row>
    <row r="838">
      <c r="A838" s="16"/>
    </row>
    <row r="839">
      <c r="A839" s="16"/>
    </row>
    <row r="840">
      <c r="A840" s="16"/>
    </row>
    <row r="841">
      <c r="A841" s="16"/>
    </row>
    <row r="842">
      <c r="A842" s="16"/>
    </row>
    <row r="843">
      <c r="A843" s="16"/>
    </row>
    <row r="844">
      <c r="A844" s="16"/>
    </row>
    <row r="845">
      <c r="A845" s="16"/>
    </row>
    <row r="846">
      <c r="A846" s="16"/>
    </row>
    <row r="847">
      <c r="A847" s="16"/>
    </row>
    <row r="848">
      <c r="A848" s="16"/>
    </row>
    <row r="849">
      <c r="A849" s="16"/>
    </row>
    <row r="850">
      <c r="A850" s="16"/>
    </row>
    <row r="851">
      <c r="A851" s="16"/>
    </row>
    <row r="852">
      <c r="A852" s="16"/>
    </row>
    <row r="853">
      <c r="A853" s="16"/>
    </row>
    <row r="854">
      <c r="A854" s="16"/>
    </row>
    <row r="855">
      <c r="A855" s="16"/>
    </row>
    <row r="856">
      <c r="A856" s="16"/>
    </row>
    <row r="857">
      <c r="A857" s="16"/>
    </row>
    <row r="858">
      <c r="A858" s="16"/>
    </row>
    <row r="859">
      <c r="A859" s="16"/>
    </row>
    <row r="860">
      <c r="A860" s="16"/>
    </row>
    <row r="861">
      <c r="A861" s="16"/>
    </row>
    <row r="862">
      <c r="A862" s="16"/>
    </row>
    <row r="863">
      <c r="A863" s="16"/>
    </row>
    <row r="864">
      <c r="A864" s="16"/>
    </row>
    <row r="865">
      <c r="A865" s="16"/>
    </row>
    <row r="866">
      <c r="A866" s="16"/>
    </row>
    <row r="867">
      <c r="A867" s="16"/>
    </row>
    <row r="868">
      <c r="A868" s="16"/>
    </row>
    <row r="869">
      <c r="A869" s="16"/>
    </row>
    <row r="870">
      <c r="A870" s="16"/>
    </row>
    <row r="871">
      <c r="A871" s="16"/>
    </row>
    <row r="872">
      <c r="A872" s="16"/>
    </row>
    <row r="873">
      <c r="A873" s="16"/>
    </row>
    <row r="874">
      <c r="A874" s="16"/>
    </row>
    <row r="875">
      <c r="A875" s="16"/>
    </row>
    <row r="876">
      <c r="A876" s="16"/>
    </row>
    <row r="877">
      <c r="A877" s="16"/>
    </row>
    <row r="878">
      <c r="A878" s="16"/>
    </row>
    <row r="879">
      <c r="A879" s="16"/>
    </row>
    <row r="880">
      <c r="A880" s="16"/>
    </row>
    <row r="881">
      <c r="A881" s="16"/>
    </row>
    <row r="882">
      <c r="A882" s="16"/>
    </row>
    <row r="883">
      <c r="A883" s="16"/>
    </row>
    <row r="884">
      <c r="A884" s="16"/>
    </row>
    <row r="885">
      <c r="A885" s="16"/>
    </row>
    <row r="886">
      <c r="A886" s="16"/>
    </row>
    <row r="887">
      <c r="A887" s="16"/>
    </row>
    <row r="888">
      <c r="A888" s="16"/>
    </row>
    <row r="889">
      <c r="A889" s="16"/>
    </row>
    <row r="890">
      <c r="A890" s="16"/>
    </row>
    <row r="891">
      <c r="A891" s="16"/>
    </row>
    <row r="892">
      <c r="A892" s="16"/>
    </row>
    <row r="893">
      <c r="A893" s="16"/>
    </row>
    <row r="894">
      <c r="A894" s="16"/>
    </row>
    <row r="895">
      <c r="A895" s="16"/>
    </row>
    <row r="896">
      <c r="A896" s="16"/>
    </row>
    <row r="897">
      <c r="A897" s="16"/>
    </row>
    <row r="898">
      <c r="A898" s="16"/>
    </row>
    <row r="899">
      <c r="A899" s="16"/>
    </row>
    <row r="900">
      <c r="A900" s="16"/>
    </row>
    <row r="901">
      <c r="A901" s="16"/>
    </row>
    <row r="902">
      <c r="A902" s="16"/>
    </row>
    <row r="903">
      <c r="A903" s="16"/>
    </row>
    <row r="904">
      <c r="A904" s="16"/>
    </row>
    <row r="905">
      <c r="A905" s="16"/>
    </row>
    <row r="906">
      <c r="A906" s="16"/>
    </row>
    <row r="907">
      <c r="A907" s="16"/>
    </row>
    <row r="908">
      <c r="A908" s="16"/>
    </row>
    <row r="909">
      <c r="A909" s="16"/>
    </row>
    <row r="910">
      <c r="A910" s="16"/>
    </row>
    <row r="911">
      <c r="A911" s="16"/>
    </row>
    <row r="912">
      <c r="A912" s="16"/>
    </row>
    <row r="913">
      <c r="A913" s="16"/>
    </row>
    <row r="914">
      <c r="A914" s="16"/>
    </row>
    <row r="915">
      <c r="A915" s="16"/>
    </row>
    <row r="916">
      <c r="A916" s="16"/>
    </row>
    <row r="917">
      <c r="A917" s="16"/>
    </row>
    <row r="918">
      <c r="A918" s="16"/>
    </row>
    <row r="919">
      <c r="A919" s="16"/>
    </row>
    <row r="920">
      <c r="A920" s="16"/>
    </row>
    <row r="921">
      <c r="A921" s="16"/>
    </row>
    <row r="922">
      <c r="A922" s="16"/>
    </row>
    <row r="923">
      <c r="A923" s="16"/>
    </row>
    <row r="924">
      <c r="A924" s="16"/>
    </row>
    <row r="925">
      <c r="A925" s="16"/>
    </row>
    <row r="926">
      <c r="A926" s="16"/>
    </row>
    <row r="927">
      <c r="A927" s="16"/>
    </row>
    <row r="928">
      <c r="A928" s="16"/>
    </row>
    <row r="929">
      <c r="A929" s="16"/>
    </row>
    <row r="930">
      <c r="A930" s="16"/>
    </row>
    <row r="931">
      <c r="A931" s="16"/>
    </row>
    <row r="932">
      <c r="A932" s="16"/>
    </row>
    <row r="933">
      <c r="A933" s="16"/>
    </row>
    <row r="934">
      <c r="A934" s="16"/>
    </row>
    <row r="935">
      <c r="A935" s="16"/>
    </row>
    <row r="936">
      <c r="A936" s="16"/>
    </row>
    <row r="937">
      <c r="A937" s="16"/>
    </row>
    <row r="938">
      <c r="A938" s="16"/>
    </row>
    <row r="939">
      <c r="A939" s="16"/>
    </row>
    <row r="940">
      <c r="A940" s="16"/>
    </row>
    <row r="941">
      <c r="A941" s="16"/>
    </row>
    <row r="942">
      <c r="A942" s="16"/>
    </row>
    <row r="943">
      <c r="A943" s="16"/>
    </row>
    <row r="944">
      <c r="A944" s="16"/>
    </row>
    <row r="945">
      <c r="A945" s="16"/>
    </row>
    <row r="946">
      <c r="A946" s="16"/>
    </row>
    <row r="947">
      <c r="A947" s="16"/>
    </row>
    <row r="948">
      <c r="A948" s="16"/>
    </row>
    <row r="949">
      <c r="A949" s="16"/>
    </row>
    <row r="950">
      <c r="A950" s="16"/>
    </row>
    <row r="951">
      <c r="A951" s="16"/>
    </row>
    <row r="952">
      <c r="A952" s="16"/>
    </row>
    <row r="953">
      <c r="A953" s="16"/>
    </row>
    <row r="954">
      <c r="A954" s="16"/>
    </row>
    <row r="955">
      <c r="A955" s="16"/>
    </row>
    <row r="956">
      <c r="A956" s="16"/>
    </row>
    <row r="957">
      <c r="A957" s="16"/>
    </row>
    <row r="958">
      <c r="A958" s="16"/>
    </row>
    <row r="959">
      <c r="A959" s="16"/>
    </row>
    <row r="960">
      <c r="A960" s="16"/>
    </row>
    <row r="961">
      <c r="A961" s="16"/>
    </row>
    <row r="962">
      <c r="A962" s="16"/>
    </row>
    <row r="963">
      <c r="A963" s="16"/>
    </row>
    <row r="964">
      <c r="A964" s="16"/>
    </row>
    <row r="965">
      <c r="A965" s="16"/>
    </row>
    <row r="966">
      <c r="A966" s="16"/>
    </row>
    <row r="967">
      <c r="A967" s="16"/>
    </row>
    <row r="968">
      <c r="A968" s="16"/>
    </row>
    <row r="969">
      <c r="A969" s="16"/>
    </row>
    <row r="970">
      <c r="A970" s="16"/>
    </row>
    <row r="971">
      <c r="A971" s="16"/>
    </row>
    <row r="972">
      <c r="A972" s="16"/>
    </row>
    <row r="973">
      <c r="A973" s="16"/>
    </row>
    <row r="974">
      <c r="A974" s="16"/>
    </row>
    <row r="975">
      <c r="A975" s="16"/>
    </row>
    <row r="976">
      <c r="A976" s="16"/>
    </row>
    <row r="977">
      <c r="A977" s="16"/>
    </row>
    <row r="978">
      <c r="A978" s="16"/>
    </row>
    <row r="979">
      <c r="A979" s="16"/>
    </row>
    <row r="980">
      <c r="A980" s="16"/>
    </row>
    <row r="981">
      <c r="A981" s="16"/>
    </row>
    <row r="982">
      <c r="A982" s="16"/>
    </row>
    <row r="983">
      <c r="A983" s="16"/>
    </row>
    <row r="984">
      <c r="A984" s="16"/>
    </row>
    <row r="985">
      <c r="A985" s="16"/>
    </row>
    <row r="986">
      <c r="A986" s="16"/>
    </row>
    <row r="987">
      <c r="A987" s="16"/>
    </row>
    <row r="988">
      <c r="A988" s="16"/>
    </row>
    <row r="989">
      <c r="A989" s="16"/>
    </row>
    <row r="990">
      <c r="A990" s="16"/>
    </row>
    <row r="991">
      <c r="A991" s="16"/>
    </row>
    <row r="992">
      <c r="A992" s="16"/>
    </row>
    <row r="993">
      <c r="A993" s="16"/>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2" max="2" width="47.88"/>
    <col customWidth="1" min="3" max="3" width="144.13"/>
  </cols>
  <sheetData>
    <row r="1">
      <c r="A1" s="16" t="str">
        <f>IFERROR(__xludf.DUMMYFUNCTION("IMPORTRANGE(""https://docs.google.com/spreadsheets/d/""&amp;Config!B1,""Classes!A:AX"")"),"Name")</f>
        <v>Name</v>
      </c>
      <c r="B1" s="16" t="str">
        <f>IFERROR(__xludf.DUMMYFUNCTION("""COMPUTED_VALUE"""),"SpellRank")</f>
        <v>SpellRank</v>
      </c>
      <c r="C1" s="16" t="str">
        <f>IFERROR(__xludf.DUMMYFUNCTION("""COMPUTED_VALUE"""),"Ability")</f>
        <v>Ability</v>
      </c>
      <c r="D1" s="16" t="str">
        <f>IFERROR(__xludf.DUMMYFUNCTION("""COMPUTED_VALUE"""),"Attack")</f>
        <v>Attack</v>
      </c>
      <c r="E1" s="16" t="str">
        <f>IFERROR(__xludf.DUMMYFUNCTION("""COMPUTED_VALUE"""),"Defense")</f>
        <v>Defense</v>
      </c>
      <c r="F1" s="16" t="str">
        <f>IFERROR(__xludf.DUMMYFUNCTION("""COMPUTED_VALUE"""),"Accuracy")</f>
        <v>Accuracy</v>
      </c>
      <c r="G1" s="16" t="str">
        <f>IFERROR(__xludf.DUMMYFUNCTION("""COMPUTED_VALUE"""),"Charisma")</f>
        <v>Charisma</v>
      </c>
      <c r="H1" s="16" t="str">
        <f>IFERROR(__xludf.DUMMYFUNCTION("""COMPUTED_VALUE"""),"Wisdom")</f>
        <v>Wisdom</v>
      </c>
      <c r="I1" s="16" t="str">
        <f>IFERROR(__xludf.DUMMYFUNCTION("""COMPUTED_VALUE"""),"Constitution")</f>
        <v>Constitution</v>
      </c>
      <c r="J1" s="16" t="str">
        <f>IFERROR(__xludf.DUMMYFUNCTION("""COMPUTED_VALUE"""),"Evasion")</f>
        <v>Evasion</v>
      </c>
      <c r="K1" s="16" t="str">
        <f>IFERROR(__xludf.DUMMYFUNCTION("""COMPUTED_VALUE"""),"Intimidation")</f>
        <v>Intimidation</v>
      </c>
      <c r="L1" s="16" t="str">
        <f>IFERROR(__xludf.DUMMYFUNCTION("""COMPUTED_VALUE"""),"Mobility")</f>
        <v>Mobility</v>
      </c>
      <c r="M1" s="16" t="str">
        <f>IFERROR(__xludf.DUMMYFUNCTION("""COMPUTED_VALUE"""),"HP")</f>
        <v>HP</v>
      </c>
      <c r="N1" s="16" t="str">
        <f>IFERROR(__xludf.DUMMYFUNCTION("""COMPUTED_VALUE"""),"SP")</f>
        <v>SP</v>
      </c>
      <c r="O1" s="16" t="str">
        <f>IFERROR(__xludf.DUMMYFUNCTION("""COMPUTED_VALUE"""),"Hunger")</f>
        <v>Hunger</v>
      </c>
      <c r="P1" s="16" t="str">
        <f>IFERROR(__xludf.DUMMYFUNCTION("""COMPUTED_VALUE"""),"Thirst")</f>
        <v>Thirst</v>
      </c>
      <c r="Q1" s="16" t="str">
        <f>IFERROR(__xludf.DUMMYFUNCTION("""COMPUTED_VALUE"""),"Energy")</f>
        <v>Energy</v>
      </c>
      <c r="R1" s="16" t="str">
        <f>IFERROR(__xludf.DUMMYFUNCTION("""COMPUTED_VALUE"""),"eleselect")</f>
        <v>eleselect</v>
      </c>
      <c r="S1" s="16" t="str">
        <f>IFERROR(__xludf.DUMMYFUNCTION("""COMPUTED_VALUE"""),"Fire")</f>
        <v>Fire</v>
      </c>
      <c r="T1" s="16" t="str">
        <f>IFERROR(__xludf.DUMMYFUNCTION("""COMPUTED_VALUE"""),"Water")</f>
        <v>Water</v>
      </c>
      <c r="U1" s="16" t="str">
        <f>IFERROR(__xludf.DUMMYFUNCTION("""COMPUTED_VALUE"""),"Storm")</f>
        <v>Storm</v>
      </c>
      <c r="V1" s="16" t="str">
        <f>IFERROR(__xludf.DUMMYFUNCTION("""COMPUTED_VALUE"""),"Earth")</f>
        <v>Earth</v>
      </c>
      <c r="W1" s="16" t="str">
        <f>IFERROR(__xludf.DUMMYFUNCTION("""COMPUTED_VALUE"""),"Light")</f>
        <v>Light</v>
      </c>
      <c r="X1" s="16" t="str">
        <f>IFERROR(__xludf.DUMMYFUNCTION("""COMPUTED_VALUE"""),"Dark")</f>
        <v>Dark</v>
      </c>
      <c r="Y1" s="16" t="str">
        <f>IFERROR(__xludf.DUMMYFUNCTION("""COMPUTED_VALUE"""),"Spirit")</f>
        <v>Spirit</v>
      </c>
      <c r="Z1" s="16" t="str">
        <f>IFERROR(__xludf.DUMMYFUNCTION("""COMPUTED_VALUE"""),"Order")</f>
        <v>Order</v>
      </c>
      <c r="AA1" s="16" t="str">
        <f>IFERROR(__xludf.DUMMYFUNCTION("""COMPUTED_VALUE"""),"Chaos")</f>
        <v>Chaos</v>
      </c>
      <c r="AB1" s="16" t="str">
        <f>IFERROR(__xludf.DUMMYFUNCTION("""COMPUTED_VALUE"""),"Nature")</f>
        <v>Nature</v>
      </c>
      <c r="AC1" s="16" t="str">
        <f>IFERROR(__xludf.DUMMYFUNCTION("""COMPUTED_VALUE"""),"Physical")</f>
        <v>Physical</v>
      </c>
      <c r="AD1" s="16" t="str">
        <f>IFERROR(__xludf.DUMMYFUNCTION("""COMPUTED_VALUE"""),"Melee")</f>
        <v>Melee</v>
      </c>
      <c r="AE1" s="16" t="str">
        <f>IFERROR(__xludf.DUMMYFUNCTION("""COMPUTED_VALUE"""),"Ranged")</f>
        <v>Ranged</v>
      </c>
      <c r="AF1" s="16" t="str">
        <f>IFERROR(__xludf.DUMMYFUNCTION("""COMPUTED_VALUE"""),"Stasis")</f>
        <v>Stasis</v>
      </c>
      <c r="AG1" s="16" t="str">
        <f>IFERROR(__xludf.DUMMYFUNCTION("""COMPUTED_VALUE"""),"Twilight")</f>
        <v>Twilight</v>
      </c>
      <c r="AH1" s="16" t="str">
        <f>IFERROR(__xludf.DUMMYFUNCTION("""COMPUTED_VALUE"""),"Voodoo")</f>
        <v>Voodoo</v>
      </c>
      <c r="AI1" s="16" t="str">
        <f>IFERROR(__xludf.DUMMYFUNCTION("""COMPUTED_VALUE"""),"Blood")</f>
        <v>Blood</v>
      </c>
      <c r="AJ1" s="16" t="str">
        <f>IFERROR(__xludf.DUMMYFUNCTION("""COMPUTED_VALUE"""),"Delta")</f>
        <v>Delta</v>
      </c>
      <c r="AK1" s="16" t="str">
        <f>IFERROR(__xludf.DUMMYFUNCTION("""COMPUTED_VALUE"""),"Zen")</f>
        <v>Zen</v>
      </c>
      <c r="AL1" s="16" t="str">
        <f>IFERROR(__xludf.DUMMYFUNCTION("""COMPUTED_VALUE"""),"Time")</f>
        <v>Time</v>
      </c>
      <c r="AM1" s="16" t="str">
        <f>IFERROR(__xludf.DUMMYFUNCTION("""COMPUTED_VALUE"""),"Astral")</f>
        <v>Astral</v>
      </c>
      <c r="AN1" s="16" t="str">
        <f>IFERROR(__xludf.DUMMYFUNCTION("""COMPUTED_VALUE"""),"Celestial")</f>
        <v>Celestial</v>
      </c>
      <c r="AO1" s="16" t="str">
        <f>IFERROR(__xludf.DUMMYFUNCTION("""COMPUTED_VALUE"""),"Acoustic")</f>
        <v>Acoustic</v>
      </c>
      <c r="AP1" s="16"/>
      <c r="AQ1" s="16"/>
      <c r="AR1" s="16"/>
      <c r="AS1" s="16"/>
      <c r="AT1" s="16"/>
      <c r="AU1" s="16"/>
      <c r="AV1" s="16"/>
      <c r="AW1" s="16"/>
      <c r="AX1" s="16"/>
    </row>
    <row r="2">
      <c r="A2" s="16" t="str">
        <f>IFERROR(__xludf.DUMMYFUNCTION("""COMPUTED_VALUE"""),"Archer")</f>
        <v>Archer</v>
      </c>
      <c r="B2" s="16" t="str">
        <f>IFERROR(__xludf.DUMMYFUNCTION("""COMPUTED_VALUE"""),"Rank 9 Ranged")</f>
        <v>Rank 9 Ranged</v>
      </c>
      <c r="C2" s="16" t="str">
        <f>IFERROR(__xludf.DUMMYFUNCTION("""COMPUTED_VALUE"""),"X6 damage with bows.
+5 evasion")</f>
        <v>X6 damage with bows.
+5 evasion</v>
      </c>
      <c r="D2" s="16"/>
      <c r="E2" s="16"/>
      <c r="F2" s="16"/>
      <c r="G2" s="16"/>
      <c r="H2" s="16"/>
      <c r="I2" s="16"/>
      <c r="J2" s="16">
        <f>IFERROR(__xludf.DUMMYFUNCTION("""COMPUTED_VALUE"""),5.0)</f>
        <v>5</v>
      </c>
      <c r="K2" s="16"/>
      <c r="L2" s="16"/>
      <c r="M2" s="16"/>
      <c r="N2" s="16"/>
      <c r="O2" s="16"/>
      <c r="P2" s="16"/>
      <c r="Q2" s="16"/>
      <c r="R2" s="16">
        <f>IFERROR(__xludf.DUMMYFUNCTION("""COMPUTED_VALUE"""),0.0)</f>
        <v>0</v>
      </c>
      <c r="S2" s="16"/>
      <c r="T2" s="16"/>
      <c r="U2" s="16"/>
      <c r="V2" s="16"/>
      <c r="W2" s="16"/>
      <c r="X2" s="16"/>
      <c r="Y2" s="16"/>
      <c r="Z2" s="16"/>
      <c r="AA2" s="16"/>
      <c r="AB2" s="16"/>
      <c r="AC2" s="16"/>
      <c r="AD2" s="16"/>
      <c r="AE2" s="16">
        <f>IFERROR(__xludf.DUMMYFUNCTION("""COMPUTED_VALUE"""),9.0)</f>
        <v>9</v>
      </c>
      <c r="AF2" s="16"/>
      <c r="AG2" s="16"/>
      <c r="AH2" s="16"/>
      <c r="AI2" s="16"/>
      <c r="AJ2" s="16"/>
      <c r="AK2" s="16"/>
      <c r="AL2" s="16"/>
      <c r="AM2" s="16"/>
      <c r="AN2" s="16"/>
      <c r="AO2" s="16"/>
      <c r="AP2" s="16"/>
      <c r="AQ2" s="16"/>
      <c r="AR2" s="16"/>
      <c r="AS2" s="16"/>
      <c r="AT2" s="16"/>
      <c r="AU2" s="16"/>
      <c r="AV2" s="16"/>
      <c r="AW2" s="16"/>
      <c r="AX2" s="16"/>
    </row>
    <row r="3">
      <c r="A3" s="16" t="str">
        <f>IFERROR(__xludf.DUMMYFUNCTION("""COMPUTED_VALUE"""),"Bard")</f>
        <v>Bard</v>
      </c>
      <c r="B3" s="16" t="str">
        <f>IFERROR(__xludf.DUMMYFUNCTION("""COMPUTED_VALUE"""),"Rank 6 Select 3 of any element (Excluding Zen)")</f>
        <v>Rank 6 Select 3 of any element (Excluding Zen)</v>
      </c>
      <c r="C3" s="16" t="str">
        <f>IFERROR(__xludf.DUMMYFUNCTION("""COMPUTED_VALUE"""),"SP costs for Spells are halved. 
Start with one of the following instruments required to cast spells: lap harp, drum, flute, bagpipe, fiddle, lute.
Must have an instrument equipped to cast spells.
Can use Wisdom when attacking with a hit/miss spell.")</f>
        <v>SP costs for Spells are halved. 
Start with one of the following instruments required to cast spells: lap harp, drum, flute, bagpipe, fiddle, lute.
Must have an instrument equipped to cast spells.
Can use Wisdom when attacking with a hit/miss spell.</v>
      </c>
      <c r="D3" s="16"/>
      <c r="E3" s="16"/>
      <c r="F3" s="16"/>
      <c r="G3" s="16"/>
      <c r="H3" s="16"/>
      <c r="I3" s="16"/>
      <c r="J3" s="16"/>
      <c r="K3" s="16"/>
      <c r="L3" s="16"/>
      <c r="M3" s="16"/>
      <c r="N3" s="16"/>
      <c r="O3" s="16"/>
      <c r="P3" s="16"/>
      <c r="Q3" s="16"/>
      <c r="R3" s="16">
        <f>IFERROR(__xludf.DUMMYFUNCTION("""COMPUTED_VALUE"""),3.0)</f>
        <v>3</v>
      </c>
      <c r="S3" s="16">
        <f>IFERROR(__xludf.DUMMYFUNCTION("""COMPUTED_VALUE"""),6.0)</f>
        <v>6</v>
      </c>
      <c r="T3" s="16">
        <f>IFERROR(__xludf.DUMMYFUNCTION("""COMPUTED_VALUE"""),6.0)</f>
        <v>6</v>
      </c>
      <c r="U3" s="16">
        <f>IFERROR(__xludf.DUMMYFUNCTION("""COMPUTED_VALUE"""),6.0)</f>
        <v>6</v>
      </c>
      <c r="V3" s="16">
        <f>IFERROR(__xludf.DUMMYFUNCTION("""COMPUTED_VALUE"""),6.0)</f>
        <v>6</v>
      </c>
      <c r="W3" s="16">
        <f>IFERROR(__xludf.DUMMYFUNCTION("""COMPUTED_VALUE"""),6.0)</f>
        <v>6</v>
      </c>
      <c r="X3" s="16">
        <f>IFERROR(__xludf.DUMMYFUNCTION("""COMPUTED_VALUE"""),6.0)</f>
        <v>6</v>
      </c>
      <c r="Y3" s="16">
        <f>IFERROR(__xludf.DUMMYFUNCTION("""COMPUTED_VALUE"""),6.0)</f>
        <v>6</v>
      </c>
      <c r="Z3" s="16">
        <f>IFERROR(__xludf.DUMMYFUNCTION("""COMPUTED_VALUE"""),6.0)</f>
        <v>6</v>
      </c>
      <c r="AA3" s="16">
        <f>IFERROR(__xludf.DUMMYFUNCTION("""COMPUTED_VALUE"""),6.0)</f>
        <v>6</v>
      </c>
      <c r="AB3" s="16">
        <f>IFERROR(__xludf.DUMMYFUNCTION("""COMPUTED_VALUE"""),6.0)</f>
        <v>6</v>
      </c>
      <c r="AC3" s="16">
        <f>IFERROR(__xludf.DUMMYFUNCTION("""COMPUTED_VALUE"""),6.0)</f>
        <v>6</v>
      </c>
      <c r="AD3" s="16">
        <f>IFERROR(__xludf.DUMMYFUNCTION("""COMPUTED_VALUE"""),6.0)</f>
        <v>6</v>
      </c>
      <c r="AE3" s="16">
        <f>IFERROR(__xludf.DUMMYFUNCTION("""COMPUTED_VALUE"""),6.0)</f>
        <v>6</v>
      </c>
      <c r="AF3" s="16">
        <f>IFERROR(__xludf.DUMMYFUNCTION("""COMPUTED_VALUE"""),6.0)</f>
        <v>6</v>
      </c>
      <c r="AG3" s="16">
        <f>IFERROR(__xludf.DUMMYFUNCTION("""COMPUTED_VALUE"""),6.0)</f>
        <v>6</v>
      </c>
      <c r="AH3" s="16">
        <f>IFERROR(__xludf.DUMMYFUNCTION("""COMPUTED_VALUE"""),6.0)</f>
        <v>6</v>
      </c>
      <c r="AI3" s="16">
        <f>IFERROR(__xludf.DUMMYFUNCTION("""COMPUTED_VALUE"""),6.0)</f>
        <v>6</v>
      </c>
      <c r="AJ3" s="16">
        <f>IFERROR(__xludf.DUMMYFUNCTION("""COMPUTED_VALUE"""),6.0)</f>
        <v>6</v>
      </c>
      <c r="AK3" s="16"/>
      <c r="AL3" s="16"/>
      <c r="AM3" s="16">
        <f>IFERROR(__xludf.DUMMYFUNCTION("""COMPUTED_VALUE"""),6.0)</f>
        <v>6</v>
      </c>
      <c r="AN3" s="16"/>
      <c r="AO3" s="16">
        <f>IFERROR(__xludf.DUMMYFUNCTION("""COMPUTED_VALUE"""),6.0)</f>
        <v>6</v>
      </c>
      <c r="AP3" s="16"/>
      <c r="AQ3" s="16"/>
      <c r="AR3" s="16"/>
      <c r="AS3" s="16"/>
      <c r="AT3" s="16"/>
      <c r="AU3" s="16"/>
      <c r="AV3" s="16"/>
      <c r="AW3" s="16"/>
      <c r="AX3" s="16"/>
    </row>
    <row r="4">
      <c r="A4" s="16" t="str">
        <f>IFERROR(__xludf.DUMMYFUNCTION("""COMPUTED_VALUE"""),"Bombadier")</f>
        <v>Bombadier</v>
      </c>
      <c r="B4" s="16" t="str">
        <f>IFERROR(__xludf.DUMMYFUNCTION("""COMPUTED_VALUE"""),"Rank 6 Physical, Melee, Ranged")</f>
        <v>Rank 6 Physical, Melee, Ranged</v>
      </c>
      <c r="C4" s="16" t="str">
        <f>IFERROR(__xludf.DUMMYFUNCTION("""COMPUTED_VALUE"""),"Restricted Class: (Must complete the quest ""Tick-Tock"" in Pirate's Cove to use this Class)
X4 Grenade damage
X4 Damage over time")</f>
        <v>Restricted Class: (Must complete the quest "Tick-Tock" in Pirate's Cove to use this Class)
X4 Grenade damage
X4 Damage over time</v>
      </c>
      <c r="D4" s="16"/>
      <c r="E4" s="16"/>
      <c r="F4" s="16"/>
      <c r="G4" s="16"/>
      <c r="H4" s="16"/>
      <c r="I4" s="16"/>
      <c r="J4" s="16"/>
      <c r="K4" s="16"/>
      <c r="L4" s="16"/>
      <c r="M4" s="16"/>
      <c r="N4" s="16"/>
      <c r="O4" s="16"/>
      <c r="P4" s="16"/>
      <c r="Q4" s="16"/>
      <c r="R4" s="16"/>
      <c r="S4" s="16"/>
      <c r="T4" s="16"/>
      <c r="U4" s="16"/>
      <c r="V4" s="16"/>
      <c r="W4" s="16"/>
      <c r="X4" s="16"/>
      <c r="Y4" s="16"/>
      <c r="Z4" s="16"/>
      <c r="AA4" s="16"/>
      <c r="AB4" s="16"/>
      <c r="AC4" s="16">
        <f>IFERROR(__xludf.DUMMYFUNCTION("""COMPUTED_VALUE"""),6.0)</f>
        <v>6</v>
      </c>
      <c r="AD4" s="16">
        <f>IFERROR(__xludf.DUMMYFUNCTION("""COMPUTED_VALUE"""),6.0)</f>
        <v>6</v>
      </c>
      <c r="AE4" s="16">
        <f>IFERROR(__xludf.DUMMYFUNCTION("""COMPUTED_VALUE"""),6.0)</f>
        <v>6</v>
      </c>
      <c r="AF4" s="16"/>
      <c r="AG4" s="16"/>
      <c r="AH4" s="16"/>
      <c r="AI4" s="16"/>
      <c r="AJ4" s="16"/>
      <c r="AK4" s="16"/>
      <c r="AL4" s="16"/>
      <c r="AM4" s="16"/>
      <c r="AN4" s="16"/>
      <c r="AO4" s="16"/>
      <c r="AP4" s="16"/>
      <c r="AQ4" s="16"/>
      <c r="AR4" s="16"/>
      <c r="AS4" s="16"/>
      <c r="AT4" s="16"/>
      <c r="AU4" s="16"/>
      <c r="AV4" s="16"/>
      <c r="AW4" s="16"/>
      <c r="AX4" s="16"/>
    </row>
    <row r="5">
      <c r="A5" s="16" t="str">
        <f>IFERROR(__xludf.DUMMYFUNCTION("""COMPUTED_VALUE"""),"Brawler")</f>
        <v>Brawler</v>
      </c>
      <c r="B5" s="16" t="str">
        <f>IFERROR(__xludf.DUMMYFUNCTION("""COMPUTED_VALUE"""),"Rank 9 Physical")</f>
        <v>Rank 9 Physical</v>
      </c>
      <c r="C5" s="16" t="str">
        <f>IFERROR(__xludf.DUMMYFUNCTION("""COMPUTED_VALUE"""),"+5 mobility")</f>
        <v>+5 mobility</v>
      </c>
      <c r="D5" s="16"/>
      <c r="E5" s="16"/>
      <c r="F5" s="16"/>
      <c r="G5" s="16"/>
      <c r="H5" s="16"/>
      <c r="I5" s="16"/>
      <c r="J5" s="16"/>
      <c r="K5" s="16"/>
      <c r="L5" s="16">
        <f>IFERROR(__xludf.DUMMYFUNCTION("""COMPUTED_VALUE"""),5.0)</f>
        <v>5</v>
      </c>
      <c r="M5" s="16"/>
      <c r="N5" s="16"/>
      <c r="O5" s="16"/>
      <c r="P5" s="16"/>
      <c r="Q5" s="16"/>
      <c r="R5" s="16">
        <f>IFERROR(__xludf.DUMMYFUNCTION("""COMPUTED_VALUE"""),0.0)</f>
        <v>0</v>
      </c>
      <c r="S5" s="16"/>
      <c r="T5" s="16"/>
      <c r="U5" s="16"/>
      <c r="V5" s="16"/>
      <c r="W5" s="16"/>
      <c r="X5" s="16"/>
      <c r="Y5" s="16"/>
      <c r="Z5" s="16"/>
      <c r="AA5" s="16"/>
      <c r="AB5" s="16"/>
      <c r="AC5" s="16">
        <f>IFERROR(__xludf.DUMMYFUNCTION("""COMPUTED_VALUE"""),9.0)</f>
        <v>9</v>
      </c>
      <c r="AD5" s="16"/>
      <c r="AE5" s="16"/>
      <c r="AF5" s="16"/>
      <c r="AG5" s="16"/>
      <c r="AH5" s="16"/>
      <c r="AI5" s="16"/>
      <c r="AJ5" s="16"/>
      <c r="AK5" s="16"/>
      <c r="AL5" s="16"/>
      <c r="AM5" s="16"/>
      <c r="AN5" s="16"/>
      <c r="AO5" s="16"/>
      <c r="AP5" s="16"/>
      <c r="AQ5" s="16"/>
      <c r="AR5" s="16"/>
      <c r="AS5" s="16"/>
      <c r="AT5" s="16"/>
      <c r="AU5" s="16"/>
      <c r="AV5" s="16"/>
      <c r="AW5" s="16"/>
      <c r="AX5" s="16"/>
    </row>
    <row r="6">
      <c r="A6" s="16" t="str">
        <f>IFERROR(__xludf.DUMMYFUNCTION("""COMPUTED_VALUE"""),"Cavalier")</f>
        <v>Cavalier</v>
      </c>
      <c r="B6" s="16" t="str">
        <f>IFERROR(__xludf.DUMMYFUNCTION("""COMPUTED_VALUE"""),"Rank 3 in all elements. (Excluding Acoustic and Zen)")</f>
        <v>Rank 3 in all elements. (Excluding Acoustic and Zen)</v>
      </c>
      <c r="C6" s="16" t="str">
        <f>IFERROR(__xludf.DUMMYFUNCTION("""COMPUTED_VALUE"""),"You gain Rank 9 in all elements your companion knows (add them via the leveler as a tome)
You start with the sub-class Breeder
+5 to all breeding rolls
upon picking this class you gain a single lvl one companion of one of the following (Wolf, [Fire, Storm"&amp;", Earth, Nature, or Water] Wyrm, Imp, or Lesser Tengu)
Wolf: You and any companions deal X2 damage with weapons and Natural along with causing 100 bleed with all weapons
Wyrm: You and any companions deal X2 damage of element of the chosen Wyrm along with "&amp;"permanent rank 9 spells of that Wyrm's type
Imp: You and any companions deal X2 Chaos and Dark damage along with a 10% chance of being afflicted with rampage upon using a Chaos or Dark spell
Tengu: You and any companions deal X2 Order and Light damage alo"&amp;"ng with a 5% chance to inflict an enemy with pacified 1 upon targetting them with a Light or Order spell")</f>
        <v>You gain Rank 9 in all elements your companion knows (add them via the leveler as a tome)
You start with the sub-class Breeder
+5 to all breeding rolls
upon picking this class you gain a single lvl one companion of one of the following (Wolf, [Fire, Storm, Earth, Nature, or Water] Wyrm, Imp, or Lesser Tengu)
Wolf: You and any companions deal X2 damage with weapons and Natural along with causing 100 bleed with all weapons
Wyrm: You and any companions deal X2 damage of element of the chosen Wyrm along with permanent rank 9 spells of that Wyrm's type
Imp: You and any companions deal X2 Chaos and Dark damage along with a 10% chance of being afflicted with rampage upon using a Chaos or Dark spell
Tengu: You and any companions deal X2 Order and Light damage along with a 5% chance to inflict an enemy with pacified 1 upon targetting them with a Light or Order spell</v>
      </c>
      <c r="D6" s="16"/>
      <c r="E6" s="16"/>
      <c r="F6" s="16"/>
      <c r="G6" s="16"/>
      <c r="H6" s="16"/>
      <c r="I6" s="16"/>
      <c r="J6" s="16"/>
      <c r="K6" s="16"/>
      <c r="L6" s="16"/>
      <c r="M6" s="16"/>
      <c r="N6" s="16"/>
      <c r="O6" s="16"/>
      <c r="P6" s="16"/>
      <c r="Q6" s="16"/>
      <c r="R6" s="16">
        <f>IFERROR(__xludf.DUMMYFUNCTION("""COMPUTED_VALUE"""),0.0)</f>
        <v>0</v>
      </c>
      <c r="S6" s="16">
        <f>IFERROR(__xludf.DUMMYFUNCTION("""COMPUTED_VALUE"""),3.0)</f>
        <v>3</v>
      </c>
      <c r="T6" s="16">
        <f>IFERROR(__xludf.DUMMYFUNCTION("""COMPUTED_VALUE"""),3.0)</f>
        <v>3</v>
      </c>
      <c r="U6" s="16">
        <f>IFERROR(__xludf.DUMMYFUNCTION("""COMPUTED_VALUE"""),3.0)</f>
        <v>3</v>
      </c>
      <c r="V6" s="16">
        <f>IFERROR(__xludf.DUMMYFUNCTION("""COMPUTED_VALUE"""),3.0)</f>
        <v>3</v>
      </c>
      <c r="W6" s="16">
        <f>IFERROR(__xludf.DUMMYFUNCTION("""COMPUTED_VALUE"""),3.0)</f>
        <v>3</v>
      </c>
      <c r="X6" s="16">
        <f>IFERROR(__xludf.DUMMYFUNCTION("""COMPUTED_VALUE"""),3.0)</f>
        <v>3</v>
      </c>
      <c r="Y6" s="16">
        <f>IFERROR(__xludf.DUMMYFUNCTION("""COMPUTED_VALUE"""),3.0)</f>
        <v>3</v>
      </c>
      <c r="Z6" s="16">
        <f>IFERROR(__xludf.DUMMYFUNCTION("""COMPUTED_VALUE"""),3.0)</f>
        <v>3</v>
      </c>
      <c r="AA6" s="16">
        <f>IFERROR(__xludf.DUMMYFUNCTION("""COMPUTED_VALUE"""),3.0)</f>
        <v>3</v>
      </c>
      <c r="AB6" s="16">
        <f>IFERROR(__xludf.DUMMYFUNCTION("""COMPUTED_VALUE"""),3.0)</f>
        <v>3</v>
      </c>
      <c r="AC6" s="16">
        <f>IFERROR(__xludf.DUMMYFUNCTION("""COMPUTED_VALUE"""),3.0)</f>
        <v>3</v>
      </c>
      <c r="AD6" s="16">
        <f>IFERROR(__xludf.DUMMYFUNCTION("""COMPUTED_VALUE"""),3.0)</f>
        <v>3</v>
      </c>
      <c r="AE6" s="16">
        <f>IFERROR(__xludf.DUMMYFUNCTION("""COMPUTED_VALUE"""),3.0)</f>
        <v>3</v>
      </c>
      <c r="AF6" s="16">
        <f>IFERROR(__xludf.DUMMYFUNCTION("""COMPUTED_VALUE"""),3.0)</f>
        <v>3</v>
      </c>
      <c r="AG6" s="16">
        <f>IFERROR(__xludf.DUMMYFUNCTION("""COMPUTED_VALUE"""),3.0)</f>
        <v>3</v>
      </c>
      <c r="AH6" s="16">
        <f>IFERROR(__xludf.DUMMYFUNCTION("""COMPUTED_VALUE"""),3.0)</f>
        <v>3</v>
      </c>
      <c r="AI6" s="16">
        <f>IFERROR(__xludf.DUMMYFUNCTION("""COMPUTED_VALUE"""),3.0)</f>
        <v>3</v>
      </c>
      <c r="AJ6" s="16">
        <f>IFERROR(__xludf.DUMMYFUNCTION("""COMPUTED_VALUE"""),3.0)</f>
        <v>3</v>
      </c>
      <c r="AK6" s="16"/>
      <c r="AL6" s="16"/>
      <c r="AM6" s="16">
        <f>IFERROR(__xludf.DUMMYFUNCTION("""COMPUTED_VALUE"""),3.0)</f>
        <v>3</v>
      </c>
      <c r="AN6" s="16"/>
      <c r="AO6" s="16"/>
      <c r="AP6" s="16"/>
      <c r="AQ6" s="16"/>
      <c r="AR6" s="16"/>
      <c r="AS6" s="16"/>
      <c r="AT6" s="16"/>
      <c r="AU6" s="16"/>
      <c r="AV6" s="16"/>
      <c r="AW6" s="16"/>
      <c r="AX6" s="16"/>
    </row>
    <row r="7">
      <c r="A7" s="16" t="str">
        <f>IFERROR(__xludf.DUMMYFUNCTION("""COMPUTED_VALUE"""),"Cultist")</f>
        <v>Cultist</v>
      </c>
      <c r="B7" s="16" t="str">
        <f>IFERROR(__xludf.DUMMYFUNCTION("""COMPUTED_VALUE"""),"Rank 6 Chaos, Dark, Blood")</f>
        <v>Rank 6 Chaos, Dark, Blood</v>
      </c>
      <c r="C7" s="16" t="str">
        <f>IFERROR(__xludf.DUMMYFUNCTION("""COMPUTED_VALUE"""),"Starts with 12 spell slots instead of 6.
Immune To Chaos and Dark
25% chance to inflict the target that killed you with a random non-permanent curse.")</f>
        <v>Starts with 12 spell slots instead of 6.
Immune To Chaos and Dark
25% chance to inflict the target that killed you with a random non-permanent curse.</v>
      </c>
      <c r="D7" s="16"/>
      <c r="E7" s="16"/>
      <c r="F7" s="16"/>
      <c r="G7" s="16"/>
      <c r="H7" s="16"/>
      <c r="I7" s="16"/>
      <c r="J7" s="16"/>
      <c r="K7" s="16"/>
      <c r="L7" s="16"/>
      <c r="M7" s="16"/>
      <c r="N7" s="16"/>
      <c r="O7" s="16"/>
      <c r="P7" s="16"/>
      <c r="Q7" s="16"/>
      <c r="R7" s="16">
        <f>IFERROR(__xludf.DUMMYFUNCTION("""COMPUTED_VALUE"""),0.0)</f>
        <v>0</v>
      </c>
      <c r="S7" s="16"/>
      <c r="T7" s="16"/>
      <c r="U7" s="16"/>
      <c r="V7" s="16"/>
      <c r="W7" s="16"/>
      <c r="X7" s="16">
        <f>IFERROR(__xludf.DUMMYFUNCTION("""COMPUTED_VALUE"""),6.0)</f>
        <v>6</v>
      </c>
      <c r="Y7" s="16"/>
      <c r="Z7" s="16"/>
      <c r="AA7" s="16">
        <f>IFERROR(__xludf.DUMMYFUNCTION("""COMPUTED_VALUE"""),6.0)</f>
        <v>6</v>
      </c>
      <c r="AB7" s="16"/>
      <c r="AC7" s="16"/>
      <c r="AD7" s="16"/>
      <c r="AE7" s="16"/>
      <c r="AF7" s="16"/>
      <c r="AG7" s="16"/>
      <c r="AH7" s="16"/>
      <c r="AI7" s="16">
        <f>IFERROR(__xludf.DUMMYFUNCTION("""COMPUTED_VALUE"""),6.0)</f>
        <v>6</v>
      </c>
      <c r="AJ7" s="16"/>
      <c r="AK7" s="16"/>
      <c r="AL7" s="16"/>
      <c r="AM7" s="16"/>
      <c r="AN7" s="16"/>
      <c r="AO7" s="16"/>
      <c r="AP7" s="16"/>
      <c r="AQ7" s="16"/>
      <c r="AR7" s="16"/>
      <c r="AS7" s="16"/>
      <c r="AT7" s="16"/>
      <c r="AU7" s="16"/>
      <c r="AV7" s="16"/>
      <c r="AW7" s="16"/>
      <c r="AX7" s="16"/>
    </row>
    <row r="8">
      <c r="A8" s="16" t="str">
        <f>IFERROR(__xludf.DUMMYFUNCTION("""COMPUTED_VALUE"""),"Druid")</f>
        <v>Druid</v>
      </c>
      <c r="B8" s="16" t="str">
        <f>IFERROR(__xludf.DUMMYFUNCTION("""COMPUTED_VALUE"""),"Rank 9 Nature, Rank 6 Light")</f>
        <v>Rank 9 Nature, Rank 6 Light</v>
      </c>
      <c r="C8" s="16" t="str">
        <f>IFERROR(__xludf.DUMMYFUNCTION("""COMPUTED_VALUE"""),"Your Companions deal X4 additional damage.
Companions/Pets that hatched from eggs start at level 100
Nature Immune
Can use Wisdom when attacking with a hit/miss spell.")</f>
        <v>Your Companions deal X4 additional damage.
Companions/Pets that hatched from eggs start at level 100
Nature Immune
Can use Wisdom when attacking with a hit/miss spell.</v>
      </c>
      <c r="D8" s="16"/>
      <c r="E8" s="16"/>
      <c r="F8" s="16"/>
      <c r="G8" s="16"/>
      <c r="H8" s="16"/>
      <c r="I8" s="16"/>
      <c r="J8" s="16"/>
      <c r="K8" s="16"/>
      <c r="L8" s="16"/>
      <c r="M8" s="16"/>
      <c r="N8" s="16"/>
      <c r="O8" s="16"/>
      <c r="P8" s="16"/>
      <c r="Q8" s="16"/>
      <c r="R8" s="16">
        <f>IFERROR(__xludf.DUMMYFUNCTION("""COMPUTED_VALUE"""),0.0)</f>
        <v>0</v>
      </c>
      <c r="S8" s="16"/>
      <c r="T8" s="16"/>
      <c r="U8" s="16"/>
      <c r="V8" s="16"/>
      <c r="W8" s="16">
        <f>IFERROR(__xludf.DUMMYFUNCTION("""COMPUTED_VALUE"""),6.0)</f>
        <v>6</v>
      </c>
      <c r="X8" s="16"/>
      <c r="Y8" s="16"/>
      <c r="Z8" s="16"/>
      <c r="AA8" s="16"/>
      <c r="AB8" s="16">
        <f>IFERROR(__xludf.DUMMYFUNCTION("""COMPUTED_VALUE"""),9.0)</f>
        <v>9</v>
      </c>
      <c r="AC8" s="16"/>
      <c r="AD8" s="16"/>
      <c r="AE8" s="16"/>
      <c r="AF8" s="16"/>
      <c r="AG8" s="16"/>
      <c r="AH8" s="16"/>
      <c r="AI8" s="16"/>
      <c r="AJ8" s="16"/>
      <c r="AK8" s="16"/>
      <c r="AL8" s="16"/>
      <c r="AM8" s="16"/>
      <c r="AN8" s="16"/>
      <c r="AO8" s="16"/>
      <c r="AP8" s="16"/>
      <c r="AQ8" s="16"/>
      <c r="AR8" s="16"/>
      <c r="AS8" s="16"/>
      <c r="AT8" s="16"/>
      <c r="AU8" s="16"/>
      <c r="AV8" s="16"/>
      <c r="AW8" s="16"/>
      <c r="AX8" s="16"/>
    </row>
    <row r="9">
      <c r="A9" s="16" t="str">
        <f>IFERROR(__xludf.DUMMYFUNCTION("""COMPUTED_VALUE"""),"Gunslinger")</f>
        <v>Gunslinger</v>
      </c>
      <c r="B9" s="16" t="str">
        <f>IFERROR(__xludf.DUMMYFUNCTION("""COMPUTED_VALUE"""),"Rank 6 Ranged, Physical, Melee")</f>
        <v>Rank 6 Ranged, Physical, Melee</v>
      </c>
      <c r="C9" s="16" t="str">
        <f>IFERROR(__xludf.DUMMYFUNCTION("""COMPUTED_VALUE"""),"X6 damage with Firearms.
Starts with the exclusive power ""Lasso""")</f>
        <v>X6 damage with Firearms.
Starts with the exclusive power "Lasso"</v>
      </c>
      <c r="D9" s="16"/>
      <c r="E9" s="16"/>
      <c r="F9" s="16"/>
      <c r="G9" s="16"/>
      <c r="H9" s="16"/>
      <c r="I9" s="16"/>
      <c r="J9" s="16"/>
      <c r="K9" s="16"/>
      <c r="L9" s="16"/>
      <c r="M9" s="16"/>
      <c r="N9" s="16"/>
      <c r="O9" s="16"/>
      <c r="P9" s="16"/>
      <c r="Q9" s="16"/>
      <c r="R9" s="16">
        <f>IFERROR(__xludf.DUMMYFUNCTION("""COMPUTED_VALUE"""),0.0)</f>
        <v>0</v>
      </c>
      <c r="S9" s="16"/>
      <c r="T9" s="16"/>
      <c r="U9" s="16"/>
      <c r="V9" s="16"/>
      <c r="W9" s="16"/>
      <c r="X9" s="16"/>
      <c r="Y9" s="16"/>
      <c r="Z9" s="16"/>
      <c r="AA9" s="16"/>
      <c r="AB9" s="16"/>
      <c r="AC9" s="16">
        <f>IFERROR(__xludf.DUMMYFUNCTION("""COMPUTED_VALUE"""),6.0)</f>
        <v>6</v>
      </c>
      <c r="AD9" s="16">
        <f>IFERROR(__xludf.DUMMYFUNCTION("""COMPUTED_VALUE"""),6.0)</f>
        <v>6</v>
      </c>
      <c r="AE9" s="16">
        <f>IFERROR(__xludf.DUMMYFUNCTION("""COMPUTED_VALUE"""),6.0)</f>
        <v>6</v>
      </c>
      <c r="AF9" s="16"/>
      <c r="AG9" s="16"/>
      <c r="AH9" s="16"/>
      <c r="AI9" s="16"/>
      <c r="AJ9" s="16"/>
      <c r="AK9" s="16"/>
      <c r="AL9" s="16"/>
      <c r="AM9" s="16"/>
      <c r="AN9" s="16"/>
      <c r="AO9" s="16"/>
      <c r="AP9" s="16"/>
      <c r="AQ9" s="16"/>
      <c r="AR9" s="16"/>
      <c r="AS9" s="16"/>
      <c r="AT9" s="16"/>
      <c r="AU9" s="16"/>
      <c r="AV9" s="16"/>
      <c r="AW9" s="16"/>
      <c r="AX9" s="16"/>
    </row>
    <row r="10">
      <c r="A10" s="16" t="str">
        <f>IFERROR(__xludf.DUMMYFUNCTION("""COMPUTED_VALUE"""),"Hunter")</f>
        <v>Hunter</v>
      </c>
      <c r="B10" s="16" t="str">
        <f>IFERROR(__xludf.DUMMYFUNCTION("""COMPUTED_VALUE"""),"Rank 6 Nature and Range")</f>
        <v>Rank 6 Nature and Range</v>
      </c>
      <c r="C10" s="16" t="str">
        <f>IFERROR(__xludf.DUMMYFUNCTION("""COMPUTED_VALUE"""),"If you roll nothing when looting you can roll again
Starts with the Sub-Class Chef.
Starts with Sou-Chef Proficiency")</f>
        <v>If you roll nothing when looting you can roll again
Starts with the Sub-Class Chef.
Starts with Sou-Chef Proficiency</v>
      </c>
      <c r="D10" s="16"/>
      <c r="E10" s="16"/>
      <c r="F10" s="16"/>
      <c r="G10" s="16"/>
      <c r="H10" s="16"/>
      <c r="I10" s="16"/>
      <c r="J10" s="16"/>
      <c r="K10" s="16"/>
      <c r="L10" s="16"/>
      <c r="M10" s="16"/>
      <c r="N10" s="16"/>
      <c r="O10" s="16"/>
      <c r="P10" s="16"/>
      <c r="Q10" s="16"/>
      <c r="R10" s="16">
        <f>IFERROR(__xludf.DUMMYFUNCTION("""COMPUTED_VALUE"""),0.0)</f>
        <v>0</v>
      </c>
      <c r="S10" s="16"/>
      <c r="T10" s="16"/>
      <c r="U10" s="16"/>
      <c r="V10" s="16"/>
      <c r="W10" s="16"/>
      <c r="X10" s="16"/>
      <c r="Y10" s="16"/>
      <c r="Z10" s="16"/>
      <c r="AA10" s="16"/>
      <c r="AB10" s="16">
        <f>IFERROR(__xludf.DUMMYFUNCTION("""COMPUTED_VALUE"""),6.0)</f>
        <v>6</v>
      </c>
      <c r="AC10" s="16"/>
      <c r="AD10" s="16"/>
      <c r="AE10" s="16">
        <f>IFERROR(__xludf.DUMMYFUNCTION("""COMPUTED_VALUE"""),6.0)</f>
        <v>6</v>
      </c>
      <c r="AF10" s="16"/>
      <c r="AG10" s="16"/>
      <c r="AH10" s="16"/>
      <c r="AI10" s="16"/>
      <c r="AJ10" s="16"/>
      <c r="AK10" s="16"/>
      <c r="AL10" s="16"/>
      <c r="AM10" s="16"/>
      <c r="AN10" s="16"/>
      <c r="AO10" s="16"/>
      <c r="AP10" s="16"/>
      <c r="AQ10" s="16"/>
      <c r="AR10" s="16"/>
      <c r="AS10" s="16"/>
      <c r="AT10" s="16"/>
      <c r="AU10" s="16"/>
      <c r="AV10" s="16"/>
      <c r="AW10" s="16"/>
      <c r="AX10" s="16"/>
    </row>
    <row r="11">
      <c r="A11" s="16" t="str">
        <f>IFERROR(__xludf.DUMMYFUNCTION("""COMPUTED_VALUE"""),"Jack of all Trades")</f>
        <v>Jack of all Trades</v>
      </c>
      <c r="B11" s="16" t="str">
        <f>IFERROR(__xludf.DUMMYFUNCTION("""COMPUTED_VALUE"""),"Rank 6 in all elements. (Excluding Acoustic)")</f>
        <v>Rank 6 in all elements. (Excluding Acoustic)</v>
      </c>
      <c r="C11" s="16" t="str">
        <f>IFERROR(__xludf.DUMMYFUNCTION("""COMPUTED_VALUE"""),"Starts with the following Sub-Classes:
Blacksmith
Enchanter
Alchemist
Chef
Spira Guard
Breeder
Crafter
Farmer
Miner
Fisherman")</f>
        <v>Starts with the following Sub-Classes:
Blacksmith
Enchanter
Alchemist
Chef
Spira Guard
Breeder
Crafter
Farmer
Miner
Fisherman</v>
      </c>
      <c r="D11" s="16"/>
      <c r="E11" s="16"/>
      <c r="F11" s="16"/>
      <c r="G11" s="16"/>
      <c r="H11" s="16"/>
      <c r="I11" s="16"/>
      <c r="J11" s="16"/>
      <c r="K11" s="16"/>
      <c r="L11" s="16"/>
      <c r="M11" s="16"/>
      <c r="N11" s="16"/>
      <c r="O11" s="16"/>
      <c r="P11" s="16"/>
      <c r="Q11" s="16"/>
      <c r="R11" s="16">
        <f>IFERROR(__xludf.DUMMYFUNCTION("""COMPUTED_VALUE"""),0.0)</f>
        <v>0</v>
      </c>
      <c r="S11" s="16">
        <f>IFERROR(__xludf.DUMMYFUNCTION("""COMPUTED_VALUE"""),6.0)</f>
        <v>6</v>
      </c>
      <c r="T11" s="16">
        <f>IFERROR(__xludf.DUMMYFUNCTION("""COMPUTED_VALUE"""),6.0)</f>
        <v>6</v>
      </c>
      <c r="U11" s="16">
        <f>IFERROR(__xludf.DUMMYFUNCTION("""COMPUTED_VALUE"""),6.0)</f>
        <v>6</v>
      </c>
      <c r="V11" s="16">
        <f>IFERROR(__xludf.DUMMYFUNCTION("""COMPUTED_VALUE"""),6.0)</f>
        <v>6</v>
      </c>
      <c r="W11" s="16">
        <f>IFERROR(__xludf.DUMMYFUNCTION("""COMPUTED_VALUE"""),6.0)</f>
        <v>6</v>
      </c>
      <c r="X11" s="16">
        <f>IFERROR(__xludf.DUMMYFUNCTION("""COMPUTED_VALUE"""),6.0)</f>
        <v>6</v>
      </c>
      <c r="Y11" s="16">
        <f>IFERROR(__xludf.DUMMYFUNCTION("""COMPUTED_VALUE"""),6.0)</f>
        <v>6</v>
      </c>
      <c r="Z11" s="16">
        <f>IFERROR(__xludf.DUMMYFUNCTION("""COMPUTED_VALUE"""),6.0)</f>
        <v>6</v>
      </c>
      <c r="AA11" s="16">
        <f>IFERROR(__xludf.DUMMYFUNCTION("""COMPUTED_VALUE"""),6.0)</f>
        <v>6</v>
      </c>
      <c r="AB11" s="16">
        <f>IFERROR(__xludf.DUMMYFUNCTION("""COMPUTED_VALUE"""),6.0)</f>
        <v>6</v>
      </c>
      <c r="AC11" s="16">
        <f>IFERROR(__xludf.DUMMYFUNCTION("""COMPUTED_VALUE"""),6.0)</f>
        <v>6</v>
      </c>
      <c r="AD11" s="16">
        <f>IFERROR(__xludf.DUMMYFUNCTION("""COMPUTED_VALUE"""),6.0)</f>
        <v>6</v>
      </c>
      <c r="AE11" s="16">
        <f>IFERROR(__xludf.DUMMYFUNCTION("""COMPUTED_VALUE"""),6.0)</f>
        <v>6</v>
      </c>
      <c r="AF11" s="16">
        <f>IFERROR(__xludf.DUMMYFUNCTION("""COMPUTED_VALUE"""),6.0)</f>
        <v>6</v>
      </c>
      <c r="AG11" s="16">
        <f>IFERROR(__xludf.DUMMYFUNCTION("""COMPUTED_VALUE"""),6.0)</f>
        <v>6</v>
      </c>
      <c r="AH11" s="16">
        <f>IFERROR(__xludf.DUMMYFUNCTION("""COMPUTED_VALUE"""),6.0)</f>
        <v>6</v>
      </c>
      <c r="AI11" s="16">
        <f>IFERROR(__xludf.DUMMYFUNCTION("""COMPUTED_VALUE"""),6.0)</f>
        <v>6</v>
      </c>
      <c r="AJ11" s="16">
        <f>IFERROR(__xludf.DUMMYFUNCTION("""COMPUTED_VALUE"""),6.0)</f>
        <v>6</v>
      </c>
      <c r="AK11" s="16">
        <f>IFERROR(__xludf.DUMMYFUNCTION("""COMPUTED_VALUE"""),6.0)</f>
        <v>6</v>
      </c>
      <c r="AL11" s="16"/>
      <c r="AM11" s="16"/>
      <c r="AN11" s="16"/>
      <c r="AO11" s="16"/>
      <c r="AP11" s="16"/>
      <c r="AQ11" s="16"/>
      <c r="AR11" s="16"/>
      <c r="AS11" s="16"/>
      <c r="AT11" s="16"/>
      <c r="AU11" s="16"/>
      <c r="AV11" s="16"/>
      <c r="AW11" s="16"/>
      <c r="AX11" s="16"/>
    </row>
    <row r="12">
      <c r="A12" s="16" t="str">
        <f>IFERROR(__xludf.DUMMYFUNCTION("""COMPUTED_VALUE"""),"Knight")</f>
        <v>Knight</v>
      </c>
      <c r="B12" s="16" t="str">
        <f>IFERROR(__xludf.DUMMYFUNCTION("""COMPUTED_VALUE"""),"Rank 6 Physical, Melee,Ranged, Order, and Light,")</f>
        <v>Rank 6 Physical, Melee,Ranged, Order, and Light,</v>
      </c>
      <c r="C12" s="16" t="str">
        <f>IFERROR(__xludf.DUMMYFUNCTION("""COMPUTED_VALUE"""),"+10 Charisma 
Starts with the Ability “Spira Guard”")</f>
        <v>+10 Charisma 
Starts with the Ability “Spira Guard”</v>
      </c>
      <c r="D12" s="16"/>
      <c r="E12" s="16"/>
      <c r="F12" s="16"/>
      <c r="G12" s="16">
        <f>IFERROR(__xludf.DUMMYFUNCTION("""COMPUTED_VALUE"""),10.0)</f>
        <v>10</v>
      </c>
      <c r="H12" s="16"/>
      <c r="I12" s="16"/>
      <c r="J12" s="16"/>
      <c r="K12" s="16"/>
      <c r="L12" s="16"/>
      <c r="M12" s="16"/>
      <c r="N12" s="16"/>
      <c r="O12" s="16"/>
      <c r="P12" s="16"/>
      <c r="Q12" s="16"/>
      <c r="R12" s="16">
        <f>IFERROR(__xludf.DUMMYFUNCTION("""COMPUTED_VALUE"""),0.0)</f>
        <v>0</v>
      </c>
      <c r="S12" s="16"/>
      <c r="T12" s="16"/>
      <c r="U12" s="16"/>
      <c r="V12" s="16"/>
      <c r="W12" s="16">
        <f>IFERROR(__xludf.DUMMYFUNCTION("""COMPUTED_VALUE"""),6.0)</f>
        <v>6</v>
      </c>
      <c r="X12" s="16"/>
      <c r="Y12" s="16"/>
      <c r="Z12" s="16">
        <f>IFERROR(__xludf.DUMMYFUNCTION("""COMPUTED_VALUE"""),6.0)</f>
        <v>6</v>
      </c>
      <c r="AA12" s="16"/>
      <c r="AB12" s="16"/>
      <c r="AC12" s="16">
        <f>IFERROR(__xludf.DUMMYFUNCTION("""COMPUTED_VALUE"""),6.0)</f>
        <v>6</v>
      </c>
      <c r="AD12" s="16">
        <f>IFERROR(__xludf.DUMMYFUNCTION("""COMPUTED_VALUE"""),6.0)</f>
        <v>6</v>
      </c>
      <c r="AE12" s="16">
        <f>IFERROR(__xludf.DUMMYFUNCTION("""COMPUTED_VALUE"""),6.0)</f>
        <v>6</v>
      </c>
      <c r="AF12" s="16"/>
      <c r="AG12" s="16"/>
      <c r="AH12" s="16"/>
      <c r="AI12" s="16"/>
      <c r="AJ12" s="16"/>
      <c r="AK12" s="16"/>
      <c r="AL12" s="16"/>
      <c r="AM12" s="16"/>
      <c r="AN12" s="16"/>
      <c r="AO12" s="16"/>
      <c r="AP12" s="16"/>
      <c r="AQ12" s="16"/>
      <c r="AR12" s="16"/>
      <c r="AS12" s="16"/>
      <c r="AT12" s="16"/>
      <c r="AU12" s="16"/>
      <c r="AV12" s="16"/>
      <c r="AW12" s="16"/>
      <c r="AX12" s="16"/>
    </row>
    <row r="13">
      <c r="A13" s="16" t="str">
        <f>IFERROR(__xludf.DUMMYFUNCTION("""COMPUTED_VALUE"""),"Mage")</f>
        <v>Mage</v>
      </c>
      <c r="B13" s="16" t="str">
        <f>IFERROR(__xludf.DUMMYFUNCTION("""COMPUTED_VALUE"""),"Rank 9 Select 1 of any element. (excluding Zen and Acoustic)")</f>
        <v>Rank 9 Select 1 of any element. (excluding Zen and Acoustic)</v>
      </c>
      <c r="C13" s="16" t="str">
        <f>IFERROR(__xludf.DUMMYFUNCTION("""COMPUTED_VALUE"""),"You start off with 3 spells of your choosing from your selected element.
Spell costs are divided by 2 for the user.
Starts with 12 spell slots instead of 6
Can use Wisdom when attacking with a hit/miss spell.")</f>
        <v>You start off with 3 spells of your choosing from your selected element.
Spell costs are divided by 2 for the user.
Starts with 12 spell slots instead of 6
Can use Wisdom when attacking with a hit/miss spell.</v>
      </c>
      <c r="D13" s="16"/>
      <c r="E13" s="16"/>
      <c r="F13" s="16"/>
      <c r="G13" s="16"/>
      <c r="H13" s="16"/>
      <c r="I13" s="16"/>
      <c r="J13" s="16"/>
      <c r="K13" s="16"/>
      <c r="L13" s="16"/>
      <c r="M13" s="16"/>
      <c r="N13" s="16"/>
      <c r="O13" s="16"/>
      <c r="P13" s="16"/>
      <c r="Q13" s="16"/>
      <c r="R13" s="16">
        <f>IFERROR(__xludf.DUMMYFUNCTION("""COMPUTED_VALUE"""),1.0)</f>
        <v>1</v>
      </c>
      <c r="S13" s="16">
        <f>IFERROR(__xludf.DUMMYFUNCTION("""COMPUTED_VALUE"""),9.0)</f>
        <v>9</v>
      </c>
      <c r="T13" s="16">
        <f>IFERROR(__xludf.DUMMYFUNCTION("""COMPUTED_VALUE"""),9.0)</f>
        <v>9</v>
      </c>
      <c r="U13" s="16">
        <f>IFERROR(__xludf.DUMMYFUNCTION("""COMPUTED_VALUE"""),9.0)</f>
        <v>9</v>
      </c>
      <c r="V13" s="16">
        <f>IFERROR(__xludf.DUMMYFUNCTION("""COMPUTED_VALUE"""),9.0)</f>
        <v>9</v>
      </c>
      <c r="W13" s="16">
        <f>IFERROR(__xludf.DUMMYFUNCTION("""COMPUTED_VALUE"""),9.0)</f>
        <v>9</v>
      </c>
      <c r="X13" s="16">
        <f>IFERROR(__xludf.DUMMYFUNCTION("""COMPUTED_VALUE"""),9.0)</f>
        <v>9</v>
      </c>
      <c r="Y13" s="16">
        <f>IFERROR(__xludf.DUMMYFUNCTION("""COMPUTED_VALUE"""),9.0)</f>
        <v>9</v>
      </c>
      <c r="Z13" s="16">
        <f>IFERROR(__xludf.DUMMYFUNCTION("""COMPUTED_VALUE"""),9.0)</f>
        <v>9</v>
      </c>
      <c r="AA13" s="16">
        <f>IFERROR(__xludf.DUMMYFUNCTION("""COMPUTED_VALUE"""),9.0)</f>
        <v>9</v>
      </c>
      <c r="AB13" s="16">
        <f>IFERROR(__xludf.DUMMYFUNCTION("""COMPUTED_VALUE"""),9.0)</f>
        <v>9</v>
      </c>
      <c r="AC13" s="16">
        <f>IFERROR(__xludf.DUMMYFUNCTION("""COMPUTED_VALUE"""),9.0)</f>
        <v>9</v>
      </c>
      <c r="AD13" s="16">
        <f>IFERROR(__xludf.DUMMYFUNCTION("""COMPUTED_VALUE"""),9.0)</f>
        <v>9</v>
      </c>
      <c r="AE13" s="16">
        <f>IFERROR(__xludf.DUMMYFUNCTION("""COMPUTED_VALUE"""),9.0)</f>
        <v>9</v>
      </c>
      <c r="AF13" s="16">
        <f>IFERROR(__xludf.DUMMYFUNCTION("""COMPUTED_VALUE"""),9.0)</f>
        <v>9</v>
      </c>
      <c r="AG13" s="16">
        <f>IFERROR(__xludf.DUMMYFUNCTION("""COMPUTED_VALUE"""),9.0)</f>
        <v>9</v>
      </c>
      <c r="AH13" s="16">
        <f>IFERROR(__xludf.DUMMYFUNCTION("""COMPUTED_VALUE"""),9.0)</f>
        <v>9</v>
      </c>
      <c r="AI13" s="16">
        <f>IFERROR(__xludf.DUMMYFUNCTION("""COMPUTED_VALUE"""),9.0)</f>
        <v>9</v>
      </c>
      <c r="AJ13" s="16">
        <f>IFERROR(__xludf.DUMMYFUNCTION("""COMPUTED_VALUE"""),9.0)</f>
        <v>9</v>
      </c>
      <c r="AK13" s="16"/>
      <c r="AL13" s="16"/>
      <c r="AM13" s="16">
        <f>IFERROR(__xludf.DUMMYFUNCTION("""COMPUTED_VALUE"""),9.0)</f>
        <v>9</v>
      </c>
      <c r="AN13" s="16"/>
      <c r="AO13" s="16"/>
      <c r="AP13" s="16"/>
      <c r="AQ13" s="16"/>
      <c r="AR13" s="16"/>
      <c r="AS13" s="16"/>
      <c r="AT13" s="16"/>
      <c r="AU13" s="16"/>
      <c r="AV13" s="16"/>
      <c r="AW13" s="16"/>
      <c r="AX13" s="16"/>
    </row>
    <row r="14">
      <c r="A14" s="16" t="str">
        <f>IFERROR(__xludf.DUMMYFUNCTION("""COMPUTED_VALUE"""),"Marauder ")</f>
        <v>Marauder </v>
      </c>
      <c r="B14" s="16" t="str">
        <f>IFERROR(__xludf.DUMMYFUNCTION("""COMPUTED_VALUE"""),"Rank 6 Dark, Range, Melee, Physical")</f>
        <v>Rank 6 Dark, Range, Melee, Physical</v>
      </c>
      <c r="C14" s="16" t="str">
        <f>IFERROR(__xludf.DUMMYFUNCTION("""COMPUTED_VALUE"""),"+10 Charisma 
Get an extra loot roll.")</f>
        <v>+10 Charisma 
Get an extra loot roll.</v>
      </c>
      <c r="D14" s="16"/>
      <c r="E14" s="16"/>
      <c r="F14" s="16"/>
      <c r="G14" s="16">
        <f>IFERROR(__xludf.DUMMYFUNCTION("""COMPUTED_VALUE"""),10.0)</f>
        <v>10</v>
      </c>
      <c r="H14" s="16"/>
      <c r="I14" s="16"/>
      <c r="J14" s="16"/>
      <c r="K14" s="16"/>
      <c r="L14" s="16"/>
      <c r="M14" s="16"/>
      <c r="N14" s="16"/>
      <c r="O14" s="16"/>
      <c r="P14" s="16"/>
      <c r="Q14" s="16"/>
      <c r="R14" s="16">
        <f>IFERROR(__xludf.DUMMYFUNCTION("""COMPUTED_VALUE"""),0.0)</f>
        <v>0</v>
      </c>
      <c r="S14" s="16"/>
      <c r="T14" s="16"/>
      <c r="U14" s="16"/>
      <c r="V14" s="16"/>
      <c r="W14" s="16"/>
      <c r="X14" s="16">
        <f>IFERROR(__xludf.DUMMYFUNCTION("""COMPUTED_VALUE"""),6.0)</f>
        <v>6</v>
      </c>
      <c r="Y14" s="16"/>
      <c r="Z14" s="16"/>
      <c r="AA14" s="16"/>
      <c r="AB14" s="16"/>
      <c r="AC14" s="16">
        <f>IFERROR(__xludf.DUMMYFUNCTION("""COMPUTED_VALUE"""),6.0)</f>
        <v>6</v>
      </c>
      <c r="AD14" s="16">
        <f>IFERROR(__xludf.DUMMYFUNCTION("""COMPUTED_VALUE"""),6.0)</f>
        <v>6</v>
      </c>
      <c r="AE14" s="16">
        <f>IFERROR(__xludf.DUMMYFUNCTION("""COMPUTED_VALUE"""),6.0)</f>
        <v>6</v>
      </c>
      <c r="AF14" s="16"/>
      <c r="AG14" s="16"/>
      <c r="AH14" s="16"/>
      <c r="AI14" s="16"/>
      <c r="AJ14" s="16"/>
      <c r="AK14" s="16"/>
      <c r="AL14" s="16"/>
      <c r="AM14" s="16"/>
      <c r="AN14" s="16"/>
      <c r="AO14" s="16"/>
      <c r="AP14" s="16"/>
      <c r="AQ14" s="16"/>
      <c r="AR14" s="16"/>
      <c r="AS14" s="16"/>
      <c r="AT14" s="16"/>
      <c r="AU14" s="16"/>
      <c r="AV14" s="16"/>
      <c r="AW14" s="16"/>
      <c r="AX14" s="16"/>
    </row>
    <row r="15">
      <c r="A15" s="16" t="str">
        <f>IFERROR(__xludf.DUMMYFUNCTION("""COMPUTED_VALUE"""),"Merchant")</f>
        <v>Merchant</v>
      </c>
      <c r="B15" s="16" t="str">
        <f>IFERROR(__xludf.DUMMYFUNCTION("""COMPUTED_VALUE"""),"Rank 6 Ranged, Physical, Melee")</f>
        <v>Rank 6 Ranged, Physical, Melee</v>
      </c>
      <c r="C15" s="16" t="str">
        <f>IFERROR(__xludf.DUMMYFUNCTION("""COMPUTED_VALUE"""),"+20 Charisma when haggling over the price of something.
+5 Charisma
Starts with 120 backpack storage instead of 70.
Starts with 5 locations visited of choosing excluding your starting town.")</f>
        <v>+20 Charisma when haggling over the price of something.
+5 Charisma
Starts with 120 backpack storage instead of 70.
Starts with 5 locations visited of choosing excluding your starting town.</v>
      </c>
      <c r="D15" s="16"/>
      <c r="E15" s="16"/>
      <c r="F15" s="16"/>
      <c r="G15" s="16">
        <f>IFERROR(__xludf.DUMMYFUNCTION("""COMPUTED_VALUE"""),5.0)</f>
        <v>5</v>
      </c>
      <c r="H15" s="16"/>
      <c r="I15" s="16"/>
      <c r="J15" s="16"/>
      <c r="K15" s="16"/>
      <c r="L15" s="16"/>
      <c r="M15" s="16"/>
      <c r="N15" s="16"/>
      <c r="O15" s="16"/>
      <c r="P15" s="16"/>
      <c r="Q15" s="16"/>
      <c r="R15" s="16"/>
      <c r="S15" s="16"/>
      <c r="T15" s="16"/>
      <c r="U15" s="16"/>
      <c r="V15" s="16"/>
      <c r="W15" s="16"/>
      <c r="X15" s="16"/>
      <c r="Y15" s="16"/>
      <c r="Z15" s="16"/>
      <c r="AA15" s="16"/>
      <c r="AB15" s="16"/>
      <c r="AC15" s="16">
        <f>IFERROR(__xludf.DUMMYFUNCTION("""COMPUTED_VALUE"""),6.0)</f>
        <v>6</v>
      </c>
      <c r="AD15" s="16">
        <f>IFERROR(__xludf.DUMMYFUNCTION("""COMPUTED_VALUE"""),6.0)</f>
        <v>6</v>
      </c>
      <c r="AE15" s="16">
        <f>IFERROR(__xludf.DUMMYFUNCTION("""COMPUTED_VALUE"""),6.0)</f>
        <v>6</v>
      </c>
      <c r="AF15" s="16"/>
      <c r="AG15" s="16"/>
      <c r="AH15" s="16"/>
      <c r="AI15" s="16"/>
      <c r="AJ15" s="16"/>
      <c r="AK15" s="16"/>
      <c r="AL15" s="16"/>
      <c r="AM15" s="16"/>
      <c r="AN15" s="16"/>
      <c r="AO15" s="16"/>
      <c r="AP15" s="16"/>
      <c r="AQ15" s="16"/>
      <c r="AR15" s="16"/>
      <c r="AS15" s="16"/>
      <c r="AT15" s="16"/>
      <c r="AU15" s="16"/>
      <c r="AV15" s="16"/>
      <c r="AW15" s="16"/>
      <c r="AX15" s="16"/>
    </row>
    <row r="16">
      <c r="A16" s="16" t="str">
        <f>IFERROR(__xludf.DUMMYFUNCTION("""COMPUTED_VALUE"""),"Monk")</f>
        <v>Monk</v>
      </c>
      <c r="B16" s="16" t="str">
        <f>IFERROR(__xludf.DUMMYFUNCTION("""COMPUTED_VALUE"""),"Rank 6 in all elements. (Excluding Acoustic)")</f>
        <v>Rank 6 in all elements. (Excluding Acoustic)</v>
      </c>
      <c r="C16" s="16" t="str">
        <f>IFERROR(__xludf.DUMMYFUNCTION("""COMPUTED_VALUE"""),"Gains 25 HP and SP each turn in battle.
+2 to all perks.
Can use Wisdom when attacking with a hit/miss spell.")</f>
        <v>Gains 25 HP and SP each turn in battle.
+2 to all perks.
Can use Wisdom when attacking with a hit/miss spell.</v>
      </c>
      <c r="D16" s="16"/>
      <c r="E16" s="16"/>
      <c r="F16" s="16"/>
      <c r="G16" s="16">
        <f>IFERROR(__xludf.DUMMYFUNCTION("""COMPUTED_VALUE"""),2.0)</f>
        <v>2</v>
      </c>
      <c r="H16" s="16">
        <f>IFERROR(__xludf.DUMMYFUNCTION("""COMPUTED_VALUE"""),2.0)</f>
        <v>2</v>
      </c>
      <c r="I16" s="16">
        <f>IFERROR(__xludf.DUMMYFUNCTION("""COMPUTED_VALUE"""),2.0)</f>
        <v>2</v>
      </c>
      <c r="J16" s="16">
        <f>IFERROR(__xludf.DUMMYFUNCTION("""COMPUTED_VALUE"""),2.0)</f>
        <v>2</v>
      </c>
      <c r="K16" s="16">
        <f>IFERROR(__xludf.DUMMYFUNCTION("""COMPUTED_VALUE"""),2.0)</f>
        <v>2</v>
      </c>
      <c r="L16" s="16">
        <f>IFERROR(__xludf.DUMMYFUNCTION("""COMPUTED_VALUE"""),2.0)</f>
        <v>2</v>
      </c>
      <c r="M16" s="16"/>
      <c r="N16" s="16"/>
      <c r="O16" s="16"/>
      <c r="P16" s="16"/>
      <c r="Q16" s="16"/>
      <c r="R16" s="16">
        <f>IFERROR(__xludf.DUMMYFUNCTION("""COMPUTED_VALUE"""),0.0)</f>
        <v>0</v>
      </c>
      <c r="S16" s="16">
        <f>IFERROR(__xludf.DUMMYFUNCTION("""COMPUTED_VALUE"""),6.0)</f>
        <v>6</v>
      </c>
      <c r="T16" s="16">
        <f>IFERROR(__xludf.DUMMYFUNCTION("""COMPUTED_VALUE"""),6.0)</f>
        <v>6</v>
      </c>
      <c r="U16" s="16">
        <f>IFERROR(__xludf.DUMMYFUNCTION("""COMPUTED_VALUE"""),6.0)</f>
        <v>6</v>
      </c>
      <c r="V16" s="16">
        <f>IFERROR(__xludf.DUMMYFUNCTION("""COMPUTED_VALUE"""),6.0)</f>
        <v>6</v>
      </c>
      <c r="W16" s="16">
        <f>IFERROR(__xludf.DUMMYFUNCTION("""COMPUTED_VALUE"""),6.0)</f>
        <v>6</v>
      </c>
      <c r="X16" s="16">
        <f>IFERROR(__xludf.DUMMYFUNCTION("""COMPUTED_VALUE"""),6.0)</f>
        <v>6</v>
      </c>
      <c r="Y16" s="16">
        <f>IFERROR(__xludf.DUMMYFUNCTION("""COMPUTED_VALUE"""),6.0)</f>
        <v>6</v>
      </c>
      <c r="Z16" s="16">
        <f>IFERROR(__xludf.DUMMYFUNCTION("""COMPUTED_VALUE"""),6.0)</f>
        <v>6</v>
      </c>
      <c r="AA16" s="16">
        <f>IFERROR(__xludf.DUMMYFUNCTION("""COMPUTED_VALUE"""),6.0)</f>
        <v>6</v>
      </c>
      <c r="AB16" s="16">
        <f>IFERROR(__xludf.DUMMYFUNCTION("""COMPUTED_VALUE"""),6.0)</f>
        <v>6</v>
      </c>
      <c r="AC16" s="16">
        <f>IFERROR(__xludf.DUMMYFUNCTION("""COMPUTED_VALUE"""),6.0)</f>
        <v>6</v>
      </c>
      <c r="AD16" s="16">
        <f>IFERROR(__xludf.DUMMYFUNCTION("""COMPUTED_VALUE"""),6.0)</f>
        <v>6</v>
      </c>
      <c r="AE16" s="16">
        <f>IFERROR(__xludf.DUMMYFUNCTION("""COMPUTED_VALUE"""),6.0)</f>
        <v>6</v>
      </c>
      <c r="AF16" s="16">
        <f>IFERROR(__xludf.DUMMYFUNCTION("""COMPUTED_VALUE"""),6.0)</f>
        <v>6</v>
      </c>
      <c r="AG16" s="16">
        <f>IFERROR(__xludf.DUMMYFUNCTION("""COMPUTED_VALUE"""),6.0)</f>
        <v>6</v>
      </c>
      <c r="AH16" s="16">
        <f>IFERROR(__xludf.DUMMYFUNCTION("""COMPUTED_VALUE"""),6.0)</f>
        <v>6</v>
      </c>
      <c r="AI16" s="16">
        <f>IFERROR(__xludf.DUMMYFUNCTION("""COMPUTED_VALUE"""),6.0)</f>
        <v>6</v>
      </c>
      <c r="AJ16" s="16">
        <f>IFERROR(__xludf.DUMMYFUNCTION("""COMPUTED_VALUE"""),6.0)</f>
        <v>6</v>
      </c>
      <c r="AK16" s="16">
        <f>IFERROR(__xludf.DUMMYFUNCTION("""COMPUTED_VALUE"""),6.0)</f>
        <v>6</v>
      </c>
      <c r="AL16" s="16"/>
      <c r="AM16" s="16">
        <f>IFERROR(__xludf.DUMMYFUNCTION("""COMPUTED_VALUE"""),6.0)</f>
        <v>6</v>
      </c>
      <c r="AN16" s="16"/>
      <c r="AO16" s="16"/>
      <c r="AP16" s="16"/>
      <c r="AQ16" s="16"/>
      <c r="AR16" s="16"/>
      <c r="AS16" s="16"/>
      <c r="AT16" s="16"/>
      <c r="AU16" s="16"/>
      <c r="AV16" s="16"/>
      <c r="AW16" s="16"/>
      <c r="AX16" s="16"/>
    </row>
    <row r="17">
      <c r="A17" s="16" t="str">
        <f>IFERROR(__xludf.DUMMYFUNCTION("""COMPUTED_VALUE"""),"Ninja")</f>
        <v>Ninja</v>
      </c>
      <c r="B17" s="16" t="str">
        <f>IFERROR(__xludf.DUMMYFUNCTION("""COMPUTED_VALUE"""),"Rank 6 Dark, Range, Melee, Physical, Zen")</f>
        <v>Rank 6 Dark, Range, Melee, Physical, Zen</v>
      </c>
      <c r="C17" s="16" t="str">
        <f>IFERROR(__xludf.DUMMYFUNCTION("""COMPUTED_VALUE"""),"Restricted Class: (Must complete the quest ""TBD"" in Dragonscale Island Expansion to use this Class)
Roll a d40 when fleeing.")</f>
        <v>Restricted Class: (Must complete the quest "TBD" in Dragonscale Island Expansion to use this Class)
Roll a d40 when fleeing.</v>
      </c>
      <c r="D17" s="16"/>
      <c r="E17" s="16"/>
      <c r="F17" s="16"/>
      <c r="G17" s="16"/>
      <c r="H17" s="16"/>
      <c r="I17" s="16"/>
      <c r="J17" s="16"/>
      <c r="K17" s="16"/>
      <c r="L17" s="16"/>
      <c r="M17" s="16"/>
      <c r="N17" s="16"/>
      <c r="O17" s="16"/>
      <c r="P17" s="16"/>
      <c r="Q17" s="16"/>
      <c r="R17" s="16">
        <f>IFERROR(__xludf.DUMMYFUNCTION("""COMPUTED_VALUE"""),0.0)</f>
        <v>0</v>
      </c>
      <c r="S17" s="16"/>
      <c r="T17" s="16"/>
      <c r="U17" s="16"/>
      <c r="V17" s="16"/>
      <c r="W17" s="16"/>
      <c r="X17" s="16">
        <f>IFERROR(__xludf.DUMMYFUNCTION("""COMPUTED_VALUE"""),6.0)</f>
        <v>6</v>
      </c>
      <c r="Y17" s="16"/>
      <c r="Z17" s="16"/>
      <c r="AA17" s="16"/>
      <c r="AB17" s="16"/>
      <c r="AC17" s="16">
        <f>IFERROR(__xludf.DUMMYFUNCTION("""COMPUTED_VALUE"""),6.0)</f>
        <v>6</v>
      </c>
      <c r="AD17" s="16">
        <f>IFERROR(__xludf.DUMMYFUNCTION("""COMPUTED_VALUE"""),6.0)</f>
        <v>6</v>
      </c>
      <c r="AE17" s="16">
        <f>IFERROR(__xludf.DUMMYFUNCTION("""COMPUTED_VALUE"""),6.0)</f>
        <v>6</v>
      </c>
      <c r="AF17" s="16"/>
      <c r="AG17" s="16"/>
      <c r="AH17" s="16"/>
      <c r="AI17" s="16"/>
      <c r="AJ17" s="16"/>
      <c r="AK17" s="16">
        <f>IFERROR(__xludf.DUMMYFUNCTION("""COMPUTED_VALUE"""),6.0)</f>
        <v>6</v>
      </c>
      <c r="AL17" s="16"/>
      <c r="AM17" s="16"/>
      <c r="AN17" s="16"/>
      <c r="AO17" s="16"/>
      <c r="AP17" s="16"/>
      <c r="AQ17" s="16"/>
      <c r="AR17" s="16"/>
      <c r="AS17" s="16"/>
      <c r="AT17" s="16"/>
      <c r="AU17" s="16"/>
      <c r="AV17" s="16"/>
      <c r="AW17" s="16"/>
      <c r="AX17" s="16"/>
    </row>
    <row r="18">
      <c r="A18" s="16" t="str">
        <f>IFERROR(__xludf.DUMMYFUNCTION("""COMPUTED_VALUE"""),"Pirate")</f>
        <v>Pirate</v>
      </c>
      <c r="B18" s="16" t="str">
        <f>IFERROR(__xludf.DUMMYFUNCTION("""COMPUTED_VALUE"""),"Rank 6 Water")</f>
        <v>Rank 6 Water</v>
      </c>
      <c r="C18" s="16" t="str">
        <f>IFERROR(__xludf.DUMMYFUNCTION("""COMPUTED_VALUE"""),"X2 base stats while in water or traveling on ships.
Can use your Mobility bonus when attacking in water or on a ship.")</f>
        <v>X2 base stats while in water or traveling on ships.
Can use your Mobility bonus when attacking in water or on a ship.</v>
      </c>
      <c r="D18" s="16"/>
      <c r="E18" s="16"/>
      <c r="F18" s="16"/>
      <c r="G18" s="16"/>
      <c r="H18" s="16"/>
      <c r="I18" s="16"/>
      <c r="J18" s="16"/>
      <c r="K18" s="16"/>
      <c r="L18" s="16"/>
      <c r="M18" s="16"/>
      <c r="N18" s="16"/>
      <c r="O18" s="16"/>
      <c r="P18" s="16"/>
      <c r="Q18" s="16"/>
      <c r="R18" s="16">
        <f>IFERROR(__xludf.DUMMYFUNCTION("""COMPUTED_VALUE"""),0.0)</f>
        <v>0</v>
      </c>
      <c r="S18" s="16"/>
      <c r="T18" s="16">
        <f>IFERROR(__xludf.DUMMYFUNCTION("""COMPUTED_VALUE"""),6.0)</f>
        <v>6</v>
      </c>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c r="AX18" s="16"/>
    </row>
    <row r="19">
      <c r="A19" s="16" t="str">
        <f>IFERROR(__xludf.DUMMYFUNCTION("""COMPUTED_VALUE"""),"Priest")</f>
        <v>Priest</v>
      </c>
      <c r="B19" s="16" t="str">
        <f>IFERROR(__xludf.DUMMYFUNCTION("""COMPUTED_VALUE"""),"Rank 6 Order and Light.")</f>
        <v>Rank 6 Order and Light.</v>
      </c>
      <c r="C19" s="16" t="str">
        <f>IFERROR(__xludf.DUMMYFUNCTION("""COMPUTED_VALUE"""),"25% chance to be unaffected by a curse.
Immune To Light")</f>
        <v>25% chance to be unaffected by a curse.
Immune To Light</v>
      </c>
      <c r="D19" s="16"/>
      <c r="E19" s="16"/>
      <c r="F19" s="16"/>
      <c r="G19" s="16"/>
      <c r="H19" s="16"/>
      <c r="I19" s="16"/>
      <c r="J19" s="16"/>
      <c r="K19" s="16"/>
      <c r="L19" s="16"/>
      <c r="M19" s="16"/>
      <c r="N19" s="16"/>
      <c r="O19" s="16"/>
      <c r="P19" s="16"/>
      <c r="Q19" s="16"/>
      <c r="R19" s="16">
        <f>IFERROR(__xludf.DUMMYFUNCTION("""COMPUTED_VALUE"""),0.0)</f>
        <v>0</v>
      </c>
      <c r="S19" s="16"/>
      <c r="T19" s="16"/>
      <c r="U19" s="16"/>
      <c r="V19" s="16"/>
      <c r="W19" s="16">
        <f>IFERROR(__xludf.DUMMYFUNCTION("""COMPUTED_VALUE"""),6.0)</f>
        <v>6</v>
      </c>
      <c r="X19" s="16"/>
      <c r="Y19" s="16"/>
      <c r="Z19" s="16">
        <f>IFERROR(__xludf.DUMMYFUNCTION("""COMPUTED_VALUE"""),6.0)</f>
        <v>6</v>
      </c>
      <c r="AA19" s="16"/>
      <c r="AB19" s="16"/>
      <c r="AC19" s="16"/>
      <c r="AD19" s="16"/>
      <c r="AE19" s="16"/>
      <c r="AF19" s="16"/>
      <c r="AG19" s="16"/>
      <c r="AH19" s="16"/>
      <c r="AI19" s="16"/>
      <c r="AJ19" s="16"/>
      <c r="AK19" s="16"/>
      <c r="AL19" s="16"/>
      <c r="AM19" s="16"/>
      <c r="AN19" s="16"/>
      <c r="AO19" s="16"/>
      <c r="AP19" s="16"/>
      <c r="AQ19" s="16"/>
      <c r="AR19" s="16"/>
      <c r="AS19" s="16"/>
      <c r="AT19" s="16"/>
      <c r="AU19" s="16"/>
      <c r="AV19" s="16"/>
      <c r="AW19" s="16"/>
      <c r="AX19" s="16"/>
    </row>
    <row r="20">
      <c r="A20" s="16" t="str">
        <f>IFERROR(__xludf.DUMMYFUNCTION("""COMPUTED_VALUE"""),"Reaper")</f>
        <v>Reaper</v>
      </c>
      <c r="B20" s="16" t="str">
        <f>IFERROR(__xludf.DUMMYFUNCTION("""COMPUTED_VALUE"""),"Rank 6 Dark and Melee, Spirit")</f>
        <v>Rank 6 Dark and Melee, Spirit</v>
      </c>
      <c r="C20" s="16" t="str">
        <f>IFERROR(__xludf.DUMMYFUNCTION("""COMPUTED_VALUE"""),"100% chance on soul drop
50% chance to be unaffected by instant death.")</f>
        <v>100% chance on soul drop
50% chance to be unaffected by instant death.</v>
      </c>
      <c r="D20" s="16"/>
      <c r="E20" s="16"/>
      <c r="F20" s="16"/>
      <c r="G20" s="16"/>
      <c r="H20" s="16"/>
      <c r="I20" s="16"/>
      <c r="J20" s="16"/>
      <c r="K20" s="16"/>
      <c r="L20" s="16"/>
      <c r="M20" s="16"/>
      <c r="N20" s="16"/>
      <c r="O20" s="16"/>
      <c r="P20" s="16"/>
      <c r="Q20" s="16"/>
      <c r="R20" s="16">
        <f>IFERROR(__xludf.DUMMYFUNCTION("""COMPUTED_VALUE"""),0.0)</f>
        <v>0</v>
      </c>
      <c r="S20" s="16"/>
      <c r="T20" s="16"/>
      <c r="U20" s="16"/>
      <c r="V20" s="16"/>
      <c r="W20" s="16"/>
      <c r="X20" s="16">
        <f>IFERROR(__xludf.DUMMYFUNCTION("""COMPUTED_VALUE"""),6.0)</f>
        <v>6</v>
      </c>
      <c r="Y20" s="16">
        <f>IFERROR(__xludf.DUMMYFUNCTION("""COMPUTED_VALUE"""),6.0)</f>
        <v>6</v>
      </c>
      <c r="Z20" s="16"/>
      <c r="AA20" s="16"/>
      <c r="AB20" s="16"/>
      <c r="AC20" s="16"/>
      <c r="AD20" s="16">
        <f>IFERROR(__xludf.DUMMYFUNCTION("""COMPUTED_VALUE"""),6.0)</f>
        <v>6</v>
      </c>
      <c r="AE20" s="16"/>
      <c r="AF20" s="16"/>
      <c r="AG20" s="16"/>
      <c r="AH20" s="16"/>
      <c r="AI20" s="16"/>
      <c r="AJ20" s="16"/>
      <c r="AK20" s="16"/>
      <c r="AL20" s="16"/>
      <c r="AM20" s="16"/>
      <c r="AN20" s="16"/>
      <c r="AO20" s="16"/>
      <c r="AP20" s="16"/>
      <c r="AQ20" s="16"/>
      <c r="AR20" s="16"/>
      <c r="AS20" s="16"/>
      <c r="AT20" s="16"/>
      <c r="AU20" s="16"/>
      <c r="AV20" s="16"/>
      <c r="AW20" s="16"/>
      <c r="AX20" s="16"/>
    </row>
    <row r="21">
      <c r="A21" s="16" t="str">
        <f>IFERROR(__xludf.DUMMYFUNCTION("""COMPUTED_VALUE"""),"Samurai")</f>
        <v>Samurai</v>
      </c>
      <c r="B21" s="16" t="str">
        <f>IFERROR(__xludf.DUMMYFUNCTION("""COMPUTED_VALUE"""),"Rank 6 Melee")</f>
        <v>Rank 6 Melee</v>
      </c>
      <c r="C21" s="16"/>
      <c r="D21" s="16"/>
      <c r="E21" s="16"/>
      <c r="F21" s="16"/>
      <c r="G21" s="16"/>
      <c r="H21" s="16"/>
      <c r="I21" s="16"/>
      <c r="J21" s="16"/>
      <c r="K21" s="16"/>
      <c r="L21" s="16"/>
      <c r="M21" s="16"/>
      <c r="N21" s="16"/>
      <c r="O21" s="16"/>
      <c r="P21" s="16"/>
      <c r="Q21" s="16"/>
      <c r="R21" s="16">
        <f>IFERROR(__xludf.DUMMYFUNCTION("""COMPUTED_VALUE"""),0.0)</f>
        <v>0</v>
      </c>
      <c r="S21" s="16"/>
      <c r="T21" s="16"/>
      <c r="U21" s="16"/>
      <c r="V21" s="16"/>
      <c r="W21" s="16"/>
      <c r="X21" s="16"/>
      <c r="Y21" s="16"/>
      <c r="Z21" s="16"/>
      <c r="AA21" s="16"/>
      <c r="AB21" s="16"/>
      <c r="AC21" s="16"/>
      <c r="AD21" s="16">
        <f>IFERROR(__xludf.DUMMYFUNCTION("""COMPUTED_VALUE"""),6.0)</f>
        <v>6</v>
      </c>
      <c r="AE21" s="16"/>
      <c r="AF21" s="16"/>
      <c r="AG21" s="16"/>
      <c r="AH21" s="16"/>
      <c r="AI21" s="16"/>
      <c r="AJ21" s="16"/>
      <c r="AK21" s="16"/>
      <c r="AL21" s="16"/>
      <c r="AM21" s="16"/>
      <c r="AN21" s="16"/>
      <c r="AO21" s="16"/>
      <c r="AP21" s="16"/>
      <c r="AQ21" s="16"/>
      <c r="AR21" s="16"/>
      <c r="AS21" s="16"/>
      <c r="AT21" s="16"/>
      <c r="AU21" s="16"/>
      <c r="AV21" s="16"/>
      <c r="AW21" s="16"/>
      <c r="AX21" s="16"/>
    </row>
    <row r="22">
      <c r="A22" s="16" t="str">
        <f>IFERROR(__xludf.DUMMYFUNCTION("""COMPUTED_VALUE"""),"Shaman")</f>
        <v>Shaman</v>
      </c>
      <c r="B22" s="16" t="str">
        <f>IFERROR(__xludf.DUMMYFUNCTION("""COMPUTED_VALUE"""),"Rank 6 Nature, Chaos, and Order")</f>
        <v>Rank 6 Nature, Chaos, and Order</v>
      </c>
      <c r="C22" s="16" t="str">
        <f>IFERROR(__xludf.DUMMYFUNCTION("""COMPUTED_VALUE"""),"50% Chance to turn one Spirit type enemy into an ally of the party at the beginning of battle if there is one.")</f>
        <v>50% Chance to turn one Spirit type enemy into an ally of the party at the beginning of battle if there is one.</v>
      </c>
      <c r="D22" s="16"/>
      <c r="E22" s="16"/>
      <c r="F22" s="16"/>
      <c r="G22" s="16"/>
      <c r="H22" s="16"/>
      <c r="I22" s="16"/>
      <c r="J22" s="16"/>
      <c r="K22" s="16"/>
      <c r="L22" s="16"/>
      <c r="M22" s="16"/>
      <c r="N22" s="16"/>
      <c r="O22" s="16"/>
      <c r="P22" s="16"/>
      <c r="Q22" s="16"/>
      <c r="R22" s="16">
        <f>IFERROR(__xludf.DUMMYFUNCTION("""COMPUTED_VALUE"""),0.0)</f>
        <v>0</v>
      </c>
      <c r="S22" s="16"/>
      <c r="T22" s="16"/>
      <c r="U22" s="16"/>
      <c r="V22" s="16"/>
      <c r="W22" s="16"/>
      <c r="X22" s="16"/>
      <c r="Y22" s="16"/>
      <c r="Z22" s="16">
        <f>IFERROR(__xludf.DUMMYFUNCTION("""COMPUTED_VALUE"""),6.0)</f>
        <v>6</v>
      </c>
      <c r="AA22" s="16">
        <f>IFERROR(__xludf.DUMMYFUNCTION("""COMPUTED_VALUE"""),6.0)</f>
        <v>6</v>
      </c>
      <c r="AB22" s="16">
        <f>IFERROR(__xludf.DUMMYFUNCTION("""COMPUTED_VALUE"""),6.0)</f>
        <v>6</v>
      </c>
      <c r="AC22" s="16"/>
      <c r="AD22" s="16"/>
      <c r="AE22" s="16"/>
      <c r="AF22" s="16"/>
      <c r="AG22" s="16"/>
      <c r="AH22" s="16"/>
      <c r="AI22" s="16"/>
      <c r="AJ22" s="16"/>
      <c r="AK22" s="16"/>
      <c r="AL22" s="16"/>
      <c r="AM22" s="16"/>
      <c r="AN22" s="16"/>
      <c r="AO22" s="16"/>
      <c r="AP22" s="16"/>
      <c r="AQ22" s="16"/>
      <c r="AR22" s="16"/>
      <c r="AS22" s="16"/>
      <c r="AT22" s="16"/>
      <c r="AU22" s="16"/>
      <c r="AV22" s="16"/>
      <c r="AW22" s="16"/>
      <c r="AX22" s="16"/>
    </row>
    <row r="23">
      <c r="A23" s="16" t="str">
        <f>IFERROR(__xludf.DUMMYFUNCTION("""COMPUTED_VALUE"""),"Sorcerer")</f>
        <v>Sorcerer</v>
      </c>
      <c r="B23" s="16" t="str">
        <f>IFERROR(__xludf.DUMMYFUNCTION("""COMPUTED_VALUE"""),"Rank 6 select 3 of any element. (excluding Zen and Acoustic)")</f>
        <v>Rank 6 select 3 of any element. (excluding Zen and Acoustic)</v>
      </c>
      <c r="C23" s="16" t="str">
        <f>IFERROR(__xludf.DUMMYFUNCTION("""COMPUTED_VALUE"""),"X2 additional Spell damage.
Starts with 12 spell slots instead of 6.
Can use Wisdom when attacking with a hit/miss spell.")</f>
        <v>X2 additional Spell damage.
Starts with 12 spell slots instead of 6.
Can use Wisdom when attacking with a hit/miss spell.</v>
      </c>
      <c r="D23" s="16"/>
      <c r="E23" s="16"/>
      <c r="F23" s="16"/>
      <c r="G23" s="16"/>
      <c r="H23" s="16"/>
      <c r="I23" s="16"/>
      <c r="J23" s="16"/>
      <c r="K23" s="16"/>
      <c r="L23" s="16"/>
      <c r="M23" s="16"/>
      <c r="N23" s="16"/>
      <c r="O23" s="16"/>
      <c r="P23" s="16"/>
      <c r="Q23" s="16"/>
      <c r="R23" s="16">
        <f>IFERROR(__xludf.DUMMYFUNCTION("""COMPUTED_VALUE"""),3.0)</f>
        <v>3</v>
      </c>
      <c r="S23" s="16">
        <f>IFERROR(__xludf.DUMMYFUNCTION("""COMPUTED_VALUE"""),6.0)</f>
        <v>6</v>
      </c>
      <c r="T23" s="16">
        <f>IFERROR(__xludf.DUMMYFUNCTION("""COMPUTED_VALUE"""),6.0)</f>
        <v>6</v>
      </c>
      <c r="U23" s="16">
        <f>IFERROR(__xludf.DUMMYFUNCTION("""COMPUTED_VALUE"""),6.0)</f>
        <v>6</v>
      </c>
      <c r="V23" s="16">
        <f>IFERROR(__xludf.DUMMYFUNCTION("""COMPUTED_VALUE"""),6.0)</f>
        <v>6</v>
      </c>
      <c r="W23" s="16">
        <f>IFERROR(__xludf.DUMMYFUNCTION("""COMPUTED_VALUE"""),6.0)</f>
        <v>6</v>
      </c>
      <c r="X23" s="16">
        <f>IFERROR(__xludf.DUMMYFUNCTION("""COMPUTED_VALUE"""),6.0)</f>
        <v>6</v>
      </c>
      <c r="Y23" s="16">
        <f>IFERROR(__xludf.DUMMYFUNCTION("""COMPUTED_VALUE"""),6.0)</f>
        <v>6</v>
      </c>
      <c r="Z23" s="16">
        <f>IFERROR(__xludf.DUMMYFUNCTION("""COMPUTED_VALUE"""),6.0)</f>
        <v>6</v>
      </c>
      <c r="AA23" s="16">
        <f>IFERROR(__xludf.DUMMYFUNCTION("""COMPUTED_VALUE"""),6.0)</f>
        <v>6</v>
      </c>
      <c r="AB23" s="16">
        <f>IFERROR(__xludf.DUMMYFUNCTION("""COMPUTED_VALUE"""),6.0)</f>
        <v>6</v>
      </c>
      <c r="AC23" s="16">
        <f>IFERROR(__xludf.DUMMYFUNCTION("""COMPUTED_VALUE"""),6.0)</f>
        <v>6</v>
      </c>
      <c r="AD23" s="16">
        <f>IFERROR(__xludf.DUMMYFUNCTION("""COMPUTED_VALUE"""),6.0)</f>
        <v>6</v>
      </c>
      <c r="AE23" s="16">
        <f>IFERROR(__xludf.DUMMYFUNCTION("""COMPUTED_VALUE"""),6.0)</f>
        <v>6</v>
      </c>
      <c r="AF23" s="16">
        <f>IFERROR(__xludf.DUMMYFUNCTION("""COMPUTED_VALUE"""),6.0)</f>
        <v>6</v>
      </c>
      <c r="AG23" s="16">
        <f>IFERROR(__xludf.DUMMYFUNCTION("""COMPUTED_VALUE"""),6.0)</f>
        <v>6</v>
      </c>
      <c r="AH23" s="16">
        <f>IFERROR(__xludf.DUMMYFUNCTION("""COMPUTED_VALUE"""),6.0)</f>
        <v>6</v>
      </c>
      <c r="AI23" s="16">
        <f>IFERROR(__xludf.DUMMYFUNCTION("""COMPUTED_VALUE"""),6.0)</f>
        <v>6</v>
      </c>
      <c r="AJ23" s="16">
        <f>IFERROR(__xludf.DUMMYFUNCTION("""COMPUTED_VALUE"""),6.0)</f>
        <v>6</v>
      </c>
      <c r="AK23" s="16"/>
      <c r="AL23" s="16"/>
      <c r="AM23" s="16">
        <f>IFERROR(__xludf.DUMMYFUNCTION("""COMPUTED_VALUE"""),6.0)</f>
        <v>6</v>
      </c>
      <c r="AN23" s="16">
        <f>IFERROR(__xludf.DUMMYFUNCTION("""COMPUTED_VALUE"""),6.0)</f>
        <v>6</v>
      </c>
      <c r="AO23" s="16"/>
      <c r="AP23" s="16"/>
      <c r="AQ23" s="16"/>
      <c r="AR23" s="16"/>
      <c r="AS23" s="16"/>
      <c r="AT23" s="16"/>
      <c r="AU23" s="16"/>
      <c r="AV23" s="16"/>
      <c r="AW23" s="16"/>
      <c r="AX23" s="16"/>
    </row>
    <row r="24">
      <c r="A24" s="16" t="str">
        <f>IFERROR(__xludf.DUMMYFUNCTION("""COMPUTED_VALUE"""),"Viking")</f>
        <v>Viking</v>
      </c>
      <c r="B24" s="16" t="str">
        <f>IFERROR(__xludf.DUMMYFUNCTION("""COMPUTED_VALUE"""),"Rank 6 Nature,Melee, Physical")</f>
        <v>Rank 6 Nature,Melee, Physical</v>
      </c>
      <c r="C24" s="16" t="str">
        <f>IFERROR(__xludf.DUMMYFUNCTION("""COMPUTED_VALUE"""),"25% chance to be unaffected by weapon damage.
Forged weapons deal X4 damage for the user.")</f>
        <v>25% chance to be unaffected by weapon damage.
Forged weapons deal X4 damage for the user.</v>
      </c>
      <c r="D24" s="16"/>
      <c r="E24" s="16"/>
      <c r="F24" s="16"/>
      <c r="G24" s="16"/>
      <c r="H24" s="16"/>
      <c r="I24" s="16"/>
      <c r="J24" s="16"/>
      <c r="K24" s="16"/>
      <c r="L24" s="16"/>
      <c r="M24" s="16"/>
      <c r="N24" s="16"/>
      <c r="O24" s="16"/>
      <c r="P24" s="16"/>
      <c r="Q24" s="16"/>
      <c r="R24" s="16">
        <f>IFERROR(__xludf.DUMMYFUNCTION("""COMPUTED_VALUE"""),0.0)</f>
        <v>0</v>
      </c>
      <c r="S24" s="16"/>
      <c r="T24" s="16"/>
      <c r="U24" s="16"/>
      <c r="V24" s="16"/>
      <c r="W24" s="16"/>
      <c r="X24" s="16"/>
      <c r="Y24" s="16"/>
      <c r="Z24" s="16"/>
      <c r="AA24" s="16"/>
      <c r="AB24" s="16">
        <f>IFERROR(__xludf.DUMMYFUNCTION("""COMPUTED_VALUE"""),6.0)</f>
        <v>6</v>
      </c>
      <c r="AC24" s="16">
        <f>IFERROR(__xludf.DUMMYFUNCTION("""COMPUTED_VALUE"""),6.0)</f>
        <v>6</v>
      </c>
      <c r="AD24" s="16">
        <f>IFERROR(__xludf.DUMMYFUNCTION("""COMPUTED_VALUE"""),6.0)</f>
        <v>6</v>
      </c>
      <c r="AE24" s="16"/>
      <c r="AF24" s="16"/>
      <c r="AG24" s="16"/>
      <c r="AH24" s="16"/>
      <c r="AI24" s="16"/>
      <c r="AJ24" s="16"/>
      <c r="AK24" s="16"/>
      <c r="AL24" s="16"/>
      <c r="AM24" s="16"/>
      <c r="AN24" s="16"/>
      <c r="AO24" s="16"/>
      <c r="AP24" s="16"/>
      <c r="AQ24" s="16"/>
      <c r="AR24" s="16"/>
      <c r="AS24" s="16"/>
      <c r="AT24" s="16"/>
      <c r="AU24" s="16"/>
      <c r="AV24" s="16"/>
      <c r="AW24" s="16"/>
      <c r="AX24" s="16"/>
    </row>
    <row r="25">
      <c r="A25" s="16" t="str">
        <f>IFERROR(__xludf.DUMMYFUNCTION("""COMPUTED_VALUE"""),"Warrior")</f>
        <v>Warrior</v>
      </c>
      <c r="B25" s="16" t="str">
        <f>IFERROR(__xludf.DUMMYFUNCTION("""COMPUTED_VALUE"""),"Rank 6 Melee and Physical")</f>
        <v>Rank 6 Melee and Physical</v>
      </c>
      <c r="C25" s="16" t="str">
        <f>IFERROR(__xludf.DUMMYFUNCTION("""COMPUTED_VALUE"""),"Double the base defense of your armor and double the damage of your weapons.")</f>
        <v>Double the base defense of your armor and double the damage of your weapons.</v>
      </c>
      <c r="D25" s="16"/>
      <c r="E25" s="16"/>
      <c r="F25" s="16"/>
      <c r="G25" s="16"/>
      <c r="H25" s="16"/>
      <c r="I25" s="16"/>
      <c r="J25" s="16"/>
      <c r="K25" s="16"/>
      <c r="L25" s="16"/>
      <c r="M25" s="16"/>
      <c r="N25" s="16"/>
      <c r="O25" s="16"/>
      <c r="P25" s="16"/>
      <c r="Q25" s="16"/>
      <c r="R25" s="16">
        <f>IFERROR(__xludf.DUMMYFUNCTION("""COMPUTED_VALUE"""),0.0)</f>
        <v>0</v>
      </c>
      <c r="S25" s="16"/>
      <c r="T25" s="16"/>
      <c r="U25" s="16"/>
      <c r="V25" s="16"/>
      <c r="W25" s="16"/>
      <c r="X25" s="16"/>
      <c r="Y25" s="16"/>
      <c r="Z25" s="16"/>
      <c r="AA25" s="16"/>
      <c r="AB25" s="16"/>
      <c r="AC25" s="16">
        <f>IFERROR(__xludf.DUMMYFUNCTION("""COMPUTED_VALUE"""),6.0)</f>
        <v>6</v>
      </c>
      <c r="AD25" s="16">
        <f>IFERROR(__xludf.DUMMYFUNCTION("""COMPUTED_VALUE"""),6.0)</f>
        <v>6</v>
      </c>
      <c r="AE25" s="16"/>
      <c r="AF25" s="16"/>
      <c r="AG25" s="16"/>
      <c r="AH25" s="16"/>
      <c r="AI25" s="16"/>
      <c r="AJ25" s="16"/>
      <c r="AK25" s="16"/>
      <c r="AL25" s="16"/>
      <c r="AM25" s="16"/>
      <c r="AN25" s="16"/>
      <c r="AO25" s="16"/>
      <c r="AP25" s="16"/>
      <c r="AQ25" s="16"/>
      <c r="AR25" s="16"/>
      <c r="AS25" s="16"/>
      <c r="AT25" s="16"/>
      <c r="AU25" s="16"/>
      <c r="AV25" s="16"/>
      <c r="AW25" s="16"/>
      <c r="AX25" s="16"/>
    </row>
    <row r="26">
      <c r="A26" s="16" t="str">
        <f>IFERROR(__xludf.DUMMYFUNCTION("""COMPUTED_VALUE"""),"WeaponMaster")</f>
        <v>WeaponMaster</v>
      </c>
      <c r="B26" s="16" t="str">
        <f>IFERROR(__xludf.DUMMYFUNCTION("""COMPUTED_VALUE"""),"Rank 9 Melee")</f>
        <v>Rank 9 Melee</v>
      </c>
      <c r="C26" s="16" t="str">
        <f>IFERROR(__xludf.DUMMYFUNCTION("""COMPUTED_VALUE"""),"X4 damage to all weapons for self only.")</f>
        <v>X4 damage to all weapons for self only.</v>
      </c>
      <c r="D26" s="16"/>
      <c r="E26" s="16"/>
      <c r="F26" s="16"/>
      <c r="G26" s="16"/>
      <c r="H26" s="16"/>
      <c r="I26" s="16"/>
      <c r="J26" s="16"/>
      <c r="K26" s="16"/>
      <c r="L26" s="16"/>
      <c r="M26" s="16"/>
      <c r="N26" s="16"/>
      <c r="O26" s="16"/>
      <c r="P26" s="16"/>
      <c r="Q26" s="16"/>
      <c r="R26" s="16">
        <f>IFERROR(__xludf.DUMMYFUNCTION("""COMPUTED_VALUE"""),0.0)</f>
        <v>0</v>
      </c>
      <c r="S26" s="16"/>
      <c r="T26" s="16"/>
      <c r="U26" s="16"/>
      <c r="V26" s="16"/>
      <c r="W26" s="16"/>
      <c r="X26" s="16"/>
      <c r="Y26" s="16"/>
      <c r="Z26" s="16"/>
      <c r="AA26" s="16"/>
      <c r="AB26" s="16"/>
      <c r="AC26" s="16"/>
      <c r="AD26" s="16">
        <f>IFERROR(__xludf.DUMMYFUNCTION("""COMPUTED_VALUE"""),9.0)</f>
        <v>9</v>
      </c>
      <c r="AE26" s="16"/>
      <c r="AF26" s="16"/>
      <c r="AG26" s="16"/>
      <c r="AH26" s="16"/>
      <c r="AI26" s="16"/>
      <c r="AJ26" s="16"/>
      <c r="AK26" s="16"/>
      <c r="AL26" s="16"/>
      <c r="AM26" s="16"/>
      <c r="AN26" s="16"/>
      <c r="AO26" s="16"/>
      <c r="AP26" s="16"/>
      <c r="AQ26" s="16"/>
      <c r="AR26" s="16"/>
      <c r="AS26" s="16"/>
      <c r="AT26" s="16"/>
      <c r="AU26" s="16"/>
      <c r="AV26" s="16"/>
      <c r="AW26" s="16"/>
      <c r="AX26" s="16"/>
    </row>
    <row r="27">
      <c r="A27" s="16" t="str">
        <f>IFERROR(__xludf.DUMMYFUNCTION("""COMPUTED_VALUE"""),"Witch")</f>
        <v>Witch</v>
      </c>
      <c r="B27" s="16" t="str">
        <f>IFERROR(__xludf.DUMMYFUNCTION("""COMPUTED_VALUE"""),"Rank 6 Select 3 of any element. (excluding Zen and Acoustic)")</f>
        <v>Rank 6 Select 3 of any element. (excluding Zen and Acoustic)</v>
      </c>
      <c r="C27" s="16" t="str">
        <f>IFERROR(__xludf.DUMMYFUNCTION("""COMPUTED_VALUE"""),"Start with the class Alchemist.
+5 to alchemy rolls
25% chance to inflict the target that killed you with a random non-permanent disease.
Starts with 12 spell slots instead of 6.
Can use Wisdom when attacking with a hit/miss spell.")</f>
        <v>Start with the class Alchemist.
+5 to alchemy rolls
25% chance to inflict the target that killed you with a random non-permanent disease.
Starts with 12 spell slots instead of 6.
Can use Wisdom when attacking with a hit/miss spell.</v>
      </c>
      <c r="D27" s="16"/>
      <c r="E27" s="16"/>
      <c r="F27" s="16"/>
      <c r="G27" s="16"/>
      <c r="H27" s="16"/>
      <c r="I27" s="16"/>
      <c r="J27" s="16"/>
      <c r="K27" s="16"/>
      <c r="L27" s="16"/>
      <c r="M27" s="16"/>
      <c r="N27" s="16"/>
      <c r="O27" s="16"/>
      <c r="P27" s="16"/>
      <c r="Q27" s="16"/>
      <c r="R27" s="16">
        <f>IFERROR(__xludf.DUMMYFUNCTION("""COMPUTED_VALUE"""),3.0)</f>
        <v>3</v>
      </c>
      <c r="S27" s="16">
        <f>IFERROR(__xludf.DUMMYFUNCTION("""COMPUTED_VALUE"""),6.0)</f>
        <v>6</v>
      </c>
      <c r="T27" s="16">
        <f>IFERROR(__xludf.DUMMYFUNCTION("""COMPUTED_VALUE"""),6.0)</f>
        <v>6</v>
      </c>
      <c r="U27" s="16">
        <f>IFERROR(__xludf.DUMMYFUNCTION("""COMPUTED_VALUE"""),6.0)</f>
        <v>6</v>
      </c>
      <c r="V27" s="16">
        <f>IFERROR(__xludf.DUMMYFUNCTION("""COMPUTED_VALUE"""),6.0)</f>
        <v>6</v>
      </c>
      <c r="W27" s="16">
        <f>IFERROR(__xludf.DUMMYFUNCTION("""COMPUTED_VALUE"""),6.0)</f>
        <v>6</v>
      </c>
      <c r="X27" s="16">
        <f>IFERROR(__xludf.DUMMYFUNCTION("""COMPUTED_VALUE"""),6.0)</f>
        <v>6</v>
      </c>
      <c r="Y27" s="16">
        <f>IFERROR(__xludf.DUMMYFUNCTION("""COMPUTED_VALUE"""),6.0)</f>
        <v>6</v>
      </c>
      <c r="Z27" s="16">
        <f>IFERROR(__xludf.DUMMYFUNCTION("""COMPUTED_VALUE"""),6.0)</f>
        <v>6</v>
      </c>
      <c r="AA27" s="16">
        <f>IFERROR(__xludf.DUMMYFUNCTION("""COMPUTED_VALUE"""),6.0)</f>
        <v>6</v>
      </c>
      <c r="AB27" s="16">
        <f>IFERROR(__xludf.DUMMYFUNCTION("""COMPUTED_VALUE"""),6.0)</f>
        <v>6</v>
      </c>
      <c r="AC27" s="16">
        <f>IFERROR(__xludf.DUMMYFUNCTION("""COMPUTED_VALUE"""),6.0)</f>
        <v>6</v>
      </c>
      <c r="AD27" s="16">
        <f>IFERROR(__xludf.DUMMYFUNCTION("""COMPUTED_VALUE"""),6.0)</f>
        <v>6</v>
      </c>
      <c r="AE27" s="16">
        <f>IFERROR(__xludf.DUMMYFUNCTION("""COMPUTED_VALUE"""),6.0)</f>
        <v>6</v>
      </c>
      <c r="AF27" s="16">
        <f>IFERROR(__xludf.DUMMYFUNCTION("""COMPUTED_VALUE"""),6.0)</f>
        <v>6</v>
      </c>
      <c r="AG27" s="16">
        <f>IFERROR(__xludf.DUMMYFUNCTION("""COMPUTED_VALUE"""),6.0)</f>
        <v>6</v>
      </c>
      <c r="AH27" s="16">
        <f>IFERROR(__xludf.DUMMYFUNCTION("""COMPUTED_VALUE"""),6.0)</f>
        <v>6</v>
      </c>
      <c r="AI27" s="16">
        <f>IFERROR(__xludf.DUMMYFUNCTION("""COMPUTED_VALUE"""),6.0)</f>
        <v>6</v>
      </c>
      <c r="AJ27" s="16">
        <f>IFERROR(__xludf.DUMMYFUNCTION("""COMPUTED_VALUE"""),6.0)</f>
        <v>6</v>
      </c>
      <c r="AK27" s="16"/>
      <c r="AL27" s="16"/>
      <c r="AM27" s="16">
        <f>IFERROR(__xludf.DUMMYFUNCTION("""COMPUTED_VALUE"""),9.0)</f>
        <v>9</v>
      </c>
      <c r="AN27" s="16"/>
      <c r="AO27" s="16"/>
      <c r="AP27" s="16"/>
      <c r="AQ27" s="16"/>
      <c r="AR27" s="16"/>
      <c r="AS27" s="16"/>
      <c r="AT27" s="16"/>
      <c r="AU27" s="16"/>
      <c r="AV27" s="16"/>
      <c r="AW27" s="16"/>
      <c r="AX27" s="16"/>
    </row>
    <row r="28">
      <c r="A28" s="16" t="str">
        <f>IFERROR(__xludf.DUMMYFUNCTION("""COMPUTED_VALUE"""),"Wizard")</f>
        <v>Wizard</v>
      </c>
      <c r="B28" s="16" t="str">
        <f>IFERROR(__xludf.DUMMYFUNCTION("""COMPUTED_VALUE"""),"Rank 6 select 3 of any element. (excluding Zen and Acoustic)")</f>
        <v>Rank 6 select 3 of any element. (excluding Zen and Acoustic)</v>
      </c>
      <c r="C28" s="16" t="str">
        <f>IFERROR(__xludf.DUMMYFUNCTION("""COMPUTED_VALUE"""),"X4 to spell damage for the user.
Starts with 12 spell slots instead of 6.
Can use Wisdom when attacking with a hit/miss spell.")</f>
        <v>X4 to spell damage for the user.
Starts with 12 spell slots instead of 6.
Can use Wisdom when attacking with a hit/miss spell.</v>
      </c>
      <c r="D28" s="16"/>
      <c r="E28" s="16"/>
      <c r="F28" s="16"/>
      <c r="G28" s="16"/>
      <c r="H28" s="16"/>
      <c r="I28" s="16"/>
      <c r="J28" s="16"/>
      <c r="K28" s="16"/>
      <c r="L28" s="16"/>
      <c r="M28" s="16"/>
      <c r="N28" s="16"/>
      <c r="O28" s="16"/>
      <c r="P28" s="16"/>
      <c r="Q28" s="16"/>
      <c r="R28" s="16">
        <f>IFERROR(__xludf.DUMMYFUNCTION("""COMPUTED_VALUE"""),3.0)</f>
        <v>3</v>
      </c>
      <c r="S28" s="16">
        <f>IFERROR(__xludf.DUMMYFUNCTION("""COMPUTED_VALUE"""),6.0)</f>
        <v>6</v>
      </c>
      <c r="T28" s="16">
        <f>IFERROR(__xludf.DUMMYFUNCTION("""COMPUTED_VALUE"""),6.0)</f>
        <v>6</v>
      </c>
      <c r="U28" s="16">
        <f>IFERROR(__xludf.DUMMYFUNCTION("""COMPUTED_VALUE"""),6.0)</f>
        <v>6</v>
      </c>
      <c r="V28" s="16">
        <f>IFERROR(__xludf.DUMMYFUNCTION("""COMPUTED_VALUE"""),6.0)</f>
        <v>6</v>
      </c>
      <c r="W28" s="16">
        <f>IFERROR(__xludf.DUMMYFUNCTION("""COMPUTED_VALUE"""),6.0)</f>
        <v>6</v>
      </c>
      <c r="X28" s="16">
        <f>IFERROR(__xludf.DUMMYFUNCTION("""COMPUTED_VALUE"""),6.0)</f>
        <v>6</v>
      </c>
      <c r="Y28" s="16">
        <f>IFERROR(__xludf.DUMMYFUNCTION("""COMPUTED_VALUE"""),6.0)</f>
        <v>6</v>
      </c>
      <c r="Z28" s="16">
        <f>IFERROR(__xludf.DUMMYFUNCTION("""COMPUTED_VALUE"""),6.0)</f>
        <v>6</v>
      </c>
      <c r="AA28" s="16">
        <f>IFERROR(__xludf.DUMMYFUNCTION("""COMPUTED_VALUE"""),6.0)</f>
        <v>6</v>
      </c>
      <c r="AB28" s="16">
        <f>IFERROR(__xludf.DUMMYFUNCTION("""COMPUTED_VALUE"""),6.0)</f>
        <v>6</v>
      </c>
      <c r="AC28" s="16">
        <f>IFERROR(__xludf.DUMMYFUNCTION("""COMPUTED_VALUE"""),6.0)</f>
        <v>6</v>
      </c>
      <c r="AD28" s="16">
        <f>IFERROR(__xludf.DUMMYFUNCTION("""COMPUTED_VALUE"""),6.0)</f>
        <v>6</v>
      </c>
      <c r="AE28" s="16">
        <f>IFERROR(__xludf.DUMMYFUNCTION("""COMPUTED_VALUE"""),6.0)</f>
        <v>6</v>
      </c>
      <c r="AF28" s="16">
        <f>IFERROR(__xludf.DUMMYFUNCTION("""COMPUTED_VALUE"""),6.0)</f>
        <v>6</v>
      </c>
      <c r="AG28" s="16">
        <f>IFERROR(__xludf.DUMMYFUNCTION("""COMPUTED_VALUE"""),6.0)</f>
        <v>6</v>
      </c>
      <c r="AH28" s="16">
        <f>IFERROR(__xludf.DUMMYFUNCTION("""COMPUTED_VALUE"""),6.0)</f>
        <v>6</v>
      </c>
      <c r="AI28" s="16">
        <f>IFERROR(__xludf.DUMMYFUNCTION("""COMPUTED_VALUE"""),6.0)</f>
        <v>6</v>
      </c>
      <c r="AJ28" s="16">
        <f>IFERROR(__xludf.DUMMYFUNCTION("""COMPUTED_VALUE"""),6.0)</f>
        <v>6</v>
      </c>
      <c r="AK28" s="16"/>
      <c r="AL28" s="16"/>
      <c r="AM28" s="16">
        <f>IFERROR(__xludf.DUMMYFUNCTION("""COMPUTED_VALUE"""),6.0)</f>
        <v>6</v>
      </c>
      <c r="AN28" s="16"/>
      <c r="AO28" s="16"/>
      <c r="AP28" s="16"/>
      <c r="AQ28" s="16"/>
      <c r="AR28" s="16"/>
      <c r="AS28" s="16"/>
      <c r="AT28" s="16"/>
      <c r="AU28" s="16"/>
      <c r="AV28" s="16"/>
      <c r="AW28" s="16"/>
      <c r="AX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c r="AL29" s="16"/>
      <c r="AM29" s="16"/>
      <c r="AN29" s="16"/>
      <c r="AO29" s="16"/>
      <c r="AP29" s="16"/>
      <c r="AQ29" s="16"/>
      <c r="AR29" s="16"/>
      <c r="AS29" s="16"/>
      <c r="AT29" s="16"/>
      <c r="AU29" s="16"/>
      <c r="AV29" s="16"/>
      <c r="AW29" s="16"/>
      <c r="AX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c r="AW30" s="16"/>
      <c r="AX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c r="AS31" s="16"/>
      <c r="AT31" s="16"/>
      <c r="AU31" s="16"/>
      <c r="AV31" s="16"/>
      <c r="AW31" s="16"/>
      <c r="AX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c r="AV32" s="16"/>
      <c r="AW32" s="16"/>
      <c r="AX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c r="AS33" s="16"/>
      <c r="AT33" s="16"/>
      <c r="AU33" s="16"/>
      <c r="AV33" s="16"/>
      <c r="AW33" s="16"/>
      <c r="AX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c r="AX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c r="AX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c r="AX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c r="AX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c r="AW39" s="16"/>
      <c r="AX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c r="AX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c r="AU41" s="16"/>
      <c r="AV41" s="16"/>
      <c r="AW41" s="16"/>
      <c r="AX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c r="AS42" s="16"/>
      <c r="AT42" s="16"/>
      <c r="AU42" s="16"/>
      <c r="AV42" s="16"/>
      <c r="AW42" s="16"/>
      <c r="AX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c r="AW43" s="16"/>
      <c r="AX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c r="AW44" s="16"/>
      <c r="AX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c r="AX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6"/>
      <c r="AL48" s="16"/>
      <c r="AM48" s="16"/>
      <c r="AN48" s="16"/>
      <c r="AO48" s="16"/>
      <c r="AP48" s="16"/>
      <c r="AQ48" s="16"/>
      <c r="AR48" s="16"/>
      <c r="AS48" s="16"/>
      <c r="AT48" s="16"/>
      <c r="AU48" s="16"/>
      <c r="AV48" s="16"/>
      <c r="AW48" s="16"/>
      <c r="AX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c r="AI49" s="16"/>
      <c r="AJ49" s="16"/>
      <c r="AK49" s="16"/>
      <c r="AL49" s="16"/>
      <c r="AM49" s="16"/>
      <c r="AN49" s="16"/>
      <c r="AO49" s="16"/>
      <c r="AP49" s="16"/>
      <c r="AQ49" s="16"/>
      <c r="AR49" s="16"/>
      <c r="AS49" s="16"/>
      <c r="AT49" s="16"/>
      <c r="AU49" s="16"/>
      <c r="AV49" s="16"/>
      <c r="AW49" s="16"/>
      <c r="AX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6"/>
      <c r="AL50" s="16"/>
      <c r="AM50" s="16"/>
      <c r="AN50" s="16"/>
      <c r="AO50" s="16"/>
      <c r="AP50" s="16"/>
      <c r="AQ50" s="16"/>
      <c r="AR50" s="16"/>
      <c r="AS50" s="16"/>
      <c r="AT50" s="16"/>
      <c r="AU50" s="16"/>
      <c r="AV50" s="16"/>
      <c r="AW50" s="16"/>
      <c r="AX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c r="AL51" s="16"/>
      <c r="AM51" s="16"/>
      <c r="AN51" s="16"/>
      <c r="AO51" s="16"/>
      <c r="AP51" s="16"/>
      <c r="AQ51" s="16"/>
      <c r="AR51" s="16"/>
      <c r="AS51" s="16"/>
      <c r="AT51" s="16"/>
      <c r="AU51" s="16"/>
      <c r="AV51" s="16"/>
      <c r="AW51" s="16"/>
      <c r="AX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6"/>
      <c r="AI52" s="16"/>
      <c r="AJ52" s="16"/>
      <c r="AK52" s="16"/>
      <c r="AL52" s="16"/>
      <c r="AM52" s="16"/>
      <c r="AN52" s="16"/>
      <c r="AO52" s="16"/>
      <c r="AP52" s="16"/>
      <c r="AQ52" s="16"/>
      <c r="AR52" s="16"/>
      <c r="AS52" s="16"/>
      <c r="AT52" s="16"/>
      <c r="AU52" s="16"/>
      <c r="AV52" s="16"/>
      <c r="AW52" s="16"/>
      <c r="AX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c r="AX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c r="AX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c r="AX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c r="AX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c r="AX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6"/>
      <c r="AL63" s="16"/>
      <c r="AM63" s="16"/>
      <c r="AN63" s="16"/>
      <c r="AO63" s="16"/>
      <c r="AP63" s="16"/>
      <c r="AQ63" s="16"/>
      <c r="AR63" s="16"/>
      <c r="AS63" s="16"/>
      <c r="AT63" s="16"/>
      <c r="AU63" s="16"/>
      <c r="AV63" s="16"/>
      <c r="AW63" s="16"/>
      <c r="AX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c r="AX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c r="AX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c r="AX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c r="AL67" s="16"/>
      <c r="AM67" s="16"/>
      <c r="AN67" s="16"/>
      <c r="AO67" s="16"/>
      <c r="AP67" s="16"/>
      <c r="AQ67" s="16"/>
      <c r="AR67" s="16"/>
      <c r="AS67" s="16"/>
      <c r="AT67" s="16"/>
      <c r="AU67" s="16"/>
      <c r="AV67" s="16"/>
      <c r="AW67" s="16"/>
      <c r="AX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6"/>
      <c r="AL68" s="16"/>
      <c r="AM68" s="16"/>
      <c r="AN68" s="16"/>
      <c r="AO68" s="16"/>
      <c r="AP68" s="16"/>
      <c r="AQ68" s="16"/>
      <c r="AR68" s="16"/>
      <c r="AS68" s="16"/>
      <c r="AT68" s="16"/>
      <c r="AU68" s="16"/>
      <c r="AV68" s="16"/>
      <c r="AW68" s="16"/>
      <c r="AX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c r="AX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6"/>
      <c r="AL70" s="16"/>
      <c r="AM70" s="16"/>
      <c r="AN70" s="16"/>
      <c r="AO70" s="16"/>
      <c r="AP70" s="16"/>
      <c r="AQ70" s="16"/>
      <c r="AR70" s="16"/>
      <c r="AS70" s="16"/>
      <c r="AT70" s="16"/>
      <c r="AU70" s="16"/>
      <c r="AV70" s="16"/>
      <c r="AW70" s="16"/>
      <c r="AX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6"/>
      <c r="AL71" s="16"/>
      <c r="AM71" s="16"/>
      <c r="AN71" s="16"/>
      <c r="AO71" s="16"/>
      <c r="AP71" s="16"/>
      <c r="AQ71" s="16"/>
      <c r="AR71" s="16"/>
      <c r="AS71" s="16"/>
      <c r="AT71" s="16"/>
      <c r="AU71" s="16"/>
      <c r="AV71" s="16"/>
      <c r="AW71" s="16"/>
      <c r="AX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c r="AS72" s="16"/>
      <c r="AT72" s="16"/>
      <c r="AU72" s="16"/>
      <c r="AV72" s="16"/>
      <c r="AW72" s="16"/>
      <c r="AX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c r="AS73" s="16"/>
      <c r="AT73" s="16"/>
      <c r="AU73" s="16"/>
      <c r="AV73" s="16"/>
      <c r="AW73" s="16"/>
      <c r="AX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6"/>
      <c r="AU74" s="16"/>
      <c r="AV74" s="16"/>
      <c r="AW74" s="16"/>
      <c r="AX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c r="AS76" s="16"/>
      <c r="AT76" s="16"/>
      <c r="AU76" s="16"/>
      <c r="AV76" s="16"/>
      <c r="AW76" s="16"/>
      <c r="AX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c r="AS77" s="16"/>
      <c r="AT77" s="16"/>
      <c r="AU77" s="16"/>
      <c r="AV77" s="16"/>
      <c r="AW77" s="16"/>
      <c r="AX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X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c r="AX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c r="AX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c r="AS82" s="16"/>
      <c r="AT82" s="16"/>
      <c r="AU82" s="16"/>
      <c r="AV82" s="16"/>
      <c r="AW82" s="16"/>
      <c r="AX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c r="AS83" s="16"/>
      <c r="AT83" s="16"/>
      <c r="AU83" s="16"/>
      <c r="AV83" s="16"/>
      <c r="AW83" s="16"/>
      <c r="AX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c r="AS84" s="16"/>
      <c r="AT84" s="16"/>
      <c r="AU84" s="16"/>
      <c r="AV84" s="16"/>
      <c r="AW84" s="16"/>
      <c r="AX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c r="AX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c r="AS88" s="16"/>
      <c r="AT88" s="16"/>
      <c r="AU88" s="16"/>
      <c r="AV88" s="16"/>
      <c r="AW88" s="16"/>
      <c r="AX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c r="AX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c r="AS91" s="16"/>
      <c r="AT91" s="16"/>
      <c r="AU91" s="16"/>
      <c r="AV91" s="16"/>
      <c r="AW91" s="16"/>
      <c r="AX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c r="AX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c r="AX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c r="AX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c r="AX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c r="AW121" s="16"/>
      <c r="AX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c r="AW123" s="16"/>
      <c r="AX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c r="AW124" s="16"/>
      <c r="AX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c r="AW125" s="16"/>
      <c r="AX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c r="AW126" s="16"/>
      <c r="AX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c r="AW127" s="16"/>
      <c r="AX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c r="AW128" s="16"/>
      <c r="AX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c r="AW129" s="16"/>
      <c r="AX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c r="AW130" s="16"/>
      <c r="AX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c r="AW131" s="16"/>
      <c r="AX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c r="AW132" s="16"/>
      <c r="AX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c r="AW133" s="16"/>
      <c r="AX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c r="AW192" s="16"/>
      <c r="AX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c r="AW193" s="16"/>
      <c r="AX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c r="AW207" s="16"/>
      <c r="AX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c r="AW209" s="16"/>
      <c r="AX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c r="AW219" s="16"/>
      <c r="AX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c r="AW226" s="16"/>
      <c r="AX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c r="AW227" s="16"/>
      <c r="AX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c r="AW228" s="16"/>
      <c r="AX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c r="AW229" s="16"/>
      <c r="AX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c r="AW258" s="16"/>
      <c r="AX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c r="AW275" s="16"/>
      <c r="AX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c r="AW276" s="16"/>
      <c r="AX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c r="AW277" s="16"/>
      <c r="AX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V278" s="16"/>
      <c r="AW278" s="16"/>
      <c r="AX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c r="AW279" s="16"/>
      <c r="AX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V280" s="16"/>
      <c r="AW280" s="16"/>
      <c r="AX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V281" s="16"/>
      <c r="AW281" s="16"/>
      <c r="AX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V282" s="16"/>
      <c r="AW282" s="16"/>
      <c r="AX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c r="AW283" s="16"/>
      <c r="AX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c r="AW304" s="16"/>
      <c r="AX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V306" s="16"/>
      <c r="AW306" s="16"/>
      <c r="AX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c r="AW307" s="16"/>
      <c r="AX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V308" s="16"/>
      <c r="AW308" s="16"/>
      <c r="AX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c r="AW316" s="16"/>
      <c r="AX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V322" s="16"/>
      <c r="AW322" s="16"/>
      <c r="AX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c r="AW323" s="16"/>
      <c r="AX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V324" s="16"/>
      <c r="AW324" s="16"/>
      <c r="AX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c r="AW325" s="16"/>
      <c r="AX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V326" s="16"/>
      <c r="AW326" s="16"/>
      <c r="AX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V327" s="16"/>
      <c r="AW327" s="16"/>
      <c r="AX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V328" s="16"/>
      <c r="AW328" s="16"/>
      <c r="AX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V329" s="16"/>
      <c r="AW329" s="16"/>
      <c r="AX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c r="AW331" s="16"/>
      <c r="AX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V332" s="16"/>
      <c r="AW332" s="16"/>
      <c r="AX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V333" s="16"/>
      <c r="AW333" s="16"/>
      <c r="AX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V334" s="16"/>
      <c r="AW334" s="16"/>
      <c r="AX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V335" s="16"/>
      <c r="AW335" s="16"/>
      <c r="AX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c r="AW337" s="16"/>
      <c r="AX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c r="AW354" s="16"/>
      <c r="AX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V359" s="16"/>
      <c r="AW359" s="16"/>
      <c r="AX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V361" s="16"/>
      <c r="AW361" s="16"/>
      <c r="AX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V362" s="16"/>
      <c r="AW362" s="16"/>
      <c r="AX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c r="AW363" s="16"/>
      <c r="AX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V372" s="16"/>
      <c r="AW372" s="16"/>
      <c r="AX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V373" s="16"/>
      <c r="AW373" s="16"/>
      <c r="AX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c r="AW374" s="16"/>
      <c r="AX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c r="AW377" s="16"/>
      <c r="AX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c r="AW380" s="16"/>
      <c r="AX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c r="AW382" s="16"/>
      <c r="AX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V383" s="16"/>
      <c r="AW383" s="16"/>
      <c r="AX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V384" s="16"/>
      <c r="AW384" s="16"/>
      <c r="AX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V385" s="16"/>
      <c r="AW385" s="16"/>
      <c r="AX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c r="AV386" s="16"/>
      <c r="AW386" s="16"/>
      <c r="AX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U387" s="16"/>
      <c r="AV387" s="16"/>
      <c r="AW387" s="16"/>
      <c r="AX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c r="AV388" s="16"/>
      <c r="AW388" s="16"/>
      <c r="AX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c r="AV389" s="16"/>
      <c r="AW389" s="16"/>
      <c r="AX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c r="AV390" s="16"/>
      <c r="AW390" s="16"/>
      <c r="AX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c r="AV391" s="16"/>
      <c r="AW391" s="16"/>
      <c r="AX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U392" s="16"/>
      <c r="AV392" s="16"/>
      <c r="AW392" s="16"/>
      <c r="AX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c r="AV393" s="16"/>
      <c r="AW393" s="16"/>
      <c r="AX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V394" s="16"/>
      <c r="AW394" s="16"/>
      <c r="AX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U395" s="16"/>
      <c r="AV395" s="16"/>
      <c r="AW395" s="16"/>
      <c r="AX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V396" s="16"/>
      <c r="AW396" s="16"/>
      <c r="AX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c r="AV397" s="16"/>
      <c r="AW397" s="16"/>
      <c r="AX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V398" s="16"/>
      <c r="AW398" s="16"/>
      <c r="AX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V399" s="16"/>
      <c r="AW399" s="16"/>
      <c r="AX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V400" s="16"/>
      <c r="AW400" s="16"/>
      <c r="AX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c r="AW402" s="16"/>
      <c r="AX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V404" s="16"/>
      <c r="AW404" s="16"/>
      <c r="AX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c r="AW405" s="16"/>
      <c r="AX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V406" s="16"/>
      <c r="AW406" s="16"/>
      <c r="AX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c r="AW407" s="16"/>
      <c r="AX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V408" s="16"/>
      <c r="AW408" s="16"/>
      <c r="AX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c r="AW409" s="16"/>
      <c r="AX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V410" s="16"/>
      <c r="AW410" s="16"/>
      <c r="AX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V412" s="16"/>
      <c r="AW412" s="16"/>
      <c r="AX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V413" s="16"/>
      <c r="AW413" s="16"/>
      <c r="AX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c r="AV414" s="16"/>
      <c r="AW414" s="16"/>
      <c r="AX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c r="AV415" s="16"/>
      <c r="AW415" s="16"/>
      <c r="AX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U416" s="16"/>
      <c r="AV416" s="16"/>
      <c r="AW416" s="16"/>
      <c r="AX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c r="AV417" s="16"/>
      <c r="AW417" s="16"/>
      <c r="AX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c r="AV418" s="16"/>
      <c r="AW418" s="16"/>
      <c r="AX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V419" s="16"/>
      <c r="AW419" s="16"/>
      <c r="AX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c r="AV420" s="16"/>
      <c r="AW420" s="16"/>
      <c r="AX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V421" s="16"/>
      <c r="AW421" s="16"/>
      <c r="AX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c r="AV422" s="16"/>
      <c r="AW422" s="16"/>
      <c r="AX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c r="AW423" s="16"/>
      <c r="AX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V424" s="16"/>
      <c r="AW424" s="16"/>
      <c r="AX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c r="AV425" s="16"/>
      <c r="AW425" s="16"/>
      <c r="AX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V426" s="16"/>
      <c r="AW426" s="16"/>
      <c r="AX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V427" s="16"/>
      <c r="AW427" s="16"/>
      <c r="AX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c r="AU428" s="16"/>
      <c r="AV428" s="16"/>
      <c r="AW428" s="16"/>
      <c r="AX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V429" s="16"/>
      <c r="AW429" s="16"/>
      <c r="AX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V430" s="16"/>
      <c r="AW430" s="16"/>
      <c r="AX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V431" s="16"/>
      <c r="AW431" s="16"/>
      <c r="AX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V432" s="16"/>
      <c r="AW432" s="16"/>
      <c r="AX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c r="AV433" s="16"/>
      <c r="AW433" s="16"/>
      <c r="AX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c r="AU434" s="16"/>
      <c r="AV434" s="16"/>
      <c r="AW434" s="16"/>
      <c r="AX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c r="AU435" s="16"/>
      <c r="AV435" s="16"/>
      <c r="AW435" s="16"/>
      <c r="AX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c r="AV437" s="16"/>
      <c r="AW437" s="16"/>
      <c r="AX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c r="AU438" s="16"/>
      <c r="AV438" s="16"/>
      <c r="AW438" s="16"/>
      <c r="AX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c r="AS439" s="16"/>
      <c r="AT439" s="16"/>
      <c r="AU439" s="16"/>
      <c r="AV439" s="16"/>
      <c r="AW439" s="16"/>
      <c r="AX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c r="AS440" s="16"/>
      <c r="AT440" s="16"/>
      <c r="AU440" s="16"/>
      <c r="AV440" s="16"/>
      <c r="AW440" s="16"/>
      <c r="AX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U441" s="16"/>
      <c r="AV441" s="16"/>
      <c r="AW441" s="16"/>
      <c r="AX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c r="AS442" s="16"/>
      <c r="AT442" s="16"/>
      <c r="AU442" s="16"/>
      <c r="AV442" s="16"/>
      <c r="AW442" s="16"/>
      <c r="AX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c r="AS443" s="16"/>
      <c r="AT443" s="16"/>
      <c r="AU443" s="16"/>
      <c r="AV443" s="16"/>
      <c r="AW443" s="16"/>
      <c r="AX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c r="AU444" s="16"/>
      <c r="AV444" s="16"/>
      <c r="AW444" s="16"/>
      <c r="AX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c r="AS445" s="16"/>
      <c r="AT445" s="16"/>
      <c r="AU445" s="16"/>
      <c r="AV445" s="16"/>
      <c r="AW445" s="16"/>
      <c r="AX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c r="AS446" s="16"/>
      <c r="AT446" s="16"/>
      <c r="AU446" s="16"/>
      <c r="AV446" s="16"/>
      <c r="AW446" s="16"/>
      <c r="AX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c r="AR447" s="16"/>
      <c r="AS447" s="16"/>
      <c r="AT447" s="16"/>
      <c r="AU447" s="16"/>
      <c r="AV447" s="16"/>
      <c r="AW447" s="16"/>
      <c r="AX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c r="AS448" s="16"/>
      <c r="AT448" s="16"/>
      <c r="AU448" s="16"/>
      <c r="AV448" s="16"/>
      <c r="AW448" s="16"/>
      <c r="AX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c r="AS449" s="16"/>
      <c r="AT449" s="16"/>
      <c r="AU449" s="16"/>
      <c r="AV449" s="16"/>
      <c r="AW449" s="16"/>
      <c r="AX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c r="AS450" s="16"/>
      <c r="AT450" s="16"/>
      <c r="AU450" s="16"/>
      <c r="AV450" s="16"/>
      <c r="AW450" s="16"/>
      <c r="AX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c r="AU451" s="16"/>
      <c r="AV451" s="16"/>
      <c r="AW451" s="16"/>
      <c r="AX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c r="AS452" s="16"/>
      <c r="AT452" s="16"/>
      <c r="AU452" s="16"/>
      <c r="AV452" s="16"/>
      <c r="AW452" s="16"/>
      <c r="AX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c r="AU453" s="16"/>
      <c r="AV453" s="16"/>
      <c r="AW453" s="16"/>
      <c r="AX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V454" s="16"/>
      <c r="AW454" s="16"/>
      <c r="AX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c r="AU472" s="16"/>
      <c r="AV472" s="16"/>
      <c r="AW472" s="16"/>
      <c r="AX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U473" s="16"/>
      <c r="AV473" s="16"/>
      <c r="AW473" s="16"/>
      <c r="AX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c r="AU474" s="16"/>
      <c r="AV474" s="16"/>
      <c r="AW474" s="16"/>
      <c r="AX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c r="AU475" s="16"/>
      <c r="AV475" s="16"/>
      <c r="AW475" s="16"/>
      <c r="AX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c r="AS476" s="16"/>
      <c r="AT476" s="16"/>
      <c r="AU476" s="16"/>
      <c r="AV476" s="16"/>
      <c r="AW476" s="16"/>
      <c r="AX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c r="AS477" s="16"/>
      <c r="AT477" s="16"/>
      <c r="AU477" s="16"/>
      <c r="AV477" s="16"/>
      <c r="AW477" s="16"/>
      <c r="AX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c r="AS478" s="16"/>
      <c r="AT478" s="16"/>
      <c r="AU478" s="16"/>
      <c r="AV478" s="16"/>
      <c r="AW478" s="16"/>
      <c r="AX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c r="AS479" s="16"/>
      <c r="AT479" s="16"/>
      <c r="AU479" s="16"/>
      <c r="AV479" s="16"/>
      <c r="AW479" s="16"/>
      <c r="AX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c r="AU480" s="16"/>
      <c r="AV480" s="16"/>
      <c r="AW480" s="16"/>
      <c r="AX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c r="AS481" s="16"/>
      <c r="AT481" s="16"/>
      <c r="AU481" s="16"/>
      <c r="AV481" s="16"/>
      <c r="AW481" s="16"/>
      <c r="AX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c r="AU482" s="16"/>
      <c r="AV482" s="16"/>
      <c r="AW482" s="16"/>
      <c r="AX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U483" s="16"/>
      <c r="AV483" s="16"/>
      <c r="AW483" s="16"/>
      <c r="AX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c r="AU484" s="16"/>
      <c r="AV484" s="16"/>
      <c r="AW484" s="16"/>
      <c r="AX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c r="AU485" s="16"/>
      <c r="AV485" s="16"/>
      <c r="AW485" s="16"/>
      <c r="AX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c r="AU486" s="16"/>
      <c r="AV486" s="16"/>
      <c r="AW486" s="16"/>
      <c r="AX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c r="AS500" s="16"/>
      <c r="AT500" s="16"/>
      <c r="AU500" s="16"/>
      <c r="AV500" s="16"/>
      <c r="AW500" s="16"/>
      <c r="AX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c r="AS501" s="16"/>
      <c r="AT501" s="16"/>
      <c r="AU501" s="16"/>
      <c r="AV501" s="16"/>
      <c r="AW501" s="16"/>
      <c r="AX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c r="AS502" s="16"/>
      <c r="AT502" s="16"/>
      <c r="AU502" s="16"/>
      <c r="AV502" s="16"/>
      <c r="AW502" s="16"/>
      <c r="AX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c r="AS503" s="16"/>
      <c r="AT503" s="16"/>
      <c r="AU503" s="16"/>
      <c r="AV503" s="16"/>
      <c r="AW503" s="16"/>
      <c r="AX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c r="AU504" s="16"/>
      <c r="AV504" s="16"/>
      <c r="AW504" s="16"/>
      <c r="AX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c r="AS505" s="16"/>
      <c r="AT505" s="16"/>
      <c r="AU505" s="16"/>
      <c r="AV505" s="16"/>
      <c r="AW505" s="16"/>
      <c r="AX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c r="AU506" s="16"/>
      <c r="AV506" s="16"/>
      <c r="AW506" s="16"/>
      <c r="AX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c r="AS507" s="16"/>
      <c r="AT507" s="16"/>
      <c r="AU507" s="16"/>
      <c r="AV507" s="16"/>
      <c r="AW507" s="16"/>
      <c r="AX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c r="AU508" s="16"/>
      <c r="AV508" s="16"/>
      <c r="AW508" s="16"/>
      <c r="AX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c r="AU509" s="16"/>
      <c r="AV509" s="16"/>
      <c r="AW509" s="16"/>
      <c r="AX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c r="AU510" s="16"/>
      <c r="AV510" s="16"/>
      <c r="AW510" s="16"/>
      <c r="AX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c r="AU511" s="16"/>
      <c r="AV511" s="16"/>
      <c r="AW511" s="16"/>
      <c r="AX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U512" s="16"/>
      <c r="AV512" s="16"/>
      <c r="AW512" s="16"/>
      <c r="AX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c r="AU513" s="16"/>
      <c r="AV513" s="16"/>
      <c r="AW513" s="16"/>
      <c r="AX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c r="AU514" s="16"/>
      <c r="AV514" s="16"/>
      <c r="AW514" s="16"/>
      <c r="AX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c r="AS515" s="16"/>
      <c r="AT515" s="16"/>
      <c r="AU515" s="16"/>
      <c r="AV515" s="16"/>
      <c r="AW515" s="16"/>
      <c r="AX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c r="AV516" s="16"/>
      <c r="AW516" s="16"/>
      <c r="AX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U517" s="16"/>
      <c r="AV517" s="16"/>
      <c r="AW517" s="16"/>
      <c r="AX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V518" s="16"/>
      <c r="AW518" s="16"/>
      <c r="AX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c r="AU519" s="16"/>
      <c r="AV519" s="16"/>
      <c r="AW519" s="16"/>
      <c r="AX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U520" s="16"/>
      <c r="AV520" s="16"/>
      <c r="AW520" s="16"/>
      <c r="AX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U521" s="16"/>
      <c r="AV521" s="16"/>
      <c r="AW521" s="16"/>
      <c r="AX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c r="AU522" s="16"/>
      <c r="AV522" s="16"/>
      <c r="AW522" s="16"/>
      <c r="AX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c r="AS523" s="16"/>
      <c r="AT523" s="16"/>
      <c r="AU523" s="16"/>
      <c r="AV523" s="16"/>
      <c r="AW523" s="16"/>
      <c r="AX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V524" s="16"/>
      <c r="AW524" s="16"/>
      <c r="AX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c r="AS525" s="16"/>
      <c r="AT525" s="16"/>
      <c r="AU525" s="16"/>
      <c r="AV525" s="16"/>
      <c r="AW525" s="16"/>
      <c r="AX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c r="AU526" s="16"/>
      <c r="AV526" s="16"/>
      <c r="AW526" s="16"/>
      <c r="AX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c r="AU527" s="16"/>
      <c r="AV527" s="16"/>
      <c r="AW527" s="16"/>
      <c r="AX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c r="AS528" s="16"/>
      <c r="AT528" s="16"/>
      <c r="AU528" s="16"/>
      <c r="AV528" s="16"/>
      <c r="AW528" s="16"/>
      <c r="AX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c r="AU529" s="16"/>
      <c r="AV529" s="16"/>
      <c r="AW529" s="16"/>
      <c r="AX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c r="AS530" s="16"/>
      <c r="AT530" s="16"/>
      <c r="AU530" s="16"/>
      <c r="AV530" s="16"/>
      <c r="AW530" s="16"/>
      <c r="AX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U531" s="16"/>
      <c r="AV531" s="16"/>
      <c r="AW531" s="16"/>
      <c r="AX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c r="AS532" s="16"/>
      <c r="AT532" s="16"/>
      <c r="AU532" s="16"/>
      <c r="AV532" s="16"/>
      <c r="AW532" s="16"/>
      <c r="AX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c r="AS546" s="16"/>
      <c r="AT546" s="16"/>
      <c r="AU546" s="16"/>
      <c r="AV546" s="16"/>
      <c r="AW546" s="16"/>
      <c r="AX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c r="AV547" s="16"/>
      <c r="AW547" s="16"/>
      <c r="AX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c r="AR548" s="16"/>
      <c r="AS548" s="16"/>
      <c r="AT548" s="16"/>
      <c r="AU548" s="16"/>
      <c r="AV548" s="16"/>
      <c r="AW548" s="16"/>
      <c r="AX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V549" s="16"/>
      <c r="AW549" s="16"/>
      <c r="AX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c r="AS550" s="16"/>
      <c r="AT550" s="16"/>
      <c r="AU550" s="16"/>
      <c r="AV550" s="16"/>
      <c r="AW550" s="16"/>
      <c r="AX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V551" s="16"/>
      <c r="AW551" s="16"/>
      <c r="AX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c r="AS552" s="16"/>
      <c r="AT552" s="16"/>
      <c r="AU552" s="16"/>
      <c r="AV552" s="16"/>
      <c r="AW552" s="16"/>
      <c r="AX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c r="AS554" s="16"/>
      <c r="AT554" s="16"/>
      <c r="AU554" s="16"/>
      <c r="AV554" s="16"/>
      <c r="AW554" s="16"/>
      <c r="AX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V555" s="16"/>
      <c r="AW555" s="16"/>
      <c r="AX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c r="AS556" s="16"/>
      <c r="AT556" s="16"/>
      <c r="AU556" s="16"/>
      <c r="AV556" s="16"/>
      <c r="AW556" s="16"/>
      <c r="AX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V557" s="16"/>
      <c r="AW557" s="16"/>
      <c r="AX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16"/>
      <c r="AO574" s="16"/>
      <c r="AP574" s="16"/>
      <c r="AQ574" s="16"/>
      <c r="AR574" s="16"/>
      <c r="AS574" s="16"/>
      <c r="AT574" s="16"/>
      <c r="AU574" s="16"/>
      <c r="AV574" s="16"/>
      <c r="AW574" s="16"/>
      <c r="AX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c r="AR575" s="16"/>
      <c r="AS575" s="16"/>
      <c r="AT575" s="16"/>
      <c r="AU575" s="16"/>
      <c r="AV575" s="16"/>
      <c r="AW575" s="16"/>
      <c r="AX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U576" s="16"/>
      <c r="AV576" s="16"/>
      <c r="AW576" s="16"/>
      <c r="AX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V577" s="16"/>
      <c r="AW577" s="16"/>
      <c r="AX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c r="AR578" s="16"/>
      <c r="AS578" s="16"/>
      <c r="AT578" s="16"/>
      <c r="AU578" s="16"/>
      <c r="AV578" s="16"/>
      <c r="AW578" s="16"/>
      <c r="AX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16"/>
      <c r="AO579" s="16"/>
      <c r="AP579" s="16"/>
      <c r="AQ579" s="16"/>
      <c r="AR579" s="16"/>
      <c r="AS579" s="16"/>
      <c r="AT579" s="16"/>
      <c r="AU579" s="16"/>
      <c r="AV579" s="16"/>
      <c r="AW579" s="16"/>
      <c r="AX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c r="AM580" s="16"/>
      <c r="AN580" s="16"/>
      <c r="AO580" s="16"/>
      <c r="AP580" s="16"/>
      <c r="AQ580" s="16"/>
      <c r="AR580" s="16"/>
      <c r="AS580" s="16"/>
      <c r="AT580" s="16"/>
      <c r="AU580" s="16"/>
      <c r="AV580" s="16"/>
      <c r="AW580" s="16"/>
      <c r="AX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c r="AP581" s="16"/>
      <c r="AQ581" s="16"/>
      <c r="AR581" s="16"/>
      <c r="AS581" s="16"/>
      <c r="AT581" s="16"/>
      <c r="AU581" s="16"/>
      <c r="AV581" s="16"/>
      <c r="AW581" s="16"/>
      <c r="AX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c r="AR582" s="16"/>
      <c r="AS582" s="16"/>
      <c r="AT582" s="16"/>
      <c r="AU582" s="16"/>
      <c r="AV582" s="16"/>
      <c r="AW582" s="16"/>
      <c r="AX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c r="AR583" s="16"/>
      <c r="AS583" s="16"/>
      <c r="AT583" s="16"/>
      <c r="AU583" s="16"/>
      <c r="AV583" s="16"/>
      <c r="AW583" s="16"/>
      <c r="AX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V598" s="16"/>
      <c r="AW598" s="16"/>
      <c r="AX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c r="AL606" s="16"/>
      <c r="AM606" s="16"/>
      <c r="AN606" s="16"/>
      <c r="AO606" s="16"/>
      <c r="AP606" s="16"/>
      <c r="AQ606" s="16"/>
      <c r="AR606" s="16"/>
      <c r="AS606" s="16"/>
      <c r="AT606" s="16"/>
      <c r="AU606" s="16"/>
      <c r="AV606" s="16"/>
      <c r="AW606" s="16"/>
      <c r="AX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c r="AM607" s="16"/>
      <c r="AN607" s="16"/>
      <c r="AO607" s="16"/>
      <c r="AP607" s="16"/>
      <c r="AQ607" s="16"/>
      <c r="AR607" s="16"/>
      <c r="AS607" s="16"/>
      <c r="AT607" s="16"/>
      <c r="AU607" s="16"/>
      <c r="AV607" s="16"/>
      <c r="AW607" s="16"/>
      <c r="AX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c r="AR608" s="16"/>
      <c r="AS608" s="16"/>
      <c r="AT608" s="16"/>
      <c r="AU608" s="16"/>
      <c r="AV608" s="16"/>
      <c r="AW608" s="16"/>
      <c r="AX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c r="AR609" s="16"/>
      <c r="AS609" s="16"/>
      <c r="AT609" s="16"/>
      <c r="AU609" s="16"/>
      <c r="AV609" s="16"/>
      <c r="AW609" s="16"/>
      <c r="AX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c r="AP610" s="16"/>
      <c r="AQ610" s="16"/>
      <c r="AR610" s="16"/>
      <c r="AS610" s="16"/>
      <c r="AT610" s="16"/>
      <c r="AU610" s="16"/>
      <c r="AV610" s="16"/>
      <c r="AW610" s="16"/>
      <c r="AX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V611" s="16"/>
      <c r="AW611" s="16"/>
      <c r="AX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V612" s="16"/>
      <c r="AW612" s="16"/>
      <c r="AX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c r="AR613" s="16"/>
      <c r="AS613" s="16"/>
      <c r="AT613" s="16"/>
      <c r="AU613" s="16"/>
      <c r="AV613" s="16"/>
      <c r="AW613" s="16"/>
      <c r="AX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c r="AS614" s="16"/>
      <c r="AT614" s="16"/>
      <c r="AU614" s="16"/>
      <c r="AV614" s="16"/>
      <c r="AW614" s="16"/>
      <c r="AX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c r="AR615" s="16"/>
      <c r="AS615" s="16"/>
      <c r="AT615" s="16"/>
      <c r="AU615" s="16"/>
      <c r="AV615" s="16"/>
      <c r="AW615" s="16"/>
      <c r="AX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V617" s="16"/>
      <c r="AW617" s="16"/>
      <c r="AX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c r="AU629" s="16"/>
      <c r="AV629" s="16"/>
      <c r="AW629" s="16"/>
      <c r="AX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c r="AS630" s="16"/>
      <c r="AT630" s="16"/>
      <c r="AU630" s="16"/>
      <c r="AV630" s="16"/>
      <c r="AW630" s="16"/>
      <c r="AX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c r="AS631" s="16"/>
      <c r="AT631" s="16"/>
      <c r="AU631" s="16"/>
      <c r="AV631" s="16"/>
      <c r="AW631" s="16"/>
      <c r="AX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c r="AU632" s="16"/>
      <c r="AV632" s="16"/>
      <c r="AW632" s="16"/>
      <c r="AX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c r="AS633" s="16"/>
      <c r="AT633" s="16"/>
      <c r="AU633" s="16"/>
      <c r="AV633" s="16"/>
      <c r="AW633" s="16"/>
      <c r="AX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c r="AR634" s="16"/>
      <c r="AS634" s="16"/>
      <c r="AT634" s="16"/>
      <c r="AU634" s="16"/>
      <c r="AV634" s="16"/>
      <c r="AW634" s="16"/>
      <c r="AX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c r="AR635" s="16"/>
      <c r="AS635" s="16"/>
      <c r="AT635" s="16"/>
      <c r="AU635" s="16"/>
      <c r="AV635" s="16"/>
      <c r="AW635" s="16"/>
      <c r="AX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c r="AS636" s="16"/>
      <c r="AT636" s="16"/>
      <c r="AU636" s="16"/>
      <c r="AV636" s="16"/>
      <c r="AW636" s="16"/>
      <c r="AX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c r="AR637" s="16"/>
      <c r="AS637" s="16"/>
      <c r="AT637" s="16"/>
      <c r="AU637" s="16"/>
      <c r="AV637" s="16"/>
      <c r="AW637" s="16"/>
      <c r="AX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c r="AS638" s="16"/>
      <c r="AT638" s="16"/>
      <c r="AU638" s="16"/>
      <c r="AV638" s="16"/>
      <c r="AW638" s="16"/>
      <c r="AX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c r="AP639" s="16"/>
      <c r="AQ639" s="16"/>
      <c r="AR639" s="16"/>
      <c r="AS639" s="16"/>
      <c r="AT639" s="16"/>
      <c r="AU639" s="16"/>
      <c r="AV639" s="16"/>
      <c r="AW639" s="16"/>
      <c r="AX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c r="AR640" s="16"/>
      <c r="AS640" s="16"/>
      <c r="AT640" s="16"/>
      <c r="AU640" s="16"/>
      <c r="AV640" s="16"/>
      <c r="AW640" s="16"/>
      <c r="AX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c r="AQ641" s="16"/>
      <c r="AR641" s="16"/>
      <c r="AS641" s="16"/>
      <c r="AT641" s="16"/>
      <c r="AU641" s="16"/>
      <c r="AV641" s="16"/>
      <c r="AW641" s="16"/>
      <c r="AX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c r="AU642" s="16"/>
      <c r="AV642" s="16"/>
      <c r="AW642" s="16"/>
      <c r="AX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c r="AP643" s="16"/>
      <c r="AQ643" s="16"/>
      <c r="AR643" s="16"/>
      <c r="AS643" s="16"/>
      <c r="AT643" s="16"/>
      <c r="AU643" s="16"/>
      <c r="AV643" s="16"/>
      <c r="AW643" s="16"/>
      <c r="AX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c r="AS644" s="16"/>
      <c r="AT644" s="16"/>
      <c r="AU644" s="16"/>
      <c r="AV644" s="16"/>
      <c r="AW644" s="16"/>
      <c r="AX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c r="AP645" s="16"/>
      <c r="AQ645" s="16"/>
      <c r="AR645" s="16"/>
      <c r="AS645" s="16"/>
      <c r="AT645" s="16"/>
      <c r="AU645" s="16"/>
      <c r="AV645" s="16"/>
      <c r="AW645" s="16"/>
      <c r="AX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c r="AR646" s="16"/>
      <c r="AS646" s="16"/>
      <c r="AT646" s="16"/>
      <c r="AU646" s="16"/>
      <c r="AV646" s="16"/>
      <c r="AW646" s="16"/>
      <c r="AX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c r="AQ647" s="16"/>
      <c r="AR647" s="16"/>
      <c r="AS647" s="16"/>
      <c r="AT647" s="16"/>
      <c r="AU647" s="16"/>
      <c r="AV647" s="16"/>
      <c r="AW647" s="16"/>
      <c r="AX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c r="AU648" s="16"/>
      <c r="AV648" s="16"/>
      <c r="AW648" s="16"/>
      <c r="AX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16"/>
      <c r="AS649" s="16"/>
      <c r="AT649" s="16"/>
      <c r="AU649" s="16"/>
      <c r="AV649" s="16"/>
      <c r="AW649" s="16"/>
      <c r="AX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c r="AR650" s="16"/>
      <c r="AS650" s="16"/>
      <c r="AT650" s="16"/>
      <c r="AU650" s="16"/>
      <c r="AV650" s="16"/>
      <c r="AW650" s="16"/>
      <c r="AX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c r="AP651" s="16"/>
      <c r="AQ651" s="16"/>
      <c r="AR651" s="16"/>
      <c r="AS651" s="16"/>
      <c r="AT651" s="16"/>
      <c r="AU651" s="16"/>
      <c r="AV651" s="16"/>
      <c r="AW651" s="16"/>
      <c r="AX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c r="AR652" s="16"/>
      <c r="AS652" s="16"/>
      <c r="AT652" s="16"/>
      <c r="AU652" s="16"/>
      <c r="AV652" s="16"/>
      <c r="AW652" s="16"/>
      <c r="AX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c r="AU653" s="16"/>
      <c r="AV653" s="16"/>
      <c r="AW653" s="16"/>
      <c r="AX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c r="AM654" s="16"/>
      <c r="AN654" s="16"/>
      <c r="AO654" s="16"/>
      <c r="AP654" s="16"/>
      <c r="AQ654" s="16"/>
      <c r="AR654" s="16"/>
      <c r="AS654" s="16"/>
      <c r="AT654" s="16"/>
      <c r="AU654" s="16"/>
      <c r="AV654" s="16"/>
      <c r="AW654" s="16"/>
      <c r="AX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c r="AR655" s="16"/>
      <c r="AS655" s="16"/>
      <c r="AT655" s="16"/>
      <c r="AU655" s="16"/>
      <c r="AV655" s="16"/>
      <c r="AW655" s="16"/>
      <c r="AX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c r="AR656" s="16"/>
      <c r="AS656" s="16"/>
      <c r="AT656" s="16"/>
      <c r="AU656" s="16"/>
      <c r="AV656" s="16"/>
      <c r="AW656" s="16"/>
      <c r="AX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16"/>
      <c r="AO657" s="16"/>
      <c r="AP657" s="16"/>
      <c r="AQ657" s="16"/>
      <c r="AR657" s="16"/>
      <c r="AS657" s="16"/>
      <c r="AT657" s="16"/>
      <c r="AU657" s="16"/>
      <c r="AV657" s="16"/>
      <c r="AW657" s="16"/>
      <c r="AX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c r="AR658" s="16"/>
      <c r="AS658" s="16"/>
      <c r="AT658" s="16"/>
      <c r="AU658" s="16"/>
      <c r="AV658" s="16"/>
      <c r="AW658" s="16"/>
      <c r="AX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c r="AM659" s="16"/>
      <c r="AN659" s="16"/>
      <c r="AO659" s="16"/>
      <c r="AP659" s="16"/>
      <c r="AQ659" s="16"/>
      <c r="AR659" s="16"/>
      <c r="AS659" s="16"/>
      <c r="AT659" s="16"/>
      <c r="AU659" s="16"/>
      <c r="AV659" s="16"/>
      <c r="AW659" s="16"/>
      <c r="AX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c r="AR660" s="16"/>
      <c r="AS660" s="16"/>
      <c r="AT660" s="16"/>
      <c r="AU660" s="16"/>
      <c r="AV660" s="16"/>
      <c r="AW660" s="16"/>
      <c r="AX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c r="AR661" s="16"/>
      <c r="AS661" s="16"/>
      <c r="AT661" s="16"/>
      <c r="AU661" s="16"/>
      <c r="AV661" s="16"/>
      <c r="AW661" s="16"/>
      <c r="AX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c r="AR662" s="16"/>
      <c r="AS662" s="16"/>
      <c r="AT662" s="16"/>
      <c r="AU662" s="16"/>
      <c r="AV662" s="16"/>
      <c r="AW662" s="16"/>
      <c r="AX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c r="AM663" s="16"/>
      <c r="AN663" s="16"/>
      <c r="AO663" s="16"/>
      <c r="AP663" s="16"/>
      <c r="AQ663" s="16"/>
      <c r="AR663" s="16"/>
      <c r="AS663" s="16"/>
      <c r="AT663" s="16"/>
      <c r="AU663" s="16"/>
      <c r="AV663" s="16"/>
      <c r="AW663" s="16"/>
      <c r="AX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c r="AS664" s="16"/>
      <c r="AT664" s="16"/>
      <c r="AU664" s="16"/>
      <c r="AV664" s="16"/>
      <c r="AW664" s="16"/>
      <c r="AX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c r="AR665" s="16"/>
      <c r="AS665" s="16"/>
      <c r="AT665" s="16"/>
      <c r="AU665" s="16"/>
      <c r="AV665" s="16"/>
      <c r="AW665" s="16"/>
      <c r="AX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c r="AS666" s="16"/>
      <c r="AT666" s="16"/>
      <c r="AU666" s="16"/>
      <c r="AV666" s="16"/>
      <c r="AW666" s="16"/>
      <c r="AX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c r="AQ667" s="16"/>
      <c r="AR667" s="16"/>
      <c r="AS667" s="16"/>
      <c r="AT667" s="16"/>
      <c r="AU667" s="16"/>
      <c r="AV667" s="16"/>
      <c r="AW667" s="16"/>
      <c r="AX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c r="AU668" s="16"/>
      <c r="AV668" s="16"/>
      <c r="AW668" s="16"/>
      <c r="AX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c r="AM669" s="16"/>
      <c r="AN669" s="16"/>
      <c r="AO669" s="16"/>
      <c r="AP669" s="16"/>
      <c r="AQ669" s="16"/>
      <c r="AR669" s="16"/>
      <c r="AS669" s="16"/>
      <c r="AT669" s="16"/>
      <c r="AU669" s="16"/>
      <c r="AV669" s="16"/>
      <c r="AW669" s="16"/>
      <c r="AX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c r="AU670" s="16"/>
      <c r="AV670" s="16"/>
      <c r="AW670" s="16"/>
      <c r="AX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c r="AM671" s="16"/>
      <c r="AN671" s="16"/>
      <c r="AO671" s="16"/>
      <c r="AP671" s="16"/>
      <c r="AQ671" s="16"/>
      <c r="AR671" s="16"/>
      <c r="AS671" s="16"/>
      <c r="AT671" s="16"/>
      <c r="AU671" s="16"/>
      <c r="AV671" s="16"/>
      <c r="AW671" s="16"/>
      <c r="AX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c r="AR672" s="16"/>
      <c r="AS672" s="16"/>
      <c r="AT672" s="16"/>
      <c r="AU672" s="16"/>
      <c r="AV672" s="16"/>
      <c r="AW672" s="16"/>
      <c r="AX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16"/>
      <c r="AO673" s="16"/>
      <c r="AP673" s="16"/>
      <c r="AQ673" s="16"/>
      <c r="AR673" s="16"/>
      <c r="AS673" s="16"/>
      <c r="AT673" s="16"/>
      <c r="AU673" s="16"/>
      <c r="AV673" s="16"/>
      <c r="AW673" s="16"/>
      <c r="AX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c r="AS674" s="16"/>
      <c r="AT674" s="16"/>
      <c r="AU674" s="16"/>
      <c r="AV674" s="16"/>
      <c r="AW674" s="16"/>
      <c r="AX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c r="AM675" s="16"/>
      <c r="AN675" s="16"/>
      <c r="AO675" s="16"/>
      <c r="AP675" s="16"/>
      <c r="AQ675" s="16"/>
      <c r="AR675" s="16"/>
      <c r="AS675" s="16"/>
      <c r="AT675" s="16"/>
      <c r="AU675" s="16"/>
      <c r="AV675" s="16"/>
      <c r="AW675" s="16"/>
      <c r="AX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U676" s="16"/>
      <c r="AV676" s="16"/>
      <c r="AW676" s="16"/>
      <c r="AX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V677" s="16"/>
      <c r="AW677" s="16"/>
      <c r="AX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U678" s="16"/>
      <c r="AV678" s="16"/>
      <c r="AW678" s="16"/>
      <c r="AX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c r="AS679" s="16"/>
      <c r="AT679" s="16"/>
      <c r="AU679" s="16"/>
      <c r="AV679" s="16"/>
      <c r="AW679" s="16"/>
      <c r="AX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c r="AU680" s="16"/>
      <c r="AV680" s="16"/>
      <c r="AW680" s="16"/>
      <c r="AX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c r="AS681" s="16"/>
      <c r="AT681" s="16"/>
      <c r="AU681" s="16"/>
      <c r="AV681" s="16"/>
      <c r="AW681" s="16"/>
      <c r="AX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c r="AS682" s="16"/>
      <c r="AT682" s="16"/>
      <c r="AU682" s="16"/>
      <c r="AV682" s="16"/>
      <c r="AW682" s="16"/>
      <c r="AX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c r="AS683" s="16"/>
      <c r="AT683" s="16"/>
      <c r="AU683" s="16"/>
      <c r="AV683" s="16"/>
      <c r="AW683" s="16"/>
      <c r="AX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c r="AS684" s="16"/>
      <c r="AT684" s="16"/>
      <c r="AU684" s="16"/>
      <c r="AV684" s="16"/>
      <c r="AW684" s="16"/>
      <c r="AX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c r="AS685" s="16"/>
      <c r="AT685" s="16"/>
      <c r="AU685" s="16"/>
      <c r="AV685" s="16"/>
      <c r="AW685" s="16"/>
      <c r="AX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V686" s="16"/>
      <c r="AW686" s="16"/>
      <c r="AX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U687" s="16"/>
      <c r="AV687" s="16"/>
      <c r="AW687" s="16"/>
      <c r="AX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V688" s="16"/>
      <c r="AW688" s="16"/>
      <c r="AX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c r="AS689" s="16"/>
      <c r="AT689" s="16"/>
      <c r="AU689" s="16"/>
      <c r="AV689" s="16"/>
      <c r="AW689" s="16"/>
      <c r="AX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c r="AS690" s="16"/>
      <c r="AT690" s="16"/>
      <c r="AU690" s="16"/>
      <c r="AV690" s="16"/>
      <c r="AW690" s="16"/>
      <c r="AX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c r="AU691" s="16"/>
      <c r="AV691" s="16"/>
      <c r="AW691" s="16"/>
      <c r="AX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c r="AS692" s="16"/>
      <c r="AT692" s="16"/>
      <c r="AU692" s="16"/>
      <c r="AV692" s="16"/>
      <c r="AW692" s="16"/>
      <c r="AX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c r="AU693" s="16"/>
      <c r="AV693" s="16"/>
      <c r="AW693" s="16"/>
      <c r="AX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c r="AS694" s="16"/>
      <c r="AT694" s="16"/>
      <c r="AU694" s="16"/>
      <c r="AV694" s="16"/>
      <c r="AW694" s="16"/>
      <c r="AX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c r="AS695" s="16"/>
      <c r="AT695" s="16"/>
      <c r="AU695" s="16"/>
      <c r="AV695" s="16"/>
      <c r="AW695" s="16"/>
      <c r="AX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c r="AS696" s="16"/>
      <c r="AT696" s="16"/>
      <c r="AU696" s="16"/>
      <c r="AV696" s="16"/>
      <c r="AW696" s="16"/>
      <c r="AX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c r="AS697" s="16"/>
      <c r="AT697" s="16"/>
      <c r="AU697" s="16"/>
      <c r="AV697" s="16"/>
      <c r="AW697" s="16"/>
      <c r="AX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c r="AS698" s="16"/>
      <c r="AT698" s="16"/>
      <c r="AU698" s="16"/>
      <c r="AV698" s="16"/>
      <c r="AW698" s="16"/>
      <c r="AX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c r="AS699" s="16"/>
      <c r="AT699" s="16"/>
      <c r="AU699" s="16"/>
      <c r="AV699" s="16"/>
      <c r="AW699" s="16"/>
      <c r="AX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c r="AS700" s="16"/>
      <c r="AT700" s="16"/>
      <c r="AU700" s="16"/>
      <c r="AV700" s="16"/>
      <c r="AW700" s="16"/>
      <c r="AX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c r="AS701" s="16"/>
      <c r="AT701" s="16"/>
      <c r="AU701" s="16"/>
      <c r="AV701" s="16"/>
      <c r="AW701" s="16"/>
      <c r="AX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c r="AU702" s="16"/>
      <c r="AV702" s="16"/>
      <c r="AW702" s="16"/>
      <c r="AX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c r="AU703" s="16"/>
      <c r="AV703" s="16"/>
      <c r="AW703" s="16"/>
      <c r="AX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c r="AS704" s="16"/>
      <c r="AT704" s="16"/>
      <c r="AU704" s="16"/>
      <c r="AV704" s="16"/>
      <c r="AW704" s="16"/>
      <c r="AX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c r="AS705" s="16"/>
      <c r="AT705" s="16"/>
      <c r="AU705" s="16"/>
      <c r="AV705" s="16"/>
      <c r="AW705" s="16"/>
      <c r="AX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c r="AR706" s="16"/>
      <c r="AS706" s="16"/>
      <c r="AT706" s="16"/>
      <c r="AU706" s="16"/>
      <c r="AV706" s="16"/>
      <c r="AW706" s="16"/>
      <c r="AX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16"/>
      <c r="AO707" s="16"/>
      <c r="AP707" s="16"/>
      <c r="AQ707" s="16"/>
      <c r="AR707" s="16"/>
      <c r="AS707" s="16"/>
      <c r="AT707" s="16"/>
      <c r="AU707" s="16"/>
      <c r="AV707" s="16"/>
      <c r="AW707" s="16"/>
      <c r="AX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c r="AR708" s="16"/>
      <c r="AS708" s="16"/>
      <c r="AT708" s="16"/>
      <c r="AU708" s="16"/>
      <c r="AV708" s="16"/>
      <c r="AW708" s="16"/>
      <c r="AX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c r="AS709" s="16"/>
      <c r="AT709" s="16"/>
      <c r="AU709" s="16"/>
      <c r="AV709" s="16"/>
      <c r="AW709" s="16"/>
      <c r="AX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c r="AS710" s="16"/>
      <c r="AT710" s="16"/>
      <c r="AU710" s="16"/>
      <c r="AV710" s="16"/>
      <c r="AW710" s="16"/>
      <c r="AX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c r="AM711" s="16"/>
      <c r="AN711" s="16"/>
      <c r="AO711" s="16"/>
      <c r="AP711" s="16"/>
      <c r="AQ711" s="16"/>
      <c r="AR711" s="16"/>
      <c r="AS711" s="16"/>
      <c r="AT711" s="16"/>
      <c r="AU711" s="16"/>
      <c r="AV711" s="16"/>
      <c r="AW711" s="16"/>
      <c r="AX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c r="AR712" s="16"/>
      <c r="AS712" s="16"/>
      <c r="AT712" s="16"/>
      <c r="AU712" s="16"/>
      <c r="AV712" s="16"/>
      <c r="AW712" s="16"/>
      <c r="AX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c r="AS713" s="16"/>
      <c r="AT713" s="16"/>
      <c r="AU713" s="16"/>
      <c r="AV713" s="16"/>
      <c r="AW713" s="16"/>
      <c r="AX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c r="AS714" s="16"/>
      <c r="AT714" s="16"/>
      <c r="AU714" s="16"/>
      <c r="AV714" s="16"/>
      <c r="AW714" s="16"/>
      <c r="AX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c r="AS715" s="16"/>
      <c r="AT715" s="16"/>
      <c r="AU715" s="16"/>
      <c r="AV715" s="16"/>
      <c r="AW715" s="16"/>
      <c r="AX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c r="AS716" s="16"/>
      <c r="AT716" s="16"/>
      <c r="AU716" s="16"/>
      <c r="AV716" s="16"/>
      <c r="AW716" s="16"/>
      <c r="AX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c r="AS717" s="16"/>
      <c r="AT717" s="16"/>
      <c r="AU717" s="16"/>
      <c r="AV717" s="16"/>
      <c r="AW717" s="16"/>
      <c r="AX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c r="AS718" s="16"/>
      <c r="AT718" s="16"/>
      <c r="AU718" s="16"/>
      <c r="AV718" s="16"/>
      <c r="AW718" s="16"/>
      <c r="AX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c r="AU719" s="16"/>
      <c r="AV719" s="16"/>
      <c r="AW719" s="16"/>
      <c r="AX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V742" s="16"/>
      <c r="AW742" s="16"/>
      <c r="AX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V744" s="16"/>
      <c r="AW744" s="16"/>
      <c r="AX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V745" s="16"/>
      <c r="AW745" s="16"/>
      <c r="AX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V746" s="16"/>
      <c r="AW746" s="16"/>
      <c r="AX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V749" s="16"/>
      <c r="AW749" s="16"/>
      <c r="AX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V751" s="16"/>
      <c r="AW751" s="16"/>
      <c r="AX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V752" s="16"/>
      <c r="AW752" s="16"/>
      <c r="AX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V755" s="16"/>
      <c r="AW755" s="16"/>
      <c r="AX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V757" s="16"/>
      <c r="AW757" s="16"/>
      <c r="AX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c r="AS760" s="16"/>
      <c r="AT760" s="16"/>
      <c r="AU760" s="16"/>
      <c r="AV760" s="16"/>
      <c r="AW760" s="16"/>
      <c r="AX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c r="AP761" s="16"/>
      <c r="AQ761" s="16"/>
      <c r="AR761" s="16"/>
      <c r="AS761" s="16"/>
      <c r="AT761" s="16"/>
      <c r="AU761" s="16"/>
      <c r="AV761" s="16"/>
      <c r="AW761" s="16"/>
      <c r="AX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c r="AR762" s="16"/>
      <c r="AS762" s="16"/>
      <c r="AT762" s="16"/>
      <c r="AU762" s="16"/>
      <c r="AV762" s="16"/>
      <c r="AW762" s="16"/>
      <c r="AX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c r="AS763" s="16"/>
      <c r="AT763" s="16"/>
      <c r="AU763" s="16"/>
      <c r="AV763" s="16"/>
      <c r="AW763" s="16"/>
      <c r="AX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c r="AP764" s="16"/>
      <c r="AQ764" s="16"/>
      <c r="AR764" s="16"/>
      <c r="AS764" s="16"/>
      <c r="AT764" s="16"/>
      <c r="AU764" s="16"/>
      <c r="AV764" s="16"/>
      <c r="AW764" s="16"/>
      <c r="AX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c r="AR765" s="16"/>
      <c r="AS765" s="16"/>
      <c r="AT765" s="16"/>
      <c r="AU765" s="16"/>
      <c r="AV765" s="16"/>
      <c r="AW765" s="16"/>
      <c r="AX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c r="AR766" s="16"/>
      <c r="AS766" s="16"/>
      <c r="AT766" s="16"/>
      <c r="AU766" s="16"/>
      <c r="AV766" s="16"/>
      <c r="AW766" s="16"/>
      <c r="AX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c r="AS767" s="16"/>
      <c r="AT767" s="16"/>
      <c r="AU767" s="16"/>
      <c r="AV767" s="16"/>
      <c r="AW767" s="16"/>
      <c r="AX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c r="AR768" s="16"/>
      <c r="AS768" s="16"/>
      <c r="AT768" s="16"/>
      <c r="AU768" s="16"/>
      <c r="AV768" s="16"/>
      <c r="AW768" s="16"/>
      <c r="AX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c r="AR769" s="16"/>
      <c r="AS769" s="16"/>
      <c r="AT769" s="16"/>
      <c r="AU769" s="16"/>
      <c r="AV769" s="16"/>
      <c r="AW769" s="16"/>
      <c r="AX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c r="AR770" s="16"/>
      <c r="AS770" s="16"/>
      <c r="AT770" s="16"/>
      <c r="AU770" s="16"/>
      <c r="AV770" s="16"/>
      <c r="AW770" s="16"/>
      <c r="AX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c r="AM771" s="16"/>
      <c r="AN771" s="16"/>
      <c r="AO771" s="16"/>
      <c r="AP771" s="16"/>
      <c r="AQ771" s="16"/>
      <c r="AR771" s="16"/>
      <c r="AS771" s="16"/>
      <c r="AT771" s="16"/>
      <c r="AU771" s="16"/>
      <c r="AV771" s="16"/>
      <c r="AW771" s="16"/>
      <c r="AX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c r="AS772" s="16"/>
      <c r="AT772" s="16"/>
      <c r="AU772" s="16"/>
      <c r="AV772" s="16"/>
      <c r="AW772" s="16"/>
      <c r="AX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c r="AU773" s="16"/>
      <c r="AV773" s="16"/>
      <c r="AW773" s="16"/>
      <c r="AX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c r="AU774" s="16"/>
      <c r="AV774" s="16"/>
      <c r="AW774" s="16"/>
      <c r="AX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c r="AS775" s="16"/>
      <c r="AT775" s="16"/>
      <c r="AU775" s="16"/>
      <c r="AV775" s="16"/>
      <c r="AW775" s="16"/>
      <c r="AX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c r="AU776" s="16"/>
      <c r="AV776" s="16"/>
      <c r="AW776" s="16"/>
      <c r="AX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c r="AS777" s="16"/>
      <c r="AT777" s="16"/>
      <c r="AU777" s="16"/>
      <c r="AV777" s="16"/>
      <c r="AW777" s="16"/>
      <c r="AX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c r="AU778" s="16"/>
      <c r="AV778" s="16"/>
      <c r="AW778" s="16"/>
      <c r="AX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c r="AR779" s="16"/>
      <c r="AS779" s="16"/>
      <c r="AT779" s="16"/>
      <c r="AU779" s="16"/>
      <c r="AV779" s="16"/>
      <c r="AW779" s="16"/>
      <c r="AX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c r="AU780" s="16"/>
      <c r="AV780" s="16"/>
      <c r="AW780" s="16"/>
      <c r="AX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c r="AM781" s="16"/>
      <c r="AN781" s="16"/>
      <c r="AO781" s="16"/>
      <c r="AP781" s="16"/>
      <c r="AQ781" s="16"/>
      <c r="AR781" s="16"/>
      <c r="AS781" s="16"/>
      <c r="AT781" s="16"/>
      <c r="AU781" s="16"/>
      <c r="AV781" s="16"/>
      <c r="AW781" s="16"/>
      <c r="AX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c r="AM782" s="16"/>
      <c r="AN782" s="16"/>
      <c r="AO782" s="16"/>
      <c r="AP782" s="16"/>
      <c r="AQ782" s="16"/>
      <c r="AR782" s="16"/>
      <c r="AS782" s="16"/>
      <c r="AT782" s="16"/>
      <c r="AU782" s="16"/>
      <c r="AV782" s="16"/>
      <c r="AW782" s="16"/>
      <c r="AX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c r="AM783" s="16"/>
      <c r="AN783" s="16"/>
      <c r="AO783" s="16"/>
      <c r="AP783" s="16"/>
      <c r="AQ783" s="16"/>
      <c r="AR783" s="16"/>
      <c r="AS783" s="16"/>
      <c r="AT783" s="16"/>
      <c r="AU783" s="16"/>
      <c r="AV783" s="16"/>
      <c r="AW783" s="16"/>
      <c r="AX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c r="AR784" s="16"/>
      <c r="AS784" s="16"/>
      <c r="AT784" s="16"/>
      <c r="AU784" s="16"/>
      <c r="AV784" s="16"/>
      <c r="AW784" s="16"/>
      <c r="AX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c r="AR785" s="16"/>
      <c r="AS785" s="16"/>
      <c r="AT785" s="16"/>
      <c r="AU785" s="16"/>
      <c r="AV785" s="16"/>
      <c r="AW785" s="16"/>
      <c r="AX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U786" s="16"/>
      <c r="AV786" s="16"/>
      <c r="AW786" s="16"/>
      <c r="AX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c r="AS787" s="16"/>
      <c r="AT787" s="16"/>
      <c r="AU787" s="16"/>
      <c r="AV787" s="16"/>
      <c r="AW787" s="16"/>
      <c r="AX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c r="AR788" s="16"/>
      <c r="AS788" s="16"/>
      <c r="AT788" s="16"/>
      <c r="AU788" s="16"/>
      <c r="AV788" s="16"/>
      <c r="AW788" s="16"/>
      <c r="AX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c r="AM789" s="16"/>
      <c r="AN789" s="16"/>
      <c r="AO789" s="16"/>
      <c r="AP789" s="16"/>
      <c r="AQ789" s="16"/>
      <c r="AR789" s="16"/>
      <c r="AS789" s="16"/>
      <c r="AT789" s="16"/>
      <c r="AU789" s="16"/>
      <c r="AV789" s="16"/>
      <c r="AW789" s="16"/>
      <c r="AX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c r="AR790" s="16"/>
      <c r="AS790" s="16"/>
      <c r="AT790" s="16"/>
      <c r="AU790" s="16"/>
      <c r="AV790" s="16"/>
      <c r="AW790" s="16"/>
      <c r="AX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c r="AR791" s="16"/>
      <c r="AS791" s="16"/>
      <c r="AT791" s="16"/>
      <c r="AU791" s="16"/>
      <c r="AV791" s="16"/>
      <c r="AW791" s="16"/>
      <c r="AX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U792" s="16"/>
      <c r="AV792" s="16"/>
      <c r="AW792" s="16"/>
      <c r="AX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c r="AS793" s="16"/>
      <c r="AT793" s="16"/>
      <c r="AU793" s="16"/>
      <c r="AV793" s="16"/>
      <c r="AW793" s="16"/>
      <c r="AX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c r="AP794" s="16"/>
      <c r="AQ794" s="16"/>
      <c r="AR794" s="16"/>
      <c r="AS794" s="16"/>
      <c r="AT794" s="16"/>
      <c r="AU794" s="16"/>
      <c r="AV794" s="16"/>
      <c r="AW794" s="16"/>
      <c r="AX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c r="AP795" s="16"/>
      <c r="AQ795" s="16"/>
      <c r="AR795" s="16"/>
      <c r="AS795" s="16"/>
      <c r="AT795" s="16"/>
      <c r="AU795" s="16"/>
      <c r="AV795" s="16"/>
      <c r="AW795" s="16"/>
      <c r="AX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c r="AR796" s="16"/>
      <c r="AS796" s="16"/>
      <c r="AT796" s="16"/>
      <c r="AU796" s="16"/>
      <c r="AV796" s="16"/>
      <c r="AW796" s="16"/>
      <c r="AX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c r="AP797" s="16"/>
      <c r="AQ797" s="16"/>
      <c r="AR797" s="16"/>
      <c r="AS797" s="16"/>
      <c r="AT797" s="16"/>
      <c r="AU797" s="16"/>
      <c r="AV797" s="16"/>
      <c r="AW797" s="16"/>
      <c r="AX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c r="AR798" s="16"/>
      <c r="AS798" s="16"/>
      <c r="AT798" s="16"/>
      <c r="AU798" s="16"/>
      <c r="AV798" s="16"/>
      <c r="AW798" s="16"/>
      <c r="AX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c r="AP799" s="16"/>
      <c r="AQ799" s="16"/>
      <c r="AR799" s="16"/>
      <c r="AS799" s="16"/>
      <c r="AT799" s="16"/>
      <c r="AU799" s="16"/>
      <c r="AV799" s="16"/>
      <c r="AW799" s="16"/>
      <c r="AX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c r="AS800" s="16"/>
      <c r="AT800" s="16"/>
      <c r="AU800" s="16"/>
      <c r="AV800" s="16"/>
      <c r="AW800" s="16"/>
      <c r="AX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c r="AR801" s="16"/>
      <c r="AS801" s="16"/>
      <c r="AT801" s="16"/>
      <c r="AU801" s="16"/>
      <c r="AV801" s="16"/>
      <c r="AW801" s="16"/>
      <c r="AX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c r="AU802" s="16"/>
      <c r="AV802" s="16"/>
      <c r="AW802" s="16"/>
      <c r="AX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c r="AU803" s="16"/>
      <c r="AV803" s="16"/>
      <c r="AW803" s="16"/>
      <c r="AX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c r="AR804" s="16"/>
      <c r="AS804" s="16"/>
      <c r="AT804" s="16"/>
      <c r="AU804" s="16"/>
      <c r="AV804" s="16"/>
      <c r="AW804" s="16"/>
      <c r="AX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c r="AP805" s="16"/>
      <c r="AQ805" s="16"/>
      <c r="AR805" s="16"/>
      <c r="AS805" s="16"/>
      <c r="AT805" s="16"/>
      <c r="AU805" s="16"/>
      <c r="AV805" s="16"/>
      <c r="AW805" s="16"/>
      <c r="AX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c r="AS806" s="16"/>
      <c r="AT806" s="16"/>
      <c r="AU806" s="16"/>
      <c r="AV806" s="16"/>
      <c r="AW806" s="16"/>
      <c r="AX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c r="AP807" s="16"/>
      <c r="AQ807" s="16"/>
      <c r="AR807" s="16"/>
      <c r="AS807" s="16"/>
      <c r="AT807" s="16"/>
      <c r="AU807" s="16"/>
      <c r="AV807" s="16"/>
      <c r="AW807" s="16"/>
      <c r="AX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c r="AP808" s="16"/>
      <c r="AQ808" s="16"/>
      <c r="AR808" s="16"/>
      <c r="AS808" s="16"/>
      <c r="AT808" s="16"/>
      <c r="AU808" s="16"/>
      <c r="AV808" s="16"/>
      <c r="AW808" s="16"/>
      <c r="AX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c r="AP809" s="16"/>
      <c r="AQ809" s="16"/>
      <c r="AR809" s="16"/>
      <c r="AS809" s="16"/>
      <c r="AT809" s="16"/>
      <c r="AU809" s="16"/>
      <c r="AV809" s="16"/>
      <c r="AW809" s="16"/>
      <c r="AX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c r="AR810" s="16"/>
      <c r="AS810" s="16"/>
      <c r="AT810" s="16"/>
      <c r="AU810" s="16"/>
      <c r="AV810" s="16"/>
      <c r="AW810" s="16"/>
      <c r="AX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c r="AU811" s="16"/>
      <c r="AV811" s="16"/>
      <c r="AW811" s="16"/>
      <c r="AX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c r="AR812" s="16"/>
      <c r="AS812" s="16"/>
      <c r="AT812" s="16"/>
      <c r="AU812" s="16"/>
      <c r="AV812" s="16"/>
      <c r="AW812" s="16"/>
      <c r="AX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c r="AP813" s="16"/>
      <c r="AQ813" s="16"/>
      <c r="AR813" s="16"/>
      <c r="AS813" s="16"/>
      <c r="AT813" s="16"/>
      <c r="AU813" s="16"/>
      <c r="AV813" s="16"/>
      <c r="AW813" s="16"/>
      <c r="AX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c r="AR814" s="16"/>
      <c r="AS814" s="16"/>
      <c r="AT814" s="16"/>
      <c r="AU814" s="16"/>
      <c r="AV814" s="16"/>
      <c r="AW814" s="16"/>
      <c r="AX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c r="AU815" s="16"/>
      <c r="AV815" s="16"/>
      <c r="AW815" s="16"/>
      <c r="AX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U816" s="16"/>
      <c r="AV816" s="16"/>
      <c r="AW816" s="16"/>
      <c r="AX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c r="AU817" s="16"/>
      <c r="AV817" s="16"/>
      <c r="AW817" s="16"/>
      <c r="AX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c r="AS818" s="16"/>
      <c r="AT818" s="16"/>
      <c r="AU818" s="16"/>
      <c r="AV818" s="16"/>
      <c r="AW818" s="16"/>
      <c r="AX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c r="AS819" s="16"/>
      <c r="AT819" s="16"/>
      <c r="AU819" s="16"/>
      <c r="AV819" s="16"/>
      <c r="AW819" s="16"/>
      <c r="AX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c r="AU820" s="16"/>
      <c r="AV820" s="16"/>
      <c r="AW820" s="16"/>
      <c r="AX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c r="AU821" s="16"/>
      <c r="AV821" s="16"/>
      <c r="AW821" s="16"/>
      <c r="AX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c r="AS822" s="16"/>
      <c r="AT822" s="16"/>
      <c r="AU822" s="16"/>
      <c r="AV822" s="16"/>
      <c r="AW822" s="16"/>
      <c r="AX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c r="AS823" s="16"/>
      <c r="AT823" s="16"/>
      <c r="AU823" s="16"/>
      <c r="AV823" s="16"/>
      <c r="AW823" s="16"/>
      <c r="AX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c r="AS824" s="16"/>
      <c r="AT824" s="16"/>
      <c r="AU824" s="16"/>
      <c r="AV824" s="16"/>
      <c r="AW824" s="16"/>
      <c r="AX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c r="AS825" s="16"/>
      <c r="AT825" s="16"/>
      <c r="AU825" s="16"/>
      <c r="AV825" s="16"/>
      <c r="AW825" s="16"/>
      <c r="AX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c r="AS826" s="16"/>
      <c r="AT826" s="16"/>
      <c r="AU826" s="16"/>
      <c r="AV826" s="16"/>
      <c r="AW826" s="16"/>
      <c r="AX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c r="AS827" s="16"/>
      <c r="AT827" s="16"/>
      <c r="AU827" s="16"/>
      <c r="AV827" s="16"/>
      <c r="AW827" s="16"/>
      <c r="AX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c r="AS828" s="16"/>
      <c r="AT828" s="16"/>
      <c r="AU828" s="16"/>
      <c r="AV828" s="16"/>
      <c r="AW828" s="16"/>
      <c r="AX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c r="AP829" s="16"/>
      <c r="AQ829" s="16"/>
      <c r="AR829" s="16"/>
      <c r="AS829" s="16"/>
      <c r="AT829" s="16"/>
      <c r="AU829" s="16"/>
      <c r="AV829" s="16"/>
      <c r="AW829" s="16"/>
      <c r="AX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U830" s="16"/>
      <c r="AV830" s="16"/>
      <c r="AW830" s="16"/>
      <c r="AX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c r="AP831" s="16"/>
      <c r="AQ831" s="16"/>
      <c r="AR831" s="16"/>
      <c r="AS831" s="16"/>
      <c r="AT831" s="16"/>
      <c r="AU831" s="16"/>
      <c r="AV831" s="16"/>
      <c r="AW831" s="16"/>
      <c r="AX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V832" s="16"/>
      <c r="AW832" s="16"/>
      <c r="AX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c r="AU833" s="16"/>
      <c r="AV833" s="16"/>
      <c r="AW833" s="16"/>
      <c r="AX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U834" s="16"/>
      <c r="AV834" s="16"/>
      <c r="AW834" s="16"/>
      <c r="AX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c r="AU835" s="16"/>
      <c r="AV835" s="16"/>
      <c r="AW835" s="16"/>
      <c r="AX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U838" s="16"/>
      <c r="AV838" s="16"/>
      <c r="AW838" s="16"/>
      <c r="AX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V839" s="16"/>
      <c r="AW839" s="16"/>
      <c r="AX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c r="AU841" s="16"/>
      <c r="AV841" s="16"/>
      <c r="AW841" s="16"/>
      <c r="AX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c r="AU843" s="16"/>
      <c r="AV843" s="16"/>
      <c r="AW843" s="16"/>
      <c r="AX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V847" s="16"/>
      <c r="AW847" s="16"/>
      <c r="AX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c r="AS848" s="16"/>
      <c r="AT848" s="16"/>
      <c r="AU848" s="16"/>
      <c r="AV848" s="16"/>
      <c r="AW848" s="16"/>
      <c r="AX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c r="AR849" s="16"/>
      <c r="AS849" s="16"/>
      <c r="AT849" s="16"/>
      <c r="AU849" s="16"/>
      <c r="AV849" s="16"/>
      <c r="AW849" s="16"/>
      <c r="AX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c r="AS850" s="16"/>
      <c r="AT850" s="16"/>
      <c r="AU850" s="16"/>
      <c r="AV850" s="16"/>
      <c r="AW850" s="16"/>
      <c r="AX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V851" s="16"/>
      <c r="AW851" s="16"/>
      <c r="AX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V853" s="16"/>
      <c r="AW853" s="16"/>
      <c r="AX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V854" s="16"/>
      <c r="AW854" s="16"/>
      <c r="AX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V855" s="16"/>
      <c r="AW855" s="16"/>
      <c r="AX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V856" s="16"/>
      <c r="AW856" s="16"/>
      <c r="AX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U857" s="16"/>
      <c r="AV857" s="16"/>
      <c r="AW857" s="16"/>
      <c r="AX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V859" s="16"/>
      <c r="AW859" s="16"/>
      <c r="AX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V860" s="16"/>
      <c r="AW860" s="16"/>
      <c r="AX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V863" s="16"/>
      <c r="AW863" s="16"/>
      <c r="AX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c r="AS865" s="16"/>
      <c r="AT865" s="16"/>
      <c r="AU865" s="16"/>
      <c r="AV865" s="16"/>
      <c r="AW865" s="16"/>
      <c r="AX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c r="AU866" s="16"/>
      <c r="AV866" s="16"/>
      <c r="AW866" s="16"/>
      <c r="AX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c r="AU867" s="16"/>
      <c r="AV867" s="16"/>
      <c r="AW867" s="16"/>
      <c r="AX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c r="AU868" s="16"/>
      <c r="AV868" s="16"/>
      <c r="AW868" s="16"/>
      <c r="AX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c r="AS869" s="16"/>
      <c r="AT869" s="16"/>
      <c r="AU869" s="16"/>
      <c r="AV869" s="16"/>
      <c r="AW869" s="16"/>
      <c r="AX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c r="AR870" s="16"/>
      <c r="AS870" s="16"/>
      <c r="AT870" s="16"/>
      <c r="AU870" s="16"/>
      <c r="AV870" s="16"/>
      <c r="AW870" s="16"/>
      <c r="AX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6"/>
      <c r="AK871" s="16"/>
      <c r="AL871" s="16"/>
      <c r="AM871" s="16"/>
      <c r="AN871" s="16"/>
      <c r="AO871" s="16"/>
      <c r="AP871" s="16"/>
      <c r="AQ871" s="16"/>
      <c r="AR871" s="16"/>
      <c r="AS871" s="16"/>
      <c r="AT871" s="16"/>
      <c r="AU871" s="16"/>
      <c r="AV871" s="16"/>
      <c r="AW871" s="16"/>
      <c r="AX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c r="AS872" s="16"/>
      <c r="AT872" s="16"/>
      <c r="AU872" s="16"/>
      <c r="AV872" s="16"/>
      <c r="AW872" s="16"/>
      <c r="AX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c r="AR873" s="16"/>
      <c r="AS873" s="16"/>
      <c r="AT873" s="16"/>
      <c r="AU873" s="16"/>
      <c r="AV873" s="16"/>
      <c r="AW873" s="16"/>
      <c r="AX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c r="AS874" s="16"/>
      <c r="AT874" s="16"/>
      <c r="AU874" s="16"/>
      <c r="AV874" s="16"/>
      <c r="AW874" s="16"/>
      <c r="AX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c r="AS875" s="16"/>
      <c r="AT875" s="16"/>
      <c r="AU875" s="16"/>
      <c r="AV875" s="16"/>
      <c r="AW875" s="16"/>
      <c r="AX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c r="AR876" s="16"/>
      <c r="AS876" s="16"/>
      <c r="AT876" s="16"/>
      <c r="AU876" s="16"/>
      <c r="AV876" s="16"/>
      <c r="AW876" s="16"/>
      <c r="AX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c r="AU877" s="16"/>
      <c r="AV877" s="16"/>
      <c r="AW877" s="16"/>
      <c r="AX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c r="AU878" s="16"/>
      <c r="AV878" s="16"/>
      <c r="AW878" s="16"/>
      <c r="AX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c r="AS879" s="16"/>
      <c r="AT879" s="16"/>
      <c r="AU879" s="16"/>
      <c r="AV879" s="16"/>
      <c r="AW879" s="16"/>
      <c r="AX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c r="AX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c r="AX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c r="AX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c r="AR913" s="16"/>
      <c r="AS913" s="16"/>
      <c r="AT913" s="16"/>
      <c r="AU913" s="16"/>
      <c r="AV913" s="16"/>
      <c r="AW913" s="16"/>
      <c r="AX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c r="AS914" s="16"/>
      <c r="AT914" s="16"/>
      <c r="AU914" s="16"/>
      <c r="AV914" s="16"/>
      <c r="AW914" s="16"/>
      <c r="AX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c r="AS915" s="16"/>
      <c r="AT915" s="16"/>
      <c r="AU915" s="16"/>
      <c r="AV915" s="16"/>
      <c r="AW915" s="16"/>
      <c r="AX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c r="AR916" s="16"/>
      <c r="AS916" s="16"/>
      <c r="AT916" s="16"/>
      <c r="AU916" s="16"/>
      <c r="AV916" s="16"/>
      <c r="AW916" s="16"/>
      <c r="AX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c r="AR917" s="16"/>
      <c r="AS917" s="16"/>
      <c r="AT917" s="16"/>
      <c r="AU917" s="16"/>
      <c r="AV917" s="16"/>
      <c r="AW917" s="16"/>
      <c r="AX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U918" s="16"/>
      <c r="AV918" s="16"/>
      <c r="AW918" s="16"/>
      <c r="AX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c r="AS919" s="16"/>
      <c r="AT919" s="16"/>
      <c r="AU919" s="16"/>
      <c r="AV919" s="16"/>
      <c r="AW919" s="16"/>
      <c r="AX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c r="AU920" s="16"/>
      <c r="AV920" s="16"/>
      <c r="AW920" s="16"/>
      <c r="AX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c r="AS921" s="16"/>
      <c r="AT921" s="16"/>
      <c r="AU921" s="16"/>
      <c r="AV921" s="16"/>
      <c r="AW921" s="16"/>
      <c r="AX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c r="AU922" s="16"/>
      <c r="AV922" s="16"/>
      <c r="AW922" s="16"/>
      <c r="AX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c r="AS923" s="16"/>
      <c r="AT923" s="16"/>
      <c r="AU923" s="16"/>
      <c r="AV923" s="16"/>
      <c r="AW923" s="16"/>
      <c r="AX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V924" s="16"/>
      <c r="AW924" s="16"/>
      <c r="AX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c r="AS925" s="16"/>
      <c r="AT925" s="16"/>
      <c r="AU925" s="16"/>
      <c r="AV925" s="16"/>
      <c r="AW925" s="16"/>
      <c r="AX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c r="AU926" s="16"/>
      <c r="AV926" s="16"/>
      <c r="AW926" s="16"/>
      <c r="AX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c r="AS927" s="16"/>
      <c r="AT927" s="16"/>
      <c r="AU927" s="16"/>
      <c r="AV927" s="16"/>
      <c r="AW927" s="16"/>
      <c r="AX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c r="AS928" s="16"/>
      <c r="AT928" s="16"/>
      <c r="AU928" s="16"/>
      <c r="AV928" s="16"/>
      <c r="AW928" s="16"/>
      <c r="AX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c r="AR929" s="16"/>
      <c r="AS929" s="16"/>
      <c r="AT929" s="16"/>
      <c r="AU929" s="16"/>
      <c r="AV929" s="16"/>
      <c r="AW929" s="16"/>
      <c r="AX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c r="AS930" s="16"/>
      <c r="AT930" s="16"/>
      <c r="AU930" s="16"/>
      <c r="AV930" s="16"/>
      <c r="AW930" s="16"/>
      <c r="AX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c r="AR931" s="16"/>
      <c r="AS931" s="16"/>
      <c r="AT931" s="16"/>
      <c r="AU931" s="16"/>
      <c r="AV931" s="16"/>
      <c r="AW931" s="16"/>
      <c r="AX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c r="AS932" s="16"/>
      <c r="AT932" s="16"/>
      <c r="AU932" s="16"/>
      <c r="AV932" s="16"/>
      <c r="AW932" s="16"/>
      <c r="AX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c r="AS933" s="16"/>
      <c r="AT933" s="16"/>
      <c r="AU933" s="16"/>
      <c r="AV933" s="16"/>
      <c r="AW933" s="16"/>
      <c r="AX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c r="AS934" s="16"/>
      <c r="AT934" s="16"/>
      <c r="AU934" s="16"/>
      <c r="AV934" s="16"/>
      <c r="AW934" s="16"/>
      <c r="AX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c r="AS935" s="16"/>
      <c r="AT935" s="16"/>
      <c r="AU935" s="16"/>
      <c r="AV935" s="16"/>
      <c r="AW935" s="16"/>
      <c r="AX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c r="AU936" s="16"/>
      <c r="AV936" s="16"/>
      <c r="AW936" s="16"/>
      <c r="AX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c r="AU937" s="16"/>
      <c r="AV937" s="16"/>
      <c r="AW937" s="16"/>
      <c r="AX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c r="AU938" s="16"/>
      <c r="AV938" s="16"/>
      <c r="AW938" s="16"/>
      <c r="AX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c r="AS939" s="16"/>
      <c r="AT939" s="16"/>
      <c r="AU939" s="16"/>
      <c r="AV939" s="16"/>
      <c r="AW939" s="16"/>
      <c r="AX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U940" s="16"/>
      <c r="AV940" s="16"/>
      <c r="AW940" s="16"/>
      <c r="AX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c r="AS941" s="16"/>
      <c r="AT941" s="16"/>
      <c r="AU941" s="16"/>
      <c r="AV941" s="16"/>
      <c r="AW941" s="16"/>
      <c r="AX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c r="AU942" s="16"/>
      <c r="AV942" s="16"/>
      <c r="AW942" s="16"/>
      <c r="AX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c r="AS943" s="16"/>
      <c r="AT943" s="16"/>
      <c r="AU943" s="16"/>
      <c r="AV943" s="16"/>
      <c r="AW943" s="16"/>
      <c r="AX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c r="AS944" s="16"/>
      <c r="AT944" s="16"/>
      <c r="AU944" s="16"/>
      <c r="AV944" s="16"/>
      <c r="AW944" s="16"/>
      <c r="AX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c r="AU945" s="16"/>
      <c r="AV945" s="16"/>
      <c r="AW945" s="16"/>
      <c r="AX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c r="AU946" s="16"/>
      <c r="AV946" s="16"/>
      <c r="AW946" s="16"/>
      <c r="AX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c r="AS947" s="16"/>
      <c r="AT947" s="16"/>
      <c r="AU947" s="16"/>
      <c r="AV947" s="16"/>
      <c r="AW947" s="16"/>
      <c r="AX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c r="AS948" s="16"/>
      <c r="AT948" s="16"/>
      <c r="AU948" s="16"/>
      <c r="AV948" s="16"/>
      <c r="AW948" s="16"/>
      <c r="AX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c r="AS949" s="16"/>
      <c r="AT949" s="16"/>
      <c r="AU949" s="16"/>
      <c r="AV949" s="16"/>
      <c r="AW949" s="16"/>
      <c r="AX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c r="AU950" s="16"/>
      <c r="AV950" s="16"/>
      <c r="AW950" s="16"/>
      <c r="AX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c r="AU951" s="16"/>
      <c r="AV951" s="16"/>
      <c r="AW951" s="16"/>
      <c r="AX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c r="AU952" s="16"/>
      <c r="AV952" s="16"/>
      <c r="AW952" s="16"/>
      <c r="AX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c r="AU953" s="16"/>
      <c r="AV953" s="16"/>
      <c r="AW953" s="16"/>
      <c r="AX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c r="AU954" s="16"/>
      <c r="AV954" s="16"/>
      <c r="AW954" s="16"/>
      <c r="AX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c r="AM955" s="16"/>
      <c r="AN955" s="16"/>
      <c r="AO955" s="16"/>
      <c r="AP955" s="16"/>
      <c r="AQ955" s="16"/>
      <c r="AR955" s="16"/>
      <c r="AS955" s="16"/>
      <c r="AT955" s="16"/>
      <c r="AU955" s="16"/>
      <c r="AV955" s="16"/>
      <c r="AW955" s="16"/>
      <c r="AX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c r="AU956" s="16"/>
      <c r="AV956" s="16"/>
      <c r="AW956" s="16"/>
      <c r="AX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c r="AR957" s="16"/>
      <c r="AS957" s="16"/>
      <c r="AT957" s="16"/>
      <c r="AU957" s="16"/>
      <c r="AV957" s="16"/>
      <c r="AW957" s="16"/>
      <c r="AX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c r="AS958" s="16"/>
      <c r="AT958" s="16"/>
      <c r="AU958" s="16"/>
      <c r="AV958" s="16"/>
      <c r="AW958" s="16"/>
      <c r="AX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c r="AM959" s="16"/>
      <c r="AN959" s="16"/>
      <c r="AO959" s="16"/>
      <c r="AP959" s="16"/>
      <c r="AQ959" s="16"/>
      <c r="AR959" s="16"/>
      <c r="AS959" s="16"/>
      <c r="AT959" s="16"/>
      <c r="AU959" s="16"/>
      <c r="AV959" s="16"/>
      <c r="AW959" s="16"/>
      <c r="AX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c r="AR960" s="16"/>
      <c r="AS960" s="16"/>
      <c r="AT960" s="16"/>
      <c r="AU960" s="16"/>
      <c r="AV960" s="16"/>
      <c r="AW960" s="16"/>
      <c r="AX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c r="AM961" s="16"/>
      <c r="AN961" s="16"/>
      <c r="AO961" s="16"/>
      <c r="AP961" s="16"/>
      <c r="AQ961" s="16"/>
      <c r="AR961" s="16"/>
      <c r="AS961" s="16"/>
      <c r="AT961" s="16"/>
      <c r="AU961" s="16"/>
      <c r="AV961" s="16"/>
      <c r="AW961" s="16"/>
      <c r="AX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c r="AR962" s="16"/>
      <c r="AS962" s="16"/>
      <c r="AT962" s="16"/>
      <c r="AU962" s="16"/>
      <c r="AV962" s="16"/>
      <c r="AW962" s="16"/>
      <c r="AX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c r="AM963" s="16"/>
      <c r="AN963" s="16"/>
      <c r="AO963" s="16"/>
      <c r="AP963" s="16"/>
      <c r="AQ963" s="16"/>
      <c r="AR963" s="16"/>
      <c r="AS963" s="16"/>
      <c r="AT963" s="16"/>
      <c r="AU963" s="16"/>
      <c r="AV963" s="16"/>
      <c r="AW963" s="16"/>
      <c r="AX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c r="AR964" s="16"/>
      <c r="AS964" s="16"/>
      <c r="AT964" s="16"/>
      <c r="AU964" s="16"/>
      <c r="AV964" s="16"/>
      <c r="AW964" s="16"/>
      <c r="AX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c r="AR965" s="16"/>
      <c r="AS965" s="16"/>
      <c r="AT965" s="16"/>
      <c r="AU965" s="16"/>
      <c r="AV965" s="16"/>
      <c r="AW965" s="16"/>
      <c r="AX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c r="AU966" s="16"/>
      <c r="AV966" s="16"/>
      <c r="AW966" s="16"/>
      <c r="AX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c r="AM967" s="16"/>
      <c r="AN967" s="16"/>
      <c r="AO967" s="16"/>
      <c r="AP967" s="16"/>
      <c r="AQ967" s="16"/>
      <c r="AR967" s="16"/>
      <c r="AS967" s="16"/>
      <c r="AT967" s="16"/>
      <c r="AU967" s="16"/>
      <c r="AV967" s="16"/>
      <c r="AW967" s="16"/>
      <c r="AX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c r="AR968" s="16"/>
      <c r="AS968" s="16"/>
      <c r="AT968" s="16"/>
      <c r="AU968" s="16"/>
      <c r="AV968" s="16"/>
      <c r="AW968" s="16"/>
      <c r="AX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16"/>
      <c r="AO969" s="16"/>
      <c r="AP969" s="16"/>
      <c r="AQ969" s="16"/>
      <c r="AR969" s="16"/>
      <c r="AS969" s="16"/>
      <c r="AT969" s="16"/>
      <c r="AU969" s="16"/>
      <c r="AV969" s="16"/>
      <c r="AW969" s="16"/>
      <c r="AX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16"/>
      <c r="AO970" s="16"/>
      <c r="AP970" s="16"/>
      <c r="AQ970" s="16"/>
      <c r="AR970" s="16"/>
      <c r="AS970" s="16"/>
      <c r="AT970" s="16"/>
      <c r="AU970" s="16"/>
      <c r="AV970" s="16"/>
      <c r="AW970" s="16"/>
      <c r="AX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16"/>
      <c r="AO971" s="16"/>
      <c r="AP971" s="16"/>
      <c r="AQ971" s="16"/>
      <c r="AR971" s="16"/>
      <c r="AS971" s="16"/>
      <c r="AT971" s="16"/>
      <c r="AU971" s="16"/>
      <c r="AV971" s="16"/>
      <c r="AW971" s="16"/>
      <c r="AX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c r="AR972" s="16"/>
      <c r="AS972" s="16"/>
      <c r="AT972" s="16"/>
      <c r="AU972" s="16"/>
      <c r="AV972" s="16"/>
      <c r="AW972" s="16"/>
      <c r="AX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c r="AM973" s="16"/>
      <c r="AN973" s="16"/>
      <c r="AO973" s="16"/>
      <c r="AP973" s="16"/>
      <c r="AQ973" s="16"/>
      <c r="AR973" s="16"/>
      <c r="AS973" s="16"/>
      <c r="AT973" s="16"/>
      <c r="AU973" s="16"/>
      <c r="AV973" s="16"/>
      <c r="AW973" s="16"/>
      <c r="AX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c r="AR974" s="16"/>
      <c r="AS974" s="16"/>
      <c r="AT974" s="16"/>
      <c r="AU974" s="16"/>
      <c r="AV974" s="16"/>
      <c r="AW974" s="16"/>
      <c r="AX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c r="AS975" s="16"/>
      <c r="AT975" s="16"/>
      <c r="AU975" s="16"/>
      <c r="AV975" s="16"/>
      <c r="AW975" s="16"/>
      <c r="AX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16"/>
      <c r="AO976" s="16"/>
      <c r="AP976" s="16"/>
      <c r="AQ976" s="16"/>
      <c r="AR976" s="16"/>
      <c r="AS976" s="16"/>
      <c r="AT976" s="16"/>
      <c r="AU976" s="16"/>
      <c r="AV976" s="16"/>
      <c r="AW976" s="16"/>
      <c r="AX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16"/>
      <c r="AP977" s="16"/>
      <c r="AQ977" s="16"/>
      <c r="AR977" s="16"/>
      <c r="AS977" s="16"/>
      <c r="AT977" s="16"/>
      <c r="AU977" s="16"/>
      <c r="AV977" s="16"/>
      <c r="AW977" s="16"/>
      <c r="AX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c r="AM978" s="16"/>
      <c r="AN978" s="16"/>
      <c r="AO978" s="16"/>
      <c r="AP978" s="16"/>
      <c r="AQ978" s="16"/>
      <c r="AR978" s="16"/>
      <c r="AS978" s="16"/>
      <c r="AT978" s="16"/>
      <c r="AU978" s="16"/>
      <c r="AV978" s="16"/>
      <c r="AW978" s="16"/>
      <c r="AX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c r="AQ979" s="16"/>
      <c r="AR979" s="16"/>
      <c r="AS979" s="16"/>
      <c r="AT979" s="16"/>
      <c r="AU979" s="16"/>
      <c r="AV979" s="16"/>
      <c r="AW979" s="16"/>
      <c r="AX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c r="AM980" s="16"/>
      <c r="AN980" s="16"/>
      <c r="AO980" s="16"/>
      <c r="AP980" s="16"/>
      <c r="AQ980" s="16"/>
      <c r="AR980" s="16"/>
      <c r="AS980" s="16"/>
      <c r="AT980" s="16"/>
      <c r="AU980" s="16"/>
      <c r="AV980" s="16"/>
      <c r="AW980" s="16"/>
      <c r="AX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6"/>
      <c r="AK981" s="16"/>
      <c r="AL981" s="16"/>
      <c r="AM981" s="16"/>
      <c r="AN981" s="16"/>
      <c r="AO981" s="16"/>
      <c r="AP981" s="16"/>
      <c r="AQ981" s="16"/>
      <c r="AR981" s="16"/>
      <c r="AS981" s="16"/>
      <c r="AT981" s="16"/>
      <c r="AU981" s="16"/>
      <c r="AV981" s="16"/>
      <c r="AW981" s="16"/>
      <c r="AX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c r="AS982" s="16"/>
      <c r="AT982" s="16"/>
      <c r="AU982" s="16"/>
      <c r="AV982" s="16"/>
      <c r="AW982" s="16"/>
      <c r="AX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c r="AR983" s="16"/>
      <c r="AS983" s="16"/>
      <c r="AT983" s="16"/>
      <c r="AU983" s="16"/>
      <c r="AV983" s="16"/>
      <c r="AW983" s="16"/>
      <c r="AX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6"/>
      <c r="AK984" s="16"/>
      <c r="AL984" s="16"/>
      <c r="AM984" s="16"/>
      <c r="AN984" s="16"/>
      <c r="AO984" s="16"/>
      <c r="AP984" s="16"/>
      <c r="AQ984" s="16"/>
      <c r="AR984" s="16"/>
      <c r="AS984" s="16"/>
      <c r="AT984" s="16"/>
      <c r="AU984" s="16"/>
      <c r="AV984" s="16"/>
      <c r="AW984" s="16"/>
      <c r="AX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c r="AI985" s="16"/>
      <c r="AJ985" s="16"/>
      <c r="AK985" s="16"/>
      <c r="AL985" s="16"/>
      <c r="AM985" s="16"/>
      <c r="AN985" s="16"/>
      <c r="AO985" s="16"/>
      <c r="AP985" s="16"/>
      <c r="AQ985" s="16"/>
      <c r="AR985" s="16"/>
      <c r="AS985" s="16"/>
      <c r="AT985" s="16"/>
      <c r="AU985" s="16"/>
      <c r="AV985" s="16"/>
      <c r="AW985" s="16"/>
      <c r="AX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c r="AI986" s="16"/>
      <c r="AJ986" s="16"/>
      <c r="AK986" s="16"/>
      <c r="AL986" s="16"/>
      <c r="AM986" s="16"/>
      <c r="AN986" s="16"/>
      <c r="AO986" s="16"/>
      <c r="AP986" s="16"/>
      <c r="AQ986" s="16"/>
      <c r="AR986" s="16"/>
      <c r="AS986" s="16"/>
      <c r="AT986" s="16"/>
      <c r="AU986" s="16"/>
      <c r="AV986" s="16"/>
      <c r="AW986" s="16"/>
      <c r="AX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c r="AI987" s="16"/>
      <c r="AJ987" s="16"/>
      <c r="AK987" s="16"/>
      <c r="AL987" s="16"/>
      <c r="AM987" s="16"/>
      <c r="AN987" s="16"/>
      <c r="AO987" s="16"/>
      <c r="AP987" s="16"/>
      <c r="AQ987" s="16"/>
      <c r="AR987" s="16"/>
      <c r="AS987" s="16"/>
      <c r="AT987" s="16"/>
      <c r="AU987" s="16"/>
      <c r="AV987" s="16"/>
      <c r="AW987" s="16"/>
      <c r="AX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c r="AI988" s="16"/>
      <c r="AJ988" s="16"/>
      <c r="AK988" s="16"/>
      <c r="AL988" s="16"/>
      <c r="AM988" s="16"/>
      <c r="AN988" s="16"/>
      <c r="AO988" s="16"/>
      <c r="AP988" s="16"/>
      <c r="AQ988" s="16"/>
      <c r="AR988" s="16"/>
      <c r="AS988" s="16"/>
      <c r="AT988" s="16"/>
      <c r="AU988" s="16"/>
      <c r="AV988" s="16"/>
      <c r="AW988" s="16"/>
      <c r="AX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c r="AI989" s="16"/>
      <c r="AJ989" s="16"/>
      <c r="AK989" s="16"/>
      <c r="AL989" s="16"/>
      <c r="AM989" s="16"/>
      <c r="AN989" s="16"/>
      <c r="AO989" s="16"/>
      <c r="AP989" s="16"/>
      <c r="AQ989" s="16"/>
      <c r="AR989" s="16"/>
      <c r="AS989" s="16"/>
      <c r="AT989" s="16"/>
      <c r="AU989" s="16"/>
      <c r="AV989" s="16"/>
      <c r="AW989" s="16"/>
      <c r="AX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c r="AI990" s="16"/>
      <c r="AJ990" s="16"/>
      <c r="AK990" s="16"/>
      <c r="AL990" s="16"/>
      <c r="AM990" s="16"/>
      <c r="AN990" s="16"/>
      <c r="AO990" s="16"/>
      <c r="AP990" s="16"/>
      <c r="AQ990" s="16"/>
      <c r="AR990" s="16"/>
      <c r="AS990" s="16"/>
      <c r="AT990" s="16"/>
      <c r="AU990" s="16"/>
      <c r="AV990" s="16"/>
      <c r="AW990" s="16"/>
      <c r="AX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c r="AI991" s="16"/>
      <c r="AJ991" s="16"/>
      <c r="AK991" s="16"/>
      <c r="AL991" s="16"/>
      <c r="AM991" s="16"/>
      <c r="AN991" s="16"/>
      <c r="AO991" s="16"/>
      <c r="AP991" s="16"/>
      <c r="AQ991" s="16"/>
      <c r="AR991" s="16"/>
      <c r="AS991" s="16"/>
      <c r="AT991" s="16"/>
      <c r="AU991" s="16"/>
      <c r="AV991" s="16"/>
      <c r="AW991" s="16"/>
      <c r="AX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c r="AI992" s="16"/>
      <c r="AJ992" s="16"/>
      <c r="AK992" s="16"/>
      <c r="AL992" s="16"/>
      <c r="AM992" s="16"/>
      <c r="AN992" s="16"/>
      <c r="AO992" s="16"/>
      <c r="AP992" s="16"/>
      <c r="AQ992" s="16"/>
      <c r="AR992" s="16"/>
      <c r="AS992" s="16"/>
      <c r="AT992" s="16"/>
      <c r="AU992" s="16"/>
      <c r="AV992" s="16"/>
      <c r="AW992" s="16"/>
      <c r="AX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c r="AI993" s="16"/>
      <c r="AJ993" s="16"/>
      <c r="AK993" s="16"/>
      <c r="AL993" s="16"/>
      <c r="AM993" s="16"/>
      <c r="AN993" s="16"/>
      <c r="AO993" s="16"/>
      <c r="AP993" s="16"/>
      <c r="AQ993" s="16"/>
      <c r="AR993" s="16"/>
      <c r="AS993" s="16"/>
      <c r="AT993" s="16"/>
      <c r="AU993" s="16"/>
      <c r="AV993" s="16"/>
      <c r="AW993" s="16"/>
      <c r="AX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c r="AI994" s="16"/>
      <c r="AJ994" s="16"/>
      <c r="AK994" s="16"/>
      <c r="AL994" s="16"/>
      <c r="AM994" s="16"/>
      <c r="AN994" s="16"/>
      <c r="AO994" s="16"/>
      <c r="AP994" s="16"/>
      <c r="AQ994" s="16"/>
      <c r="AR994" s="16"/>
      <c r="AS994" s="16"/>
      <c r="AT994" s="16"/>
      <c r="AU994" s="16"/>
      <c r="AV994" s="16"/>
      <c r="AW994" s="16"/>
      <c r="AX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c r="AI995" s="16"/>
      <c r="AJ995" s="16"/>
      <c r="AK995" s="16"/>
      <c r="AL995" s="16"/>
      <c r="AM995" s="16"/>
      <c r="AN995" s="16"/>
      <c r="AO995" s="16"/>
      <c r="AP995" s="16"/>
      <c r="AQ995" s="16"/>
      <c r="AR995" s="16"/>
      <c r="AS995" s="16"/>
      <c r="AT995" s="16"/>
      <c r="AU995" s="16"/>
      <c r="AV995" s="16"/>
      <c r="AW995" s="16"/>
      <c r="AX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c r="AI996" s="16"/>
      <c r="AJ996" s="16"/>
      <c r="AK996" s="16"/>
      <c r="AL996" s="16"/>
      <c r="AM996" s="16"/>
      <c r="AN996" s="16"/>
      <c r="AO996" s="16"/>
      <c r="AP996" s="16"/>
      <c r="AQ996" s="16"/>
      <c r="AR996" s="16"/>
      <c r="AS996" s="16"/>
      <c r="AT996" s="16"/>
      <c r="AU996" s="16"/>
      <c r="AV996" s="16"/>
      <c r="AW996" s="16"/>
      <c r="AX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c r="AI997" s="16"/>
      <c r="AJ997" s="16"/>
      <c r="AK997" s="16"/>
      <c r="AL997" s="16"/>
      <c r="AM997" s="16"/>
      <c r="AN997" s="16"/>
      <c r="AO997" s="16"/>
      <c r="AP997" s="16"/>
      <c r="AQ997" s="16"/>
      <c r="AR997" s="16"/>
      <c r="AS997" s="16"/>
      <c r="AT997" s="16"/>
      <c r="AU997" s="16"/>
      <c r="AV997" s="16"/>
      <c r="AW997" s="16"/>
      <c r="AX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c r="AI998" s="16"/>
      <c r="AJ998" s="16"/>
      <c r="AK998" s="16"/>
      <c r="AL998" s="16"/>
      <c r="AM998" s="16"/>
      <c r="AN998" s="16"/>
      <c r="AO998" s="16"/>
      <c r="AP998" s="16"/>
      <c r="AQ998" s="16"/>
      <c r="AR998" s="16"/>
      <c r="AS998" s="16"/>
      <c r="AT998" s="16"/>
      <c r="AU998" s="16"/>
      <c r="AV998" s="16"/>
      <c r="AW998" s="16"/>
      <c r="AX998" s="16"/>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2" max="2" width="17.5"/>
    <col customWidth="1" min="3" max="3" width="42.0"/>
    <col customWidth="1" min="4" max="4" width="64.63"/>
    <col customWidth="1" min="5" max="7" width="20.13"/>
  </cols>
  <sheetData>
    <row r="1">
      <c r="A1" s="16" t="str">
        <f>IFERROR(__xludf.DUMMYFUNCTION("IMPORTRANGE(""https://docs.google.com/spreadsheets/d/""&amp;Config!B1,""ClassesEnhanced!A:AX"")"),"Class")</f>
        <v>Class</v>
      </c>
      <c r="B1" s="16" t="str">
        <f>IFERROR(__xludf.DUMMYFUNCTION("""COMPUTED_VALUE"""),"Enhanced Class")</f>
        <v>Enhanced Class</v>
      </c>
      <c r="C1" s="16" t="str">
        <f>IFERROR(__xludf.DUMMYFUNCTION("""COMPUTED_VALUE"""),"SpellRank")</f>
        <v>SpellRank</v>
      </c>
      <c r="D1" s="42" t="str">
        <f>IFERROR(__xludf.DUMMYFUNCTION("""COMPUTED_VALUE"""),"Ability1")</f>
        <v>Ability1</v>
      </c>
      <c r="E1" s="42" t="str">
        <f>IFERROR(__xludf.DUMMYFUNCTION("""COMPUTED_VALUE"""),"Ability2")</f>
        <v>Ability2</v>
      </c>
      <c r="F1" s="42" t="str">
        <f>IFERROR(__xludf.DUMMYFUNCTION("""COMPUTED_VALUE"""),"Ability3")</f>
        <v>Ability3</v>
      </c>
      <c r="G1" s="42" t="str">
        <f>IFERROR(__xludf.DUMMYFUNCTION("""COMPUTED_VALUE"""),"Ability4")</f>
        <v>Ability4</v>
      </c>
      <c r="H1" s="16" t="str">
        <f>IFERROR(__xludf.DUMMYFUNCTION("""COMPUTED_VALUE"""),"Attack")</f>
        <v>Attack</v>
      </c>
      <c r="I1" s="16" t="str">
        <f>IFERROR(__xludf.DUMMYFUNCTION("""COMPUTED_VALUE"""),"Defense")</f>
        <v>Defense</v>
      </c>
      <c r="J1" s="16" t="str">
        <f>IFERROR(__xludf.DUMMYFUNCTION("""COMPUTED_VALUE"""),"Accuracy")</f>
        <v>Accuracy</v>
      </c>
      <c r="K1" s="16" t="str">
        <f>IFERROR(__xludf.DUMMYFUNCTION("""COMPUTED_VALUE"""),"Charisma")</f>
        <v>Charisma</v>
      </c>
      <c r="L1" s="16" t="str">
        <f>IFERROR(__xludf.DUMMYFUNCTION("""COMPUTED_VALUE"""),"Wisdom")</f>
        <v>Wisdom</v>
      </c>
      <c r="M1" s="16" t="str">
        <f>IFERROR(__xludf.DUMMYFUNCTION("""COMPUTED_VALUE"""),"Constitution")</f>
        <v>Constitution</v>
      </c>
      <c r="N1" s="16" t="str">
        <f>IFERROR(__xludf.DUMMYFUNCTION("""COMPUTED_VALUE"""),"Evasion")</f>
        <v>Evasion</v>
      </c>
      <c r="O1" s="16" t="str">
        <f>IFERROR(__xludf.DUMMYFUNCTION("""COMPUTED_VALUE"""),"Intimidation")</f>
        <v>Intimidation</v>
      </c>
      <c r="P1" s="16" t="str">
        <f>IFERROR(__xludf.DUMMYFUNCTION("""COMPUTED_VALUE"""),"Mobility")</f>
        <v>Mobility</v>
      </c>
      <c r="Q1" s="16" t="str">
        <f>IFERROR(__xludf.DUMMYFUNCTION("""COMPUTED_VALUE"""),"HP")</f>
        <v>HP</v>
      </c>
      <c r="R1" s="16" t="str">
        <f>IFERROR(__xludf.DUMMYFUNCTION("""COMPUTED_VALUE"""),"SP")</f>
        <v>SP</v>
      </c>
      <c r="S1" s="16" t="str">
        <f>IFERROR(__xludf.DUMMYFUNCTION("""COMPUTED_VALUE"""),"Hunger")</f>
        <v>Hunger</v>
      </c>
      <c r="T1" s="16" t="str">
        <f>IFERROR(__xludf.DUMMYFUNCTION("""COMPUTED_VALUE"""),"Thirst")</f>
        <v>Thirst</v>
      </c>
      <c r="U1" s="16" t="str">
        <f>IFERROR(__xludf.DUMMYFUNCTION("""COMPUTED_VALUE"""),"Energy")</f>
        <v>Energy</v>
      </c>
      <c r="V1" s="16" t="str">
        <f>IFERROR(__xludf.DUMMYFUNCTION("""COMPUTED_VALUE"""),"eleselect")</f>
        <v>eleselect</v>
      </c>
      <c r="W1" s="16" t="str">
        <f>IFERROR(__xludf.DUMMYFUNCTION("""COMPUTED_VALUE"""),"Fire")</f>
        <v>Fire</v>
      </c>
      <c r="X1" s="16" t="str">
        <f>IFERROR(__xludf.DUMMYFUNCTION("""COMPUTED_VALUE"""),"Water")</f>
        <v>Water</v>
      </c>
      <c r="Y1" s="16" t="str">
        <f>IFERROR(__xludf.DUMMYFUNCTION("""COMPUTED_VALUE"""),"Storm")</f>
        <v>Storm</v>
      </c>
      <c r="Z1" s="16" t="str">
        <f>IFERROR(__xludf.DUMMYFUNCTION("""COMPUTED_VALUE"""),"Earth")</f>
        <v>Earth</v>
      </c>
      <c r="AA1" s="16" t="str">
        <f>IFERROR(__xludf.DUMMYFUNCTION("""COMPUTED_VALUE"""),"Light")</f>
        <v>Light</v>
      </c>
      <c r="AB1" s="16" t="str">
        <f>IFERROR(__xludf.DUMMYFUNCTION("""COMPUTED_VALUE"""),"Dark")</f>
        <v>Dark</v>
      </c>
      <c r="AC1" s="16" t="str">
        <f>IFERROR(__xludf.DUMMYFUNCTION("""COMPUTED_VALUE"""),"Spirit")</f>
        <v>Spirit</v>
      </c>
      <c r="AD1" s="16" t="str">
        <f>IFERROR(__xludf.DUMMYFUNCTION("""COMPUTED_VALUE"""),"Order")</f>
        <v>Order</v>
      </c>
      <c r="AE1" s="16" t="str">
        <f>IFERROR(__xludf.DUMMYFUNCTION("""COMPUTED_VALUE"""),"Chaos")</f>
        <v>Chaos</v>
      </c>
      <c r="AF1" s="16" t="str">
        <f>IFERROR(__xludf.DUMMYFUNCTION("""COMPUTED_VALUE"""),"Nature")</f>
        <v>Nature</v>
      </c>
      <c r="AG1" s="16" t="str">
        <f>IFERROR(__xludf.DUMMYFUNCTION("""COMPUTED_VALUE"""),"Physical")</f>
        <v>Physical</v>
      </c>
      <c r="AH1" s="16" t="str">
        <f>IFERROR(__xludf.DUMMYFUNCTION("""COMPUTED_VALUE"""),"Melee")</f>
        <v>Melee</v>
      </c>
      <c r="AI1" s="16" t="str">
        <f>IFERROR(__xludf.DUMMYFUNCTION("""COMPUTED_VALUE"""),"Ranged")</f>
        <v>Ranged</v>
      </c>
      <c r="AJ1" s="16" t="str">
        <f>IFERROR(__xludf.DUMMYFUNCTION("""COMPUTED_VALUE"""),"Stasis")</f>
        <v>Stasis</v>
      </c>
      <c r="AK1" s="16" t="str">
        <f>IFERROR(__xludf.DUMMYFUNCTION("""COMPUTED_VALUE"""),"Twilight")</f>
        <v>Twilight</v>
      </c>
      <c r="AL1" s="16" t="str">
        <f>IFERROR(__xludf.DUMMYFUNCTION("""COMPUTED_VALUE"""),"Voodoo")</f>
        <v>Voodoo</v>
      </c>
      <c r="AM1" s="16" t="str">
        <f>IFERROR(__xludf.DUMMYFUNCTION("""COMPUTED_VALUE"""),"Blood")</f>
        <v>Blood</v>
      </c>
      <c r="AN1" s="16" t="str">
        <f>IFERROR(__xludf.DUMMYFUNCTION("""COMPUTED_VALUE"""),"Delta")</f>
        <v>Delta</v>
      </c>
      <c r="AO1" s="16" t="str">
        <f>IFERROR(__xludf.DUMMYFUNCTION("""COMPUTED_VALUE"""),"Zen")</f>
        <v>Zen</v>
      </c>
      <c r="AP1" s="16" t="str">
        <f>IFERROR(__xludf.DUMMYFUNCTION("""COMPUTED_VALUE"""),"Time")</f>
        <v>Time</v>
      </c>
      <c r="AQ1" s="16" t="str">
        <f>IFERROR(__xludf.DUMMYFUNCTION("""COMPUTED_VALUE"""),"Astral")</f>
        <v>Astral</v>
      </c>
      <c r="AR1" s="16" t="str">
        <f>IFERROR(__xludf.DUMMYFUNCTION("""COMPUTED_VALUE"""),"Celestial")</f>
        <v>Celestial</v>
      </c>
      <c r="AS1" s="16" t="str">
        <f>IFERROR(__xludf.DUMMYFUNCTION("""COMPUTED_VALUE"""),"Acoustic")</f>
        <v>Acoustic</v>
      </c>
      <c r="AT1" s="16"/>
      <c r="AU1" s="16"/>
      <c r="AV1" s="16"/>
      <c r="AW1" s="16"/>
      <c r="AX1" s="16"/>
    </row>
    <row r="2">
      <c r="A2" s="16" t="str">
        <f>IFERROR(__xludf.DUMMYFUNCTION("""COMPUTED_VALUE"""),"Archer")</f>
        <v>Archer</v>
      </c>
      <c r="B2" s="16" t="str">
        <f>IFERROR(__xludf.DUMMYFUNCTION("""COMPUTED_VALUE"""),"Skilled Archer")</f>
        <v>Skilled Archer</v>
      </c>
      <c r="C2" s="16" t="str">
        <f>IFERROR(__xludf.DUMMYFUNCTION("""COMPUTED_VALUE"""),"Rank 9 Physical")</f>
        <v>Rank 9 Physical</v>
      </c>
      <c r="D2" s="42" t="str">
        <f>IFERROR(__xludf.DUMMYFUNCTION("""COMPUTED_VALUE"""),"Add your mobility and evasion while evading.")</f>
        <v>Add your mobility and evasion while evading.</v>
      </c>
      <c r="E2" s="42" t="str">
        <f>IFERROR(__xludf.DUMMYFUNCTION("""COMPUTED_VALUE"""),"X6 damage with bows.")</f>
        <v>X6 damage with bows.</v>
      </c>
      <c r="F2" s="42" t="str">
        <f>IFERROR(__xludf.DUMMYFUNCTION("""COMPUTED_VALUE"""),"Add mobilty when attacking with a bow.")</f>
        <v>Add mobilty when attacking with a bow.</v>
      </c>
      <c r="G2" s="42"/>
      <c r="H2" s="16"/>
      <c r="I2" s="16"/>
      <c r="J2" s="16"/>
      <c r="K2" s="16"/>
      <c r="L2" s="16"/>
      <c r="M2" s="16"/>
      <c r="N2" s="16"/>
      <c r="O2" s="16"/>
      <c r="P2" s="16"/>
      <c r="Q2" s="16"/>
      <c r="R2" s="16"/>
      <c r="S2" s="16"/>
      <c r="T2" s="16"/>
      <c r="U2" s="16"/>
      <c r="V2" s="16">
        <f>IFERROR(__xludf.DUMMYFUNCTION("""COMPUTED_VALUE"""),0.0)</f>
        <v>0</v>
      </c>
      <c r="W2" s="16"/>
      <c r="X2" s="16"/>
      <c r="Y2" s="16"/>
      <c r="Z2" s="16"/>
      <c r="AA2" s="16"/>
      <c r="AB2" s="16"/>
      <c r="AC2" s="16"/>
      <c r="AD2" s="16"/>
      <c r="AE2" s="16"/>
      <c r="AF2" s="16"/>
      <c r="AG2" s="16">
        <f>IFERROR(__xludf.DUMMYFUNCTION("""COMPUTED_VALUE"""),9.0)</f>
        <v>9</v>
      </c>
      <c r="AH2" s="16"/>
      <c r="AI2" s="16"/>
      <c r="AJ2" s="16"/>
      <c r="AK2" s="16"/>
      <c r="AL2" s="16"/>
      <c r="AM2" s="16"/>
      <c r="AN2" s="16"/>
      <c r="AO2" s="16"/>
      <c r="AP2" s="16"/>
      <c r="AQ2" s="16"/>
      <c r="AR2" s="16"/>
      <c r="AS2" s="16"/>
      <c r="AT2" s="16"/>
      <c r="AU2" s="16"/>
      <c r="AV2" s="16"/>
      <c r="AW2" s="16"/>
      <c r="AX2" s="16"/>
    </row>
    <row r="3">
      <c r="A3" s="16" t="str">
        <f>IFERROR(__xludf.DUMMYFUNCTION("""COMPUTED_VALUE"""),"Archer")</f>
        <v>Archer</v>
      </c>
      <c r="B3" s="16" t="str">
        <f>IFERROR(__xludf.DUMMYFUNCTION("""COMPUTED_VALUE"""),"Javelineer")</f>
        <v>Javelineer</v>
      </c>
      <c r="C3" s="16" t="str">
        <f>IFERROR(__xludf.DUMMYFUNCTION("""COMPUTED_VALUE"""),"Rank 9 Physical")</f>
        <v>Rank 9 Physical</v>
      </c>
      <c r="D3" s="42" t="str">
        <f>IFERROR(__xludf.DUMMYFUNCTION("""COMPUTED_VALUE"""),"Add your mobility and evasion while evading.")</f>
        <v>Add your mobility and evasion while evading.</v>
      </c>
      <c r="E3" s="42" t="str">
        <f>IFERROR(__xludf.DUMMYFUNCTION("""COMPUTED_VALUE"""),"X6 damage with boomerangs.")</f>
        <v>X6 damage with boomerangs.</v>
      </c>
      <c r="F3" s="42" t="str">
        <f>IFERROR(__xludf.DUMMYFUNCTION("""COMPUTED_VALUE"""),"Add mobilty when attacking with a boomerang.")</f>
        <v>Add mobilty when attacking with a boomerang.</v>
      </c>
      <c r="G3" s="42"/>
      <c r="H3" s="16"/>
      <c r="I3" s="16"/>
      <c r="J3" s="16"/>
      <c r="K3" s="16"/>
      <c r="L3" s="16"/>
      <c r="M3" s="16"/>
      <c r="N3" s="16"/>
      <c r="O3" s="16"/>
      <c r="P3" s="16"/>
      <c r="Q3" s="16"/>
      <c r="R3" s="16"/>
      <c r="S3" s="16"/>
      <c r="T3" s="16"/>
      <c r="U3" s="16"/>
      <c r="V3" s="16">
        <f>IFERROR(__xludf.DUMMYFUNCTION("""COMPUTED_VALUE"""),0.0)</f>
        <v>0</v>
      </c>
      <c r="W3" s="16"/>
      <c r="X3" s="16"/>
      <c r="Y3" s="16"/>
      <c r="Z3" s="16"/>
      <c r="AA3" s="16"/>
      <c r="AB3" s="16"/>
      <c r="AC3" s="16"/>
      <c r="AD3" s="16"/>
      <c r="AE3" s="16"/>
      <c r="AF3" s="16"/>
      <c r="AG3" s="16">
        <f>IFERROR(__xludf.DUMMYFUNCTION("""COMPUTED_VALUE"""),9.0)</f>
        <v>9</v>
      </c>
      <c r="AH3" s="16"/>
      <c r="AI3" s="16"/>
      <c r="AJ3" s="16"/>
      <c r="AK3" s="16"/>
      <c r="AL3" s="16"/>
      <c r="AM3" s="16"/>
      <c r="AN3" s="16"/>
      <c r="AO3" s="16"/>
      <c r="AP3" s="16"/>
      <c r="AQ3" s="16"/>
      <c r="AR3" s="16"/>
      <c r="AS3" s="16"/>
      <c r="AT3" s="16"/>
      <c r="AU3" s="16"/>
      <c r="AV3" s="16"/>
      <c r="AW3" s="16"/>
      <c r="AX3" s="16"/>
    </row>
    <row r="4">
      <c r="A4" s="16" t="str">
        <f>IFERROR(__xludf.DUMMYFUNCTION("""COMPUTED_VALUE"""),"Bard")</f>
        <v>Bard</v>
      </c>
      <c r="B4" s="16" t="str">
        <f>IFERROR(__xludf.DUMMYFUNCTION("""COMPUTED_VALUE"""),"Master Bard")</f>
        <v>Master Bard</v>
      </c>
      <c r="C4" s="16" t="str">
        <f>IFERROR(__xludf.DUMMYFUNCTION("""COMPUTED_VALUE"""),"Rank 9 in all Elements (excluding Zen)")</f>
        <v>Rank 9 in all Elements (excluding Zen)</v>
      </c>
      <c r="D4" s="42" t="str">
        <f>IFERROR(__xludf.DUMMYFUNCTION("""COMPUTED_VALUE"""),"While you have a Instrument equipped, Acoustic Attacks do an additional X6 damage.")</f>
        <v>While you have a Instrument equipped, Acoustic Attacks do an additional X6 damage.</v>
      </c>
      <c r="E4" s="42" t="str">
        <f>IFERROR(__xludf.DUMMYFUNCTION("""COMPUTED_VALUE"""),"X2 additional Spell damage.")</f>
        <v>X2 additional Spell damage.</v>
      </c>
      <c r="F4" s="42" t="str">
        <f>IFERROR(__xludf.DUMMYFUNCTION("""COMPUTED_VALUE"""),"Entertain - The INN town service costs nothing for you.")</f>
        <v>Entertain - The INN town service costs nothing for you.</v>
      </c>
      <c r="G4" s="42" t="str">
        <f>IFERROR(__xludf.DUMMYFUNCTION("""COMPUTED_VALUE"""),"Entertain II - When you go to a INN you recieve d20 times 1000 gilders. You can only use this ability once every 30 days of travel.")</f>
        <v>Entertain II - When you go to a INN you recieve d20 times 1000 gilders. You can only use this ability once every 30 days of travel.</v>
      </c>
      <c r="H4" s="16"/>
      <c r="I4" s="16"/>
      <c r="J4" s="16"/>
      <c r="K4" s="16"/>
      <c r="L4" s="16"/>
      <c r="M4" s="16"/>
      <c r="N4" s="16"/>
      <c r="O4" s="16"/>
      <c r="P4" s="16"/>
      <c r="Q4" s="16"/>
      <c r="R4" s="16"/>
      <c r="S4" s="16"/>
      <c r="T4" s="16"/>
      <c r="U4" s="16"/>
      <c r="V4" s="16">
        <f>IFERROR(__xludf.DUMMYFUNCTION("""COMPUTED_VALUE"""),0.0)</f>
        <v>0</v>
      </c>
      <c r="W4" s="16">
        <f>IFERROR(__xludf.DUMMYFUNCTION("""COMPUTED_VALUE"""),9.0)</f>
        <v>9</v>
      </c>
      <c r="X4" s="16">
        <f>IFERROR(__xludf.DUMMYFUNCTION("""COMPUTED_VALUE"""),9.0)</f>
        <v>9</v>
      </c>
      <c r="Y4" s="16">
        <f>IFERROR(__xludf.DUMMYFUNCTION("""COMPUTED_VALUE"""),9.0)</f>
        <v>9</v>
      </c>
      <c r="Z4" s="16">
        <f>IFERROR(__xludf.DUMMYFUNCTION("""COMPUTED_VALUE"""),9.0)</f>
        <v>9</v>
      </c>
      <c r="AA4" s="16">
        <f>IFERROR(__xludf.DUMMYFUNCTION("""COMPUTED_VALUE"""),9.0)</f>
        <v>9</v>
      </c>
      <c r="AB4" s="16">
        <f>IFERROR(__xludf.DUMMYFUNCTION("""COMPUTED_VALUE"""),9.0)</f>
        <v>9</v>
      </c>
      <c r="AC4" s="16">
        <f>IFERROR(__xludf.DUMMYFUNCTION("""COMPUTED_VALUE"""),9.0)</f>
        <v>9</v>
      </c>
      <c r="AD4" s="16">
        <f>IFERROR(__xludf.DUMMYFUNCTION("""COMPUTED_VALUE"""),9.0)</f>
        <v>9</v>
      </c>
      <c r="AE4" s="16">
        <f>IFERROR(__xludf.DUMMYFUNCTION("""COMPUTED_VALUE"""),9.0)</f>
        <v>9</v>
      </c>
      <c r="AF4" s="16">
        <f>IFERROR(__xludf.DUMMYFUNCTION("""COMPUTED_VALUE"""),9.0)</f>
        <v>9</v>
      </c>
      <c r="AG4" s="16">
        <f>IFERROR(__xludf.DUMMYFUNCTION("""COMPUTED_VALUE"""),9.0)</f>
        <v>9</v>
      </c>
      <c r="AH4" s="16">
        <f>IFERROR(__xludf.DUMMYFUNCTION("""COMPUTED_VALUE"""),9.0)</f>
        <v>9</v>
      </c>
      <c r="AI4" s="16">
        <f>IFERROR(__xludf.DUMMYFUNCTION("""COMPUTED_VALUE"""),9.0)</f>
        <v>9</v>
      </c>
      <c r="AJ4" s="16">
        <f>IFERROR(__xludf.DUMMYFUNCTION("""COMPUTED_VALUE"""),9.0)</f>
        <v>9</v>
      </c>
      <c r="AK4" s="16">
        <f>IFERROR(__xludf.DUMMYFUNCTION("""COMPUTED_VALUE"""),9.0)</f>
        <v>9</v>
      </c>
      <c r="AL4" s="16">
        <f>IFERROR(__xludf.DUMMYFUNCTION("""COMPUTED_VALUE"""),9.0)</f>
        <v>9</v>
      </c>
      <c r="AM4" s="16">
        <f>IFERROR(__xludf.DUMMYFUNCTION("""COMPUTED_VALUE"""),9.0)</f>
        <v>9</v>
      </c>
      <c r="AN4" s="16">
        <f>IFERROR(__xludf.DUMMYFUNCTION("""COMPUTED_VALUE"""),9.0)</f>
        <v>9</v>
      </c>
      <c r="AO4" s="16"/>
      <c r="AP4" s="16"/>
      <c r="AQ4" s="16">
        <f>IFERROR(__xludf.DUMMYFUNCTION("""COMPUTED_VALUE"""),9.0)</f>
        <v>9</v>
      </c>
      <c r="AR4" s="16"/>
      <c r="AS4" s="16">
        <f>IFERROR(__xludf.DUMMYFUNCTION("""COMPUTED_VALUE"""),9.0)</f>
        <v>9</v>
      </c>
      <c r="AT4" s="16"/>
      <c r="AU4" s="16"/>
      <c r="AV4" s="16"/>
      <c r="AW4" s="16"/>
      <c r="AX4" s="16"/>
    </row>
    <row r="5">
      <c r="A5" s="16" t="str">
        <f>IFERROR(__xludf.DUMMYFUNCTION("""COMPUTED_VALUE"""),"Bombadier")</f>
        <v>Bombadier</v>
      </c>
      <c r="B5" s="16" t="str">
        <f>IFERROR(__xludf.DUMMYFUNCTION("""COMPUTED_VALUE"""),"Grenadier")</f>
        <v>Grenadier</v>
      </c>
      <c r="C5" s="16" t="str">
        <f>IFERROR(__xludf.DUMMYFUNCTION("""COMPUTED_VALUE"""),"Rank 9 Fire, Physical, Ranged, Melee")</f>
        <v>Rank 9 Fire, Physical, Ranged, Melee</v>
      </c>
      <c r="D5" s="42" t="str">
        <f>IFERROR(__xludf.DUMMYFUNCTION("""COMPUTED_VALUE"""),"X6 effectiveness to all damage over time")</f>
        <v>X6 effectiveness to all damage over time</v>
      </c>
      <c r="E5" s="42" t="str">
        <f>IFERROR(__xludf.DUMMYFUNCTION("""COMPUTED_VALUE"""),"X6 Fire Damage")</f>
        <v>X6 Fire Damage</v>
      </c>
      <c r="F5" s="42" t="str">
        <f>IFERROR(__xludf.DUMMYFUNCTION("""COMPUTED_VALUE"""),"Can fire twice as many offensive grenades")</f>
        <v>Can fire twice as many offensive grenades</v>
      </c>
      <c r="G5" s="42"/>
      <c r="H5" s="16"/>
      <c r="I5" s="16"/>
      <c r="J5" s="16"/>
      <c r="K5" s="16"/>
      <c r="L5" s="16"/>
      <c r="M5" s="16"/>
      <c r="N5" s="16"/>
      <c r="O5" s="16"/>
      <c r="P5" s="16"/>
      <c r="Q5" s="16"/>
      <c r="R5" s="16"/>
      <c r="S5" s="16"/>
      <c r="T5" s="16"/>
      <c r="U5" s="16"/>
      <c r="V5" s="16">
        <f>IFERROR(__xludf.DUMMYFUNCTION("""COMPUTED_VALUE"""),0.0)</f>
        <v>0</v>
      </c>
      <c r="W5" s="16">
        <f>IFERROR(__xludf.DUMMYFUNCTION("""COMPUTED_VALUE"""),9.0)</f>
        <v>9</v>
      </c>
      <c r="X5" s="16"/>
      <c r="Y5" s="16"/>
      <c r="Z5" s="16"/>
      <c r="AA5" s="16"/>
      <c r="AB5" s="16"/>
      <c r="AC5" s="16"/>
      <c r="AD5" s="16"/>
      <c r="AE5" s="16"/>
      <c r="AF5" s="16"/>
      <c r="AG5" s="16">
        <f>IFERROR(__xludf.DUMMYFUNCTION("""COMPUTED_VALUE"""),9.0)</f>
        <v>9</v>
      </c>
      <c r="AH5" s="16">
        <f>IFERROR(__xludf.DUMMYFUNCTION("""COMPUTED_VALUE"""),9.0)</f>
        <v>9</v>
      </c>
      <c r="AI5" s="16">
        <f>IFERROR(__xludf.DUMMYFUNCTION("""COMPUTED_VALUE"""),9.0)</f>
        <v>9</v>
      </c>
      <c r="AJ5" s="16"/>
      <c r="AK5" s="16"/>
      <c r="AL5" s="16"/>
      <c r="AM5" s="16"/>
      <c r="AN5" s="16"/>
      <c r="AO5" s="16"/>
      <c r="AP5" s="16"/>
      <c r="AQ5" s="16"/>
      <c r="AR5" s="16"/>
      <c r="AS5" s="16"/>
      <c r="AT5" s="16"/>
      <c r="AU5" s="16"/>
      <c r="AV5" s="16"/>
      <c r="AW5" s="16"/>
      <c r="AX5" s="16"/>
    </row>
    <row r="6">
      <c r="A6" s="16" t="str">
        <f>IFERROR(__xludf.DUMMYFUNCTION("""COMPUTED_VALUE"""),"Bombadier")</f>
        <v>Bombadier</v>
      </c>
      <c r="B6" s="16" t="str">
        <f>IFERROR(__xludf.DUMMYFUNCTION("""COMPUTED_VALUE"""),"Cannonier")</f>
        <v>Cannonier</v>
      </c>
      <c r="C6" s="16" t="str">
        <f>IFERROR(__xludf.DUMMYFUNCTION("""COMPUTED_VALUE"""),"Rank 9 Light, Physical, Ranged, Melee")</f>
        <v>Rank 9 Light, Physical, Ranged, Melee</v>
      </c>
      <c r="D6" s="42" t="str">
        <f>IFERROR(__xludf.DUMMYFUNCTION("""COMPUTED_VALUE"""),"All Grenade-based buffs have doubled effect")</f>
        <v>All Grenade-based buffs have doubled effect</v>
      </c>
      <c r="E6" s="42" t="str">
        <f>IFERROR(__xludf.DUMMYFUNCTION("""COMPUTED_VALUE"""),"X6 Light Damage")</f>
        <v>X6 Light Damage</v>
      </c>
      <c r="F6" s="42" t="str">
        <f>IFERROR(__xludf.DUMMYFUNCTION("""COMPUTED_VALUE"""),"X4 Sp and Hp recovery from grenades")</f>
        <v>X4 Sp and Hp recovery from grenades</v>
      </c>
      <c r="G6" s="42" t="str">
        <f>IFERROR(__xludf.DUMMYFUNCTION("""COMPUTED_VALUE"""),"Can fire twice as many Buffing/Restorative Grenades")</f>
        <v>Can fire twice as many Buffing/Restorative Grenades</v>
      </c>
      <c r="H6" s="16"/>
      <c r="I6" s="16"/>
      <c r="J6" s="16"/>
      <c r="K6" s="16"/>
      <c r="L6" s="16"/>
      <c r="M6" s="16"/>
      <c r="N6" s="16"/>
      <c r="O6" s="16"/>
      <c r="P6" s="16"/>
      <c r="Q6" s="16"/>
      <c r="R6" s="16"/>
      <c r="S6" s="16"/>
      <c r="T6" s="16"/>
      <c r="U6" s="16"/>
      <c r="V6" s="16"/>
      <c r="W6" s="16"/>
      <c r="X6" s="16"/>
      <c r="Y6" s="16"/>
      <c r="Z6" s="16"/>
      <c r="AA6" s="16">
        <f>IFERROR(__xludf.DUMMYFUNCTION("""COMPUTED_VALUE"""),9.0)</f>
        <v>9</v>
      </c>
      <c r="AB6" s="16"/>
      <c r="AC6" s="16"/>
      <c r="AD6" s="16"/>
      <c r="AE6" s="16"/>
      <c r="AF6" s="16"/>
      <c r="AG6" s="16">
        <f>IFERROR(__xludf.DUMMYFUNCTION("""COMPUTED_VALUE"""),9.0)</f>
        <v>9</v>
      </c>
      <c r="AH6" s="16">
        <f>IFERROR(__xludf.DUMMYFUNCTION("""COMPUTED_VALUE"""),9.0)</f>
        <v>9</v>
      </c>
      <c r="AI6" s="16">
        <f>IFERROR(__xludf.DUMMYFUNCTION("""COMPUTED_VALUE"""),9.0)</f>
        <v>9</v>
      </c>
      <c r="AJ6" s="16"/>
      <c r="AK6" s="16"/>
      <c r="AL6" s="16"/>
      <c r="AM6" s="16"/>
      <c r="AN6" s="16"/>
      <c r="AO6" s="16"/>
      <c r="AP6" s="16"/>
      <c r="AQ6" s="16"/>
      <c r="AR6" s="16"/>
      <c r="AS6" s="16"/>
      <c r="AT6" s="16"/>
      <c r="AU6" s="16"/>
      <c r="AV6" s="16"/>
      <c r="AW6" s="16"/>
      <c r="AX6" s="16"/>
    </row>
    <row r="7">
      <c r="A7" s="16" t="str">
        <f>IFERROR(__xludf.DUMMYFUNCTION("""COMPUTED_VALUE"""),"Brawler")</f>
        <v>Brawler</v>
      </c>
      <c r="B7" s="16" t="str">
        <f>IFERROR(__xludf.DUMMYFUNCTION("""COMPUTED_VALUE"""),"Skilled Fighter")</f>
        <v>Skilled Fighter</v>
      </c>
      <c r="C7" s="16" t="str">
        <f>IFERROR(__xludf.DUMMYFUNCTION("""COMPUTED_VALUE"""),"Rank 9 Melee, Ranged")</f>
        <v>Rank 9 Melee, Ranged</v>
      </c>
      <c r="D7" s="42" t="str">
        <f>IFERROR(__xludf.DUMMYFUNCTION("""COMPUTED_VALUE"""),"Half the SP cost for Physical, Melee, and Ranged Spells.")</f>
        <v>Half the SP cost for Physical, Melee, and Ranged Spells.</v>
      </c>
      <c r="E7" s="42" t="str">
        <f>IFERROR(__xludf.DUMMYFUNCTION("""COMPUTED_VALUE"""),"Immune to damage from Natural Attacks.")</f>
        <v>Immune to damage from Natural Attacks.</v>
      </c>
      <c r="F7" s="42" t="str">
        <f>IFERROR(__xludf.DUMMYFUNCTION("""COMPUTED_VALUE"""),"Add mobility to natural attacks.")</f>
        <v>Add mobility to natural attacks.</v>
      </c>
      <c r="G7" s="42" t="str">
        <f>IFERROR(__xludf.DUMMYFUNCTION("""COMPUTED_VALUE"""),"X4 Damage towards natural attacks. ")</f>
        <v>X4 Damage towards natural attacks. </v>
      </c>
      <c r="H7" s="16"/>
      <c r="I7" s="16"/>
      <c r="J7" s="16"/>
      <c r="K7" s="16"/>
      <c r="L7" s="16"/>
      <c r="M7" s="16"/>
      <c r="N7" s="16"/>
      <c r="O7" s="16"/>
      <c r="P7" s="16"/>
      <c r="Q7" s="16"/>
      <c r="R7" s="16"/>
      <c r="S7" s="16"/>
      <c r="T7" s="16"/>
      <c r="U7" s="16"/>
      <c r="V7" s="16">
        <f>IFERROR(__xludf.DUMMYFUNCTION("""COMPUTED_VALUE"""),0.0)</f>
        <v>0</v>
      </c>
      <c r="W7" s="16"/>
      <c r="X7" s="16"/>
      <c r="Y7" s="16"/>
      <c r="Z7" s="16"/>
      <c r="AA7" s="16"/>
      <c r="AB7" s="16"/>
      <c r="AC7" s="16"/>
      <c r="AD7" s="16"/>
      <c r="AE7" s="16"/>
      <c r="AF7" s="16"/>
      <c r="AG7" s="16">
        <f>IFERROR(__xludf.DUMMYFUNCTION("""COMPUTED_VALUE"""),9.0)</f>
        <v>9</v>
      </c>
      <c r="AH7" s="16">
        <f>IFERROR(__xludf.DUMMYFUNCTION("""COMPUTED_VALUE"""),9.0)</f>
        <v>9</v>
      </c>
      <c r="AI7" s="16">
        <f>IFERROR(__xludf.DUMMYFUNCTION("""COMPUTED_VALUE"""),9.0)</f>
        <v>9</v>
      </c>
      <c r="AJ7" s="16"/>
      <c r="AK7" s="16"/>
      <c r="AL7" s="16"/>
      <c r="AM7" s="16"/>
      <c r="AN7" s="16"/>
      <c r="AO7" s="16"/>
      <c r="AP7" s="16"/>
      <c r="AQ7" s="16"/>
      <c r="AR7" s="16"/>
      <c r="AS7" s="16"/>
      <c r="AT7" s="16"/>
      <c r="AU7" s="16"/>
      <c r="AV7" s="16"/>
      <c r="AW7" s="16"/>
      <c r="AX7" s="16"/>
    </row>
    <row r="8">
      <c r="A8" s="16" t="str">
        <f>IFERROR(__xludf.DUMMYFUNCTION("""COMPUTED_VALUE"""),"Cavalier")</f>
        <v>Cavalier</v>
      </c>
      <c r="B8" s="16" t="str">
        <f>IFERROR(__xludf.DUMMYFUNCTION("""COMPUTED_VALUE"""),"Dragon Rider")</f>
        <v>Dragon Rider</v>
      </c>
      <c r="C8" s="16" t="str">
        <f>IFERROR(__xludf.DUMMYFUNCTION("""COMPUTED_VALUE"""),"Rank 3 in all elements (Excluding Zen and Acoustic)")</f>
        <v>Rank 3 in all elements (Excluding Zen and Acoustic)</v>
      </c>
      <c r="D8" s="42" t="str">
        <f>IFERROR(__xludf.DUMMYFUNCTION("""COMPUTED_VALUE"""),"When Fighting alongside a companion you can give up your companions turn to give you an additional action on your next turn.")</f>
        <v>When Fighting alongside a companion you can give up your companions turn to give you an additional action on your next turn.</v>
      </c>
      <c r="E8" s="42" t="str">
        <f>IFERROR(__xludf.DUMMYFUNCTION("""COMPUTED_VALUE"""),"When fighting alongside a companion which is draconic you and your companion gain X4 damage to all spells of the Dragon's Corresponding element")</f>
        <v>When fighting alongside a companion which is draconic you and your companion gain X4 damage to all spells of the Dragon's Corresponding element</v>
      </c>
      <c r="F8" s="42" t="str">
        <f>IFERROR(__xludf.DUMMYFUNCTION("""COMPUTED_VALUE"""),"Hatching the egg of a draconic creature takes 1d50 time instead of 1d100")</f>
        <v>Hatching the egg of a draconic creature takes 1d50 time instead of 1d100</v>
      </c>
      <c r="G8" s="42" t="str">
        <f>IFERROR(__xludf.DUMMYFUNCTION("""COMPUTED_VALUE"""),"you gain access to the Dragon's Breath Natural Power")</f>
        <v>you gain access to the Dragon's Breath Natural Power</v>
      </c>
      <c r="H8" s="16"/>
      <c r="I8" s="16"/>
      <c r="J8" s="16"/>
      <c r="K8" s="16"/>
      <c r="L8" s="16"/>
      <c r="M8" s="16"/>
      <c r="N8" s="16"/>
      <c r="O8" s="16"/>
      <c r="P8" s="16"/>
      <c r="Q8" s="16"/>
      <c r="R8" s="16"/>
      <c r="S8" s="16"/>
      <c r="T8" s="16"/>
      <c r="U8" s="16"/>
      <c r="V8" s="16"/>
      <c r="W8" s="16">
        <f>IFERROR(__xludf.DUMMYFUNCTION("""COMPUTED_VALUE"""),3.0)</f>
        <v>3</v>
      </c>
      <c r="X8" s="16">
        <f>IFERROR(__xludf.DUMMYFUNCTION("""COMPUTED_VALUE"""),3.0)</f>
        <v>3</v>
      </c>
      <c r="Y8" s="16">
        <f>IFERROR(__xludf.DUMMYFUNCTION("""COMPUTED_VALUE"""),3.0)</f>
        <v>3</v>
      </c>
      <c r="Z8" s="16">
        <f>IFERROR(__xludf.DUMMYFUNCTION("""COMPUTED_VALUE"""),3.0)</f>
        <v>3</v>
      </c>
      <c r="AA8" s="16">
        <f>IFERROR(__xludf.DUMMYFUNCTION("""COMPUTED_VALUE"""),3.0)</f>
        <v>3</v>
      </c>
      <c r="AB8" s="16">
        <f>IFERROR(__xludf.DUMMYFUNCTION("""COMPUTED_VALUE"""),3.0)</f>
        <v>3</v>
      </c>
      <c r="AC8" s="16">
        <f>IFERROR(__xludf.DUMMYFUNCTION("""COMPUTED_VALUE"""),3.0)</f>
        <v>3</v>
      </c>
      <c r="AD8" s="16">
        <f>IFERROR(__xludf.DUMMYFUNCTION("""COMPUTED_VALUE"""),3.0)</f>
        <v>3</v>
      </c>
      <c r="AE8" s="16">
        <f>IFERROR(__xludf.DUMMYFUNCTION("""COMPUTED_VALUE"""),3.0)</f>
        <v>3</v>
      </c>
      <c r="AF8" s="16">
        <f>IFERROR(__xludf.DUMMYFUNCTION("""COMPUTED_VALUE"""),3.0)</f>
        <v>3</v>
      </c>
      <c r="AG8" s="16">
        <f>IFERROR(__xludf.DUMMYFUNCTION("""COMPUTED_VALUE"""),3.0)</f>
        <v>3</v>
      </c>
      <c r="AH8" s="16">
        <f>IFERROR(__xludf.DUMMYFUNCTION("""COMPUTED_VALUE"""),3.0)</f>
        <v>3</v>
      </c>
      <c r="AI8" s="16">
        <f>IFERROR(__xludf.DUMMYFUNCTION("""COMPUTED_VALUE"""),3.0)</f>
        <v>3</v>
      </c>
      <c r="AJ8" s="16">
        <f>IFERROR(__xludf.DUMMYFUNCTION("""COMPUTED_VALUE"""),3.0)</f>
        <v>3</v>
      </c>
      <c r="AK8" s="16">
        <f>IFERROR(__xludf.DUMMYFUNCTION("""COMPUTED_VALUE"""),3.0)</f>
        <v>3</v>
      </c>
      <c r="AL8" s="16">
        <f>IFERROR(__xludf.DUMMYFUNCTION("""COMPUTED_VALUE"""),3.0)</f>
        <v>3</v>
      </c>
      <c r="AM8" s="16">
        <f>IFERROR(__xludf.DUMMYFUNCTION("""COMPUTED_VALUE"""),3.0)</f>
        <v>3</v>
      </c>
      <c r="AN8" s="16">
        <f>IFERROR(__xludf.DUMMYFUNCTION("""COMPUTED_VALUE"""),3.0)</f>
        <v>3</v>
      </c>
      <c r="AO8" s="16"/>
      <c r="AP8" s="16"/>
      <c r="AQ8" s="16">
        <f>IFERROR(__xludf.DUMMYFUNCTION("""COMPUTED_VALUE"""),3.0)</f>
        <v>3</v>
      </c>
      <c r="AR8" s="16"/>
      <c r="AS8" s="16"/>
      <c r="AT8" s="16"/>
      <c r="AU8" s="16"/>
      <c r="AV8" s="16"/>
      <c r="AW8" s="16"/>
      <c r="AX8" s="16"/>
    </row>
    <row r="9">
      <c r="A9" s="16" t="str">
        <f>IFERROR(__xludf.DUMMYFUNCTION("""COMPUTED_VALUE"""),"Cavalier")</f>
        <v>Cavalier</v>
      </c>
      <c r="B9" s="16" t="str">
        <f>IFERROR(__xludf.DUMMYFUNCTION("""COMPUTED_VALUE"""),"Beast Master")</f>
        <v>Beast Master</v>
      </c>
      <c r="C9" s="16" t="str">
        <f>IFERROR(__xludf.DUMMYFUNCTION("""COMPUTED_VALUE"""),"Rank 3 in all elements (Excluding Zen and Acoustic)")</f>
        <v>Rank 3 in all elements (Excluding Zen and Acoustic)</v>
      </c>
      <c r="D9" s="42" t="str">
        <f>IFERROR(__xludf.DUMMYFUNCTION("""COMPUTED_VALUE"""),"When Fighting alongside a companion you can give up your companions turn to give you an additional action on your next turn.")</f>
        <v>When Fighting alongside a companion you can give up your companions turn to give you an additional action on your next turn.</v>
      </c>
      <c r="E9" s="42" t="str">
        <f>IFERROR(__xludf.DUMMYFUNCTION("""COMPUTED_VALUE"""),"When fighting alongside a companion which is beastial you and your companion gain X4 Weapon, Blood, and Natural attack damage")</f>
        <v>When fighting alongside a companion which is beastial you and your companion gain X4 Weapon, Blood, and Natural attack damage</v>
      </c>
      <c r="F9" s="42" t="str">
        <f>IFERROR(__xludf.DUMMYFUNCTION("""COMPUTED_VALUE"""),"when attacking an enemy who is currently bleeding you can tap into your beastial instincts to double the roll of any hit or miss attacks targetting the bleeding enemy")</f>
        <v>when attacking an enemy who is currently bleeding you can tap into your beastial instincts to double the roll of any hit or miss attacks targetting the bleeding enemy</v>
      </c>
      <c r="G9" s="42" t="str">
        <f>IFERROR(__xludf.DUMMYFUNCTION("""COMPUTED_VALUE"""),"Hatching the egg of a Beastial creature takes 1d50 time instead of 1d100")</f>
        <v>Hatching the egg of a Beastial creature takes 1d50 time instead of 1d100</v>
      </c>
      <c r="H9" s="16"/>
      <c r="I9" s="16"/>
      <c r="J9" s="16"/>
      <c r="K9" s="16"/>
      <c r="L9" s="16"/>
      <c r="M9" s="16"/>
      <c r="N9" s="16"/>
      <c r="O9" s="16"/>
      <c r="P9" s="16"/>
      <c r="Q9" s="16"/>
      <c r="R9" s="16"/>
      <c r="S9" s="16"/>
      <c r="T9" s="16"/>
      <c r="U9" s="16"/>
      <c r="V9" s="16"/>
      <c r="W9" s="16">
        <f>IFERROR(__xludf.DUMMYFUNCTION("""COMPUTED_VALUE"""),3.0)</f>
        <v>3</v>
      </c>
      <c r="X9" s="16">
        <f>IFERROR(__xludf.DUMMYFUNCTION("""COMPUTED_VALUE"""),3.0)</f>
        <v>3</v>
      </c>
      <c r="Y9" s="16">
        <f>IFERROR(__xludf.DUMMYFUNCTION("""COMPUTED_VALUE"""),3.0)</f>
        <v>3</v>
      </c>
      <c r="Z9" s="16">
        <f>IFERROR(__xludf.DUMMYFUNCTION("""COMPUTED_VALUE"""),3.0)</f>
        <v>3</v>
      </c>
      <c r="AA9" s="16">
        <f>IFERROR(__xludf.DUMMYFUNCTION("""COMPUTED_VALUE"""),3.0)</f>
        <v>3</v>
      </c>
      <c r="AB9" s="16">
        <f>IFERROR(__xludf.DUMMYFUNCTION("""COMPUTED_VALUE"""),3.0)</f>
        <v>3</v>
      </c>
      <c r="AC9" s="16">
        <f>IFERROR(__xludf.DUMMYFUNCTION("""COMPUTED_VALUE"""),3.0)</f>
        <v>3</v>
      </c>
      <c r="AD9" s="16">
        <f>IFERROR(__xludf.DUMMYFUNCTION("""COMPUTED_VALUE"""),3.0)</f>
        <v>3</v>
      </c>
      <c r="AE9" s="16">
        <f>IFERROR(__xludf.DUMMYFUNCTION("""COMPUTED_VALUE"""),3.0)</f>
        <v>3</v>
      </c>
      <c r="AF9" s="16">
        <f>IFERROR(__xludf.DUMMYFUNCTION("""COMPUTED_VALUE"""),3.0)</f>
        <v>3</v>
      </c>
      <c r="AG9" s="16">
        <f>IFERROR(__xludf.DUMMYFUNCTION("""COMPUTED_VALUE"""),3.0)</f>
        <v>3</v>
      </c>
      <c r="AH9" s="16">
        <f>IFERROR(__xludf.DUMMYFUNCTION("""COMPUTED_VALUE"""),3.0)</f>
        <v>3</v>
      </c>
      <c r="AI9" s="16">
        <f>IFERROR(__xludf.DUMMYFUNCTION("""COMPUTED_VALUE"""),3.0)</f>
        <v>3</v>
      </c>
      <c r="AJ9" s="16">
        <f>IFERROR(__xludf.DUMMYFUNCTION("""COMPUTED_VALUE"""),3.0)</f>
        <v>3</v>
      </c>
      <c r="AK9" s="16">
        <f>IFERROR(__xludf.DUMMYFUNCTION("""COMPUTED_VALUE"""),3.0)</f>
        <v>3</v>
      </c>
      <c r="AL9" s="16">
        <f>IFERROR(__xludf.DUMMYFUNCTION("""COMPUTED_VALUE"""),3.0)</f>
        <v>3</v>
      </c>
      <c r="AM9" s="16">
        <f>IFERROR(__xludf.DUMMYFUNCTION("""COMPUTED_VALUE"""),3.0)</f>
        <v>3</v>
      </c>
      <c r="AN9" s="16">
        <f>IFERROR(__xludf.DUMMYFUNCTION("""COMPUTED_VALUE"""),3.0)</f>
        <v>3</v>
      </c>
      <c r="AO9" s="16"/>
      <c r="AP9" s="16"/>
      <c r="AQ9" s="16">
        <f>IFERROR(__xludf.DUMMYFUNCTION("""COMPUTED_VALUE"""),3.0)</f>
        <v>3</v>
      </c>
      <c r="AR9" s="16"/>
      <c r="AS9" s="16"/>
      <c r="AT9" s="16"/>
      <c r="AU9" s="16"/>
      <c r="AV9" s="16"/>
      <c r="AW9" s="16"/>
      <c r="AX9" s="16"/>
    </row>
    <row r="10">
      <c r="A10" s="16" t="str">
        <f>IFERROR(__xludf.DUMMYFUNCTION("""COMPUTED_VALUE"""),"Cavalier")</f>
        <v>Cavalier</v>
      </c>
      <c r="B10" s="16" t="str">
        <f>IFERROR(__xludf.DUMMYFUNCTION("""COMPUTED_VALUE"""),"Blood Bound")</f>
        <v>Blood Bound</v>
      </c>
      <c r="C10" s="16" t="str">
        <f>IFERROR(__xludf.DUMMYFUNCTION("""COMPUTED_VALUE"""),"Rank 3 in all elements (Excluding Zen and Acoustic)")</f>
        <v>Rank 3 in all elements (Excluding Zen and Acoustic)</v>
      </c>
      <c r="D10" s="42" t="str">
        <f>IFERROR(__xludf.DUMMYFUNCTION("""COMPUTED_VALUE"""),"When Fighting alongside a companion you can give up your companions turn to give you an additional action on your next turn.")</f>
        <v>When Fighting alongside a companion you can give up your companions turn to give you an additional action on your next turn.</v>
      </c>
      <c r="E10" s="42" t="str">
        <f>IFERROR(__xludf.DUMMYFUNCTION("""COMPUTED_VALUE"""),"When fighting alongside a demon or devil companion you and your companion gain X4 Chaos, Voodoo, and Dark damage")</f>
        <v>When fighting alongside a demon or devil companion you and your companion gain X4 Chaos, Voodoo, and Dark damage</v>
      </c>
      <c r="F10" s="42" t="str">
        <f>IFERROR(__xludf.DUMMYFUNCTION("""COMPUTED_VALUE"""),"You may choose to use your health as the sp cost for your companions spells, doing so will increase the damage by X4 ")</f>
        <v>You may choose to use your health as the sp cost for your companions spells, doing so will increase the damage by X4 </v>
      </c>
      <c r="G10" s="42" t="str">
        <f>IFERROR(__xludf.DUMMYFUNCTION("""COMPUTED_VALUE"""),"Hatching the egg of a Demonic creature takes 1d50 time instead of 1d100")</f>
        <v>Hatching the egg of a Demonic creature takes 1d50 time instead of 1d100</v>
      </c>
      <c r="H10" s="16"/>
      <c r="I10" s="16"/>
      <c r="J10" s="16"/>
      <c r="K10" s="16"/>
      <c r="L10" s="16"/>
      <c r="M10" s="16"/>
      <c r="N10" s="16"/>
      <c r="O10" s="16"/>
      <c r="P10" s="16"/>
      <c r="Q10" s="16"/>
      <c r="R10" s="16"/>
      <c r="S10" s="16"/>
      <c r="T10" s="16"/>
      <c r="U10" s="16"/>
      <c r="V10" s="16"/>
      <c r="W10" s="16">
        <f>IFERROR(__xludf.DUMMYFUNCTION("""COMPUTED_VALUE"""),3.0)</f>
        <v>3</v>
      </c>
      <c r="X10" s="16">
        <f>IFERROR(__xludf.DUMMYFUNCTION("""COMPUTED_VALUE"""),3.0)</f>
        <v>3</v>
      </c>
      <c r="Y10" s="16">
        <f>IFERROR(__xludf.DUMMYFUNCTION("""COMPUTED_VALUE"""),3.0)</f>
        <v>3</v>
      </c>
      <c r="Z10" s="16">
        <f>IFERROR(__xludf.DUMMYFUNCTION("""COMPUTED_VALUE"""),3.0)</f>
        <v>3</v>
      </c>
      <c r="AA10" s="16">
        <f>IFERROR(__xludf.DUMMYFUNCTION("""COMPUTED_VALUE"""),3.0)</f>
        <v>3</v>
      </c>
      <c r="AB10" s="16">
        <f>IFERROR(__xludf.DUMMYFUNCTION("""COMPUTED_VALUE"""),3.0)</f>
        <v>3</v>
      </c>
      <c r="AC10" s="16">
        <f>IFERROR(__xludf.DUMMYFUNCTION("""COMPUTED_VALUE"""),3.0)</f>
        <v>3</v>
      </c>
      <c r="AD10" s="16">
        <f>IFERROR(__xludf.DUMMYFUNCTION("""COMPUTED_VALUE"""),3.0)</f>
        <v>3</v>
      </c>
      <c r="AE10" s="16">
        <f>IFERROR(__xludf.DUMMYFUNCTION("""COMPUTED_VALUE"""),3.0)</f>
        <v>3</v>
      </c>
      <c r="AF10" s="16">
        <f>IFERROR(__xludf.DUMMYFUNCTION("""COMPUTED_VALUE"""),3.0)</f>
        <v>3</v>
      </c>
      <c r="AG10" s="16">
        <f>IFERROR(__xludf.DUMMYFUNCTION("""COMPUTED_VALUE"""),3.0)</f>
        <v>3</v>
      </c>
      <c r="AH10" s="16">
        <f>IFERROR(__xludf.DUMMYFUNCTION("""COMPUTED_VALUE"""),3.0)</f>
        <v>3</v>
      </c>
      <c r="AI10" s="16">
        <f>IFERROR(__xludf.DUMMYFUNCTION("""COMPUTED_VALUE"""),3.0)</f>
        <v>3</v>
      </c>
      <c r="AJ10" s="16">
        <f>IFERROR(__xludf.DUMMYFUNCTION("""COMPUTED_VALUE"""),3.0)</f>
        <v>3</v>
      </c>
      <c r="AK10" s="16">
        <f>IFERROR(__xludf.DUMMYFUNCTION("""COMPUTED_VALUE"""),3.0)</f>
        <v>3</v>
      </c>
      <c r="AL10" s="16">
        <f>IFERROR(__xludf.DUMMYFUNCTION("""COMPUTED_VALUE"""),3.0)</f>
        <v>3</v>
      </c>
      <c r="AM10" s="16">
        <f>IFERROR(__xludf.DUMMYFUNCTION("""COMPUTED_VALUE"""),3.0)</f>
        <v>3</v>
      </c>
      <c r="AN10" s="16">
        <f>IFERROR(__xludf.DUMMYFUNCTION("""COMPUTED_VALUE"""),3.0)</f>
        <v>3</v>
      </c>
      <c r="AO10" s="16"/>
      <c r="AP10" s="16"/>
      <c r="AQ10" s="16">
        <f>IFERROR(__xludf.DUMMYFUNCTION("""COMPUTED_VALUE"""),3.0)</f>
        <v>3</v>
      </c>
      <c r="AR10" s="16"/>
      <c r="AS10" s="16"/>
      <c r="AT10" s="16"/>
      <c r="AU10" s="16"/>
      <c r="AV10" s="16"/>
      <c r="AW10" s="16"/>
      <c r="AX10" s="16"/>
    </row>
    <row r="11">
      <c r="A11" s="16" t="str">
        <f>IFERROR(__xludf.DUMMYFUNCTION("""COMPUTED_VALUE"""),"Cavalier")</f>
        <v>Cavalier</v>
      </c>
      <c r="B11" s="16" t="str">
        <f>IFERROR(__xludf.DUMMYFUNCTION("""COMPUTED_VALUE"""),"Heavenly Herald")</f>
        <v>Heavenly Herald</v>
      </c>
      <c r="C11" s="16" t="str">
        <f>IFERROR(__xludf.DUMMYFUNCTION("""COMPUTED_VALUE"""),"Rank 3 in all elements (Excluding Zen and Acoustic)")</f>
        <v>Rank 3 in all elements (Excluding Zen and Acoustic)</v>
      </c>
      <c r="D11" s="42" t="str">
        <f>IFERROR(__xludf.DUMMYFUNCTION("""COMPUTED_VALUE"""),"When Fighting alongside a companion you can give up your companions turn to give you an additional action on your next turn.")</f>
        <v>When Fighting alongside a companion you can give up your companions turn to give you an additional action on your next turn.</v>
      </c>
      <c r="E11" s="42" t="str">
        <f>IFERROR(__xludf.DUMMYFUNCTION("""COMPUTED_VALUE"""),"When fighting alongside a heavenly entity companion and your companion you gain X4 Light and Order damage")</f>
        <v>When fighting alongside a heavenly entity companion and your companion you gain X4 Light and Order damage</v>
      </c>
      <c r="F11" s="42" t="str">
        <f>IFERROR(__xludf.DUMMYFUNCTION("""COMPUTED_VALUE"""),"You may choose to convert all of your defense into damage for a power or weapon attack, doing so will set your defense to 0 for 3 rounds")</f>
        <v>You may choose to convert all of your defense into damage for a power or weapon attack, doing so will set your defense to 0 for 3 rounds</v>
      </c>
      <c r="G11" s="42" t="str">
        <f>IFERROR(__xludf.DUMMYFUNCTION("""COMPUTED_VALUE"""),"Hatching the egg of a Heavenly creature takes 1d50 time instead of 1d100")</f>
        <v>Hatching the egg of a Heavenly creature takes 1d50 time instead of 1d100</v>
      </c>
      <c r="H11" s="16"/>
      <c r="I11" s="16"/>
      <c r="J11" s="16"/>
      <c r="K11" s="16"/>
      <c r="L11" s="16"/>
      <c r="M11" s="16"/>
      <c r="N11" s="16"/>
      <c r="O11" s="16"/>
      <c r="P11" s="16"/>
      <c r="Q11" s="16"/>
      <c r="R11" s="16"/>
      <c r="S11" s="16"/>
      <c r="T11" s="16"/>
      <c r="U11" s="16"/>
      <c r="V11" s="16"/>
      <c r="W11" s="16">
        <f>IFERROR(__xludf.DUMMYFUNCTION("""COMPUTED_VALUE"""),3.0)</f>
        <v>3</v>
      </c>
      <c r="X11" s="16">
        <f>IFERROR(__xludf.DUMMYFUNCTION("""COMPUTED_VALUE"""),3.0)</f>
        <v>3</v>
      </c>
      <c r="Y11" s="16">
        <f>IFERROR(__xludf.DUMMYFUNCTION("""COMPUTED_VALUE"""),3.0)</f>
        <v>3</v>
      </c>
      <c r="Z11" s="16">
        <f>IFERROR(__xludf.DUMMYFUNCTION("""COMPUTED_VALUE"""),3.0)</f>
        <v>3</v>
      </c>
      <c r="AA11" s="16">
        <f>IFERROR(__xludf.DUMMYFUNCTION("""COMPUTED_VALUE"""),3.0)</f>
        <v>3</v>
      </c>
      <c r="AB11" s="16">
        <f>IFERROR(__xludf.DUMMYFUNCTION("""COMPUTED_VALUE"""),3.0)</f>
        <v>3</v>
      </c>
      <c r="AC11" s="16">
        <f>IFERROR(__xludf.DUMMYFUNCTION("""COMPUTED_VALUE"""),3.0)</f>
        <v>3</v>
      </c>
      <c r="AD11" s="16">
        <f>IFERROR(__xludf.DUMMYFUNCTION("""COMPUTED_VALUE"""),3.0)</f>
        <v>3</v>
      </c>
      <c r="AE11" s="16">
        <f>IFERROR(__xludf.DUMMYFUNCTION("""COMPUTED_VALUE"""),3.0)</f>
        <v>3</v>
      </c>
      <c r="AF11" s="16">
        <f>IFERROR(__xludf.DUMMYFUNCTION("""COMPUTED_VALUE"""),3.0)</f>
        <v>3</v>
      </c>
      <c r="AG11" s="16">
        <f>IFERROR(__xludf.DUMMYFUNCTION("""COMPUTED_VALUE"""),3.0)</f>
        <v>3</v>
      </c>
      <c r="AH11" s="16">
        <f>IFERROR(__xludf.DUMMYFUNCTION("""COMPUTED_VALUE"""),3.0)</f>
        <v>3</v>
      </c>
      <c r="AI11" s="16">
        <f>IFERROR(__xludf.DUMMYFUNCTION("""COMPUTED_VALUE"""),3.0)</f>
        <v>3</v>
      </c>
      <c r="AJ11" s="16">
        <f>IFERROR(__xludf.DUMMYFUNCTION("""COMPUTED_VALUE"""),3.0)</f>
        <v>3</v>
      </c>
      <c r="AK11" s="16">
        <f>IFERROR(__xludf.DUMMYFUNCTION("""COMPUTED_VALUE"""),3.0)</f>
        <v>3</v>
      </c>
      <c r="AL11" s="16">
        <f>IFERROR(__xludf.DUMMYFUNCTION("""COMPUTED_VALUE"""),3.0)</f>
        <v>3</v>
      </c>
      <c r="AM11" s="16">
        <f>IFERROR(__xludf.DUMMYFUNCTION("""COMPUTED_VALUE"""),3.0)</f>
        <v>3</v>
      </c>
      <c r="AN11" s="16">
        <f>IFERROR(__xludf.DUMMYFUNCTION("""COMPUTED_VALUE"""),3.0)</f>
        <v>3</v>
      </c>
      <c r="AO11" s="16"/>
      <c r="AP11" s="16"/>
      <c r="AQ11" s="16">
        <f>IFERROR(__xludf.DUMMYFUNCTION("""COMPUTED_VALUE"""),3.0)</f>
        <v>3</v>
      </c>
      <c r="AR11" s="16"/>
      <c r="AS11" s="16"/>
      <c r="AT11" s="16"/>
      <c r="AU11" s="16"/>
      <c r="AV11" s="16"/>
      <c r="AW11" s="16"/>
      <c r="AX11" s="16"/>
    </row>
    <row r="12">
      <c r="A12" s="16" t="str">
        <f>IFERROR(__xludf.DUMMYFUNCTION("""COMPUTED_VALUE"""),"Cultist")</f>
        <v>Cultist</v>
      </c>
      <c r="B12" s="16" t="str">
        <f>IFERROR(__xludf.DUMMYFUNCTION("""COMPUTED_VALUE"""),"Disciple of Darkness")</f>
        <v>Disciple of Darkness</v>
      </c>
      <c r="C12" s="16" t="str">
        <f>IFERROR(__xludf.DUMMYFUNCTION("""COMPUTED_VALUE"""),"Rank 9 Chaos, Dark, Voodoo, Blood")</f>
        <v>Rank 9 Chaos, Dark, Voodoo, Blood</v>
      </c>
      <c r="D12" s="42" t="str">
        <f>IFERROR(__xludf.DUMMYFUNCTION("""COMPUTED_VALUE"""),"Immune to instant death.")</f>
        <v>Immune to instant death.</v>
      </c>
      <c r="E12" s="42" t="str">
        <f>IFERROR(__xludf.DUMMYFUNCTION("""COMPUTED_VALUE"""),"25% Chance all enemies instantly die at the begining of battle.")</f>
        <v>25% Chance all enemies instantly die at the begining of battle.</v>
      </c>
      <c r="F12" s="42"/>
      <c r="G12" s="42"/>
      <c r="H12" s="16"/>
      <c r="I12" s="16"/>
      <c r="J12" s="16"/>
      <c r="K12" s="16"/>
      <c r="L12" s="16"/>
      <c r="M12" s="16"/>
      <c r="N12" s="16"/>
      <c r="O12" s="16"/>
      <c r="P12" s="16"/>
      <c r="Q12" s="16"/>
      <c r="R12" s="16"/>
      <c r="S12" s="16"/>
      <c r="T12" s="16"/>
      <c r="U12" s="16"/>
      <c r="V12" s="16">
        <f>IFERROR(__xludf.DUMMYFUNCTION("""COMPUTED_VALUE"""),0.0)</f>
        <v>0</v>
      </c>
      <c r="W12" s="16"/>
      <c r="X12" s="16"/>
      <c r="Y12" s="16"/>
      <c r="Z12" s="16"/>
      <c r="AA12" s="16"/>
      <c r="AB12" s="16">
        <f>IFERROR(__xludf.DUMMYFUNCTION("""COMPUTED_VALUE"""),9.0)</f>
        <v>9</v>
      </c>
      <c r="AC12" s="16"/>
      <c r="AD12" s="16"/>
      <c r="AE12" s="16">
        <f>IFERROR(__xludf.DUMMYFUNCTION("""COMPUTED_VALUE"""),9.0)</f>
        <v>9</v>
      </c>
      <c r="AF12" s="16"/>
      <c r="AG12" s="16"/>
      <c r="AH12" s="16"/>
      <c r="AI12" s="16"/>
      <c r="AJ12" s="16"/>
      <c r="AK12" s="16"/>
      <c r="AL12" s="16">
        <f>IFERROR(__xludf.DUMMYFUNCTION("""COMPUTED_VALUE"""),9.0)</f>
        <v>9</v>
      </c>
      <c r="AM12" s="16">
        <f>IFERROR(__xludf.DUMMYFUNCTION("""COMPUTED_VALUE"""),9.0)</f>
        <v>9</v>
      </c>
      <c r="AN12" s="16"/>
      <c r="AO12" s="16"/>
      <c r="AP12" s="16"/>
      <c r="AQ12" s="16"/>
      <c r="AR12" s="16"/>
      <c r="AS12" s="16"/>
      <c r="AT12" s="16"/>
      <c r="AU12" s="16"/>
      <c r="AV12" s="16"/>
      <c r="AW12" s="16"/>
      <c r="AX12" s="16"/>
    </row>
    <row r="13">
      <c r="A13" s="16" t="str">
        <f>IFERROR(__xludf.DUMMYFUNCTION("""COMPUTED_VALUE"""),"Cultist")</f>
        <v>Cultist</v>
      </c>
      <c r="B13" s="16" t="str">
        <f>IFERROR(__xludf.DUMMYFUNCTION("""COMPUTED_VALUE"""),"Elemental Cultist")</f>
        <v>Elemental Cultist</v>
      </c>
      <c r="C13" s="16" t="str">
        <f>IFERROR(__xludf.DUMMYFUNCTION("""COMPUTED_VALUE"""),"Rank 9 Chaos, Dark, Fire, Water, Earth.")</f>
        <v>Rank 9 Chaos, Dark, Fire, Water, Earth.</v>
      </c>
      <c r="D13" s="42" t="str">
        <f>IFERROR(__xludf.DUMMYFUNCTION("""COMPUTED_VALUE"""),"Immune to instant death.")</f>
        <v>Immune to instant death.</v>
      </c>
      <c r="E13" s="42" t="str">
        <f>IFERROR(__xludf.DUMMYFUNCTION("""COMPUTED_VALUE"""),"X2 Spell damage for self.")</f>
        <v>X2 Spell damage for self.</v>
      </c>
      <c r="F13" s="42"/>
      <c r="G13" s="42"/>
      <c r="H13" s="16"/>
      <c r="I13" s="16"/>
      <c r="J13" s="16"/>
      <c r="K13" s="16"/>
      <c r="L13" s="16"/>
      <c r="M13" s="16"/>
      <c r="N13" s="16"/>
      <c r="O13" s="16"/>
      <c r="P13" s="16"/>
      <c r="Q13" s="16"/>
      <c r="R13" s="16"/>
      <c r="S13" s="16"/>
      <c r="T13" s="16"/>
      <c r="U13" s="16"/>
      <c r="V13" s="16">
        <f>IFERROR(__xludf.DUMMYFUNCTION("""COMPUTED_VALUE"""),0.0)</f>
        <v>0</v>
      </c>
      <c r="W13" s="16">
        <f>IFERROR(__xludf.DUMMYFUNCTION("""COMPUTED_VALUE"""),9.0)</f>
        <v>9</v>
      </c>
      <c r="X13" s="16">
        <f>IFERROR(__xludf.DUMMYFUNCTION("""COMPUTED_VALUE"""),9.0)</f>
        <v>9</v>
      </c>
      <c r="Y13" s="16"/>
      <c r="Z13" s="16">
        <f>IFERROR(__xludf.DUMMYFUNCTION("""COMPUTED_VALUE"""),9.0)</f>
        <v>9</v>
      </c>
      <c r="AA13" s="16"/>
      <c r="AB13" s="16">
        <f>IFERROR(__xludf.DUMMYFUNCTION("""COMPUTED_VALUE"""),9.0)</f>
        <v>9</v>
      </c>
      <c r="AC13" s="16"/>
      <c r="AD13" s="16"/>
      <c r="AE13" s="16">
        <f>IFERROR(__xludf.DUMMYFUNCTION("""COMPUTED_VALUE"""),9.0)</f>
        <v>9</v>
      </c>
      <c r="AF13" s="16"/>
      <c r="AG13" s="16"/>
      <c r="AH13" s="16"/>
      <c r="AI13" s="16"/>
      <c r="AJ13" s="16"/>
      <c r="AK13" s="16"/>
      <c r="AL13" s="16"/>
      <c r="AM13" s="16"/>
      <c r="AN13" s="16"/>
      <c r="AO13" s="16"/>
      <c r="AP13" s="16"/>
      <c r="AQ13" s="16"/>
      <c r="AR13" s="16"/>
      <c r="AS13" s="16"/>
      <c r="AT13" s="16"/>
      <c r="AU13" s="16"/>
      <c r="AV13" s="16"/>
      <c r="AW13" s="16"/>
      <c r="AX13" s="16"/>
    </row>
    <row r="14">
      <c r="A14" s="16" t="str">
        <f>IFERROR(__xludf.DUMMYFUNCTION("""COMPUTED_VALUE"""),"Cultist")</f>
        <v>Cultist</v>
      </c>
      <c r="B14" s="16" t="str">
        <f>IFERROR(__xludf.DUMMYFUNCTION("""COMPUTED_VALUE"""),"Necromancer")</f>
        <v>Necromancer</v>
      </c>
      <c r="C14" s="16" t="str">
        <f>IFERROR(__xludf.DUMMYFUNCTION("""COMPUTED_VALUE"""),"Rank 9 Chaos, Dark, Voodoo, Blood")</f>
        <v>Rank 9 Chaos, Dark, Voodoo, Blood</v>
      </c>
      <c r="D14" s="42" t="str">
        <f>IFERROR(__xludf.DUMMYFUNCTION("""COMPUTED_VALUE"""),"Restricted Class: (Must unlock the Abstara Expansion to use this class)
50% Chance a party member revives when they die. Unaffected by bonuses.")</f>
        <v>Restricted Class: (Must unlock the Abstara Expansion to use this class)
50% Chance a party member revives when they die. Unaffected by bonuses.</v>
      </c>
      <c r="E14" s="42" t="str">
        <f>IFERROR(__xludf.DUMMYFUNCTION("""COMPUTED_VALUE"""),"When attacking with a Hit/Miss type attack that is Dark, Chaos, Voodoo, or Blood you may add your mobility bonus while attacking.")</f>
        <v>When attacking with a Hit/Miss type attack that is Dark, Chaos, Voodoo, or Blood you may add your mobility bonus while attacking.</v>
      </c>
      <c r="F14" s="42" t="str">
        <f>IFERROR(__xludf.DUMMYFUNCTION("""COMPUTED_VALUE"""),"Immune to  Instant Death")</f>
        <v>Immune to  Instant Death</v>
      </c>
      <c r="G14" s="42" t="str">
        <f>IFERROR(__xludf.DUMMYFUNCTION("""COMPUTED_VALUE"""),"50% chance to come back to life after death once per battle, This ability is unaffected by percentage bonuses.")</f>
        <v>50% chance to come back to life after death once per battle, This ability is unaffected by percentage bonuses.</v>
      </c>
      <c r="H14" s="16"/>
      <c r="I14" s="16"/>
      <c r="J14" s="16"/>
      <c r="K14" s="16"/>
      <c r="L14" s="16"/>
      <c r="M14" s="16"/>
      <c r="N14" s="16"/>
      <c r="O14" s="16"/>
      <c r="P14" s="16"/>
      <c r="Q14" s="16"/>
      <c r="R14" s="16"/>
      <c r="S14" s="16"/>
      <c r="T14" s="16"/>
      <c r="U14" s="16"/>
      <c r="V14" s="16">
        <f>IFERROR(__xludf.DUMMYFUNCTION("""COMPUTED_VALUE"""),0.0)</f>
        <v>0</v>
      </c>
      <c r="W14" s="16"/>
      <c r="X14" s="16"/>
      <c r="Y14" s="16"/>
      <c r="Z14" s="16"/>
      <c r="AA14" s="16"/>
      <c r="AB14" s="16">
        <f>IFERROR(__xludf.DUMMYFUNCTION("""COMPUTED_VALUE"""),9.0)</f>
        <v>9</v>
      </c>
      <c r="AC14" s="16"/>
      <c r="AD14" s="16"/>
      <c r="AE14" s="16">
        <f>IFERROR(__xludf.DUMMYFUNCTION("""COMPUTED_VALUE"""),9.0)</f>
        <v>9</v>
      </c>
      <c r="AF14" s="16"/>
      <c r="AG14" s="16"/>
      <c r="AH14" s="16"/>
      <c r="AI14" s="16"/>
      <c r="AJ14" s="16"/>
      <c r="AK14" s="16"/>
      <c r="AL14" s="16">
        <f>IFERROR(__xludf.DUMMYFUNCTION("""COMPUTED_VALUE"""),9.0)</f>
        <v>9</v>
      </c>
      <c r="AM14" s="16">
        <f>IFERROR(__xludf.DUMMYFUNCTION("""COMPUTED_VALUE"""),9.0)</f>
        <v>9</v>
      </c>
      <c r="AN14" s="16"/>
      <c r="AO14" s="16"/>
      <c r="AP14" s="16"/>
      <c r="AQ14" s="16"/>
      <c r="AR14" s="16"/>
      <c r="AS14" s="16"/>
      <c r="AT14" s="16"/>
      <c r="AU14" s="16"/>
      <c r="AV14" s="16"/>
      <c r="AW14" s="16"/>
      <c r="AX14" s="16"/>
    </row>
    <row r="15">
      <c r="A15" s="16" t="str">
        <f>IFERROR(__xludf.DUMMYFUNCTION("""COMPUTED_VALUE"""),"Druid")</f>
        <v>Druid</v>
      </c>
      <c r="B15" s="16" t="str">
        <f>IFERROR(__xludf.DUMMYFUNCTION("""COMPUTED_VALUE"""),"High Druid")</f>
        <v>High Druid</v>
      </c>
      <c r="C15" s="16" t="str">
        <f>IFERROR(__xludf.DUMMYFUNCTION("""COMPUTED_VALUE"""),"Rank 9 Ranged, Water, Light, Order, Earth")</f>
        <v>Rank 9 Ranged, Water, Light, Order, Earth</v>
      </c>
      <c r="D15" s="42" t="str">
        <f>IFERROR(__xludf.DUMMYFUNCTION("""COMPUTED_VALUE"""),"Your companions/pets get 1 additional action on their turn during battle..")</f>
        <v>Your companions/pets get 1 additional action on their turn during battle..</v>
      </c>
      <c r="E15" s="42" t="str">
        <f>IFERROR(__xludf.DUMMYFUNCTION("""COMPUTED_VALUE"""),"+5 Can be added to your Charisma rolls while taming..")</f>
        <v>+5 Can be added to your Charisma rolls while taming..</v>
      </c>
      <c r="F15" s="42" t="str">
        <f>IFERROR(__xludf.DUMMYFUNCTION("""COMPUTED_VALUE"""),"If a companion/pet under your control would die, it does not die once per battle.")</f>
        <v>If a companion/pet under your control would die, it does not die once per battle.</v>
      </c>
      <c r="G15" s="42" t="str">
        <f>IFERROR(__xludf.DUMMYFUNCTION("""COMPUTED_VALUE"""),"The Shrine town service will cost nothing for you.")</f>
        <v>The Shrine town service will cost nothing for you.</v>
      </c>
      <c r="H15" s="16"/>
      <c r="I15" s="16"/>
      <c r="J15" s="16"/>
      <c r="K15" s="16"/>
      <c r="L15" s="16"/>
      <c r="M15" s="16"/>
      <c r="N15" s="16"/>
      <c r="O15" s="16"/>
      <c r="P15" s="16"/>
      <c r="Q15" s="16"/>
      <c r="R15" s="16"/>
      <c r="S15" s="16"/>
      <c r="T15" s="16"/>
      <c r="U15" s="16"/>
      <c r="V15" s="16">
        <f>IFERROR(__xludf.DUMMYFUNCTION("""COMPUTED_VALUE"""),0.0)</f>
        <v>0</v>
      </c>
      <c r="W15" s="16"/>
      <c r="X15" s="16">
        <f>IFERROR(__xludf.DUMMYFUNCTION("""COMPUTED_VALUE"""),9.0)</f>
        <v>9</v>
      </c>
      <c r="Y15" s="16"/>
      <c r="Z15" s="16">
        <f>IFERROR(__xludf.DUMMYFUNCTION("""COMPUTED_VALUE"""),9.0)</f>
        <v>9</v>
      </c>
      <c r="AA15" s="16">
        <f>IFERROR(__xludf.DUMMYFUNCTION("""COMPUTED_VALUE"""),9.0)</f>
        <v>9</v>
      </c>
      <c r="AB15" s="16"/>
      <c r="AC15" s="16"/>
      <c r="AD15" s="16">
        <f>IFERROR(__xludf.DUMMYFUNCTION("""COMPUTED_VALUE"""),9.0)</f>
        <v>9</v>
      </c>
      <c r="AE15" s="16"/>
      <c r="AF15" s="16"/>
      <c r="AG15" s="16"/>
      <c r="AH15" s="16"/>
      <c r="AI15" s="16">
        <f>IFERROR(__xludf.DUMMYFUNCTION("""COMPUTED_VALUE"""),9.0)</f>
        <v>9</v>
      </c>
      <c r="AJ15" s="16"/>
      <c r="AK15" s="16"/>
      <c r="AL15" s="16"/>
      <c r="AM15" s="16"/>
      <c r="AN15" s="16"/>
      <c r="AO15" s="16"/>
      <c r="AP15" s="16"/>
      <c r="AQ15" s="16"/>
      <c r="AR15" s="16"/>
      <c r="AS15" s="16"/>
      <c r="AT15" s="16"/>
      <c r="AU15" s="16"/>
      <c r="AV15" s="16"/>
      <c r="AW15" s="16"/>
      <c r="AX15" s="16"/>
    </row>
    <row r="16">
      <c r="A16" s="16" t="str">
        <f>IFERROR(__xludf.DUMMYFUNCTION("""COMPUTED_VALUE"""),"Gunslinger")</f>
        <v>Gunslinger</v>
      </c>
      <c r="B16" s="16" t="str">
        <f>IFERROR(__xludf.DUMMYFUNCTION("""COMPUTED_VALUE"""),"Dead Eye")</f>
        <v>Dead Eye</v>
      </c>
      <c r="C16" s="16" t="str">
        <f>IFERROR(__xludf.DUMMYFUNCTION("""COMPUTED_VALUE"""),"Rank 9 Ranged, Physical, Melee")</f>
        <v>Rank 9 Ranged, Physical, Melee</v>
      </c>
      <c r="D16" s="42" t="str">
        <f>IFERROR(__xludf.DUMMYFUNCTION("""COMPUTED_VALUE"""),"X6 damage with Firearms.")</f>
        <v>X6 damage with Firearms.</v>
      </c>
      <c r="E16" s="42" t="str">
        <f>IFERROR(__xludf.DUMMYFUNCTION("""COMPUTED_VALUE"""),"Firearms ignore defense for the user.")</f>
        <v>Firearms ignore defense for the user.</v>
      </c>
      <c r="F16" s="42" t="str">
        <f>IFERROR(__xludf.DUMMYFUNCTION("""COMPUTED_VALUE"""),"+5 Mobility")</f>
        <v>+5 Mobility</v>
      </c>
      <c r="G16" s="42" t="str">
        <f>IFERROR(__xludf.DUMMYFUNCTION("""COMPUTED_VALUE"""),"Can use mobility when attacking with a Firearm")</f>
        <v>Can use mobility when attacking with a Firearm</v>
      </c>
      <c r="H16" s="16"/>
      <c r="I16" s="16"/>
      <c r="J16" s="16"/>
      <c r="K16" s="16"/>
      <c r="L16" s="16"/>
      <c r="M16" s="16"/>
      <c r="N16" s="16"/>
      <c r="O16" s="16"/>
      <c r="P16" s="16">
        <f>IFERROR(__xludf.DUMMYFUNCTION("""COMPUTED_VALUE"""),5.0)</f>
        <v>5</v>
      </c>
      <c r="Q16" s="16"/>
      <c r="R16" s="16"/>
      <c r="S16" s="16"/>
      <c r="T16" s="16"/>
      <c r="U16" s="16"/>
      <c r="V16" s="16"/>
      <c r="W16" s="16"/>
      <c r="X16" s="16"/>
      <c r="Y16" s="16"/>
      <c r="Z16" s="16"/>
      <c r="AA16" s="16"/>
      <c r="AB16" s="16"/>
      <c r="AC16" s="16"/>
      <c r="AD16" s="16"/>
      <c r="AE16" s="16"/>
      <c r="AF16" s="16"/>
      <c r="AG16" s="16">
        <f>IFERROR(__xludf.DUMMYFUNCTION("""COMPUTED_VALUE"""),9.0)</f>
        <v>9</v>
      </c>
      <c r="AH16" s="16">
        <f>IFERROR(__xludf.DUMMYFUNCTION("""COMPUTED_VALUE"""),9.0)</f>
        <v>9</v>
      </c>
      <c r="AI16" s="16">
        <f>IFERROR(__xludf.DUMMYFUNCTION("""COMPUTED_VALUE"""),9.0)</f>
        <v>9</v>
      </c>
      <c r="AJ16" s="16"/>
      <c r="AK16" s="16"/>
      <c r="AL16" s="16"/>
      <c r="AM16" s="16"/>
      <c r="AN16" s="16"/>
      <c r="AO16" s="16"/>
      <c r="AP16" s="16"/>
      <c r="AQ16" s="16"/>
      <c r="AR16" s="16"/>
      <c r="AS16" s="16"/>
      <c r="AT16" s="16"/>
      <c r="AU16" s="16"/>
      <c r="AV16" s="16"/>
      <c r="AW16" s="16"/>
      <c r="AX16" s="16"/>
    </row>
    <row r="17">
      <c r="A17" s="16" t="str">
        <f>IFERROR(__xludf.DUMMYFUNCTION("""COMPUTED_VALUE"""),"Hunter")</f>
        <v>Hunter</v>
      </c>
      <c r="B17" s="16" t="str">
        <f>IFERROR(__xludf.DUMMYFUNCTION("""COMPUTED_VALUE"""),"Hunting Specialist")</f>
        <v>Hunting Specialist</v>
      </c>
      <c r="C17" s="16" t="str">
        <f>IFERROR(__xludf.DUMMYFUNCTION("""COMPUTED_VALUE"""),"Rank 9 Nature, Physical, Ranged, Melee")</f>
        <v>Rank 9 Nature, Physical, Ranged, Melee</v>
      </c>
      <c r="D17" s="42" t="str">
        <f>IFERROR(__xludf.DUMMYFUNCTION("""COMPUTED_VALUE"""),"Gets an extra loot roll each battle.")</f>
        <v>Gets an extra loot roll each battle.</v>
      </c>
      <c r="E17" s="42" t="str">
        <f>IFERROR(__xludf.DUMMYFUNCTION("""COMPUTED_VALUE"""),"Starts with the Head-Chef Proficiency")</f>
        <v>Starts with the Head-Chef Proficiency</v>
      </c>
      <c r="F17" s="42" t="str">
        <f>IFERROR(__xludf.DUMMYFUNCTION("""COMPUTED_VALUE"""),"+10 Wisdom ")</f>
        <v>+10 Wisdom </v>
      </c>
      <c r="G17" s="42" t="str">
        <f>IFERROR(__xludf.DUMMYFUNCTION("""COMPUTED_VALUE"""),"20% Chance to disable traps during days of travel or in a dungeon.")</f>
        <v>20% Chance to disable traps during days of travel or in a dungeon.</v>
      </c>
      <c r="H17" s="16"/>
      <c r="I17" s="16"/>
      <c r="J17" s="16"/>
      <c r="K17" s="16"/>
      <c r="L17" s="16">
        <f>IFERROR(__xludf.DUMMYFUNCTION("""COMPUTED_VALUE"""),10.0)</f>
        <v>10</v>
      </c>
      <c r="M17" s="16"/>
      <c r="N17" s="16"/>
      <c r="O17" s="16"/>
      <c r="P17" s="16"/>
      <c r="Q17" s="16"/>
      <c r="R17" s="16"/>
      <c r="S17" s="16"/>
      <c r="T17" s="16"/>
      <c r="U17" s="16"/>
      <c r="V17" s="16">
        <f>IFERROR(__xludf.DUMMYFUNCTION("""COMPUTED_VALUE"""),0.0)</f>
        <v>0</v>
      </c>
      <c r="W17" s="16"/>
      <c r="X17" s="16"/>
      <c r="Y17" s="16"/>
      <c r="Z17" s="16"/>
      <c r="AA17" s="16"/>
      <c r="AB17" s="16"/>
      <c r="AC17" s="16"/>
      <c r="AD17" s="16"/>
      <c r="AE17" s="16"/>
      <c r="AF17" s="16">
        <f>IFERROR(__xludf.DUMMYFUNCTION("""COMPUTED_VALUE"""),9.0)</f>
        <v>9</v>
      </c>
      <c r="AG17" s="16">
        <f>IFERROR(__xludf.DUMMYFUNCTION("""COMPUTED_VALUE"""),9.0)</f>
        <v>9</v>
      </c>
      <c r="AH17" s="16">
        <f>IFERROR(__xludf.DUMMYFUNCTION("""COMPUTED_VALUE"""),9.0)</f>
        <v>9</v>
      </c>
      <c r="AI17" s="16">
        <f>IFERROR(__xludf.DUMMYFUNCTION("""COMPUTED_VALUE"""),9.0)</f>
        <v>9</v>
      </c>
      <c r="AJ17" s="16"/>
      <c r="AK17" s="16"/>
      <c r="AL17" s="16"/>
      <c r="AM17" s="16"/>
      <c r="AN17" s="16"/>
      <c r="AO17" s="16"/>
      <c r="AP17" s="16"/>
      <c r="AQ17" s="16"/>
      <c r="AR17" s="16"/>
      <c r="AS17" s="16"/>
      <c r="AT17" s="16"/>
      <c r="AU17" s="16"/>
      <c r="AV17" s="16"/>
      <c r="AW17" s="16"/>
      <c r="AX17" s="16"/>
    </row>
    <row r="18">
      <c r="A18" s="16" t="str">
        <f>IFERROR(__xludf.DUMMYFUNCTION("""COMPUTED_VALUE"""),"Jack of all Trades")</f>
        <v>Jack of all Trades</v>
      </c>
      <c r="B18" s="16" t="str">
        <f>IFERROR(__xludf.DUMMYFUNCTION("""COMPUTED_VALUE"""),"Master of all Trades")</f>
        <v>Master of all Trades</v>
      </c>
      <c r="C18" s="16" t="str">
        <f>IFERROR(__xludf.DUMMYFUNCTION("""COMPUTED_VALUE"""),"Rank 9 in all elements. (Excluding Acoustic)")</f>
        <v>Rank 9 in all elements. (Excluding Acoustic)</v>
      </c>
      <c r="D18" s="42" t="str">
        <f>IFERROR(__xludf.DUMMYFUNCTION("""COMPUTED_VALUE"""),"Gains the following roll bonuses:
+2 to Forging rolls.
+2 to enchanting rolls.
+2 to alchemy rolls.
+2 to cooking rolls.
+2 to your d20 rolls when attempting to arrest a target.
+2 to your breeding rolls.
+2 to your crafting rolls.
Double the seed"&amp;"s gathered from farming.
Double the ore obtianed while mining.
Get 2 of the same herb you obtianed while looking for herbs.
Get 2 of the same fish you caught while fishing.")</f>
        <v>Gains the following roll bonuses:
+2 to Forging rolls.
+2 to enchanting rolls.
+2 to alchemy rolls.
+2 to cooking rolls.
+2 to your d20 rolls when attempting to arrest a target.
+2 to your breeding rolls.
+2 to your crafting rolls.
Double the seeds gathered from farming.
Double the ore obtianed while mining.
Get 2 of the same herb you obtianed while looking for herbs.
Get 2 of the same fish you caught while fishing.</v>
      </c>
      <c r="E18" s="42"/>
      <c r="F18" s="42"/>
      <c r="G18" s="42"/>
      <c r="H18" s="16"/>
      <c r="I18" s="16"/>
      <c r="J18" s="16"/>
      <c r="K18" s="16"/>
      <c r="L18" s="16"/>
      <c r="M18" s="16"/>
      <c r="N18" s="16"/>
      <c r="O18" s="16"/>
      <c r="P18" s="16"/>
      <c r="Q18" s="16"/>
      <c r="R18" s="16"/>
      <c r="S18" s="16"/>
      <c r="T18" s="16"/>
      <c r="U18" s="16"/>
      <c r="V18" s="16"/>
      <c r="W18" s="16">
        <f>IFERROR(__xludf.DUMMYFUNCTION("""COMPUTED_VALUE"""),9.0)</f>
        <v>9</v>
      </c>
      <c r="X18" s="16">
        <f>IFERROR(__xludf.DUMMYFUNCTION("""COMPUTED_VALUE"""),9.0)</f>
        <v>9</v>
      </c>
      <c r="Y18" s="16">
        <f>IFERROR(__xludf.DUMMYFUNCTION("""COMPUTED_VALUE"""),9.0)</f>
        <v>9</v>
      </c>
      <c r="Z18" s="16">
        <f>IFERROR(__xludf.DUMMYFUNCTION("""COMPUTED_VALUE"""),9.0)</f>
        <v>9</v>
      </c>
      <c r="AA18" s="16">
        <f>IFERROR(__xludf.DUMMYFUNCTION("""COMPUTED_VALUE"""),9.0)</f>
        <v>9</v>
      </c>
      <c r="AB18" s="16">
        <f>IFERROR(__xludf.DUMMYFUNCTION("""COMPUTED_VALUE"""),9.0)</f>
        <v>9</v>
      </c>
      <c r="AC18" s="16">
        <f>IFERROR(__xludf.DUMMYFUNCTION("""COMPUTED_VALUE"""),9.0)</f>
        <v>9</v>
      </c>
      <c r="AD18" s="16">
        <f>IFERROR(__xludf.DUMMYFUNCTION("""COMPUTED_VALUE"""),9.0)</f>
        <v>9</v>
      </c>
      <c r="AE18" s="16">
        <f>IFERROR(__xludf.DUMMYFUNCTION("""COMPUTED_VALUE"""),9.0)</f>
        <v>9</v>
      </c>
      <c r="AF18" s="16">
        <f>IFERROR(__xludf.DUMMYFUNCTION("""COMPUTED_VALUE"""),9.0)</f>
        <v>9</v>
      </c>
      <c r="AG18" s="16">
        <f>IFERROR(__xludf.DUMMYFUNCTION("""COMPUTED_VALUE"""),9.0)</f>
        <v>9</v>
      </c>
      <c r="AH18" s="16">
        <f>IFERROR(__xludf.DUMMYFUNCTION("""COMPUTED_VALUE"""),9.0)</f>
        <v>9</v>
      </c>
      <c r="AI18" s="16">
        <f>IFERROR(__xludf.DUMMYFUNCTION("""COMPUTED_VALUE"""),9.0)</f>
        <v>9</v>
      </c>
      <c r="AJ18" s="16">
        <f>IFERROR(__xludf.DUMMYFUNCTION("""COMPUTED_VALUE"""),9.0)</f>
        <v>9</v>
      </c>
      <c r="AK18" s="16">
        <f>IFERROR(__xludf.DUMMYFUNCTION("""COMPUTED_VALUE"""),9.0)</f>
        <v>9</v>
      </c>
      <c r="AL18" s="16">
        <f>IFERROR(__xludf.DUMMYFUNCTION("""COMPUTED_VALUE"""),9.0)</f>
        <v>9</v>
      </c>
      <c r="AM18" s="16">
        <f>IFERROR(__xludf.DUMMYFUNCTION("""COMPUTED_VALUE"""),9.0)</f>
        <v>9</v>
      </c>
      <c r="AN18" s="16">
        <f>IFERROR(__xludf.DUMMYFUNCTION("""COMPUTED_VALUE"""),9.0)</f>
        <v>9</v>
      </c>
      <c r="AO18" s="16"/>
      <c r="AP18" s="16"/>
      <c r="AQ18" s="16">
        <f>IFERROR(__xludf.DUMMYFUNCTION("""COMPUTED_VALUE"""),9.0)</f>
        <v>9</v>
      </c>
      <c r="AR18" s="16"/>
      <c r="AS18" s="16"/>
      <c r="AT18" s="16"/>
      <c r="AU18" s="16"/>
      <c r="AV18" s="16"/>
      <c r="AW18" s="16"/>
      <c r="AX18" s="16"/>
    </row>
    <row r="19">
      <c r="A19" s="16" t="str">
        <f>IFERROR(__xludf.DUMMYFUNCTION("""COMPUTED_VALUE"""),"Knight")</f>
        <v>Knight</v>
      </c>
      <c r="B19" s="16" t="str">
        <f>IFERROR(__xludf.DUMMYFUNCTION("""COMPUTED_VALUE"""),"Elemental Knight")</f>
        <v>Elemental Knight</v>
      </c>
      <c r="C19" s="16" t="str">
        <f>IFERROR(__xludf.DUMMYFUNCTION("""COMPUTED_VALUE"""),"Rank 9 Fire, Water, Storm, Earth, Nature, Order, Light")</f>
        <v>Rank 9 Fire, Water, Storm, Earth, Nature, Order, Light</v>
      </c>
      <c r="D19" s="42" t="str">
        <f>IFERROR(__xludf.DUMMYFUNCTION("""COMPUTED_VALUE"""),"Double the elemental damage of your weapons.")</f>
        <v>Double the elemental damage of your weapons.</v>
      </c>
      <c r="E19" s="42" t="str">
        <f>IFERROR(__xludf.DUMMYFUNCTION("""COMPUTED_VALUE"""),"X4 to Spell damage for self and allies at all times (rp/combat)")</f>
        <v>X4 to Spell damage for self and allies at all times (rp/combat)</v>
      </c>
      <c r="F19" s="42"/>
      <c r="G19" s="42"/>
      <c r="H19" s="16"/>
      <c r="I19" s="16"/>
      <c r="J19" s="16"/>
      <c r="K19" s="16"/>
      <c r="L19" s="16"/>
      <c r="M19" s="16"/>
      <c r="N19" s="16"/>
      <c r="O19" s="16"/>
      <c r="P19" s="16"/>
      <c r="Q19" s="16"/>
      <c r="R19" s="16"/>
      <c r="S19" s="16"/>
      <c r="T19" s="16"/>
      <c r="U19" s="16"/>
      <c r="V19" s="16">
        <f>IFERROR(__xludf.DUMMYFUNCTION("""COMPUTED_VALUE"""),0.0)</f>
        <v>0</v>
      </c>
      <c r="W19" s="16">
        <f>IFERROR(__xludf.DUMMYFUNCTION("""COMPUTED_VALUE"""),9.0)</f>
        <v>9</v>
      </c>
      <c r="X19" s="16">
        <f>IFERROR(__xludf.DUMMYFUNCTION("""COMPUTED_VALUE"""),9.0)</f>
        <v>9</v>
      </c>
      <c r="Y19" s="16">
        <f>IFERROR(__xludf.DUMMYFUNCTION("""COMPUTED_VALUE"""),9.0)</f>
        <v>9</v>
      </c>
      <c r="Z19" s="16">
        <f>IFERROR(__xludf.DUMMYFUNCTION("""COMPUTED_VALUE"""),9.0)</f>
        <v>9</v>
      </c>
      <c r="AA19" s="16">
        <f>IFERROR(__xludf.DUMMYFUNCTION("""COMPUTED_VALUE"""),9.0)</f>
        <v>9</v>
      </c>
      <c r="AB19" s="16"/>
      <c r="AC19" s="16"/>
      <c r="AD19" s="16">
        <f>IFERROR(__xludf.DUMMYFUNCTION("""COMPUTED_VALUE"""),9.0)</f>
        <v>9</v>
      </c>
      <c r="AE19" s="16"/>
      <c r="AF19" s="16">
        <f>IFERROR(__xludf.DUMMYFUNCTION("""COMPUTED_VALUE"""),9.0)</f>
        <v>9</v>
      </c>
      <c r="AG19" s="16"/>
      <c r="AH19" s="16"/>
      <c r="AI19" s="16"/>
      <c r="AJ19" s="16"/>
      <c r="AK19" s="16"/>
      <c r="AL19" s="16"/>
      <c r="AM19" s="16"/>
      <c r="AN19" s="16"/>
      <c r="AO19" s="16"/>
      <c r="AP19" s="16"/>
      <c r="AQ19" s="16"/>
      <c r="AR19" s="16"/>
      <c r="AS19" s="16"/>
      <c r="AT19" s="16"/>
      <c r="AU19" s="16"/>
      <c r="AV19" s="16"/>
      <c r="AW19" s="16"/>
      <c r="AX19" s="16"/>
    </row>
    <row r="20">
      <c r="A20" s="16" t="str">
        <f>IFERROR(__xludf.DUMMYFUNCTION("""COMPUTED_VALUE"""),"Knight")</f>
        <v>Knight</v>
      </c>
      <c r="B20" s="16" t="str">
        <f>IFERROR(__xludf.DUMMYFUNCTION("""COMPUTED_VALUE"""),"Defensive Knight")</f>
        <v>Defensive Knight</v>
      </c>
      <c r="C20" s="16" t="str">
        <f>IFERROR(__xludf.DUMMYFUNCTION("""COMPUTED_VALUE"""),"Rank 9 Melee, Physical, Ranged, Order, Light")</f>
        <v>Rank 9 Melee, Physical, Ranged, Order, Light</v>
      </c>
      <c r="D20" s="42" t="str">
        <f>IFERROR(__xludf.DUMMYFUNCTION("""COMPUTED_VALUE"""),"Self-Fortify: Double the base defense of your equipped armor.")</f>
        <v>Self-Fortify: Double the base defense of your equipped armor.</v>
      </c>
      <c r="E20" s="42" t="str">
        <f>IFERROR(__xludf.DUMMYFUNCTION("""COMPUTED_VALUE"""),"X4 Defense for self and allies at all times (rp/combat)")</f>
        <v>X4 Defense for self and allies at all times (rp/combat)</v>
      </c>
      <c r="F20" s="42" t="str">
        <f>IFERROR(__xludf.DUMMYFUNCTION("""COMPUTED_VALUE"""),"You can deal damage with shields. Damage is equal to the DEF and Elemental DEF of the shield. The shield also counts as a weapon for the purposes of any abilities.")</f>
        <v>You can deal damage with shields. Damage is equal to the DEF and Elemental DEF of the shield. The shield also counts as a weapon for the purposes of any abilities.</v>
      </c>
      <c r="G20" s="42"/>
      <c r="H20" s="16"/>
      <c r="I20" s="16"/>
      <c r="J20" s="16"/>
      <c r="K20" s="16"/>
      <c r="L20" s="16"/>
      <c r="M20" s="16"/>
      <c r="N20" s="16"/>
      <c r="O20" s="16"/>
      <c r="P20" s="16"/>
      <c r="Q20" s="16"/>
      <c r="R20" s="16"/>
      <c r="S20" s="16"/>
      <c r="T20" s="16"/>
      <c r="U20" s="16"/>
      <c r="V20" s="16">
        <f>IFERROR(__xludf.DUMMYFUNCTION("""COMPUTED_VALUE"""),0.0)</f>
        <v>0</v>
      </c>
      <c r="W20" s="16"/>
      <c r="X20" s="16"/>
      <c r="Y20" s="16"/>
      <c r="Z20" s="16"/>
      <c r="AA20" s="16">
        <f>IFERROR(__xludf.DUMMYFUNCTION("""COMPUTED_VALUE"""),9.0)</f>
        <v>9</v>
      </c>
      <c r="AB20" s="16"/>
      <c r="AC20" s="16"/>
      <c r="AD20" s="16">
        <f>IFERROR(__xludf.DUMMYFUNCTION("""COMPUTED_VALUE"""),9.0)</f>
        <v>9</v>
      </c>
      <c r="AE20" s="16"/>
      <c r="AF20" s="16"/>
      <c r="AG20" s="16">
        <f>IFERROR(__xludf.DUMMYFUNCTION("""COMPUTED_VALUE"""),9.0)</f>
        <v>9</v>
      </c>
      <c r="AH20" s="16">
        <f>IFERROR(__xludf.DUMMYFUNCTION("""COMPUTED_VALUE"""),9.0)</f>
        <v>9</v>
      </c>
      <c r="AI20" s="16">
        <f>IFERROR(__xludf.DUMMYFUNCTION("""COMPUTED_VALUE"""),9.0)</f>
        <v>9</v>
      </c>
      <c r="AJ20" s="16"/>
      <c r="AK20" s="16"/>
      <c r="AL20" s="16"/>
      <c r="AM20" s="16"/>
      <c r="AN20" s="16"/>
      <c r="AO20" s="16"/>
      <c r="AP20" s="16"/>
      <c r="AQ20" s="16"/>
      <c r="AR20" s="16"/>
      <c r="AS20" s="16"/>
      <c r="AT20" s="16"/>
      <c r="AU20" s="16"/>
      <c r="AV20" s="16"/>
      <c r="AW20" s="16"/>
      <c r="AX20" s="16"/>
    </row>
    <row r="21">
      <c r="A21" s="16" t="str">
        <f>IFERROR(__xludf.DUMMYFUNCTION("""COMPUTED_VALUE"""),"Knight")</f>
        <v>Knight</v>
      </c>
      <c r="B21" s="16" t="str">
        <f>IFERROR(__xludf.DUMMYFUNCTION("""COMPUTED_VALUE"""),"Offensive Knight")</f>
        <v>Offensive Knight</v>
      </c>
      <c r="C21" s="16" t="str">
        <f>IFERROR(__xludf.DUMMYFUNCTION("""COMPUTED_VALUE"""),"Rank 9 Melee, Physical, Ranged, Order, Light")</f>
        <v>Rank 9 Melee, Physical, Ranged, Order, Light</v>
      </c>
      <c r="D21" s="42" t="str">
        <f>IFERROR(__xludf.DUMMYFUNCTION("""COMPUTED_VALUE"""),"Double the base damage of your weapons.")</f>
        <v>Double the base damage of your weapons.</v>
      </c>
      <c r="E21" s="42" t="str">
        <f>IFERROR(__xludf.DUMMYFUNCTION("""COMPUTED_VALUE"""),"X4 Weapon damage for self and allies at all times (rp/combat)")</f>
        <v>X4 Weapon damage for self and allies at all times (rp/combat)</v>
      </c>
      <c r="F21" s="42"/>
      <c r="G21" s="42"/>
      <c r="H21" s="16"/>
      <c r="I21" s="16"/>
      <c r="J21" s="16"/>
      <c r="K21" s="16"/>
      <c r="L21" s="16"/>
      <c r="M21" s="16"/>
      <c r="N21" s="16"/>
      <c r="O21" s="16"/>
      <c r="P21" s="16"/>
      <c r="Q21" s="16"/>
      <c r="R21" s="16"/>
      <c r="S21" s="16"/>
      <c r="T21" s="16"/>
      <c r="U21" s="16"/>
      <c r="V21" s="16">
        <f>IFERROR(__xludf.DUMMYFUNCTION("""COMPUTED_VALUE"""),0.0)</f>
        <v>0</v>
      </c>
      <c r="W21" s="16"/>
      <c r="X21" s="16"/>
      <c r="Y21" s="16"/>
      <c r="Z21" s="16"/>
      <c r="AA21" s="16">
        <f>IFERROR(__xludf.DUMMYFUNCTION("""COMPUTED_VALUE"""),9.0)</f>
        <v>9</v>
      </c>
      <c r="AB21" s="16"/>
      <c r="AC21" s="16"/>
      <c r="AD21" s="16">
        <f>IFERROR(__xludf.DUMMYFUNCTION("""COMPUTED_VALUE"""),9.0)</f>
        <v>9</v>
      </c>
      <c r="AE21" s="16"/>
      <c r="AF21" s="16"/>
      <c r="AG21" s="16">
        <f>IFERROR(__xludf.DUMMYFUNCTION("""COMPUTED_VALUE"""),9.0)</f>
        <v>9</v>
      </c>
      <c r="AH21" s="16">
        <f>IFERROR(__xludf.DUMMYFUNCTION("""COMPUTED_VALUE"""),9.0)</f>
        <v>9</v>
      </c>
      <c r="AI21" s="16">
        <f>IFERROR(__xludf.DUMMYFUNCTION("""COMPUTED_VALUE"""),9.0)</f>
        <v>9</v>
      </c>
      <c r="AJ21" s="16"/>
      <c r="AK21" s="16"/>
      <c r="AL21" s="16"/>
      <c r="AM21" s="16"/>
      <c r="AN21" s="16"/>
      <c r="AO21" s="16"/>
      <c r="AP21" s="16"/>
      <c r="AQ21" s="16"/>
      <c r="AR21" s="16"/>
      <c r="AS21" s="16"/>
      <c r="AT21" s="16"/>
      <c r="AU21" s="16"/>
      <c r="AV21" s="16"/>
      <c r="AW21" s="16"/>
      <c r="AX21" s="16"/>
    </row>
    <row r="22">
      <c r="A22" s="16" t="str">
        <f>IFERROR(__xludf.DUMMYFUNCTION("""COMPUTED_VALUE"""),"Knight")</f>
        <v>Knight</v>
      </c>
      <c r="B22" s="16" t="str">
        <f>IFERROR(__xludf.DUMMYFUNCTION("""COMPUTED_VALUE"""),"Warden")</f>
        <v>Warden</v>
      </c>
      <c r="C22" s="16" t="str">
        <f>IFERROR(__xludf.DUMMYFUNCTION("""COMPUTED_VALUE"""),"Rank 9 Melee, Physical, Ranged, Twilight, Stasis")</f>
        <v>Rank 9 Melee, Physical, Ranged, Twilight, Stasis</v>
      </c>
      <c r="D22" s="42" t="str">
        <f>IFERROR(__xludf.DUMMYFUNCTION("""COMPUTED_VALUE"""),"Immune to Order and Chaos Damage.")</f>
        <v>Immune to Order and Chaos Damage.</v>
      </c>
      <c r="E22" s="42" t="str">
        <f>IFERROR(__xludf.DUMMYFUNCTION("""COMPUTED_VALUE"""),"X2 to Spell and Weapon Damage.")</f>
        <v>X2 to Spell and Weapon Damage.</v>
      </c>
      <c r="F22" s="42" t="str">
        <f>IFERROR(__xludf.DUMMYFUNCTION("""COMPUTED_VALUE"""),"You cannot be jailed.")</f>
        <v>You cannot be jailed.</v>
      </c>
      <c r="G22" s="42" t="str">
        <f>IFERROR(__xludf.DUMMYFUNCTION("""COMPUTED_VALUE"""),"50% chance a party member does not get jailed when they recieve jail time. Unaffected by bonuses.")</f>
        <v>50% chance a party member does not get jailed when they recieve jail time. Unaffected by bonuses.</v>
      </c>
      <c r="H22" s="16"/>
      <c r="I22" s="16"/>
      <c r="J22" s="16"/>
      <c r="K22" s="16"/>
      <c r="L22" s="16"/>
      <c r="M22" s="16"/>
      <c r="N22" s="16"/>
      <c r="O22" s="16"/>
      <c r="P22" s="16"/>
      <c r="Q22" s="16"/>
      <c r="R22" s="16"/>
      <c r="S22" s="16"/>
      <c r="T22" s="16"/>
      <c r="U22" s="16"/>
      <c r="V22" s="16">
        <f>IFERROR(__xludf.DUMMYFUNCTION("""COMPUTED_VALUE"""),0.0)</f>
        <v>0</v>
      </c>
      <c r="W22" s="16"/>
      <c r="X22" s="16"/>
      <c r="Y22" s="16"/>
      <c r="Z22" s="16"/>
      <c r="AA22" s="16"/>
      <c r="AB22" s="16"/>
      <c r="AC22" s="16"/>
      <c r="AD22" s="16"/>
      <c r="AE22" s="16"/>
      <c r="AF22" s="16"/>
      <c r="AG22" s="16">
        <f>IFERROR(__xludf.DUMMYFUNCTION("""COMPUTED_VALUE"""),9.0)</f>
        <v>9</v>
      </c>
      <c r="AH22" s="16">
        <f>IFERROR(__xludf.DUMMYFUNCTION("""COMPUTED_VALUE"""),9.0)</f>
        <v>9</v>
      </c>
      <c r="AI22" s="16">
        <f>IFERROR(__xludf.DUMMYFUNCTION("""COMPUTED_VALUE"""),9.0)</f>
        <v>9</v>
      </c>
      <c r="AJ22" s="16">
        <f>IFERROR(__xludf.DUMMYFUNCTION("""COMPUTED_VALUE"""),9.0)</f>
        <v>9</v>
      </c>
      <c r="AK22" s="16">
        <f>IFERROR(__xludf.DUMMYFUNCTION("""COMPUTED_VALUE"""),9.0)</f>
        <v>9</v>
      </c>
      <c r="AL22" s="16"/>
      <c r="AM22" s="16"/>
      <c r="AN22" s="16"/>
      <c r="AO22" s="16"/>
      <c r="AP22" s="16"/>
      <c r="AQ22" s="16"/>
      <c r="AR22" s="16"/>
      <c r="AS22" s="16"/>
      <c r="AT22" s="16"/>
      <c r="AU22" s="16"/>
      <c r="AV22" s="16"/>
      <c r="AW22" s="16"/>
      <c r="AX22" s="16"/>
    </row>
    <row r="23">
      <c r="A23" s="16" t="str">
        <f>IFERROR(__xludf.DUMMYFUNCTION("""COMPUTED_VALUE"""),"Knight")</f>
        <v>Knight</v>
      </c>
      <c r="B23" s="16" t="str">
        <f>IFERROR(__xludf.DUMMYFUNCTION("""COMPUTED_VALUE"""),"Dark Knight")</f>
        <v>Dark Knight</v>
      </c>
      <c r="C23" s="16" t="str">
        <f>IFERROR(__xludf.DUMMYFUNCTION("""COMPUTED_VALUE"""),"Rank 9 Dark, Physical, Ranged, Melee")</f>
        <v>Rank 9 Dark, Physical, Ranged, Melee</v>
      </c>
      <c r="D23" s="42" t="str">
        <f>IFERROR(__xludf.DUMMYFUNCTION("""COMPUTED_VALUE"""),"20% chance of not having to battle a non corrupt guard. Unaffected by bonuses.")</f>
        <v>20% chance of not having to battle a non corrupt guard. Unaffected by bonuses.</v>
      </c>
      <c r="E23" s="42" t="str">
        <f>IFERROR(__xludf.DUMMYFUNCTION("""COMPUTED_VALUE"""),"X2 to Spell and Weapon Damage
Dark Immune")</f>
        <v>X2 to Spell and Weapon Damage
Dark Immune</v>
      </c>
      <c r="F23" s="42" t="str">
        <f>IFERROR(__xludf.DUMMYFUNCTION("""COMPUTED_VALUE"""),"+10 Intimidation")</f>
        <v>+10 Intimidation</v>
      </c>
      <c r="G23" s="42" t="str">
        <f>IFERROR(__xludf.DUMMYFUNCTION("""COMPUTED_VALUE"""),"If you attack with a weapon that deals, Dark, Chaos, or Voodoo damage you can add mobility to that attack roll.")</f>
        <v>If you attack with a weapon that deals, Dark, Chaos, or Voodoo damage you can add mobility to that attack roll.</v>
      </c>
      <c r="H23" s="16"/>
      <c r="I23" s="16"/>
      <c r="J23" s="16"/>
      <c r="K23" s="16"/>
      <c r="L23" s="16"/>
      <c r="M23" s="16"/>
      <c r="N23" s="16"/>
      <c r="O23" s="16">
        <f>IFERROR(__xludf.DUMMYFUNCTION("""COMPUTED_VALUE"""),10.0)</f>
        <v>10</v>
      </c>
      <c r="P23" s="16"/>
      <c r="Q23" s="16"/>
      <c r="R23" s="16"/>
      <c r="S23" s="16"/>
      <c r="T23" s="16"/>
      <c r="U23" s="16"/>
      <c r="V23" s="16">
        <f>IFERROR(__xludf.DUMMYFUNCTION("""COMPUTED_VALUE"""),0.0)</f>
        <v>0</v>
      </c>
      <c r="W23" s="16"/>
      <c r="X23" s="16"/>
      <c r="Y23" s="16"/>
      <c r="Z23" s="16"/>
      <c r="AA23" s="16"/>
      <c r="AB23" s="16">
        <f>IFERROR(__xludf.DUMMYFUNCTION("""COMPUTED_VALUE"""),9.0)</f>
        <v>9</v>
      </c>
      <c r="AC23" s="16"/>
      <c r="AD23" s="16"/>
      <c r="AE23" s="16"/>
      <c r="AF23" s="16"/>
      <c r="AG23" s="16">
        <f>IFERROR(__xludf.DUMMYFUNCTION("""COMPUTED_VALUE"""),9.0)</f>
        <v>9</v>
      </c>
      <c r="AH23" s="16">
        <f>IFERROR(__xludf.DUMMYFUNCTION("""COMPUTED_VALUE"""),9.0)</f>
        <v>9</v>
      </c>
      <c r="AI23" s="16">
        <f>IFERROR(__xludf.DUMMYFUNCTION("""COMPUTED_VALUE"""),9.0)</f>
        <v>9</v>
      </c>
      <c r="AJ23" s="16"/>
      <c r="AK23" s="16"/>
      <c r="AL23" s="16"/>
      <c r="AM23" s="16"/>
      <c r="AN23" s="16"/>
      <c r="AO23" s="16"/>
      <c r="AP23" s="16"/>
      <c r="AQ23" s="16"/>
      <c r="AR23" s="16"/>
      <c r="AS23" s="16"/>
      <c r="AT23" s="16"/>
      <c r="AU23" s="16"/>
      <c r="AV23" s="16"/>
      <c r="AW23" s="16"/>
      <c r="AX23" s="16"/>
    </row>
    <row r="24">
      <c r="A24" s="16" t="str">
        <f>IFERROR(__xludf.DUMMYFUNCTION("""COMPUTED_VALUE"""),"Mage")</f>
        <v>Mage</v>
      </c>
      <c r="B24" s="16" t="str">
        <f>IFERROR(__xludf.DUMMYFUNCTION("""COMPUTED_VALUE"""),"Grand Mage")</f>
        <v>Grand Mage</v>
      </c>
      <c r="C24" s="16" t="str">
        <f>IFERROR(__xludf.DUMMYFUNCTION("""COMPUTED_VALUE"""),"Rank 9 in all Elements (excluding Zen and Acoustic)")</f>
        <v>Rank 9 in all Elements (excluding Zen and Acoustic)</v>
      </c>
      <c r="D24" s="42" t="str">
        <f>IFERROR(__xludf.DUMMYFUNCTION("""COMPUTED_VALUE"""),"Half the SP costs of all Spells.")</f>
        <v>Half the SP costs of all Spells.</v>
      </c>
      <c r="E24" s="42"/>
      <c r="F24" s="42" t="str">
        <f>IFERROR(__xludf.DUMMYFUNCTION("""COMPUTED_VALUE"""),"15% Chance of preventing 1 enemy from negating a spell effect.")</f>
        <v>15% Chance of preventing 1 enemy from negating a spell effect.</v>
      </c>
      <c r="G24" s="42"/>
      <c r="H24" s="16"/>
      <c r="I24" s="16"/>
      <c r="J24" s="16"/>
      <c r="K24" s="16"/>
      <c r="L24" s="16"/>
      <c r="M24" s="16"/>
      <c r="N24" s="16"/>
      <c r="O24" s="16"/>
      <c r="P24" s="16"/>
      <c r="Q24" s="16"/>
      <c r="R24" s="16"/>
      <c r="S24" s="16"/>
      <c r="T24" s="16"/>
      <c r="U24" s="16"/>
      <c r="V24" s="16">
        <f>IFERROR(__xludf.DUMMYFUNCTION("""COMPUTED_VALUE"""),0.0)</f>
        <v>0</v>
      </c>
      <c r="W24" s="16">
        <f>IFERROR(__xludf.DUMMYFUNCTION("""COMPUTED_VALUE"""),9.0)</f>
        <v>9</v>
      </c>
      <c r="X24" s="16">
        <f>IFERROR(__xludf.DUMMYFUNCTION("""COMPUTED_VALUE"""),9.0)</f>
        <v>9</v>
      </c>
      <c r="Y24" s="16">
        <f>IFERROR(__xludf.DUMMYFUNCTION("""COMPUTED_VALUE"""),9.0)</f>
        <v>9</v>
      </c>
      <c r="Z24" s="16">
        <f>IFERROR(__xludf.DUMMYFUNCTION("""COMPUTED_VALUE"""),9.0)</f>
        <v>9</v>
      </c>
      <c r="AA24" s="16">
        <f>IFERROR(__xludf.DUMMYFUNCTION("""COMPUTED_VALUE"""),9.0)</f>
        <v>9</v>
      </c>
      <c r="AB24" s="16">
        <f>IFERROR(__xludf.DUMMYFUNCTION("""COMPUTED_VALUE"""),9.0)</f>
        <v>9</v>
      </c>
      <c r="AC24" s="16">
        <f>IFERROR(__xludf.DUMMYFUNCTION("""COMPUTED_VALUE"""),9.0)</f>
        <v>9</v>
      </c>
      <c r="AD24" s="16">
        <f>IFERROR(__xludf.DUMMYFUNCTION("""COMPUTED_VALUE"""),9.0)</f>
        <v>9</v>
      </c>
      <c r="AE24" s="16">
        <f>IFERROR(__xludf.DUMMYFUNCTION("""COMPUTED_VALUE"""),9.0)</f>
        <v>9</v>
      </c>
      <c r="AF24" s="16">
        <f>IFERROR(__xludf.DUMMYFUNCTION("""COMPUTED_VALUE"""),9.0)</f>
        <v>9</v>
      </c>
      <c r="AG24" s="16">
        <f>IFERROR(__xludf.DUMMYFUNCTION("""COMPUTED_VALUE"""),9.0)</f>
        <v>9</v>
      </c>
      <c r="AH24" s="16">
        <f>IFERROR(__xludf.DUMMYFUNCTION("""COMPUTED_VALUE"""),9.0)</f>
        <v>9</v>
      </c>
      <c r="AI24" s="16">
        <f>IFERROR(__xludf.DUMMYFUNCTION("""COMPUTED_VALUE"""),9.0)</f>
        <v>9</v>
      </c>
      <c r="AJ24" s="16">
        <f>IFERROR(__xludf.DUMMYFUNCTION("""COMPUTED_VALUE"""),9.0)</f>
        <v>9</v>
      </c>
      <c r="AK24" s="16">
        <f>IFERROR(__xludf.DUMMYFUNCTION("""COMPUTED_VALUE"""),9.0)</f>
        <v>9</v>
      </c>
      <c r="AL24" s="16">
        <f>IFERROR(__xludf.DUMMYFUNCTION("""COMPUTED_VALUE"""),9.0)</f>
        <v>9</v>
      </c>
      <c r="AM24" s="16">
        <f>IFERROR(__xludf.DUMMYFUNCTION("""COMPUTED_VALUE"""),9.0)</f>
        <v>9</v>
      </c>
      <c r="AN24" s="16">
        <f>IFERROR(__xludf.DUMMYFUNCTION("""COMPUTED_VALUE"""),9.0)</f>
        <v>9</v>
      </c>
      <c r="AO24" s="16"/>
      <c r="AP24" s="16"/>
      <c r="AQ24" s="16">
        <f>IFERROR(__xludf.DUMMYFUNCTION("""COMPUTED_VALUE"""),9.0)</f>
        <v>9</v>
      </c>
      <c r="AR24" s="16"/>
      <c r="AS24" s="16"/>
      <c r="AT24" s="16"/>
      <c r="AU24" s="16"/>
      <c r="AV24" s="16"/>
      <c r="AW24" s="16"/>
      <c r="AX24" s="16"/>
    </row>
    <row r="25">
      <c r="A25" s="16" t="str">
        <f>IFERROR(__xludf.DUMMYFUNCTION("""COMPUTED_VALUE"""),"Mage")</f>
        <v>Mage</v>
      </c>
      <c r="B25" s="16" t="str">
        <f>IFERROR(__xludf.DUMMYFUNCTION("""COMPUTED_VALUE"""),"Chrono Mage")</f>
        <v>Chrono Mage</v>
      </c>
      <c r="C25" s="16" t="str">
        <f>IFERROR(__xludf.DUMMYFUNCTION("""COMPUTED_VALUE"""),"Rank 9 in all Elements (excluding Zen and Acoustic)")</f>
        <v>Rank 9 in all Elements (excluding Zen and Acoustic)</v>
      </c>
      <c r="D25" s="42" t="str">
        <f>IFERROR(__xludf.DUMMYFUNCTION("""COMPUTED_VALUE"""),"Restricted Class: (Must unlock the Solreach Expansion to use this class)
Start with Rank 9 Time Spells.")</f>
        <v>Restricted Class: (Must unlock the Solreach Expansion to use this class)
Start with Rank 9 Time Spells.</v>
      </c>
      <c r="E25" s="42" t="str">
        <f>IFERROR(__xludf.DUMMYFUNCTION("""COMPUTED_VALUE"""),"Time spells cost half their normal SP cost.")</f>
        <v>Time spells cost half their normal SP cost.</v>
      </c>
      <c r="F25" s="42" t="str">
        <f>IFERROR(__xludf.DUMMYFUNCTION("""COMPUTED_VALUE"""),"Immune to Time")</f>
        <v>Immune to Time</v>
      </c>
      <c r="G25" s="42"/>
      <c r="H25" s="16"/>
      <c r="I25" s="16"/>
      <c r="J25" s="16"/>
      <c r="K25" s="16"/>
      <c r="L25" s="16"/>
      <c r="M25" s="16"/>
      <c r="N25" s="16"/>
      <c r="O25" s="16"/>
      <c r="P25" s="16"/>
      <c r="Q25" s="16"/>
      <c r="R25" s="16"/>
      <c r="S25" s="16"/>
      <c r="T25" s="16"/>
      <c r="U25" s="16"/>
      <c r="V25" s="16">
        <f>IFERROR(__xludf.DUMMYFUNCTION("""COMPUTED_VALUE"""),0.0)</f>
        <v>0</v>
      </c>
      <c r="W25" s="16">
        <f>IFERROR(__xludf.DUMMYFUNCTION("""COMPUTED_VALUE"""),9.0)</f>
        <v>9</v>
      </c>
      <c r="X25" s="16">
        <f>IFERROR(__xludf.DUMMYFUNCTION("""COMPUTED_VALUE"""),9.0)</f>
        <v>9</v>
      </c>
      <c r="Y25" s="16">
        <f>IFERROR(__xludf.DUMMYFUNCTION("""COMPUTED_VALUE"""),9.0)</f>
        <v>9</v>
      </c>
      <c r="Z25" s="16">
        <f>IFERROR(__xludf.DUMMYFUNCTION("""COMPUTED_VALUE"""),9.0)</f>
        <v>9</v>
      </c>
      <c r="AA25" s="16">
        <f>IFERROR(__xludf.DUMMYFUNCTION("""COMPUTED_VALUE"""),9.0)</f>
        <v>9</v>
      </c>
      <c r="AB25" s="16">
        <f>IFERROR(__xludf.DUMMYFUNCTION("""COMPUTED_VALUE"""),9.0)</f>
        <v>9</v>
      </c>
      <c r="AC25" s="16">
        <f>IFERROR(__xludf.DUMMYFUNCTION("""COMPUTED_VALUE"""),9.0)</f>
        <v>9</v>
      </c>
      <c r="AD25" s="16">
        <f>IFERROR(__xludf.DUMMYFUNCTION("""COMPUTED_VALUE"""),9.0)</f>
        <v>9</v>
      </c>
      <c r="AE25" s="16">
        <f>IFERROR(__xludf.DUMMYFUNCTION("""COMPUTED_VALUE"""),9.0)</f>
        <v>9</v>
      </c>
      <c r="AF25" s="16">
        <f>IFERROR(__xludf.DUMMYFUNCTION("""COMPUTED_VALUE"""),9.0)</f>
        <v>9</v>
      </c>
      <c r="AG25" s="16">
        <f>IFERROR(__xludf.DUMMYFUNCTION("""COMPUTED_VALUE"""),9.0)</f>
        <v>9</v>
      </c>
      <c r="AH25" s="16">
        <f>IFERROR(__xludf.DUMMYFUNCTION("""COMPUTED_VALUE"""),9.0)</f>
        <v>9</v>
      </c>
      <c r="AI25" s="16">
        <f>IFERROR(__xludf.DUMMYFUNCTION("""COMPUTED_VALUE"""),9.0)</f>
        <v>9</v>
      </c>
      <c r="AJ25" s="16">
        <f>IFERROR(__xludf.DUMMYFUNCTION("""COMPUTED_VALUE"""),9.0)</f>
        <v>9</v>
      </c>
      <c r="AK25" s="16">
        <f>IFERROR(__xludf.DUMMYFUNCTION("""COMPUTED_VALUE"""),9.0)</f>
        <v>9</v>
      </c>
      <c r="AL25" s="16">
        <f>IFERROR(__xludf.DUMMYFUNCTION("""COMPUTED_VALUE"""),9.0)</f>
        <v>9</v>
      </c>
      <c r="AM25" s="16">
        <f>IFERROR(__xludf.DUMMYFUNCTION("""COMPUTED_VALUE"""),9.0)</f>
        <v>9</v>
      </c>
      <c r="AN25" s="16">
        <f>IFERROR(__xludf.DUMMYFUNCTION("""COMPUTED_VALUE"""),9.0)</f>
        <v>9</v>
      </c>
      <c r="AO25" s="16"/>
      <c r="AP25" s="16">
        <f>IFERROR(__xludf.DUMMYFUNCTION("""COMPUTED_VALUE"""),1.0)</f>
        <v>1</v>
      </c>
      <c r="AQ25" s="16"/>
      <c r="AR25" s="16"/>
      <c r="AS25" s="16"/>
      <c r="AT25" s="16"/>
      <c r="AU25" s="16"/>
      <c r="AV25" s="16"/>
      <c r="AW25" s="16"/>
      <c r="AX25" s="16"/>
    </row>
    <row r="26">
      <c r="A26" s="16" t="str">
        <f>IFERROR(__xludf.DUMMYFUNCTION("""COMPUTED_VALUE"""),"Marauder ")</f>
        <v>Marauder </v>
      </c>
      <c r="B26" s="16" t="str">
        <f>IFERROR(__xludf.DUMMYFUNCTION("""COMPUTED_VALUE"""),"Master Marauder ")</f>
        <v>Master Marauder </v>
      </c>
      <c r="C26" s="16" t="str">
        <f>IFERROR(__xludf.DUMMYFUNCTION("""COMPUTED_VALUE"""),"Rank 9 Dark, Range, Melee, Physical")</f>
        <v>Rank 9 Dark, Range, Melee, Physical</v>
      </c>
      <c r="D26" s="42" t="str">
        <f>IFERROR(__xludf.DUMMYFUNCTION("""COMPUTED_VALUE"""),"Will automatically succeed when using the pickpocket, take, or confiscate power.")</f>
        <v>Will automatically succeed when using the pickpocket, take, or confiscate power.</v>
      </c>
      <c r="E26" s="42" t="str">
        <f>IFERROR(__xludf.DUMMYFUNCTION("""COMPUTED_VALUE"""),"Can automatically open any non magical door or chest without a key.")</f>
        <v>Can automatically open any non magical door or chest without a key.</v>
      </c>
      <c r="F26" s="42" t="str">
        <f>IFERROR(__xludf.DUMMYFUNCTION("""COMPUTED_VALUE"""),"50% Chance to negate being arrested (self only)")</f>
        <v>50% Chance to negate being arrested (self only)</v>
      </c>
      <c r="G26" s="42" t="str">
        <f>IFERROR(__xludf.DUMMYFUNCTION("""COMPUTED_VALUE"""),"You can use charisma to bribe a guard npc into removing your bounty. if you fail you must double that bounty. You may remove no more than 1 bounty per session.")</f>
        <v>You can use charisma to bribe a guard npc into removing your bounty. if you fail you must double that bounty. You may remove no more than 1 bounty per session.</v>
      </c>
      <c r="H26" s="16"/>
      <c r="I26" s="16"/>
      <c r="J26" s="16"/>
      <c r="K26" s="16"/>
      <c r="L26" s="16"/>
      <c r="M26" s="16"/>
      <c r="N26" s="16"/>
      <c r="O26" s="16"/>
      <c r="P26" s="16"/>
      <c r="Q26" s="16"/>
      <c r="R26" s="16"/>
      <c r="S26" s="16"/>
      <c r="T26" s="16"/>
      <c r="U26" s="16"/>
      <c r="V26" s="16">
        <f>IFERROR(__xludf.DUMMYFUNCTION("""COMPUTED_VALUE"""),0.0)</f>
        <v>0</v>
      </c>
      <c r="W26" s="16"/>
      <c r="X26" s="16"/>
      <c r="Y26" s="16"/>
      <c r="Z26" s="16"/>
      <c r="AA26" s="16"/>
      <c r="AB26" s="16">
        <f>IFERROR(__xludf.DUMMYFUNCTION("""COMPUTED_VALUE"""),9.0)</f>
        <v>9</v>
      </c>
      <c r="AC26" s="16"/>
      <c r="AD26" s="16"/>
      <c r="AE26" s="16"/>
      <c r="AF26" s="16"/>
      <c r="AG26" s="16">
        <f>IFERROR(__xludf.DUMMYFUNCTION("""COMPUTED_VALUE"""),9.0)</f>
        <v>9</v>
      </c>
      <c r="AH26" s="16">
        <f>IFERROR(__xludf.DUMMYFUNCTION("""COMPUTED_VALUE"""),9.0)</f>
        <v>9</v>
      </c>
      <c r="AI26" s="16">
        <f>IFERROR(__xludf.DUMMYFUNCTION("""COMPUTED_VALUE"""),9.0)</f>
        <v>9</v>
      </c>
      <c r="AJ26" s="16"/>
      <c r="AK26" s="16"/>
      <c r="AL26" s="16"/>
      <c r="AM26" s="16"/>
      <c r="AN26" s="16"/>
      <c r="AO26" s="16"/>
      <c r="AP26" s="16"/>
      <c r="AQ26" s="16"/>
      <c r="AR26" s="16"/>
      <c r="AS26" s="16"/>
      <c r="AT26" s="16"/>
      <c r="AU26" s="16"/>
      <c r="AV26" s="16"/>
      <c r="AW26" s="16"/>
      <c r="AX26" s="16"/>
    </row>
    <row r="27">
      <c r="A27" s="16" t="str">
        <f>IFERROR(__xludf.DUMMYFUNCTION("""COMPUTED_VALUE"""),"Merchant")</f>
        <v>Merchant</v>
      </c>
      <c r="B27" s="16" t="str">
        <f>IFERROR(__xludf.DUMMYFUNCTION("""COMPUTED_VALUE"""),"Traveling Merchant")</f>
        <v>Traveling Merchant</v>
      </c>
      <c r="C27" s="16" t="str">
        <f>IFERROR(__xludf.DUMMYFUNCTION("""COMPUTED_VALUE"""),"Rank 9 Ranged, Physical, Melee")</f>
        <v>Rank 9 Ranged, Physical, Melee</v>
      </c>
      <c r="D27" s="42" t="str">
        <f>IFERROR(__xludf.DUMMYFUNCTION("""COMPUTED_VALUE"""),"During travel, if more then half of the days of travel are bad you may deduct half of the bad days.")</f>
        <v>During travel, if more then half of the days of travel are bad you may deduct half of the bad days.</v>
      </c>
      <c r="E27" s="42" t="str">
        <f>IFERROR(__xludf.DUMMYFUNCTION("""COMPUTED_VALUE"""),"Double the amount of gilders and crafting materials you find from good days of travel.")</f>
        <v>Double the amount of gilders and crafting materials you find from good days of travel.</v>
      </c>
      <c r="F27" s="42" t="str">
        <f>IFERROR(__xludf.DUMMYFUNCTION("""COMPUTED_VALUE"""),"+5 Charisma")</f>
        <v>+5 Charisma</v>
      </c>
      <c r="G27" s="42" t="str">
        <f>IFERROR(__xludf.DUMMYFUNCTION("""COMPUTED_VALUE"""),"40% Chance to automatically succeed at haggling when you are selling something to a shop.")</f>
        <v>40% Chance to automatically succeed at haggling when you are selling something to a shop.</v>
      </c>
      <c r="H27" s="16"/>
      <c r="I27" s="16"/>
      <c r="J27" s="16"/>
      <c r="K27" s="16">
        <f>IFERROR(__xludf.DUMMYFUNCTION("""COMPUTED_VALUE"""),5.0)</f>
        <v>5</v>
      </c>
      <c r="L27" s="16"/>
      <c r="M27" s="16"/>
      <c r="N27" s="16"/>
      <c r="O27" s="16"/>
      <c r="P27" s="16"/>
      <c r="Q27" s="16"/>
      <c r="R27" s="16"/>
      <c r="S27" s="16"/>
      <c r="T27" s="16"/>
      <c r="U27" s="16"/>
      <c r="V27" s="16">
        <f>IFERROR(__xludf.DUMMYFUNCTION("""COMPUTED_VALUE"""),0.0)</f>
        <v>0</v>
      </c>
      <c r="W27" s="16"/>
      <c r="X27" s="16"/>
      <c r="Y27" s="16"/>
      <c r="Z27" s="16"/>
      <c r="AA27" s="16"/>
      <c r="AB27" s="16"/>
      <c r="AC27" s="16"/>
      <c r="AD27" s="16"/>
      <c r="AE27" s="16"/>
      <c r="AF27" s="16"/>
      <c r="AG27" s="16">
        <f>IFERROR(__xludf.DUMMYFUNCTION("""COMPUTED_VALUE"""),9.0)</f>
        <v>9</v>
      </c>
      <c r="AH27" s="16">
        <f>IFERROR(__xludf.DUMMYFUNCTION("""COMPUTED_VALUE"""),9.0)</f>
        <v>9</v>
      </c>
      <c r="AI27" s="16">
        <f>IFERROR(__xludf.DUMMYFUNCTION("""COMPUTED_VALUE"""),9.0)</f>
        <v>9</v>
      </c>
      <c r="AJ27" s="16"/>
      <c r="AK27" s="16"/>
      <c r="AL27" s="16"/>
      <c r="AM27" s="16"/>
      <c r="AN27" s="16"/>
      <c r="AO27" s="16"/>
      <c r="AP27" s="16"/>
      <c r="AQ27" s="16"/>
      <c r="AR27" s="16"/>
      <c r="AS27" s="16"/>
      <c r="AT27" s="16"/>
      <c r="AU27" s="16"/>
      <c r="AV27" s="16"/>
      <c r="AW27" s="16"/>
      <c r="AX27" s="16"/>
    </row>
    <row r="28">
      <c r="A28" s="16" t="str">
        <f>IFERROR(__xludf.DUMMYFUNCTION("""COMPUTED_VALUE"""),"Monk")</f>
        <v>Monk</v>
      </c>
      <c r="B28" s="16" t="str">
        <f>IFERROR(__xludf.DUMMYFUNCTION("""COMPUTED_VALUE"""),"Grand Abbot")</f>
        <v>Grand Abbot</v>
      </c>
      <c r="C28" s="16" t="str">
        <f>IFERROR(__xludf.DUMMYFUNCTION("""COMPUTED_VALUE"""),"Rank 9 in all elements (excluding Acoustic)")</f>
        <v>Rank 9 in all elements (excluding Acoustic)</v>
      </c>
      <c r="D28" s="42" t="str">
        <f>IFERROR(__xludf.DUMMYFUNCTION("""COMPUTED_VALUE"""),"+5 to wisdom")</f>
        <v>+5 to wisdom</v>
      </c>
      <c r="E28" s="42" t="str">
        <f>IFERROR(__xludf.DUMMYFUNCTION("""COMPUTED_VALUE"""),"Will meditate each round in battle, Every round you gain an additional 1000 accuracy, and attack and your evasion will go up additionally by 1 max 10.")</f>
        <v>Will meditate each round in battle, Every round you gain an additional 1000 accuracy, and attack and your evasion will go up additionally by 1 max 10.</v>
      </c>
      <c r="F28" s="42"/>
      <c r="G28" s="42"/>
      <c r="H28" s="16"/>
      <c r="I28" s="16"/>
      <c r="J28" s="16"/>
      <c r="K28" s="16"/>
      <c r="L28" s="16">
        <f>IFERROR(__xludf.DUMMYFUNCTION("""COMPUTED_VALUE"""),5.0)</f>
        <v>5</v>
      </c>
      <c r="M28" s="16"/>
      <c r="N28" s="16"/>
      <c r="O28" s="16"/>
      <c r="P28" s="16"/>
      <c r="Q28" s="16"/>
      <c r="R28" s="16"/>
      <c r="S28" s="16"/>
      <c r="T28" s="16"/>
      <c r="U28" s="16"/>
      <c r="V28" s="16">
        <f>IFERROR(__xludf.DUMMYFUNCTION("""COMPUTED_VALUE"""),0.0)</f>
        <v>0</v>
      </c>
      <c r="W28" s="16">
        <f>IFERROR(__xludf.DUMMYFUNCTION("""COMPUTED_VALUE"""),9.0)</f>
        <v>9</v>
      </c>
      <c r="X28" s="16">
        <f>IFERROR(__xludf.DUMMYFUNCTION("""COMPUTED_VALUE"""),9.0)</f>
        <v>9</v>
      </c>
      <c r="Y28" s="16">
        <f>IFERROR(__xludf.DUMMYFUNCTION("""COMPUTED_VALUE"""),9.0)</f>
        <v>9</v>
      </c>
      <c r="Z28" s="16">
        <f>IFERROR(__xludf.DUMMYFUNCTION("""COMPUTED_VALUE"""),9.0)</f>
        <v>9</v>
      </c>
      <c r="AA28" s="16">
        <f>IFERROR(__xludf.DUMMYFUNCTION("""COMPUTED_VALUE"""),9.0)</f>
        <v>9</v>
      </c>
      <c r="AB28" s="16">
        <f>IFERROR(__xludf.DUMMYFUNCTION("""COMPUTED_VALUE"""),9.0)</f>
        <v>9</v>
      </c>
      <c r="AC28" s="16">
        <f>IFERROR(__xludf.DUMMYFUNCTION("""COMPUTED_VALUE"""),9.0)</f>
        <v>9</v>
      </c>
      <c r="AD28" s="16">
        <f>IFERROR(__xludf.DUMMYFUNCTION("""COMPUTED_VALUE"""),9.0)</f>
        <v>9</v>
      </c>
      <c r="AE28" s="16">
        <f>IFERROR(__xludf.DUMMYFUNCTION("""COMPUTED_VALUE"""),9.0)</f>
        <v>9</v>
      </c>
      <c r="AF28" s="16">
        <f>IFERROR(__xludf.DUMMYFUNCTION("""COMPUTED_VALUE"""),9.0)</f>
        <v>9</v>
      </c>
      <c r="AG28" s="16">
        <f>IFERROR(__xludf.DUMMYFUNCTION("""COMPUTED_VALUE"""),9.0)</f>
        <v>9</v>
      </c>
      <c r="AH28" s="16">
        <f>IFERROR(__xludf.DUMMYFUNCTION("""COMPUTED_VALUE"""),9.0)</f>
        <v>9</v>
      </c>
      <c r="AI28" s="16">
        <f>IFERROR(__xludf.DUMMYFUNCTION("""COMPUTED_VALUE"""),9.0)</f>
        <v>9</v>
      </c>
      <c r="AJ28" s="16">
        <f>IFERROR(__xludf.DUMMYFUNCTION("""COMPUTED_VALUE"""),9.0)</f>
        <v>9</v>
      </c>
      <c r="AK28" s="16">
        <f>IFERROR(__xludf.DUMMYFUNCTION("""COMPUTED_VALUE"""),9.0)</f>
        <v>9</v>
      </c>
      <c r="AL28" s="16">
        <f>IFERROR(__xludf.DUMMYFUNCTION("""COMPUTED_VALUE"""),9.0)</f>
        <v>9</v>
      </c>
      <c r="AM28" s="16">
        <f>IFERROR(__xludf.DUMMYFUNCTION("""COMPUTED_VALUE"""),9.0)</f>
        <v>9</v>
      </c>
      <c r="AN28" s="16">
        <f>IFERROR(__xludf.DUMMYFUNCTION("""COMPUTED_VALUE"""),9.0)</f>
        <v>9</v>
      </c>
      <c r="AO28" s="16">
        <f>IFERROR(__xludf.DUMMYFUNCTION("""COMPUTED_VALUE"""),9.0)</f>
        <v>9</v>
      </c>
      <c r="AP28" s="16"/>
      <c r="AQ28" s="16">
        <f>IFERROR(__xludf.DUMMYFUNCTION("""COMPUTED_VALUE"""),9.0)</f>
        <v>9</v>
      </c>
      <c r="AR28" s="16"/>
      <c r="AS28" s="16"/>
      <c r="AT28" s="16"/>
      <c r="AU28" s="16"/>
      <c r="AV28" s="16"/>
      <c r="AW28" s="16"/>
      <c r="AX28" s="16"/>
    </row>
    <row r="29">
      <c r="A29" s="16" t="str">
        <f>IFERROR(__xludf.DUMMYFUNCTION("""COMPUTED_VALUE"""),"Ninja")</f>
        <v>Ninja</v>
      </c>
      <c r="B29" s="16" t="str">
        <f>IFERROR(__xludf.DUMMYFUNCTION("""COMPUTED_VALUE"""),"Sensei of Dark Arts")</f>
        <v>Sensei of Dark Arts</v>
      </c>
      <c r="C29" s="16" t="str">
        <f>IFERROR(__xludf.DUMMYFUNCTION("""COMPUTED_VALUE"""),"Rank 9 Dark, Chaos, Voodoo, Zen, Physical, Melee, Ranged")</f>
        <v>Rank 9 Dark, Chaos, Voodoo, Zen, Physical, Melee, Ranged</v>
      </c>
      <c r="D29" s="42" t="str">
        <f>IFERROR(__xludf.DUMMYFUNCTION("""COMPUTED_VALUE"""),"Immunity to dark, chaos, and voodoo.")</f>
        <v>Immunity to dark, chaos, and voodoo.</v>
      </c>
      <c r="E29" s="42" t="str">
        <f>IFERROR(__xludf.DUMMYFUNCTION("""COMPUTED_VALUE"""),"+5 to mobility and evasion.")</f>
        <v>+5 to mobility and evasion.</v>
      </c>
      <c r="F29" s="42" t="str">
        <f>IFERROR(__xludf.DUMMYFUNCTION("""COMPUTED_VALUE"""),"Anytime you hide away or conceal yourself before attacking either by an item effect or spell effect you will deal x4 damage as soon as you attack.")</f>
        <v>Anytime you hide away or conceal yourself before attacking either by an item effect or spell effect you will deal x4 damage as soon as you attack.</v>
      </c>
      <c r="G29" s="42"/>
      <c r="H29" s="16"/>
      <c r="I29" s="16"/>
      <c r="J29" s="16"/>
      <c r="K29" s="16"/>
      <c r="L29" s="16"/>
      <c r="M29" s="16"/>
      <c r="N29" s="16">
        <f>IFERROR(__xludf.DUMMYFUNCTION("""COMPUTED_VALUE"""),5.0)</f>
        <v>5</v>
      </c>
      <c r="O29" s="16"/>
      <c r="P29" s="16">
        <f>IFERROR(__xludf.DUMMYFUNCTION("""COMPUTED_VALUE"""),5.0)</f>
        <v>5</v>
      </c>
      <c r="Q29" s="16"/>
      <c r="R29" s="16"/>
      <c r="S29" s="16"/>
      <c r="T29" s="16"/>
      <c r="U29" s="16"/>
      <c r="V29" s="16">
        <f>IFERROR(__xludf.DUMMYFUNCTION("""COMPUTED_VALUE"""),0.0)</f>
        <v>0</v>
      </c>
      <c r="W29" s="16"/>
      <c r="X29" s="16"/>
      <c r="Y29" s="16"/>
      <c r="Z29" s="16"/>
      <c r="AA29" s="16"/>
      <c r="AB29" s="16">
        <f>IFERROR(__xludf.DUMMYFUNCTION("""COMPUTED_VALUE"""),9.0)</f>
        <v>9</v>
      </c>
      <c r="AC29" s="16"/>
      <c r="AD29" s="16"/>
      <c r="AE29" s="16">
        <f>IFERROR(__xludf.DUMMYFUNCTION("""COMPUTED_VALUE"""),9.0)</f>
        <v>9</v>
      </c>
      <c r="AF29" s="16"/>
      <c r="AG29" s="16">
        <f>IFERROR(__xludf.DUMMYFUNCTION("""COMPUTED_VALUE"""),9.0)</f>
        <v>9</v>
      </c>
      <c r="AH29" s="16">
        <f>IFERROR(__xludf.DUMMYFUNCTION("""COMPUTED_VALUE"""),9.0)</f>
        <v>9</v>
      </c>
      <c r="AI29" s="16">
        <f>IFERROR(__xludf.DUMMYFUNCTION("""COMPUTED_VALUE"""),9.0)</f>
        <v>9</v>
      </c>
      <c r="AJ29" s="16"/>
      <c r="AK29" s="16"/>
      <c r="AL29" s="16">
        <f>IFERROR(__xludf.DUMMYFUNCTION("""COMPUTED_VALUE"""),9.0)</f>
        <v>9</v>
      </c>
      <c r="AM29" s="16"/>
      <c r="AN29" s="16"/>
      <c r="AO29" s="16">
        <f>IFERROR(__xludf.DUMMYFUNCTION("""COMPUTED_VALUE"""),9.0)</f>
        <v>9</v>
      </c>
      <c r="AP29" s="16"/>
      <c r="AQ29" s="16"/>
      <c r="AR29" s="16"/>
      <c r="AS29" s="16"/>
      <c r="AT29" s="16"/>
      <c r="AU29" s="16"/>
      <c r="AV29" s="16"/>
      <c r="AW29" s="16"/>
      <c r="AX29" s="16"/>
    </row>
    <row r="30">
      <c r="A30" s="16" t="str">
        <f>IFERROR(__xludf.DUMMYFUNCTION("""COMPUTED_VALUE"""),"Ninja")</f>
        <v>Ninja</v>
      </c>
      <c r="B30" s="16" t="str">
        <f>IFERROR(__xludf.DUMMYFUNCTION("""COMPUTED_VALUE"""),"Assassin")</f>
        <v>Assassin</v>
      </c>
      <c r="C30" s="16" t="str">
        <f>IFERROR(__xludf.DUMMYFUNCTION("""COMPUTED_VALUE"""),"Rank 9 Dark, Chaos, Voodoo, Zen, Blood, Melee, Physical, Ranged")</f>
        <v>Rank 9 Dark, Chaos, Voodoo, Zen, Blood, Melee, Physical, Ranged</v>
      </c>
      <c r="D30" s="42" t="str">
        <f>IFERROR(__xludf.DUMMYFUNCTION("""COMPUTED_VALUE"""),"Immune to instant death.")</f>
        <v>Immune to instant death.</v>
      </c>
      <c r="E30" s="42" t="str">
        <f>IFERROR(__xludf.DUMMYFUNCTION("""COMPUTED_VALUE"""),"Immunity to dark.")</f>
        <v>Immunity to dark.</v>
      </c>
      <c r="F30" s="42" t="str">
        <f>IFERROR(__xludf.DUMMYFUNCTION("""COMPUTED_VALUE"""),"+5 to mobility and evasion.")</f>
        <v>+5 to mobility and evasion.</v>
      </c>
      <c r="G30" s="42"/>
      <c r="H30" s="16"/>
      <c r="I30" s="16"/>
      <c r="J30" s="16"/>
      <c r="K30" s="16"/>
      <c r="L30" s="16"/>
      <c r="M30" s="16"/>
      <c r="N30" s="16">
        <f>IFERROR(__xludf.DUMMYFUNCTION("""COMPUTED_VALUE"""),5.0)</f>
        <v>5</v>
      </c>
      <c r="O30" s="16"/>
      <c r="P30" s="16">
        <f>IFERROR(__xludf.DUMMYFUNCTION("""COMPUTED_VALUE"""),5.0)</f>
        <v>5</v>
      </c>
      <c r="Q30" s="16"/>
      <c r="R30" s="16"/>
      <c r="S30" s="16"/>
      <c r="T30" s="16"/>
      <c r="U30" s="16"/>
      <c r="V30" s="16">
        <f>IFERROR(__xludf.DUMMYFUNCTION("""COMPUTED_VALUE"""),0.0)</f>
        <v>0</v>
      </c>
      <c r="W30" s="16"/>
      <c r="X30" s="16"/>
      <c r="Y30" s="16"/>
      <c r="Z30" s="16"/>
      <c r="AA30" s="16"/>
      <c r="AB30" s="16">
        <f>IFERROR(__xludf.DUMMYFUNCTION("""COMPUTED_VALUE"""),9.0)</f>
        <v>9</v>
      </c>
      <c r="AC30" s="16"/>
      <c r="AD30" s="16"/>
      <c r="AE30" s="16">
        <f>IFERROR(__xludf.DUMMYFUNCTION("""COMPUTED_VALUE"""),9.0)</f>
        <v>9</v>
      </c>
      <c r="AF30" s="16"/>
      <c r="AG30" s="16">
        <f>IFERROR(__xludf.DUMMYFUNCTION("""COMPUTED_VALUE"""),9.0)</f>
        <v>9</v>
      </c>
      <c r="AH30" s="16">
        <f>IFERROR(__xludf.DUMMYFUNCTION("""COMPUTED_VALUE"""),9.0)</f>
        <v>9</v>
      </c>
      <c r="AI30" s="16">
        <f>IFERROR(__xludf.DUMMYFUNCTION("""COMPUTED_VALUE"""),9.0)</f>
        <v>9</v>
      </c>
      <c r="AJ30" s="16"/>
      <c r="AK30" s="16"/>
      <c r="AL30" s="16">
        <f>IFERROR(__xludf.DUMMYFUNCTION("""COMPUTED_VALUE"""),9.0)</f>
        <v>9</v>
      </c>
      <c r="AM30" s="16"/>
      <c r="AN30" s="16"/>
      <c r="AO30" s="16">
        <f>IFERROR(__xludf.DUMMYFUNCTION("""COMPUTED_VALUE"""),9.0)</f>
        <v>9</v>
      </c>
      <c r="AP30" s="16"/>
      <c r="AQ30" s="16"/>
      <c r="AR30" s="16"/>
      <c r="AS30" s="16"/>
      <c r="AT30" s="16"/>
      <c r="AU30" s="16"/>
      <c r="AV30" s="16"/>
      <c r="AW30" s="16"/>
      <c r="AX30" s="16"/>
    </row>
    <row r="31">
      <c r="A31" s="16" t="str">
        <f>IFERROR(__xludf.DUMMYFUNCTION("""COMPUTED_VALUE"""),"Pirate")</f>
        <v>Pirate</v>
      </c>
      <c r="B31" s="16" t="str">
        <f>IFERROR(__xludf.DUMMYFUNCTION("""COMPUTED_VALUE"""),"Swashbuckler")</f>
        <v>Swashbuckler</v>
      </c>
      <c r="C31" s="16" t="str">
        <f>IFERROR(__xludf.DUMMYFUNCTION("""COMPUTED_VALUE"""),"Rank 9 Water and Melee")</f>
        <v>Rank 9 Water and Melee</v>
      </c>
      <c r="D31" s="42" t="str">
        <f>IFERROR(__xludf.DUMMYFUNCTION("""COMPUTED_VALUE"""),"X4 damage with swords.")</f>
        <v>X4 damage with swords.</v>
      </c>
      <c r="E31" s="42" t="str">
        <f>IFERROR(__xludf.DUMMYFUNCTION("""COMPUTED_VALUE"""),"X2 Gilders from loot drops, chests, and quests..")</f>
        <v>X2 Gilders from loot drops, chests, and quests..</v>
      </c>
      <c r="F31" s="42"/>
      <c r="G31" s="42"/>
      <c r="H31" s="16"/>
      <c r="I31" s="16"/>
      <c r="J31" s="16"/>
      <c r="K31" s="16"/>
      <c r="L31" s="16"/>
      <c r="M31" s="16"/>
      <c r="N31" s="16"/>
      <c r="O31" s="16"/>
      <c r="P31" s="16"/>
      <c r="Q31" s="16"/>
      <c r="R31" s="16"/>
      <c r="S31" s="16"/>
      <c r="T31" s="16"/>
      <c r="U31" s="16"/>
      <c r="V31" s="16">
        <f>IFERROR(__xludf.DUMMYFUNCTION("""COMPUTED_VALUE"""),0.0)</f>
        <v>0</v>
      </c>
      <c r="W31" s="16"/>
      <c r="X31" s="16">
        <f>IFERROR(__xludf.DUMMYFUNCTION("""COMPUTED_VALUE"""),9.0)</f>
        <v>9</v>
      </c>
      <c r="Y31" s="16"/>
      <c r="Z31" s="16"/>
      <c r="AA31" s="16"/>
      <c r="AB31" s="16"/>
      <c r="AC31" s="16"/>
      <c r="AD31" s="16"/>
      <c r="AE31" s="16"/>
      <c r="AF31" s="16"/>
      <c r="AG31" s="16"/>
      <c r="AH31" s="16">
        <f>IFERROR(__xludf.DUMMYFUNCTION("""COMPUTED_VALUE"""),9.0)</f>
        <v>9</v>
      </c>
      <c r="AI31" s="16"/>
      <c r="AJ31" s="16"/>
      <c r="AK31" s="16"/>
      <c r="AL31" s="16"/>
      <c r="AM31" s="16"/>
      <c r="AN31" s="16"/>
      <c r="AO31" s="16"/>
      <c r="AP31" s="16"/>
      <c r="AQ31" s="16"/>
      <c r="AR31" s="16"/>
      <c r="AS31" s="16"/>
      <c r="AT31" s="16"/>
      <c r="AU31" s="16"/>
      <c r="AV31" s="16"/>
      <c r="AW31" s="16"/>
      <c r="AX31" s="16"/>
    </row>
    <row r="32">
      <c r="A32" s="16" t="str">
        <f>IFERROR(__xludf.DUMMYFUNCTION("""COMPUTED_VALUE"""),"Pirate")</f>
        <v>Pirate</v>
      </c>
      <c r="B32" s="16" t="str">
        <f>IFERROR(__xludf.DUMMYFUNCTION("""COMPUTED_VALUE"""),"Buccaneer")</f>
        <v>Buccaneer</v>
      </c>
      <c r="C32" s="16" t="str">
        <f>IFERROR(__xludf.DUMMYFUNCTION("""COMPUTED_VALUE"""),"Rang 9 Water and Ranged")</f>
        <v>Rang 9 Water and Ranged</v>
      </c>
      <c r="D32" s="42" t="str">
        <f>IFERROR(__xludf.DUMMYFUNCTION("""COMPUTED_VALUE"""),"X4 damage with guns and bows")</f>
        <v>X4 damage with guns and bows</v>
      </c>
      <c r="E32" s="42" t="str">
        <f>IFERROR(__xludf.DUMMYFUNCTION("""COMPUTED_VALUE"""),"X2 Gilders from loot drops, chests, and quests..")</f>
        <v>X2 Gilders from loot drops, chests, and quests..</v>
      </c>
      <c r="F32" s="42"/>
      <c r="G32" s="42"/>
      <c r="H32" s="16"/>
      <c r="I32" s="16"/>
      <c r="J32" s="16"/>
      <c r="K32" s="16"/>
      <c r="L32" s="16"/>
      <c r="M32" s="16"/>
      <c r="N32" s="16"/>
      <c r="O32" s="16"/>
      <c r="P32" s="16"/>
      <c r="Q32" s="16"/>
      <c r="R32" s="16"/>
      <c r="S32" s="16"/>
      <c r="T32" s="16"/>
      <c r="U32" s="16"/>
      <c r="V32" s="16">
        <f>IFERROR(__xludf.DUMMYFUNCTION("""COMPUTED_VALUE"""),0.0)</f>
        <v>0</v>
      </c>
      <c r="W32" s="16"/>
      <c r="X32" s="16">
        <f>IFERROR(__xludf.DUMMYFUNCTION("""COMPUTED_VALUE"""),9.0)</f>
        <v>9</v>
      </c>
      <c r="Y32" s="16"/>
      <c r="Z32" s="16"/>
      <c r="AA32" s="16"/>
      <c r="AB32" s="16"/>
      <c r="AC32" s="16"/>
      <c r="AD32" s="16"/>
      <c r="AE32" s="16"/>
      <c r="AF32" s="16"/>
      <c r="AG32" s="16"/>
      <c r="AH32" s="16"/>
      <c r="AI32" s="16">
        <f>IFERROR(__xludf.DUMMYFUNCTION("""COMPUTED_VALUE"""),9.0)</f>
        <v>9</v>
      </c>
      <c r="AJ32" s="16"/>
      <c r="AK32" s="16"/>
      <c r="AL32" s="16"/>
      <c r="AM32" s="16"/>
      <c r="AN32" s="16"/>
      <c r="AO32" s="16"/>
      <c r="AP32" s="16"/>
      <c r="AQ32" s="16"/>
      <c r="AR32" s="16"/>
      <c r="AS32" s="16"/>
      <c r="AT32" s="16"/>
      <c r="AU32" s="16"/>
      <c r="AV32" s="16"/>
      <c r="AW32" s="16"/>
      <c r="AX32" s="16"/>
    </row>
    <row r="33">
      <c r="A33" s="16" t="str">
        <f>IFERROR(__xludf.DUMMYFUNCTION("""COMPUTED_VALUE"""),"Priest")</f>
        <v>Priest</v>
      </c>
      <c r="B33" s="16" t="str">
        <f>IFERROR(__xludf.DUMMYFUNCTION("""COMPUTED_VALUE"""),"Apostle of Light")</f>
        <v>Apostle of Light</v>
      </c>
      <c r="C33" s="16" t="str">
        <f>IFERROR(__xludf.DUMMYFUNCTION("""COMPUTED_VALUE"""),"Rank 9 Order, Light, Nature")</f>
        <v>Rank 9 Order, Light, Nature</v>
      </c>
      <c r="D33" s="42" t="str">
        <f>IFERROR(__xludf.DUMMYFUNCTION("""COMPUTED_VALUE"""),"Immune to Possession
50% chance to stop a possession of one target.")</f>
        <v>Immune to Possession
50% chance to stop a possession of one target.</v>
      </c>
      <c r="E33" s="42" t="str">
        <f>IFERROR(__xludf.DUMMYFUNCTION("""COMPUTED_VALUE"""),"Curse Immune
Disease Immune")</f>
        <v>Curse Immune
Disease Immune</v>
      </c>
      <c r="F33" s="42" t="str">
        <f>IFERROR(__xludf.DUMMYFUNCTION("""COMPUTED_VALUE"""),"X4 additional Light Damage
X4 additional Order Damage")</f>
        <v>X4 additional Light Damage
X4 additional Order Damage</v>
      </c>
      <c r="G33" s="42" t="str">
        <f>IFERROR(__xludf.DUMMYFUNCTION("""COMPUTED_VALUE"""),"50% chance to stop a curse affecting one target.
50% chance to stop a disease affecting one target.")</f>
        <v>50% chance to stop a curse affecting one target.
50% chance to stop a disease affecting one target.</v>
      </c>
      <c r="H33" s="16"/>
      <c r="I33" s="16"/>
      <c r="J33" s="16"/>
      <c r="K33" s="16"/>
      <c r="L33" s="16"/>
      <c r="M33" s="16"/>
      <c r="N33" s="16"/>
      <c r="O33" s="16"/>
      <c r="P33" s="16"/>
      <c r="Q33" s="16"/>
      <c r="R33" s="16"/>
      <c r="S33" s="16"/>
      <c r="T33" s="16"/>
      <c r="U33" s="16"/>
      <c r="V33" s="16">
        <f>IFERROR(__xludf.DUMMYFUNCTION("""COMPUTED_VALUE"""),0.0)</f>
        <v>0</v>
      </c>
      <c r="W33" s="16"/>
      <c r="X33" s="16"/>
      <c r="Y33" s="16"/>
      <c r="Z33" s="16"/>
      <c r="AA33" s="16">
        <f>IFERROR(__xludf.DUMMYFUNCTION("""COMPUTED_VALUE"""),9.0)</f>
        <v>9</v>
      </c>
      <c r="AB33" s="16"/>
      <c r="AC33" s="16"/>
      <c r="AD33" s="16">
        <f>IFERROR(__xludf.DUMMYFUNCTION("""COMPUTED_VALUE"""),9.0)</f>
        <v>9</v>
      </c>
      <c r="AE33" s="16"/>
      <c r="AF33" s="16">
        <f>IFERROR(__xludf.DUMMYFUNCTION("""COMPUTED_VALUE"""),9.0)</f>
        <v>9</v>
      </c>
      <c r="AG33" s="16"/>
      <c r="AH33" s="16"/>
      <c r="AI33" s="16"/>
      <c r="AJ33" s="16"/>
      <c r="AK33" s="16"/>
      <c r="AL33" s="16"/>
      <c r="AM33" s="16"/>
      <c r="AN33" s="16"/>
      <c r="AO33" s="16"/>
      <c r="AP33" s="16"/>
      <c r="AQ33" s="16"/>
      <c r="AR33" s="16"/>
      <c r="AS33" s="16"/>
      <c r="AT33" s="16"/>
      <c r="AU33" s="16"/>
      <c r="AV33" s="16"/>
      <c r="AW33" s="16"/>
      <c r="AX33" s="16"/>
    </row>
    <row r="34">
      <c r="A34" s="16" t="str">
        <f>IFERROR(__xludf.DUMMYFUNCTION("""COMPUTED_VALUE"""),"Priest")</f>
        <v>Priest</v>
      </c>
      <c r="B34" s="16" t="str">
        <f>IFERROR(__xludf.DUMMYFUNCTION("""COMPUTED_VALUE"""),"Cleric")</f>
        <v>Cleric</v>
      </c>
      <c r="C34" s="16" t="str">
        <f>IFERROR(__xludf.DUMMYFUNCTION("""COMPUTED_VALUE"""),"Rank 9 Nature and Light, Order")</f>
        <v>Rank 9 Nature and Light, Order</v>
      </c>
      <c r="D34" s="42" t="str">
        <f>IFERROR(__xludf.DUMMYFUNCTION("""COMPUTED_VALUE"""),"X4 additional Light and Nature Damage.
Gain X4 the amount of HP from getting healed or Give X4 the amount of HP when healing a target.")</f>
        <v>X4 additional Light and Nature Damage.
Gain X4 the amount of HP from getting healed or Give X4 the amount of HP when healing a target.</v>
      </c>
      <c r="E34" s="42" t="str">
        <f>IFERROR(__xludf.DUMMYFUNCTION("""COMPUTED_VALUE"""),"Curse Immune
Disease Immune")</f>
        <v>Curse Immune
Disease Immune</v>
      </c>
      <c r="F34" s="42" t="str">
        <f>IFERROR(__xludf.DUMMYFUNCTION("""COMPUTED_VALUE"""),"Immune to Dark
Immune to Light")</f>
        <v>Immune to Dark
Immune to Light</v>
      </c>
      <c r="G34" s="42" t="str">
        <f>IFERROR(__xludf.DUMMYFUNCTION("""COMPUTED_VALUE"""),"Immune to Blindness.
50% chance to stop the Blindness status effect from affecting one target.")</f>
        <v>Immune to Blindness.
50% chance to stop the Blindness status effect from affecting one target.</v>
      </c>
      <c r="H34" s="16"/>
      <c r="I34" s="16"/>
      <c r="J34" s="16"/>
      <c r="K34" s="16"/>
      <c r="L34" s="16"/>
      <c r="M34" s="16"/>
      <c r="N34" s="16"/>
      <c r="O34" s="16"/>
      <c r="P34" s="16"/>
      <c r="Q34" s="16"/>
      <c r="R34" s="16"/>
      <c r="S34" s="16"/>
      <c r="T34" s="16"/>
      <c r="U34" s="16"/>
      <c r="V34" s="16">
        <f>IFERROR(__xludf.DUMMYFUNCTION("""COMPUTED_VALUE"""),0.0)</f>
        <v>0</v>
      </c>
      <c r="W34" s="16"/>
      <c r="X34" s="16"/>
      <c r="Y34" s="16"/>
      <c r="Z34" s="16"/>
      <c r="AA34" s="16">
        <f>IFERROR(__xludf.DUMMYFUNCTION("""COMPUTED_VALUE"""),9.0)</f>
        <v>9</v>
      </c>
      <c r="AB34" s="16"/>
      <c r="AC34" s="16"/>
      <c r="AD34" s="16">
        <f>IFERROR(__xludf.DUMMYFUNCTION("""COMPUTED_VALUE"""),9.0)</f>
        <v>9</v>
      </c>
      <c r="AE34" s="16"/>
      <c r="AF34" s="16">
        <f>IFERROR(__xludf.DUMMYFUNCTION("""COMPUTED_VALUE"""),9.0)</f>
        <v>9</v>
      </c>
      <c r="AG34" s="16"/>
      <c r="AH34" s="16"/>
      <c r="AI34" s="16"/>
      <c r="AJ34" s="16"/>
      <c r="AK34" s="16"/>
      <c r="AL34" s="16"/>
      <c r="AM34" s="16"/>
      <c r="AN34" s="16"/>
      <c r="AO34" s="16"/>
      <c r="AP34" s="16"/>
      <c r="AQ34" s="16"/>
      <c r="AR34" s="16"/>
      <c r="AS34" s="16"/>
      <c r="AT34" s="16"/>
      <c r="AU34" s="16"/>
      <c r="AV34" s="16"/>
      <c r="AW34" s="16"/>
      <c r="AX34" s="16"/>
    </row>
    <row r="35">
      <c r="A35" s="16" t="str">
        <f>IFERROR(__xludf.DUMMYFUNCTION("""COMPUTED_VALUE"""),"Priest")</f>
        <v>Priest</v>
      </c>
      <c r="B35" s="16" t="str">
        <f>IFERROR(__xludf.DUMMYFUNCTION("""COMPUTED_VALUE"""),"Acolyte of The Shattered Moon")</f>
        <v>Acolyte of The Shattered Moon</v>
      </c>
      <c r="C35" s="16" t="str">
        <f>IFERROR(__xludf.DUMMYFUNCTION("""COMPUTED_VALUE"""),"Rank 9 Order, Light, Dark, Astral")</f>
        <v>Rank 9 Order, Light, Dark, Astral</v>
      </c>
      <c r="D35" s="42" t="str">
        <f>IFERROR(__xludf.DUMMYFUNCTION("""COMPUTED_VALUE"""),"TBD")</f>
        <v>TBD</v>
      </c>
      <c r="E35" s="42" t="str">
        <f>IFERROR(__xludf.DUMMYFUNCTION("""COMPUTED_VALUE"""),"Moonlight Sonata: TBD")</f>
        <v>Moonlight Sonata: TBD</v>
      </c>
      <c r="F35" s="42"/>
      <c r="G35" s="42"/>
      <c r="H35" s="16"/>
      <c r="I35" s="16"/>
      <c r="J35" s="16"/>
      <c r="K35" s="16"/>
      <c r="L35" s="16"/>
      <c r="M35" s="16"/>
      <c r="N35" s="16"/>
      <c r="O35" s="16"/>
      <c r="P35" s="16"/>
      <c r="Q35" s="16"/>
      <c r="R35" s="16"/>
      <c r="S35" s="16"/>
      <c r="T35" s="16"/>
      <c r="U35" s="16"/>
      <c r="V35" s="16">
        <f>IFERROR(__xludf.DUMMYFUNCTION("""COMPUTED_VALUE"""),0.0)</f>
        <v>0</v>
      </c>
      <c r="W35" s="16"/>
      <c r="X35" s="16"/>
      <c r="Y35" s="16"/>
      <c r="Z35" s="16"/>
      <c r="AA35" s="16">
        <f>IFERROR(__xludf.DUMMYFUNCTION("""COMPUTED_VALUE"""),9.0)</f>
        <v>9</v>
      </c>
      <c r="AB35" s="16"/>
      <c r="AC35" s="16"/>
      <c r="AD35" s="16">
        <f>IFERROR(__xludf.DUMMYFUNCTION("""COMPUTED_VALUE"""),9.0)</f>
        <v>9</v>
      </c>
      <c r="AE35" s="16"/>
      <c r="AF35" s="16"/>
      <c r="AG35" s="16"/>
      <c r="AH35" s="16"/>
      <c r="AI35" s="16"/>
      <c r="AJ35" s="16"/>
      <c r="AK35" s="16"/>
      <c r="AL35" s="16"/>
      <c r="AM35" s="16"/>
      <c r="AN35" s="16"/>
      <c r="AO35" s="16"/>
      <c r="AP35" s="16"/>
      <c r="AQ35" s="16">
        <f>IFERROR(__xludf.DUMMYFUNCTION("""COMPUTED_VALUE"""),9.0)</f>
        <v>9</v>
      </c>
      <c r="AR35" s="16"/>
      <c r="AS35" s="16"/>
      <c r="AT35" s="16"/>
      <c r="AU35" s="16"/>
      <c r="AV35" s="16"/>
      <c r="AW35" s="16"/>
      <c r="AX35" s="16"/>
    </row>
    <row r="36">
      <c r="A36" s="16" t="str">
        <f>IFERROR(__xludf.DUMMYFUNCTION("""COMPUTED_VALUE"""),"Reaper")</f>
        <v>Reaper</v>
      </c>
      <c r="B36" s="16" t="str">
        <f>IFERROR(__xludf.DUMMYFUNCTION("""COMPUTED_VALUE"""),"Shadow Walker")</f>
        <v>Shadow Walker</v>
      </c>
      <c r="C36" s="16" t="str">
        <f>IFERROR(__xludf.DUMMYFUNCTION("""COMPUTED_VALUE"""),"Rank 9 Dark, Spirit and Chaos powers")</f>
        <v>Rank 9 Dark, Spirit and Chaos powers</v>
      </c>
      <c r="D36" s="42" t="str">
        <f>IFERROR(__xludf.DUMMYFUNCTION("""COMPUTED_VALUE"""),"Immune to Natural Attacks, Cannot be immune to Spell Attacks., +5 to evasion")</f>
        <v>Immune to Natural Attacks, Cannot be immune to Spell Attacks., +5 to evasion</v>
      </c>
      <c r="E36" s="42" t="str">
        <f>IFERROR(__xludf.DUMMYFUNCTION("""COMPUTED_VALUE"""),"Immune to instant death.")</f>
        <v>Immune to instant death.</v>
      </c>
      <c r="F36" s="42" t="str">
        <f>IFERROR(__xludf.DUMMYFUNCTION("""COMPUTED_VALUE"""),"Immune to possesion.")</f>
        <v>Immune to possesion.</v>
      </c>
      <c r="G36" s="42"/>
      <c r="H36" s="16"/>
      <c r="I36" s="16"/>
      <c r="J36" s="16"/>
      <c r="K36" s="16"/>
      <c r="L36" s="16"/>
      <c r="M36" s="16"/>
      <c r="N36" s="16">
        <f>IFERROR(__xludf.DUMMYFUNCTION("""COMPUTED_VALUE"""),5.0)</f>
        <v>5</v>
      </c>
      <c r="O36" s="16"/>
      <c r="P36" s="16"/>
      <c r="Q36" s="16"/>
      <c r="R36" s="16"/>
      <c r="S36" s="16"/>
      <c r="T36" s="16"/>
      <c r="U36" s="16"/>
      <c r="V36" s="16">
        <f>IFERROR(__xludf.DUMMYFUNCTION("""COMPUTED_VALUE"""),0.0)</f>
        <v>0</v>
      </c>
      <c r="W36" s="16"/>
      <c r="X36" s="16"/>
      <c r="Y36" s="16"/>
      <c r="Z36" s="16"/>
      <c r="AA36" s="16"/>
      <c r="AB36" s="16">
        <f>IFERROR(__xludf.DUMMYFUNCTION("""COMPUTED_VALUE"""),9.0)</f>
        <v>9</v>
      </c>
      <c r="AC36" s="16">
        <f>IFERROR(__xludf.DUMMYFUNCTION("""COMPUTED_VALUE"""),9.0)</f>
        <v>9</v>
      </c>
      <c r="AD36" s="16"/>
      <c r="AE36" s="16">
        <f>IFERROR(__xludf.DUMMYFUNCTION("""COMPUTED_VALUE"""),9.0)</f>
        <v>9</v>
      </c>
      <c r="AF36" s="16"/>
      <c r="AG36" s="16"/>
      <c r="AH36" s="16"/>
      <c r="AI36" s="16"/>
      <c r="AJ36" s="16"/>
      <c r="AK36" s="16"/>
      <c r="AL36" s="16"/>
      <c r="AM36" s="16"/>
      <c r="AN36" s="16"/>
      <c r="AO36" s="16"/>
      <c r="AP36" s="16"/>
      <c r="AQ36" s="16"/>
      <c r="AR36" s="16"/>
      <c r="AS36" s="16"/>
      <c r="AT36" s="16"/>
      <c r="AU36" s="16"/>
      <c r="AV36" s="16"/>
      <c r="AW36" s="16"/>
      <c r="AX36" s="16"/>
    </row>
    <row r="37">
      <c r="A37" s="16" t="str">
        <f>IFERROR(__xludf.DUMMYFUNCTION("""COMPUTED_VALUE"""),"Reaper")</f>
        <v>Reaper</v>
      </c>
      <c r="B37" s="16" t="str">
        <f>IFERROR(__xludf.DUMMYFUNCTION("""COMPUTED_VALUE"""),"Grim Reaper")</f>
        <v>Grim Reaper</v>
      </c>
      <c r="C37" s="16" t="str">
        <f>IFERROR(__xludf.DUMMYFUNCTION("""COMPUTED_VALUE"""),"Rank 9 Dark, Spirit, Melee, Ranged, and Physical")</f>
        <v>Rank 9 Dark, Spirit, Melee, Ranged, and Physical</v>
      </c>
      <c r="D37" s="42" t="str">
        <f>IFERROR(__xludf.DUMMYFUNCTION("""COMPUTED_VALUE"""),"All Dark, and Spirit Weapons/Spells, do X4 additional damage.")</f>
        <v>All Dark, and Spirit Weapons/Spells, do X4 additional damage.</v>
      </c>
      <c r="E37" s="42" t="str">
        <f>IFERROR(__xludf.DUMMYFUNCTION("""COMPUTED_VALUE"""),"Immune to instant death.")</f>
        <v>Immune to instant death.</v>
      </c>
      <c r="F37" s="42" t="str">
        <f>IFERROR(__xludf.DUMMYFUNCTION("""COMPUTED_VALUE"""),"Immune to possesion.")</f>
        <v>Immune to possesion.</v>
      </c>
      <c r="G37" s="42" t="str">
        <f>IFERROR(__xludf.DUMMYFUNCTION("""COMPUTED_VALUE"""),"Add mobility when attacking with a scythe.")</f>
        <v>Add mobility when attacking with a scythe.</v>
      </c>
      <c r="H37" s="16"/>
      <c r="I37" s="16"/>
      <c r="J37" s="16"/>
      <c r="K37" s="16"/>
      <c r="L37" s="16"/>
      <c r="M37" s="16"/>
      <c r="N37" s="16"/>
      <c r="O37" s="16"/>
      <c r="P37" s="16"/>
      <c r="Q37" s="16"/>
      <c r="R37" s="16"/>
      <c r="S37" s="16"/>
      <c r="T37" s="16"/>
      <c r="U37" s="16"/>
      <c r="V37" s="16">
        <f>IFERROR(__xludf.DUMMYFUNCTION("""COMPUTED_VALUE"""),0.0)</f>
        <v>0</v>
      </c>
      <c r="W37" s="16"/>
      <c r="X37" s="16"/>
      <c r="Y37" s="16"/>
      <c r="Z37" s="16"/>
      <c r="AA37" s="16"/>
      <c r="AB37" s="16">
        <f>IFERROR(__xludf.DUMMYFUNCTION("""COMPUTED_VALUE"""),9.0)</f>
        <v>9</v>
      </c>
      <c r="AC37" s="16">
        <f>IFERROR(__xludf.DUMMYFUNCTION("""COMPUTED_VALUE"""),9.0)</f>
        <v>9</v>
      </c>
      <c r="AD37" s="16"/>
      <c r="AE37" s="16"/>
      <c r="AF37" s="16"/>
      <c r="AG37" s="16">
        <f>IFERROR(__xludf.DUMMYFUNCTION("""COMPUTED_VALUE"""),9.0)</f>
        <v>9</v>
      </c>
      <c r="AH37" s="16">
        <f>IFERROR(__xludf.DUMMYFUNCTION("""COMPUTED_VALUE"""),9.0)</f>
        <v>9</v>
      </c>
      <c r="AI37" s="16">
        <f>IFERROR(__xludf.DUMMYFUNCTION("""COMPUTED_VALUE"""),9.0)</f>
        <v>9</v>
      </c>
      <c r="AJ37" s="16"/>
      <c r="AK37" s="16"/>
      <c r="AL37" s="16"/>
      <c r="AM37" s="16"/>
      <c r="AN37" s="16"/>
      <c r="AO37" s="16"/>
      <c r="AP37" s="16"/>
      <c r="AQ37" s="16"/>
      <c r="AR37" s="16"/>
      <c r="AS37" s="16"/>
      <c r="AT37" s="16"/>
      <c r="AU37" s="16"/>
      <c r="AV37" s="16"/>
      <c r="AW37" s="16"/>
      <c r="AX37" s="16"/>
    </row>
    <row r="38">
      <c r="A38" s="16" t="str">
        <f>IFERROR(__xludf.DUMMYFUNCTION("""COMPUTED_VALUE"""),"Samurai")</f>
        <v>Samurai</v>
      </c>
      <c r="B38" s="16" t="str">
        <f>IFERROR(__xludf.DUMMYFUNCTION("""COMPUTED_VALUE"""),"Cursed Samurai")</f>
        <v>Cursed Samurai</v>
      </c>
      <c r="C38" s="16" t="str">
        <f>IFERROR(__xludf.DUMMYFUNCTION("""COMPUTED_VALUE"""),"Rank 9 Melee, Physical, Ranged")</f>
        <v>Rank 9 Melee, Physical, Ranged</v>
      </c>
      <c r="D38" s="42" t="str">
        <f>IFERROR(__xludf.DUMMYFUNCTION("""COMPUTED_VALUE"""),"You deal *X additional damage where X is equal to the amount of curses you are afflicted by.")</f>
        <v>You deal *X additional damage where X is equal to the amount of curses you are afflicted by.</v>
      </c>
      <c r="E38" s="42" t="str">
        <f>IFERROR(__xludf.DUMMYFUNCTION("""COMPUTED_VALUE"""),"At the start of battle roll a d4, Curse that many enemies weapons making it so any damage they deal with that weapon deals half the damage back to self and they cannot unequip it.")</f>
        <v>At the start of battle roll a d4, Curse that many enemies weapons making it so any damage they deal with that weapon deals half the damage back to self and they cannot unequip it.</v>
      </c>
      <c r="F38" s="42" t="str">
        <f>IFERROR(__xludf.DUMMYFUNCTION("""COMPUTED_VALUE"""),"When you are cursed you gain X4 additional defense")</f>
        <v>When you are cursed you gain X4 additional defense</v>
      </c>
      <c r="G38" s="42" t="str">
        <f>IFERROR(__xludf.DUMMYFUNCTION("""COMPUTED_VALUE"""),"When you are cursed you gain +5 Mobility and Evasion.")</f>
        <v>When you are cursed you gain +5 Mobility and Evasion.</v>
      </c>
      <c r="H38" s="16"/>
      <c r="I38" s="16"/>
      <c r="J38" s="16"/>
      <c r="K38" s="16"/>
      <c r="L38" s="16"/>
      <c r="M38" s="16"/>
      <c r="N38" s="16"/>
      <c r="O38" s="16"/>
      <c r="P38" s="16"/>
      <c r="Q38" s="16"/>
      <c r="R38" s="16"/>
      <c r="S38" s="16"/>
      <c r="T38" s="16"/>
      <c r="U38" s="16"/>
      <c r="V38" s="16">
        <f>IFERROR(__xludf.DUMMYFUNCTION("""COMPUTED_VALUE"""),0.0)</f>
        <v>0</v>
      </c>
      <c r="W38" s="16"/>
      <c r="X38" s="16"/>
      <c r="Y38" s="16">
        <f>IFERROR(__xludf.DUMMYFUNCTION("""COMPUTED_VALUE"""),9.0)</f>
        <v>9</v>
      </c>
      <c r="Z38" s="16"/>
      <c r="AA38" s="16"/>
      <c r="AB38" s="16"/>
      <c r="AC38" s="16"/>
      <c r="AD38" s="16">
        <f>IFERROR(__xludf.DUMMYFUNCTION("""COMPUTED_VALUE"""),9.0)</f>
        <v>9</v>
      </c>
      <c r="AE38" s="16"/>
      <c r="AF38" s="16"/>
      <c r="AG38" s="16">
        <f>IFERROR(__xludf.DUMMYFUNCTION("""COMPUTED_VALUE"""),9.0)</f>
        <v>9</v>
      </c>
      <c r="AH38" s="16">
        <f>IFERROR(__xludf.DUMMYFUNCTION("""COMPUTED_VALUE"""),9.0)</f>
        <v>9</v>
      </c>
      <c r="AI38" s="16"/>
      <c r="AJ38" s="16"/>
      <c r="AK38" s="16"/>
      <c r="AL38" s="16"/>
      <c r="AM38" s="16"/>
      <c r="AN38" s="16"/>
      <c r="AO38" s="16">
        <f>IFERROR(__xludf.DUMMYFUNCTION("""COMPUTED_VALUE"""),9.0)</f>
        <v>9</v>
      </c>
      <c r="AP38" s="16"/>
      <c r="AQ38" s="16"/>
      <c r="AR38" s="16"/>
      <c r="AS38" s="16"/>
      <c r="AT38" s="16"/>
      <c r="AU38" s="16"/>
      <c r="AV38" s="16"/>
      <c r="AW38" s="16"/>
      <c r="AX38" s="16"/>
    </row>
    <row r="39">
      <c r="A39" s="16" t="str">
        <f>IFERROR(__xludf.DUMMYFUNCTION("""COMPUTED_VALUE"""),"Shaman")</f>
        <v>Shaman</v>
      </c>
      <c r="B39" s="16" t="str">
        <f>IFERROR(__xludf.DUMMYFUNCTION("""COMPUTED_VALUE"""),"Master Shaman")</f>
        <v>Master Shaman</v>
      </c>
      <c r="C39" s="16" t="str">
        <f>IFERROR(__xludf.DUMMYFUNCTION("""COMPUTED_VALUE"""),"Rank 9 Nature, Order
Rank 6 Spirit, Chaos")</f>
        <v>Rank 9 Nature, Order
Rank 6 Spirit, Chaos</v>
      </c>
      <c r="D39" s="42" t="str">
        <f>IFERROR(__xludf.DUMMYFUNCTION("""COMPUTED_VALUE"""),"Can communicate with Spirit like enemies, Has a 50% chance to not take damage from spirit type enemies, can use charisma on your turn in battle to prevent a spirit type enemy from attacking.")</f>
        <v>Can communicate with Spirit like enemies, Has a 50% chance to not take damage from spirit type enemies, can use charisma on your turn in battle to prevent a spirit type enemy from attacking.</v>
      </c>
      <c r="E39" s="42" t="str">
        <f>IFERROR(__xludf.DUMMYFUNCTION("""COMPUTED_VALUE"""),"Gain access to the ""Spirit Summoning Power""")</f>
        <v>Gain access to the "Spirit Summoning Power"</v>
      </c>
      <c r="F39" s="42" t="str">
        <f>IFERROR(__xludf.DUMMYFUNCTION("""COMPUTED_VALUE"""),"When fighting alongside a Spirit companion or party member you and the spirit deal X4 damage")</f>
        <v>When fighting alongside a Spirit companion or party member you and the spirit deal X4 damage</v>
      </c>
      <c r="G39" s="42"/>
      <c r="H39" s="16"/>
      <c r="I39" s="16"/>
      <c r="J39" s="16"/>
      <c r="K39" s="16"/>
      <c r="L39" s="16"/>
      <c r="M39" s="16"/>
      <c r="N39" s="16"/>
      <c r="O39" s="16"/>
      <c r="P39" s="16"/>
      <c r="Q39" s="16"/>
      <c r="R39" s="16"/>
      <c r="S39" s="16"/>
      <c r="T39" s="16"/>
      <c r="U39" s="16"/>
      <c r="V39" s="16">
        <f>IFERROR(__xludf.DUMMYFUNCTION("""COMPUTED_VALUE"""),0.0)</f>
        <v>0</v>
      </c>
      <c r="W39" s="16"/>
      <c r="X39" s="16"/>
      <c r="Y39" s="16"/>
      <c r="Z39" s="16"/>
      <c r="AA39" s="16"/>
      <c r="AB39" s="16"/>
      <c r="AC39" s="16">
        <f>IFERROR(__xludf.DUMMYFUNCTION("""COMPUTED_VALUE"""),6.0)</f>
        <v>6</v>
      </c>
      <c r="AD39" s="16">
        <f>IFERROR(__xludf.DUMMYFUNCTION("""COMPUTED_VALUE"""),9.0)</f>
        <v>9</v>
      </c>
      <c r="AE39" s="16">
        <f>IFERROR(__xludf.DUMMYFUNCTION("""COMPUTED_VALUE"""),6.0)</f>
        <v>6</v>
      </c>
      <c r="AF39" s="16">
        <f>IFERROR(__xludf.DUMMYFUNCTION("""COMPUTED_VALUE"""),9.0)</f>
        <v>9</v>
      </c>
      <c r="AG39" s="16"/>
      <c r="AH39" s="16"/>
      <c r="AI39" s="16"/>
      <c r="AJ39" s="16"/>
      <c r="AK39" s="16"/>
      <c r="AL39" s="16"/>
      <c r="AM39" s="16"/>
      <c r="AN39" s="16"/>
      <c r="AO39" s="16"/>
      <c r="AP39" s="16"/>
      <c r="AQ39" s="16"/>
      <c r="AR39" s="16"/>
      <c r="AS39" s="16"/>
      <c r="AT39" s="16"/>
      <c r="AU39" s="16"/>
      <c r="AV39" s="16"/>
      <c r="AW39" s="16"/>
      <c r="AX39" s="16"/>
    </row>
    <row r="40">
      <c r="A40" s="16" t="str">
        <f>IFERROR(__xludf.DUMMYFUNCTION("""COMPUTED_VALUE"""),"Sorcerer")</f>
        <v>Sorcerer</v>
      </c>
      <c r="B40" s="16" t="str">
        <f>IFERROR(__xludf.DUMMYFUNCTION("""COMPUTED_VALUE"""),"Master Sorcerer")</f>
        <v>Master Sorcerer</v>
      </c>
      <c r="C40" s="16" t="str">
        <f>IFERROR(__xludf.DUMMYFUNCTION("""COMPUTED_VALUE"""),"Rank 9 in all Elements (excluding Zen and Acoustic)")</f>
        <v>Rank 9 in all Elements (excluding Zen and Acoustic)</v>
      </c>
      <c r="D40" s="42" t="str">
        <f>IFERROR(__xludf.DUMMYFUNCTION("""COMPUTED_VALUE"""),"25% chance to be unaffected by spells casted by enemies.")</f>
        <v>25% chance to be unaffected by spells casted by enemies.</v>
      </c>
      <c r="E40" s="42" t="str">
        <f>IFERROR(__xludf.DUMMYFUNCTION("""COMPUTED_VALUE"""),"Immune to Spell damage, Cannot resist or be immune to Weapon damage.")</f>
        <v>Immune to Spell damage, Cannot resist or be immune to Weapon damage.</v>
      </c>
      <c r="F40" s="42"/>
      <c r="G40" s="42"/>
      <c r="H40" s="16"/>
      <c r="I40" s="16"/>
      <c r="J40" s="16"/>
      <c r="K40" s="16"/>
      <c r="L40" s="16"/>
      <c r="M40" s="16"/>
      <c r="N40" s="16"/>
      <c r="O40" s="16"/>
      <c r="P40" s="16"/>
      <c r="Q40" s="16"/>
      <c r="R40" s="16"/>
      <c r="S40" s="16"/>
      <c r="T40" s="16"/>
      <c r="U40" s="16"/>
      <c r="V40" s="16">
        <f>IFERROR(__xludf.DUMMYFUNCTION("""COMPUTED_VALUE"""),0.0)</f>
        <v>0</v>
      </c>
      <c r="W40" s="16">
        <f>IFERROR(__xludf.DUMMYFUNCTION("""COMPUTED_VALUE"""),9.0)</f>
        <v>9</v>
      </c>
      <c r="X40" s="16">
        <f>IFERROR(__xludf.DUMMYFUNCTION("""COMPUTED_VALUE"""),9.0)</f>
        <v>9</v>
      </c>
      <c r="Y40" s="16">
        <f>IFERROR(__xludf.DUMMYFUNCTION("""COMPUTED_VALUE"""),9.0)</f>
        <v>9</v>
      </c>
      <c r="Z40" s="16">
        <f>IFERROR(__xludf.DUMMYFUNCTION("""COMPUTED_VALUE"""),9.0)</f>
        <v>9</v>
      </c>
      <c r="AA40" s="16">
        <f>IFERROR(__xludf.DUMMYFUNCTION("""COMPUTED_VALUE"""),9.0)</f>
        <v>9</v>
      </c>
      <c r="AB40" s="16">
        <f>IFERROR(__xludf.DUMMYFUNCTION("""COMPUTED_VALUE"""),9.0)</f>
        <v>9</v>
      </c>
      <c r="AC40" s="16">
        <f>IFERROR(__xludf.DUMMYFUNCTION("""COMPUTED_VALUE"""),9.0)</f>
        <v>9</v>
      </c>
      <c r="AD40" s="16">
        <f>IFERROR(__xludf.DUMMYFUNCTION("""COMPUTED_VALUE"""),9.0)</f>
        <v>9</v>
      </c>
      <c r="AE40" s="16">
        <f>IFERROR(__xludf.DUMMYFUNCTION("""COMPUTED_VALUE"""),9.0)</f>
        <v>9</v>
      </c>
      <c r="AF40" s="16">
        <f>IFERROR(__xludf.DUMMYFUNCTION("""COMPUTED_VALUE"""),9.0)</f>
        <v>9</v>
      </c>
      <c r="AG40" s="16">
        <f>IFERROR(__xludf.DUMMYFUNCTION("""COMPUTED_VALUE"""),9.0)</f>
        <v>9</v>
      </c>
      <c r="AH40" s="16">
        <f>IFERROR(__xludf.DUMMYFUNCTION("""COMPUTED_VALUE"""),9.0)</f>
        <v>9</v>
      </c>
      <c r="AI40" s="16">
        <f>IFERROR(__xludf.DUMMYFUNCTION("""COMPUTED_VALUE"""),9.0)</f>
        <v>9</v>
      </c>
      <c r="AJ40" s="16">
        <f>IFERROR(__xludf.DUMMYFUNCTION("""COMPUTED_VALUE"""),9.0)</f>
        <v>9</v>
      </c>
      <c r="AK40" s="16">
        <f>IFERROR(__xludf.DUMMYFUNCTION("""COMPUTED_VALUE"""),9.0)</f>
        <v>9</v>
      </c>
      <c r="AL40" s="16">
        <f>IFERROR(__xludf.DUMMYFUNCTION("""COMPUTED_VALUE"""),9.0)</f>
        <v>9</v>
      </c>
      <c r="AM40" s="16">
        <f>IFERROR(__xludf.DUMMYFUNCTION("""COMPUTED_VALUE"""),9.0)</f>
        <v>9</v>
      </c>
      <c r="AN40" s="16">
        <f>IFERROR(__xludf.DUMMYFUNCTION("""COMPUTED_VALUE"""),9.0)</f>
        <v>9</v>
      </c>
      <c r="AO40" s="16"/>
      <c r="AP40" s="16"/>
      <c r="AQ40" s="16">
        <f>IFERROR(__xludf.DUMMYFUNCTION("""COMPUTED_VALUE"""),9.0)</f>
        <v>9</v>
      </c>
      <c r="AR40" s="16"/>
      <c r="AS40" s="16"/>
      <c r="AT40" s="16"/>
      <c r="AU40" s="16"/>
      <c r="AV40" s="16"/>
      <c r="AW40" s="16"/>
      <c r="AX40" s="16"/>
    </row>
    <row r="41">
      <c r="A41" s="16" t="str">
        <f>IFERROR(__xludf.DUMMYFUNCTION("""COMPUTED_VALUE"""),"Viking")</f>
        <v>Viking</v>
      </c>
      <c r="B41" s="16" t="str">
        <f>IFERROR(__xludf.DUMMYFUNCTION("""COMPUTED_VALUE"""),"Warlord")</f>
        <v>Warlord</v>
      </c>
      <c r="C41" s="16" t="str">
        <f>IFERROR(__xludf.DUMMYFUNCTION("""COMPUTED_VALUE"""),"Rank 9 Nature, Melee, and Physical")</f>
        <v>Rank 9 Nature, Melee, and Physical</v>
      </c>
      <c r="D41" s="42" t="str">
        <f>IFERROR(__xludf.DUMMYFUNCTION("""COMPUTED_VALUE"""),"40% chance to take no damage from weapon attacks.")</f>
        <v>40% chance to take no damage from weapon attacks.</v>
      </c>
      <c r="E41" s="42" t="str">
        <f>IFERROR(__xludf.DUMMYFUNCTION("""COMPUTED_VALUE"""),"Gains 10 charisma when trying to persuade a guard.")</f>
        <v>Gains 10 charisma when trying to persuade a guard.</v>
      </c>
      <c r="F41" s="42"/>
      <c r="G41" s="42"/>
      <c r="H41" s="16"/>
      <c r="I41" s="16"/>
      <c r="J41" s="16"/>
      <c r="K41" s="16"/>
      <c r="L41" s="16"/>
      <c r="M41" s="16"/>
      <c r="N41" s="16"/>
      <c r="O41" s="16"/>
      <c r="P41" s="16"/>
      <c r="Q41" s="16"/>
      <c r="R41" s="16"/>
      <c r="S41" s="16"/>
      <c r="T41" s="16"/>
      <c r="U41" s="16"/>
      <c r="V41" s="16">
        <f>IFERROR(__xludf.DUMMYFUNCTION("""COMPUTED_VALUE"""),0.0)</f>
        <v>0</v>
      </c>
      <c r="W41" s="16"/>
      <c r="X41" s="16"/>
      <c r="Y41" s="16"/>
      <c r="Z41" s="16"/>
      <c r="AA41" s="16"/>
      <c r="AB41" s="16"/>
      <c r="AC41" s="16"/>
      <c r="AD41" s="16"/>
      <c r="AE41" s="16"/>
      <c r="AF41" s="16">
        <f>IFERROR(__xludf.DUMMYFUNCTION("""COMPUTED_VALUE"""),9.0)</f>
        <v>9</v>
      </c>
      <c r="AG41" s="16">
        <f>IFERROR(__xludf.DUMMYFUNCTION("""COMPUTED_VALUE"""),9.0)</f>
        <v>9</v>
      </c>
      <c r="AH41" s="16">
        <f>IFERROR(__xludf.DUMMYFUNCTION("""COMPUTED_VALUE"""),9.0)</f>
        <v>9</v>
      </c>
      <c r="AI41" s="16"/>
      <c r="AJ41" s="16"/>
      <c r="AK41" s="16"/>
      <c r="AL41" s="16"/>
      <c r="AM41" s="16"/>
      <c r="AN41" s="16"/>
      <c r="AO41" s="16"/>
      <c r="AP41" s="16"/>
      <c r="AQ41" s="16"/>
      <c r="AR41" s="16"/>
      <c r="AS41" s="16"/>
      <c r="AT41" s="16"/>
      <c r="AU41" s="16"/>
      <c r="AV41" s="16"/>
      <c r="AW41" s="16"/>
      <c r="AX41" s="16"/>
    </row>
    <row r="42">
      <c r="A42" s="16" t="str">
        <f>IFERROR(__xludf.DUMMYFUNCTION("""COMPUTED_VALUE"""),"Viking")</f>
        <v>Viking</v>
      </c>
      <c r="B42" s="16" t="str">
        <f>IFERROR(__xludf.DUMMYFUNCTION("""COMPUTED_VALUE"""),"Warlock")</f>
        <v>Warlock</v>
      </c>
      <c r="C42" s="16" t="str">
        <f>IFERROR(__xludf.DUMMYFUNCTION("""COMPUTED_VALUE"""),"Rank 9 Dark, Melee, and Physical")</f>
        <v>Rank 9 Dark, Melee, and Physical</v>
      </c>
      <c r="D42" s="42" t="str">
        <f>IFERROR(__xludf.DUMMYFUNCTION("""COMPUTED_VALUE"""),"Immune to Dark and Chaos.")</f>
        <v>Immune to Dark and Chaos.</v>
      </c>
      <c r="E42" s="42" t="str">
        <f>IFERROR(__xludf.DUMMYFUNCTION("""COMPUTED_VALUE"""),"Immunity to instant death.")</f>
        <v>Immunity to instant death.</v>
      </c>
      <c r="F42" s="42" t="str">
        <f>IFERROR(__xludf.DUMMYFUNCTION("""COMPUTED_VALUE"""),"50% Chance to Parry a weapon attack that is targeting you.")</f>
        <v>50% Chance to Parry a weapon attack that is targeting you.</v>
      </c>
      <c r="G42" s="42"/>
      <c r="H42" s="16"/>
      <c r="I42" s="16"/>
      <c r="J42" s="16"/>
      <c r="K42" s="16"/>
      <c r="L42" s="16"/>
      <c r="M42" s="16"/>
      <c r="N42" s="16"/>
      <c r="O42" s="16"/>
      <c r="P42" s="16"/>
      <c r="Q42" s="16"/>
      <c r="R42" s="16"/>
      <c r="S42" s="16"/>
      <c r="T42" s="16"/>
      <c r="U42" s="16"/>
      <c r="V42" s="16">
        <f>IFERROR(__xludf.DUMMYFUNCTION("""COMPUTED_VALUE"""),0.0)</f>
        <v>0</v>
      </c>
      <c r="W42" s="16"/>
      <c r="X42" s="16"/>
      <c r="Y42" s="16"/>
      <c r="Z42" s="16"/>
      <c r="AA42" s="16"/>
      <c r="AB42" s="16">
        <f>IFERROR(__xludf.DUMMYFUNCTION("""COMPUTED_VALUE"""),9.0)</f>
        <v>9</v>
      </c>
      <c r="AC42" s="16"/>
      <c r="AD42" s="16"/>
      <c r="AE42" s="16"/>
      <c r="AF42" s="16"/>
      <c r="AG42" s="16">
        <f>IFERROR(__xludf.DUMMYFUNCTION("""COMPUTED_VALUE"""),9.0)</f>
        <v>9</v>
      </c>
      <c r="AH42" s="16">
        <f>IFERROR(__xludf.DUMMYFUNCTION("""COMPUTED_VALUE"""),9.0)</f>
        <v>9</v>
      </c>
      <c r="AI42" s="16"/>
      <c r="AJ42" s="16"/>
      <c r="AK42" s="16"/>
      <c r="AL42" s="16"/>
      <c r="AM42" s="16"/>
      <c r="AN42" s="16"/>
      <c r="AO42" s="16"/>
      <c r="AP42" s="16"/>
      <c r="AQ42" s="16"/>
      <c r="AR42" s="16"/>
      <c r="AS42" s="16"/>
      <c r="AT42" s="16"/>
      <c r="AU42" s="16"/>
      <c r="AV42" s="16"/>
      <c r="AW42" s="16"/>
      <c r="AX42" s="16"/>
    </row>
    <row r="43">
      <c r="A43" s="16" t="str">
        <f>IFERROR(__xludf.DUMMYFUNCTION("""COMPUTED_VALUE"""),"Warrior")</f>
        <v>Warrior</v>
      </c>
      <c r="B43" s="16" t="str">
        <f>IFERROR(__xludf.DUMMYFUNCTION("""COMPUTED_VALUE"""),"Soldier")</f>
        <v>Soldier</v>
      </c>
      <c r="C43" s="16" t="str">
        <f>IFERROR(__xludf.DUMMYFUNCTION("""COMPUTED_VALUE"""),"Rank 9 Melee, Physical, Ranged")</f>
        <v>Rank 9 Melee, Physical, Ranged</v>
      </c>
      <c r="D43" s="42" t="str">
        <f>IFERROR(__xludf.DUMMYFUNCTION("""COMPUTED_VALUE"""),"X2 damage to weapons.")</f>
        <v>X2 damage to weapons.</v>
      </c>
      <c r="E43" s="42" t="str">
        <f>IFERROR(__xludf.DUMMYFUNCTION("""COMPUTED_VALUE"""),"X2 defense")</f>
        <v>X2 defense</v>
      </c>
      <c r="F43" s="42" t="str">
        <f>IFERROR(__xludf.DUMMYFUNCTION("""COMPUTED_VALUE"""),"Can use mobility when attacking with a weapon and dodging a Hit/Miss weapon attack.")</f>
        <v>Can use mobility when attacking with a weapon and dodging a Hit/Miss weapon attack.</v>
      </c>
      <c r="G43" s="42"/>
      <c r="H43" s="16"/>
      <c r="I43" s="16"/>
      <c r="J43" s="16"/>
      <c r="K43" s="16"/>
      <c r="L43" s="16"/>
      <c r="M43" s="16"/>
      <c r="N43" s="16"/>
      <c r="O43" s="16"/>
      <c r="P43" s="16"/>
      <c r="Q43" s="16"/>
      <c r="R43" s="16"/>
      <c r="S43" s="16"/>
      <c r="T43" s="16"/>
      <c r="U43" s="16"/>
      <c r="V43" s="16">
        <f>IFERROR(__xludf.DUMMYFUNCTION("""COMPUTED_VALUE"""),0.0)</f>
        <v>0</v>
      </c>
      <c r="W43" s="16"/>
      <c r="X43" s="16"/>
      <c r="Y43" s="16"/>
      <c r="Z43" s="16"/>
      <c r="AA43" s="16"/>
      <c r="AB43" s="16"/>
      <c r="AC43" s="16"/>
      <c r="AD43" s="16"/>
      <c r="AE43" s="16"/>
      <c r="AF43" s="16"/>
      <c r="AG43" s="16">
        <f>IFERROR(__xludf.DUMMYFUNCTION("""COMPUTED_VALUE"""),9.0)</f>
        <v>9</v>
      </c>
      <c r="AH43" s="16">
        <f>IFERROR(__xludf.DUMMYFUNCTION("""COMPUTED_VALUE"""),9.0)</f>
        <v>9</v>
      </c>
      <c r="AI43" s="16">
        <f>IFERROR(__xludf.DUMMYFUNCTION("""COMPUTED_VALUE"""),9.0)</f>
        <v>9</v>
      </c>
      <c r="AJ43" s="16"/>
      <c r="AK43" s="16"/>
      <c r="AL43" s="16"/>
      <c r="AM43" s="16"/>
      <c r="AN43" s="16"/>
      <c r="AO43" s="16"/>
      <c r="AP43" s="16"/>
      <c r="AQ43" s="16"/>
      <c r="AR43" s="16"/>
      <c r="AS43" s="16"/>
      <c r="AT43" s="16"/>
      <c r="AU43" s="16"/>
      <c r="AV43" s="16"/>
      <c r="AW43" s="16"/>
      <c r="AX43" s="16"/>
    </row>
    <row r="44">
      <c r="A44" s="16" t="str">
        <f>IFERROR(__xludf.DUMMYFUNCTION("""COMPUTED_VALUE"""),"WeaponMaster")</f>
        <v>WeaponMaster</v>
      </c>
      <c r="B44" s="16" t="str">
        <f>IFERROR(__xludf.DUMMYFUNCTION("""COMPUTED_VALUE"""),"Weapon Purist")</f>
        <v>Weapon Purist</v>
      </c>
      <c r="C44" s="16" t="str">
        <f>IFERROR(__xludf.DUMMYFUNCTION("""COMPUTED_VALUE"""),"Rank 9 Physical, Ranged, Melee")</f>
        <v>Rank 9 Physical, Ranged, Melee</v>
      </c>
      <c r="D44" s="42" t="str">
        <f>IFERROR(__xludf.DUMMYFUNCTION("""COMPUTED_VALUE"""),"Add mobility when attacking with a weapon.")</f>
        <v>Add mobility when attacking with a weapon.</v>
      </c>
      <c r="E44" s="42" t="str">
        <f>IFERROR(__xludf.DUMMYFUNCTION("""COMPUTED_VALUE"""),"X4 damage to all weapons for the user.")</f>
        <v>X4 damage to all weapons for the user.</v>
      </c>
      <c r="F44" s="42" t="str">
        <f>IFERROR(__xludf.DUMMYFUNCTION("""COMPUTED_VALUE"""),"Immune to Weapon damage, Cannot resist or be immune to Spell Attacks.")</f>
        <v>Immune to Weapon damage, Cannot resist or be immune to Spell Attacks.</v>
      </c>
      <c r="G44" s="42"/>
      <c r="H44" s="16"/>
      <c r="I44" s="16"/>
      <c r="J44" s="16"/>
      <c r="K44" s="16"/>
      <c r="L44" s="16"/>
      <c r="M44" s="16"/>
      <c r="N44" s="16"/>
      <c r="O44" s="16"/>
      <c r="P44" s="16"/>
      <c r="Q44" s="16"/>
      <c r="R44" s="16"/>
      <c r="S44" s="16"/>
      <c r="T44" s="16"/>
      <c r="U44" s="16"/>
      <c r="V44" s="16">
        <f>IFERROR(__xludf.DUMMYFUNCTION("""COMPUTED_VALUE"""),0.0)</f>
        <v>0</v>
      </c>
      <c r="W44" s="16"/>
      <c r="X44" s="16"/>
      <c r="Y44" s="16"/>
      <c r="Z44" s="16"/>
      <c r="AA44" s="16"/>
      <c r="AB44" s="16"/>
      <c r="AC44" s="16"/>
      <c r="AD44" s="16"/>
      <c r="AE44" s="16"/>
      <c r="AF44" s="16"/>
      <c r="AG44" s="16">
        <f>IFERROR(__xludf.DUMMYFUNCTION("""COMPUTED_VALUE"""),9.0)</f>
        <v>9</v>
      </c>
      <c r="AH44" s="16">
        <f>IFERROR(__xludf.DUMMYFUNCTION("""COMPUTED_VALUE"""),9.0)</f>
        <v>9</v>
      </c>
      <c r="AI44" s="16">
        <f>IFERROR(__xludf.DUMMYFUNCTION("""COMPUTED_VALUE"""),9.0)</f>
        <v>9</v>
      </c>
      <c r="AJ44" s="16"/>
      <c r="AK44" s="16"/>
      <c r="AL44" s="16"/>
      <c r="AM44" s="16"/>
      <c r="AN44" s="16"/>
      <c r="AO44" s="16"/>
      <c r="AP44" s="16"/>
      <c r="AQ44" s="16"/>
      <c r="AR44" s="16"/>
      <c r="AS44" s="16"/>
      <c r="AT44" s="16"/>
      <c r="AU44" s="16"/>
      <c r="AV44" s="16"/>
      <c r="AW44" s="16"/>
      <c r="AX44" s="16"/>
    </row>
    <row r="45">
      <c r="A45" s="16" t="str">
        <f>IFERROR(__xludf.DUMMYFUNCTION("""COMPUTED_VALUE"""),"Witch")</f>
        <v>Witch</v>
      </c>
      <c r="B45" s="16" t="str">
        <f>IFERROR(__xludf.DUMMYFUNCTION("""COMPUTED_VALUE"""),"Hag")</f>
        <v>Hag</v>
      </c>
      <c r="C45" s="16" t="str">
        <f>IFERROR(__xludf.DUMMYFUNCTION("""COMPUTED_VALUE"""),"Rank 9 in all Elements (excluding Zen and Acoustic)")</f>
        <v>Rank 9 in all Elements (excluding Zen and Acoustic)</v>
      </c>
      <c r="D45" s="42" t="str">
        <f>IFERROR(__xludf.DUMMYFUNCTION("""COMPUTED_VALUE"""),"Potions have double their normal effectiveness.")</f>
        <v>Potions have double their normal effectiveness.</v>
      </c>
      <c r="E45" s="42" t="str">
        <f>IFERROR(__xludf.DUMMYFUNCTION("""COMPUTED_VALUE"""),"Immune to enemy status effects.")</f>
        <v>Immune to enemy status effects.</v>
      </c>
      <c r="F45" s="42" t="str">
        <f>IFERROR(__xludf.DUMMYFUNCTION("""COMPUTED_VALUE"""),"Herbs have double their normal effectiveness.")</f>
        <v>Herbs have double their normal effectiveness.</v>
      </c>
      <c r="G45" s="42"/>
      <c r="H45" s="16"/>
      <c r="I45" s="16"/>
      <c r="J45" s="16"/>
      <c r="K45" s="16"/>
      <c r="L45" s="16"/>
      <c r="M45" s="16"/>
      <c r="N45" s="16"/>
      <c r="O45" s="16"/>
      <c r="P45" s="16"/>
      <c r="Q45" s="16"/>
      <c r="R45" s="16"/>
      <c r="S45" s="16"/>
      <c r="T45" s="16"/>
      <c r="U45" s="16"/>
      <c r="V45" s="16">
        <f>IFERROR(__xludf.DUMMYFUNCTION("""COMPUTED_VALUE"""),0.0)</f>
        <v>0</v>
      </c>
      <c r="W45" s="16">
        <f>IFERROR(__xludf.DUMMYFUNCTION("""COMPUTED_VALUE"""),9.0)</f>
        <v>9</v>
      </c>
      <c r="X45" s="16">
        <f>IFERROR(__xludf.DUMMYFUNCTION("""COMPUTED_VALUE"""),9.0)</f>
        <v>9</v>
      </c>
      <c r="Y45" s="16">
        <f>IFERROR(__xludf.DUMMYFUNCTION("""COMPUTED_VALUE"""),9.0)</f>
        <v>9</v>
      </c>
      <c r="Z45" s="16">
        <f>IFERROR(__xludf.DUMMYFUNCTION("""COMPUTED_VALUE"""),9.0)</f>
        <v>9</v>
      </c>
      <c r="AA45" s="16">
        <f>IFERROR(__xludf.DUMMYFUNCTION("""COMPUTED_VALUE"""),9.0)</f>
        <v>9</v>
      </c>
      <c r="AB45" s="16">
        <f>IFERROR(__xludf.DUMMYFUNCTION("""COMPUTED_VALUE"""),9.0)</f>
        <v>9</v>
      </c>
      <c r="AC45" s="16">
        <f>IFERROR(__xludf.DUMMYFUNCTION("""COMPUTED_VALUE"""),9.0)</f>
        <v>9</v>
      </c>
      <c r="AD45" s="16">
        <f>IFERROR(__xludf.DUMMYFUNCTION("""COMPUTED_VALUE"""),9.0)</f>
        <v>9</v>
      </c>
      <c r="AE45" s="16">
        <f>IFERROR(__xludf.DUMMYFUNCTION("""COMPUTED_VALUE"""),9.0)</f>
        <v>9</v>
      </c>
      <c r="AF45" s="16">
        <f>IFERROR(__xludf.DUMMYFUNCTION("""COMPUTED_VALUE"""),9.0)</f>
        <v>9</v>
      </c>
      <c r="AG45" s="16">
        <f>IFERROR(__xludf.DUMMYFUNCTION("""COMPUTED_VALUE"""),9.0)</f>
        <v>9</v>
      </c>
      <c r="AH45" s="16">
        <f>IFERROR(__xludf.DUMMYFUNCTION("""COMPUTED_VALUE"""),9.0)</f>
        <v>9</v>
      </c>
      <c r="AI45" s="16">
        <f>IFERROR(__xludf.DUMMYFUNCTION("""COMPUTED_VALUE"""),9.0)</f>
        <v>9</v>
      </c>
      <c r="AJ45" s="16">
        <f>IFERROR(__xludf.DUMMYFUNCTION("""COMPUTED_VALUE"""),9.0)</f>
        <v>9</v>
      </c>
      <c r="AK45" s="16">
        <f>IFERROR(__xludf.DUMMYFUNCTION("""COMPUTED_VALUE"""),9.0)</f>
        <v>9</v>
      </c>
      <c r="AL45" s="16">
        <f>IFERROR(__xludf.DUMMYFUNCTION("""COMPUTED_VALUE"""),9.0)</f>
        <v>9</v>
      </c>
      <c r="AM45" s="16">
        <f>IFERROR(__xludf.DUMMYFUNCTION("""COMPUTED_VALUE"""),9.0)</f>
        <v>9</v>
      </c>
      <c r="AN45" s="16">
        <f>IFERROR(__xludf.DUMMYFUNCTION("""COMPUTED_VALUE"""),9.0)</f>
        <v>9</v>
      </c>
      <c r="AO45" s="16"/>
      <c r="AP45" s="16"/>
      <c r="AQ45" s="16">
        <f>IFERROR(__xludf.DUMMYFUNCTION("""COMPUTED_VALUE"""),9.0)</f>
        <v>9</v>
      </c>
      <c r="AR45" s="16"/>
      <c r="AS45" s="16"/>
      <c r="AT45" s="16"/>
      <c r="AU45" s="16"/>
      <c r="AV45" s="16"/>
      <c r="AW45" s="16"/>
      <c r="AX45" s="16"/>
    </row>
    <row r="46">
      <c r="A46" s="16" t="str">
        <f>IFERROR(__xludf.DUMMYFUNCTION("""COMPUTED_VALUE"""),"Wizard")</f>
        <v>Wizard</v>
      </c>
      <c r="B46" s="16" t="str">
        <f>IFERROR(__xludf.DUMMYFUNCTION("""COMPUTED_VALUE"""),"Elemental Wizard")</f>
        <v>Elemental Wizard</v>
      </c>
      <c r="C46" s="16" t="str">
        <f>IFERROR(__xludf.DUMMYFUNCTION("""COMPUTED_VALUE"""),"Rank 9 in all Elements (excluding Zen and Acoustic)")</f>
        <v>Rank 9 in all Elements (excluding Zen and Acoustic)</v>
      </c>
      <c r="D46" s="42" t="str">
        <f>IFERROR(__xludf.DUMMYFUNCTION("""COMPUTED_VALUE"""),"X4 to spell damage for the user.")</f>
        <v>X4 to spell damage for the user.</v>
      </c>
      <c r="E46" s="42" t="str">
        <f>IFERROR(__xludf.DUMMYFUNCTION("""COMPUTED_VALUE"""),"Immune to Fire, Water, Nature, Storm, and Earth Damage.")</f>
        <v>Immune to Fire, Water, Nature, Storm, and Earth Damage.</v>
      </c>
      <c r="F46" s="42" t="str">
        <f>IFERROR(__xludf.DUMMYFUNCTION("""COMPUTED_VALUE"""),"Can use mobility when using a Hit/Miss Spell attack.")</f>
        <v>Can use mobility when using a Hit/Miss Spell attack.</v>
      </c>
      <c r="G46" s="42"/>
      <c r="H46" s="16"/>
      <c r="I46" s="16"/>
      <c r="J46" s="16"/>
      <c r="K46" s="16"/>
      <c r="L46" s="16"/>
      <c r="M46" s="16"/>
      <c r="N46" s="16"/>
      <c r="O46" s="16"/>
      <c r="P46" s="16"/>
      <c r="Q46" s="16"/>
      <c r="R46" s="16"/>
      <c r="S46" s="16"/>
      <c r="T46" s="16"/>
      <c r="U46" s="16"/>
      <c r="V46" s="16">
        <f>IFERROR(__xludf.DUMMYFUNCTION("""COMPUTED_VALUE"""),0.0)</f>
        <v>0</v>
      </c>
      <c r="W46" s="16">
        <f>IFERROR(__xludf.DUMMYFUNCTION("""COMPUTED_VALUE"""),9.0)</f>
        <v>9</v>
      </c>
      <c r="X46" s="16">
        <f>IFERROR(__xludf.DUMMYFUNCTION("""COMPUTED_VALUE"""),9.0)</f>
        <v>9</v>
      </c>
      <c r="Y46" s="16">
        <f>IFERROR(__xludf.DUMMYFUNCTION("""COMPUTED_VALUE"""),9.0)</f>
        <v>9</v>
      </c>
      <c r="Z46" s="16">
        <f>IFERROR(__xludf.DUMMYFUNCTION("""COMPUTED_VALUE"""),9.0)</f>
        <v>9</v>
      </c>
      <c r="AA46" s="16">
        <f>IFERROR(__xludf.DUMMYFUNCTION("""COMPUTED_VALUE"""),9.0)</f>
        <v>9</v>
      </c>
      <c r="AB46" s="16">
        <f>IFERROR(__xludf.DUMMYFUNCTION("""COMPUTED_VALUE"""),9.0)</f>
        <v>9</v>
      </c>
      <c r="AC46" s="16">
        <f>IFERROR(__xludf.DUMMYFUNCTION("""COMPUTED_VALUE"""),9.0)</f>
        <v>9</v>
      </c>
      <c r="AD46" s="16">
        <f>IFERROR(__xludf.DUMMYFUNCTION("""COMPUTED_VALUE"""),9.0)</f>
        <v>9</v>
      </c>
      <c r="AE46" s="16">
        <f>IFERROR(__xludf.DUMMYFUNCTION("""COMPUTED_VALUE"""),9.0)</f>
        <v>9</v>
      </c>
      <c r="AF46" s="16">
        <f>IFERROR(__xludf.DUMMYFUNCTION("""COMPUTED_VALUE"""),9.0)</f>
        <v>9</v>
      </c>
      <c r="AG46" s="16">
        <f>IFERROR(__xludf.DUMMYFUNCTION("""COMPUTED_VALUE"""),9.0)</f>
        <v>9</v>
      </c>
      <c r="AH46" s="16">
        <f>IFERROR(__xludf.DUMMYFUNCTION("""COMPUTED_VALUE"""),9.0)</f>
        <v>9</v>
      </c>
      <c r="AI46" s="16">
        <f>IFERROR(__xludf.DUMMYFUNCTION("""COMPUTED_VALUE"""),9.0)</f>
        <v>9</v>
      </c>
      <c r="AJ46" s="16">
        <f>IFERROR(__xludf.DUMMYFUNCTION("""COMPUTED_VALUE"""),9.0)</f>
        <v>9</v>
      </c>
      <c r="AK46" s="16">
        <f>IFERROR(__xludf.DUMMYFUNCTION("""COMPUTED_VALUE"""),9.0)</f>
        <v>9</v>
      </c>
      <c r="AL46" s="16">
        <f>IFERROR(__xludf.DUMMYFUNCTION("""COMPUTED_VALUE"""),9.0)</f>
        <v>9</v>
      </c>
      <c r="AM46" s="16">
        <f>IFERROR(__xludf.DUMMYFUNCTION("""COMPUTED_VALUE"""),9.0)</f>
        <v>9</v>
      </c>
      <c r="AN46" s="16">
        <f>IFERROR(__xludf.DUMMYFUNCTION("""COMPUTED_VALUE"""),9.0)</f>
        <v>9</v>
      </c>
      <c r="AO46" s="16"/>
      <c r="AP46" s="16"/>
      <c r="AQ46" s="16">
        <f>IFERROR(__xludf.DUMMYFUNCTION("""COMPUTED_VALUE"""),9.0)</f>
        <v>9</v>
      </c>
      <c r="AR46" s="16"/>
      <c r="AS46" s="16"/>
      <c r="AT46" s="16"/>
      <c r="AU46" s="16"/>
      <c r="AV46" s="16"/>
      <c r="AW46" s="16"/>
      <c r="AX46" s="16"/>
    </row>
    <row r="47">
      <c r="A47" s="16"/>
      <c r="B47" s="16"/>
      <c r="C47" s="16"/>
      <c r="D47" s="42"/>
      <c r="E47" s="42"/>
      <c r="F47" s="42"/>
      <c r="G47" s="42"/>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row>
    <row r="48">
      <c r="A48" s="16"/>
      <c r="B48" s="16"/>
      <c r="C48" s="16"/>
      <c r="D48" s="42"/>
      <c r="E48" s="42"/>
      <c r="F48" s="42"/>
      <c r="G48" s="42"/>
      <c r="H48" s="16"/>
      <c r="I48" s="16"/>
      <c r="J48" s="16"/>
      <c r="K48" s="16"/>
      <c r="L48" s="16"/>
      <c r="M48" s="16"/>
      <c r="N48" s="16"/>
      <c r="O48" s="16"/>
      <c r="P48" s="16"/>
      <c r="Q48" s="16"/>
      <c r="R48" s="16"/>
      <c r="S48" s="16"/>
      <c r="T48" s="16"/>
      <c r="U48" s="16"/>
      <c r="V48" s="16">
        <f>IFERROR(__xludf.DUMMYFUNCTION("""COMPUTED_VALUE"""),0.0)</f>
        <v>0</v>
      </c>
      <c r="W48" s="16"/>
      <c r="X48" s="16"/>
      <c r="Y48" s="16"/>
      <c r="Z48" s="16"/>
      <c r="AA48" s="16"/>
      <c r="AB48" s="16"/>
      <c r="AC48" s="16">
        <f>IFERROR(__xludf.DUMMYFUNCTION("""COMPUTED_VALUE"""),9.0)</f>
        <v>9</v>
      </c>
      <c r="AD48" s="16"/>
      <c r="AE48" s="16"/>
      <c r="AF48" s="16"/>
      <c r="AG48" s="16"/>
      <c r="AH48" s="16"/>
      <c r="AI48" s="16"/>
      <c r="AJ48" s="16"/>
      <c r="AK48" s="16"/>
      <c r="AL48" s="16"/>
      <c r="AM48" s="16"/>
      <c r="AN48" s="16"/>
      <c r="AO48" s="16"/>
      <c r="AP48" s="16"/>
      <c r="AQ48" s="16">
        <f>IFERROR(__xludf.DUMMYFUNCTION("""COMPUTED_VALUE"""),9.0)</f>
        <v>9</v>
      </c>
      <c r="AR48" s="16"/>
      <c r="AS48" s="16"/>
      <c r="AT48" s="16"/>
      <c r="AU48" s="16"/>
      <c r="AV48" s="16"/>
      <c r="AW48" s="16"/>
      <c r="AX48" s="16"/>
    </row>
    <row r="49">
      <c r="A49" s="16"/>
      <c r="B49" s="16"/>
      <c r="C49" s="16"/>
      <c r="D49" s="42"/>
      <c r="E49" s="42"/>
      <c r="F49" s="42"/>
      <c r="G49" s="42"/>
      <c r="H49" s="16"/>
      <c r="I49" s="16"/>
      <c r="J49" s="16"/>
      <c r="K49" s="16"/>
      <c r="L49" s="16"/>
      <c r="M49" s="16"/>
      <c r="N49" s="16"/>
      <c r="O49" s="16"/>
      <c r="P49" s="16"/>
      <c r="Q49" s="16"/>
      <c r="R49" s="16"/>
      <c r="S49" s="16"/>
      <c r="T49" s="16"/>
      <c r="U49" s="16"/>
      <c r="V49" s="16">
        <f>IFERROR(__xludf.DUMMYFUNCTION("""COMPUTED_VALUE"""),0.0)</f>
        <v>0</v>
      </c>
      <c r="W49" s="16"/>
      <c r="X49" s="16"/>
      <c r="Y49" s="16"/>
      <c r="Z49" s="16"/>
      <c r="AA49" s="16"/>
      <c r="AB49" s="16"/>
      <c r="AC49" s="16">
        <f>IFERROR(__xludf.DUMMYFUNCTION("""COMPUTED_VALUE"""),9.0)</f>
        <v>9</v>
      </c>
      <c r="AD49" s="16"/>
      <c r="AE49" s="16"/>
      <c r="AF49" s="16"/>
      <c r="AG49" s="16"/>
      <c r="AH49" s="16"/>
      <c r="AI49" s="16"/>
      <c r="AJ49" s="16"/>
      <c r="AK49" s="16"/>
      <c r="AL49" s="16"/>
      <c r="AM49" s="16"/>
      <c r="AN49" s="16"/>
      <c r="AO49" s="16"/>
      <c r="AP49" s="16"/>
      <c r="AQ49" s="16"/>
      <c r="AR49" s="16">
        <f>IFERROR(__xludf.DUMMYFUNCTION("""COMPUTED_VALUE"""),6.0)</f>
        <v>6</v>
      </c>
      <c r="AS49" s="16"/>
      <c r="AT49" s="16"/>
      <c r="AU49" s="16"/>
      <c r="AV49" s="16"/>
      <c r="AW49" s="16"/>
      <c r="AX49" s="16"/>
    </row>
    <row r="50">
      <c r="A50" s="16"/>
      <c r="B50" s="16"/>
      <c r="C50" s="16"/>
      <c r="D50" s="42"/>
      <c r="E50" s="42"/>
      <c r="F50" s="42"/>
      <c r="G50" s="42"/>
      <c r="H50" s="16"/>
      <c r="I50" s="16"/>
      <c r="J50" s="16"/>
      <c r="K50" s="16"/>
      <c r="L50" s="16"/>
      <c r="M50" s="16"/>
      <c r="N50" s="16"/>
      <c r="O50" s="16"/>
      <c r="P50" s="16"/>
      <c r="Q50" s="16"/>
      <c r="R50" s="16"/>
      <c r="S50" s="16"/>
      <c r="T50" s="16"/>
      <c r="U50" s="16"/>
      <c r="V50" s="16"/>
      <c r="W50" s="16">
        <f>IFERROR(__xludf.DUMMYFUNCTION("""COMPUTED_VALUE"""),9.0)</f>
        <v>9</v>
      </c>
      <c r="X50" s="16">
        <f>IFERROR(__xludf.DUMMYFUNCTION("""COMPUTED_VALUE"""),9.0)</f>
        <v>9</v>
      </c>
      <c r="Y50" s="16">
        <f>IFERROR(__xludf.DUMMYFUNCTION("""COMPUTED_VALUE"""),9.0)</f>
        <v>9</v>
      </c>
      <c r="Z50" s="16">
        <f>IFERROR(__xludf.DUMMYFUNCTION("""COMPUTED_VALUE"""),9.0)</f>
        <v>9</v>
      </c>
      <c r="AA50" s="16"/>
      <c r="AB50" s="16"/>
      <c r="AC50" s="16">
        <f>IFERROR(__xludf.DUMMYFUNCTION("""COMPUTED_VALUE"""),9.0)</f>
        <v>9</v>
      </c>
      <c r="AD50" s="16"/>
      <c r="AE50" s="16"/>
      <c r="AF50" s="16">
        <f>IFERROR(__xludf.DUMMYFUNCTION("""COMPUTED_VALUE"""),9.0)</f>
        <v>9</v>
      </c>
      <c r="AG50" s="16"/>
      <c r="AH50" s="16"/>
      <c r="AI50" s="16"/>
      <c r="AJ50" s="16"/>
      <c r="AK50" s="16"/>
      <c r="AL50" s="16"/>
      <c r="AM50" s="16"/>
      <c r="AN50" s="16"/>
      <c r="AO50" s="16"/>
      <c r="AP50" s="16"/>
      <c r="AQ50" s="16"/>
      <c r="AR50" s="16"/>
      <c r="AS50" s="16"/>
      <c r="AT50" s="16"/>
      <c r="AU50" s="16"/>
      <c r="AV50" s="16"/>
      <c r="AW50" s="16"/>
      <c r="AX50" s="16"/>
    </row>
    <row r="51">
      <c r="A51" s="16"/>
      <c r="B51" s="16"/>
      <c r="C51" s="16"/>
      <c r="D51" s="42"/>
      <c r="E51" s="42"/>
      <c r="F51" s="42"/>
      <c r="G51" s="42"/>
      <c r="H51" s="16"/>
      <c r="I51" s="16"/>
      <c r="J51" s="16"/>
      <c r="K51" s="16"/>
      <c r="L51" s="16"/>
      <c r="M51" s="16"/>
      <c r="N51" s="16"/>
      <c r="O51" s="16"/>
      <c r="P51" s="16"/>
      <c r="Q51" s="16"/>
      <c r="R51" s="16"/>
      <c r="S51" s="16"/>
      <c r="T51" s="16"/>
      <c r="U51" s="16"/>
      <c r="V51" s="16"/>
      <c r="W51" s="16"/>
      <c r="X51" s="16"/>
      <c r="Y51" s="16"/>
      <c r="Z51" s="16"/>
      <c r="AA51" s="16"/>
      <c r="AB51" s="16">
        <f>IFERROR(__xludf.DUMMYFUNCTION("""COMPUTED_VALUE"""),9.0)</f>
        <v>9</v>
      </c>
      <c r="AC51" s="16">
        <f>IFERROR(__xludf.DUMMYFUNCTION("""COMPUTED_VALUE"""),9.0)</f>
        <v>9</v>
      </c>
      <c r="AD51" s="16"/>
      <c r="AE51" s="16">
        <f>IFERROR(__xludf.DUMMYFUNCTION("""COMPUTED_VALUE"""),9.0)</f>
        <v>9</v>
      </c>
      <c r="AF51" s="16"/>
      <c r="AG51" s="16"/>
      <c r="AH51" s="16"/>
      <c r="AI51" s="16"/>
      <c r="AJ51" s="16"/>
      <c r="AK51" s="16"/>
      <c r="AL51" s="16">
        <f>IFERROR(__xludf.DUMMYFUNCTION("""COMPUTED_VALUE"""),9.0)</f>
        <v>9</v>
      </c>
      <c r="AM51" s="16"/>
      <c r="AN51" s="16"/>
      <c r="AO51" s="16"/>
      <c r="AP51" s="16"/>
      <c r="AQ51" s="16"/>
      <c r="AR51" s="16"/>
      <c r="AS51" s="16"/>
      <c r="AT51" s="16"/>
      <c r="AU51" s="16"/>
      <c r="AV51" s="16"/>
      <c r="AW51" s="16"/>
      <c r="AX51" s="16"/>
    </row>
    <row r="52">
      <c r="A52" s="16"/>
      <c r="B52" s="16"/>
      <c r="C52" s="16"/>
      <c r="D52" s="42"/>
      <c r="E52" s="42"/>
      <c r="F52" s="42"/>
      <c r="G52" s="42"/>
      <c r="H52" s="16"/>
      <c r="I52" s="16"/>
      <c r="J52" s="16"/>
      <c r="K52" s="16"/>
      <c r="L52" s="16"/>
      <c r="M52" s="16"/>
      <c r="N52" s="16"/>
      <c r="O52" s="16"/>
      <c r="P52" s="16"/>
      <c r="Q52" s="16"/>
      <c r="R52" s="16"/>
      <c r="S52" s="16"/>
      <c r="T52" s="16"/>
      <c r="U52" s="16"/>
      <c r="V52" s="16">
        <f>IFERROR(__xludf.DUMMYFUNCTION("""COMPUTED_VALUE"""),0.0)</f>
        <v>0</v>
      </c>
      <c r="W52" s="16"/>
      <c r="X52" s="16"/>
      <c r="Y52" s="16"/>
      <c r="Z52" s="16"/>
      <c r="AA52" s="16"/>
      <c r="AB52" s="16"/>
      <c r="AC52" s="16"/>
      <c r="AD52" s="16">
        <f>IFERROR(__xludf.DUMMYFUNCTION("""COMPUTED_VALUE"""),9.0)</f>
        <v>9</v>
      </c>
      <c r="AE52" s="16"/>
      <c r="AF52" s="16">
        <f>IFERROR(__xludf.DUMMYFUNCTION("""COMPUTED_VALUE"""),9.0)</f>
        <v>9</v>
      </c>
      <c r="AG52" s="16">
        <f>IFERROR(__xludf.DUMMYFUNCTION("""COMPUTED_VALUE"""),9.0)</f>
        <v>9</v>
      </c>
      <c r="AH52" s="16">
        <f>IFERROR(__xludf.DUMMYFUNCTION("""COMPUTED_VALUE"""),9.0)</f>
        <v>9</v>
      </c>
      <c r="AI52" s="16"/>
      <c r="AJ52" s="16"/>
      <c r="AK52" s="16"/>
      <c r="AL52" s="16"/>
      <c r="AM52" s="16"/>
      <c r="AN52" s="16"/>
      <c r="AO52" s="16">
        <f>IFERROR(__xludf.DUMMYFUNCTION("""COMPUTED_VALUE"""),9.0)</f>
        <v>9</v>
      </c>
      <c r="AP52" s="16"/>
      <c r="AQ52" s="16"/>
      <c r="AR52" s="16"/>
      <c r="AS52" s="16"/>
      <c r="AT52" s="16"/>
      <c r="AU52" s="16"/>
      <c r="AV52" s="16"/>
      <c r="AW52" s="16"/>
      <c r="AX52" s="16"/>
    </row>
    <row r="53">
      <c r="A53" s="16"/>
      <c r="B53" s="16"/>
      <c r="C53" s="16"/>
      <c r="D53" s="42"/>
      <c r="E53" s="42"/>
      <c r="F53" s="42"/>
      <c r="G53" s="42"/>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c r="AX53" s="16"/>
    </row>
    <row r="54">
      <c r="A54" s="16"/>
      <c r="B54" s="16"/>
      <c r="C54" s="16"/>
      <c r="D54" s="42"/>
      <c r="E54" s="42"/>
      <c r="F54" s="42"/>
      <c r="G54" s="42"/>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c r="AX54" s="16"/>
    </row>
    <row r="55">
      <c r="A55" s="16"/>
      <c r="B55" s="16"/>
      <c r="C55" s="16"/>
      <c r="D55" s="42"/>
      <c r="E55" s="42"/>
      <c r="F55" s="42"/>
      <c r="G55" s="42"/>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c r="AX55" s="16"/>
    </row>
    <row r="56">
      <c r="A56" s="16"/>
      <c r="B56" s="16"/>
      <c r="C56" s="16"/>
      <c r="D56" s="42"/>
      <c r="E56" s="42"/>
      <c r="F56" s="42"/>
      <c r="G56" s="42"/>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c r="AX56" s="16"/>
    </row>
    <row r="57">
      <c r="A57" s="16"/>
      <c r="B57" s="16"/>
      <c r="C57" s="16"/>
      <c r="D57" s="42"/>
      <c r="E57" s="42"/>
      <c r="F57" s="42"/>
      <c r="G57" s="42"/>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row>
    <row r="58">
      <c r="A58" s="16"/>
      <c r="B58" s="16"/>
      <c r="C58" s="16"/>
      <c r="D58" s="42"/>
      <c r="E58" s="42"/>
      <c r="F58" s="42"/>
      <c r="G58" s="42"/>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row>
    <row r="59">
      <c r="A59" s="16"/>
      <c r="B59" s="16"/>
      <c r="C59" s="16"/>
      <c r="D59" s="42"/>
      <c r="E59" s="42"/>
      <c r="F59" s="42"/>
      <c r="G59" s="42"/>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row>
    <row r="60">
      <c r="A60" s="16"/>
      <c r="B60" s="16"/>
      <c r="C60" s="16"/>
      <c r="D60" s="42"/>
      <c r="E60" s="42"/>
      <c r="F60" s="42"/>
      <c r="G60" s="42"/>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row>
    <row r="61">
      <c r="A61" s="16"/>
      <c r="B61" s="16"/>
      <c r="C61" s="16"/>
      <c r="D61" s="42"/>
      <c r="E61" s="42"/>
      <c r="F61" s="42"/>
      <c r="G61" s="42"/>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row>
    <row r="62">
      <c r="A62" s="16"/>
      <c r="B62" s="16"/>
      <c r="C62" s="16"/>
      <c r="D62" s="42"/>
      <c r="E62" s="42"/>
      <c r="F62" s="42"/>
      <c r="G62" s="42"/>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c r="AX62" s="16"/>
    </row>
    <row r="63">
      <c r="A63" s="16"/>
      <c r="B63" s="16"/>
      <c r="C63" s="16"/>
      <c r="D63" s="42"/>
      <c r="E63" s="42"/>
      <c r="F63" s="42"/>
      <c r="G63" s="42"/>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6"/>
      <c r="AL63" s="16"/>
      <c r="AM63" s="16"/>
      <c r="AN63" s="16"/>
      <c r="AO63" s="16"/>
      <c r="AP63" s="16"/>
      <c r="AQ63" s="16"/>
      <c r="AR63" s="16"/>
      <c r="AS63" s="16"/>
      <c r="AT63" s="16"/>
      <c r="AU63" s="16"/>
      <c r="AV63" s="16"/>
      <c r="AW63" s="16"/>
      <c r="AX63" s="16"/>
    </row>
    <row r="64">
      <c r="A64" s="16"/>
      <c r="B64" s="16"/>
      <c r="C64" s="16"/>
      <c r="D64" s="42"/>
      <c r="E64" s="42"/>
      <c r="F64" s="42"/>
      <c r="G64" s="42"/>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c r="AX64" s="16"/>
    </row>
    <row r="65">
      <c r="A65" s="16"/>
      <c r="B65" s="16"/>
      <c r="C65" s="16"/>
      <c r="D65" s="42"/>
      <c r="E65" s="42"/>
      <c r="F65" s="42"/>
      <c r="G65" s="42"/>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c r="AX65" s="16"/>
    </row>
    <row r="66">
      <c r="A66" s="16"/>
      <c r="B66" s="16"/>
      <c r="C66" s="16"/>
      <c r="D66" s="42"/>
      <c r="E66" s="42"/>
      <c r="F66" s="42"/>
      <c r="G66" s="42"/>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c r="AX66" s="16"/>
    </row>
    <row r="67">
      <c r="A67" s="16"/>
      <c r="B67" s="16"/>
      <c r="C67" s="16"/>
      <c r="D67" s="42"/>
      <c r="E67" s="42"/>
      <c r="F67" s="42"/>
      <c r="G67" s="42"/>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c r="AL67" s="16"/>
      <c r="AM67" s="16"/>
      <c r="AN67" s="16"/>
      <c r="AO67" s="16"/>
      <c r="AP67" s="16"/>
      <c r="AQ67" s="16"/>
      <c r="AR67" s="16"/>
      <c r="AS67" s="16"/>
      <c r="AT67" s="16"/>
      <c r="AU67" s="16"/>
      <c r="AV67" s="16"/>
      <c r="AW67" s="16"/>
      <c r="AX67" s="16"/>
    </row>
    <row r="68">
      <c r="A68" s="16"/>
      <c r="B68" s="16"/>
      <c r="C68" s="16"/>
      <c r="D68" s="42"/>
      <c r="E68" s="42"/>
      <c r="F68" s="42"/>
      <c r="G68" s="42"/>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6"/>
      <c r="AL68" s="16"/>
      <c r="AM68" s="16"/>
      <c r="AN68" s="16"/>
      <c r="AO68" s="16"/>
      <c r="AP68" s="16"/>
      <c r="AQ68" s="16"/>
      <c r="AR68" s="16"/>
      <c r="AS68" s="16"/>
      <c r="AT68" s="16"/>
      <c r="AU68" s="16"/>
      <c r="AV68" s="16"/>
      <c r="AW68" s="16"/>
      <c r="AX68" s="16"/>
    </row>
    <row r="69">
      <c r="A69" s="16"/>
      <c r="B69" s="16"/>
      <c r="C69" s="16"/>
      <c r="D69" s="42"/>
      <c r="E69" s="42"/>
      <c r="F69" s="42"/>
      <c r="G69" s="42"/>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c r="AX69" s="16"/>
    </row>
    <row r="70">
      <c r="A70" s="16"/>
      <c r="B70" s="16"/>
      <c r="C70" s="16"/>
      <c r="D70" s="42"/>
      <c r="E70" s="42"/>
      <c r="F70" s="42"/>
      <c r="G70" s="42"/>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6"/>
      <c r="AL70" s="16"/>
      <c r="AM70" s="16"/>
      <c r="AN70" s="16"/>
      <c r="AO70" s="16"/>
      <c r="AP70" s="16"/>
      <c r="AQ70" s="16"/>
      <c r="AR70" s="16"/>
      <c r="AS70" s="16"/>
      <c r="AT70" s="16"/>
      <c r="AU70" s="16"/>
      <c r="AV70" s="16"/>
      <c r="AW70" s="16"/>
      <c r="AX70" s="16"/>
    </row>
    <row r="71">
      <c r="A71" s="16"/>
      <c r="B71" s="16"/>
      <c r="C71" s="16"/>
      <c r="D71" s="42"/>
      <c r="E71" s="42"/>
      <c r="F71" s="42"/>
      <c r="G71" s="42"/>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6"/>
      <c r="AL71" s="16"/>
      <c r="AM71" s="16"/>
      <c r="AN71" s="16"/>
      <c r="AO71" s="16"/>
      <c r="AP71" s="16"/>
      <c r="AQ71" s="16"/>
      <c r="AR71" s="16"/>
      <c r="AS71" s="16"/>
      <c r="AT71" s="16"/>
      <c r="AU71" s="16"/>
      <c r="AV71" s="16"/>
      <c r="AW71" s="16"/>
      <c r="AX71" s="16"/>
    </row>
    <row r="72">
      <c r="A72" s="16"/>
      <c r="B72" s="16"/>
      <c r="C72" s="16"/>
      <c r="D72" s="42"/>
      <c r="E72" s="42"/>
      <c r="F72" s="42"/>
      <c r="G72" s="42"/>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c r="AS72" s="16"/>
      <c r="AT72" s="16"/>
      <c r="AU72" s="16"/>
      <c r="AV72" s="16"/>
      <c r="AW72" s="16"/>
      <c r="AX72" s="16"/>
    </row>
    <row r="73">
      <c r="A73" s="16"/>
      <c r="B73" s="16"/>
      <c r="C73" s="16"/>
      <c r="D73" s="42"/>
      <c r="E73" s="42"/>
      <c r="F73" s="42"/>
      <c r="G73" s="42"/>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c r="AS73" s="16"/>
      <c r="AT73" s="16"/>
      <c r="AU73" s="16"/>
      <c r="AV73" s="16"/>
      <c r="AW73" s="16"/>
      <c r="AX73" s="16"/>
    </row>
    <row r="74">
      <c r="A74" s="16"/>
      <c r="B74" s="16"/>
      <c r="C74" s="16"/>
      <c r="D74" s="42"/>
      <c r="E74" s="42"/>
      <c r="F74" s="42"/>
      <c r="G74" s="42"/>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6"/>
      <c r="AU74" s="16"/>
      <c r="AV74" s="16"/>
      <c r="AW74" s="16"/>
      <c r="AX74" s="16"/>
    </row>
    <row r="75">
      <c r="A75" s="16"/>
      <c r="B75" s="16"/>
      <c r="C75" s="16"/>
      <c r="D75" s="42"/>
      <c r="E75" s="42"/>
      <c r="F75" s="42"/>
      <c r="G75" s="42"/>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row>
    <row r="76">
      <c r="A76" s="16"/>
      <c r="B76" s="16"/>
      <c r="C76" s="16"/>
      <c r="D76" s="42"/>
      <c r="E76" s="42"/>
      <c r="F76" s="42"/>
      <c r="G76" s="42"/>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c r="AS76" s="16"/>
      <c r="AT76" s="16"/>
      <c r="AU76" s="16"/>
      <c r="AV76" s="16"/>
      <c r="AW76" s="16"/>
      <c r="AX76" s="16"/>
    </row>
    <row r="77">
      <c r="A77" s="16"/>
      <c r="B77" s="16"/>
      <c r="C77" s="16"/>
      <c r="D77" s="42"/>
      <c r="E77" s="42"/>
      <c r="F77" s="42"/>
      <c r="G77" s="42"/>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c r="AS77" s="16"/>
      <c r="AT77" s="16"/>
      <c r="AU77" s="16"/>
      <c r="AV77" s="16"/>
      <c r="AW77" s="16"/>
      <c r="AX77" s="16"/>
    </row>
    <row r="78">
      <c r="A78" s="16"/>
      <c r="B78" s="16"/>
      <c r="C78" s="16"/>
      <c r="D78" s="42"/>
      <c r="E78" s="42"/>
      <c r="F78" s="42"/>
      <c r="G78" s="42"/>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X78" s="16"/>
    </row>
    <row r="79">
      <c r="A79" s="16"/>
      <c r="B79" s="16"/>
      <c r="C79" s="16"/>
      <c r="D79" s="42"/>
      <c r="E79" s="42"/>
      <c r="F79" s="42"/>
      <c r="G79" s="42"/>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row>
    <row r="80">
      <c r="A80" s="16"/>
      <c r="B80" s="16"/>
      <c r="C80" s="16"/>
      <c r="D80" s="42"/>
      <c r="E80" s="42"/>
      <c r="F80" s="42"/>
      <c r="G80" s="42"/>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c r="AX80" s="16"/>
    </row>
    <row r="81">
      <c r="A81" s="16"/>
      <c r="B81" s="16"/>
      <c r="C81" s="16"/>
      <c r="D81" s="42"/>
      <c r="E81" s="42"/>
      <c r="F81" s="42"/>
      <c r="G81" s="42"/>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c r="AX81" s="16"/>
    </row>
    <row r="82">
      <c r="A82" s="16"/>
      <c r="B82" s="16"/>
      <c r="C82" s="16"/>
      <c r="D82" s="42"/>
      <c r="E82" s="42"/>
      <c r="F82" s="42"/>
      <c r="G82" s="42"/>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c r="AS82" s="16"/>
      <c r="AT82" s="16"/>
      <c r="AU82" s="16"/>
      <c r="AV82" s="16"/>
      <c r="AW82" s="16"/>
      <c r="AX82" s="16"/>
    </row>
    <row r="83">
      <c r="A83" s="16"/>
      <c r="B83" s="16"/>
      <c r="C83" s="16"/>
      <c r="D83" s="42"/>
      <c r="E83" s="42"/>
      <c r="F83" s="42"/>
      <c r="G83" s="42"/>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c r="AS83" s="16"/>
      <c r="AT83" s="16"/>
      <c r="AU83" s="16"/>
      <c r="AV83" s="16"/>
      <c r="AW83" s="16"/>
      <c r="AX83" s="16"/>
    </row>
    <row r="84">
      <c r="A84" s="16"/>
      <c r="B84" s="16"/>
      <c r="C84" s="16"/>
      <c r="D84" s="42"/>
      <c r="E84" s="42"/>
      <c r="F84" s="42"/>
      <c r="G84" s="42"/>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c r="AS84" s="16"/>
      <c r="AT84" s="16"/>
      <c r="AU84" s="16"/>
      <c r="AV84" s="16"/>
      <c r="AW84" s="16"/>
      <c r="AX84" s="16"/>
    </row>
    <row r="85">
      <c r="A85" s="16"/>
      <c r="B85" s="16"/>
      <c r="C85" s="16"/>
      <c r="D85" s="42"/>
      <c r="E85" s="42"/>
      <c r="F85" s="42"/>
      <c r="G85" s="42"/>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row>
    <row r="86">
      <c r="A86" s="16"/>
      <c r="B86" s="16"/>
      <c r="C86" s="16"/>
      <c r="D86" s="42"/>
      <c r="E86" s="42"/>
      <c r="F86" s="42"/>
      <c r="G86" s="42"/>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row>
    <row r="87">
      <c r="A87" s="16"/>
      <c r="B87" s="16"/>
      <c r="C87" s="16"/>
      <c r="D87" s="42"/>
      <c r="E87" s="42"/>
      <c r="F87" s="42"/>
      <c r="G87" s="42"/>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c r="AX87" s="16"/>
    </row>
    <row r="88">
      <c r="A88" s="16"/>
      <c r="B88" s="16"/>
      <c r="C88" s="16"/>
      <c r="D88" s="42"/>
      <c r="E88" s="42"/>
      <c r="F88" s="42"/>
      <c r="G88" s="42"/>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c r="AS88" s="16"/>
      <c r="AT88" s="16"/>
      <c r="AU88" s="16"/>
      <c r="AV88" s="16"/>
      <c r="AW88" s="16"/>
      <c r="AX88" s="16"/>
    </row>
    <row r="89">
      <c r="A89" s="16"/>
      <c r="B89" s="16"/>
      <c r="C89" s="16"/>
      <c r="D89" s="42"/>
      <c r="E89" s="42"/>
      <c r="F89" s="42"/>
      <c r="G89" s="42"/>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c r="AX89" s="16"/>
    </row>
    <row r="90">
      <c r="A90" s="16"/>
      <c r="B90" s="16"/>
      <c r="C90" s="16"/>
      <c r="D90" s="42"/>
      <c r="E90" s="42"/>
      <c r="F90" s="42"/>
      <c r="G90" s="42"/>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row>
    <row r="91">
      <c r="A91" s="16"/>
      <c r="B91" s="16"/>
      <c r="C91" s="16"/>
      <c r="D91" s="42"/>
      <c r="E91" s="42"/>
      <c r="F91" s="42"/>
      <c r="G91" s="42"/>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c r="AS91" s="16"/>
      <c r="AT91" s="16"/>
      <c r="AU91" s="16"/>
      <c r="AV91" s="16"/>
      <c r="AW91" s="16"/>
      <c r="AX91" s="16"/>
    </row>
    <row r="92">
      <c r="A92" s="16"/>
      <c r="B92" s="16"/>
      <c r="C92" s="16"/>
      <c r="D92" s="42"/>
      <c r="E92" s="42"/>
      <c r="F92" s="42"/>
      <c r="G92" s="42"/>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row>
    <row r="93">
      <c r="A93" s="16"/>
      <c r="B93" s="16"/>
      <c r="C93" s="16"/>
      <c r="D93" s="42"/>
      <c r="E93" s="42"/>
      <c r="F93" s="42"/>
      <c r="G93" s="42"/>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row>
    <row r="94">
      <c r="A94" s="16"/>
      <c r="B94" s="16"/>
      <c r="C94" s="16"/>
      <c r="D94" s="42"/>
      <c r="E94" s="42"/>
      <c r="F94" s="42"/>
      <c r="G94" s="42"/>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row>
    <row r="95">
      <c r="A95" s="16"/>
      <c r="B95" s="16"/>
      <c r="C95" s="16"/>
      <c r="D95" s="42"/>
      <c r="E95" s="42"/>
      <c r="F95" s="42"/>
      <c r="G95" s="42"/>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row>
    <row r="96">
      <c r="A96" s="16"/>
      <c r="B96" s="16"/>
      <c r="C96" s="16"/>
      <c r="D96" s="42"/>
      <c r="E96" s="42"/>
      <c r="F96" s="42"/>
      <c r="G96" s="42"/>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row>
    <row r="97">
      <c r="A97" s="16"/>
      <c r="B97" s="16"/>
      <c r="C97" s="16"/>
      <c r="D97" s="42"/>
      <c r="E97" s="42"/>
      <c r="F97" s="42"/>
      <c r="G97" s="42"/>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c r="AX97" s="16"/>
    </row>
    <row r="98">
      <c r="A98" s="16"/>
      <c r="B98" s="16"/>
      <c r="C98" s="16"/>
      <c r="D98" s="42"/>
      <c r="E98" s="42"/>
      <c r="F98" s="42"/>
      <c r="G98" s="42"/>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c r="AX98" s="16"/>
    </row>
    <row r="99">
      <c r="A99" s="16"/>
      <c r="B99" s="16"/>
      <c r="C99" s="16"/>
      <c r="D99" s="42"/>
      <c r="E99" s="42"/>
      <c r="F99" s="42"/>
      <c r="G99" s="42"/>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c r="AX99" s="16"/>
    </row>
    <row r="100">
      <c r="A100" s="16"/>
      <c r="B100" s="16"/>
      <c r="C100" s="16"/>
      <c r="D100" s="42"/>
      <c r="E100" s="42"/>
      <c r="F100" s="42"/>
      <c r="G100" s="42"/>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row>
    <row r="101">
      <c r="A101" s="16"/>
      <c r="B101" s="16"/>
      <c r="C101" s="16"/>
      <c r="D101" s="42"/>
      <c r="E101" s="42"/>
      <c r="F101" s="42"/>
      <c r="G101" s="42"/>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row>
    <row r="102">
      <c r="A102" s="16"/>
      <c r="B102" s="16"/>
      <c r="C102" s="16"/>
      <c r="D102" s="42"/>
      <c r="E102" s="42"/>
      <c r="F102" s="42"/>
      <c r="G102" s="42"/>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row>
    <row r="103">
      <c r="A103" s="16"/>
      <c r="B103" s="16"/>
      <c r="C103" s="16"/>
      <c r="D103" s="42"/>
      <c r="E103" s="42"/>
      <c r="F103" s="42"/>
      <c r="G103" s="42"/>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c r="AX103" s="16"/>
    </row>
    <row r="104">
      <c r="A104" s="16"/>
      <c r="B104" s="16"/>
      <c r="C104" s="16"/>
      <c r="D104" s="42"/>
      <c r="E104" s="42"/>
      <c r="F104" s="42"/>
      <c r="G104" s="42"/>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row>
    <row r="105">
      <c r="A105" s="16"/>
      <c r="B105" s="16"/>
      <c r="C105" s="16"/>
      <c r="D105" s="42"/>
      <c r="E105" s="42"/>
      <c r="F105" s="42"/>
      <c r="G105" s="42"/>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row>
    <row r="106">
      <c r="A106" s="16"/>
      <c r="B106" s="16"/>
      <c r="C106" s="16"/>
      <c r="D106" s="42"/>
      <c r="E106" s="42"/>
      <c r="F106" s="42"/>
      <c r="G106" s="42"/>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row>
    <row r="107">
      <c r="A107" s="16"/>
      <c r="B107" s="16"/>
      <c r="C107" s="16"/>
      <c r="D107" s="42"/>
      <c r="E107" s="42"/>
      <c r="F107" s="42"/>
      <c r="G107" s="42"/>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row>
    <row r="108">
      <c r="A108" s="16"/>
      <c r="B108" s="16"/>
      <c r="C108" s="16"/>
      <c r="D108" s="42"/>
      <c r="E108" s="42"/>
      <c r="F108" s="42"/>
      <c r="G108" s="42"/>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row>
    <row r="109">
      <c r="A109" s="16"/>
      <c r="B109" s="16"/>
      <c r="C109" s="16"/>
      <c r="D109" s="42"/>
      <c r="E109" s="42"/>
      <c r="F109" s="42"/>
      <c r="G109" s="42"/>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row>
    <row r="110">
      <c r="A110" s="16"/>
      <c r="B110" s="16"/>
      <c r="C110" s="16"/>
      <c r="D110" s="42"/>
      <c r="E110" s="42"/>
      <c r="F110" s="42"/>
      <c r="G110" s="42"/>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row>
    <row r="111">
      <c r="A111" s="16"/>
      <c r="B111" s="16"/>
      <c r="C111" s="16"/>
      <c r="D111" s="42"/>
      <c r="E111" s="42"/>
      <c r="F111" s="42"/>
      <c r="G111" s="42"/>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row>
    <row r="112">
      <c r="A112" s="16"/>
      <c r="B112" s="16"/>
      <c r="C112" s="16"/>
      <c r="D112" s="42"/>
      <c r="E112" s="42"/>
      <c r="F112" s="42"/>
      <c r="G112" s="42"/>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row>
    <row r="113">
      <c r="A113" s="16"/>
      <c r="B113" s="16"/>
      <c r="C113" s="16"/>
      <c r="D113" s="42"/>
      <c r="E113" s="42"/>
      <c r="F113" s="42"/>
      <c r="G113" s="42"/>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row>
    <row r="114">
      <c r="A114" s="16"/>
      <c r="B114" s="16"/>
      <c r="C114" s="16"/>
      <c r="D114" s="42"/>
      <c r="E114" s="42"/>
      <c r="F114" s="42"/>
      <c r="G114" s="42"/>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row>
    <row r="115">
      <c r="A115" s="16"/>
      <c r="B115" s="16"/>
      <c r="C115" s="16"/>
      <c r="D115" s="42"/>
      <c r="E115" s="42"/>
      <c r="F115" s="42"/>
      <c r="G115" s="42"/>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row>
    <row r="116">
      <c r="A116" s="16"/>
      <c r="B116" s="16"/>
      <c r="C116" s="16"/>
      <c r="D116" s="42"/>
      <c r="E116" s="42"/>
      <c r="F116" s="42"/>
      <c r="G116" s="42"/>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row>
    <row r="117">
      <c r="A117" s="16"/>
      <c r="B117" s="16"/>
      <c r="C117" s="16"/>
      <c r="D117" s="42"/>
      <c r="E117" s="42"/>
      <c r="F117" s="42"/>
      <c r="G117" s="42"/>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row>
    <row r="118">
      <c r="A118" s="16"/>
      <c r="B118" s="16"/>
      <c r="C118" s="16"/>
      <c r="D118" s="42"/>
      <c r="E118" s="42"/>
      <c r="F118" s="42"/>
      <c r="G118" s="42"/>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row>
    <row r="119">
      <c r="A119" s="16"/>
      <c r="B119" s="16"/>
      <c r="C119" s="16"/>
      <c r="D119" s="42"/>
      <c r="E119" s="42"/>
      <c r="F119" s="42"/>
      <c r="G119" s="42"/>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row>
    <row r="120">
      <c r="A120" s="16"/>
      <c r="B120" s="16"/>
      <c r="C120" s="16"/>
      <c r="D120" s="42"/>
      <c r="E120" s="42"/>
      <c r="F120" s="42"/>
      <c r="G120" s="42"/>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row>
    <row r="121">
      <c r="A121" s="16"/>
      <c r="B121" s="16"/>
      <c r="C121" s="16"/>
      <c r="D121" s="42"/>
      <c r="E121" s="42"/>
      <c r="F121" s="42"/>
      <c r="G121" s="42"/>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c r="AW121" s="16"/>
      <c r="AX121" s="16"/>
    </row>
    <row r="122">
      <c r="A122" s="16"/>
      <c r="B122" s="16"/>
      <c r="C122" s="16"/>
      <c r="D122" s="42"/>
      <c r="E122" s="42"/>
      <c r="F122" s="42"/>
      <c r="G122" s="42"/>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row>
    <row r="123">
      <c r="A123" s="16"/>
      <c r="B123" s="16"/>
      <c r="C123" s="16"/>
      <c r="D123" s="42"/>
      <c r="E123" s="42"/>
      <c r="F123" s="42"/>
      <c r="G123" s="42"/>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c r="AW123" s="16"/>
      <c r="AX123" s="16"/>
    </row>
    <row r="124">
      <c r="A124" s="16"/>
      <c r="B124" s="16"/>
      <c r="C124" s="16"/>
      <c r="D124" s="42"/>
      <c r="E124" s="42"/>
      <c r="F124" s="42"/>
      <c r="G124" s="42"/>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c r="AW124" s="16"/>
      <c r="AX124" s="16"/>
    </row>
    <row r="125">
      <c r="A125" s="16"/>
      <c r="B125" s="16"/>
      <c r="C125" s="16"/>
      <c r="D125" s="42"/>
      <c r="E125" s="42"/>
      <c r="F125" s="42"/>
      <c r="G125" s="42"/>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c r="AW125" s="16"/>
      <c r="AX125" s="16"/>
    </row>
    <row r="126">
      <c r="A126" s="16"/>
      <c r="B126" s="16"/>
      <c r="C126" s="16"/>
      <c r="D126" s="42"/>
      <c r="E126" s="42"/>
      <c r="F126" s="42"/>
      <c r="G126" s="42"/>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c r="AW126" s="16"/>
      <c r="AX126" s="16"/>
    </row>
    <row r="127">
      <c r="A127" s="16"/>
      <c r="B127" s="16"/>
      <c r="C127" s="16"/>
      <c r="D127" s="42"/>
      <c r="E127" s="42"/>
      <c r="F127" s="42"/>
      <c r="G127" s="42"/>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c r="AW127" s="16"/>
      <c r="AX127" s="16"/>
    </row>
    <row r="128">
      <c r="A128" s="16"/>
      <c r="B128" s="16"/>
      <c r="C128" s="16"/>
      <c r="D128" s="42"/>
      <c r="E128" s="42"/>
      <c r="F128" s="42"/>
      <c r="G128" s="42"/>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c r="AW128" s="16"/>
      <c r="AX128" s="16"/>
    </row>
    <row r="129">
      <c r="A129" s="16"/>
      <c r="B129" s="16"/>
      <c r="C129" s="16"/>
      <c r="D129" s="42"/>
      <c r="E129" s="42"/>
      <c r="F129" s="42"/>
      <c r="G129" s="42"/>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c r="AW129" s="16"/>
      <c r="AX129" s="16"/>
    </row>
    <row r="130">
      <c r="A130" s="16"/>
      <c r="B130" s="16"/>
      <c r="C130" s="16"/>
      <c r="D130" s="42"/>
      <c r="E130" s="42"/>
      <c r="F130" s="42"/>
      <c r="G130" s="42"/>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c r="AW130" s="16"/>
      <c r="AX130" s="16"/>
    </row>
    <row r="131">
      <c r="A131" s="16"/>
      <c r="B131" s="16"/>
      <c r="C131" s="16"/>
      <c r="D131" s="42"/>
      <c r="E131" s="42"/>
      <c r="F131" s="42"/>
      <c r="G131" s="42"/>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c r="AW131" s="16"/>
      <c r="AX131" s="16"/>
    </row>
    <row r="132">
      <c r="A132" s="16"/>
      <c r="B132" s="16"/>
      <c r="C132" s="16"/>
      <c r="D132" s="42"/>
      <c r="E132" s="42"/>
      <c r="F132" s="42"/>
      <c r="G132" s="42"/>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c r="AW132" s="16"/>
      <c r="AX132" s="16"/>
    </row>
    <row r="133">
      <c r="A133" s="16"/>
      <c r="B133" s="16"/>
      <c r="C133" s="16"/>
      <c r="D133" s="42"/>
      <c r="E133" s="42"/>
      <c r="F133" s="42"/>
      <c r="G133" s="42"/>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c r="AW133" s="16"/>
      <c r="AX133" s="16"/>
    </row>
    <row r="134">
      <c r="A134" s="16"/>
      <c r="B134" s="16"/>
      <c r="C134" s="16"/>
      <c r="D134" s="42"/>
      <c r="E134" s="42"/>
      <c r="F134" s="42"/>
      <c r="G134" s="42"/>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row>
    <row r="135">
      <c r="A135" s="16"/>
      <c r="B135" s="16"/>
      <c r="C135" s="16"/>
      <c r="D135" s="42"/>
      <c r="E135" s="42"/>
      <c r="F135" s="42"/>
      <c r="G135" s="42"/>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row>
    <row r="136">
      <c r="A136" s="16"/>
      <c r="B136" s="16"/>
      <c r="C136" s="16"/>
      <c r="D136" s="42"/>
      <c r="E136" s="42"/>
      <c r="F136" s="42"/>
      <c r="G136" s="42"/>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row>
    <row r="137">
      <c r="A137" s="16"/>
      <c r="B137" s="16"/>
      <c r="C137" s="16"/>
      <c r="D137" s="42"/>
      <c r="E137" s="42"/>
      <c r="F137" s="42"/>
      <c r="G137" s="42"/>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row>
    <row r="138">
      <c r="A138" s="16"/>
      <c r="B138" s="16"/>
      <c r="C138" s="16"/>
      <c r="D138" s="42"/>
      <c r="E138" s="42"/>
      <c r="F138" s="42"/>
      <c r="G138" s="42"/>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row>
    <row r="139">
      <c r="A139" s="16"/>
      <c r="B139" s="16"/>
      <c r="C139" s="16"/>
      <c r="D139" s="42"/>
      <c r="E139" s="42"/>
      <c r="F139" s="42"/>
      <c r="G139" s="42"/>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row>
    <row r="140">
      <c r="A140" s="16"/>
      <c r="B140" s="16"/>
      <c r="C140" s="16"/>
      <c r="D140" s="42"/>
      <c r="E140" s="42"/>
      <c r="F140" s="42"/>
      <c r="G140" s="42"/>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row>
    <row r="141">
      <c r="A141" s="16"/>
      <c r="B141" s="16"/>
      <c r="C141" s="16"/>
      <c r="D141" s="42"/>
      <c r="E141" s="42"/>
      <c r="F141" s="42"/>
      <c r="G141" s="42"/>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row>
    <row r="142">
      <c r="A142" s="16"/>
      <c r="B142" s="16"/>
      <c r="C142" s="16"/>
      <c r="D142" s="42"/>
      <c r="E142" s="42"/>
      <c r="F142" s="42"/>
      <c r="G142" s="42"/>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row>
    <row r="143">
      <c r="A143" s="16"/>
      <c r="B143" s="16"/>
      <c r="C143" s="16"/>
      <c r="D143" s="42"/>
      <c r="E143" s="42"/>
      <c r="F143" s="42"/>
      <c r="G143" s="42"/>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row>
    <row r="144">
      <c r="A144" s="16"/>
      <c r="B144" s="16"/>
      <c r="C144" s="16"/>
      <c r="D144" s="42"/>
      <c r="E144" s="42"/>
      <c r="F144" s="42"/>
      <c r="G144" s="42"/>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row>
    <row r="145">
      <c r="A145" s="16"/>
      <c r="B145" s="16"/>
      <c r="C145" s="16"/>
      <c r="D145" s="42"/>
      <c r="E145" s="42"/>
      <c r="F145" s="42"/>
      <c r="G145" s="42"/>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row>
    <row r="146">
      <c r="A146" s="16"/>
      <c r="B146" s="16"/>
      <c r="C146" s="16"/>
      <c r="D146" s="42"/>
      <c r="E146" s="42"/>
      <c r="F146" s="42"/>
      <c r="G146" s="42"/>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row>
    <row r="147">
      <c r="A147" s="16"/>
      <c r="B147" s="16"/>
      <c r="C147" s="16"/>
      <c r="D147" s="42"/>
      <c r="E147" s="42"/>
      <c r="F147" s="42"/>
      <c r="G147" s="42"/>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row>
    <row r="148">
      <c r="A148" s="16"/>
      <c r="B148" s="16"/>
      <c r="C148" s="16"/>
      <c r="D148" s="42"/>
      <c r="E148" s="42"/>
      <c r="F148" s="42"/>
      <c r="G148" s="42"/>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row>
    <row r="149">
      <c r="A149" s="16"/>
      <c r="B149" s="16"/>
      <c r="C149" s="16"/>
      <c r="D149" s="42"/>
      <c r="E149" s="42"/>
      <c r="F149" s="42"/>
      <c r="G149" s="42"/>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row>
    <row r="150">
      <c r="A150" s="16"/>
      <c r="B150" s="16"/>
      <c r="C150" s="16"/>
      <c r="D150" s="42"/>
      <c r="E150" s="42"/>
      <c r="F150" s="42"/>
      <c r="G150" s="42"/>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row>
    <row r="151">
      <c r="A151" s="16"/>
      <c r="B151" s="16"/>
      <c r="C151" s="16"/>
      <c r="D151" s="42"/>
      <c r="E151" s="42"/>
      <c r="F151" s="42"/>
      <c r="G151" s="42"/>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row>
    <row r="152">
      <c r="A152" s="16"/>
      <c r="B152" s="16"/>
      <c r="C152" s="16"/>
      <c r="D152" s="42"/>
      <c r="E152" s="42"/>
      <c r="F152" s="42"/>
      <c r="G152" s="42"/>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row>
    <row r="153">
      <c r="A153" s="16"/>
      <c r="B153" s="16"/>
      <c r="C153" s="16"/>
      <c r="D153" s="42"/>
      <c r="E153" s="42"/>
      <c r="F153" s="42"/>
      <c r="G153" s="42"/>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row>
    <row r="154">
      <c r="A154" s="16"/>
      <c r="B154" s="16"/>
      <c r="C154" s="16"/>
      <c r="D154" s="42"/>
      <c r="E154" s="42"/>
      <c r="F154" s="42"/>
      <c r="G154" s="42"/>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row>
    <row r="155">
      <c r="A155" s="16"/>
      <c r="B155" s="16"/>
      <c r="C155" s="16"/>
      <c r="D155" s="42"/>
      <c r="E155" s="42"/>
      <c r="F155" s="42"/>
      <c r="G155" s="42"/>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row>
    <row r="156">
      <c r="A156" s="16"/>
      <c r="B156" s="16"/>
      <c r="C156" s="16"/>
      <c r="D156" s="42"/>
      <c r="E156" s="42"/>
      <c r="F156" s="42"/>
      <c r="G156" s="42"/>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row>
    <row r="157">
      <c r="A157" s="16"/>
      <c r="B157" s="16"/>
      <c r="C157" s="16"/>
      <c r="D157" s="42"/>
      <c r="E157" s="42"/>
      <c r="F157" s="42"/>
      <c r="G157" s="42"/>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row>
    <row r="158">
      <c r="A158" s="16"/>
      <c r="B158" s="16"/>
      <c r="C158" s="16"/>
      <c r="D158" s="42"/>
      <c r="E158" s="42"/>
      <c r="F158" s="42"/>
      <c r="G158" s="42"/>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row>
    <row r="159">
      <c r="A159" s="16"/>
      <c r="B159" s="16"/>
      <c r="C159" s="16"/>
      <c r="D159" s="42"/>
      <c r="E159" s="42"/>
      <c r="F159" s="42"/>
      <c r="G159" s="42"/>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row>
    <row r="160">
      <c r="A160" s="16"/>
      <c r="B160" s="16"/>
      <c r="C160" s="16"/>
      <c r="D160" s="42"/>
      <c r="E160" s="42"/>
      <c r="F160" s="42"/>
      <c r="G160" s="42"/>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row>
    <row r="161">
      <c r="A161" s="16"/>
      <c r="B161" s="16"/>
      <c r="C161" s="16"/>
      <c r="D161" s="42"/>
      <c r="E161" s="42"/>
      <c r="F161" s="42"/>
      <c r="G161" s="42"/>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row>
    <row r="162">
      <c r="A162" s="16"/>
      <c r="B162" s="16"/>
      <c r="C162" s="16"/>
      <c r="D162" s="42"/>
      <c r="E162" s="42"/>
      <c r="F162" s="42"/>
      <c r="G162" s="42"/>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row>
    <row r="163">
      <c r="A163" s="16"/>
      <c r="B163" s="16"/>
      <c r="C163" s="16"/>
      <c r="D163" s="42"/>
      <c r="E163" s="42"/>
      <c r="F163" s="42"/>
      <c r="G163" s="42"/>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row>
    <row r="164">
      <c r="A164" s="16"/>
      <c r="B164" s="16"/>
      <c r="C164" s="16"/>
      <c r="D164" s="42"/>
      <c r="E164" s="42"/>
      <c r="F164" s="42"/>
      <c r="G164" s="42"/>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row>
    <row r="165">
      <c r="A165" s="16"/>
      <c r="B165" s="16"/>
      <c r="C165" s="16"/>
      <c r="D165" s="42"/>
      <c r="E165" s="42"/>
      <c r="F165" s="42"/>
      <c r="G165" s="42"/>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row>
    <row r="166">
      <c r="A166" s="16"/>
      <c r="B166" s="16"/>
      <c r="C166" s="16"/>
      <c r="D166" s="42"/>
      <c r="E166" s="42"/>
      <c r="F166" s="42"/>
      <c r="G166" s="42"/>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row>
    <row r="167">
      <c r="A167" s="16"/>
      <c r="B167" s="16"/>
      <c r="C167" s="16"/>
      <c r="D167" s="42"/>
      <c r="E167" s="42"/>
      <c r="F167" s="42"/>
      <c r="G167" s="42"/>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row>
    <row r="168">
      <c r="A168" s="16"/>
      <c r="B168" s="16"/>
      <c r="C168" s="16"/>
      <c r="D168" s="42"/>
      <c r="E168" s="42"/>
      <c r="F168" s="42"/>
      <c r="G168" s="42"/>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row>
    <row r="169">
      <c r="A169" s="16"/>
      <c r="B169" s="16"/>
      <c r="C169" s="16"/>
      <c r="D169" s="42"/>
      <c r="E169" s="42"/>
      <c r="F169" s="42"/>
      <c r="G169" s="42"/>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row>
    <row r="170">
      <c r="A170" s="16"/>
      <c r="B170" s="16"/>
      <c r="C170" s="16"/>
      <c r="D170" s="42"/>
      <c r="E170" s="42"/>
      <c r="F170" s="42"/>
      <c r="G170" s="42"/>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row>
    <row r="171">
      <c r="A171" s="16"/>
      <c r="B171" s="16"/>
      <c r="C171" s="16"/>
      <c r="D171" s="42"/>
      <c r="E171" s="42"/>
      <c r="F171" s="42"/>
      <c r="G171" s="42"/>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row>
    <row r="172">
      <c r="A172" s="16"/>
      <c r="B172" s="16"/>
      <c r="C172" s="16"/>
      <c r="D172" s="42"/>
      <c r="E172" s="42"/>
      <c r="F172" s="42"/>
      <c r="G172" s="42"/>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row>
    <row r="173">
      <c r="A173" s="16"/>
      <c r="B173" s="16"/>
      <c r="C173" s="16"/>
      <c r="D173" s="42"/>
      <c r="E173" s="42"/>
      <c r="F173" s="42"/>
      <c r="G173" s="42"/>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row>
    <row r="174">
      <c r="A174" s="16"/>
      <c r="B174" s="16"/>
      <c r="C174" s="16"/>
      <c r="D174" s="42"/>
      <c r="E174" s="42"/>
      <c r="F174" s="42"/>
      <c r="G174" s="42"/>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row>
    <row r="175">
      <c r="A175" s="16"/>
      <c r="B175" s="16"/>
      <c r="C175" s="16"/>
      <c r="D175" s="42"/>
      <c r="E175" s="42"/>
      <c r="F175" s="42"/>
      <c r="G175" s="42"/>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row>
    <row r="176">
      <c r="A176" s="16"/>
      <c r="B176" s="16"/>
      <c r="C176" s="16"/>
      <c r="D176" s="42"/>
      <c r="E176" s="42"/>
      <c r="F176" s="42"/>
      <c r="G176" s="42"/>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row>
    <row r="177">
      <c r="A177" s="16"/>
      <c r="B177" s="16"/>
      <c r="C177" s="16"/>
      <c r="D177" s="42"/>
      <c r="E177" s="42"/>
      <c r="F177" s="42"/>
      <c r="G177" s="42"/>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row>
    <row r="178">
      <c r="A178" s="16"/>
      <c r="B178" s="16"/>
      <c r="C178" s="16"/>
      <c r="D178" s="42"/>
      <c r="E178" s="42"/>
      <c r="F178" s="42"/>
      <c r="G178" s="42"/>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row>
    <row r="179">
      <c r="A179" s="16"/>
      <c r="B179" s="16"/>
      <c r="C179" s="16"/>
      <c r="D179" s="42"/>
      <c r="E179" s="42"/>
      <c r="F179" s="42"/>
      <c r="G179" s="42"/>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row>
    <row r="180">
      <c r="A180" s="16"/>
      <c r="B180" s="16"/>
      <c r="C180" s="16"/>
      <c r="D180" s="42"/>
      <c r="E180" s="42"/>
      <c r="F180" s="42"/>
      <c r="G180" s="42"/>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row>
    <row r="181">
      <c r="A181" s="16"/>
      <c r="B181" s="16"/>
      <c r="C181" s="16"/>
      <c r="D181" s="42"/>
      <c r="E181" s="42"/>
      <c r="F181" s="42"/>
      <c r="G181" s="42"/>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row>
    <row r="182">
      <c r="A182" s="16"/>
      <c r="B182" s="16"/>
      <c r="C182" s="16"/>
      <c r="D182" s="42"/>
      <c r="E182" s="42"/>
      <c r="F182" s="42"/>
      <c r="G182" s="42"/>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row>
    <row r="183">
      <c r="A183" s="16"/>
      <c r="B183" s="16"/>
      <c r="C183" s="16"/>
      <c r="D183" s="42"/>
      <c r="E183" s="42"/>
      <c r="F183" s="42"/>
      <c r="G183" s="42"/>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row>
    <row r="184">
      <c r="A184" s="16"/>
      <c r="B184" s="16"/>
      <c r="C184" s="16"/>
      <c r="D184" s="42"/>
      <c r="E184" s="42"/>
      <c r="F184" s="42"/>
      <c r="G184" s="42"/>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row>
    <row r="185">
      <c r="A185" s="16"/>
      <c r="B185" s="16"/>
      <c r="C185" s="16"/>
      <c r="D185" s="42"/>
      <c r="E185" s="42"/>
      <c r="F185" s="42"/>
      <c r="G185" s="42"/>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row>
    <row r="186">
      <c r="A186" s="16"/>
      <c r="B186" s="16"/>
      <c r="C186" s="16"/>
      <c r="D186" s="42"/>
      <c r="E186" s="42"/>
      <c r="F186" s="42"/>
      <c r="G186" s="42"/>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row>
    <row r="187">
      <c r="A187" s="16"/>
      <c r="B187" s="16"/>
      <c r="C187" s="16"/>
      <c r="D187" s="42"/>
      <c r="E187" s="42"/>
      <c r="F187" s="42"/>
      <c r="G187" s="42"/>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row>
    <row r="188">
      <c r="A188" s="16"/>
      <c r="B188" s="16"/>
      <c r="C188" s="16"/>
      <c r="D188" s="42"/>
      <c r="E188" s="42"/>
      <c r="F188" s="42"/>
      <c r="G188" s="42"/>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row>
    <row r="189">
      <c r="A189" s="16"/>
      <c r="B189" s="16"/>
      <c r="C189" s="16"/>
      <c r="D189" s="42"/>
      <c r="E189" s="42"/>
      <c r="F189" s="42"/>
      <c r="G189" s="42"/>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row>
    <row r="190">
      <c r="A190" s="16"/>
      <c r="B190" s="16"/>
      <c r="C190" s="16"/>
      <c r="D190" s="42"/>
      <c r="E190" s="42"/>
      <c r="F190" s="42"/>
      <c r="G190" s="42"/>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row>
    <row r="191">
      <c r="A191" s="16"/>
      <c r="B191" s="16"/>
      <c r="C191" s="16"/>
      <c r="D191" s="42"/>
      <c r="E191" s="42"/>
      <c r="F191" s="42"/>
      <c r="G191" s="42"/>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row>
    <row r="192">
      <c r="A192" s="16"/>
      <c r="B192" s="16"/>
      <c r="C192" s="16"/>
      <c r="D192" s="42"/>
      <c r="E192" s="42"/>
      <c r="F192" s="42"/>
      <c r="G192" s="42"/>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c r="AW192" s="16"/>
      <c r="AX192" s="16"/>
    </row>
    <row r="193">
      <c r="A193" s="16"/>
      <c r="B193" s="16"/>
      <c r="C193" s="16"/>
      <c r="D193" s="42"/>
      <c r="E193" s="42"/>
      <c r="F193" s="42"/>
      <c r="G193" s="42"/>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c r="AW193" s="16"/>
      <c r="AX193" s="16"/>
    </row>
    <row r="194">
      <c r="A194" s="16"/>
      <c r="B194" s="16"/>
      <c r="C194" s="16"/>
      <c r="D194" s="42"/>
      <c r="E194" s="42"/>
      <c r="F194" s="42"/>
      <c r="G194" s="42"/>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row>
    <row r="195">
      <c r="A195" s="16"/>
      <c r="B195" s="16"/>
      <c r="C195" s="16"/>
      <c r="D195" s="42"/>
      <c r="E195" s="42"/>
      <c r="F195" s="42"/>
      <c r="G195" s="42"/>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row>
    <row r="196">
      <c r="A196" s="16"/>
      <c r="B196" s="16"/>
      <c r="C196" s="16"/>
      <c r="D196" s="42"/>
      <c r="E196" s="42"/>
      <c r="F196" s="42"/>
      <c r="G196" s="42"/>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row>
    <row r="197">
      <c r="A197" s="16"/>
      <c r="B197" s="16"/>
      <c r="C197" s="16"/>
      <c r="D197" s="42"/>
      <c r="E197" s="42"/>
      <c r="F197" s="42"/>
      <c r="G197" s="42"/>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row>
    <row r="198">
      <c r="A198" s="16"/>
      <c r="B198" s="16"/>
      <c r="C198" s="16"/>
      <c r="D198" s="42"/>
      <c r="E198" s="42"/>
      <c r="F198" s="42"/>
      <c r="G198" s="42"/>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row>
    <row r="199">
      <c r="A199" s="16"/>
      <c r="B199" s="16"/>
      <c r="C199" s="16"/>
      <c r="D199" s="42"/>
      <c r="E199" s="42"/>
      <c r="F199" s="42"/>
      <c r="G199" s="42"/>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row>
    <row r="200">
      <c r="A200" s="16"/>
      <c r="B200" s="16"/>
      <c r="C200" s="16"/>
      <c r="D200" s="42"/>
      <c r="E200" s="42"/>
      <c r="F200" s="42"/>
      <c r="G200" s="42"/>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row>
    <row r="201">
      <c r="A201" s="16"/>
      <c r="B201" s="16"/>
      <c r="C201" s="16"/>
      <c r="D201" s="42"/>
      <c r="E201" s="42"/>
      <c r="F201" s="42"/>
      <c r="G201" s="42"/>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row>
    <row r="202">
      <c r="A202" s="16"/>
      <c r="B202" s="16"/>
      <c r="C202" s="16"/>
      <c r="D202" s="42"/>
      <c r="E202" s="42"/>
      <c r="F202" s="42"/>
      <c r="G202" s="42"/>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row>
    <row r="203">
      <c r="A203" s="16"/>
      <c r="B203" s="16"/>
      <c r="C203" s="16"/>
      <c r="D203" s="42"/>
      <c r="E203" s="42"/>
      <c r="F203" s="42"/>
      <c r="G203" s="42"/>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row>
    <row r="204">
      <c r="A204" s="16"/>
      <c r="B204" s="16"/>
      <c r="C204" s="16"/>
      <c r="D204" s="42"/>
      <c r="E204" s="42"/>
      <c r="F204" s="42"/>
      <c r="G204" s="42"/>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6"/>
    </row>
    <row r="205">
      <c r="A205" s="16"/>
      <c r="B205" s="16"/>
      <c r="C205" s="16"/>
      <c r="D205" s="42"/>
      <c r="E205" s="42"/>
      <c r="F205" s="42"/>
      <c r="G205" s="42"/>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row>
    <row r="206">
      <c r="A206" s="16"/>
      <c r="B206" s="16"/>
      <c r="C206" s="16"/>
      <c r="D206" s="42"/>
      <c r="E206" s="42"/>
      <c r="F206" s="42"/>
      <c r="G206" s="42"/>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row>
    <row r="207">
      <c r="A207" s="16"/>
      <c r="B207" s="16"/>
      <c r="C207" s="16"/>
      <c r="D207" s="42"/>
      <c r="E207" s="42"/>
      <c r="F207" s="42"/>
      <c r="G207" s="42"/>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c r="AW207" s="16"/>
      <c r="AX207" s="16"/>
    </row>
    <row r="208">
      <c r="A208" s="16"/>
      <c r="B208" s="16"/>
      <c r="C208" s="16"/>
      <c r="D208" s="42"/>
      <c r="E208" s="42"/>
      <c r="F208" s="42"/>
      <c r="G208" s="42"/>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6"/>
    </row>
    <row r="209">
      <c r="A209" s="16"/>
      <c r="B209" s="16"/>
      <c r="C209" s="16"/>
      <c r="D209" s="42"/>
      <c r="E209" s="42"/>
      <c r="F209" s="42"/>
      <c r="G209" s="42"/>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c r="AW209" s="16"/>
      <c r="AX209" s="16"/>
    </row>
    <row r="210">
      <c r="A210" s="16"/>
      <c r="B210" s="16"/>
      <c r="C210" s="16"/>
      <c r="D210" s="42"/>
      <c r="E210" s="42"/>
      <c r="F210" s="42"/>
      <c r="G210" s="42"/>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row>
    <row r="211">
      <c r="A211" s="16"/>
      <c r="B211" s="16"/>
      <c r="C211" s="16"/>
      <c r="D211" s="42"/>
      <c r="E211" s="42"/>
      <c r="F211" s="42"/>
      <c r="G211" s="42"/>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row>
    <row r="212">
      <c r="A212" s="16"/>
      <c r="B212" s="16"/>
      <c r="C212" s="16"/>
      <c r="D212" s="42"/>
      <c r="E212" s="42"/>
      <c r="F212" s="42"/>
      <c r="G212" s="42"/>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row>
    <row r="213">
      <c r="A213" s="16"/>
      <c r="B213" s="16"/>
      <c r="C213" s="16"/>
      <c r="D213" s="42"/>
      <c r="E213" s="42"/>
      <c r="F213" s="42"/>
      <c r="G213" s="42"/>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row>
    <row r="214">
      <c r="A214" s="16"/>
      <c r="B214" s="16"/>
      <c r="C214" s="16"/>
      <c r="D214" s="42"/>
      <c r="E214" s="42"/>
      <c r="F214" s="42"/>
      <c r="G214" s="42"/>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row>
    <row r="215">
      <c r="A215" s="16"/>
      <c r="B215" s="16"/>
      <c r="C215" s="16"/>
      <c r="D215" s="42"/>
      <c r="E215" s="42"/>
      <c r="F215" s="42"/>
      <c r="G215" s="42"/>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row>
    <row r="216">
      <c r="A216" s="16"/>
      <c r="B216" s="16"/>
      <c r="C216" s="16"/>
      <c r="D216" s="42"/>
      <c r="E216" s="42"/>
      <c r="F216" s="42"/>
      <c r="G216" s="42"/>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row>
    <row r="217">
      <c r="A217" s="16"/>
      <c r="B217" s="16"/>
      <c r="C217" s="16"/>
      <c r="D217" s="42"/>
      <c r="E217" s="42"/>
      <c r="F217" s="42"/>
      <c r="G217" s="42"/>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row>
    <row r="218">
      <c r="A218" s="16"/>
      <c r="B218" s="16"/>
      <c r="C218" s="16"/>
      <c r="D218" s="42"/>
      <c r="E218" s="42"/>
      <c r="F218" s="42"/>
      <c r="G218" s="42"/>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row>
    <row r="219">
      <c r="A219" s="16"/>
      <c r="B219" s="16"/>
      <c r="C219" s="16"/>
      <c r="D219" s="42"/>
      <c r="E219" s="42"/>
      <c r="F219" s="42"/>
      <c r="G219" s="42"/>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c r="AW219" s="16"/>
      <c r="AX219" s="16"/>
    </row>
    <row r="220">
      <c r="A220" s="16"/>
      <c r="B220" s="16"/>
      <c r="C220" s="16"/>
      <c r="D220" s="42"/>
      <c r="E220" s="42"/>
      <c r="F220" s="42"/>
      <c r="G220" s="42"/>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row>
    <row r="221">
      <c r="A221" s="16"/>
      <c r="B221" s="16"/>
      <c r="C221" s="16"/>
      <c r="D221" s="42"/>
      <c r="E221" s="42"/>
      <c r="F221" s="42"/>
      <c r="G221" s="42"/>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row>
    <row r="222">
      <c r="A222" s="16"/>
      <c r="B222" s="16"/>
      <c r="C222" s="16"/>
      <c r="D222" s="42"/>
      <c r="E222" s="42"/>
      <c r="F222" s="42"/>
      <c r="G222" s="42"/>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6"/>
    </row>
    <row r="223">
      <c r="A223" s="16"/>
      <c r="B223" s="16"/>
      <c r="C223" s="16"/>
      <c r="D223" s="42"/>
      <c r="E223" s="42"/>
      <c r="F223" s="42"/>
      <c r="G223" s="42"/>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row>
    <row r="224">
      <c r="A224" s="16"/>
      <c r="B224" s="16"/>
      <c r="C224" s="16"/>
      <c r="D224" s="42"/>
      <c r="E224" s="42"/>
      <c r="F224" s="42"/>
      <c r="G224" s="42"/>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6"/>
    </row>
    <row r="225">
      <c r="A225" s="16"/>
      <c r="B225" s="16"/>
      <c r="C225" s="16"/>
      <c r="D225" s="42"/>
      <c r="E225" s="42"/>
      <c r="F225" s="42"/>
      <c r="G225" s="42"/>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row>
    <row r="226">
      <c r="A226" s="16"/>
      <c r="B226" s="16"/>
      <c r="C226" s="16"/>
      <c r="D226" s="42"/>
      <c r="E226" s="42"/>
      <c r="F226" s="42"/>
      <c r="G226" s="42"/>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c r="AW226" s="16"/>
      <c r="AX226" s="16"/>
    </row>
    <row r="227">
      <c r="A227" s="16"/>
      <c r="B227" s="16"/>
      <c r="C227" s="16"/>
      <c r="D227" s="42"/>
      <c r="E227" s="42"/>
      <c r="F227" s="42"/>
      <c r="G227" s="42"/>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c r="AW227" s="16"/>
      <c r="AX227" s="16"/>
    </row>
    <row r="228">
      <c r="A228" s="16"/>
      <c r="B228" s="16"/>
      <c r="C228" s="16"/>
      <c r="D228" s="42"/>
      <c r="E228" s="42"/>
      <c r="F228" s="42"/>
      <c r="G228" s="42"/>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c r="AW228" s="16"/>
      <c r="AX228" s="16"/>
    </row>
    <row r="229">
      <c r="A229" s="16"/>
      <c r="B229" s="16"/>
      <c r="C229" s="16"/>
      <c r="D229" s="42"/>
      <c r="E229" s="42"/>
      <c r="F229" s="42"/>
      <c r="G229" s="42"/>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c r="AW229" s="16"/>
      <c r="AX229" s="16"/>
    </row>
    <row r="230">
      <c r="A230" s="16"/>
      <c r="B230" s="16"/>
      <c r="C230" s="16"/>
      <c r="D230" s="42"/>
      <c r="E230" s="42"/>
      <c r="F230" s="42"/>
      <c r="G230" s="42"/>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row>
    <row r="231">
      <c r="A231" s="16"/>
      <c r="B231" s="16"/>
      <c r="C231" s="16"/>
      <c r="D231" s="42"/>
      <c r="E231" s="42"/>
      <c r="F231" s="42"/>
      <c r="G231" s="42"/>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row>
    <row r="232">
      <c r="A232" s="16"/>
      <c r="B232" s="16"/>
      <c r="C232" s="16"/>
      <c r="D232" s="42"/>
      <c r="E232" s="42"/>
      <c r="F232" s="42"/>
      <c r="G232" s="42"/>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row>
    <row r="233">
      <c r="A233" s="16"/>
      <c r="B233" s="16"/>
      <c r="C233" s="16"/>
      <c r="D233" s="42"/>
      <c r="E233" s="42"/>
      <c r="F233" s="42"/>
      <c r="G233" s="42"/>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row>
    <row r="234">
      <c r="A234" s="16"/>
      <c r="B234" s="16"/>
      <c r="C234" s="16"/>
      <c r="D234" s="42"/>
      <c r="E234" s="42"/>
      <c r="F234" s="42"/>
      <c r="G234" s="42"/>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row>
    <row r="235">
      <c r="A235" s="16"/>
      <c r="B235" s="16"/>
      <c r="C235" s="16"/>
      <c r="D235" s="42"/>
      <c r="E235" s="42"/>
      <c r="F235" s="42"/>
      <c r="G235" s="42"/>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row>
    <row r="236">
      <c r="A236" s="16"/>
      <c r="B236" s="16"/>
      <c r="C236" s="16"/>
      <c r="D236" s="42"/>
      <c r="E236" s="42"/>
      <c r="F236" s="42"/>
      <c r="G236" s="42"/>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row>
    <row r="237">
      <c r="A237" s="16"/>
      <c r="B237" s="16"/>
      <c r="C237" s="16"/>
      <c r="D237" s="42"/>
      <c r="E237" s="42"/>
      <c r="F237" s="42"/>
      <c r="G237" s="42"/>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row>
    <row r="238">
      <c r="A238" s="16"/>
      <c r="B238" s="16"/>
      <c r="C238" s="16"/>
      <c r="D238" s="42"/>
      <c r="E238" s="42"/>
      <c r="F238" s="42"/>
      <c r="G238" s="42"/>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row>
    <row r="239">
      <c r="A239" s="16"/>
      <c r="B239" s="16"/>
      <c r="C239" s="16"/>
      <c r="D239" s="42"/>
      <c r="E239" s="42"/>
      <c r="F239" s="42"/>
      <c r="G239" s="42"/>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row>
    <row r="240">
      <c r="A240" s="16"/>
      <c r="B240" s="16"/>
      <c r="C240" s="16"/>
      <c r="D240" s="42"/>
      <c r="E240" s="42"/>
      <c r="F240" s="42"/>
      <c r="G240" s="42"/>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row>
    <row r="241">
      <c r="A241" s="16"/>
      <c r="B241" s="16"/>
      <c r="C241" s="16"/>
      <c r="D241" s="42"/>
      <c r="E241" s="42"/>
      <c r="F241" s="42"/>
      <c r="G241" s="42"/>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row>
    <row r="242">
      <c r="A242" s="16"/>
      <c r="B242" s="16"/>
      <c r="C242" s="16"/>
      <c r="D242" s="42"/>
      <c r="E242" s="42"/>
      <c r="F242" s="42"/>
      <c r="G242" s="42"/>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row>
    <row r="243">
      <c r="A243" s="16"/>
      <c r="B243" s="16"/>
      <c r="C243" s="16"/>
      <c r="D243" s="42"/>
      <c r="E243" s="42"/>
      <c r="F243" s="42"/>
      <c r="G243" s="42"/>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row>
    <row r="244">
      <c r="A244" s="16"/>
      <c r="B244" s="16"/>
      <c r="C244" s="16"/>
      <c r="D244" s="42"/>
      <c r="E244" s="42"/>
      <c r="F244" s="42"/>
      <c r="G244" s="42"/>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row>
    <row r="245">
      <c r="A245" s="16"/>
      <c r="B245" s="16"/>
      <c r="C245" s="16"/>
      <c r="D245" s="42"/>
      <c r="E245" s="42"/>
      <c r="F245" s="42"/>
      <c r="G245" s="42"/>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row>
    <row r="246">
      <c r="A246" s="16"/>
      <c r="B246" s="16"/>
      <c r="C246" s="16"/>
      <c r="D246" s="42"/>
      <c r="E246" s="42"/>
      <c r="F246" s="42"/>
      <c r="G246" s="42"/>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row>
    <row r="247">
      <c r="A247" s="16"/>
      <c r="B247" s="16"/>
      <c r="C247" s="16"/>
      <c r="D247" s="42"/>
      <c r="E247" s="42"/>
      <c r="F247" s="42"/>
      <c r="G247" s="42"/>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row>
    <row r="248">
      <c r="A248" s="16"/>
      <c r="B248" s="16"/>
      <c r="C248" s="16"/>
      <c r="D248" s="42"/>
      <c r="E248" s="42"/>
      <c r="F248" s="42"/>
      <c r="G248" s="42"/>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row>
    <row r="249">
      <c r="A249" s="16"/>
      <c r="B249" s="16"/>
      <c r="C249" s="16"/>
      <c r="D249" s="42"/>
      <c r="E249" s="42"/>
      <c r="F249" s="42"/>
      <c r="G249" s="42"/>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row>
    <row r="250">
      <c r="A250" s="16"/>
      <c r="B250" s="16"/>
      <c r="C250" s="16"/>
      <c r="D250" s="42"/>
      <c r="E250" s="42"/>
      <c r="F250" s="42"/>
      <c r="G250" s="42"/>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row>
    <row r="251">
      <c r="A251" s="16"/>
      <c r="B251" s="16"/>
      <c r="C251" s="16"/>
      <c r="D251" s="42"/>
      <c r="E251" s="42"/>
      <c r="F251" s="42"/>
      <c r="G251" s="42"/>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row>
    <row r="252">
      <c r="A252" s="16"/>
      <c r="B252" s="16"/>
      <c r="C252" s="16"/>
      <c r="D252" s="42"/>
      <c r="E252" s="42"/>
      <c r="F252" s="42"/>
      <c r="G252" s="42"/>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row>
    <row r="253">
      <c r="A253" s="16"/>
      <c r="B253" s="16"/>
      <c r="C253" s="16"/>
      <c r="D253" s="42"/>
      <c r="E253" s="42"/>
      <c r="F253" s="42"/>
      <c r="G253" s="42"/>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row>
    <row r="254">
      <c r="A254" s="16"/>
      <c r="B254" s="16"/>
      <c r="C254" s="16"/>
      <c r="D254" s="42"/>
      <c r="E254" s="42"/>
      <c r="F254" s="42"/>
      <c r="G254" s="42"/>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row>
    <row r="255">
      <c r="A255" s="16"/>
      <c r="B255" s="16"/>
      <c r="C255" s="16"/>
      <c r="D255" s="42"/>
      <c r="E255" s="42"/>
      <c r="F255" s="42"/>
      <c r="G255" s="42"/>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row>
    <row r="256">
      <c r="A256" s="16"/>
      <c r="B256" s="16"/>
      <c r="C256" s="16"/>
      <c r="D256" s="42"/>
      <c r="E256" s="42"/>
      <c r="F256" s="42"/>
      <c r="G256" s="42"/>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row>
    <row r="257">
      <c r="A257" s="16"/>
      <c r="B257" s="16"/>
      <c r="C257" s="16"/>
      <c r="D257" s="42"/>
      <c r="E257" s="42"/>
      <c r="F257" s="42"/>
      <c r="G257" s="42"/>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row>
    <row r="258">
      <c r="A258" s="16"/>
      <c r="B258" s="16"/>
      <c r="C258" s="16"/>
      <c r="D258" s="42"/>
      <c r="E258" s="42"/>
      <c r="F258" s="42"/>
      <c r="G258" s="42"/>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c r="AW258" s="16"/>
      <c r="AX258" s="16"/>
    </row>
    <row r="259">
      <c r="A259" s="16"/>
      <c r="B259" s="16"/>
      <c r="C259" s="16"/>
      <c r="D259" s="42"/>
      <c r="E259" s="42"/>
      <c r="F259" s="42"/>
      <c r="G259" s="42"/>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row>
    <row r="260">
      <c r="A260" s="16"/>
      <c r="B260" s="16"/>
      <c r="C260" s="16"/>
      <c r="D260" s="42"/>
      <c r="E260" s="42"/>
      <c r="F260" s="42"/>
      <c r="G260" s="42"/>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row>
    <row r="261">
      <c r="A261" s="16"/>
      <c r="B261" s="16"/>
      <c r="C261" s="16"/>
      <c r="D261" s="42"/>
      <c r="E261" s="42"/>
      <c r="F261" s="42"/>
      <c r="G261" s="42"/>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row>
    <row r="262">
      <c r="A262" s="16"/>
      <c r="B262" s="16"/>
      <c r="C262" s="16"/>
      <c r="D262" s="42"/>
      <c r="E262" s="42"/>
      <c r="F262" s="42"/>
      <c r="G262" s="42"/>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row>
    <row r="263">
      <c r="A263" s="16"/>
      <c r="B263" s="16"/>
      <c r="C263" s="16"/>
      <c r="D263" s="42"/>
      <c r="E263" s="42"/>
      <c r="F263" s="42"/>
      <c r="G263" s="42"/>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row>
    <row r="264">
      <c r="A264" s="16"/>
      <c r="B264" s="16"/>
      <c r="C264" s="16"/>
      <c r="D264" s="42"/>
      <c r="E264" s="42"/>
      <c r="F264" s="42"/>
      <c r="G264" s="42"/>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row>
    <row r="265">
      <c r="A265" s="16"/>
      <c r="B265" s="16"/>
      <c r="C265" s="16"/>
      <c r="D265" s="42"/>
      <c r="E265" s="42"/>
      <c r="F265" s="42"/>
      <c r="G265" s="42"/>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row>
    <row r="266">
      <c r="A266" s="16"/>
      <c r="B266" s="16"/>
      <c r="C266" s="16"/>
      <c r="D266" s="42"/>
      <c r="E266" s="42"/>
      <c r="F266" s="42"/>
      <c r="G266" s="42"/>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row>
    <row r="267">
      <c r="A267" s="16"/>
      <c r="B267" s="16"/>
      <c r="C267" s="16"/>
      <c r="D267" s="42"/>
      <c r="E267" s="42"/>
      <c r="F267" s="42"/>
      <c r="G267" s="42"/>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row>
    <row r="268">
      <c r="A268" s="16"/>
      <c r="B268" s="16"/>
      <c r="C268" s="16"/>
      <c r="D268" s="42"/>
      <c r="E268" s="42"/>
      <c r="F268" s="42"/>
      <c r="G268" s="42"/>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row>
    <row r="269">
      <c r="A269" s="16"/>
      <c r="B269" s="16"/>
      <c r="C269" s="16"/>
      <c r="D269" s="42"/>
      <c r="E269" s="42"/>
      <c r="F269" s="42"/>
      <c r="G269" s="42"/>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row>
    <row r="270">
      <c r="A270" s="16"/>
      <c r="B270" s="16"/>
      <c r="C270" s="16"/>
      <c r="D270" s="42"/>
      <c r="E270" s="42"/>
      <c r="F270" s="42"/>
      <c r="G270" s="42"/>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row>
    <row r="271">
      <c r="A271" s="16"/>
      <c r="B271" s="16"/>
      <c r="C271" s="16"/>
      <c r="D271" s="42"/>
      <c r="E271" s="42"/>
      <c r="F271" s="42"/>
      <c r="G271" s="42"/>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row>
    <row r="272">
      <c r="A272" s="16"/>
      <c r="B272" s="16"/>
      <c r="C272" s="16"/>
      <c r="D272" s="42"/>
      <c r="E272" s="42"/>
      <c r="F272" s="42"/>
      <c r="G272" s="42"/>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row>
    <row r="273">
      <c r="A273" s="16"/>
      <c r="B273" s="16"/>
      <c r="C273" s="16"/>
      <c r="D273" s="42"/>
      <c r="E273" s="42"/>
      <c r="F273" s="42"/>
      <c r="G273" s="42"/>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row>
    <row r="274">
      <c r="A274" s="16"/>
      <c r="B274" s="16"/>
      <c r="C274" s="16"/>
      <c r="D274" s="42"/>
      <c r="E274" s="42"/>
      <c r="F274" s="42"/>
      <c r="G274" s="42"/>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row>
    <row r="275">
      <c r="A275" s="16"/>
      <c r="B275" s="16"/>
      <c r="C275" s="16"/>
      <c r="D275" s="42"/>
      <c r="E275" s="42"/>
      <c r="F275" s="42"/>
      <c r="G275" s="42"/>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c r="AW275" s="16"/>
      <c r="AX275" s="16"/>
    </row>
    <row r="276">
      <c r="A276" s="16"/>
      <c r="B276" s="16"/>
      <c r="C276" s="16"/>
      <c r="D276" s="42"/>
      <c r="E276" s="42"/>
      <c r="F276" s="42"/>
      <c r="G276" s="42"/>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c r="AW276" s="16"/>
      <c r="AX276" s="16"/>
    </row>
    <row r="277">
      <c r="A277" s="16"/>
      <c r="B277" s="16"/>
      <c r="C277" s="16"/>
      <c r="D277" s="42"/>
      <c r="E277" s="42"/>
      <c r="F277" s="42"/>
      <c r="G277" s="42"/>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c r="AW277" s="16"/>
      <c r="AX277" s="16"/>
    </row>
    <row r="278">
      <c r="A278" s="16"/>
      <c r="B278" s="16"/>
      <c r="C278" s="16"/>
      <c r="D278" s="42"/>
      <c r="E278" s="42"/>
      <c r="F278" s="42"/>
      <c r="G278" s="42"/>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V278" s="16"/>
      <c r="AW278" s="16"/>
      <c r="AX278" s="16"/>
    </row>
    <row r="279">
      <c r="A279" s="16"/>
      <c r="B279" s="16"/>
      <c r="C279" s="16"/>
      <c r="D279" s="42"/>
      <c r="E279" s="42"/>
      <c r="F279" s="42"/>
      <c r="G279" s="42"/>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c r="AW279" s="16"/>
      <c r="AX279" s="16"/>
    </row>
    <row r="280">
      <c r="A280" s="16"/>
      <c r="B280" s="16"/>
      <c r="C280" s="16"/>
      <c r="D280" s="42"/>
      <c r="E280" s="42"/>
      <c r="F280" s="42"/>
      <c r="G280" s="42"/>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V280" s="16"/>
      <c r="AW280" s="16"/>
      <c r="AX280" s="16"/>
    </row>
    <row r="281">
      <c r="A281" s="16"/>
      <c r="B281" s="16"/>
      <c r="C281" s="16"/>
      <c r="D281" s="42"/>
      <c r="E281" s="42"/>
      <c r="F281" s="42"/>
      <c r="G281" s="42"/>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V281" s="16"/>
      <c r="AW281" s="16"/>
      <c r="AX281" s="16"/>
    </row>
    <row r="282">
      <c r="A282" s="16"/>
      <c r="B282" s="16"/>
      <c r="C282" s="16"/>
      <c r="D282" s="42"/>
      <c r="E282" s="42"/>
      <c r="F282" s="42"/>
      <c r="G282" s="42"/>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V282" s="16"/>
      <c r="AW282" s="16"/>
      <c r="AX282" s="16"/>
    </row>
    <row r="283">
      <c r="A283" s="16"/>
      <c r="B283" s="16"/>
      <c r="C283" s="16"/>
      <c r="D283" s="42"/>
      <c r="E283" s="42"/>
      <c r="F283" s="42"/>
      <c r="G283" s="42"/>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c r="AW283" s="16"/>
      <c r="AX283" s="16"/>
    </row>
    <row r="284">
      <c r="A284" s="16"/>
      <c r="B284" s="16"/>
      <c r="C284" s="16"/>
      <c r="D284" s="42"/>
      <c r="E284" s="42"/>
      <c r="F284" s="42"/>
      <c r="G284" s="42"/>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row>
    <row r="285">
      <c r="A285" s="16"/>
      <c r="B285" s="16"/>
      <c r="C285" s="16"/>
      <c r="D285" s="42"/>
      <c r="E285" s="42"/>
      <c r="F285" s="42"/>
      <c r="G285" s="42"/>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row>
    <row r="286">
      <c r="A286" s="16"/>
      <c r="B286" s="16"/>
      <c r="C286" s="16"/>
      <c r="D286" s="42"/>
      <c r="E286" s="42"/>
      <c r="F286" s="42"/>
      <c r="G286" s="42"/>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row>
    <row r="287">
      <c r="A287" s="16"/>
      <c r="B287" s="16"/>
      <c r="C287" s="16"/>
      <c r="D287" s="42"/>
      <c r="E287" s="42"/>
      <c r="F287" s="42"/>
      <c r="G287" s="42"/>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row>
    <row r="288">
      <c r="A288" s="16"/>
      <c r="B288" s="16"/>
      <c r="C288" s="16"/>
      <c r="D288" s="42"/>
      <c r="E288" s="42"/>
      <c r="F288" s="42"/>
      <c r="G288" s="42"/>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row>
    <row r="289">
      <c r="A289" s="16"/>
      <c r="B289" s="16"/>
      <c r="C289" s="16"/>
      <c r="D289" s="42"/>
      <c r="E289" s="42"/>
      <c r="F289" s="42"/>
      <c r="G289" s="42"/>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row>
    <row r="290">
      <c r="A290" s="16"/>
      <c r="B290" s="16"/>
      <c r="C290" s="16"/>
      <c r="D290" s="42"/>
      <c r="E290" s="42"/>
      <c r="F290" s="42"/>
      <c r="G290" s="42"/>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row>
    <row r="291">
      <c r="A291" s="16"/>
      <c r="B291" s="16"/>
      <c r="C291" s="16"/>
      <c r="D291" s="42"/>
      <c r="E291" s="42"/>
      <c r="F291" s="42"/>
      <c r="G291" s="42"/>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row>
    <row r="292">
      <c r="A292" s="16"/>
      <c r="B292" s="16"/>
      <c r="C292" s="16"/>
      <c r="D292" s="42"/>
      <c r="E292" s="42"/>
      <c r="F292" s="42"/>
      <c r="G292" s="42"/>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row>
    <row r="293">
      <c r="A293" s="16"/>
      <c r="B293" s="16"/>
      <c r="C293" s="16"/>
      <c r="D293" s="42"/>
      <c r="E293" s="42"/>
      <c r="F293" s="42"/>
      <c r="G293" s="42"/>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row>
    <row r="294">
      <c r="A294" s="16"/>
      <c r="B294" s="16"/>
      <c r="C294" s="16"/>
      <c r="D294" s="42"/>
      <c r="E294" s="42"/>
      <c r="F294" s="42"/>
      <c r="G294" s="42"/>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row>
    <row r="295">
      <c r="A295" s="16"/>
      <c r="B295" s="16"/>
      <c r="C295" s="16"/>
      <c r="D295" s="42"/>
      <c r="E295" s="42"/>
      <c r="F295" s="42"/>
      <c r="G295" s="42"/>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row>
    <row r="296">
      <c r="A296" s="16"/>
      <c r="B296" s="16"/>
      <c r="C296" s="16"/>
      <c r="D296" s="42"/>
      <c r="E296" s="42"/>
      <c r="F296" s="42"/>
      <c r="G296" s="42"/>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row>
    <row r="297">
      <c r="A297" s="16"/>
      <c r="B297" s="16"/>
      <c r="C297" s="16"/>
      <c r="D297" s="42"/>
      <c r="E297" s="42"/>
      <c r="F297" s="42"/>
      <c r="G297" s="42"/>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row>
    <row r="298">
      <c r="A298" s="16"/>
      <c r="B298" s="16"/>
      <c r="C298" s="16"/>
      <c r="D298" s="42"/>
      <c r="E298" s="42"/>
      <c r="F298" s="42"/>
      <c r="G298" s="42"/>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row>
    <row r="299">
      <c r="A299" s="16"/>
      <c r="B299" s="16"/>
      <c r="C299" s="16"/>
      <c r="D299" s="42"/>
      <c r="E299" s="42"/>
      <c r="F299" s="42"/>
      <c r="G299" s="42"/>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row>
    <row r="300">
      <c r="A300" s="16"/>
      <c r="B300" s="16"/>
      <c r="C300" s="16"/>
      <c r="D300" s="42"/>
      <c r="E300" s="42"/>
      <c r="F300" s="42"/>
      <c r="G300" s="42"/>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row>
    <row r="301">
      <c r="A301" s="16"/>
      <c r="B301" s="16"/>
      <c r="C301" s="16"/>
      <c r="D301" s="42"/>
      <c r="E301" s="42"/>
      <c r="F301" s="42"/>
      <c r="G301" s="42"/>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row>
    <row r="302">
      <c r="A302" s="16"/>
      <c r="B302" s="16"/>
      <c r="C302" s="16"/>
      <c r="D302" s="42"/>
      <c r="E302" s="42"/>
      <c r="F302" s="42"/>
      <c r="G302" s="42"/>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6"/>
    </row>
    <row r="303">
      <c r="A303" s="16"/>
      <c r="B303" s="16"/>
      <c r="C303" s="16"/>
      <c r="D303" s="42"/>
      <c r="E303" s="42"/>
      <c r="F303" s="42"/>
      <c r="G303" s="42"/>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row>
    <row r="304">
      <c r="A304" s="16"/>
      <c r="B304" s="16"/>
      <c r="C304" s="16"/>
      <c r="D304" s="42"/>
      <c r="E304" s="42"/>
      <c r="F304" s="42"/>
      <c r="G304" s="42"/>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c r="AW304" s="16"/>
      <c r="AX304" s="16"/>
    </row>
    <row r="305">
      <c r="A305" s="16"/>
      <c r="B305" s="16"/>
      <c r="C305" s="16"/>
      <c r="D305" s="42"/>
      <c r="E305" s="42"/>
      <c r="F305" s="42"/>
      <c r="G305" s="42"/>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row>
    <row r="306">
      <c r="A306" s="16"/>
      <c r="B306" s="16"/>
      <c r="C306" s="16"/>
      <c r="D306" s="42"/>
      <c r="E306" s="42"/>
      <c r="F306" s="42"/>
      <c r="G306" s="42"/>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V306" s="16"/>
      <c r="AW306" s="16"/>
      <c r="AX306" s="16"/>
    </row>
    <row r="307">
      <c r="A307" s="16"/>
      <c r="B307" s="16"/>
      <c r="C307" s="16"/>
      <c r="D307" s="42"/>
      <c r="E307" s="42"/>
      <c r="F307" s="42"/>
      <c r="G307" s="42"/>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c r="AW307" s="16"/>
      <c r="AX307" s="16"/>
    </row>
    <row r="308">
      <c r="A308" s="16"/>
      <c r="B308" s="16"/>
      <c r="C308" s="16"/>
      <c r="D308" s="42"/>
      <c r="E308" s="42"/>
      <c r="F308" s="42"/>
      <c r="G308" s="42"/>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V308" s="16"/>
      <c r="AW308" s="16"/>
      <c r="AX308" s="16"/>
    </row>
    <row r="309">
      <c r="A309" s="16"/>
      <c r="B309" s="16"/>
      <c r="C309" s="16"/>
      <c r="D309" s="42"/>
      <c r="E309" s="42"/>
      <c r="F309" s="42"/>
      <c r="G309" s="42"/>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row>
    <row r="310">
      <c r="A310" s="16"/>
      <c r="B310" s="16"/>
      <c r="C310" s="16"/>
      <c r="D310" s="42"/>
      <c r="E310" s="42"/>
      <c r="F310" s="42"/>
      <c r="G310" s="42"/>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row>
    <row r="311">
      <c r="A311" s="16"/>
      <c r="B311" s="16"/>
      <c r="C311" s="16"/>
      <c r="D311" s="42"/>
      <c r="E311" s="42"/>
      <c r="F311" s="42"/>
      <c r="G311" s="42"/>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row>
    <row r="312">
      <c r="A312" s="16"/>
      <c r="B312" s="16"/>
      <c r="C312" s="16"/>
      <c r="D312" s="42"/>
      <c r="E312" s="42"/>
      <c r="F312" s="42"/>
      <c r="G312" s="42"/>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6"/>
    </row>
    <row r="313">
      <c r="A313" s="16"/>
      <c r="B313" s="16"/>
      <c r="C313" s="16"/>
      <c r="D313" s="42"/>
      <c r="E313" s="42"/>
      <c r="F313" s="42"/>
      <c r="G313" s="42"/>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row>
    <row r="314">
      <c r="A314" s="16"/>
      <c r="B314" s="16"/>
      <c r="C314" s="16"/>
      <c r="D314" s="42"/>
      <c r="E314" s="42"/>
      <c r="F314" s="42"/>
      <c r="G314" s="42"/>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6"/>
    </row>
    <row r="315">
      <c r="A315" s="16"/>
      <c r="B315" s="16"/>
      <c r="C315" s="16"/>
      <c r="D315" s="42"/>
      <c r="E315" s="42"/>
      <c r="F315" s="42"/>
      <c r="G315" s="42"/>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row>
    <row r="316">
      <c r="A316" s="16"/>
      <c r="B316" s="16"/>
      <c r="C316" s="16"/>
      <c r="D316" s="42"/>
      <c r="E316" s="42"/>
      <c r="F316" s="42"/>
      <c r="G316" s="42"/>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c r="AW316" s="16"/>
      <c r="AX316" s="16"/>
    </row>
    <row r="317">
      <c r="A317" s="16"/>
      <c r="B317" s="16"/>
      <c r="C317" s="16"/>
      <c r="D317" s="42"/>
      <c r="E317" s="42"/>
      <c r="F317" s="42"/>
      <c r="G317" s="42"/>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row>
    <row r="318">
      <c r="A318" s="16"/>
      <c r="B318" s="16"/>
      <c r="C318" s="16"/>
      <c r="D318" s="42"/>
      <c r="E318" s="42"/>
      <c r="F318" s="42"/>
      <c r="G318" s="42"/>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row>
    <row r="319">
      <c r="A319" s="16"/>
      <c r="B319" s="16"/>
      <c r="C319" s="16"/>
      <c r="D319" s="42"/>
      <c r="E319" s="42"/>
      <c r="F319" s="42"/>
      <c r="G319" s="42"/>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row>
    <row r="320">
      <c r="A320" s="16"/>
      <c r="B320" s="16"/>
      <c r="C320" s="16"/>
      <c r="D320" s="42"/>
      <c r="E320" s="42"/>
      <c r="F320" s="42"/>
      <c r="G320" s="42"/>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row>
    <row r="321">
      <c r="A321" s="16"/>
      <c r="B321" s="16"/>
      <c r="C321" s="16"/>
      <c r="D321" s="42"/>
      <c r="E321" s="42"/>
      <c r="F321" s="42"/>
      <c r="G321" s="42"/>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row>
    <row r="322">
      <c r="A322" s="16"/>
      <c r="B322" s="16"/>
      <c r="C322" s="16"/>
      <c r="D322" s="42"/>
      <c r="E322" s="42"/>
      <c r="F322" s="42"/>
      <c r="G322" s="42"/>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V322" s="16"/>
      <c r="AW322" s="16"/>
      <c r="AX322" s="16"/>
    </row>
    <row r="323">
      <c r="A323" s="16"/>
      <c r="B323" s="16"/>
      <c r="C323" s="16"/>
      <c r="D323" s="42"/>
      <c r="E323" s="42"/>
      <c r="F323" s="42"/>
      <c r="G323" s="42"/>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c r="AW323" s="16"/>
      <c r="AX323" s="16"/>
    </row>
    <row r="324">
      <c r="A324" s="16"/>
      <c r="B324" s="16"/>
      <c r="C324" s="16"/>
      <c r="D324" s="42"/>
      <c r="E324" s="42"/>
      <c r="F324" s="42"/>
      <c r="G324" s="42"/>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V324" s="16"/>
      <c r="AW324" s="16"/>
      <c r="AX324" s="16"/>
    </row>
    <row r="325">
      <c r="A325" s="16"/>
      <c r="B325" s="16"/>
      <c r="C325" s="16"/>
      <c r="D325" s="42"/>
      <c r="E325" s="42"/>
      <c r="F325" s="42"/>
      <c r="G325" s="42"/>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c r="AW325" s="16"/>
      <c r="AX325" s="16"/>
    </row>
    <row r="326">
      <c r="A326" s="16"/>
      <c r="B326" s="16"/>
      <c r="C326" s="16"/>
      <c r="D326" s="42"/>
      <c r="E326" s="42"/>
      <c r="F326" s="42"/>
      <c r="G326" s="42"/>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V326" s="16"/>
      <c r="AW326" s="16"/>
      <c r="AX326" s="16"/>
    </row>
    <row r="327">
      <c r="A327" s="16"/>
      <c r="B327" s="16"/>
      <c r="C327" s="16"/>
      <c r="D327" s="42"/>
      <c r="E327" s="42"/>
      <c r="F327" s="42"/>
      <c r="G327" s="42"/>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V327" s="16"/>
      <c r="AW327" s="16"/>
      <c r="AX327" s="16"/>
    </row>
    <row r="328">
      <c r="A328" s="16"/>
      <c r="B328" s="16"/>
      <c r="C328" s="16"/>
      <c r="D328" s="42"/>
      <c r="E328" s="42"/>
      <c r="F328" s="42"/>
      <c r="G328" s="42"/>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V328" s="16"/>
      <c r="AW328" s="16"/>
      <c r="AX328" s="16"/>
    </row>
    <row r="329">
      <c r="A329" s="16"/>
      <c r="B329" s="16"/>
      <c r="C329" s="16"/>
      <c r="D329" s="42"/>
      <c r="E329" s="42"/>
      <c r="F329" s="42"/>
      <c r="G329" s="42"/>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V329" s="16"/>
      <c r="AW329" s="16"/>
      <c r="AX329" s="16"/>
    </row>
    <row r="330">
      <c r="A330" s="16"/>
      <c r="B330" s="16"/>
      <c r="C330" s="16"/>
      <c r="D330" s="42"/>
      <c r="E330" s="42"/>
      <c r="F330" s="42"/>
      <c r="G330" s="42"/>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row>
    <row r="331">
      <c r="A331" s="16"/>
      <c r="B331" s="16"/>
      <c r="C331" s="16"/>
      <c r="D331" s="42"/>
      <c r="E331" s="42"/>
      <c r="F331" s="42"/>
      <c r="G331" s="42"/>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c r="AW331" s="16"/>
      <c r="AX331" s="16"/>
    </row>
    <row r="332">
      <c r="A332" s="16"/>
      <c r="B332" s="16"/>
      <c r="C332" s="16"/>
      <c r="D332" s="42"/>
      <c r="E332" s="42"/>
      <c r="F332" s="42"/>
      <c r="G332" s="42"/>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V332" s="16"/>
      <c r="AW332" s="16"/>
      <c r="AX332" s="16"/>
    </row>
    <row r="333">
      <c r="A333" s="16"/>
      <c r="B333" s="16"/>
      <c r="C333" s="16"/>
      <c r="D333" s="42"/>
      <c r="E333" s="42"/>
      <c r="F333" s="42"/>
      <c r="G333" s="42"/>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V333" s="16"/>
      <c r="AW333" s="16"/>
      <c r="AX333" s="16"/>
    </row>
    <row r="334">
      <c r="A334" s="16"/>
      <c r="B334" s="16"/>
      <c r="C334" s="16"/>
      <c r="D334" s="42"/>
      <c r="E334" s="42"/>
      <c r="F334" s="42"/>
      <c r="G334" s="42"/>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V334" s="16"/>
      <c r="AW334" s="16"/>
      <c r="AX334" s="16"/>
    </row>
    <row r="335">
      <c r="A335" s="16"/>
      <c r="B335" s="16"/>
      <c r="C335" s="16"/>
      <c r="D335" s="42"/>
      <c r="E335" s="42"/>
      <c r="F335" s="42"/>
      <c r="G335" s="42"/>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V335" s="16"/>
      <c r="AW335" s="16"/>
      <c r="AX335" s="16"/>
    </row>
    <row r="336">
      <c r="A336" s="16"/>
      <c r="B336" s="16"/>
      <c r="C336" s="16"/>
      <c r="D336" s="42"/>
      <c r="E336" s="42"/>
      <c r="F336" s="42"/>
      <c r="G336" s="42"/>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row>
    <row r="337">
      <c r="A337" s="16"/>
      <c r="B337" s="16"/>
      <c r="C337" s="16"/>
      <c r="D337" s="42"/>
      <c r="E337" s="42"/>
      <c r="F337" s="42"/>
      <c r="G337" s="42"/>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c r="AW337" s="16"/>
      <c r="AX337" s="16"/>
    </row>
    <row r="338">
      <c r="A338" s="16"/>
      <c r="B338" s="16"/>
      <c r="C338" s="16"/>
      <c r="D338" s="42"/>
      <c r="E338" s="42"/>
      <c r="F338" s="42"/>
      <c r="G338" s="42"/>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row>
    <row r="339">
      <c r="A339" s="16"/>
      <c r="B339" s="16"/>
      <c r="C339" s="16"/>
      <c r="D339" s="42"/>
      <c r="E339" s="42"/>
      <c r="F339" s="42"/>
      <c r="G339" s="42"/>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row>
    <row r="340">
      <c r="A340" s="16"/>
      <c r="B340" s="16"/>
      <c r="C340" s="16"/>
      <c r="D340" s="42"/>
      <c r="E340" s="42"/>
      <c r="F340" s="42"/>
      <c r="G340" s="42"/>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row>
    <row r="341">
      <c r="A341" s="16"/>
      <c r="B341" s="16"/>
      <c r="C341" s="16"/>
      <c r="D341" s="42"/>
      <c r="E341" s="42"/>
      <c r="F341" s="42"/>
      <c r="G341" s="42"/>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row>
    <row r="342">
      <c r="A342" s="16"/>
      <c r="B342" s="16"/>
      <c r="C342" s="16"/>
      <c r="D342" s="42"/>
      <c r="E342" s="42"/>
      <c r="F342" s="42"/>
      <c r="G342" s="42"/>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row>
    <row r="343">
      <c r="A343" s="16"/>
      <c r="B343" s="16"/>
      <c r="C343" s="16"/>
      <c r="D343" s="42"/>
      <c r="E343" s="42"/>
      <c r="F343" s="42"/>
      <c r="G343" s="42"/>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row>
    <row r="344">
      <c r="A344" s="16"/>
      <c r="B344" s="16"/>
      <c r="C344" s="16"/>
      <c r="D344" s="42"/>
      <c r="E344" s="42"/>
      <c r="F344" s="42"/>
      <c r="G344" s="42"/>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row>
    <row r="345">
      <c r="A345" s="16"/>
      <c r="B345" s="16"/>
      <c r="C345" s="16"/>
      <c r="D345" s="42"/>
      <c r="E345" s="42"/>
      <c r="F345" s="42"/>
      <c r="G345" s="42"/>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row>
    <row r="346">
      <c r="A346" s="16"/>
      <c r="B346" s="16"/>
      <c r="C346" s="16"/>
      <c r="D346" s="42"/>
      <c r="E346" s="42"/>
      <c r="F346" s="42"/>
      <c r="G346" s="42"/>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row>
    <row r="347">
      <c r="A347" s="16"/>
      <c r="B347" s="16"/>
      <c r="C347" s="16"/>
      <c r="D347" s="42"/>
      <c r="E347" s="42"/>
      <c r="F347" s="42"/>
      <c r="G347" s="42"/>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row>
    <row r="348">
      <c r="A348" s="16"/>
      <c r="B348" s="16"/>
      <c r="C348" s="16"/>
      <c r="D348" s="42"/>
      <c r="E348" s="42"/>
      <c r="F348" s="42"/>
      <c r="G348" s="42"/>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row>
    <row r="349">
      <c r="A349" s="16"/>
      <c r="B349" s="16"/>
      <c r="C349" s="16"/>
      <c r="D349" s="42"/>
      <c r="E349" s="42"/>
      <c r="F349" s="42"/>
      <c r="G349" s="42"/>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row>
    <row r="350">
      <c r="A350" s="16"/>
      <c r="B350" s="16"/>
      <c r="C350" s="16"/>
      <c r="D350" s="42"/>
      <c r="E350" s="42"/>
      <c r="F350" s="42"/>
      <c r="G350" s="42"/>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row>
    <row r="351">
      <c r="A351" s="16"/>
      <c r="B351" s="16"/>
      <c r="C351" s="16"/>
      <c r="D351" s="42"/>
      <c r="E351" s="42"/>
      <c r="F351" s="42"/>
      <c r="G351" s="42"/>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row>
    <row r="352">
      <c r="A352" s="16"/>
      <c r="B352" s="16"/>
      <c r="C352" s="16"/>
      <c r="D352" s="42"/>
      <c r="E352" s="42"/>
      <c r="F352" s="42"/>
      <c r="G352" s="42"/>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row>
    <row r="353">
      <c r="A353" s="16"/>
      <c r="B353" s="16"/>
      <c r="C353" s="16"/>
      <c r="D353" s="42"/>
      <c r="E353" s="42"/>
      <c r="F353" s="42"/>
      <c r="G353" s="42"/>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row>
    <row r="354">
      <c r="A354" s="16"/>
      <c r="B354" s="16"/>
      <c r="C354" s="16"/>
      <c r="D354" s="42"/>
      <c r="E354" s="42"/>
      <c r="F354" s="42"/>
      <c r="G354" s="42"/>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c r="AW354" s="16"/>
      <c r="AX354" s="16"/>
    </row>
    <row r="355">
      <c r="A355" s="16"/>
      <c r="B355" s="16"/>
      <c r="C355" s="16"/>
      <c r="D355" s="42"/>
      <c r="E355" s="42"/>
      <c r="F355" s="42"/>
      <c r="G355" s="42"/>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row>
    <row r="356">
      <c r="A356" s="16"/>
      <c r="B356" s="16"/>
      <c r="C356" s="16"/>
      <c r="D356" s="42"/>
      <c r="E356" s="42"/>
      <c r="F356" s="42"/>
      <c r="G356" s="42"/>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row>
    <row r="357">
      <c r="A357" s="16"/>
      <c r="B357" s="16"/>
      <c r="C357" s="16"/>
      <c r="D357" s="42"/>
      <c r="E357" s="42"/>
      <c r="F357" s="42"/>
      <c r="G357" s="42"/>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row>
    <row r="358">
      <c r="A358" s="16"/>
      <c r="B358" s="16"/>
      <c r="C358" s="16"/>
      <c r="D358" s="42"/>
      <c r="E358" s="42"/>
      <c r="F358" s="42"/>
      <c r="G358" s="42"/>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6"/>
    </row>
    <row r="359">
      <c r="A359" s="16"/>
      <c r="B359" s="16"/>
      <c r="C359" s="16"/>
      <c r="D359" s="42"/>
      <c r="E359" s="42"/>
      <c r="F359" s="42"/>
      <c r="G359" s="42"/>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V359" s="16"/>
      <c r="AW359" s="16"/>
      <c r="AX359" s="16"/>
    </row>
    <row r="360">
      <c r="A360" s="16"/>
      <c r="B360" s="16"/>
      <c r="C360" s="16"/>
      <c r="D360" s="42"/>
      <c r="E360" s="42"/>
      <c r="F360" s="42"/>
      <c r="G360" s="42"/>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row>
    <row r="361">
      <c r="A361" s="16"/>
      <c r="B361" s="16"/>
      <c r="C361" s="16"/>
      <c r="D361" s="42"/>
      <c r="E361" s="42"/>
      <c r="F361" s="42"/>
      <c r="G361" s="42"/>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V361" s="16"/>
      <c r="AW361" s="16"/>
      <c r="AX361" s="16"/>
    </row>
    <row r="362">
      <c r="A362" s="16"/>
      <c r="B362" s="16"/>
      <c r="C362" s="16"/>
      <c r="D362" s="42"/>
      <c r="E362" s="42"/>
      <c r="F362" s="42"/>
      <c r="G362" s="42"/>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V362" s="16"/>
      <c r="AW362" s="16"/>
      <c r="AX362" s="16"/>
    </row>
    <row r="363">
      <c r="A363" s="16"/>
      <c r="B363" s="16"/>
      <c r="C363" s="16"/>
      <c r="D363" s="42"/>
      <c r="E363" s="42"/>
      <c r="F363" s="42"/>
      <c r="G363" s="42"/>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c r="AW363" s="16"/>
      <c r="AX363" s="16"/>
    </row>
    <row r="364">
      <c r="A364" s="16"/>
      <c r="B364" s="16"/>
      <c r="C364" s="16"/>
      <c r="D364" s="42"/>
      <c r="E364" s="42"/>
      <c r="F364" s="42"/>
      <c r="G364" s="42"/>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row>
    <row r="365">
      <c r="A365" s="16"/>
      <c r="B365" s="16"/>
      <c r="C365" s="16"/>
      <c r="D365" s="42"/>
      <c r="E365" s="42"/>
      <c r="F365" s="42"/>
      <c r="G365" s="42"/>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row>
    <row r="366">
      <c r="A366" s="16"/>
      <c r="B366" s="16"/>
      <c r="C366" s="16"/>
      <c r="D366" s="42"/>
      <c r="E366" s="42"/>
      <c r="F366" s="42"/>
      <c r="G366" s="42"/>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row>
    <row r="367">
      <c r="A367" s="16"/>
      <c r="B367" s="16"/>
      <c r="C367" s="16"/>
      <c r="D367" s="42"/>
      <c r="E367" s="42"/>
      <c r="F367" s="42"/>
      <c r="G367" s="42"/>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row>
    <row r="368">
      <c r="A368" s="16"/>
      <c r="B368" s="16"/>
      <c r="C368" s="16"/>
      <c r="D368" s="42"/>
      <c r="E368" s="42"/>
      <c r="F368" s="42"/>
      <c r="G368" s="42"/>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row>
    <row r="369">
      <c r="A369" s="16"/>
      <c r="B369" s="16"/>
      <c r="C369" s="16"/>
      <c r="D369" s="42"/>
      <c r="E369" s="42"/>
      <c r="F369" s="42"/>
      <c r="G369" s="42"/>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row>
    <row r="370">
      <c r="A370" s="16"/>
      <c r="B370" s="16"/>
      <c r="C370" s="16"/>
      <c r="D370" s="42"/>
      <c r="E370" s="42"/>
      <c r="F370" s="42"/>
      <c r="G370" s="42"/>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row>
    <row r="371">
      <c r="A371" s="16"/>
      <c r="B371" s="16"/>
      <c r="C371" s="16"/>
      <c r="D371" s="42"/>
      <c r="E371" s="42"/>
      <c r="F371" s="42"/>
      <c r="G371" s="42"/>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row>
    <row r="372">
      <c r="A372" s="16"/>
      <c r="B372" s="16"/>
      <c r="C372" s="16"/>
      <c r="D372" s="42"/>
      <c r="E372" s="42"/>
      <c r="F372" s="42"/>
      <c r="G372" s="42"/>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V372" s="16"/>
      <c r="AW372" s="16"/>
      <c r="AX372" s="16"/>
    </row>
    <row r="373">
      <c r="A373" s="16"/>
      <c r="B373" s="16"/>
      <c r="C373" s="16"/>
      <c r="D373" s="42"/>
      <c r="E373" s="42"/>
      <c r="F373" s="42"/>
      <c r="G373" s="42"/>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V373" s="16"/>
      <c r="AW373" s="16"/>
      <c r="AX373" s="16"/>
    </row>
    <row r="374">
      <c r="A374" s="16"/>
      <c r="B374" s="16"/>
      <c r="C374" s="16"/>
      <c r="D374" s="42"/>
      <c r="E374" s="42"/>
      <c r="F374" s="42"/>
      <c r="G374" s="42"/>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c r="AW374" s="16"/>
      <c r="AX374" s="16"/>
    </row>
    <row r="375">
      <c r="A375" s="16"/>
      <c r="B375" s="16"/>
      <c r="C375" s="16"/>
      <c r="D375" s="42"/>
      <c r="E375" s="42"/>
      <c r="F375" s="42"/>
      <c r="G375" s="42"/>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row>
    <row r="376">
      <c r="A376" s="16"/>
      <c r="B376" s="16"/>
      <c r="C376" s="16"/>
      <c r="D376" s="42"/>
      <c r="E376" s="42"/>
      <c r="F376" s="42"/>
      <c r="G376" s="42"/>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6"/>
    </row>
    <row r="377">
      <c r="A377" s="16"/>
      <c r="B377" s="16"/>
      <c r="C377" s="16"/>
      <c r="D377" s="42"/>
      <c r="E377" s="42"/>
      <c r="F377" s="42"/>
      <c r="G377" s="42"/>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c r="AW377" s="16"/>
      <c r="AX377" s="16"/>
    </row>
    <row r="378">
      <c r="A378" s="16"/>
      <c r="B378" s="16"/>
      <c r="C378" s="16"/>
      <c r="D378" s="42"/>
      <c r="E378" s="42"/>
      <c r="F378" s="42"/>
      <c r="G378" s="42"/>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6"/>
    </row>
    <row r="379">
      <c r="A379" s="16"/>
      <c r="B379" s="16"/>
      <c r="C379" s="16"/>
      <c r="D379" s="42"/>
      <c r="E379" s="42"/>
      <c r="F379" s="42"/>
      <c r="G379" s="42"/>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row>
    <row r="380">
      <c r="A380" s="16"/>
      <c r="B380" s="16"/>
      <c r="C380" s="16"/>
      <c r="D380" s="42"/>
      <c r="E380" s="42"/>
      <c r="F380" s="42"/>
      <c r="G380" s="42"/>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c r="AW380" s="16"/>
      <c r="AX380" s="16"/>
    </row>
    <row r="381">
      <c r="A381" s="16"/>
      <c r="B381" s="16"/>
      <c r="C381" s="16"/>
      <c r="D381" s="42"/>
      <c r="E381" s="42"/>
      <c r="F381" s="42"/>
      <c r="G381" s="42"/>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row>
    <row r="382">
      <c r="A382" s="16"/>
      <c r="B382" s="16"/>
      <c r="C382" s="16"/>
      <c r="D382" s="42"/>
      <c r="E382" s="42"/>
      <c r="F382" s="42"/>
      <c r="G382" s="42"/>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c r="AW382" s="16"/>
      <c r="AX382" s="16"/>
    </row>
    <row r="383">
      <c r="A383" s="16"/>
      <c r="B383" s="16"/>
      <c r="C383" s="16"/>
      <c r="D383" s="42"/>
      <c r="E383" s="42"/>
      <c r="F383" s="42"/>
      <c r="G383" s="42"/>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V383" s="16"/>
      <c r="AW383" s="16"/>
      <c r="AX383" s="16"/>
    </row>
    <row r="384">
      <c r="A384" s="16"/>
      <c r="B384" s="16"/>
      <c r="C384" s="16"/>
      <c r="D384" s="42"/>
      <c r="E384" s="42"/>
      <c r="F384" s="42"/>
      <c r="G384" s="42"/>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V384" s="16"/>
      <c r="AW384" s="16"/>
      <c r="AX384" s="16"/>
    </row>
    <row r="385">
      <c r="A385" s="16"/>
      <c r="B385" s="16"/>
      <c r="C385" s="16"/>
      <c r="D385" s="42"/>
      <c r="E385" s="42"/>
      <c r="F385" s="42"/>
      <c r="G385" s="42"/>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V385" s="16"/>
      <c r="AW385" s="16"/>
      <c r="AX385" s="16"/>
    </row>
    <row r="386">
      <c r="A386" s="16"/>
      <c r="B386" s="16"/>
      <c r="C386" s="16"/>
      <c r="D386" s="42"/>
      <c r="E386" s="42"/>
      <c r="F386" s="42"/>
      <c r="G386" s="42"/>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c r="AV386" s="16"/>
      <c r="AW386" s="16"/>
      <c r="AX386" s="16"/>
    </row>
    <row r="387">
      <c r="A387" s="16"/>
      <c r="B387" s="16"/>
      <c r="C387" s="16"/>
      <c r="D387" s="42"/>
      <c r="E387" s="42"/>
      <c r="F387" s="42"/>
      <c r="G387" s="42"/>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U387" s="16"/>
      <c r="AV387" s="16"/>
      <c r="AW387" s="16"/>
      <c r="AX387" s="16"/>
    </row>
    <row r="388">
      <c r="A388" s="16"/>
      <c r="B388" s="16"/>
      <c r="C388" s="16"/>
      <c r="D388" s="42"/>
      <c r="E388" s="42"/>
      <c r="F388" s="42"/>
      <c r="G388" s="42"/>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c r="AV388" s="16"/>
      <c r="AW388" s="16"/>
      <c r="AX388" s="16"/>
    </row>
    <row r="389">
      <c r="A389" s="16"/>
      <c r="B389" s="16"/>
      <c r="C389" s="16"/>
      <c r="D389" s="42"/>
      <c r="E389" s="42"/>
      <c r="F389" s="42"/>
      <c r="G389" s="42"/>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c r="AV389" s="16"/>
      <c r="AW389" s="16"/>
      <c r="AX389" s="16"/>
    </row>
    <row r="390">
      <c r="A390" s="16"/>
      <c r="B390" s="16"/>
      <c r="C390" s="16"/>
      <c r="D390" s="42"/>
      <c r="E390" s="42"/>
      <c r="F390" s="42"/>
      <c r="G390" s="42"/>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c r="AV390" s="16"/>
      <c r="AW390" s="16"/>
      <c r="AX390" s="16"/>
    </row>
    <row r="391">
      <c r="A391" s="16"/>
      <c r="B391" s="16"/>
      <c r="C391" s="16"/>
      <c r="D391" s="42"/>
      <c r="E391" s="42"/>
      <c r="F391" s="42"/>
      <c r="G391" s="42"/>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c r="AV391" s="16"/>
      <c r="AW391" s="16"/>
      <c r="AX391" s="16"/>
    </row>
    <row r="392">
      <c r="A392" s="16"/>
      <c r="B392" s="16"/>
      <c r="C392" s="16"/>
      <c r="D392" s="42"/>
      <c r="E392" s="42"/>
      <c r="F392" s="42"/>
      <c r="G392" s="42"/>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U392" s="16"/>
      <c r="AV392" s="16"/>
      <c r="AW392" s="16"/>
      <c r="AX392" s="16"/>
    </row>
    <row r="393">
      <c r="A393" s="16"/>
      <c r="B393" s="16"/>
      <c r="C393" s="16"/>
      <c r="D393" s="42"/>
      <c r="E393" s="42"/>
      <c r="F393" s="42"/>
      <c r="G393" s="42"/>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c r="AV393" s="16"/>
      <c r="AW393" s="16"/>
      <c r="AX393" s="16"/>
    </row>
    <row r="394">
      <c r="A394" s="16"/>
      <c r="B394" s="16"/>
      <c r="C394" s="16"/>
      <c r="D394" s="42"/>
      <c r="E394" s="42"/>
      <c r="F394" s="42"/>
      <c r="G394" s="42"/>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V394" s="16"/>
      <c r="AW394" s="16"/>
      <c r="AX394" s="16"/>
    </row>
    <row r="395">
      <c r="A395" s="16"/>
      <c r="B395" s="16"/>
      <c r="C395" s="16"/>
      <c r="D395" s="42"/>
      <c r="E395" s="42"/>
      <c r="F395" s="42"/>
      <c r="G395" s="42"/>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U395" s="16"/>
      <c r="AV395" s="16"/>
      <c r="AW395" s="16"/>
      <c r="AX395" s="16"/>
    </row>
    <row r="396">
      <c r="A396" s="16"/>
      <c r="B396" s="16"/>
      <c r="C396" s="16"/>
      <c r="D396" s="42"/>
      <c r="E396" s="42"/>
      <c r="F396" s="42"/>
      <c r="G396" s="42"/>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V396" s="16"/>
      <c r="AW396" s="16"/>
      <c r="AX396" s="16"/>
    </row>
    <row r="397">
      <c r="A397" s="16"/>
      <c r="B397" s="16"/>
      <c r="C397" s="16"/>
      <c r="D397" s="42"/>
      <c r="E397" s="42"/>
      <c r="F397" s="42"/>
      <c r="G397" s="42"/>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c r="AV397" s="16"/>
      <c r="AW397" s="16"/>
      <c r="AX397" s="16"/>
    </row>
    <row r="398">
      <c r="A398" s="16"/>
      <c r="B398" s="16"/>
      <c r="C398" s="16"/>
      <c r="D398" s="42"/>
      <c r="E398" s="42"/>
      <c r="F398" s="42"/>
      <c r="G398" s="42"/>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V398" s="16"/>
      <c r="AW398" s="16"/>
      <c r="AX398" s="16"/>
    </row>
    <row r="399">
      <c r="A399" s="16"/>
      <c r="B399" s="16"/>
      <c r="C399" s="16"/>
      <c r="D399" s="42"/>
      <c r="E399" s="42"/>
      <c r="F399" s="42"/>
      <c r="G399" s="42"/>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V399" s="16"/>
      <c r="AW399" s="16"/>
      <c r="AX399" s="16"/>
    </row>
    <row r="400">
      <c r="A400" s="16"/>
      <c r="B400" s="16"/>
      <c r="C400" s="16"/>
      <c r="D400" s="42"/>
      <c r="E400" s="42"/>
      <c r="F400" s="42"/>
      <c r="G400" s="42"/>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V400" s="16"/>
      <c r="AW400" s="16"/>
      <c r="AX400" s="16"/>
    </row>
    <row r="401">
      <c r="A401" s="16"/>
      <c r="B401" s="16"/>
      <c r="C401" s="16"/>
      <c r="D401" s="42"/>
      <c r="E401" s="42"/>
      <c r="F401" s="42"/>
      <c r="G401" s="42"/>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row>
    <row r="402">
      <c r="A402" s="16"/>
      <c r="B402" s="16"/>
      <c r="C402" s="16"/>
      <c r="D402" s="42"/>
      <c r="E402" s="42"/>
      <c r="F402" s="42"/>
      <c r="G402" s="42"/>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c r="AW402" s="16"/>
      <c r="AX402" s="16"/>
    </row>
    <row r="403">
      <c r="A403" s="16"/>
      <c r="B403" s="16"/>
      <c r="C403" s="16"/>
      <c r="D403" s="42"/>
      <c r="E403" s="42"/>
      <c r="F403" s="42"/>
      <c r="G403" s="42"/>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row>
    <row r="404">
      <c r="A404" s="16"/>
      <c r="B404" s="16"/>
      <c r="C404" s="16"/>
      <c r="D404" s="42"/>
      <c r="E404" s="42"/>
      <c r="F404" s="42"/>
      <c r="G404" s="42"/>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V404" s="16"/>
      <c r="AW404" s="16"/>
      <c r="AX404" s="16"/>
    </row>
    <row r="405">
      <c r="A405" s="16"/>
      <c r="B405" s="16"/>
      <c r="C405" s="16"/>
      <c r="D405" s="42"/>
      <c r="E405" s="42"/>
      <c r="F405" s="42"/>
      <c r="G405" s="42"/>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c r="AW405" s="16"/>
      <c r="AX405" s="16"/>
    </row>
    <row r="406">
      <c r="A406" s="16"/>
      <c r="B406" s="16"/>
      <c r="C406" s="16"/>
      <c r="D406" s="42"/>
      <c r="E406" s="42"/>
      <c r="F406" s="42"/>
      <c r="G406" s="42"/>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V406" s="16"/>
      <c r="AW406" s="16"/>
      <c r="AX406" s="16"/>
    </row>
    <row r="407">
      <c r="A407" s="16"/>
      <c r="B407" s="16"/>
      <c r="C407" s="16"/>
      <c r="D407" s="42"/>
      <c r="E407" s="42"/>
      <c r="F407" s="42"/>
      <c r="G407" s="42"/>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c r="AW407" s="16"/>
      <c r="AX407" s="16"/>
    </row>
    <row r="408">
      <c r="A408" s="16"/>
      <c r="B408" s="16"/>
      <c r="C408" s="16"/>
      <c r="D408" s="42"/>
      <c r="E408" s="42"/>
      <c r="F408" s="42"/>
      <c r="G408" s="42"/>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V408" s="16"/>
      <c r="AW408" s="16"/>
      <c r="AX408" s="16"/>
    </row>
    <row r="409">
      <c r="A409" s="16"/>
      <c r="B409" s="16"/>
      <c r="C409" s="16"/>
      <c r="D409" s="42"/>
      <c r="E409" s="42"/>
      <c r="F409" s="42"/>
      <c r="G409" s="42"/>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c r="AW409" s="16"/>
      <c r="AX409" s="16"/>
    </row>
    <row r="410">
      <c r="A410" s="16"/>
      <c r="B410" s="16"/>
      <c r="C410" s="16"/>
      <c r="D410" s="42"/>
      <c r="E410" s="42"/>
      <c r="F410" s="42"/>
      <c r="G410" s="42"/>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V410" s="16"/>
      <c r="AW410" s="16"/>
      <c r="AX410" s="16"/>
    </row>
    <row r="411">
      <c r="A411" s="16"/>
      <c r="B411" s="16"/>
      <c r="C411" s="16"/>
      <c r="D411" s="42"/>
      <c r="E411" s="42"/>
      <c r="F411" s="42"/>
      <c r="G411" s="42"/>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row>
    <row r="412">
      <c r="A412" s="16"/>
      <c r="B412" s="16"/>
      <c r="C412" s="16"/>
      <c r="D412" s="42"/>
      <c r="E412" s="42"/>
      <c r="F412" s="42"/>
      <c r="G412" s="42"/>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V412" s="16"/>
      <c r="AW412" s="16"/>
      <c r="AX412" s="16"/>
    </row>
    <row r="413">
      <c r="A413" s="16"/>
      <c r="B413" s="16"/>
      <c r="C413" s="16"/>
      <c r="D413" s="42"/>
      <c r="E413" s="42"/>
      <c r="F413" s="42"/>
      <c r="G413" s="42"/>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V413" s="16"/>
      <c r="AW413" s="16"/>
      <c r="AX413" s="16"/>
    </row>
    <row r="414">
      <c r="A414" s="16"/>
      <c r="B414" s="16"/>
      <c r="C414" s="16"/>
      <c r="D414" s="42"/>
      <c r="E414" s="42"/>
      <c r="F414" s="42"/>
      <c r="G414" s="42"/>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c r="AV414" s="16"/>
      <c r="AW414" s="16"/>
      <c r="AX414" s="16"/>
    </row>
    <row r="415">
      <c r="A415" s="16"/>
      <c r="B415" s="16"/>
      <c r="C415" s="16"/>
      <c r="D415" s="42"/>
      <c r="E415" s="42"/>
      <c r="F415" s="42"/>
      <c r="G415" s="42"/>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c r="AV415" s="16"/>
      <c r="AW415" s="16"/>
      <c r="AX415" s="16"/>
    </row>
    <row r="416">
      <c r="A416" s="16"/>
      <c r="B416" s="16"/>
      <c r="C416" s="16"/>
      <c r="D416" s="42"/>
      <c r="E416" s="42"/>
      <c r="F416" s="42"/>
      <c r="G416" s="42"/>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U416" s="16"/>
      <c r="AV416" s="16"/>
      <c r="AW416" s="16"/>
      <c r="AX416" s="16"/>
    </row>
    <row r="417">
      <c r="A417" s="16"/>
      <c r="B417" s="16"/>
      <c r="C417" s="16"/>
      <c r="D417" s="42"/>
      <c r="E417" s="42"/>
      <c r="F417" s="42"/>
      <c r="G417" s="42"/>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c r="AV417" s="16"/>
      <c r="AW417" s="16"/>
      <c r="AX417" s="16"/>
    </row>
    <row r="418">
      <c r="A418" s="16"/>
      <c r="B418" s="16"/>
      <c r="C418" s="16"/>
      <c r="D418" s="42"/>
      <c r="E418" s="42"/>
      <c r="F418" s="42"/>
      <c r="G418" s="42"/>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c r="AV418" s="16"/>
      <c r="AW418" s="16"/>
      <c r="AX418" s="16"/>
    </row>
    <row r="419">
      <c r="A419" s="16"/>
      <c r="B419" s="16"/>
      <c r="C419" s="16"/>
      <c r="D419" s="42"/>
      <c r="E419" s="42"/>
      <c r="F419" s="42"/>
      <c r="G419" s="42"/>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V419" s="16"/>
      <c r="AW419" s="16"/>
      <c r="AX419" s="16"/>
    </row>
    <row r="420">
      <c r="A420" s="16"/>
      <c r="B420" s="16"/>
      <c r="C420" s="16"/>
      <c r="D420" s="42"/>
      <c r="E420" s="42"/>
      <c r="F420" s="42"/>
      <c r="G420" s="42"/>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c r="AV420" s="16"/>
      <c r="AW420" s="16"/>
      <c r="AX420" s="16"/>
    </row>
    <row r="421">
      <c r="A421" s="16"/>
      <c r="B421" s="16"/>
      <c r="C421" s="16"/>
      <c r="D421" s="42"/>
      <c r="E421" s="42"/>
      <c r="F421" s="42"/>
      <c r="G421" s="42"/>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V421" s="16"/>
      <c r="AW421" s="16"/>
      <c r="AX421" s="16"/>
    </row>
    <row r="422">
      <c r="A422" s="16"/>
      <c r="B422" s="16"/>
      <c r="C422" s="16"/>
      <c r="D422" s="42"/>
      <c r="E422" s="42"/>
      <c r="F422" s="42"/>
      <c r="G422" s="42"/>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c r="AV422" s="16"/>
      <c r="AW422" s="16"/>
      <c r="AX422" s="16"/>
    </row>
    <row r="423">
      <c r="A423" s="16"/>
      <c r="B423" s="16"/>
      <c r="C423" s="16"/>
      <c r="D423" s="42"/>
      <c r="E423" s="42"/>
      <c r="F423" s="42"/>
      <c r="G423" s="42"/>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c r="AW423" s="16"/>
      <c r="AX423" s="16"/>
    </row>
    <row r="424">
      <c r="A424" s="16"/>
      <c r="B424" s="16"/>
      <c r="C424" s="16"/>
      <c r="D424" s="42"/>
      <c r="E424" s="42"/>
      <c r="F424" s="42"/>
      <c r="G424" s="42"/>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V424" s="16"/>
      <c r="AW424" s="16"/>
      <c r="AX424" s="16"/>
    </row>
    <row r="425">
      <c r="A425" s="16"/>
      <c r="B425" s="16"/>
      <c r="C425" s="16"/>
      <c r="D425" s="42"/>
      <c r="E425" s="42"/>
      <c r="F425" s="42"/>
      <c r="G425" s="42"/>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c r="AV425" s="16"/>
      <c r="AW425" s="16"/>
      <c r="AX425" s="16"/>
    </row>
    <row r="426">
      <c r="A426" s="16"/>
      <c r="B426" s="16"/>
      <c r="C426" s="16"/>
      <c r="D426" s="42"/>
      <c r="E426" s="42"/>
      <c r="F426" s="42"/>
      <c r="G426" s="42"/>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V426" s="16"/>
      <c r="AW426" s="16"/>
      <c r="AX426" s="16"/>
    </row>
    <row r="427">
      <c r="A427" s="16"/>
      <c r="B427" s="16"/>
      <c r="C427" s="16"/>
      <c r="D427" s="42"/>
      <c r="E427" s="42"/>
      <c r="F427" s="42"/>
      <c r="G427" s="42"/>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V427" s="16"/>
      <c r="AW427" s="16"/>
      <c r="AX427" s="16"/>
    </row>
    <row r="428">
      <c r="A428" s="16"/>
      <c r="B428" s="16"/>
      <c r="C428" s="16"/>
      <c r="D428" s="42"/>
      <c r="E428" s="42"/>
      <c r="F428" s="42"/>
      <c r="G428" s="42"/>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c r="AU428" s="16"/>
      <c r="AV428" s="16"/>
      <c r="AW428" s="16"/>
      <c r="AX428" s="16"/>
    </row>
    <row r="429">
      <c r="A429" s="16"/>
      <c r="B429" s="16"/>
      <c r="C429" s="16"/>
      <c r="D429" s="42"/>
      <c r="E429" s="42"/>
      <c r="F429" s="42"/>
      <c r="G429" s="42"/>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V429" s="16"/>
      <c r="AW429" s="16"/>
      <c r="AX429" s="16"/>
    </row>
    <row r="430">
      <c r="A430" s="16"/>
      <c r="B430" s="16"/>
      <c r="C430" s="16"/>
      <c r="D430" s="42"/>
      <c r="E430" s="42"/>
      <c r="F430" s="42"/>
      <c r="G430" s="42"/>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V430" s="16"/>
      <c r="AW430" s="16"/>
      <c r="AX430" s="16"/>
    </row>
    <row r="431">
      <c r="A431" s="16"/>
      <c r="B431" s="16"/>
      <c r="C431" s="16"/>
      <c r="D431" s="42"/>
      <c r="E431" s="42"/>
      <c r="F431" s="42"/>
      <c r="G431" s="42"/>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V431" s="16"/>
      <c r="AW431" s="16"/>
      <c r="AX431" s="16"/>
    </row>
    <row r="432">
      <c r="A432" s="16"/>
      <c r="B432" s="16"/>
      <c r="C432" s="16"/>
      <c r="D432" s="42"/>
      <c r="E432" s="42"/>
      <c r="F432" s="42"/>
      <c r="G432" s="42"/>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V432" s="16"/>
      <c r="AW432" s="16"/>
      <c r="AX432" s="16"/>
    </row>
    <row r="433">
      <c r="A433" s="16"/>
      <c r="B433" s="16"/>
      <c r="C433" s="16"/>
      <c r="D433" s="42"/>
      <c r="E433" s="42"/>
      <c r="F433" s="42"/>
      <c r="G433" s="42"/>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c r="AV433" s="16"/>
      <c r="AW433" s="16"/>
      <c r="AX433" s="16"/>
    </row>
    <row r="434">
      <c r="A434" s="16"/>
      <c r="B434" s="16"/>
      <c r="C434" s="16"/>
      <c r="D434" s="42"/>
      <c r="E434" s="42"/>
      <c r="F434" s="42"/>
      <c r="G434" s="42"/>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c r="AU434" s="16"/>
      <c r="AV434" s="16"/>
      <c r="AW434" s="16"/>
      <c r="AX434" s="16"/>
    </row>
    <row r="435">
      <c r="A435" s="16"/>
      <c r="B435" s="16"/>
      <c r="C435" s="16"/>
      <c r="D435" s="42"/>
      <c r="E435" s="42"/>
      <c r="F435" s="42"/>
      <c r="G435" s="42"/>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c r="AU435" s="16"/>
      <c r="AV435" s="16"/>
      <c r="AW435" s="16"/>
      <c r="AX435" s="16"/>
    </row>
    <row r="436">
      <c r="A436" s="16"/>
      <c r="B436" s="16"/>
      <c r="C436" s="16"/>
      <c r="D436" s="42"/>
      <c r="E436" s="42"/>
      <c r="F436" s="42"/>
      <c r="G436" s="42"/>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row>
    <row r="437">
      <c r="A437" s="16"/>
      <c r="B437" s="16"/>
      <c r="C437" s="16"/>
      <c r="D437" s="42"/>
      <c r="E437" s="42"/>
      <c r="F437" s="42"/>
      <c r="G437" s="42"/>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c r="AV437" s="16"/>
      <c r="AW437" s="16"/>
      <c r="AX437" s="16"/>
    </row>
    <row r="438">
      <c r="A438" s="16"/>
      <c r="B438" s="16"/>
      <c r="C438" s="16"/>
      <c r="D438" s="42"/>
      <c r="E438" s="42"/>
      <c r="F438" s="42"/>
      <c r="G438" s="42"/>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c r="AU438" s="16"/>
      <c r="AV438" s="16"/>
      <c r="AW438" s="16"/>
      <c r="AX438" s="16"/>
    </row>
    <row r="439">
      <c r="A439" s="16"/>
      <c r="B439" s="16"/>
      <c r="C439" s="16"/>
      <c r="D439" s="42"/>
      <c r="E439" s="42"/>
      <c r="F439" s="42"/>
      <c r="G439" s="42"/>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c r="AS439" s="16"/>
      <c r="AT439" s="16"/>
      <c r="AU439" s="16"/>
      <c r="AV439" s="16"/>
      <c r="AW439" s="16"/>
      <c r="AX439" s="16"/>
    </row>
    <row r="440">
      <c r="A440" s="16"/>
      <c r="B440" s="16"/>
      <c r="C440" s="16"/>
      <c r="D440" s="42"/>
      <c r="E440" s="42"/>
      <c r="F440" s="42"/>
      <c r="G440" s="42"/>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c r="AS440" s="16"/>
      <c r="AT440" s="16"/>
      <c r="AU440" s="16"/>
      <c r="AV440" s="16"/>
      <c r="AW440" s="16"/>
      <c r="AX440" s="16"/>
    </row>
    <row r="441">
      <c r="A441" s="16"/>
      <c r="B441" s="16"/>
      <c r="C441" s="16"/>
      <c r="D441" s="42"/>
      <c r="E441" s="42"/>
      <c r="F441" s="42"/>
      <c r="G441" s="42"/>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U441" s="16"/>
      <c r="AV441" s="16"/>
      <c r="AW441" s="16"/>
      <c r="AX441" s="16"/>
    </row>
    <row r="442">
      <c r="A442" s="16"/>
      <c r="B442" s="16"/>
      <c r="C442" s="16"/>
      <c r="D442" s="42"/>
      <c r="E442" s="42"/>
      <c r="F442" s="42"/>
      <c r="G442" s="42"/>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c r="AS442" s="16"/>
      <c r="AT442" s="16"/>
      <c r="AU442" s="16"/>
      <c r="AV442" s="16"/>
      <c r="AW442" s="16"/>
      <c r="AX442" s="16"/>
    </row>
    <row r="443">
      <c r="A443" s="16"/>
      <c r="B443" s="16"/>
      <c r="C443" s="16"/>
      <c r="D443" s="42"/>
      <c r="E443" s="42"/>
      <c r="F443" s="42"/>
      <c r="G443" s="42"/>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c r="AS443" s="16"/>
      <c r="AT443" s="16"/>
      <c r="AU443" s="16"/>
      <c r="AV443" s="16"/>
      <c r="AW443" s="16"/>
      <c r="AX443" s="16"/>
    </row>
    <row r="444">
      <c r="A444" s="16"/>
      <c r="B444" s="16"/>
      <c r="C444" s="16"/>
      <c r="D444" s="42"/>
      <c r="E444" s="42"/>
      <c r="F444" s="42"/>
      <c r="G444" s="42"/>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c r="AU444" s="16"/>
      <c r="AV444" s="16"/>
      <c r="AW444" s="16"/>
      <c r="AX444" s="16"/>
    </row>
    <row r="445">
      <c r="A445" s="16"/>
      <c r="B445" s="16"/>
      <c r="C445" s="16"/>
      <c r="D445" s="42"/>
      <c r="E445" s="42"/>
      <c r="F445" s="42"/>
      <c r="G445" s="42"/>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c r="AS445" s="16"/>
      <c r="AT445" s="16"/>
      <c r="AU445" s="16"/>
      <c r="AV445" s="16"/>
      <c r="AW445" s="16"/>
      <c r="AX445" s="16"/>
    </row>
    <row r="446">
      <c r="A446" s="16"/>
      <c r="B446" s="16"/>
      <c r="C446" s="16"/>
      <c r="D446" s="42"/>
      <c r="E446" s="42"/>
      <c r="F446" s="42"/>
      <c r="G446" s="42"/>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c r="AS446" s="16"/>
      <c r="AT446" s="16"/>
      <c r="AU446" s="16"/>
      <c r="AV446" s="16"/>
      <c r="AW446" s="16"/>
      <c r="AX446" s="16"/>
    </row>
    <row r="447">
      <c r="A447" s="16"/>
      <c r="B447" s="16"/>
      <c r="C447" s="16"/>
      <c r="D447" s="42"/>
      <c r="E447" s="42"/>
      <c r="F447" s="42"/>
      <c r="G447" s="42"/>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c r="AR447" s="16"/>
      <c r="AS447" s="16"/>
      <c r="AT447" s="16"/>
      <c r="AU447" s="16"/>
      <c r="AV447" s="16"/>
      <c r="AW447" s="16"/>
      <c r="AX447" s="16"/>
    </row>
    <row r="448">
      <c r="A448" s="16"/>
      <c r="B448" s="16"/>
      <c r="C448" s="16"/>
      <c r="D448" s="42"/>
      <c r="E448" s="42"/>
      <c r="F448" s="42"/>
      <c r="G448" s="42"/>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c r="AS448" s="16"/>
      <c r="AT448" s="16"/>
      <c r="AU448" s="16"/>
      <c r="AV448" s="16"/>
      <c r="AW448" s="16"/>
      <c r="AX448" s="16"/>
    </row>
    <row r="449">
      <c r="A449" s="16"/>
      <c r="B449" s="16"/>
      <c r="C449" s="16"/>
      <c r="D449" s="42"/>
      <c r="E449" s="42"/>
      <c r="F449" s="42"/>
      <c r="G449" s="42"/>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c r="AS449" s="16"/>
      <c r="AT449" s="16"/>
      <c r="AU449" s="16"/>
      <c r="AV449" s="16"/>
      <c r="AW449" s="16"/>
      <c r="AX449" s="16"/>
    </row>
    <row r="450">
      <c r="A450" s="16"/>
      <c r="B450" s="16"/>
      <c r="C450" s="16"/>
      <c r="D450" s="42"/>
      <c r="E450" s="42"/>
      <c r="F450" s="42"/>
      <c r="G450" s="42"/>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c r="AS450" s="16"/>
      <c r="AT450" s="16"/>
      <c r="AU450" s="16"/>
      <c r="AV450" s="16"/>
      <c r="AW450" s="16"/>
      <c r="AX450" s="16"/>
    </row>
    <row r="451">
      <c r="A451" s="16"/>
      <c r="B451" s="16"/>
      <c r="C451" s="16"/>
      <c r="D451" s="42"/>
      <c r="E451" s="42"/>
      <c r="F451" s="42"/>
      <c r="G451" s="42"/>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c r="AU451" s="16"/>
      <c r="AV451" s="16"/>
      <c r="AW451" s="16"/>
      <c r="AX451" s="16"/>
    </row>
    <row r="452">
      <c r="A452" s="16"/>
      <c r="B452" s="16"/>
      <c r="C452" s="16"/>
      <c r="D452" s="42"/>
      <c r="E452" s="42"/>
      <c r="F452" s="42"/>
      <c r="G452" s="42"/>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c r="AS452" s="16"/>
      <c r="AT452" s="16"/>
      <c r="AU452" s="16"/>
      <c r="AV452" s="16"/>
      <c r="AW452" s="16"/>
      <c r="AX452" s="16"/>
    </row>
    <row r="453">
      <c r="A453" s="16"/>
      <c r="B453" s="16"/>
      <c r="C453" s="16"/>
      <c r="D453" s="42"/>
      <c r="E453" s="42"/>
      <c r="F453" s="42"/>
      <c r="G453" s="42"/>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c r="AU453" s="16"/>
      <c r="AV453" s="16"/>
      <c r="AW453" s="16"/>
      <c r="AX453" s="16"/>
    </row>
    <row r="454">
      <c r="A454" s="16"/>
      <c r="B454" s="16"/>
      <c r="C454" s="16"/>
      <c r="D454" s="42"/>
      <c r="E454" s="42"/>
      <c r="F454" s="42"/>
      <c r="G454" s="42"/>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V454" s="16"/>
      <c r="AW454" s="16"/>
      <c r="AX454" s="16"/>
    </row>
    <row r="455">
      <c r="A455" s="16"/>
      <c r="B455" s="16"/>
      <c r="C455" s="16"/>
      <c r="D455" s="42"/>
      <c r="E455" s="42"/>
      <c r="F455" s="42"/>
      <c r="G455" s="42"/>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row>
    <row r="456">
      <c r="A456" s="16"/>
      <c r="B456" s="16"/>
      <c r="C456" s="16"/>
      <c r="D456" s="42"/>
      <c r="E456" s="42"/>
      <c r="F456" s="42"/>
      <c r="G456" s="42"/>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row>
    <row r="457">
      <c r="A457" s="16"/>
      <c r="B457" s="16"/>
      <c r="C457" s="16"/>
      <c r="D457" s="42"/>
      <c r="E457" s="42"/>
      <c r="F457" s="42"/>
      <c r="G457" s="42"/>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row>
    <row r="458">
      <c r="A458" s="16"/>
      <c r="B458" s="16"/>
      <c r="C458" s="16"/>
      <c r="D458" s="42"/>
      <c r="E458" s="42"/>
      <c r="F458" s="42"/>
      <c r="G458" s="42"/>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row>
    <row r="459">
      <c r="A459" s="16"/>
      <c r="B459" s="16"/>
      <c r="C459" s="16"/>
      <c r="D459" s="42"/>
      <c r="E459" s="42"/>
      <c r="F459" s="42"/>
      <c r="G459" s="42"/>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row>
    <row r="460">
      <c r="A460" s="16"/>
      <c r="B460" s="16"/>
      <c r="C460" s="16"/>
      <c r="D460" s="42"/>
      <c r="E460" s="42"/>
      <c r="F460" s="42"/>
      <c r="G460" s="42"/>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row>
    <row r="461">
      <c r="A461" s="16"/>
      <c r="B461" s="16"/>
      <c r="C461" s="16"/>
      <c r="D461" s="42"/>
      <c r="E461" s="42"/>
      <c r="F461" s="42"/>
      <c r="G461" s="42"/>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row>
    <row r="462">
      <c r="A462" s="16"/>
      <c r="B462" s="16"/>
      <c r="C462" s="16"/>
      <c r="D462" s="42"/>
      <c r="E462" s="42"/>
      <c r="F462" s="42"/>
      <c r="G462" s="42"/>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row>
    <row r="463">
      <c r="A463" s="16"/>
      <c r="B463" s="16"/>
      <c r="C463" s="16"/>
      <c r="D463" s="42"/>
      <c r="E463" s="42"/>
      <c r="F463" s="42"/>
      <c r="G463" s="42"/>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row>
    <row r="464">
      <c r="A464" s="16"/>
      <c r="B464" s="16"/>
      <c r="C464" s="16"/>
      <c r="D464" s="42"/>
      <c r="E464" s="42"/>
      <c r="F464" s="42"/>
      <c r="G464" s="42"/>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row>
    <row r="465">
      <c r="A465" s="16"/>
      <c r="B465" s="16"/>
      <c r="C465" s="16"/>
      <c r="D465" s="42"/>
      <c r="E465" s="42"/>
      <c r="F465" s="42"/>
      <c r="G465" s="42"/>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row>
    <row r="466">
      <c r="A466" s="16"/>
      <c r="B466" s="16"/>
      <c r="C466" s="16"/>
      <c r="D466" s="42"/>
      <c r="E466" s="42"/>
      <c r="F466" s="42"/>
      <c r="G466" s="42"/>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row>
    <row r="467">
      <c r="A467" s="16"/>
      <c r="B467" s="16"/>
      <c r="C467" s="16"/>
      <c r="D467" s="42"/>
      <c r="E467" s="42"/>
      <c r="F467" s="42"/>
      <c r="G467" s="42"/>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row>
    <row r="468">
      <c r="A468" s="16"/>
      <c r="B468" s="16"/>
      <c r="C468" s="16"/>
      <c r="D468" s="42"/>
      <c r="E468" s="42"/>
      <c r="F468" s="42"/>
      <c r="G468" s="42"/>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row>
    <row r="469">
      <c r="A469" s="16"/>
      <c r="B469" s="16"/>
      <c r="C469" s="16"/>
      <c r="D469" s="42"/>
      <c r="E469" s="42"/>
      <c r="F469" s="42"/>
      <c r="G469" s="42"/>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row>
    <row r="470">
      <c r="A470" s="16"/>
      <c r="B470" s="16"/>
      <c r="C470" s="16"/>
      <c r="D470" s="42"/>
      <c r="E470" s="42"/>
      <c r="F470" s="42"/>
      <c r="G470" s="42"/>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row>
    <row r="471">
      <c r="A471" s="16"/>
      <c r="B471" s="16"/>
      <c r="C471" s="16"/>
      <c r="D471" s="42"/>
      <c r="E471" s="42"/>
      <c r="F471" s="42"/>
      <c r="G471" s="42"/>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row>
    <row r="472">
      <c r="A472" s="16"/>
      <c r="B472" s="16"/>
      <c r="C472" s="16"/>
      <c r="D472" s="42"/>
      <c r="E472" s="42"/>
      <c r="F472" s="42"/>
      <c r="G472" s="42"/>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c r="AU472" s="16"/>
      <c r="AV472" s="16"/>
      <c r="AW472" s="16"/>
      <c r="AX472" s="16"/>
    </row>
    <row r="473">
      <c r="A473" s="16"/>
      <c r="B473" s="16"/>
      <c r="C473" s="16"/>
      <c r="D473" s="42"/>
      <c r="E473" s="42"/>
      <c r="F473" s="42"/>
      <c r="G473" s="42"/>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U473" s="16"/>
      <c r="AV473" s="16"/>
      <c r="AW473" s="16"/>
      <c r="AX473" s="16"/>
    </row>
    <row r="474">
      <c r="A474" s="16"/>
      <c r="B474" s="16"/>
      <c r="C474" s="16"/>
      <c r="D474" s="42"/>
      <c r="E474" s="42"/>
      <c r="F474" s="42"/>
      <c r="G474" s="42"/>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c r="AU474" s="16"/>
      <c r="AV474" s="16"/>
      <c r="AW474" s="16"/>
      <c r="AX474" s="16"/>
    </row>
    <row r="475">
      <c r="A475" s="16"/>
      <c r="B475" s="16"/>
      <c r="C475" s="16"/>
      <c r="D475" s="42"/>
      <c r="E475" s="42"/>
      <c r="F475" s="42"/>
      <c r="G475" s="42"/>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c r="AU475" s="16"/>
      <c r="AV475" s="16"/>
      <c r="AW475" s="16"/>
      <c r="AX475" s="16"/>
    </row>
    <row r="476">
      <c r="A476" s="16"/>
      <c r="B476" s="16"/>
      <c r="C476" s="16"/>
      <c r="D476" s="42"/>
      <c r="E476" s="42"/>
      <c r="F476" s="42"/>
      <c r="G476" s="42"/>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c r="AS476" s="16"/>
      <c r="AT476" s="16"/>
      <c r="AU476" s="16"/>
      <c r="AV476" s="16"/>
      <c r="AW476" s="16"/>
      <c r="AX476" s="16"/>
    </row>
    <row r="477">
      <c r="A477" s="16"/>
      <c r="B477" s="16"/>
      <c r="C477" s="16"/>
      <c r="D477" s="42"/>
      <c r="E477" s="42"/>
      <c r="F477" s="42"/>
      <c r="G477" s="42"/>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c r="AS477" s="16"/>
      <c r="AT477" s="16"/>
      <c r="AU477" s="16"/>
      <c r="AV477" s="16"/>
      <c r="AW477" s="16"/>
      <c r="AX477" s="16"/>
    </row>
    <row r="478">
      <c r="A478" s="16"/>
      <c r="B478" s="16"/>
      <c r="C478" s="16"/>
      <c r="D478" s="42"/>
      <c r="E478" s="42"/>
      <c r="F478" s="42"/>
      <c r="G478" s="42"/>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c r="AS478" s="16"/>
      <c r="AT478" s="16"/>
      <c r="AU478" s="16"/>
      <c r="AV478" s="16"/>
      <c r="AW478" s="16"/>
      <c r="AX478" s="16"/>
    </row>
    <row r="479">
      <c r="A479" s="16"/>
      <c r="B479" s="16"/>
      <c r="C479" s="16"/>
      <c r="D479" s="42"/>
      <c r="E479" s="42"/>
      <c r="F479" s="42"/>
      <c r="G479" s="42"/>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c r="AS479" s="16"/>
      <c r="AT479" s="16"/>
      <c r="AU479" s="16"/>
      <c r="AV479" s="16"/>
      <c r="AW479" s="16"/>
      <c r="AX479" s="16"/>
    </row>
    <row r="480">
      <c r="A480" s="16"/>
      <c r="B480" s="16"/>
      <c r="C480" s="16"/>
      <c r="D480" s="42"/>
      <c r="E480" s="42"/>
      <c r="F480" s="42"/>
      <c r="G480" s="42"/>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c r="AU480" s="16"/>
      <c r="AV480" s="16"/>
      <c r="AW480" s="16"/>
      <c r="AX480" s="16"/>
    </row>
    <row r="481">
      <c r="A481" s="16"/>
      <c r="B481" s="16"/>
      <c r="C481" s="16"/>
      <c r="D481" s="42"/>
      <c r="E481" s="42"/>
      <c r="F481" s="42"/>
      <c r="G481" s="42"/>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c r="AS481" s="16"/>
      <c r="AT481" s="16"/>
      <c r="AU481" s="16"/>
      <c r="AV481" s="16"/>
      <c r="AW481" s="16"/>
      <c r="AX481" s="16"/>
    </row>
    <row r="482">
      <c r="A482" s="16"/>
      <c r="B482" s="16"/>
      <c r="C482" s="16"/>
      <c r="D482" s="42"/>
      <c r="E482" s="42"/>
      <c r="F482" s="42"/>
      <c r="G482" s="42"/>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c r="AU482" s="16"/>
      <c r="AV482" s="16"/>
      <c r="AW482" s="16"/>
      <c r="AX482" s="16"/>
    </row>
    <row r="483">
      <c r="A483" s="16"/>
      <c r="B483" s="16"/>
      <c r="C483" s="16"/>
      <c r="D483" s="42"/>
      <c r="E483" s="42"/>
      <c r="F483" s="42"/>
      <c r="G483" s="42"/>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U483" s="16"/>
      <c r="AV483" s="16"/>
      <c r="AW483" s="16"/>
      <c r="AX483" s="16"/>
    </row>
    <row r="484">
      <c r="A484" s="16"/>
      <c r="B484" s="16"/>
      <c r="C484" s="16"/>
      <c r="D484" s="42"/>
      <c r="E484" s="42"/>
      <c r="F484" s="42"/>
      <c r="G484" s="42"/>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c r="AU484" s="16"/>
      <c r="AV484" s="16"/>
      <c r="AW484" s="16"/>
      <c r="AX484" s="16"/>
    </row>
    <row r="485">
      <c r="A485" s="16"/>
      <c r="B485" s="16"/>
      <c r="C485" s="16"/>
      <c r="D485" s="42"/>
      <c r="E485" s="42"/>
      <c r="F485" s="42"/>
      <c r="G485" s="42"/>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c r="AU485" s="16"/>
      <c r="AV485" s="16"/>
      <c r="AW485" s="16"/>
      <c r="AX485" s="16"/>
    </row>
    <row r="486">
      <c r="A486" s="16"/>
      <c r="B486" s="16"/>
      <c r="C486" s="16"/>
      <c r="D486" s="42"/>
      <c r="E486" s="42"/>
      <c r="F486" s="42"/>
      <c r="G486" s="42"/>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c r="AU486" s="16"/>
      <c r="AV486" s="16"/>
      <c r="AW486" s="16"/>
      <c r="AX486" s="16"/>
    </row>
    <row r="487">
      <c r="A487" s="16"/>
      <c r="B487" s="16"/>
      <c r="C487" s="16"/>
      <c r="D487" s="42"/>
      <c r="E487" s="42"/>
      <c r="F487" s="42"/>
      <c r="G487" s="42"/>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row>
    <row r="488">
      <c r="A488" s="16"/>
      <c r="B488" s="16"/>
      <c r="C488" s="16"/>
      <c r="D488" s="42"/>
      <c r="E488" s="42"/>
      <c r="F488" s="42"/>
      <c r="G488" s="42"/>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row>
    <row r="489">
      <c r="A489" s="16"/>
      <c r="B489" s="16"/>
      <c r="C489" s="16"/>
      <c r="D489" s="42"/>
      <c r="E489" s="42"/>
      <c r="F489" s="42"/>
      <c r="G489" s="42"/>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row>
    <row r="490">
      <c r="A490" s="16"/>
      <c r="B490" s="16"/>
      <c r="C490" s="16"/>
      <c r="D490" s="42"/>
      <c r="E490" s="42"/>
      <c r="F490" s="42"/>
      <c r="G490" s="42"/>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row>
    <row r="491">
      <c r="A491" s="16"/>
      <c r="B491" s="16"/>
      <c r="C491" s="16"/>
      <c r="D491" s="42"/>
      <c r="E491" s="42"/>
      <c r="F491" s="42"/>
      <c r="G491" s="42"/>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row>
    <row r="492">
      <c r="A492" s="16"/>
      <c r="B492" s="16"/>
      <c r="C492" s="16"/>
      <c r="D492" s="42"/>
      <c r="E492" s="42"/>
      <c r="F492" s="42"/>
      <c r="G492" s="42"/>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row>
    <row r="493">
      <c r="A493" s="16"/>
      <c r="B493" s="16"/>
      <c r="C493" s="16"/>
      <c r="D493" s="42"/>
      <c r="E493" s="42"/>
      <c r="F493" s="42"/>
      <c r="G493" s="42"/>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row>
    <row r="494">
      <c r="A494" s="16"/>
      <c r="B494" s="16"/>
      <c r="C494" s="16"/>
      <c r="D494" s="42"/>
      <c r="E494" s="42"/>
      <c r="F494" s="42"/>
      <c r="G494" s="42"/>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row>
    <row r="495">
      <c r="A495" s="16"/>
      <c r="B495" s="16"/>
      <c r="C495" s="16"/>
      <c r="D495" s="42"/>
      <c r="E495" s="42"/>
      <c r="F495" s="42"/>
      <c r="G495" s="42"/>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row>
    <row r="496">
      <c r="A496" s="16"/>
      <c r="B496" s="16"/>
      <c r="C496" s="16"/>
      <c r="D496" s="42"/>
      <c r="E496" s="42"/>
      <c r="F496" s="42"/>
      <c r="G496" s="42"/>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row>
    <row r="497">
      <c r="A497" s="16"/>
      <c r="B497" s="16"/>
      <c r="C497" s="16"/>
      <c r="D497" s="42"/>
      <c r="E497" s="42"/>
      <c r="F497" s="42"/>
      <c r="G497" s="42"/>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row>
    <row r="498">
      <c r="A498" s="16"/>
      <c r="B498" s="16"/>
      <c r="C498" s="16"/>
      <c r="D498" s="42"/>
      <c r="E498" s="42"/>
      <c r="F498" s="42"/>
      <c r="G498" s="42"/>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6"/>
    </row>
    <row r="499">
      <c r="A499" s="16"/>
      <c r="B499" s="16"/>
      <c r="C499" s="16"/>
      <c r="D499" s="42"/>
      <c r="E499" s="42"/>
      <c r="F499" s="42"/>
      <c r="G499" s="42"/>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row>
    <row r="500">
      <c r="A500" s="16"/>
      <c r="B500" s="16"/>
      <c r="C500" s="16"/>
      <c r="D500" s="42"/>
      <c r="E500" s="42"/>
      <c r="F500" s="42"/>
      <c r="G500" s="42"/>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c r="AS500" s="16"/>
      <c r="AT500" s="16"/>
      <c r="AU500" s="16"/>
      <c r="AV500" s="16"/>
      <c r="AW500" s="16"/>
      <c r="AX500" s="16"/>
    </row>
    <row r="501">
      <c r="A501" s="16"/>
      <c r="B501" s="16"/>
      <c r="C501" s="16"/>
      <c r="D501" s="42"/>
      <c r="E501" s="42"/>
      <c r="F501" s="42"/>
      <c r="G501" s="42"/>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c r="AS501" s="16"/>
      <c r="AT501" s="16"/>
      <c r="AU501" s="16"/>
      <c r="AV501" s="16"/>
      <c r="AW501" s="16"/>
      <c r="AX501" s="16"/>
    </row>
    <row r="502">
      <c r="A502" s="16"/>
      <c r="B502" s="16"/>
      <c r="C502" s="16"/>
      <c r="D502" s="42"/>
      <c r="E502" s="42"/>
      <c r="F502" s="42"/>
      <c r="G502" s="42"/>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c r="AS502" s="16"/>
      <c r="AT502" s="16"/>
      <c r="AU502" s="16"/>
      <c r="AV502" s="16"/>
      <c r="AW502" s="16"/>
      <c r="AX502" s="16"/>
    </row>
    <row r="503">
      <c r="A503" s="16"/>
      <c r="B503" s="16"/>
      <c r="C503" s="16"/>
      <c r="D503" s="42"/>
      <c r="E503" s="42"/>
      <c r="F503" s="42"/>
      <c r="G503" s="42"/>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c r="AS503" s="16"/>
      <c r="AT503" s="16"/>
      <c r="AU503" s="16"/>
      <c r="AV503" s="16"/>
      <c r="AW503" s="16"/>
      <c r="AX503" s="16"/>
    </row>
    <row r="504">
      <c r="A504" s="16"/>
      <c r="B504" s="16"/>
      <c r="C504" s="16"/>
      <c r="D504" s="42"/>
      <c r="E504" s="42"/>
      <c r="F504" s="42"/>
      <c r="G504" s="42"/>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c r="AU504" s="16"/>
      <c r="AV504" s="16"/>
      <c r="AW504" s="16"/>
      <c r="AX504" s="16"/>
    </row>
    <row r="505">
      <c r="A505" s="16"/>
      <c r="B505" s="16"/>
      <c r="C505" s="16"/>
      <c r="D505" s="42"/>
      <c r="E505" s="42"/>
      <c r="F505" s="42"/>
      <c r="G505" s="42"/>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c r="AS505" s="16"/>
      <c r="AT505" s="16"/>
      <c r="AU505" s="16"/>
      <c r="AV505" s="16"/>
      <c r="AW505" s="16"/>
      <c r="AX505" s="16"/>
    </row>
    <row r="506">
      <c r="A506" s="16"/>
      <c r="B506" s="16"/>
      <c r="C506" s="16"/>
      <c r="D506" s="42"/>
      <c r="E506" s="42"/>
      <c r="F506" s="42"/>
      <c r="G506" s="42"/>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c r="AU506" s="16"/>
      <c r="AV506" s="16"/>
      <c r="AW506" s="16"/>
      <c r="AX506" s="16"/>
    </row>
    <row r="507">
      <c r="A507" s="16"/>
      <c r="B507" s="16"/>
      <c r="C507" s="16"/>
      <c r="D507" s="42"/>
      <c r="E507" s="42"/>
      <c r="F507" s="42"/>
      <c r="G507" s="42"/>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c r="AS507" s="16"/>
      <c r="AT507" s="16"/>
      <c r="AU507" s="16"/>
      <c r="AV507" s="16"/>
      <c r="AW507" s="16"/>
      <c r="AX507" s="16"/>
    </row>
    <row r="508">
      <c r="A508" s="16"/>
      <c r="B508" s="16"/>
      <c r="C508" s="16"/>
      <c r="D508" s="42"/>
      <c r="E508" s="42"/>
      <c r="F508" s="42"/>
      <c r="G508" s="42"/>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c r="AU508" s="16"/>
      <c r="AV508" s="16"/>
      <c r="AW508" s="16"/>
      <c r="AX508" s="16"/>
    </row>
    <row r="509">
      <c r="A509" s="16"/>
      <c r="B509" s="16"/>
      <c r="C509" s="16"/>
      <c r="D509" s="42"/>
      <c r="E509" s="42"/>
      <c r="F509" s="42"/>
      <c r="G509" s="42"/>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c r="AU509" s="16"/>
      <c r="AV509" s="16"/>
      <c r="AW509" s="16"/>
      <c r="AX509" s="16"/>
    </row>
    <row r="510">
      <c r="A510" s="16"/>
      <c r="B510" s="16"/>
      <c r="C510" s="16"/>
      <c r="D510" s="42"/>
      <c r="E510" s="42"/>
      <c r="F510" s="42"/>
      <c r="G510" s="42"/>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c r="AU510" s="16"/>
      <c r="AV510" s="16"/>
      <c r="AW510" s="16"/>
      <c r="AX510" s="16"/>
    </row>
    <row r="511">
      <c r="A511" s="16"/>
      <c r="B511" s="16"/>
      <c r="C511" s="16"/>
      <c r="D511" s="42"/>
      <c r="E511" s="42"/>
      <c r="F511" s="42"/>
      <c r="G511" s="42"/>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c r="AU511" s="16"/>
      <c r="AV511" s="16"/>
      <c r="AW511" s="16"/>
      <c r="AX511" s="16"/>
    </row>
    <row r="512">
      <c r="A512" s="16"/>
      <c r="B512" s="16"/>
      <c r="C512" s="16"/>
      <c r="D512" s="42"/>
      <c r="E512" s="42"/>
      <c r="F512" s="42"/>
      <c r="G512" s="42"/>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U512" s="16"/>
      <c r="AV512" s="16"/>
      <c r="AW512" s="16"/>
      <c r="AX512" s="16"/>
    </row>
    <row r="513">
      <c r="A513" s="16"/>
      <c r="B513" s="16"/>
      <c r="C513" s="16"/>
      <c r="D513" s="42"/>
      <c r="E513" s="42"/>
      <c r="F513" s="42"/>
      <c r="G513" s="42"/>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c r="AU513" s="16"/>
      <c r="AV513" s="16"/>
      <c r="AW513" s="16"/>
      <c r="AX513" s="16"/>
    </row>
    <row r="514">
      <c r="A514" s="16"/>
      <c r="B514" s="16"/>
      <c r="C514" s="16"/>
      <c r="D514" s="42"/>
      <c r="E514" s="42"/>
      <c r="F514" s="42"/>
      <c r="G514" s="42"/>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c r="AU514" s="16"/>
      <c r="AV514" s="16"/>
      <c r="AW514" s="16"/>
      <c r="AX514" s="16"/>
    </row>
    <row r="515">
      <c r="A515" s="16"/>
      <c r="B515" s="16"/>
      <c r="C515" s="16"/>
      <c r="D515" s="42"/>
      <c r="E515" s="42"/>
      <c r="F515" s="42"/>
      <c r="G515" s="42"/>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c r="AS515" s="16"/>
      <c r="AT515" s="16"/>
      <c r="AU515" s="16"/>
      <c r="AV515" s="16"/>
      <c r="AW515" s="16"/>
      <c r="AX515" s="16"/>
    </row>
    <row r="516">
      <c r="A516" s="16"/>
      <c r="B516" s="16"/>
      <c r="C516" s="16"/>
      <c r="D516" s="42"/>
      <c r="E516" s="42"/>
      <c r="F516" s="42"/>
      <c r="G516" s="42"/>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c r="AV516" s="16"/>
      <c r="AW516" s="16"/>
      <c r="AX516" s="16"/>
    </row>
    <row r="517">
      <c r="A517" s="16"/>
      <c r="B517" s="16"/>
      <c r="C517" s="16"/>
      <c r="D517" s="42"/>
      <c r="E517" s="42"/>
      <c r="F517" s="42"/>
      <c r="G517" s="42"/>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U517" s="16"/>
      <c r="AV517" s="16"/>
      <c r="AW517" s="16"/>
      <c r="AX517" s="16"/>
    </row>
    <row r="518">
      <c r="A518" s="16"/>
      <c r="B518" s="16"/>
      <c r="C518" s="16"/>
      <c r="D518" s="42"/>
      <c r="E518" s="42"/>
      <c r="F518" s="42"/>
      <c r="G518" s="42"/>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V518" s="16"/>
      <c r="AW518" s="16"/>
      <c r="AX518" s="16"/>
    </row>
    <row r="519">
      <c r="A519" s="16"/>
      <c r="B519" s="16"/>
      <c r="C519" s="16"/>
      <c r="D519" s="42"/>
      <c r="E519" s="42"/>
      <c r="F519" s="42"/>
      <c r="G519" s="42"/>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c r="AU519" s="16"/>
      <c r="AV519" s="16"/>
      <c r="AW519" s="16"/>
      <c r="AX519" s="16"/>
    </row>
    <row r="520">
      <c r="A520" s="16"/>
      <c r="B520" s="16"/>
      <c r="C520" s="16"/>
      <c r="D520" s="42"/>
      <c r="E520" s="42"/>
      <c r="F520" s="42"/>
      <c r="G520" s="42"/>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U520" s="16"/>
      <c r="AV520" s="16"/>
      <c r="AW520" s="16"/>
      <c r="AX520" s="16"/>
    </row>
    <row r="521">
      <c r="A521" s="16"/>
      <c r="B521" s="16"/>
      <c r="C521" s="16"/>
      <c r="D521" s="42"/>
      <c r="E521" s="42"/>
      <c r="F521" s="42"/>
      <c r="G521" s="42"/>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U521" s="16"/>
      <c r="AV521" s="16"/>
      <c r="AW521" s="16"/>
      <c r="AX521" s="16"/>
    </row>
    <row r="522">
      <c r="A522" s="16"/>
      <c r="B522" s="16"/>
      <c r="C522" s="16"/>
      <c r="D522" s="42"/>
      <c r="E522" s="42"/>
      <c r="F522" s="42"/>
      <c r="G522" s="42"/>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c r="AU522" s="16"/>
      <c r="AV522" s="16"/>
      <c r="AW522" s="16"/>
      <c r="AX522" s="16"/>
    </row>
    <row r="523">
      <c r="A523" s="16"/>
      <c r="B523" s="16"/>
      <c r="C523" s="16"/>
      <c r="D523" s="42"/>
      <c r="E523" s="42"/>
      <c r="F523" s="42"/>
      <c r="G523" s="42"/>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c r="AS523" s="16"/>
      <c r="AT523" s="16"/>
      <c r="AU523" s="16"/>
      <c r="AV523" s="16"/>
      <c r="AW523" s="16"/>
      <c r="AX523" s="16"/>
    </row>
    <row r="524">
      <c r="A524" s="16"/>
      <c r="B524" s="16"/>
      <c r="C524" s="16"/>
      <c r="D524" s="42"/>
      <c r="E524" s="42"/>
      <c r="F524" s="42"/>
      <c r="G524" s="42"/>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V524" s="16"/>
      <c r="AW524" s="16"/>
      <c r="AX524" s="16"/>
    </row>
    <row r="525">
      <c r="A525" s="16"/>
      <c r="B525" s="16"/>
      <c r="C525" s="16"/>
      <c r="D525" s="42"/>
      <c r="E525" s="42"/>
      <c r="F525" s="42"/>
      <c r="G525" s="42"/>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c r="AS525" s="16"/>
      <c r="AT525" s="16"/>
      <c r="AU525" s="16"/>
      <c r="AV525" s="16"/>
      <c r="AW525" s="16"/>
      <c r="AX525" s="16"/>
    </row>
    <row r="526">
      <c r="A526" s="16"/>
      <c r="B526" s="16"/>
      <c r="C526" s="16"/>
      <c r="D526" s="42"/>
      <c r="E526" s="42"/>
      <c r="F526" s="42"/>
      <c r="G526" s="42"/>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c r="AU526" s="16"/>
      <c r="AV526" s="16"/>
      <c r="AW526" s="16"/>
      <c r="AX526" s="16"/>
    </row>
    <row r="527">
      <c r="A527" s="16"/>
      <c r="B527" s="16"/>
      <c r="C527" s="16"/>
      <c r="D527" s="42"/>
      <c r="E527" s="42"/>
      <c r="F527" s="42"/>
      <c r="G527" s="42"/>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c r="AU527" s="16"/>
      <c r="AV527" s="16"/>
      <c r="AW527" s="16"/>
      <c r="AX527" s="16"/>
    </row>
    <row r="528">
      <c r="A528" s="16"/>
      <c r="B528" s="16"/>
      <c r="C528" s="16"/>
      <c r="D528" s="42"/>
      <c r="E528" s="42"/>
      <c r="F528" s="42"/>
      <c r="G528" s="42"/>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c r="AS528" s="16"/>
      <c r="AT528" s="16"/>
      <c r="AU528" s="16"/>
      <c r="AV528" s="16"/>
      <c r="AW528" s="16"/>
      <c r="AX528" s="16"/>
    </row>
    <row r="529">
      <c r="A529" s="16"/>
      <c r="B529" s="16"/>
      <c r="C529" s="16"/>
      <c r="D529" s="42"/>
      <c r="E529" s="42"/>
      <c r="F529" s="42"/>
      <c r="G529" s="42"/>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c r="AU529" s="16"/>
      <c r="AV529" s="16"/>
      <c r="AW529" s="16"/>
      <c r="AX529" s="16"/>
    </row>
    <row r="530">
      <c r="A530" s="16"/>
      <c r="B530" s="16"/>
      <c r="C530" s="16"/>
      <c r="D530" s="42"/>
      <c r="E530" s="42"/>
      <c r="F530" s="42"/>
      <c r="G530" s="42"/>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c r="AS530" s="16"/>
      <c r="AT530" s="16"/>
      <c r="AU530" s="16"/>
      <c r="AV530" s="16"/>
      <c r="AW530" s="16"/>
      <c r="AX530" s="16"/>
    </row>
    <row r="531">
      <c r="A531" s="16"/>
      <c r="B531" s="16"/>
      <c r="C531" s="16"/>
      <c r="D531" s="42"/>
      <c r="E531" s="42"/>
      <c r="F531" s="42"/>
      <c r="G531" s="42"/>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U531" s="16"/>
      <c r="AV531" s="16"/>
      <c r="AW531" s="16"/>
      <c r="AX531" s="16"/>
    </row>
    <row r="532">
      <c r="A532" s="16"/>
      <c r="B532" s="16"/>
      <c r="C532" s="16"/>
      <c r="D532" s="42"/>
      <c r="E532" s="42"/>
      <c r="F532" s="42"/>
      <c r="G532" s="42"/>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c r="AS532" s="16"/>
      <c r="AT532" s="16"/>
      <c r="AU532" s="16"/>
      <c r="AV532" s="16"/>
      <c r="AW532" s="16"/>
      <c r="AX532" s="16"/>
    </row>
    <row r="533">
      <c r="A533" s="16"/>
      <c r="B533" s="16"/>
      <c r="C533" s="16"/>
      <c r="D533" s="42"/>
      <c r="E533" s="42"/>
      <c r="F533" s="42"/>
      <c r="G533" s="42"/>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row>
    <row r="534">
      <c r="A534" s="16"/>
      <c r="B534" s="16"/>
      <c r="C534" s="16"/>
      <c r="D534" s="42"/>
      <c r="E534" s="42"/>
      <c r="F534" s="42"/>
      <c r="G534" s="42"/>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row>
    <row r="535">
      <c r="A535" s="16"/>
      <c r="B535" s="16"/>
      <c r="C535" s="16"/>
      <c r="D535" s="42"/>
      <c r="E535" s="42"/>
      <c r="F535" s="42"/>
      <c r="G535" s="42"/>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row>
    <row r="536">
      <c r="A536" s="16"/>
      <c r="B536" s="16"/>
      <c r="C536" s="16"/>
      <c r="D536" s="42"/>
      <c r="E536" s="42"/>
      <c r="F536" s="42"/>
      <c r="G536" s="42"/>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row>
    <row r="537">
      <c r="A537" s="16"/>
      <c r="B537" s="16"/>
      <c r="C537" s="16"/>
      <c r="D537" s="42"/>
      <c r="E537" s="42"/>
      <c r="F537" s="42"/>
      <c r="G537" s="42"/>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row>
    <row r="538">
      <c r="A538" s="16"/>
      <c r="B538" s="16"/>
      <c r="C538" s="16"/>
      <c r="D538" s="42"/>
      <c r="E538" s="42"/>
      <c r="F538" s="42"/>
      <c r="G538" s="42"/>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row>
    <row r="539">
      <c r="A539" s="16"/>
      <c r="B539" s="16"/>
      <c r="C539" s="16"/>
      <c r="D539" s="42"/>
      <c r="E539" s="42"/>
      <c r="F539" s="42"/>
      <c r="G539" s="42"/>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row>
    <row r="540">
      <c r="A540" s="16"/>
      <c r="B540" s="16"/>
      <c r="C540" s="16"/>
      <c r="D540" s="42"/>
      <c r="E540" s="42"/>
      <c r="F540" s="42"/>
      <c r="G540" s="42"/>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row>
    <row r="541">
      <c r="A541" s="16"/>
      <c r="B541" s="16"/>
      <c r="C541" s="16"/>
      <c r="D541" s="42"/>
      <c r="E541" s="42"/>
      <c r="F541" s="42"/>
      <c r="G541" s="42"/>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row>
    <row r="542">
      <c r="A542" s="16"/>
      <c r="B542" s="16"/>
      <c r="C542" s="16"/>
      <c r="D542" s="42"/>
      <c r="E542" s="42"/>
      <c r="F542" s="42"/>
      <c r="G542" s="42"/>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row>
    <row r="543">
      <c r="A543" s="16"/>
      <c r="B543" s="16"/>
      <c r="C543" s="16"/>
      <c r="D543" s="42"/>
      <c r="E543" s="42"/>
      <c r="F543" s="42"/>
      <c r="G543" s="42"/>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row>
    <row r="544">
      <c r="A544" s="16"/>
      <c r="B544" s="16"/>
      <c r="C544" s="16"/>
      <c r="D544" s="42"/>
      <c r="E544" s="42"/>
      <c r="F544" s="42"/>
      <c r="G544" s="42"/>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row>
    <row r="545">
      <c r="A545" s="16"/>
      <c r="B545" s="16"/>
      <c r="C545" s="16"/>
      <c r="D545" s="42"/>
      <c r="E545" s="42"/>
      <c r="F545" s="42"/>
      <c r="G545" s="42"/>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row>
    <row r="546">
      <c r="A546" s="16"/>
      <c r="B546" s="16"/>
      <c r="C546" s="16"/>
      <c r="D546" s="42"/>
      <c r="E546" s="42"/>
      <c r="F546" s="42"/>
      <c r="G546" s="42"/>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c r="AS546" s="16"/>
      <c r="AT546" s="16"/>
      <c r="AU546" s="16"/>
      <c r="AV546" s="16"/>
      <c r="AW546" s="16"/>
      <c r="AX546" s="16"/>
    </row>
    <row r="547">
      <c r="A547" s="16"/>
      <c r="B547" s="16"/>
      <c r="C547" s="16"/>
      <c r="D547" s="42"/>
      <c r="E547" s="42"/>
      <c r="F547" s="42"/>
      <c r="G547" s="42"/>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c r="AV547" s="16"/>
      <c r="AW547" s="16"/>
      <c r="AX547" s="16"/>
    </row>
    <row r="548">
      <c r="A548" s="16"/>
      <c r="B548" s="16"/>
      <c r="C548" s="16"/>
      <c r="D548" s="42"/>
      <c r="E548" s="42"/>
      <c r="F548" s="42"/>
      <c r="G548" s="42"/>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c r="AR548" s="16"/>
      <c r="AS548" s="16"/>
      <c r="AT548" s="16"/>
      <c r="AU548" s="16"/>
      <c r="AV548" s="16"/>
      <c r="AW548" s="16"/>
      <c r="AX548" s="16"/>
    </row>
    <row r="549">
      <c r="A549" s="16"/>
      <c r="B549" s="16"/>
      <c r="C549" s="16"/>
      <c r="D549" s="42"/>
      <c r="E549" s="42"/>
      <c r="F549" s="42"/>
      <c r="G549" s="42"/>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V549" s="16"/>
      <c r="AW549" s="16"/>
      <c r="AX549" s="16"/>
    </row>
    <row r="550">
      <c r="A550" s="16"/>
      <c r="B550" s="16"/>
      <c r="C550" s="16"/>
      <c r="D550" s="42"/>
      <c r="E550" s="42"/>
      <c r="F550" s="42"/>
      <c r="G550" s="42"/>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c r="AS550" s="16"/>
      <c r="AT550" s="16"/>
      <c r="AU550" s="16"/>
      <c r="AV550" s="16"/>
      <c r="AW550" s="16"/>
      <c r="AX550" s="16"/>
    </row>
    <row r="551">
      <c r="A551" s="16"/>
      <c r="B551" s="16"/>
      <c r="C551" s="16"/>
      <c r="D551" s="42"/>
      <c r="E551" s="42"/>
      <c r="F551" s="42"/>
      <c r="G551" s="42"/>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V551" s="16"/>
      <c r="AW551" s="16"/>
      <c r="AX551" s="16"/>
    </row>
    <row r="552">
      <c r="A552" s="16"/>
      <c r="B552" s="16"/>
      <c r="C552" s="16"/>
      <c r="D552" s="42"/>
      <c r="E552" s="42"/>
      <c r="F552" s="42"/>
      <c r="G552" s="42"/>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c r="AS552" s="16"/>
      <c r="AT552" s="16"/>
      <c r="AU552" s="16"/>
      <c r="AV552" s="16"/>
      <c r="AW552" s="16"/>
      <c r="AX552" s="16"/>
    </row>
    <row r="553">
      <c r="A553" s="16"/>
      <c r="B553" s="16"/>
      <c r="C553" s="16"/>
      <c r="D553" s="42"/>
      <c r="E553" s="42"/>
      <c r="F553" s="42"/>
      <c r="G553" s="42"/>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row>
    <row r="554">
      <c r="A554" s="16"/>
      <c r="B554" s="16"/>
      <c r="C554" s="16"/>
      <c r="D554" s="42"/>
      <c r="E554" s="42"/>
      <c r="F554" s="42"/>
      <c r="G554" s="42"/>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c r="AS554" s="16"/>
      <c r="AT554" s="16"/>
      <c r="AU554" s="16"/>
      <c r="AV554" s="16"/>
      <c r="AW554" s="16"/>
      <c r="AX554" s="16"/>
    </row>
    <row r="555">
      <c r="A555" s="16"/>
      <c r="B555" s="16"/>
      <c r="C555" s="16"/>
      <c r="D555" s="42"/>
      <c r="E555" s="42"/>
      <c r="F555" s="42"/>
      <c r="G555" s="42"/>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V555" s="16"/>
      <c r="AW555" s="16"/>
      <c r="AX555" s="16"/>
    </row>
    <row r="556">
      <c r="A556" s="16"/>
      <c r="B556" s="16"/>
      <c r="C556" s="16"/>
      <c r="D556" s="42"/>
      <c r="E556" s="42"/>
      <c r="F556" s="42"/>
      <c r="G556" s="42"/>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c r="AS556" s="16"/>
      <c r="AT556" s="16"/>
      <c r="AU556" s="16"/>
      <c r="AV556" s="16"/>
      <c r="AW556" s="16"/>
      <c r="AX556" s="16"/>
    </row>
    <row r="557">
      <c r="A557" s="16"/>
      <c r="B557" s="16"/>
      <c r="C557" s="16"/>
      <c r="D557" s="42"/>
      <c r="E557" s="42"/>
      <c r="F557" s="42"/>
      <c r="G557" s="42"/>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V557" s="16"/>
      <c r="AW557" s="16"/>
      <c r="AX557" s="16"/>
    </row>
    <row r="558">
      <c r="A558" s="16"/>
      <c r="B558" s="16"/>
      <c r="C558" s="16"/>
      <c r="D558" s="42"/>
      <c r="E558" s="42"/>
      <c r="F558" s="42"/>
      <c r="G558" s="42"/>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row>
    <row r="559">
      <c r="A559" s="16"/>
      <c r="B559" s="16"/>
      <c r="C559" s="16"/>
      <c r="D559" s="42"/>
      <c r="E559" s="42"/>
      <c r="F559" s="42"/>
      <c r="G559" s="42"/>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row>
    <row r="560">
      <c r="A560" s="16"/>
      <c r="B560" s="16"/>
      <c r="C560" s="16"/>
      <c r="D560" s="42"/>
      <c r="E560" s="42"/>
      <c r="F560" s="42"/>
      <c r="G560" s="42"/>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6"/>
    </row>
    <row r="561">
      <c r="A561" s="16"/>
      <c r="B561" s="16"/>
      <c r="C561" s="16"/>
      <c r="D561" s="42"/>
      <c r="E561" s="42"/>
      <c r="F561" s="42"/>
      <c r="G561" s="42"/>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row>
    <row r="562">
      <c r="A562" s="16"/>
      <c r="B562" s="16"/>
      <c r="C562" s="16"/>
      <c r="D562" s="42"/>
      <c r="E562" s="42"/>
      <c r="F562" s="42"/>
      <c r="G562" s="42"/>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row>
    <row r="563">
      <c r="A563" s="16"/>
      <c r="B563" s="16"/>
      <c r="C563" s="16"/>
      <c r="D563" s="42"/>
      <c r="E563" s="42"/>
      <c r="F563" s="42"/>
      <c r="G563" s="42"/>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row>
    <row r="564">
      <c r="A564" s="16"/>
      <c r="B564" s="16"/>
      <c r="C564" s="16"/>
      <c r="D564" s="42"/>
      <c r="E564" s="42"/>
      <c r="F564" s="42"/>
      <c r="G564" s="42"/>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row>
    <row r="565">
      <c r="A565" s="16"/>
      <c r="B565" s="16"/>
      <c r="C565" s="16"/>
      <c r="D565" s="42"/>
      <c r="E565" s="42"/>
      <c r="F565" s="42"/>
      <c r="G565" s="42"/>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row>
    <row r="566">
      <c r="A566" s="16"/>
      <c r="B566" s="16"/>
      <c r="C566" s="16"/>
      <c r="D566" s="42"/>
      <c r="E566" s="42"/>
      <c r="F566" s="42"/>
      <c r="G566" s="42"/>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row>
    <row r="567">
      <c r="A567" s="16"/>
      <c r="B567" s="16"/>
      <c r="C567" s="16"/>
      <c r="D567" s="42"/>
      <c r="E567" s="42"/>
      <c r="F567" s="42"/>
      <c r="G567" s="42"/>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row>
    <row r="568">
      <c r="A568" s="16"/>
      <c r="B568" s="16"/>
      <c r="C568" s="16"/>
      <c r="D568" s="42"/>
      <c r="E568" s="42"/>
      <c r="F568" s="42"/>
      <c r="G568" s="42"/>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row>
    <row r="569">
      <c r="A569" s="16"/>
      <c r="B569" s="16"/>
      <c r="C569" s="16"/>
      <c r="D569" s="42"/>
      <c r="E569" s="42"/>
      <c r="F569" s="42"/>
      <c r="G569" s="42"/>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row>
    <row r="570">
      <c r="A570" s="16"/>
      <c r="B570" s="16"/>
      <c r="C570" s="16"/>
      <c r="D570" s="42"/>
      <c r="E570" s="42"/>
      <c r="F570" s="42"/>
      <c r="G570" s="42"/>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row>
    <row r="571">
      <c r="A571" s="16"/>
      <c r="B571" s="16"/>
      <c r="C571" s="16"/>
      <c r="D571" s="42"/>
      <c r="E571" s="42"/>
      <c r="F571" s="42"/>
      <c r="G571" s="42"/>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row>
    <row r="572">
      <c r="A572" s="16"/>
      <c r="B572" s="16"/>
      <c r="C572" s="16"/>
      <c r="D572" s="42"/>
      <c r="E572" s="42"/>
      <c r="F572" s="42"/>
      <c r="G572" s="42"/>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row>
    <row r="573">
      <c r="A573" s="16"/>
      <c r="B573" s="16"/>
      <c r="C573" s="16"/>
      <c r="D573" s="42"/>
      <c r="E573" s="42"/>
      <c r="F573" s="42"/>
      <c r="G573" s="42"/>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row>
    <row r="574">
      <c r="A574" s="16"/>
      <c r="B574" s="16"/>
      <c r="C574" s="16"/>
      <c r="D574" s="42"/>
      <c r="E574" s="42"/>
      <c r="F574" s="42"/>
      <c r="G574" s="42"/>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16"/>
      <c r="AO574" s="16"/>
      <c r="AP574" s="16"/>
      <c r="AQ574" s="16"/>
      <c r="AR574" s="16"/>
      <c r="AS574" s="16"/>
      <c r="AT574" s="16"/>
      <c r="AU574" s="16"/>
      <c r="AV574" s="16"/>
      <c r="AW574" s="16"/>
      <c r="AX574" s="16"/>
    </row>
    <row r="575">
      <c r="A575" s="16"/>
      <c r="B575" s="16"/>
      <c r="C575" s="16"/>
      <c r="D575" s="42"/>
      <c r="E575" s="42"/>
      <c r="F575" s="42"/>
      <c r="G575" s="42"/>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c r="AR575" s="16"/>
      <c r="AS575" s="16"/>
      <c r="AT575" s="16"/>
      <c r="AU575" s="16"/>
      <c r="AV575" s="16"/>
      <c r="AW575" s="16"/>
      <c r="AX575" s="16"/>
    </row>
    <row r="576">
      <c r="A576" s="16"/>
      <c r="B576" s="16"/>
      <c r="C576" s="16"/>
      <c r="D576" s="42"/>
      <c r="E576" s="42"/>
      <c r="F576" s="42"/>
      <c r="G576" s="42"/>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U576" s="16"/>
      <c r="AV576" s="16"/>
      <c r="AW576" s="16"/>
      <c r="AX576" s="16"/>
    </row>
    <row r="577">
      <c r="A577" s="16"/>
      <c r="B577" s="16"/>
      <c r="C577" s="16"/>
      <c r="D577" s="42"/>
      <c r="E577" s="42"/>
      <c r="F577" s="42"/>
      <c r="G577" s="42"/>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V577" s="16"/>
      <c r="AW577" s="16"/>
      <c r="AX577" s="16"/>
    </row>
    <row r="578">
      <c r="A578" s="16"/>
      <c r="B578" s="16"/>
      <c r="C578" s="16"/>
      <c r="D578" s="42"/>
      <c r="E578" s="42"/>
      <c r="F578" s="42"/>
      <c r="G578" s="42"/>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c r="AR578" s="16"/>
      <c r="AS578" s="16"/>
      <c r="AT578" s="16"/>
      <c r="AU578" s="16"/>
      <c r="AV578" s="16"/>
      <c r="AW578" s="16"/>
      <c r="AX578" s="16"/>
    </row>
    <row r="579">
      <c r="A579" s="16"/>
      <c r="B579" s="16"/>
      <c r="C579" s="16"/>
      <c r="D579" s="42"/>
      <c r="E579" s="42"/>
      <c r="F579" s="42"/>
      <c r="G579" s="42"/>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16"/>
      <c r="AO579" s="16"/>
      <c r="AP579" s="16"/>
      <c r="AQ579" s="16"/>
      <c r="AR579" s="16"/>
      <c r="AS579" s="16"/>
      <c r="AT579" s="16"/>
      <c r="AU579" s="16"/>
      <c r="AV579" s="16"/>
      <c r="AW579" s="16"/>
      <c r="AX579" s="16"/>
    </row>
    <row r="580">
      <c r="A580" s="16"/>
      <c r="B580" s="16"/>
      <c r="C580" s="16"/>
      <c r="D580" s="42"/>
      <c r="E580" s="42"/>
      <c r="F580" s="42"/>
      <c r="G580" s="42"/>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c r="AM580" s="16"/>
      <c r="AN580" s="16"/>
      <c r="AO580" s="16"/>
      <c r="AP580" s="16"/>
      <c r="AQ580" s="16"/>
      <c r="AR580" s="16"/>
      <c r="AS580" s="16"/>
      <c r="AT580" s="16"/>
      <c r="AU580" s="16"/>
      <c r="AV580" s="16"/>
      <c r="AW580" s="16"/>
      <c r="AX580" s="16"/>
    </row>
    <row r="581">
      <c r="A581" s="16"/>
      <c r="B581" s="16"/>
      <c r="C581" s="16"/>
      <c r="D581" s="42"/>
      <c r="E581" s="42"/>
      <c r="F581" s="42"/>
      <c r="G581" s="42"/>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c r="AP581" s="16"/>
      <c r="AQ581" s="16"/>
      <c r="AR581" s="16"/>
      <c r="AS581" s="16"/>
      <c r="AT581" s="16"/>
      <c r="AU581" s="16"/>
      <c r="AV581" s="16"/>
      <c r="AW581" s="16"/>
      <c r="AX581" s="16"/>
    </row>
    <row r="582">
      <c r="A582" s="16"/>
      <c r="B582" s="16"/>
      <c r="C582" s="16"/>
      <c r="D582" s="42"/>
      <c r="E582" s="42"/>
      <c r="F582" s="42"/>
      <c r="G582" s="42"/>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c r="AR582" s="16"/>
      <c r="AS582" s="16"/>
      <c r="AT582" s="16"/>
      <c r="AU582" s="16"/>
      <c r="AV582" s="16"/>
      <c r="AW582" s="16"/>
      <c r="AX582" s="16"/>
    </row>
    <row r="583">
      <c r="A583" s="16"/>
      <c r="B583" s="16"/>
      <c r="C583" s="16"/>
      <c r="D583" s="42"/>
      <c r="E583" s="42"/>
      <c r="F583" s="42"/>
      <c r="G583" s="42"/>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c r="AR583" s="16"/>
      <c r="AS583" s="16"/>
      <c r="AT583" s="16"/>
      <c r="AU583" s="16"/>
      <c r="AV583" s="16"/>
      <c r="AW583" s="16"/>
      <c r="AX583" s="16"/>
    </row>
    <row r="584">
      <c r="A584" s="16"/>
      <c r="B584" s="16"/>
      <c r="C584" s="16"/>
      <c r="D584" s="42"/>
      <c r="E584" s="42"/>
      <c r="F584" s="42"/>
      <c r="G584" s="42"/>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row>
    <row r="585">
      <c r="A585" s="16"/>
      <c r="B585" s="16"/>
      <c r="C585" s="16"/>
      <c r="D585" s="42"/>
      <c r="E585" s="42"/>
      <c r="F585" s="42"/>
      <c r="G585" s="42"/>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row>
    <row r="586">
      <c r="A586" s="16"/>
      <c r="B586" s="16"/>
      <c r="C586" s="16"/>
      <c r="D586" s="42"/>
      <c r="E586" s="42"/>
      <c r="F586" s="42"/>
      <c r="G586" s="42"/>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row>
    <row r="587">
      <c r="A587" s="16"/>
      <c r="B587" s="16"/>
      <c r="C587" s="16"/>
      <c r="D587" s="42"/>
      <c r="E587" s="42"/>
      <c r="F587" s="42"/>
      <c r="G587" s="42"/>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row>
    <row r="588">
      <c r="A588" s="16"/>
      <c r="B588" s="16"/>
      <c r="C588" s="16"/>
      <c r="D588" s="42"/>
      <c r="E588" s="42"/>
      <c r="F588" s="42"/>
      <c r="G588" s="42"/>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row>
    <row r="589">
      <c r="A589" s="16"/>
      <c r="B589" s="16"/>
      <c r="C589" s="16"/>
      <c r="D589" s="42"/>
      <c r="E589" s="42"/>
      <c r="F589" s="42"/>
      <c r="G589" s="42"/>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row>
    <row r="590">
      <c r="A590" s="16"/>
      <c r="B590" s="16"/>
      <c r="C590" s="16"/>
      <c r="D590" s="42"/>
      <c r="E590" s="42"/>
      <c r="F590" s="42"/>
      <c r="G590" s="42"/>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row>
    <row r="591">
      <c r="A591" s="16"/>
      <c r="B591" s="16"/>
      <c r="C591" s="16"/>
      <c r="D591" s="42"/>
      <c r="E591" s="42"/>
      <c r="F591" s="42"/>
      <c r="G591" s="42"/>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row>
    <row r="592">
      <c r="A592" s="16"/>
      <c r="B592" s="16"/>
      <c r="C592" s="16"/>
      <c r="D592" s="42"/>
      <c r="E592" s="42"/>
      <c r="F592" s="42"/>
      <c r="G592" s="42"/>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row>
    <row r="593">
      <c r="A593" s="16"/>
      <c r="B593" s="16"/>
      <c r="C593" s="16"/>
      <c r="D593" s="42"/>
      <c r="E593" s="42"/>
      <c r="F593" s="42"/>
      <c r="G593" s="42"/>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row>
    <row r="594">
      <c r="A594" s="16"/>
      <c r="B594" s="16"/>
      <c r="C594" s="16"/>
      <c r="D594" s="42"/>
      <c r="E594" s="42"/>
      <c r="F594" s="42"/>
      <c r="G594" s="42"/>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6"/>
    </row>
    <row r="595">
      <c r="A595" s="16"/>
      <c r="B595" s="16"/>
      <c r="C595" s="16"/>
      <c r="D595" s="42"/>
      <c r="E595" s="42"/>
      <c r="F595" s="42"/>
      <c r="G595" s="42"/>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row>
    <row r="596">
      <c r="A596" s="16"/>
      <c r="B596" s="16"/>
      <c r="C596" s="16"/>
      <c r="D596" s="42"/>
      <c r="E596" s="42"/>
      <c r="F596" s="42"/>
      <c r="G596" s="42"/>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6"/>
    </row>
    <row r="597">
      <c r="A597" s="16"/>
      <c r="B597" s="16"/>
      <c r="C597" s="16"/>
      <c r="D597" s="42"/>
      <c r="E597" s="42"/>
      <c r="F597" s="42"/>
      <c r="G597" s="42"/>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row>
    <row r="598">
      <c r="A598" s="16"/>
      <c r="B598" s="16"/>
      <c r="C598" s="16"/>
      <c r="D598" s="42"/>
      <c r="E598" s="42"/>
      <c r="F598" s="42"/>
      <c r="G598" s="42"/>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V598" s="16"/>
      <c r="AW598" s="16"/>
      <c r="AX598" s="16"/>
    </row>
    <row r="599">
      <c r="A599" s="16"/>
      <c r="B599" s="16"/>
      <c r="C599" s="16"/>
      <c r="D599" s="42"/>
      <c r="E599" s="42"/>
      <c r="F599" s="42"/>
      <c r="G599" s="42"/>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row>
    <row r="600">
      <c r="A600" s="16"/>
      <c r="B600" s="16"/>
      <c r="C600" s="16"/>
      <c r="D600" s="42"/>
      <c r="E600" s="42"/>
      <c r="F600" s="42"/>
      <c r="G600" s="42"/>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6"/>
    </row>
    <row r="601">
      <c r="A601" s="16"/>
      <c r="B601" s="16"/>
      <c r="C601" s="16"/>
      <c r="D601" s="42"/>
      <c r="E601" s="42"/>
      <c r="F601" s="42"/>
      <c r="G601" s="42"/>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row>
    <row r="602">
      <c r="A602" s="16"/>
      <c r="B602" s="16"/>
      <c r="C602" s="16"/>
      <c r="D602" s="42"/>
      <c r="E602" s="42"/>
      <c r="F602" s="42"/>
      <c r="G602" s="42"/>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row>
    <row r="603">
      <c r="A603" s="16"/>
      <c r="B603" s="16"/>
      <c r="C603" s="16"/>
      <c r="D603" s="42"/>
      <c r="E603" s="42"/>
      <c r="F603" s="42"/>
      <c r="G603" s="42"/>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row>
    <row r="604">
      <c r="A604" s="16"/>
      <c r="B604" s="16"/>
      <c r="C604" s="16"/>
      <c r="D604" s="42"/>
      <c r="E604" s="42"/>
      <c r="F604" s="42"/>
      <c r="G604" s="42"/>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row>
    <row r="605">
      <c r="A605" s="16"/>
      <c r="B605" s="16"/>
      <c r="C605" s="16"/>
      <c r="D605" s="42"/>
      <c r="E605" s="42"/>
      <c r="F605" s="42"/>
      <c r="G605" s="42"/>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row>
    <row r="606">
      <c r="A606" s="16"/>
      <c r="B606" s="16"/>
      <c r="C606" s="16"/>
      <c r="D606" s="42"/>
      <c r="E606" s="42"/>
      <c r="F606" s="42"/>
      <c r="G606" s="42"/>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c r="AL606" s="16"/>
      <c r="AM606" s="16"/>
      <c r="AN606" s="16"/>
      <c r="AO606" s="16"/>
      <c r="AP606" s="16"/>
      <c r="AQ606" s="16"/>
      <c r="AR606" s="16"/>
      <c r="AS606" s="16"/>
      <c r="AT606" s="16"/>
      <c r="AU606" s="16"/>
      <c r="AV606" s="16"/>
      <c r="AW606" s="16"/>
      <c r="AX606" s="16"/>
    </row>
    <row r="607">
      <c r="A607" s="16"/>
      <c r="B607" s="16"/>
      <c r="C607" s="16"/>
      <c r="D607" s="42"/>
      <c r="E607" s="42"/>
      <c r="F607" s="42"/>
      <c r="G607" s="42"/>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c r="AM607" s="16"/>
      <c r="AN607" s="16"/>
      <c r="AO607" s="16"/>
      <c r="AP607" s="16"/>
      <c r="AQ607" s="16"/>
      <c r="AR607" s="16"/>
      <c r="AS607" s="16"/>
      <c r="AT607" s="16"/>
      <c r="AU607" s="16"/>
      <c r="AV607" s="16"/>
      <c r="AW607" s="16"/>
      <c r="AX607" s="16"/>
    </row>
    <row r="608">
      <c r="A608" s="16"/>
      <c r="B608" s="16"/>
      <c r="C608" s="16"/>
      <c r="D608" s="42"/>
      <c r="E608" s="42"/>
      <c r="F608" s="42"/>
      <c r="G608" s="42"/>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c r="AR608" s="16"/>
      <c r="AS608" s="16"/>
      <c r="AT608" s="16"/>
      <c r="AU608" s="16"/>
      <c r="AV608" s="16"/>
      <c r="AW608" s="16"/>
      <c r="AX608" s="16"/>
    </row>
    <row r="609">
      <c r="A609" s="16"/>
      <c r="B609" s="16"/>
      <c r="C609" s="16"/>
      <c r="D609" s="42"/>
      <c r="E609" s="42"/>
      <c r="F609" s="42"/>
      <c r="G609" s="42"/>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c r="AR609" s="16"/>
      <c r="AS609" s="16"/>
      <c r="AT609" s="16"/>
      <c r="AU609" s="16"/>
      <c r="AV609" s="16"/>
      <c r="AW609" s="16"/>
      <c r="AX609" s="16"/>
    </row>
    <row r="610">
      <c r="A610" s="16"/>
      <c r="B610" s="16"/>
      <c r="C610" s="16"/>
      <c r="D610" s="42"/>
      <c r="E610" s="42"/>
      <c r="F610" s="42"/>
      <c r="G610" s="42"/>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c r="AP610" s="16"/>
      <c r="AQ610" s="16"/>
      <c r="AR610" s="16"/>
      <c r="AS610" s="16"/>
      <c r="AT610" s="16"/>
      <c r="AU610" s="16"/>
      <c r="AV610" s="16"/>
      <c r="AW610" s="16"/>
      <c r="AX610" s="16"/>
    </row>
    <row r="611">
      <c r="A611" s="16"/>
      <c r="B611" s="16"/>
      <c r="C611" s="16"/>
      <c r="D611" s="42"/>
      <c r="E611" s="42"/>
      <c r="F611" s="42"/>
      <c r="G611" s="42"/>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V611" s="16"/>
      <c r="AW611" s="16"/>
      <c r="AX611" s="16"/>
    </row>
    <row r="612">
      <c r="A612" s="16"/>
      <c r="B612" s="16"/>
      <c r="C612" s="16"/>
      <c r="D612" s="42"/>
      <c r="E612" s="42"/>
      <c r="F612" s="42"/>
      <c r="G612" s="42"/>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V612" s="16"/>
      <c r="AW612" s="16"/>
      <c r="AX612" s="16"/>
    </row>
    <row r="613">
      <c r="A613" s="16"/>
      <c r="B613" s="16"/>
      <c r="C613" s="16"/>
      <c r="D613" s="42"/>
      <c r="E613" s="42"/>
      <c r="F613" s="42"/>
      <c r="G613" s="42"/>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c r="AR613" s="16"/>
      <c r="AS613" s="16"/>
      <c r="AT613" s="16"/>
      <c r="AU613" s="16"/>
      <c r="AV613" s="16"/>
      <c r="AW613" s="16"/>
      <c r="AX613" s="16"/>
    </row>
    <row r="614">
      <c r="A614" s="16"/>
      <c r="B614" s="16"/>
      <c r="C614" s="16"/>
      <c r="D614" s="42"/>
      <c r="E614" s="42"/>
      <c r="F614" s="42"/>
      <c r="G614" s="42"/>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c r="AS614" s="16"/>
      <c r="AT614" s="16"/>
      <c r="AU614" s="16"/>
      <c r="AV614" s="16"/>
      <c r="AW614" s="16"/>
      <c r="AX614" s="16"/>
    </row>
    <row r="615">
      <c r="A615" s="16"/>
      <c r="B615" s="16"/>
      <c r="C615" s="16"/>
      <c r="D615" s="42"/>
      <c r="E615" s="42"/>
      <c r="F615" s="42"/>
      <c r="G615" s="42"/>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c r="AR615" s="16"/>
      <c r="AS615" s="16"/>
      <c r="AT615" s="16"/>
      <c r="AU615" s="16"/>
      <c r="AV615" s="16"/>
      <c r="AW615" s="16"/>
      <c r="AX615" s="16"/>
    </row>
    <row r="616">
      <c r="A616" s="16"/>
      <c r="B616" s="16"/>
      <c r="C616" s="16"/>
      <c r="D616" s="42"/>
      <c r="E616" s="42"/>
      <c r="F616" s="42"/>
      <c r="G616" s="42"/>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row>
    <row r="617">
      <c r="A617" s="16"/>
      <c r="B617" s="16"/>
      <c r="C617" s="16"/>
      <c r="D617" s="42"/>
      <c r="E617" s="42"/>
      <c r="F617" s="42"/>
      <c r="G617" s="42"/>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V617" s="16"/>
      <c r="AW617" s="16"/>
      <c r="AX617" s="16"/>
    </row>
    <row r="618">
      <c r="A618" s="16"/>
      <c r="B618" s="16"/>
      <c r="C618" s="16"/>
      <c r="D618" s="42"/>
      <c r="E618" s="42"/>
      <c r="F618" s="42"/>
      <c r="G618" s="42"/>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row>
    <row r="619">
      <c r="A619" s="16"/>
      <c r="B619" s="16"/>
      <c r="C619" s="16"/>
      <c r="D619" s="42"/>
      <c r="E619" s="42"/>
      <c r="F619" s="42"/>
      <c r="G619" s="42"/>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row>
    <row r="620">
      <c r="A620" s="16"/>
      <c r="B620" s="16"/>
      <c r="C620" s="16"/>
      <c r="D620" s="42"/>
      <c r="E620" s="42"/>
      <c r="F620" s="42"/>
      <c r="G620" s="42"/>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row>
    <row r="621">
      <c r="A621" s="16"/>
      <c r="B621" s="16"/>
      <c r="C621" s="16"/>
      <c r="D621" s="42"/>
      <c r="E621" s="42"/>
      <c r="F621" s="42"/>
      <c r="G621" s="42"/>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row>
    <row r="622">
      <c r="A622" s="16"/>
      <c r="B622" s="16"/>
      <c r="C622" s="16"/>
      <c r="D622" s="42"/>
      <c r="E622" s="42"/>
      <c r="F622" s="42"/>
      <c r="G622" s="42"/>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row>
    <row r="623">
      <c r="A623" s="16"/>
      <c r="B623" s="16"/>
      <c r="C623" s="16"/>
      <c r="D623" s="42"/>
      <c r="E623" s="42"/>
      <c r="F623" s="42"/>
      <c r="G623" s="42"/>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row>
    <row r="624">
      <c r="A624" s="16"/>
      <c r="B624" s="16"/>
      <c r="C624" s="16"/>
      <c r="D624" s="42"/>
      <c r="E624" s="42"/>
      <c r="F624" s="42"/>
      <c r="G624" s="42"/>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row>
    <row r="625">
      <c r="A625" s="16"/>
      <c r="B625" s="16"/>
      <c r="C625" s="16"/>
      <c r="D625" s="42"/>
      <c r="E625" s="42"/>
      <c r="F625" s="42"/>
      <c r="G625" s="42"/>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row>
    <row r="626">
      <c r="A626" s="16"/>
      <c r="B626" s="16"/>
      <c r="C626" s="16"/>
      <c r="D626" s="42"/>
      <c r="E626" s="42"/>
      <c r="F626" s="42"/>
      <c r="G626" s="42"/>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row>
    <row r="627">
      <c r="A627" s="16"/>
      <c r="B627" s="16"/>
      <c r="C627" s="16"/>
      <c r="D627" s="42"/>
      <c r="E627" s="42"/>
      <c r="F627" s="42"/>
      <c r="G627" s="42"/>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row>
    <row r="628">
      <c r="A628" s="16"/>
      <c r="B628" s="16"/>
      <c r="C628" s="16"/>
      <c r="D628" s="42"/>
      <c r="E628" s="42"/>
      <c r="F628" s="42"/>
      <c r="G628" s="42"/>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row>
    <row r="629">
      <c r="A629" s="16"/>
      <c r="B629" s="16"/>
      <c r="C629" s="16"/>
      <c r="D629" s="42"/>
      <c r="E629" s="42"/>
      <c r="F629" s="42"/>
      <c r="G629" s="42"/>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c r="AU629" s="16"/>
      <c r="AV629" s="16"/>
      <c r="AW629" s="16"/>
      <c r="AX629" s="16"/>
    </row>
    <row r="630">
      <c r="A630" s="16"/>
      <c r="B630" s="16"/>
      <c r="C630" s="16"/>
      <c r="D630" s="42"/>
      <c r="E630" s="42"/>
      <c r="F630" s="42"/>
      <c r="G630" s="42"/>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c r="AS630" s="16"/>
      <c r="AT630" s="16"/>
      <c r="AU630" s="16"/>
      <c r="AV630" s="16"/>
      <c r="AW630" s="16"/>
      <c r="AX630" s="16"/>
    </row>
    <row r="631">
      <c r="A631" s="16"/>
      <c r="B631" s="16"/>
      <c r="C631" s="16"/>
      <c r="D631" s="42"/>
      <c r="E631" s="42"/>
      <c r="F631" s="42"/>
      <c r="G631" s="42"/>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c r="AS631" s="16"/>
      <c r="AT631" s="16"/>
      <c r="AU631" s="16"/>
      <c r="AV631" s="16"/>
      <c r="AW631" s="16"/>
      <c r="AX631" s="16"/>
    </row>
    <row r="632">
      <c r="A632" s="16"/>
      <c r="B632" s="16"/>
      <c r="C632" s="16"/>
      <c r="D632" s="42"/>
      <c r="E632" s="42"/>
      <c r="F632" s="42"/>
      <c r="G632" s="42"/>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c r="AU632" s="16"/>
      <c r="AV632" s="16"/>
      <c r="AW632" s="16"/>
      <c r="AX632" s="16"/>
    </row>
    <row r="633">
      <c r="A633" s="16"/>
      <c r="B633" s="16"/>
      <c r="C633" s="16"/>
      <c r="D633" s="42"/>
      <c r="E633" s="42"/>
      <c r="F633" s="42"/>
      <c r="G633" s="42"/>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c r="AS633" s="16"/>
      <c r="AT633" s="16"/>
      <c r="AU633" s="16"/>
      <c r="AV633" s="16"/>
      <c r="AW633" s="16"/>
      <c r="AX633" s="16"/>
    </row>
    <row r="634">
      <c r="A634" s="16"/>
      <c r="B634" s="16"/>
      <c r="C634" s="16"/>
      <c r="D634" s="42"/>
      <c r="E634" s="42"/>
      <c r="F634" s="42"/>
      <c r="G634" s="42"/>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c r="AR634" s="16"/>
      <c r="AS634" s="16"/>
      <c r="AT634" s="16"/>
      <c r="AU634" s="16"/>
      <c r="AV634" s="16"/>
      <c r="AW634" s="16"/>
      <c r="AX634" s="16"/>
    </row>
    <row r="635">
      <c r="A635" s="16"/>
      <c r="B635" s="16"/>
      <c r="C635" s="16"/>
      <c r="D635" s="42"/>
      <c r="E635" s="42"/>
      <c r="F635" s="42"/>
      <c r="G635" s="42"/>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c r="AR635" s="16"/>
      <c r="AS635" s="16"/>
      <c r="AT635" s="16"/>
      <c r="AU635" s="16"/>
      <c r="AV635" s="16"/>
      <c r="AW635" s="16"/>
      <c r="AX635" s="16"/>
    </row>
    <row r="636">
      <c r="A636" s="16"/>
      <c r="B636" s="16"/>
      <c r="C636" s="16"/>
      <c r="D636" s="42"/>
      <c r="E636" s="42"/>
      <c r="F636" s="42"/>
      <c r="G636" s="42"/>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c r="AS636" s="16"/>
      <c r="AT636" s="16"/>
      <c r="AU636" s="16"/>
      <c r="AV636" s="16"/>
      <c r="AW636" s="16"/>
      <c r="AX636" s="16"/>
    </row>
    <row r="637">
      <c r="A637" s="16"/>
      <c r="B637" s="16"/>
      <c r="C637" s="16"/>
      <c r="D637" s="42"/>
      <c r="E637" s="42"/>
      <c r="F637" s="42"/>
      <c r="G637" s="42"/>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c r="AR637" s="16"/>
      <c r="AS637" s="16"/>
      <c r="AT637" s="16"/>
      <c r="AU637" s="16"/>
      <c r="AV637" s="16"/>
      <c r="AW637" s="16"/>
      <c r="AX637" s="16"/>
    </row>
    <row r="638">
      <c r="A638" s="16"/>
      <c r="B638" s="16"/>
      <c r="C638" s="16"/>
      <c r="D638" s="42"/>
      <c r="E638" s="42"/>
      <c r="F638" s="42"/>
      <c r="G638" s="42"/>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c r="AS638" s="16"/>
      <c r="AT638" s="16"/>
      <c r="AU638" s="16"/>
      <c r="AV638" s="16"/>
      <c r="AW638" s="16"/>
      <c r="AX638" s="16"/>
    </row>
    <row r="639">
      <c r="A639" s="16"/>
      <c r="B639" s="16"/>
      <c r="C639" s="16"/>
      <c r="D639" s="42"/>
      <c r="E639" s="42"/>
      <c r="F639" s="42"/>
      <c r="G639" s="42"/>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c r="AP639" s="16"/>
      <c r="AQ639" s="16"/>
      <c r="AR639" s="16"/>
      <c r="AS639" s="16"/>
      <c r="AT639" s="16"/>
      <c r="AU639" s="16"/>
      <c r="AV639" s="16"/>
      <c r="AW639" s="16"/>
      <c r="AX639" s="16"/>
    </row>
    <row r="640">
      <c r="A640" s="16"/>
      <c r="B640" s="16"/>
      <c r="C640" s="16"/>
      <c r="D640" s="42"/>
      <c r="E640" s="42"/>
      <c r="F640" s="42"/>
      <c r="G640" s="42"/>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c r="AR640" s="16"/>
      <c r="AS640" s="16"/>
      <c r="AT640" s="16"/>
      <c r="AU640" s="16"/>
      <c r="AV640" s="16"/>
      <c r="AW640" s="16"/>
      <c r="AX640" s="16"/>
    </row>
    <row r="641">
      <c r="A641" s="16"/>
      <c r="B641" s="16"/>
      <c r="C641" s="16"/>
      <c r="D641" s="42"/>
      <c r="E641" s="42"/>
      <c r="F641" s="42"/>
      <c r="G641" s="42"/>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c r="AQ641" s="16"/>
      <c r="AR641" s="16"/>
      <c r="AS641" s="16"/>
      <c r="AT641" s="16"/>
      <c r="AU641" s="16"/>
      <c r="AV641" s="16"/>
      <c r="AW641" s="16"/>
      <c r="AX641" s="16"/>
    </row>
    <row r="642">
      <c r="A642" s="16"/>
      <c r="B642" s="16"/>
      <c r="C642" s="16"/>
      <c r="D642" s="42"/>
      <c r="E642" s="42"/>
      <c r="F642" s="42"/>
      <c r="G642" s="42"/>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c r="AU642" s="16"/>
      <c r="AV642" s="16"/>
      <c r="AW642" s="16"/>
      <c r="AX642" s="16"/>
    </row>
    <row r="643">
      <c r="A643" s="16"/>
      <c r="B643" s="16"/>
      <c r="C643" s="16"/>
      <c r="D643" s="42"/>
      <c r="E643" s="42"/>
      <c r="F643" s="42"/>
      <c r="G643" s="42"/>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c r="AP643" s="16"/>
      <c r="AQ643" s="16"/>
      <c r="AR643" s="16"/>
      <c r="AS643" s="16"/>
      <c r="AT643" s="16"/>
      <c r="AU643" s="16"/>
      <c r="AV643" s="16"/>
      <c r="AW643" s="16"/>
      <c r="AX643" s="16"/>
    </row>
    <row r="644">
      <c r="A644" s="16"/>
      <c r="B644" s="16"/>
      <c r="C644" s="16"/>
      <c r="D644" s="42"/>
      <c r="E644" s="42"/>
      <c r="F644" s="42"/>
      <c r="G644" s="42"/>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c r="AS644" s="16"/>
      <c r="AT644" s="16"/>
      <c r="AU644" s="16"/>
      <c r="AV644" s="16"/>
      <c r="AW644" s="16"/>
      <c r="AX644" s="16"/>
    </row>
    <row r="645">
      <c r="A645" s="16"/>
      <c r="B645" s="16"/>
      <c r="C645" s="16"/>
      <c r="D645" s="42"/>
      <c r="E645" s="42"/>
      <c r="F645" s="42"/>
      <c r="G645" s="42"/>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c r="AP645" s="16"/>
      <c r="AQ645" s="16"/>
      <c r="AR645" s="16"/>
      <c r="AS645" s="16"/>
      <c r="AT645" s="16"/>
      <c r="AU645" s="16"/>
      <c r="AV645" s="16"/>
      <c r="AW645" s="16"/>
      <c r="AX645" s="16"/>
    </row>
    <row r="646">
      <c r="A646" s="16"/>
      <c r="B646" s="16"/>
      <c r="C646" s="16"/>
      <c r="D646" s="42"/>
      <c r="E646" s="42"/>
      <c r="F646" s="42"/>
      <c r="G646" s="42"/>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c r="AR646" s="16"/>
      <c r="AS646" s="16"/>
      <c r="AT646" s="16"/>
      <c r="AU646" s="16"/>
      <c r="AV646" s="16"/>
      <c r="AW646" s="16"/>
      <c r="AX646" s="16"/>
    </row>
    <row r="647">
      <c r="A647" s="16"/>
      <c r="B647" s="16"/>
      <c r="C647" s="16"/>
      <c r="D647" s="42"/>
      <c r="E647" s="42"/>
      <c r="F647" s="42"/>
      <c r="G647" s="42"/>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c r="AQ647" s="16"/>
      <c r="AR647" s="16"/>
      <c r="AS647" s="16"/>
      <c r="AT647" s="16"/>
      <c r="AU647" s="16"/>
      <c r="AV647" s="16"/>
      <c r="AW647" s="16"/>
      <c r="AX647" s="16"/>
    </row>
    <row r="648">
      <c r="A648" s="16"/>
      <c r="B648" s="16"/>
      <c r="C648" s="16"/>
      <c r="D648" s="42"/>
      <c r="E648" s="42"/>
      <c r="F648" s="42"/>
      <c r="G648" s="42"/>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c r="AU648" s="16"/>
      <c r="AV648" s="16"/>
      <c r="AW648" s="16"/>
      <c r="AX648" s="16"/>
    </row>
    <row r="649">
      <c r="A649" s="16"/>
      <c r="B649" s="16"/>
      <c r="C649" s="16"/>
      <c r="D649" s="42"/>
      <c r="E649" s="42"/>
      <c r="F649" s="42"/>
      <c r="G649" s="42"/>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16"/>
      <c r="AS649" s="16"/>
      <c r="AT649" s="16"/>
      <c r="AU649" s="16"/>
      <c r="AV649" s="16"/>
      <c r="AW649" s="16"/>
      <c r="AX649" s="16"/>
    </row>
    <row r="650">
      <c r="A650" s="16"/>
      <c r="B650" s="16"/>
      <c r="C650" s="16"/>
      <c r="D650" s="42"/>
      <c r="E650" s="42"/>
      <c r="F650" s="42"/>
      <c r="G650" s="42"/>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c r="AR650" s="16"/>
      <c r="AS650" s="16"/>
      <c r="AT650" s="16"/>
      <c r="AU650" s="16"/>
      <c r="AV650" s="16"/>
      <c r="AW650" s="16"/>
      <c r="AX650" s="16"/>
    </row>
    <row r="651">
      <c r="A651" s="16"/>
      <c r="B651" s="16"/>
      <c r="C651" s="16"/>
      <c r="D651" s="42"/>
      <c r="E651" s="42"/>
      <c r="F651" s="42"/>
      <c r="G651" s="42"/>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c r="AP651" s="16"/>
      <c r="AQ651" s="16"/>
      <c r="AR651" s="16"/>
      <c r="AS651" s="16"/>
      <c r="AT651" s="16"/>
      <c r="AU651" s="16"/>
      <c r="AV651" s="16"/>
      <c r="AW651" s="16"/>
      <c r="AX651" s="16"/>
    </row>
    <row r="652">
      <c r="A652" s="16"/>
      <c r="B652" s="16"/>
      <c r="C652" s="16"/>
      <c r="D652" s="42"/>
      <c r="E652" s="42"/>
      <c r="F652" s="42"/>
      <c r="G652" s="42"/>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c r="AR652" s="16"/>
      <c r="AS652" s="16"/>
      <c r="AT652" s="16"/>
      <c r="AU652" s="16"/>
      <c r="AV652" s="16"/>
      <c r="AW652" s="16"/>
      <c r="AX652" s="16"/>
    </row>
    <row r="653">
      <c r="A653" s="16"/>
      <c r="B653" s="16"/>
      <c r="C653" s="16"/>
      <c r="D653" s="42"/>
      <c r="E653" s="42"/>
      <c r="F653" s="42"/>
      <c r="G653" s="42"/>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c r="AU653" s="16"/>
      <c r="AV653" s="16"/>
      <c r="AW653" s="16"/>
      <c r="AX653" s="16"/>
    </row>
    <row r="654">
      <c r="A654" s="16"/>
      <c r="B654" s="16"/>
      <c r="C654" s="16"/>
      <c r="D654" s="42"/>
      <c r="E654" s="42"/>
      <c r="F654" s="42"/>
      <c r="G654" s="42"/>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c r="AM654" s="16"/>
      <c r="AN654" s="16"/>
      <c r="AO654" s="16"/>
      <c r="AP654" s="16"/>
      <c r="AQ654" s="16"/>
      <c r="AR654" s="16"/>
      <c r="AS654" s="16"/>
      <c r="AT654" s="16"/>
      <c r="AU654" s="16"/>
      <c r="AV654" s="16"/>
      <c r="AW654" s="16"/>
      <c r="AX654" s="16"/>
    </row>
    <row r="655">
      <c r="A655" s="16"/>
      <c r="B655" s="16"/>
      <c r="C655" s="16"/>
      <c r="D655" s="42"/>
      <c r="E655" s="42"/>
      <c r="F655" s="42"/>
      <c r="G655" s="42"/>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c r="AR655" s="16"/>
      <c r="AS655" s="16"/>
      <c r="AT655" s="16"/>
      <c r="AU655" s="16"/>
      <c r="AV655" s="16"/>
      <c r="AW655" s="16"/>
      <c r="AX655" s="16"/>
    </row>
    <row r="656">
      <c r="A656" s="16"/>
      <c r="B656" s="16"/>
      <c r="C656" s="16"/>
      <c r="D656" s="42"/>
      <c r="E656" s="42"/>
      <c r="F656" s="42"/>
      <c r="G656" s="42"/>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c r="AR656" s="16"/>
      <c r="AS656" s="16"/>
      <c r="AT656" s="16"/>
      <c r="AU656" s="16"/>
      <c r="AV656" s="16"/>
      <c r="AW656" s="16"/>
      <c r="AX656" s="16"/>
    </row>
    <row r="657">
      <c r="A657" s="16"/>
      <c r="B657" s="16"/>
      <c r="C657" s="16"/>
      <c r="D657" s="42"/>
      <c r="E657" s="42"/>
      <c r="F657" s="42"/>
      <c r="G657" s="42"/>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16"/>
      <c r="AO657" s="16"/>
      <c r="AP657" s="16"/>
      <c r="AQ657" s="16"/>
      <c r="AR657" s="16"/>
      <c r="AS657" s="16"/>
      <c r="AT657" s="16"/>
      <c r="AU657" s="16"/>
      <c r="AV657" s="16"/>
      <c r="AW657" s="16"/>
      <c r="AX657" s="16"/>
    </row>
    <row r="658">
      <c r="A658" s="16"/>
      <c r="B658" s="16"/>
      <c r="C658" s="16"/>
      <c r="D658" s="42"/>
      <c r="E658" s="42"/>
      <c r="F658" s="42"/>
      <c r="G658" s="42"/>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c r="AR658" s="16"/>
      <c r="AS658" s="16"/>
      <c r="AT658" s="16"/>
      <c r="AU658" s="16"/>
      <c r="AV658" s="16"/>
      <c r="AW658" s="16"/>
      <c r="AX658" s="16"/>
    </row>
    <row r="659">
      <c r="A659" s="16"/>
      <c r="B659" s="16"/>
      <c r="C659" s="16"/>
      <c r="D659" s="42"/>
      <c r="E659" s="42"/>
      <c r="F659" s="42"/>
      <c r="G659" s="42"/>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c r="AM659" s="16"/>
      <c r="AN659" s="16"/>
      <c r="AO659" s="16"/>
      <c r="AP659" s="16"/>
      <c r="AQ659" s="16"/>
      <c r="AR659" s="16"/>
      <c r="AS659" s="16"/>
      <c r="AT659" s="16"/>
      <c r="AU659" s="16"/>
      <c r="AV659" s="16"/>
      <c r="AW659" s="16"/>
      <c r="AX659" s="16"/>
    </row>
    <row r="660">
      <c r="A660" s="16"/>
      <c r="B660" s="16"/>
      <c r="C660" s="16"/>
      <c r="D660" s="42"/>
      <c r="E660" s="42"/>
      <c r="F660" s="42"/>
      <c r="G660" s="42"/>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c r="AR660" s="16"/>
      <c r="AS660" s="16"/>
      <c r="AT660" s="16"/>
      <c r="AU660" s="16"/>
      <c r="AV660" s="16"/>
      <c r="AW660" s="16"/>
      <c r="AX660" s="16"/>
    </row>
    <row r="661">
      <c r="A661" s="16"/>
      <c r="B661" s="16"/>
      <c r="C661" s="16"/>
      <c r="D661" s="42"/>
      <c r="E661" s="42"/>
      <c r="F661" s="42"/>
      <c r="G661" s="42"/>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c r="AR661" s="16"/>
      <c r="AS661" s="16"/>
      <c r="AT661" s="16"/>
      <c r="AU661" s="16"/>
      <c r="AV661" s="16"/>
      <c r="AW661" s="16"/>
      <c r="AX661" s="16"/>
    </row>
    <row r="662">
      <c r="A662" s="16"/>
      <c r="B662" s="16"/>
      <c r="C662" s="16"/>
      <c r="D662" s="42"/>
      <c r="E662" s="42"/>
      <c r="F662" s="42"/>
      <c r="G662" s="42"/>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c r="AR662" s="16"/>
      <c r="AS662" s="16"/>
      <c r="AT662" s="16"/>
      <c r="AU662" s="16"/>
      <c r="AV662" s="16"/>
      <c r="AW662" s="16"/>
      <c r="AX662" s="16"/>
    </row>
    <row r="663">
      <c r="A663" s="16"/>
      <c r="B663" s="16"/>
      <c r="C663" s="16"/>
      <c r="D663" s="42"/>
      <c r="E663" s="42"/>
      <c r="F663" s="42"/>
      <c r="G663" s="42"/>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c r="AM663" s="16"/>
      <c r="AN663" s="16"/>
      <c r="AO663" s="16"/>
      <c r="AP663" s="16"/>
      <c r="AQ663" s="16"/>
      <c r="AR663" s="16"/>
      <c r="AS663" s="16"/>
      <c r="AT663" s="16"/>
      <c r="AU663" s="16"/>
      <c r="AV663" s="16"/>
      <c r="AW663" s="16"/>
      <c r="AX663" s="16"/>
    </row>
    <row r="664">
      <c r="A664" s="16"/>
      <c r="B664" s="16"/>
      <c r="C664" s="16"/>
      <c r="D664" s="42"/>
      <c r="E664" s="42"/>
      <c r="F664" s="42"/>
      <c r="G664" s="42"/>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c r="AS664" s="16"/>
      <c r="AT664" s="16"/>
      <c r="AU664" s="16"/>
      <c r="AV664" s="16"/>
      <c r="AW664" s="16"/>
      <c r="AX664" s="16"/>
    </row>
    <row r="665">
      <c r="A665" s="16"/>
      <c r="B665" s="16"/>
      <c r="C665" s="16"/>
      <c r="D665" s="42"/>
      <c r="E665" s="42"/>
      <c r="F665" s="42"/>
      <c r="G665" s="42"/>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c r="AR665" s="16"/>
      <c r="AS665" s="16"/>
      <c r="AT665" s="16"/>
      <c r="AU665" s="16"/>
      <c r="AV665" s="16"/>
      <c r="AW665" s="16"/>
      <c r="AX665" s="16"/>
    </row>
    <row r="666">
      <c r="A666" s="16"/>
      <c r="B666" s="16"/>
      <c r="C666" s="16"/>
      <c r="D666" s="42"/>
      <c r="E666" s="42"/>
      <c r="F666" s="42"/>
      <c r="G666" s="42"/>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c r="AS666" s="16"/>
      <c r="AT666" s="16"/>
      <c r="AU666" s="16"/>
      <c r="AV666" s="16"/>
      <c r="AW666" s="16"/>
      <c r="AX666" s="16"/>
    </row>
    <row r="667">
      <c r="A667" s="16"/>
      <c r="B667" s="16"/>
      <c r="C667" s="16"/>
      <c r="D667" s="42"/>
      <c r="E667" s="42"/>
      <c r="F667" s="42"/>
      <c r="G667" s="42"/>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c r="AQ667" s="16"/>
      <c r="AR667" s="16"/>
      <c r="AS667" s="16"/>
      <c r="AT667" s="16"/>
      <c r="AU667" s="16"/>
      <c r="AV667" s="16"/>
      <c r="AW667" s="16"/>
      <c r="AX667" s="16"/>
    </row>
    <row r="668">
      <c r="A668" s="16"/>
      <c r="B668" s="16"/>
      <c r="C668" s="16"/>
      <c r="D668" s="42"/>
      <c r="E668" s="42"/>
      <c r="F668" s="42"/>
      <c r="G668" s="42"/>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c r="AU668" s="16"/>
      <c r="AV668" s="16"/>
      <c r="AW668" s="16"/>
      <c r="AX668" s="16"/>
    </row>
    <row r="669">
      <c r="A669" s="16"/>
      <c r="B669" s="16"/>
      <c r="C669" s="16"/>
      <c r="D669" s="42"/>
      <c r="E669" s="42"/>
      <c r="F669" s="42"/>
      <c r="G669" s="42"/>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c r="AM669" s="16"/>
      <c r="AN669" s="16"/>
      <c r="AO669" s="16"/>
      <c r="AP669" s="16"/>
      <c r="AQ669" s="16"/>
      <c r="AR669" s="16"/>
      <c r="AS669" s="16"/>
      <c r="AT669" s="16"/>
      <c r="AU669" s="16"/>
      <c r="AV669" s="16"/>
      <c r="AW669" s="16"/>
      <c r="AX669" s="16"/>
    </row>
    <row r="670">
      <c r="A670" s="16"/>
      <c r="B670" s="16"/>
      <c r="C670" s="16"/>
      <c r="D670" s="42"/>
      <c r="E670" s="42"/>
      <c r="F670" s="42"/>
      <c r="G670" s="42"/>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c r="AU670" s="16"/>
      <c r="AV670" s="16"/>
      <c r="AW670" s="16"/>
      <c r="AX670" s="16"/>
    </row>
    <row r="671">
      <c r="A671" s="16"/>
      <c r="B671" s="16"/>
      <c r="C671" s="16"/>
      <c r="D671" s="42"/>
      <c r="E671" s="42"/>
      <c r="F671" s="42"/>
      <c r="G671" s="42"/>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c r="AM671" s="16"/>
      <c r="AN671" s="16"/>
      <c r="AO671" s="16"/>
      <c r="AP671" s="16"/>
      <c r="AQ671" s="16"/>
      <c r="AR671" s="16"/>
      <c r="AS671" s="16"/>
      <c r="AT671" s="16"/>
      <c r="AU671" s="16"/>
      <c r="AV671" s="16"/>
      <c r="AW671" s="16"/>
      <c r="AX671" s="16"/>
    </row>
    <row r="672">
      <c r="A672" s="16"/>
      <c r="B672" s="16"/>
      <c r="C672" s="16"/>
      <c r="D672" s="42"/>
      <c r="E672" s="42"/>
      <c r="F672" s="42"/>
      <c r="G672" s="42"/>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c r="AR672" s="16"/>
      <c r="AS672" s="16"/>
      <c r="AT672" s="16"/>
      <c r="AU672" s="16"/>
      <c r="AV672" s="16"/>
      <c r="AW672" s="16"/>
      <c r="AX672" s="16"/>
    </row>
    <row r="673">
      <c r="A673" s="16"/>
      <c r="B673" s="16"/>
      <c r="C673" s="16"/>
      <c r="D673" s="42"/>
      <c r="E673" s="42"/>
      <c r="F673" s="42"/>
      <c r="G673" s="42"/>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16"/>
      <c r="AO673" s="16"/>
      <c r="AP673" s="16"/>
      <c r="AQ673" s="16"/>
      <c r="AR673" s="16"/>
      <c r="AS673" s="16"/>
      <c r="AT673" s="16"/>
      <c r="AU673" s="16"/>
      <c r="AV673" s="16"/>
      <c r="AW673" s="16"/>
      <c r="AX673" s="16"/>
    </row>
    <row r="674">
      <c r="A674" s="16"/>
      <c r="B674" s="16"/>
      <c r="C674" s="16"/>
      <c r="D674" s="42"/>
      <c r="E674" s="42"/>
      <c r="F674" s="42"/>
      <c r="G674" s="42"/>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c r="AS674" s="16"/>
      <c r="AT674" s="16"/>
      <c r="AU674" s="16"/>
      <c r="AV674" s="16"/>
      <c r="AW674" s="16"/>
      <c r="AX674" s="16"/>
    </row>
    <row r="675">
      <c r="A675" s="16"/>
      <c r="B675" s="16"/>
      <c r="C675" s="16"/>
      <c r="D675" s="42"/>
      <c r="E675" s="42"/>
      <c r="F675" s="42"/>
      <c r="G675" s="42"/>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c r="AM675" s="16"/>
      <c r="AN675" s="16"/>
      <c r="AO675" s="16"/>
      <c r="AP675" s="16"/>
      <c r="AQ675" s="16"/>
      <c r="AR675" s="16"/>
      <c r="AS675" s="16"/>
      <c r="AT675" s="16"/>
      <c r="AU675" s="16"/>
      <c r="AV675" s="16"/>
      <c r="AW675" s="16"/>
      <c r="AX675" s="16"/>
    </row>
    <row r="676">
      <c r="A676" s="16"/>
      <c r="B676" s="16"/>
      <c r="C676" s="16"/>
      <c r="D676" s="42"/>
      <c r="E676" s="42"/>
      <c r="F676" s="42"/>
      <c r="G676" s="42"/>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U676" s="16"/>
      <c r="AV676" s="16"/>
      <c r="AW676" s="16"/>
      <c r="AX676" s="16"/>
    </row>
    <row r="677">
      <c r="A677" s="16"/>
      <c r="B677" s="16"/>
      <c r="C677" s="16"/>
      <c r="D677" s="42"/>
      <c r="E677" s="42"/>
      <c r="F677" s="42"/>
      <c r="G677" s="42"/>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V677" s="16"/>
      <c r="AW677" s="16"/>
      <c r="AX677" s="16"/>
    </row>
    <row r="678">
      <c r="A678" s="16"/>
      <c r="B678" s="16"/>
      <c r="C678" s="16"/>
      <c r="D678" s="42"/>
      <c r="E678" s="42"/>
      <c r="F678" s="42"/>
      <c r="G678" s="42"/>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U678" s="16"/>
      <c r="AV678" s="16"/>
      <c r="AW678" s="16"/>
      <c r="AX678" s="16"/>
    </row>
    <row r="679">
      <c r="A679" s="16"/>
      <c r="B679" s="16"/>
      <c r="C679" s="16"/>
      <c r="D679" s="42"/>
      <c r="E679" s="42"/>
      <c r="F679" s="42"/>
      <c r="G679" s="42"/>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c r="AS679" s="16"/>
      <c r="AT679" s="16"/>
      <c r="AU679" s="16"/>
      <c r="AV679" s="16"/>
      <c r="AW679" s="16"/>
      <c r="AX679" s="16"/>
    </row>
    <row r="680">
      <c r="A680" s="16"/>
      <c r="B680" s="16"/>
      <c r="C680" s="16"/>
      <c r="D680" s="42"/>
      <c r="E680" s="42"/>
      <c r="F680" s="42"/>
      <c r="G680" s="42"/>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c r="AU680" s="16"/>
      <c r="AV680" s="16"/>
      <c r="AW680" s="16"/>
      <c r="AX680" s="16"/>
    </row>
    <row r="681">
      <c r="A681" s="16"/>
      <c r="B681" s="16"/>
      <c r="C681" s="16"/>
      <c r="D681" s="42"/>
      <c r="E681" s="42"/>
      <c r="F681" s="42"/>
      <c r="G681" s="42"/>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c r="AS681" s="16"/>
      <c r="AT681" s="16"/>
      <c r="AU681" s="16"/>
      <c r="AV681" s="16"/>
      <c r="AW681" s="16"/>
      <c r="AX681" s="16"/>
    </row>
    <row r="682">
      <c r="A682" s="16"/>
      <c r="B682" s="16"/>
      <c r="C682" s="16"/>
      <c r="D682" s="42"/>
      <c r="E682" s="42"/>
      <c r="F682" s="42"/>
      <c r="G682" s="42"/>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c r="AS682" s="16"/>
      <c r="AT682" s="16"/>
      <c r="AU682" s="16"/>
      <c r="AV682" s="16"/>
      <c r="AW682" s="16"/>
      <c r="AX682" s="16"/>
    </row>
    <row r="683">
      <c r="A683" s="16"/>
      <c r="B683" s="16"/>
      <c r="C683" s="16"/>
      <c r="D683" s="42"/>
      <c r="E683" s="42"/>
      <c r="F683" s="42"/>
      <c r="G683" s="42"/>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c r="AS683" s="16"/>
      <c r="AT683" s="16"/>
      <c r="AU683" s="16"/>
      <c r="AV683" s="16"/>
      <c r="AW683" s="16"/>
      <c r="AX683" s="16"/>
    </row>
    <row r="684">
      <c r="A684" s="16"/>
      <c r="B684" s="16"/>
      <c r="C684" s="16"/>
      <c r="D684" s="42"/>
      <c r="E684" s="42"/>
      <c r="F684" s="42"/>
      <c r="G684" s="42"/>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c r="AS684" s="16"/>
      <c r="AT684" s="16"/>
      <c r="AU684" s="16"/>
      <c r="AV684" s="16"/>
      <c r="AW684" s="16"/>
      <c r="AX684" s="16"/>
    </row>
    <row r="685">
      <c r="A685" s="16"/>
      <c r="B685" s="16"/>
      <c r="C685" s="16"/>
      <c r="D685" s="42"/>
      <c r="E685" s="42"/>
      <c r="F685" s="42"/>
      <c r="G685" s="42"/>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c r="AS685" s="16"/>
      <c r="AT685" s="16"/>
      <c r="AU685" s="16"/>
      <c r="AV685" s="16"/>
      <c r="AW685" s="16"/>
      <c r="AX685" s="16"/>
    </row>
    <row r="686">
      <c r="A686" s="16"/>
      <c r="B686" s="16"/>
      <c r="C686" s="16"/>
      <c r="D686" s="42"/>
      <c r="E686" s="42"/>
      <c r="F686" s="42"/>
      <c r="G686" s="42"/>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V686" s="16"/>
      <c r="AW686" s="16"/>
      <c r="AX686" s="16"/>
    </row>
    <row r="687">
      <c r="A687" s="16"/>
      <c r="B687" s="16"/>
      <c r="C687" s="16"/>
      <c r="D687" s="42"/>
      <c r="E687" s="42"/>
      <c r="F687" s="42"/>
      <c r="G687" s="42"/>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U687" s="16"/>
      <c r="AV687" s="16"/>
      <c r="AW687" s="16"/>
      <c r="AX687" s="16"/>
    </row>
    <row r="688">
      <c r="A688" s="16"/>
      <c r="B688" s="16"/>
      <c r="C688" s="16"/>
      <c r="D688" s="42"/>
      <c r="E688" s="42"/>
      <c r="F688" s="42"/>
      <c r="G688" s="42"/>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V688" s="16"/>
      <c r="AW688" s="16"/>
      <c r="AX688" s="16"/>
    </row>
    <row r="689">
      <c r="A689" s="16"/>
      <c r="B689" s="16"/>
      <c r="C689" s="16"/>
      <c r="D689" s="42"/>
      <c r="E689" s="42"/>
      <c r="F689" s="42"/>
      <c r="G689" s="42"/>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c r="AS689" s="16"/>
      <c r="AT689" s="16"/>
      <c r="AU689" s="16"/>
      <c r="AV689" s="16"/>
      <c r="AW689" s="16"/>
      <c r="AX689" s="16"/>
    </row>
    <row r="690">
      <c r="A690" s="16"/>
      <c r="B690" s="16"/>
      <c r="C690" s="16"/>
      <c r="D690" s="42"/>
      <c r="E690" s="42"/>
      <c r="F690" s="42"/>
      <c r="G690" s="42"/>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c r="AS690" s="16"/>
      <c r="AT690" s="16"/>
      <c r="AU690" s="16"/>
      <c r="AV690" s="16"/>
      <c r="AW690" s="16"/>
      <c r="AX690" s="16"/>
    </row>
    <row r="691">
      <c r="A691" s="16"/>
      <c r="B691" s="16"/>
      <c r="C691" s="16"/>
      <c r="D691" s="42"/>
      <c r="E691" s="42"/>
      <c r="F691" s="42"/>
      <c r="G691" s="42"/>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c r="AU691" s="16"/>
      <c r="AV691" s="16"/>
      <c r="AW691" s="16"/>
      <c r="AX691" s="16"/>
    </row>
    <row r="692">
      <c r="A692" s="16"/>
      <c r="B692" s="16"/>
      <c r="C692" s="16"/>
      <c r="D692" s="42"/>
      <c r="E692" s="42"/>
      <c r="F692" s="42"/>
      <c r="G692" s="42"/>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c r="AS692" s="16"/>
      <c r="AT692" s="16"/>
      <c r="AU692" s="16"/>
      <c r="AV692" s="16"/>
      <c r="AW692" s="16"/>
      <c r="AX692" s="16"/>
    </row>
    <row r="693">
      <c r="A693" s="16"/>
      <c r="B693" s="16"/>
      <c r="C693" s="16"/>
      <c r="D693" s="42"/>
      <c r="E693" s="42"/>
      <c r="F693" s="42"/>
      <c r="G693" s="42"/>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c r="AU693" s="16"/>
      <c r="AV693" s="16"/>
      <c r="AW693" s="16"/>
      <c r="AX693" s="16"/>
    </row>
    <row r="694">
      <c r="A694" s="16"/>
      <c r="B694" s="16"/>
      <c r="C694" s="16"/>
      <c r="D694" s="42"/>
      <c r="E694" s="42"/>
      <c r="F694" s="42"/>
      <c r="G694" s="42"/>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c r="AS694" s="16"/>
      <c r="AT694" s="16"/>
      <c r="AU694" s="16"/>
      <c r="AV694" s="16"/>
      <c r="AW694" s="16"/>
      <c r="AX694" s="16"/>
    </row>
    <row r="695">
      <c r="A695" s="16"/>
      <c r="B695" s="16"/>
      <c r="C695" s="16"/>
      <c r="D695" s="42"/>
      <c r="E695" s="42"/>
      <c r="F695" s="42"/>
      <c r="G695" s="42"/>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c r="AS695" s="16"/>
      <c r="AT695" s="16"/>
      <c r="AU695" s="16"/>
      <c r="AV695" s="16"/>
      <c r="AW695" s="16"/>
      <c r="AX695" s="16"/>
    </row>
    <row r="696">
      <c r="A696" s="16"/>
      <c r="B696" s="16"/>
      <c r="C696" s="16"/>
      <c r="D696" s="42"/>
      <c r="E696" s="42"/>
      <c r="F696" s="42"/>
      <c r="G696" s="42"/>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c r="AS696" s="16"/>
      <c r="AT696" s="16"/>
      <c r="AU696" s="16"/>
      <c r="AV696" s="16"/>
      <c r="AW696" s="16"/>
      <c r="AX696" s="16"/>
    </row>
    <row r="697">
      <c r="A697" s="16"/>
      <c r="B697" s="16"/>
      <c r="C697" s="16"/>
      <c r="D697" s="42"/>
      <c r="E697" s="42"/>
      <c r="F697" s="42"/>
      <c r="G697" s="42"/>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c r="AS697" s="16"/>
      <c r="AT697" s="16"/>
      <c r="AU697" s="16"/>
      <c r="AV697" s="16"/>
      <c r="AW697" s="16"/>
      <c r="AX697" s="16"/>
    </row>
    <row r="698">
      <c r="A698" s="16"/>
      <c r="B698" s="16"/>
      <c r="C698" s="16"/>
      <c r="D698" s="42"/>
      <c r="E698" s="42"/>
      <c r="F698" s="42"/>
      <c r="G698" s="42"/>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c r="AS698" s="16"/>
      <c r="AT698" s="16"/>
      <c r="AU698" s="16"/>
      <c r="AV698" s="16"/>
      <c r="AW698" s="16"/>
      <c r="AX698" s="16"/>
    </row>
    <row r="699">
      <c r="A699" s="16"/>
      <c r="B699" s="16"/>
      <c r="C699" s="16"/>
      <c r="D699" s="42"/>
      <c r="E699" s="42"/>
      <c r="F699" s="42"/>
      <c r="G699" s="42"/>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c r="AS699" s="16"/>
      <c r="AT699" s="16"/>
      <c r="AU699" s="16"/>
      <c r="AV699" s="16"/>
      <c r="AW699" s="16"/>
      <c r="AX699" s="16"/>
    </row>
    <row r="700">
      <c r="A700" s="16"/>
      <c r="B700" s="16"/>
      <c r="C700" s="16"/>
      <c r="D700" s="42"/>
      <c r="E700" s="42"/>
      <c r="F700" s="42"/>
      <c r="G700" s="42"/>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c r="AS700" s="16"/>
      <c r="AT700" s="16"/>
      <c r="AU700" s="16"/>
      <c r="AV700" s="16"/>
      <c r="AW700" s="16"/>
      <c r="AX700" s="16"/>
    </row>
    <row r="701">
      <c r="A701" s="16"/>
      <c r="B701" s="16"/>
      <c r="C701" s="16"/>
      <c r="D701" s="42"/>
      <c r="E701" s="42"/>
      <c r="F701" s="42"/>
      <c r="G701" s="42"/>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c r="AS701" s="16"/>
      <c r="AT701" s="16"/>
      <c r="AU701" s="16"/>
      <c r="AV701" s="16"/>
      <c r="AW701" s="16"/>
      <c r="AX701" s="16"/>
    </row>
    <row r="702">
      <c r="A702" s="16"/>
      <c r="B702" s="16"/>
      <c r="C702" s="16"/>
      <c r="D702" s="42"/>
      <c r="E702" s="42"/>
      <c r="F702" s="42"/>
      <c r="G702" s="42"/>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c r="AU702" s="16"/>
      <c r="AV702" s="16"/>
      <c r="AW702" s="16"/>
      <c r="AX702" s="16"/>
    </row>
    <row r="703">
      <c r="A703" s="16"/>
      <c r="B703" s="16"/>
      <c r="C703" s="16"/>
      <c r="D703" s="42"/>
      <c r="E703" s="42"/>
      <c r="F703" s="42"/>
      <c r="G703" s="42"/>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c r="AU703" s="16"/>
      <c r="AV703" s="16"/>
      <c r="AW703" s="16"/>
      <c r="AX703" s="16"/>
    </row>
    <row r="704">
      <c r="A704" s="16"/>
      <c r="B704" s="16"/>
      <c r="C704" s="16"/>
      <c r="D704" s="42"/>
      <c r="E704" s="42"/>
      <c r="F704" s="42"/>
      <c r="G704" s="42"/>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c r="AS704" s="16"/>
      <c r="AT704" s="16"/>
      <c r="AU704" s="16"/>
      <c r="AV704" s="16"/>
      <c r="AW704" s="16"/>
      <c r="AX704" s="16"/>
    </row>
    <row r="705">
      <c r="A705" s="16"/>
      <c r="B705" s="16"/>
      <c r="C705" s="16"/>
      <c r="D705" s="42"/>
      <c r="E705" s="42"/>
      <c r="F705" s="42"/>
      <c r="G705" s="42"/>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c r="AS705" s="16"/>
      <c r="AT705" s="16"/>
      <c r="AU705" s="16"/>
      <c r="AV705" s="16"/>
      <c r="AW705" s="16"/>
      <c r="AX705" s="16"/>
    </row>
    <row r="706">
      <c r="A706" s="16"/>
      <c r="B706" s="16"/>
      <c r="C706" s="16"/>
      <c r="D706" s="42"/>
      <c r="E706" s="42"/>
      <c r="F706" s="42"/>
      <c r="G706" s="42"/>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c r="AR706" s="16"/>
      <c r="AS706" s="16"/>
      <c r="AT706" s="16"/>
      <c r="AU706" s="16"/>
      <c r="AV706" s="16"/>
      <c r="AW706" s="16"/>
      <c r="AX706" s="16"/>
    </row>
    <row r="707">
      <c r="A707" s="16"/>
      <c r="B707" s="16"/>
      <c r="C707" s="16"/>
      <c r="D707" s="42"/>
      <c r="E707" s="42"/>
      <c r="F707" s="42"/>
      <c r="G707" s="42"/>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16"/>
      <c r="AO707" s="16"/>
      <c r="AP707" s="16"/>
      <c r="AQ707" s="16"/>
      <c r="AR707" s="16"/>
      <c r="AS707" s="16"/>
      <c r="AT707" s="16"/>
      <c r="AU707" s="16"/>
      <c r="AV707" s="16"/>
      <c r="AW707" s="16"/>
      <c r="AX707" s="16"/>
    </row>
    <row r="708">
      <c r="A708" s="16"/>
      <c r="B708" s="16"/>
      <c r="C708" s="16"/>
      <c r="D708" s="42"/>
      <c r="E708" s="42"/>
      <c r="F708" s="42"/>
      <c r="G708" s="42"/>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c r="AR708" s="16"/>
      <c r="AS708" s="16"/>
      <c r="AT708" s="16"/>
      <c r="AU708" s="16"/>
      <c r="AV708" s="16"/>
      <c r="AW708" s="16"/>
      <c r="AX708" s="16"/>
    </row>
    <row r="709">
      <c r="A709" s="16"/>
      <c r="B709" s="16"/>
      <c r="C709" s="16"/>
      <c r="D709" s="42"/>
      <c r="E709" s="42"/>
      <c r="F709" s="42"/>
      <c r="G709" s="42"/>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c r="AS709" s="16"/>
      <c r="AT709" s="16"/>
      <c r="AU709" s="16"/>
      <c r="AV709" s="16"/>
      <c r="AW709" s="16"/>
      <c r="AX709" s="16"/>
    </row>
    <row r="710">
      <c r="A710" s="16"/>
      <c r="B710" s="16"/>
      <c r="C710" s="16"/>
      <c r="D710" s="42"/>
      <c r="E710" s="42"/>
      <c r="F710" s="42"/>
      <c r="G710" s="42"/>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c r="AS710" s="16"/>
      <c r="AT710" s="16"/>
      <c r="AU710" s="16"/>
      <c r="AV710" s="16"/>
      <c r="AW710" s="16"/>
      <c r="AX710" s="16"/>
    </row>
    <row r="711">
      <c r="A711" s="16"/>
      <c r="B711" s="16"/>
      <c r="C711" s="16"/>
      <c r="D711" s="42"/>
      <c r="E711" s="42"/>
      <c r="F711" s="42"/>
      <c r="G711" s="42"/>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c r="AM711" s="16"/>
      <c r="AN711" s="16"/>
      <c r="AO711" s="16"/>
      <c r="AP711" s="16"/>
      <c r="AQ711" s="16"/>
      <c r="AR711" s="16"/>
      <c r="AS711" s="16"/>
      <c r="AT711" s="16"/>
      <c r="AU711" s="16"/>
      <c r="AV711" s="16"/>
      <c r="AW711" s="16"/>
      <c r="AX711" s="16"/>
    </row>
    <row r="712">
      <c r="A712" s="16"/>
      <c r="B712" s="16"/>
      <c r="C712" s="16"/>
      <c r="D712" s="42"/>
      <c r="E712" s="42"/>
      <c r="F712" s="42"/>
      <c r="G712" s="42"/>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c r="AR712" s="16"/>
      <c r="AS712" s="16"/>
      <c r="AT712" s="16"/>
      <c r="AU712" s="16"/>
      <c r="AV712" s="16"/>
      <c r="AW712" s="16"/>
      <c r="AX712" s="16"/>
    </row>
    <row r="713">
      <c r="A713" s="16"/>
      <c r="B713" s="16"/>
      <c r="C713" s="16"/>
      <c r="D713" s="42"/>
      <c r="E713" s="42"/>
      <c r="F713" s="42"/>
      <c r="G713" s="42"/>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c r="AS713" s="16"/>
      <c r="AT713" s="16"/>
      <c r="AU713" s="16"/>
      <c r="AV713" s="16"/>
      <c r="AW713" s="16"/>
      <c r="AX713" s="16"/>
    </row>
    <row r="714">
      <c r="A714" s="16"/>
      <c r="B714" s="16"/>
      <c r="C714" s="16"/>
      <c r="D714" s="42"/>
      <c r="E714" s="42"/>
      <c r="F714" s="42"/>
      <c r="G714" s="42"/>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c r="AS714" s="16"/>
      <c r="AT714" s="16"/>
      <c r="AU714" s="16"/>
      <c r="AV714" s="16"/>
      <c r="AW714" s="16"/>
      <c r="AX714" s="16"/>
    </row>
    <row r="715">
      <c r="A715" s="16"/>
      <c r="B715" s="16"/>
      <c r="C715" s="16"/>
      <c r="D715" s="42"/>
      <c r="E715" s="42"/>
      <c r="F715" s="42"/>
      <c r="G715" s="42"/>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c r="AS715" s="16"/>
      <c r="AT715" s="16"/>
      <c r="AU715" s="16"/>
      <c r="AV715" s="16"/>
      <c r="AW715" s="16"/>
      <c r="AX715" s="16"/>
    </row>
    <row r="716">
      <c r="A716" s="16"/>
      <c r="B716" s="16"/>
      <c r="C716" s="16"/>
      <c r="D716" s="42"/>
      <c r="E716" s="42"/>
      <c r="F716" s="42"/>
      <c r="G716" s="42"/>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c r="AS716" s="16"/>
      <c r="AT716" s="16"/>
      <c r="AU716" s="16"/>
      <c r="AV716" s="16"/>
      <c r="AW716" s="16"/>
      <c r="AX716" s="16"/>
    </row>
    <row r="717">
      <c r="A717" s="16"/>
      <c r="B717" s="16"/>
      <c r="C717" s="16"/>
      <c r="D717" s="42"/>
      <c r="E717" s="42"/>
      <c r="F717" s="42"/>
      <c r="G717" s="42"/>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c r="AS717" s="16"/>
      <c r="AT717" s="16"/>
      <c r="AU717" s="16"/>
      <c r="AV717" s="16"/>
      <c r="AW717" s="16"/>
      <c r="AX717" s="16"/>
    </row>
    <row r="718">
      <c r="A718" s="16"/>
      <c r="B718" s="16"/>
      <c r="C718" s="16"/>
      <c r="D718" s="42"/>
      <c r="E718" s="42"/>
      <c r="F718" s="42"/>
      <c r="G718" s="42"/>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c r="AS718" s="16"/>
      <c r="AT718" s="16"/>
      <c r="AU718" s="16"/>
      <c r="AV718" s="16"/>
      <c r="AW718" s="16"/>
      <c r="AX718" s="16"/>
    </row>
    <row r="719">
      <c r="A719" s="16"/>
      <c r="B719" s="16"/>
      <c r="C719" s="16"/>
      <c r="D719" s="42"/>
      <c r="E719" s="42"/>
      <c r="F719" s="42"/>
      <c r="G719" s="42"/>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c r="AU719" s="16"/>
      <c r="AV719" s="16"/>
      <c r="AW719" s="16"/>
      <c r="AX719" s="16"/>
    </row>
    <row r="720">
      <c r="A720" s="16"/>
      <c r="B720" s="16"/>
      <c r="C720" s="16"/>
      <c r="D720" s="42"/>
      <c r="E720" s="42"/>
      <c r="F720" s="42"/>
      <c r="G720" s="42"/>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row>
    <row r="721">
      <c r="A721" s="16"/>
      <c r="B721" s="16"/>
      <c r="C721" s="16"/>
      <c r="D721" s="42"/>
      <c r="E721" s="42"/>
      <c r="F721" s="42"/>
      <c r="G721" s="42"/>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row>
    <row r="722">
      <c r="A722" s="16"/>
      <c r="B722" s="16"/>
      <c r="C722" s="16"/>
      <c r="D722" s="42"/>
      <c r="E722" s="42"/>
      <c r="F722" s="42"/>
      <c r="G722" s="42"/>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row>
    <row r="723">
      <c r="A723" s="16"/>
      <c r="B723" s="16"/>
      <c r="C723" s="16"/>
      <c r="D723" s="42"/>
      <c r="E723" s="42"/>
      <c r="F723" s="42"/>
      <c r="G723" s="42"/>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row>
    <row r="724">
      <c r="A724" s="16"/>
      <c r="B724" s="16"/>
      <c r="C724" s="16"/>
      <c r="D724" s="42"/>
      <c r="E724" s="42"/>
      <c r="F724" s="42"/>
      <c r="G724" s="42"/>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row>
    <row r="725">
      <c r="A725" s="16"/>
      <c r="B725" s="16"/>
      <c r="C725" s="16"/>
      <c r="D725" s="42"/>
      <c r="E725" s="42"/>
      <c r="F725" s="42"/>
      <c r="G725" s="42"/>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row>
    <row r="726">
      <c r="A726" s="16"/>
      <c r="B726" s="16"/>
      <c r="C726" s="16"/>
      <c r="D726" s="42"/>
      <c r="E726" s="42"/>
      <c r="F726" s="42"/>
      <c r="G726" s="42"/>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row>
    <row r="727">
      <c r="A727" s="16"/>
      <c r="B727" s="16"/>
      <c r="C727" s="16"/>
      <c r="D727" s="42"/>
      <c r="E727" s="42"/>
      <c r="F727" s="42"/>
      <c r="G727" s="42"/>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row>
    <row r="728">
      <c r="A728" s="16"/>
      <c r="B728" s="16"/>
      <c r="C728" s="16"/>
      <c r="D728" s="42"/>
      <c r="E728" s="42"/>
      <c r="F728" s="42"/>
      <c r="G728" s="42"/>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row>
    <row r="729">
      <c r="A729" s="16"/>
      <c r="B729" s="16"/>
      <c r="C729" s="16"/>
      <c r="D729" s="42"/>
      <c r="E729" s="42"/>
      <c r="F729" s="42"/>
      <c r="G729" s="42"/>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row>
    <row r="730">
      <c r="A730" s="16"/>
      <c r="B730" s="16"/>
      <c r="C730" s="16"/>
      <c r="D730" s="42"/>
      <c r="E730" s="42"/>
      <c r="F730" s="42"/>
      <c r="G730" s="42"/>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row>
    <row r="731">
      <c r="A731" s="16"/>
      <c r="B731" s="16"/>
      <c r="C731" s="16"/>
      <c r="D731" s="42"/>
      <c r="E731" s="42"/>
      <c r="F731" s="42"/>
      <c r="G731" s="42"/>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row>
    <row r="732">
      <c r="A732" s="16"/>
      <c r="B732" s="16"/>
      <c r="C732" s="16"/>
      <c r="D732" s="42"/>
      <c r="E732" s="42"/>
      <c r="F732" s="42"/>
      <c r="G732" s="42"/>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row>
    <row r="733">
      <c r="A733" s="16"/>
      <c r="B733" s="16"/>
      <c r="C733" s="16"/>
      <c r="D733" s="42"/>
      <c r="E733" s="42"/>
      <c r="F733" s="42"/>
      <c r="G733" s="42"/>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row>
    <row r="734">
      <c r="A734" s="16"/>
      <c r="B734" s="16"/>
      <c r="C734" s="16"/>
      <c r="D734" s="42"/>
      <c r="E734" s="42"/>
      <c r="F734" s="42"/>
      <c r="G734" s="42"/>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row>
    <row r="735">
      <c r="A735" s="16"/>
      <c r="B735" s="16"/>
      <c r="C735" s="16"/>
      <c r="D735" s="42"/>
      <c r="E735" s="42"/>
      <c r="F735" s="42"/>
      <c r="G735" s="42"/>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row>
    <row r="736">
      <c r="A736" s="16"/>
      <c r="B736" s="16"/>
      <c r="C736" s="16"/>
      <c r="D736" s="42"/>
      <c r="E736" s="42"/>
      <c r="F736" s="42"/>
      <c r="G736" s="42"/>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row>
    <row r="737">
      <c r="A737" s="16"/>
      <c r="B737" s="16"/>
      <c r="C737" s="16"/>
      <c r="D737" s="42"/>
      <c r="E737" s="42"/>
      <c r="F737" s="42"/>
      <c r="G737" s="42"/>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row>
    <row r="738">
      <c r="A738" s="16"/>
      <c r="B738" s="16"/>
      <c r="C738" s="16"/>
      <c r="D738" s="42"/>
      <c r="E738" s="42"/>
      <c r="F738" s="42"/>
      <c r="G738" s="42"/>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row>
    <row r="739">
      <c r="A739" s="16"/>
      <c r="B739" s="16"/>
      <c r="C739" s="16"/>
      <c r="D739" s="42"/>
      <c r="E739" s="42"/>
      <c r="F739" s="42"/>
      <c r="G739" s="42"/>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row>
    <row r="740">
      <c r="A740" s="16"/>
      <c r="B740" s="16"/>
      <c r="C740" s="16"/>
      <c r="D740" s="42"/>
      <c r="E740" s="42"/>
      <c r="F740" s="42"/>
      <c r="G740" s="42"/>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row>
    <row r="741">
      <c r="A741" s="16"/>
      <c r="B741" s="16"/>
      <c r="C741" s="16"/>
      <c r="D741" s="42"/>
      <c r="E741" s="42"/>
      <c r="F741" s="42"/>
      <c r="G741" s="42"/>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row>
    <row r="742">
      <c r="A742" s="16"/>
      <c r="B742" s="16"/>
      <c r="C742" s="16"/>
      <c r="D742" s="42"/>
      <c r="E742" s="42"/>
      <c r="F742" s="42"/>
      <c r="G742" s="42"/>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V742" s="16"/>
      <c r="AW742" s="16"/>
      <c r="AX742" s="16"/>
    </row>
    <row r="743">
      <c r="A743" s="16"/>
      <c r="B743" s="16"/>
      <c r="C743" s="16"/>
      <c r="D743" s="42"/>
      <c r="E743" s="42"/>
      <c r="F743" s="42"/>
      <c r="G743" s="42"/>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row>
    <row r="744">
      <c r="A744" s="16"/>
      <c r="B744" s="16"/>
      <c r="C744" s="16"/>
      <c r="D744" s="42"/>
      <c r="E744" s="42"/>
      <c r="F744" s="42"/>
      <c r="G744" s="42"/>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V744" s="16"/>
      <c r="AW744" s="16"/>
      <c r="AX744" s="16"/>
    </row>
    <row r="745">
      <c r="A745" s="16"/>
      <c r="B745" s="16"/>
      <c r="C745" s="16"/>
      <c r="D745" s="42"/>
      <c r="E745" s="42"/>
      <c r="F745" s="42"/>
      <c r="G745" s="42"/>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V745" s="16"/>
      <c r="AW745" s="16"/>
      <c r="AX745" s="16"/>
    </row>
    <row r="746">
      <c r="A746" s="16"/>
      <c r="B746" s="16"/>
      <c r="C746" s="16"/>
      <c r="D746" s="42"/>
      <c r="E746" s="42"/>
      <c r="F746" s="42"/>
      <c r="G746" s="42"/>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V746" s="16"/>
      <c r="AW746" s="16"/>
      <c r="AX746" s="16"/>
    </row>
    <row r="747">
      <c r="A747" s="16"/>
      <c r="B747" s="16"/>
      <c r="C747" s="16"/>
      <c r="D747" s="42"/>
      <c r="E747" s="42"/>
      <c r="F747" s="42"/>
      <c r="G747" s="42"/>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row>
    <row r="748">
      <c r="A748" s="16"/>
      <c r="B748" s="16"/>
      <c r="C748" s="16"/>
      <c r="D748" s="42"/>
      <c r="E748" s="42"/>
      <c r="F748" s="42"/>
      <c r="G748" s="42"/>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row>
    <row r="749">
      <c r="A749" s="16"/>
      <c r="B749" s="16"/>
      <c r="C749" s="16"/>
      <c r="D749" s="42"/>
      <c r="E749" s="42"/>
      <c r="F749" s="42"/>
      <c r="G749" s="42"/>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V749" s="16"/>
      <c r="AW749" s="16"/>
      <c r="AX749" s="16"/>
    </row>
    <row r="750">
      <c r="A750" s="16"/>
      <c r="B750" s="16"/>
      <c r="C750" s="16"/>
      <c r="D750" s="42"/>
      <c r="E750" s="42"/>
      <c r="F750" s="42"/>
      <c r="G750" s="42"/>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row>
    <row r="751">
      <c r="A751" s="16"/>
      <c r="B751" s="16"/>
      <c r="C751" s="16"/>
      <c r="D751" s="42"/>
      <c r="E751" s="42"/>
      <c r="F751" s="42"/>
      <c r="G751" s="42"/>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V751" s="16"/>
      <c r="AW751" s="16"/>
      <c r="AX751" s="16"/>
    </row>
    <row r="752">
      <c r="A752" s="16"/>
      <c r="B752" s="16"/>
      <c r="C752" s="16"/>
      <c r="D752" s="42"/>
      <c r="E752" s="42"/>
      <c r="F752" s="42"/>
      <c r="G752" s="42"/>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V752" s="16"/>
      <c r="AW752" s="16"/>
      <c r="AX752" s="16"/>
    </row>
    <row r="753">
      <c r="A753" s="16"/>
      <c r="B753" s="16"/>
      <c r="C753" s="16"/>
      <c r="D753" s="42"/>
      <c r="E753" s="42"/>
      <c r="F753" s="42"/>
      <c r="G753" s="42"/>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row>
    <row r="754">
      <c r="A754" s="16"/>
      <c r="B754" s="16"/>
      <c r="C754" s="16"/>
      <c r="D754" s="42"/>
      <c r="E754" s="42"/>
      <c r="F754" s="42"/>
      <c r="G754" s="42"/>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row>
    <row r="755">
      <c r="A755" s="16"/>
      <c r="B755" s="16"/>
      <c r="C755" s="16"/>
      <c r="D755" s="42"/>
      <c r="E755" s="42"/>
      <c r="F755" s="42"/>
      <c r="G755" s="42"/>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V755" s="16"/>
      <c r="AW755" s="16"/>
      <c r="AX755" s="16"/>
    </row>
    <row r="756">
      <c r="A756" s="16"/>
      <c r="B756" s="16"/>
      <c r="C756" s="16"/>
      <c r="D756" s="42"/>
      <c r="E756" s="42"/>
      <c r="F756" s="42"/>
      <c r="G756" s="42"/>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row>
    <row r="757">
      <c r="A757" s="16"/>
      <c r="B757" s="16"/>
      <c r="C757" s="16"/>
      <c r="D757" s="42"/>
      <c r="E757" s="42"/>
      <c r="F757" s="42"/>
      <c r="G757" s="42"/>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V757" s="16"/>
      <c r="AW757" s="16"/>
      <c r="AX757" s="16"/>
    </row>
    <row r="758">
      <c r="A758" s="16"/>
      <c r="B758" s="16"/>
      <c r="C758" s="16"/>
      <c r="D758" s="42"/>
      <c r="E758" s="42"/>
      <c r="F758" s="42"/>
      <c r="G758" s="42"/>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6"/>
    </row>
    <row r="759">
      <c r="A759" s="16"/>
      <c r="B759" s="16"/>
      <c r="C759" s="16"/>
      <c r="D759" s="42"/>
      <c r="E759" s="42"/>
      <c r="F759" s="42"/>
      <c r="G759" s="42"/>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row>
    <row r="760">
      <c r="A760" s="16"/>
      <c r="B760" s="16"/>
      <c r="C760" s="16"/>
      <c r="D760" s="42"/>
      <c r="E760" s="42"/>
      <c r="F760" s="42"/>
      <c r="G760" s="42"/>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c r="AS760" s="16"/>
      <c r="AT760" s="16"/>
      <c r="AU760" s="16"/>
      <c r="AV760" s="16"/>
      <c r="AW760" s="16"/>
      <c r="AX760" s="16"/>
    </row>
    <row r="761">
      <c r="A761" s="16"/>
      <c r="B761" s="16"/>
      <c r="C761" s="16"/>
      <c r="D761" s="42"/>
      <c r="E761" s="42"/>
      <c r="F761" s="42"/>
      <c r="G761" s="42"/>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c r="AP761" s="16"/>
      <c r="AQ761" s="16"/>
      <c r="AR761" s="16"/>
      <c r="AS761" s="16"/>
      <c r="AT761" s="16"/>
      <c r="AU761" s="16"/>
      <c r="AV761" s="16"/>
      <c r="AW761" s="16"/>
      <c r="AX761" s="16"/>
    </row>
    <row r="762">
      <c r="A762" s="16"/>
      <c r="B762" s="16"/>
      <c r="C762" s="16"/>
      <c r="D762" s="42"/>
      <c r="E762" s="42"/>
      <c r="F762" s="42"/>
      <c r="G762" s="42"/>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c r="AR762" s="16"/>
      <c r="AS762" s="16"/>
      <c r="AT762" s="16"/>
      <c r="AU762" s="16"/>
      <c r="AV762" s="16"/>
      <c r="AW762" s="16"/>
      <c r="AX762" s="16"/>
    </row>
    <row r="763">
      <c r="A763" s="16"/>
      <c r="B763" s="16"/>
      <c r="C763" s="16"/>
      <c r="D763" s="42"/>
      <c r="E763" s="42"/>
      <c r="F763" s="42"/>
      <c r="G763" s="42"/>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c r="AS763" s="16"/>
      <c r="AT763" s="16"/>
      <c r="AU763" s="16"/>
      <c r="AV763" s="16"/>
      <c r="AW763" s="16"/>
      <c r="AX763" s="16"/>
    </row>
    <row r="764">
      <c r="A764" s="16"/>
      <c r="B764" s="16"/>
      <c r="C764" s="16"/>
      <c r="D764" s="42"/>
      <c r="E764" s="42"/>
      <c r="F764" s="42"/>
      <c r="G764" s="42"/>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c r="AP764" s="16"/>
      <c r="AQ764" s="16"/>
      <c r="AR764" s="16"/>
      <c r="AS764" s="16"/>
      <c r="AT764" s="16"/>
      <c r="AU764" s="16"/>
      <c r="AV764" s="16"/>
      <c r="AW764" s="16"/>
      <c r="AX764" s="16"/>
    </row>
    <row r="765">
      <c r="A765" s="16"/>
      <c r="B765" s="16"/>
      <c r="C765" s="16"/>
      <c r="D765" s="42"/>
      <c r="E765" s="42"/>
      <c r="F765" s="42"/>
      <c r="G765" s="42"/>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c r="AR765" s="16"/>
      <c r="AS765" s="16"/>
      <c r="AT765" s="16"/>
      <c r="AU765" s="16"/>
      <c r="AV765" s="16"/>
      <c r="AW765" s="16"/>
      <c r="AX765" s="16"/>
    </row>
    <row r="766">
      <c r="A766" s="16"/>
      <c r="B766" s="16"/>
      <c r="C766" s="16"/>
      <c r="D766" s="42"/>
      <c r="E766" s="42"/>
      <c r="F766" s="42"/>
      <c r="G766" s="42"/>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c r="AR766" s="16"/>
      <c r="AS766" s="16"/>
      <c r="AT766" s="16"/>
      <c r="AU766" s="16"/>
      <c r="AV766" s="16"/>
      <c r="AW766" s="16"/>
      <c r="AX766" s="16"/>
    </row>
    <row r="767">
      <c r="A767" s="16"/>
      <c r="B767" s="16"/>
      <c r="C767" s="16"/>
      <c r="D767" s="42"/>
      <c r="E767" s="42"/>
      <c r="F767" s="42"/>
      <c r="G767" s="42"/>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c r="AS767" s="16"/>
      <c r="AT767" s="16"/>
      <c r="AU767" s="16"/>
      <c r="AV767" s="16"/>
      <c r="AW767" s="16"/>
      <c r="AX767" s="16"/>
    </row>
    <row r="768">
      <c r="A768" s="16"/>
      <c r="B768" s="16"/>
      <c r="C768" s="16"/>
      <c r="D768" s="42"/>
      <c r="E768" s="42"/>
      <c r="F768" s="42"/>
      <c r="G768" s="42"/>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c r="AR768" s="16"/>
      <c r="AS768" s="16"/>
      <c r="AT768" s="16"/>
      <c r="AU768" s="16"/>
      <c r="AV768" s="16"/>
      <c r="AW768" s="16"/>
      <c r="AX768" s="16"/>
    </row>
    <row r="769">
      <c r="A769" s="16"/>
      <c r="B769" s="16"/>
      <c r="C769" s="16"/>
      <c r="D769" s="42"/>
      <c r="E769" s="42"/>
      <c r="F769" s="42"/>
      <c r="G769" s="42"/>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c r="AR769" s="16"/>
      <c r="AS769" s="16"/>
      <c r="AT769" s="16"/>
      <c r="AU769" s="16"/>
      <c r="AV769" s="16"/>
      <c r="AW769" s="16"/>
      <c r="AX769" s="16"/>
    </row>
    <row r="770">
      <c r="A770" s="16"/>
      <c r="B770" s="16"/>
      <c r="C770" s="16"/>
      <c r="D770" s="42"/>
      <c r="E770" s="42"/>
      <c r="F770" s="42"/>
      <c r="G770" s="42"/>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c r="AR770" s="16"/>
      <c r="AS770" s="16"/>
      <c r="AT770" s="16"/>
      <c r="AU770" s="16"/>
      <c r="AV770" s="16"/>
      <c r="AW770" s="16"/>
      <c r="AX770" s="16"/>
    </row>
    <row r="771">
      <c r="A771" s="16"/>
      <c r="B771" s="16"/>
      <c r="C771" s="16"/>
      <c r="D771" s="42"/>
      <c r="E771" s="42"/>
      <c r="F771" s="42"/>
      <c r="G771" s="42"/>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c r="AM771" s="16"/>
      <c r="AN771" s="16"/>
      <c r="AO771" s="16"/>
      <c r="AP771" s="16"/>
      <c r="AQ771" s="16"/>
      <c r="AR771" s="16"/>
      <c r="AS771" s="16"/>
      <c r="AT771" s="16"/>
      <c r="AU771" s="16"/>
      <c r="AV771" s="16"/>
      <c r="AW771" s="16"/>
      <c r="AX771" s="16"/>
    </row>
    <row r="772">
      <c r="A772" s="16"/>
      <c r="B772" s="16"/>
      <c r="C772" s="16"/>
      <c r="D772" s="42"/>
      <c r="E772" s="42"/>
      <c r="F772" s="42"/>
      <c r="G772" s="42"/>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c r="AS772" s="16"/>
      <c r="AT772" s="16"/>
      <c r="AU772" s="16"/>
      <c r="AV772" s="16"/>
      <c r="AW772" s="16"/>
      <c r="AX772" s="16"/>
    </row>
    <row r="773">
      <c r="A773" s="16"/>
      <c r="B773" s="16"/>
      <c r="C773" s="16"/>
      <c r="D773" s="42"/>
      <c r="E773" s="42"/>
      <c r="F773" s="42"/>
      <c r="G773" s="42"/>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c r="AU773" s="16"/>
      <c r="AV773" s="16"/>
      <c r="AW773" s="16"/>
      <c r="AX773" s="16"/>
    </row>
    <row r="774">
      <c r="A774" s="16"/>
      <c r="B774" s="16"/>
      <c r="C774" s="16"/>
      <c r="D774" s="42"/>
      <c r="E774" s="42"/>
      <c r="F774" s="42"/>
      <c r="G774" s="42"/>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c r="AU774" s="16"/>
      <c r="AV774" s="16"/>
      <c r="AW774" s="16"/>
      <c r="AX774" s="16"/>
    </row>
    <row r="775">
      <c r="A775" s="16"/>
      <c r="B775" s="16"/>
      <c r="C775" s="16"/>
      <c r="D775" s="42"/>
      <c r="E775" s="42"/>
      <c r="F775" s="42"/>
      <c r="G775" s="42"/>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c r="AS775" s="16"/>
      <c r="AT775" s="16"/>
      <c r="AU775" s="16"/>
      <c r="AV775" s="16"/>
      <c r="AW775" s="16"/>
      <c r="AX775" s="16"/>
    </row>
    <row r="776">
      <c r="A776" s="16"/>
      <c r="B776" s="16"/>
      <c r="C776" s="16"/>
      <c r="D776" s="42"/>
      <c r="E776" s="42"/>
      <c r="F776" s="42"/>
      <c r="G776" s="42"/>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c r="AU776" s="16"/>
      <c r="AV776" s="16"/>
      <c r="AW776" s="16"/>
      <c r="AX776" s="16"/>
    </row>
    <row r="777">
      <c r="A777" s="16"/>
      <c r="B777" s="16"/>
      <c r="C777" s="16"/>
      <c r="D777" s="42"/>
      <c r="E777" s="42"/>
      <c r="F777" s="42"/>
      <c r="G777" s="42"/>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c r="AS777" s="16"/>
      <c r="AT777" s="16"/>
      <c r="AU777" s="16"/>
      <c r="AV777" s="16"/>
      <c r="AW777" s="16"/>
      <c r="AX777" s="16"/>
    </row>
    <row r="778">
      <c r="A778" s="16"/>
      <c r="B778" s="16"/>
      <c r="C778" s="16"/>
      <c r="D778" s="42"/>
      <c r="E778" s="42"/>
      <c r="F778" s="42"/>
      <c r="G778" s="42"/>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c r="AU778" s="16"/>
      <c r="AV778" s="16"/>
      <c r="AW778" s="16"/>
      <c r="AX778" s="16"/>
    </row>
    <row r="779">
      <c r="A779" s="16"/>
      <c r="B779" s="16"/>
      <c r="C779" s="16"/>
      <c r="D779" s="42"/>
      <c r="E779" s="42"/>
      <c r="F779" s="42"/>
      <c r="G779" s="42"/>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c r="AR779" s="16"/>
      <c r="AS779" s="16"/>
      <c r="AT779" s="16"/>
      <c r="AU779" s="16"/>
      <c r="AV779" s="16"/>
      <c r="AW779" s="16"/>
      <c r="AX779" s="16"/>
    </row>
    <row r="780">
      <c r="A780" s="16"/>
      <c r="B780" s="16"/>
      <c r="C780" s="16"/>
      <c r="D780" s="42"/>
      <c r="E780" s="42"/>
      <c r="F780" s="42"/>
      <c r="G780" s="42"/>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c r="AU780" s="16"/>
      <c r="AV780" s="16"/>
      <c r="AW780" s="16"/>
      <c r="AX780" s="16"/>
    </row>
    <row r="781">
      <c r="A781" s="16"/>
      <c r="B781" s="16"/>
      <c r="C781" s="16"/>
      <c r="D781" s="42"/>
      <c r="E781" s="42"/>
      <c r="F781" s="42"/>
      <c r="G781" s="42"/>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c r="AM781" s="16"/>
      <c r="AN781" s="16"/>
      <c r="AO781" s="16"/>
      <c r="AP781" s="16"/>
      <c r="AQ781" s="16"/>
      <c r="AR781" s="16"/>
      <c r="AS781" s="16"/>
      <c r="AT781" s="16"/>
      <c r="AU781" s="16"/>
      <c r="AV781" s="16"/>
      <c r="AW781" s="16"/>
      <c r="AX781" s="16"/>
    </row>
    <row r="782">
      <c r="A782" s="16"/>
      <c r="B782" s="16"/>
      <c r="C782" s="16"/>
      <c r="D782" s="42"/>
      <c r="E782" s="42"/>
      <c r="F782" s="42"/>
      <c r="G782" s="42"/>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c r="AM782" s="16"/>
      <c r="AN782" s="16"/>
      <c r="AO782" s="16"/>
      <c r="AP782" s="16"/>
      <c r="AQ782" s="16"/>
      <c r="AR782" s="16"/>
      <c r="AS782" s="16"/>
      <c r="AT782" s="16"/>
      <c r="AU782" s="16"/>
      <c r="AV782" s="16"/>
      <c r="AW782" s="16"/>
      <c r="AX782" s="16"/>
    </row>
    <row r="783">
      <c r="A783" s="16"/>
      <c r="B783" s="16"/>
      <c r="C783" s="16"/>
      <c r="D783" s="42"/>
      <c r="E783" s="42"/>
      <c r="F783" s="42"/>
      <c r="G783" s="42"/>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c r="AM783" s="16"/>
      <c r="AN783" s="16"/>
      <c r="AO783" s="16"/>
      <c r="AP783" s="16"/>
      <c r="AQ783" s="16"/>
      <c r="AR783" s="16"/>
      <c r="AS783" s="16"/>
      <c r="AT783" s="16"/>
      <c r="AU783" s="16"/>
      <c r="AV783" s="16"/>
      <c r="AW783" s="16"/>
      <c r="AX783" s="16"/>
    </row>
    <row r="784">
      <c r="A784" s="16"/>
      <c r="B784" s="16"/>
      <c r="C784" s="16"/>
      <c r="D784" s="42"/>
      <c r="E784" s="42"/>
      <c r="F784" s="42"/>
      <c r="G784" s="42"/>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c r="AR784" s="16"/>
      <c r="AS784" s="16"/>
      <c r="AT784" s="16"/>
      <c r="AU784" s="16"/>
      <c r="AV784" s="16"/>
      <c r="AW784" s="16"/>
      <c r="AX784" s="16"/>
    </row>
    <row r="785">
      <c r="A785" s="16"/>
      <c r="B785" s="16"/>
      <c r="C785" s="16"/>
      <c r="D785" s="42"/>
      <c r="E785" s="42"/>
      <c r="F785" s="42"/>
      <c r="G785" s="42"/>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c r="AR785" s="16"/>
      <c r="AS785" s="16"/>
      <c r="AT785" s="16"/>
      <c r="AU785" s="16"/>
      <c r="AV785" s="16"/>
      <c r="AW785" s="16"/>
      <c r="AX785" s="16"/>
    </row>
    <row r="786">
      <c r="A786" s="16"/>
      <c r="B786" s="16"/>
      <c r="C786" s="16"/>
      <c r="D786" s="42"/>
      <c r="E786" s="42"/>
      <c r="F786" s="42"/>
      <c r="G786" s="42"/>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U786" s="16"/>
      <c r="AV786" s="16"/>
      <c r="AW786" s="16"/>
      <c r="AX786" s="16"/>
    </row>
    <row r="787">
      <c r="A787" s="16"/>
      <c r="B787" s="16"/>
      <c r="C787" s="16"/>
      <c r="D787" s="42"/>
      <c r="E787" s="42"/>
      <c r="F787" s="42"/>
      <c r="G787" s="42"/>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c r="AS787" s="16"/>
      <c r="AT787" s="16"/>
      <c r="AU787" s="16"/>
      <c r="AV787" s="16"/>
      <c r="AW787" s="16"/>
      <c r="AX787" s="16"/>
    </row>
    <row r="788">
      <c r="A788" s="16"/>
      <c r="B788" s="16"/>
      <c r="C788" s="16"/>
      <c r="D788" s="42"/>
      <c r="E788" s="42"/>
      <c r="F788" s="42"/>
      <c r="G788" s="42"/>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c r="AR788" s="16"/>
      <c r="AS788" s="16"/>
      <c r="AT788" s="16"/>
      <c r="AU788" s="16"/>
      <c r="AV788" s="16"/>
      <c r="AW788" s="16"/>
      <c r="AX788" s="16"/>
    </row>
    <row r="789">
      <c r="A789" s="16"/>
      <c r="B789" s="16"/>
      <c r="C789" s="16"/>
      <c r="D789" s="42"/>
      <c r="E789" s="42"/>
      <c r="F789" s="42"/>
      <c r="G789" s="42"/>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c r="AM789" s="16"/>
      <c r="AN789" s="16"/>
      <c r="AO789" s="16"/>
      <c r="AP789" s="16"/>
      <c r="AQ789" s="16"/>
      <c r="AR789" s="16"/>
      <c r="AS789" s="16"/>
      <c r="AT789" s="16"/>
      <c r="AU789" s="16"/>
      <c r="AV789" s="16"/>
      <c r="AW789" s="16"/>
      <c r="AX789" s="16"/>
    </row>
    <row r="790">
      <c r="A790" s="16"/>
      <c r="B790" s="16"/>
      <c r="C790" s="16"/>
      <c r="D790" s="42"/>
      <c r="E790" s="42"/>
      <c r="F790" s="42"/>
      <c r="G790" s="42"/>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c r="AR790" s="16"/>
      <c r="AS790" s="16"/>
      <c r="AT790" s="16"/>
      <c r="AU790" s="16"/>
      <c r="AV790" s="16"/>
      <c r="AW790" s="16"/>
      <c r="AX790" s="16"/>
    </row>
    <row r="791">
      <c r="A791" s="16"/>
      <c r="B791" s="16"/>
      <c r="C791" s="16"/>
      <c r="D791" s="42"/>
      <c r="E791" s="42"/>
      <c r="F791" s="42"/>
      <c r="G791" s="42"/>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c r="AR791" s="16"/>
      <c r="AS791" s="16"/>
      <c r="AT791" s="16"/>
      <c r="AU791" s="16"/>
      <c r="AV791" s="16"/>
      <c r="AW791" s="16"/>
      <c r="AX791" s="16"/>
    </row>
    <row r="792">
      <c r="A792" s="16"/>
      <c r="B792" s="16"/>
      <c r="C792" s="16"/>
      <c r="D792" s="42"/>
      <c r="E792" s="42"/>
      <c r="F792" s="42"/>
      <c r="G792" s="42"/>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U792" s="16"/>
      <c r="AV792" s="16"/>
      <c r="AW792" s="16"/>
      <c r="AX792" s="16"/>
    </row>
    <row r="793">
      <c r="A793" s="16"/>
      <c r="B793" s="16"/>
      <c r="C793" s="16"/>
      <c r="D793" s="42"/>
      <c r="E793" s="42"/>
      <c r="F793" s="42"/>
      <c r="G793" s="42"/>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c r="AS793" s="16"/>
      <c r="AT793" s="16"/>
      <c r="AU793" s="16"/>
      <c r="AV793" s="16"/>
      <c r="AW793" s="16"/>
      <c r="AX793" s="16"/>
    </row>
    <row r="794">
      <c r="A794" s="16"/>
      <c r="B794" s="16"/>
      <c r="C794" s="16"/>
      <c r="D794" s="42"/>
      <c r="E794" s="42"/>
      <c r="F794" s="42"/>
      <c r="G794" s="42"/>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c r="AP794" s="16"/>
      <c r="AQ794" s="16"/>
      <c r="AR794" s="16"/>
      <c r="AS794" s="16"/>
      <c r="AT794" s="16"/>
      <c r="AU794" s="16"/>
      <c r="AV794" s="16"/>
      <c r="AW794" s="16"/>
      <c r="AX794" s="16"/>
    </row>
    <row r="795">
      <c r="A795" s="16"/>
      <c r="B795" s="16"/>
      <c r="C795" s="16"/>
      <c r="D795" s="42"/>
      <c r="E795" s="42"/>
      <c r="F795" s="42"/>
      <c r="G795" s="42"/>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c r="AP795" s="16"/>
      <c r="AQ795" s="16"/>
      <c r="AR795" s="16"/>
      <c r="AS795" s="16"/>
      <c r="AT795" s="16"/>
      <c r="AU795" s="16"/>
      <c r="AV795" s="16"/>
      <c r="AW795" s="16"/>
      <c r="AX795" s="16"/>
    </row>
    <row r="796">
      <c r="A796" s="16"/>
      <c r="B796" s="16"/>
      <c r="C796" s="16"/>
      <c r="D796" s="42"/>
      <c r="E796" s="42"/>
      <c r="F796" s="42"/>
      <c r="G796" s="42"/>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c r="AR796" s="16"/>
      <c r="AS796" s="16"/>
      <c r="AT796" s="16"/>
      <c r="AU796" s="16"/>
      <c r="AV796" s="16"/>
      <c r="AW796" s="16"/>
      <c r="AX796" s="16"/>
    </row>
    <row r="797">
      <c r="A797" s="16"/>
      <c r="B797" s="16"/>
      <c r="C797" s="16"/>
      <c r="D797" s="42"/>
      <c r="E797" s="42"/>
      <c r="F797" s="42"/>
      <c r="G797" s="42"/>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c r="AP797" s="16"/>
      <c r="AQ797" s="16"/>
      <c r="AR797" s="16"/>
      <c r="AS797" s="16"/>
      <c r="AT797" s="16"/>
      <c r="AU797" s="16"/>
      <c r="AV797" s="16"/>
      <c r="AW797" s="16"/>
      <c r="AX797" s="16"/>
    </row>
    <row r="798">
      <c r="A798" s="16"/>
      <c r="B798" s="16"/>
      <c r="C798" s="16"/>
      <c r="D798" s="42"/>
      <c r="E798" s="42"/>
      <c r="F798" s="42"/>
      <c r="G798" s="42"/>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c r="AR798" s="16"/>
      <c r="AS798" s="16"/>
      <c r="AT798" s="16"/>
      <c r="AU798" s="16"/>
      <c r="AV798" s="16"/>
      <c r="AW798" s="16"/>
      <c r="AX798" s="16"/>
    </row>
    <row r="799">
      <c r="A799" s="16"/>
      <c r="B799" s="16"/>
      <c r="C799" s="16"/>
      <c r="D799" s="42"/>
      <c r="E799" s="42"/>
      <c r="F799" s="42"/>
      <c r="G799" s="42"/>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c r="AP799" s="16"/>
      <c r="AQ799" s="16"/>
      <c r="AR799" s="16"/>
      <c r="AS799" s="16"/>
      <c r="AT799" s="16"/>
      <c r="AU799" s="16"/>
      <c r="AV799" s="16"/>
      <c r="AW799" s="16"/>
      <c r="AX799" s="16"/>
    </row>
    <row r="800">
      <c r="A800" s="16"/>
      <c r="B800" s="16"/>
      <c r="C800" s="16"/>
      <c r="D800" s="42"/>
      <c r="E800" s="42"/>
      <c r="F800" s="42"/>
      <c r="G800" s="42"/>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c r="AS800" s="16"/>
      <c r="AT800" s="16"/>
      <c r="AU800" s="16"/>
      <c r="AV800" s="16"/>
      <c r="AW800" s="16"/>
      <c r="AX800" s="16"/>
    </row>
    <row r="801">
      <c r="A801" s="16"/>
      <c r="B801" s="16"/>
      <c r="C801" s="16"/>
      <c r="D801" s="42"/>
      <c r="E801" s="42"/>
      <c r="F801" s="42"/>
      <c r="G801" s="42"/>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c r="AR801" s="16"/>
      <c r="AS801" s="16"/>
      <c r="AT801" s="16"/>
      <c r="AU801" s="16"/>
      <c r="AV801" s="16"/>
      <c r="AW801" s="16"/>
      <c r="AX801" s="16"/>
    </row>
    <row r="802">
      <c r="A802" s="16"/>
      <c r="B802" s="16"/>
      <c r="C802" s="16"/>
      <c r="D802" s="42"/>
      <c r="E802" s="42"/>
      <c r="F802" s="42"/>
      <c r="G802" s="42"/>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c r="AU802" s="16"/>
      <c r="AV802" s="16"/>
      <c r="AW802" s="16"/>
      <c r="AX802" s="16"/>
    </row>
    <row r="803">
      <c r="A803" s="16"/>
      <c r="B803" s="16"/>
      <c r="C803" s="16"/>
      <c r="D803" s="42"/>
      <c r="E803" s="42"/>
      <c r="F803" s="42"/>
      <c r="G803" s="42"/>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c r="AU803" s="16"/>
      <c r="AV803" s="16"/>
      <c r="AW803" s="16"/>
      <c r="AX803" s="16"/>
    </row>
    <row r="804">
      <c r="A804" s="16"/>
      <c r="B804" s="16"/>
      <c r="C804" s="16"/>
      <c r="D804" s="42"/>
      <c r="E804" s="42"/>
      <c r="F804" s="42"/>
      <c r="G804" s="42"/>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c r="AR804" s="16"/>
      <c r="AS804" s="16"/>
      <c r="AT804" s="16"/>
      <c r="AU804" s="16"/>
      <c r="AV804" s="16"/>
      <c r="AW804" s="16"/>
      <c r="AX804" s="16"/>
    </row>
    <row r="805">
      <c r="A805" s="16"/>
      <c r="B805" s="16"/>
      <c r="C805" s="16"/>
      <c r="D805" s="42"/>
      <c r="E805" s="42"/>
      <c r="F805" s="42"/>
      <c r="G805" s="42"/>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c r="AP805" s="16"/>
      <c r="AQ805" s="16"/>
      <c r="AR805" s="16"/>
      <c r="AS805" s="16"/>
      <c r="AT805" s="16"/>
      <c r="AU805" s="16"/>
      <c r="AV805" s="16"/>
      <c r="AW805" s="16"/>
      <c r="AX805" s="16"/>
    </row>
    <row r="806">
      <c r="A806" s="16"/>
      <c r="B806" s="16"/>
      <c r="C806" s="16"/>
      <c r="D806" s="42"/>
      <c r="E806" s="42"/>
      <c r="F806" s="42"/>
      <c r="G806" s="42"/>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c r="AS806" s="16"/>
      <c r="AT806" s="16"/>
      <c r="AU806" s="16"/>
      <c r="AV806" s="16"/>
      <c r="AW806" s="16"/>
      <c r="AX806" s="16"/>
    </row>
    <row r="807">
      <c r="A807" s="16"/>
      <c r="B807" s="16"/>
      <c r="C807" s="16"/>
      <c r="D807" s="42"/>
      <c r="E807" s="42"/>
      <c r="F807" s="42"/>
      <c r="G807" s="42"/>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c r="AP807" s="16"/>
      <c r="AQ807" s="16"/>
      <c r="AR807" s="16"/>
      <c r="AS807" s="16"/>
      <c r="AT807" s="16"/>
      <c r="AU807" s="16"/>
      <c r="AV807" s="16"/>
      <c r="AW807" s="16"/>
      <c r="AX807" s="16"/>
    </row>
    <row r="808">
      <c r="A808" s="16"/>
      <c r="B808" s="16"/>
      <c r="C808" s="16"/>
      <c r="D808" s="42"/>
      <c r="E808" s="42"/>
      <c r="F808" s="42"/>
      <c r="G808" s="42"/>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c r="AP808" s="16"/>
      <c r="AQ808" s="16"/>
      <c r="AR808" s="16"/>
      <c r="AS808" s="16"/>
      <c r="AT808" s="16"/>
      <c r="AU808" s="16"/>
      <c r="AV808" s="16"/>
      <c r="AW808" s="16"/>
      <c r="AX808" s="16"/>
    </row>
    <row r="809">
      <c r="A809" s="16"/>
      <c r="B809" s="16"/>
      <c r="C809" s="16"/>
      <c r="D809" s="42"/>
      <c r="E809" s="42"/>
      <c r="F809" s="42"/>
      <c r="G809" s="42"/>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c r="AP809" s="16"/>
      <c r="AQ809" s="16"/>
      <c r="AR809" s="16"/>
      <c r="AS809" s="16"/>
      <c r="AT809" s="16"/>
      <c r="AU809" s="16"/>
      <c r="AV809" s="16"/>
      <c r="AW809" s="16"/>
      <c r="AX809" s="16"/>
    </row>
    <row r="810">
      <c r="A810" s="16"/>
      <c r="B810" s="16"/>
      <c r="C810" s="16"/>
      <c r="D810" s="42"/>
      <c r="E810" s="42"/>
      <c r="F810" s="42"/>
      <c r="G810" s="42"/>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c r="AR810" s="16"/>
      <c r="AS810" s="16"/>
      <c r="AT810" s="16"/>
      <c r="AU810" s="16"/>
      <c r="AV810" s="16"/>
      <c r="AW810" s="16"/>
      <c r="AX810" s="16"/>
    </row>
    <row r="811">
      <c r="A811" s="16"/>
      <c r="B811" s="16"/>
      <c r="C811" s="16"/>
      <c r="D811" s="42"/>
      <c r="E811" s="42"/>
      <c r="F811" s="42"/>
      <c r="G811" s="42"/>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c r="AU811" s="16"/>
      <c r="AV811" s="16"/>
      <c r="AW811" s="16"/>
      <c r="AX811" s="16"/>
    </row>
    <row r="812">
      <c r="A812" s="16"/>
      <c r="B812" s="16"/>
      <c r="C812" s="16"/>
      <c r="D812" s="42"/>
      <c r="E812" s="42"/>
      <c r="F812" s="42"/>
      <c r="G812" s="42"/>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c r="AR812" s="16"/>
      <c r="AS812" s="16"/>
      <c r="AT812" s="16"/>
      <c r="AU812" s="16"/>
      <c r="AV812" s="16"/>
      <c r="AW812" s="16"/>
      <c r="AX812" s="16"/>
    </row>
    <row r="813">
      <c r="A813" s="16"/>
      <c r="B813" s="16"/>
      <c r="C813" s="16"/>
      <c r="D813" s="42"/>
      <c r="E813" s="42"/>
      <c r="F813" s="42"/>
      <c r="G813" s="42"/>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c r="AP813" s="16"/>
      <c r="AQ813" s="16"/>
      <c r="AR813" s="16"/>
      <c r="AS813" s="16"/>
      <c r="AT813" s="16"/>
      <c r="AU813" s="16"/>
      <c r="AV813" s="16"/>
      <c r="AW813" s="16"/>
      <c r="AX813" s="16"/>
    </row>
    <row r="814">
      <c r="A814" s="16"/>
      <c r="B814" s="16"/>
      <c r="C814" s="16"/>
      <c r="D814" s="42"/>
      <c r="E814" s="42"/>
      <c r="F814" s="42"/>
      <c r="G814" s="42"/>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c r="AR814" s="16"/>
      <c r="AS814" s="16"/>
      <c r="AT814" s="16"/>
      <c r="AU814" s="16"/>
      <c r="AV814" s="16"/>
      <c r="AW814" s="16"/>
      <c r="AX814" s="16"/>
    </row>
    <row r="815">
      <c r="A815" s="16"/>
      <c r="B815" s="16"/>
      <c r="C815" s="16"/>
      <c r="D815" s="42"/>
      <c r="E815" s="42"/>
      <c r="F815" s="42"/>
      <c r="G815" s="42"/>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c r="AU815" s="16"/>
      <c r="AV815" s="16"/>
      <c r="AW815" s="16"/>
      <c r="AX815" s="16"/>
    </row>
    <row r="816">
      <c r="A816" s="16"/>
      <c r="B816" s="16"/>
      <c r="C816" s="16"/>
      <c r="D816" s="42"/>
      <c r="E816" s="42"/>
      <c r="F816" s="42"/>
      <c r="G816" s="42"/>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U816" s="16"/>
      <c r="AV816" s="16"/>
      <c r="AW816" s="16"/>
      <c r="AX816" s="16"/>
    </row>
    <row r="817">
      <c r="A817" s="16"/>
      <c r="B817" s="16"/>
      <c r="C817" s="16"/>
      <c r="D817" s="42"/>
      <c r="E817" s="42"/>
      <c r="F817" s="42"/>
      <c r="G817" s="42"/>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c r="AU817" s="16"/>
      <c r="AV817" s="16"/>
      <c r="AW817" s="16"/>
      <c r="AX817" s="16"/>
    </row>
    <row r="818">
      <c r="A818" s="16"/>
      <c r="B818" s="16"/>
      <c r="C818" s="16"/>
      <c r="D818" s="42"/>
      <c r="E818" s="42"/>
      <c r="F818" s="42"/>
      <c r="G818" s="42"/>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c r="AS818" s="16"/>
      <c r="AT818" s="16"/>
      <c r="AU818" s="16"/>
      <c r="AV818" s="16"/>
      <c r="AW818" s="16"/>
      <c r="AX818" s="16"/>
    </row>
    <row r="819">
      <c r="A819" s="16"/>
      <c r="B819" s="16"/>
      <c r="C819" s="16"/>
      <c r="D819" s="42"/>
      <c r="E819" s="42"/>
      <c r="F819" s="42"/>
      <c r="G819" s="42"/>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c r="AS819" s="16"/>
      <c r="AT819" s="16"/>
      <c r="AU819" s="16"/>
      <c r="AV819" s="16"/>
      <c r="AW819" s="16"/>
      <c r="AX819" s="16"/>
    </row>
    <row r="820">
      <c r="A820" s="16"/>
      <c r="B820" s="16"/>
      <c r="C820" s="16"/>
      <c r="D820" s="42"/>
      <c r="E820" s="42"/>
      <c r="F820" s="42"/>
      <c r="G820" s="42"/>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c r="AU820" s="16"/>
      <c r="AV820" s="16"/>
      <c r="AW820" s="16"/>
      <c r="AX820" s="16"/>
    </row>
    <row r="821">
      <c r="A821" s="16"/>
      <c r="B821" s="16"/>
      <c r="C821" s="16"/>
      <c r="D821" s="42"/>
      <c r="E821" s="42"/>
      <c r="F821" s="42"/>
      <c r="G821" s="42"/>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c r="AU821" s="16"/>
      <c r="AV821" s="16"/>
      <c r="AW821" s="16"/>
      <c r="AX821" s="16"/>
    </row>
    <row r="822">
      <c r="A822" s="16"/>
      <c r="B822" s="16"/>
      <c r="C822" s="16"/>
      <c r="D822" s="42"/>
      <c r="E822" s="42"/>
      <c r="F822" s="42"/>
      <c r="G822" s="42"/>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c r="AS822" s="16"/>
      <c r="AT822" s="16"/>
      <c r="AU822" s="16"/>
      <c r="AV822" s="16"/>
      <c r="AW822" s="16"/>
      <c r="AX822" s="16"/>
    </row>
    <row r="823">
      <c r="A823" s="16"/>
      <c r="B823" s="16"/>
      <c r="C823" s="16"/>
      <c r="D823" s="42"/>
      <c r="E823" s="42"/>
      <c r="F823" s="42"/>
      <c r="G823" s="42"/>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c r="AS823" s="16"/>
      <c r="AT823" s="16"/>
      <c r="AU823" s="16"/>
      <c r="AV823" s="16"/>
      <c r="AW823" s="16"/>
      <c r="AX823" s="16"/>
    </row>
    <row r="824">
      <c r="A824" s="16"/>
      <c r="B824" s="16"/>
      <c r="C824" s="16"/>
      <c r="D824" s="42"/>
      <c r="E824" s="42"/>
      <c r="F824" s="42"/>
      <c r="G824" s="42"/>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c r="AS824" s="16"/>
      <c r="AT824" s="16"/>
      <c r="AU824" s="16"/>
      <c r="AV824" s="16"/>
      <c r="AW824" s="16"/>
      <c r="AX824" s="16"/>
    </row>
    <row r="825">
      <c r="A825" s="16"/>
      <c r="B825" s="16"/>
      <c r="C825" s="16"/>
      <c r="D825" s="42"/>
      <c r="E825" s="42"/>
      <c r="F825" s="42"/>
      <c r="G825" s="42"/>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c r="AS825" s="16"/>
      <c r="AT825" s="16"/>
      <c r="AU825" s="16"/>
      <c r="AV825" s="16"/>
      <c r="AW825" s="16"/>
      <c r="AX825" s="16"/>
    </row>
    <row r="826">
      <c r="A826" s="16"/>
      <c r="B826" s="16"/>
      <c r="C826" s="16"/>
      <c r="D826" s="42"/>
      <c r="E826" s="42"/>
      <c r="F826" s="42"/>
      <c r="G826" s="42"/>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c r="AS826" s="16"/>
      <c r="AT826" s="16"/>
      <c r="AU826" s="16"/>
      <c r="AV826" s="16"/>
      <c r="AW826" s="16"/>
      <c r="AX826" s="16"/>
    </row>
    <row r="827">
      <c r="A827" s="16"/>
      <c r="B827" s="16"/>
      <c r="C827" s="16"/>
      <c r="D827" s="42"/>
      <c r="E827" s="42"/>
      <c r="F827" s="42"/>
      <c r="G827" s="42"/>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c r="AS827" s="16"/>
      <c r="AT827" s="16"/>
      <c r="AU827" s="16"/>
      <c r="AV827" s="16"/>
      <c r="AW827" s="16"/>
      <c r="AX827" s="16"/>
    </row>
    <row r="828">
      <c r="A828" s="16"/>
      <c r="B828" s="16"/>
      <c r="C828" s="16"/>
      <c r="D828" s="42"/>
      <c r="E828" s="42"/>
      <c r="F828" s="42"/>
      <c r="G828" s="42"/>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c r="AS828" s="16"/>
      <c r="AT828" s="16"/>
      <c r="AU828" s="16"/>
      <c r="AV828" s="16"/>
      <c r="AW828" s="16"/>
      <c r="AX828" s="16"/>
    </row>
    <row r="829">
      <c r="A829" s="16"/>
      <c r="B829" s="16"/>
      <c r="C829" s="16"/>
      <c r="D829" s="42"/>
      <c r="E829" s="42"/>
      <c r="F829" s="42"/>
      <c r="G829" s="42"/>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c r="AP829" s="16"/>
      <c r="AQ829" s="16"/>
      <c r="AR829" s="16"/>
      <c r="AS829" s="16"/>
      <c r="AT829" s="16"/>
      <c r="AU829" s="16"/>
      <c r="AV829" s="16"/>
      <c r="AW829" s="16"/>
      <c r="AX829" s="16"/>
    </row>
    <row r="830">
      <c r="A830" s="16"/>
      <c r="B830" s="16"/>
      <c r="C830" s="16"/>
      <c r="D830" s="42"/>
      <c r="E830" s="42"/>
      <c r="F830" s="42"/>
      <c r="G830" s="42"/>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U830" s="16"/>
      <c r="AV830" s="16"/>
      <c r="AW830" s="16"/>
      <c r="AX830" s="16"/>
    </row>
    <row r="831">
      <c r="A831" s="16"/>
      <c r="B831" s="16"/>
      <c r="C831" s="16"/>
      <c r="D831" s="42"/>
      <c r="E831" s="42"/>
      <c r="F831" s="42"/>
      <c r="G831" s="42"/>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c r="AP831" s="16"/>
      <c r="AQ831" s="16"/>
      <c r="AR831" s="16"/>
      <c r="AS831" s="16"/>
      <c r="AT831" s="16"/>
      <c r="AU831" s="16"/>
      <c r="AV831" s="16"/>
      <c r="AW831" s="16"/>
      <c r="AX831" s="16"/>
    </row>
    <row r="832">
      <c r="A832" s="16"/>
      <c r="B832" s="16"/>
      <c r="C832" s="16"/>
      <c r="D832" s="42"/>
      <c r="E832" s="42"/>
      <c r="F832" s="42"/>
      <c r="G832" s="42"/>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V832" s="16"/>
      <c r="AW832" s="16"/>
      <c r="AX832" s="16"/>
    </row>
    <row r="833">
      <c r="A833" s="16"/>
      <c r="B833" s="16"/>
      <c r="C833" s="16"/>
      <c r="D833" s="42"/>
      <c r="E833" s="42"/>
      <c r="F833" s="42"/>
      <c r="G833" s="42"/>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c r="AU833" s="16"/>
      <c r="AV833" s="16"/>
      <c r="AW833" s="16"/>
      <c r="AX833" s="16"/>
    </row>
    <row r="834">
      <c r="A834" s="16"/>
      <c r="B834" s="16"/>
      <c r="C834" s="16"/>
      <c r="D834" s="42"/>
      <c r="E834" s="42"/>
      <c r="F834" s="42"/>
      <c r="G834" s="42"/>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U834" s="16"/>
      <c r="AV834" s="16"/>
      <c r="AW834" s="16"/>
      <c r="AX834" s="16"/>
    </row>
    <row r="835">
      <c r="A835" s="16"/>
      <c r="B835" s="16"/>
      <c r="C835" s="16"/>
      <c r="D835" s="42"/>
      <c r="E835" s="42"/>
      <c r="F835" s="42"/>
      <c r="G835" s="42"/>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c r="AU835" s="16"/>
      <c r="AV835" s="16"/>
      <c r="AW835" s="16"/>
      <c r="AX835" s="16"/>
    </row>
    <row r="836">
      <c r="A836" s="16"/>
      <c r="B836" s="16"/>
      <c r="C836" s="16"/>
      <c r="D836" s="42"/>
      <c r="E836" s="42"/>
      <c r="F836" s="42"/>
      <c r="G836" s="42"/>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row>
    <row r="837">
      <c r="A837" s="16"/>
      <c r="B837" s="16"/>
      <c r="C837" s="16"/>
      <c r="D837" s="42"/>
      <c r="E837" s="42"/>
      <c r="F837" s="42"/>
      <c r="G837" s="42"/>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row>
    <row r="838">
      <c r="A838" s="16"/>
      <c r="B838" s="16"/>
      <c r="C838" s="16"/>
      <c r="D838" s="42"/>
      <c r="E838" s="42"/>
      <c r="F838" s="42"/>
      <c r="G838" s="42"/>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U838" s="16"/>
      <c r="AV838" s="16"/>
      <c r="AW838" s="16"/>
      <c r="AX838" s="16"/>
    </row>
    <row r="839">
      <c r="A839" s="16"/>
      <c r="B839" s="16"/>
      <c r="C839" s="16"/>
      <c r="D839" s="42"/>
      <c r="E839" s="42"/>
      <c r="F839" s="42"/>
      <c r="G839" s="42"/>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V839" s="16"/>
      <c r="AW839" s="16"/>
      <c r="AX839" s="16"/>
    </row>
    <row r="840">
      <c r="A840" s="16"/>
      <c r="B840" s="16"/>
      <c r="C840" s="16"/>
      <c r="D840" s="42"/>
      <c r="E840" s="42"/>
      <c r="F840" s="42"/>
      <c r="G840" s="42"/>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6"/>
    </row>
    <row r="841">
      <c r="A841" s="16"/>
      <c r="B841" s="16"/>
      <c r="C841" s="16"/>
      <c r="D841" s="42"/>
      <c r="E841" s="42"/>
      <c r="F841" s="42"/>
      <c r="G841" s="42"/>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c r="AU841" s="16"/>
      <c r="AV841" s="16"/>
      <c r="AW841" s="16"/>
      <c r="AX841" s="16"/>
    </row>
    <row r="842">
      <c r="A842" s="16"/>
      <c r="B842" s="16"/>
      <c r="C842" s="16"/>
      <c r="D842" s="42"/>
      <c r="E842" s="42"/>
      <c r="F842" s="42"/>
      <c r="G842" s="42"/>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6"/>
    </row>
    <row r="843">
      <c r="A843" s="16"/>
      <c r="B843" s="16"/>
      <c r="C843" s="16"/>
      <c r="D843" s="42"/>
      <c r="E843" s="42"/>
      <c r="F843" s="42"/>
      <c r="G843" s="42"/>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c r="AU843" s="16"/>
      <c r="AV843" s="16"/>
      <c r="AW843" s="16"/>
      <c r="AX843" s="16"/>
    </row>
    <row r="844">
      <c r="A844" s="16"/>
      <c r="B844" s="16"/>
      <c r="C844" s="16"/>
      <c r="D844" s="42"/>
      <c r="E844" s="42"/>
      <c r="F844" s="42"/>
      <c r="G844" s="42"/>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6"/>
    </row>
    <row r="845">
      <c r="A845" s="16"/>
      <c r="B845" s="16"/>
      <c r="C845" s="16"/>
      <c r="D845" s="42"/>
      <c r="E845" s="42"/>
      <c r="F845" s="42"/>
      <c r="G845" s="42"/>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row>
    <row r="846">
      <c r="A846" s="16"/>
      <c r="B846" s="16"/>
      <c r="C846" s="16"/>
      <c r="D846" s="42"/>
      <c r="E846" s="42"/>
      <c r="F846" s="42"/>
      <c r="G846" s="42"/>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row>
    <row r="847">
      <c r="A847" s="16"/>
      <c r="B847" s="16"/>
      <c r="C847" s="16"/>
      <c r="D847" s="42"/>
      <c r="E847" s="42"/>
      <c r="F847" s="42"/>
      <c r="G847" s="42"/>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V847" s="16"/>
      <c r="AW847" s="16"/>
      <c r="AX847" s="16"/>
    </row>
    <row r="848">
      <c r="A848" s="16"/>
      <c r="B848" s="16"/>
      <c r="C848" s="16"/>
      <c r="D848" s="42"/>
      <c r="E848" s="42"/>
      <c r="F848" s="42"/>
      <c r="G848" s="42"/>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c r="AS848" s="16"/>
      <c r="AT848" s="16"/>
      <c r="AU848" s="16"/>
      <c r="AV848" s="16"/>
      <c r="AW848" s="16"/>
      <c r="AX848" s="16"/>
    </row>
    <row r="849">
      <c r="A849" s="16"/>
      <c r="B849" s="16"/>
      <c r="C849" s="16"/>
      <c r="D849" s="42"/>
      <c r="E849" s="42"/>
      <c r="F849" s="42"/>
      <c r="G849" s="42"/>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c r="AR849" s="16"/>
      <c r="AS849" s="16"/>
      <c r="AT849" s="16"/>
      <c r="AU849" s="16"/>
      <c r="AV849" s="16"/>
      <c r="AW849" s="16"/>
      <c r="AX849" s="16"/>
    </row>
    <row r="850">
      <c r="A850" s="16"/>
      <c r="B850" s="16"/>
      <c r="C850" s="16"/>
      <c r="D850" s="42"/>
      <c r="E850" s="42"/>
      <c r="F850" s="42"/>
      <c r="G850" s="42"/>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c r="AS850" s="16"/>
      <c r="AT850" s="16"/>
      <c r="AU850" s="16"/>
      <c r="AV850" s="16"/>
      <c r="AW850" s="16"/>
      <c r="AX850" s="16"/>
    </row>
    <row r="851">
      <c r="A851" s="16"/>
      <c r="B851" s="16"/>
      <c r="C851" s="16"/>
      <c r="D851" s="42"/>
      <c r="E851" s="42"/>
      <c r="F851" s="42"/>
      <c r="G851" s="42"/>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V851" s="16"/>
      <c r="AW851" s="16"/>
      <c r="AX851" s="16"/>
    </row>
    <row r="852">
      <c r="A852" s="16"/>
      <c r="B852" s="16"/>
      <c r="C852" s="16"/>
      <c r="D852" s="42"/>
      <c r="E852" s="42"/>
      <c r="F852" s="42"/>
      <c r="G852" s="42"/>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row>
    <row r="853">
      <c r="A853" s="16"/>
      <c r="B853" s="16"/>
      <c r="C853" s="16"/>
      <c r="D853" s="42"/>
      <c r="E853" s="42"/>
      <c r="F853" s="42"/>
      <c r="G853" s="42"/>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V853" s="16"/>
      <c r="AW853" s="16"/>
      <c r="AX853" s="16"/>
    </row>
    <row r="854">
      <c r="A854" s="16"/>
      <c r="B854" s="16"/>
      <c r="C854" s="16"/>
      <c r="D854" s="42"/>
      <c r="E854" s="42"/>
      <c r="F854" s="42"/>
      <c r="G854" s="42"/>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V854" s="16"/>
      <c r="AW854" s="16"/>
      <c r="AX854" s="16"/>
    </row>
    <row r="855">
      <c r="A855" s="16"/>
      <c r="B855" s="16"/>
      <c r="C855" s="16"/>
      <c r="D855" s="42"/>
      <c r="E855" s="42"/>
      <c r="F855" s="42"/>
      <c r="G855" s="42"/>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V855" s="16"/>
      <c r="AW855" s="16"/>
      <c r="AX855" s="16"/>
    </row>
    <row r="856">
      <c r="A856" s="16"/>
      <c r="B856" s="16"/>
      <c r="C856" s="16"/>
      <c r="D856" s="42"/>
      <c r="E856" s="42"/>
      <c r="F856" s="42"/>
      <c r="G856" s="42"/>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V856" s="16"/>
      <c r="AW856" s="16"/>
      <c r="AX856" s="16"/>
    </row>
    <row r="857">
      <c r="A857" s="16"/>
      <c r="B857" s="16"/>
      <c r="C857" s="16"/>
      <c r="D857" s="42"/>
      <c r="E857" s="42"/>
      <c r="F857" s="42"/>
      <c r="G857" s="42"/>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U857" s="16"/>
      <c r="AV857" s="16"/>
      <c r="AW857" s="16"/>
      <c r="AX857" s="16"/>
    </row>
    <row r="858">
      <c r="A858" s="16"/>
      <c r="B858" s="16"/>
      <c r="C858" s="16"/>
      <c r="D858" s="42"/>
      <c r="E858" s="42"/>
      <c r="F858" s="42"/>
      <c r="G858" s="42"/>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row>
    <row r="859">
      <c r="A859" s="16"/>
      <c r="B859" s="16"/>
      <c r="C859" s="16"/>
      <c r="D859" s="42"/>
      <c r="E859" s="42"/>
      <c r="F859" s="42"/>
      <c r="G859" s="42"/>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V859" s="16"/>
      <c r="AW859" s="16"/>
      <c r="AX859" s="16"/>
    </row>
    <row r="860">
      <c r="A860" s="16"/>
      <c r="B860" s="16"/>
      <c r="C860" s="16"/>
      <c r="D860" s="42"/>
      <c r="E860" s="42"/>
      <c r="F860" s="42"/>
      <c r="G860" s="42"/>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V860" s="16"/>
      <c r="AW860" s="16"/>
      <c r="AX860" s="16"/>
    </row>
    <row r="861">
      <c r="A861" s="16"/>
      <c r="B861" s="16"/>
      <c r="C861" s="16"/>
      <c r="D861" s="42"/>
      <c r="E861" s="42"/>
      <c r="F861" s="42"/>
      <c r="G861" s="42"/>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row>
    <row r="862">
      <c r="A862" s="16"/>
      <c r="B862" s="16"/>
      <c r="C862" s="16"/>
      <c r="D862" s="42"/>
      <c r="E862" s="42"/>
      <c r="F862" s="42"/>
      <c r="G862" s="42"/>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row>
    <row r="863">
      <c r="A863" s="16"/>
      <c r="B863" s="16"/>
      <c r="C863" s="16"/>
      <c r="D863" s="42"/>
      <c r="E863" s="42"/>
      <c r="F863" s="42"/>
      <c r="G863" s="42"/>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V863" s="16"/>
      <c r="AW863" s="16"/>
      <c r="AX863" s="16"/>
    </row>
    <row r="864">
      <c r="A864" s="16"/>
      <c r="B864" s="16"/>
      <c r="C864" s="16"/>
      <c r="D864" s="42"/>
      <c r="E864" s="42"/>
      <c r="F864" s="42"/>
      <c r="G864" s="42"/>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row>
    <row r="865">
      <c r="A865" s="16"/>
      <c r="B865" s="16"/>
      <c r="C865" s="16"/>
      <c r="D865" s="42"/>
      <c r="E865" s="42"/>
      <c r="F865" s="42"/>
      <c r="G865" s="42"/>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c r="AS865" s="16"/>
      <c r="AT865" s="16"/>
      <c r="AU865" s="16"/>
      <c r="AV865" s="16"/>
      <c r="AW865" s="16"/>
      <c r="AX865" s="16"/>
    </row>
    <row r="866">
      <c r="A866" s="16"/>
      <c r="B866" s="16"/>
      <c r="C866" s="16"/>
      <c r="D866" s="42"/>
      <c r="E866" s="42"/>
      <c r="F866" s="42"/>
      <c r="G866" s="42"/>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c r="AU866" s="16"/>
      <c r="AV866" s="16"/>
      <c r="AW866" s="16"/>
      <c r="AX866" s="16"/>
    </row>
    <row r="867">
      <c r="A867" s="16"/>
      <c r="B867" s="16"/>
      <c r="C867" s="16"/>
      <c r="D867" s="42"/>
      <c r="E867" s="42"/>
      <c r="F867" s="42"/>
      <c r="G867" s="42"/>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c r="AU867" s="16"/>
      <c r="AV867" s="16"/>
      <c r="AW867" s="16"/>
      <c r="AX867" s="16"/>
    </row>
    <row r="868">
      <c r="A868" s="16"/>
      <c r="B868" s="16"/>
      <c r="C868" s="16"/>
      <c r="D868" s="42"/>
      <c r="E868" s="42"/>
      <c r="F868" s="42"/>
      <c r="G868" s="42"/>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c r="AU868" s="16"/>
      <c r="AV868" s="16"/>
      <c r="AW868" s="16"/>
      <c r="AX868" s="16"/>
    </row>
    <row r="869">
      <c r="A869" s="16"/>
      <c r="B869" s="16"/>
      <c r="C869" s="16"/>
      <c r="D869" s="42"/>
      <c r="E869" s="42"/>
      <c r="F869" s="42"/>
      <c r="G869" s="42"/>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c r="AS869" s="16"/>
      <c r="AT869" s="16"/>
      <c r="AU869" s="16"/>
      <c r="AV869" s="16"/>
      <c r="AW869" s="16"/>
      <c r="AX869" s="16"/>
    </row>
    <row r="870">
      <c r="A870" s="16"/>
      <c r="B870" s="16"/>
      <c r="C870" s="16"/>
      <c r="D870" s="42"/>
      <c r="E870" s="42"/>
      <c r="F870" s="42"/>
      <c r="G870" s="42"/>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c r="AR870" s="16"/>
      <c r="AS870" s="16"/>
      <c r="AT870" s="16"/>
      <c r="AU870" s="16"/>
      <c r="AV870" s="16"/>
      <c r="AW870" s="16"/>
      <c r="AX870" s="16"/>
    </row>
    <row r="871">
      <c r="A871" s="16"/>
      <c r="B871" s="16"/>
      <c r="C871" s="16"/>
      <c r="D871" s="42"/>
      <c r="E871" s="42"/>
      <c r="F871" s="42"/>
      <c r="G871" s="42"/>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6"/>
      <c r="AK871" s="16"/>
      <c r="AL871" s="16"/>
      <c r="AM871" s="16"/>
      <c r="AN871" s="16"/>
      <c r="AO871" s="16"/>
      <c r="AP871" s="16"/>
      <c r="AQ871" s="16"/>
      <c r="AR871" s="16"/>
      <c r="AS871" s="16"/>
      <c r="AT871" s="16"/>
      <c r="AU871" s="16"/>
      <c r="AV871" s="16"/>
      <c r="AW871" s="16"/>
      <c r="AX871" s="16"/>
    </row>
    <row r="872">
      <c r="A872" s="16"/>
      <c r="B872" s="16"/>
      <c r="C872" s="16"/>
      <c r="D872" s="42"/>
      <c r="E872" s="42"/>
      <c r="F872" s="42"/>
      <c r="G872" s="42"/>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c r="AS872" s="16"/>
      <c r="AT872" s="16"/>
      <c r="AU872" s="16"/>
      <c r="AV872" s="16"/>
      <c r="AW872" s="16"/>
      <c r="AX872" s="16"/>
    </row>
    <row r="873">
      <c r="A873" s="16"/>
      <c r="B873" s="16"/>
      <c r="C873" s="16"/>
      <c r="D873" s="42"/>
      <c r="E873" s="42"/>
      <c r="F873" s="42"/>
      <c r="G873" s="42"/>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c r="AR873" s="16"/>
      <c r="AS873" s="16"/>
      <c r="AT873" s="16"/>
      <c r="AU873" s="16"/>
      <c r="AV873" s="16"/>
      <c r="AW873" s="16"/>
      <c r="AX873" s="16"/>
    </row>
    <row r="874">
      <c r="A874" s="16"/>
      <c r="B874" s="16"/>
      <c r="C874" s="16"/>
      <c r="D874" s="42"/>
      <c r="E874" s="42"/>
      <c r="F874" s="42"/>
      <c r="G874" s="42"/>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c r="AS874" s="16"/>
      <c r="AT874" s="16"/>
      <c r="AU874" s="16"/>
      <c r="AV874" s="16"/>
      <c r="AW874" s="16"/>
      <c r="AX874" s="16"/>
    </row>
    <row r="875">
      <c r="A875" s="16"/>
      <c r="B875" s="16"/>
      <c r="C875" s="16"/>
      <c r="D875" s="42"/>
      <c r="E875" s="42"/>
      <c r="F875" s="42"/>
      <c r="G875" s="42"/>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c r="AS875" s="16"/>
      <c r="AT875" s="16"/>
      <c r="AU875" s="16"/>
      <c r="AV875" s="16"/>
      <c r="AW875" s="16"/>
      <c r="AX875" s="16"/>
    </row>
    <row r="876">
      <c r="A876" s="16"/>
      <c r="B876" s="16"/>
      <c r="C876" s="16"/>
      <c r="D876" s="42"/>
      <c r="E876" s="42"/>
      <c r="F876" s="42"/>
      <c r="G876" s="42"/>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c r="AR876" s="16"/>
      <c r="AS876" s="16"/>
      <c r="AT876" s="16"/>
      <c r="AU876" s="16"/>
      <c r="AV876" s="16"/>
      <c r="AW876" s="16"/>
      <c r="AX876" s="16"/>
    </row>
    <row r="877">
      <c r="A877" s="16"/>
      <c r="B877" s="16"/>
      <c r="C877" s="16"/>
      <c r="D877" s="42"/>
      <c r="E877" s="42"/>
      <c r="F877" s="42"/>
      <c r="G877" s="42"/>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c r="AU877" s="16"/>
      <c r="AV877" s="16"/>
      <c r="AW877" s="16"/>
      <c r="AX877" s="16"/>
    </row>
    <row r="878">
      <c r="A878" s="16"/>
      <c r="B878" s="16"/>
      <c r="C878" s="16"/>
      <c r="D878" s="42"/>
      <c r="E878" s="42"/>
      <c r="F878" s="42"/>
      <c r="G878" s="42"/>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c r="AU878" s="16"/>
      <c r="AV878" s="16"/>
      <c r="AW878" s="16"/>
      <c r="AX878" s="16"/>
    </row>
    <row r="879">
      <c r="A879" s="16"/>
      <c r="B879" s="16"/>
      <c r="C879" s="16"/>
      <c r="D879" s="42"/>
      <c r="E879" s="42"/>
      <c r="F879" s="42"/>
      <c r="G879" s="42"/>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c r="AS879" s="16"/>
      <c r="AT879" s="16"/>
      <c r="AU879" s="16"/>
      <c r="AV879" s="16"/>
      <c r="AW879" s="16"/>
      <c r="AX879" s="16"/>
    </row>
    <row r="880">
      <c r="A880" s="16"/>
      <c r="B880" s="16"/>
      <c r="C880" s="16"/>
      <c r="D880" s="42"/>
      <c r="E880" s="42"/>
      <c r="F880" s="42"/>
      <c r="G880" s="42"/>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row>
    <row r="881">
      <c r="A881" s="16"/>
      <c r="B881" s="16"/>
      <c r="C881" s="16"/>
      <c r="D881" s="42"/>
      <c r="E881" s="42"/>
      <c r="F881" s="42"/>
      <c r="G881" s="42"/>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row>
    <row r="882">
      <c r="A882" s="16"/>
      <c r="B882" s="16"/>
      <c r="C882" s="16"/>
      <c r="D882" s="42"/>
      <c r="E882" s="42"/>
      <c r="F882" s="42"/>
      <c r="G882" s="42"/>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row>
    <row r="883">
      <c r="A883" s="16"/>
      <c r="B883" s="16"/>
      <c r="C883" s="16"/>
      <c r="D883" s="42"/>
      <c r="E883" s="42"/>
      <c r="F883" s="42"/>
      <c r="G883" s="42"/>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row>
    <row r="884">
      <c r="A884" s="16"/>
      <c r="B884" s="16"/>
      <c r="C884" s="16"/>
      <c r="D884" s="42"/>
      <c r="E884" s="42"/>
      <c r="F884" s="42"/>
      <c r="G884" s="42"/>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row>
    <row r="885">
      <c r="A885" s="16"/>
      <c r="B885" s="16"/>
      <c r="C885" s="16"/>
      <c r="D885" s="42"/>
      <c r="E885" s="42"/>
      <c r="F885" s="42"/>
      <c r="G885" s="42"/>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row>
    <row r="886">
      <c r="A886" s="16"/>
      <c r="B886" s="16"/>
      <c r="C886" s="16"/>
      <c r="D886" s="42"/>
      <c r="E886" s="42"/>
      <c r="F886" s="42"/>
      <c r="G886" s="42"/>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row>
    <row r="887">
      <c r="A887" s="16"/>
      <c r="B887" s="16"/>
      <c r="C887" s="16"/>
      <c r="D887" s="42"/>
      <c r="E887" s="42"/>
      <c r="F887" s="42"/>
      <c r="G887" s="42"/>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row>
    <row r="888">
      <c r="A888" s="16"/>
      <c r="B888" s="16"/>
      <c r="C888" s="16"/>
      <c r="D888" s="42"/>
      <c r="E888" s="42"/>
      <c r="F888" s="42"/>
      <c r="G888" s="42"/>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row>
    <row r="889">
      <c r="A889" s="16"/>
      <c r="B889" s="16"/>
      <c r="C889" s="16"/>
      <c r="D889" s="42"/>
      <c r="E889" s="42"/>
      <c r="F889" s="42"/>
      <c r="G889" s="42"/>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row>
    <row r="890">
      <c r="A890" s="16"/>
      <c r="B890" s="16"/>
      <c r="C890" s="16"/>
      <c r="D890" s="42"/>
      <c r="E890" s="42"/>
      <c r="F890" s="42"/>
      <c r="G890" s="42"/>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row>
    <row r="891">
      <c r="A891" s="16"/>
      <c r="B891" s="16"/>
      <c r="C891" s="16"/>
      <c r="D891" s="42"/>
      <c r="E891" s="42"/>
      <c r="F891" s="42"/>
      <c r="G891" s="42"/>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row>
    <row r="892">
      <c r="A892" s="16"/>
      <c r="B892" s="16"/>
      <c r="C892" s="16"/>
      <c r="D892" s="42"/>
      <c r="E892" s="42"/>
      <c r="F892" s="42"/>
      <c r="G892" s="42"/>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row>
    <row r="893">
      <c r="A893" s="16"/>
      <c r="B893" s="16"/>
      <c r="C893" s="16"/>
      <c r="D893" s="42"/>
      <c r="E893" s="42"/>
      <c r="F893" s="42"/>
      <c r="G893" s="42"/>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row>
    <row r="894">
      <c r="A894" s="16"/>
      <c r="B894" s="16"/>
      <c r="C894" s="16"/>
      <c r="D894" s="42"/>
      <c r="E894" s="42"/>
      <c r="F894" s="42"/>
      <c r="G894" s="42"/>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row>
    <row r="895">
      <c r="A895" s="16"/>
      <c r="B895" s="16"/>
      <c r="C895" s="16"/>
      <c r="D895" s="42"/>
      <c r="E895" s="42"/>
      <c r="F895" s="42"/>
      <c r="G895" s="42"/>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row>
    <row r="896">
      <c r="A896" s="16"/>
      <c r="B896" s="16"/>
      <c r="C896" s="16"/>
      <c r="D896" s="42"/>
      <c r="E896" s="42"/>
      <c r="F896" s="42"/>
      <c r="G896" s="42"/>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c r="AX896" s="16"/>
    </row>
    <row r="897">
      <c r="A897" s="16"/>
      <c r="B897" s="16"/>
      <c r="C897" s="16"/>
      <c r="D897" s="42"/>
      <c r="E897" s="42"/>
      <c r="F897" s="42"/>
      <c r="G897" s="42"/>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c r="AX897" s="16"/>
    </row>
    <row r="898">
      <c r="A898" s="16"/>
      <c r="B898" s="16"/>
      <c r="C898" s="16"/>
      <c r="D898" s="42"/>
      <c r="E898" s="42"/>
      <c r="F898" s="42"/>
      <c r="G898" s="42"/>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c r="AX898" s="16"/>
    </row>
    <row r="899">
      <c r="A899" s="16"/>
      <c r="B899" s="16"/>
      <c r="C899" s="16"/>
      <c r="D899" s="42"/>
      <c r="E899" s="42"/>
      <c r="F899" s="42"/>
      <c r="G899" s="42"/>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row>
    <row r="900">
      <c r="A900" s="16"/>
      <c r="B900" s="16"/>
      <c r="C900" s="16"/>
      <c r="D900" s="42"/>
      <c r="E900" s="42"/>
      <c r="F900" s="42"/>
      <c r="G900" s="42"/>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row>
    <row r="901">
      <c r="A901" s="16"/>
      <c r="B901" s="16"/>
      <c r="C901" s="16"/>
      <c r="D901" s="42"/>
      <c r="E901" s="42"/>
      <c r="F901" s="42"/>
      <c r="G901" s="42"/>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row>
    <row r="902">
      <c r="A902" s="16"/>
      <c r="B902" s="16"/>
      <c r="C902" s="16"/>
      <c r="D902" s="42"/>
      <c r="E902" s="42"/>
      <c r="F902" s="42"/>
      <c r="G902" s="42"/>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row>
    <row r="903">
      <c r="A903" s="16"/>
      <c r="B903" s="16"/>
      <c r="C903" s="16"/>
      <c r="D903" s="42"/>
      <c r="E903" s="42"/>
      <c r="F903" s="42"/>
      <c r="G903" s="42"/>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row>
    <row r="904">
      <c r="A904" s="16"/>
      <c r="B904" s="16"/>
      <c r="C904" s="16"/>
      <c r="D904" s="42"/>
      <c r="E904" s="42"/>
      <c r="F904" s="42"/>
      <c r="G904" s="42"/>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row>
    <row r="905">
      <c r="A905" s="16"/>
      <c r="B905" s="16"/>
      <c r="C905" s="16"/>
      <c r="D905" s="42"/>
      <c r="E905" s="42"/>
      <c r="F905" s="42"/>
      <c r="G905" s="42"/>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row>
    <row r="906">
      <c r="A906" s="16"/>
      <c r="B906" s="16"/>
      <c r="C906" s="16"/>
      <c r="D906" s="42"/>
      <c r="E906" s="42"/>
      <c r="F906" s="42"/>
      <c r="G906" s="42"/>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row>
    <row r="907">
      <c r="A907" s="16"/>
      <c r="B907" s="16"/>
      <c r="C907" s="16"/>
      <c r="D907" s="42"/>
      <c r="E907" s="42"/>
      <c r="F907" s="42"/>
      <c r="G907" s="42"/>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row>
    <row r="908">
      <c r="A908" s="16"/>
      <c r="B908" s="16"/>
      <c r="C908" s="16"/>
      <c r="D908" s="42"/>
      <c r="E908" s="42"/>
      <c r="F908" s="42"/>
      <c r="G908" s="42"/>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row>
    <row r="909">
      <c r="A909" s="16"/>
      <c r="B909" s="16"/>
      <c r="C909" s="16"/>
      <c r="D909" s="42"/>
      <c r="E909" s="42"/>
      <c r="F909" s="42"/>
      <c r="G909" s="42"/>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row>
    <row r="910">
      <c r="A910" s="16"/>
      <c r="B910" s="16"/>
      <c r="C910" s="16"/>
      <c r="D910" s="42"/>
      <c r="E910" s="42"/>
      <c r="F910" s="42"/>
      <c r="G910" s="42"/>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row>
    <row r="911">
      <c r="A911" s="16"/>
      <c r="B911" s="16"/>
      <c r="C911" s="16"/>
      <c r="D911" s="42"/>
      <c r="E911" s="42"/>
      <c r="F911" s="42"/>
      <c r="G911" s="42"/>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row>
    <row r="912">
      <c r="A912" s="16"/>
      <c r="B912" s="16"/>
      <c r="C912" s="16"/>
      <c r="D912" s="42"/>
      <c r="E912" s="42"/>
      <c r="F912" s="42"/>
      <c r="G912" s="42"/>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row>
    <row r="913">
      <c r="A913" s="16"/>
      <c r="B913" s="16"/>
      <c r="C913" s="16"/>
      <c r="D913" s="42"/>
      <c r="E913" s="42"/>
      <c r="F913" s="42"/>
      <c r="G913" s="42"/>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c r="AR913" s="16"/>
      <c r="AS913" s="16"/>
      <c r="AT913" s="16"/>
      <c r="AU913" s="16"/>
      <c r="AV913" s="16"/>
      <c r="AW913" s="16"/>
      <c r="AX913" s="16"/>
    </row>
    <row r="914">
      <c r="A914" s="16"/>
      <c r="B914" s="16"/>
      <c r="C914" s="16"/>
      <c r="D914" s="42"/>
      <c r="E914" s="42"/>
      <c r="F914" s="42"/>
      <c r="G914" s="42"/>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c r="AS914" s="16"/>
      <c r="AT914" s="16"/>
      <c r="AU914" s="16"/>
      <c r="AV914" s="16"/>
      <c r="AW914" s="16"/>
      <c r="AX914" s="16"/>
    </row>
    <row r="915">
      <c r="A915" s="16"/>
      <c r="B915" s="16"/>
      <c r="C915" s="16"/>
      <c r="D915" s="42"/>
      <c r="E915" s="42"/>
      <c r="F915" s="42"/>
      <c r="G915" s="42"/>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c r="AS915" s="16"/>
      <c r="AT915" s="16"/>
      <c r="AU915" s="16"/>
      <c r="AV915" s="16"/>
      <c r="AW915" s="16"/>
      <c r="AX915" s="16"/>
    </row>
    <row r="916">
      <c r="A916" s="16"/>
      <c r="B916" s="16"/>
      <c r="C916" s="16"/>
      <c r="D916" s="42"/>
      <c r="E916" s="42"/>
      <c r="F916" s="42"/>
      <c r="G916" s="42"/>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c r="AR916" s="16"/>
      <c r="AS916" s="16"/>
      <c r="AT916" s="16"/>
      <c r="AU916" s="16"/>
      <c r="AV916" s="16"/>
      <c r="AW916" s="16"/>
      <c r="AX916" s="16"/>
    </row>
    <row r="917">
      <c r="A917" s="16"/>
      <c r="B917" s="16"/>
      <c r="C917" s="16"/>
      <c r="D917" s="42"/>
      <c r="E917" s="42"/>
      <c r="F917" s="42"/>
      <c r="G917" s="42"/>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c r="AR917" s="16"/>
      <c r="AS917" s="16"/>
      <c r="AT917" s="16"/>
      <c r="AU917" s="16"/>
      <c r="AV917" s="16"/>
      <c r="AW917" s="16"/>
      <c r="AX917" s="16"/>
    </row>
    <row r="918">
      <c r="A918" s="16"/>
      <c r="B918" s="16"/>
      <c r="C918" s="16"/>
      <c r="D918" s="42"/>
      <c r="E918" s="42"/>
      <c r="F918" s="42"/>
      <c r="G918" s="42"/>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U918" s="16"/>
      <c r="AV918" s="16"/>
      <c r="AW918" s="16"/>
      <c r="AX918" s="16"/>
    </row>
    <row r="919">
      <c r="A919" s="16"/>
      <c r="B919" s="16"/>
      <c r="C919" s="16"/>
      <c r="D919" s="42"/>
      <c r="E919" s="42"/>
      <c r="F919" s="42"/>
      <c r="G919" s="42"/>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c r="AS919" s="16"/>
      <c r="AT919" s="16"/>
      <c r="AU919" s="16"/>
      <c r="AV919" s="16"/>
      <c r="AW919" s="16"/>
      <c r="AX919" s="16"/>
    </row>
    <row r="920">
      <c r="A920" s="16"/>
      <c r="B920" s="16"/>
      <c r="C920" s="16"/>
      <c r="D920" s="42"/>
      <c r="E920" s="42"/>
      <c r="F920" s="42"/>
      <c r="G920" s="42"/>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c r="AU920" s="16"/>
      <c r="AV920" s="16"/>
      <c r="AW920" s="16"/>
      <c r="AX920" s="16"/>
    </row>
    <row r="921">
      <c r="A921" s="16"/>
      <c r="B921" s="16"/>
      <c r="C921" s="16"/>
      <c r="D921" s="42"/>
      <c r="E921" s="42"/>
      <c r="F921" s="42"/>
      <c r="G921" s="42"/>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c r="AS921" s="16"/>
      <c r="AT921" s="16"/>
      <c r="AU921" s="16"/>
      <c r="AV921" s="16"/>
      <c r="AW921" s="16"/>
      <c r="AX921" s="16"/>
    </row>
    <row r="922">
      <c r="A922" s="16"/>
      <c r="B922" s="16"/>
      <c r="C922" s="16"/>
      <c r="D922" s="42"/>
      <c r="E922" s="42"/>
      <c r="F922" s="42"/>
      <c r="G922" s="42"/>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c r="AU922" s="16"/>
      <c r="AV922" s="16"/>
      <c r="AW922" s="16"/>
      <c r="AX922" s="16"/>
    </row>
    <row r="923">
      <c r="A923" s="16"/>
      <c r="B923" s="16"/>
      <c r="C923" s="16"/>
      <c r="D923" s="42"/>
      <c r="E923" s="42"/>
      <c r="F923" s="42"/>
      <c r="G923" s="42"/>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c r="AS923" s="16"/>
      <c r="AT923" s="16"/>
      <c r="AU923" s="16"/>
      <c r="AV923" s="16"/>
      <c r="AW923" s="16"/>
      <c r="AX923" s="16"/>
    </row>
    <row r="924">
      <c r="A924" s="16"/>
      <c r="B924" s="16"/>
      <c r="C924" s="16"/>
      <c r="D924" s="42"/>
      <c r="E924" s="42"/>
      <c r="F924" s="42"/>
      <c r="G924" s="42"/>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V924" s="16"/>
      <c r="AW924" s="16"/>
      <c r="AX924" s="16"/>
    </row>
    <row r="925">
      <c r="A925" s="16"/>
      <c r="B925" s="16"/>
      <c r="C925" s="16"/>
      <c r="D925" s="42"/>
      <c r="E925" s="42"/>
      <c r="F925" s="42"/>
      <c r="G925" s="42"/>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c r="AS925" s="16"/>
      <c r="AT925" s="16"/>
      <c r="AU925" s="16"/>
      <c r="AV925" s="16"/>
      <c r="AW925" s="16"/>
      <c r="AX925" s="16"/>
    </row>
    <row r="926">
      <c r="A926" s="16"/>
      <c r="B926" s="16"/>
      <c r="C926" s="16"/>
      <c r="D926" s="42"/>
      <c r="E926" s="42"/>
      <c r="F926" s="42"/>
      <c r="G926" s="42"/>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c r="AU926" s="16"/>
      <c r="AV926" s="16"/>
      <c r="AW926" s="16"/>
      <c r="AX926" s="16"/>
    </row>
    <row r="927">
      <c r="A927" s="16"/>
      <c r="B927" s="16"/>
      <c r="C927" s="16"/>
      <c r="D927" s="42"/>
      <c r="E927" s="42"/>
      <c r="F927" s="42"/>
      <c r="G927" s="42"/>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c r="AS927" s="16"/>
      <c r="AT927" s="16"/>
      <c r="AU927" s="16"/>
      <c r="AV927" s="16"/>
      <c r="AW927" s="16"/>
      <c r="AX927" s="16"/>
    </row>
    <row r="928">
      <c r="A928" s="16"/>
      <c r="B928" s="16"/>
      <c r="C928" s="16"/>
      <c r="D928" s="42"/>
      <c r="E928" s="42"/>
      <c r="F928" s="42"/>
      <c r="G928" s="42"/>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c r="AS928" s="16"/>
      <c r="AT928" s="16"/>
      <c r="AU928" s="16"/>
      <c r="AV928" s="16"/>
      <c r="AW928" s="16"/>
      <c r="AX928" s="16"/>
    </row>
    <row r="929">
      <c r="A929" s="16"/>
      <c r="B929" s="16"/>
      <c r="C929" s="16"/>
      <c r="D929" s="42"/>
      <c r="E929" s="42"/>
      <c r="F929" s="42"/>
      <c r="G929" s="42"/>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c r="AR929" s="16"/>
      <c r="AS929" s="16"/>
      <c r="AT929" s="16"/>
      <c r="AU929" s="16"/>
      <c r="AV929" s="16"/>
      <c r="AW929" s="16"/>
      <c r="AX929" s="16"/>
    </row>
    <row r="930">
      <c r="A930" s="16"/>
      <c r="B930" s="16"/>
      <c r="C930" s="16"/>
      <c r="D930" s="42"/>
      <c r="E930" s="42"/>
      <c r="F930" s="42"/>
      <c r="G930" s="42"/>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c r="AS930" s="16"/>
      <c r="AT930" s="16"/>
      <c r="AU930" s="16"/>
      <c r="AV930" s="16"/>
      <c r="AW930" s="16"/>
      <c r="AX930" s="16"/>
    </row>
    <row r="931">
      <c r="A931" s="16"/>
      <c r="B931" s="16"/>
      <c r="C931" s="16"/>
      <c r="D931" s="42"/>
      <c r="E931" s="42"/>
      <c r="F931" s="42"/>
      <c r="G931" s="42"/>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c r="AR931" s="16"/>
      <c r="AS931" s="16"/>
      <c r="AT931" s="16"/>
      <c r="AU931" s="16"/>
      <c r="AV931" s="16"/>
      <c r="AW931" s="16"/>
      <c r="AX931" s="16"/>
    </row>
    <row r="932">
      <c r="A932" s="16"/>
      <c r="B932" s="16"/>
      <c r="C932" s="16"/>
      <c r="D932" s="42"/>
      <c r="E932" s="42"/>
      <c r="F932" s="42"/>
      <c r="G932" s="42"/>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c r="AS932" s="16"/>
      <c r="AT932" s="16"/>
      <c r="AU932" s="16"/>
      <c r="AV932" s="16"/>
      <c r="AW932" s="16"/>
      <c r="AX932" s="16"/>
    </row>
    <row r="933">
      <c r="A933" s="16"/>
      <c r="B933" s="16"/>
      <c r="C933" s="16"/>
      <c r="D933" s="42"/>
      <c r="E933" s="42"/>
      <c r="F933" s="42"/>
      <c r="G933" s="42"/>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c r="AS933" s="16"/>
      <c r="AT933" s="16"/>
      <c r="AU933" s="16"/>
      <c r="AV933" s="16"/>
      <c r="AW933" s="16"/>
      <c r="AX933" s="16"/>
    </row>
    <row r="934">
      <c r="A934" s="16"/>
      <c r="B934" s="16"/>
      <c r="C934" s="16"/>
      <c r="D934" s="42"/>
      <c r="E934" s="42"/>
      <c r="F934" s="42"/>
      <c r="G934" s="42"/>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c r="AS934" s="16"/>
      <c r="AT934" s="16"/>
      <c r="AU934" s="16"/>
      <c r="AV934" s="16"/>
      <c r="AW934" s="16"/>
      <c r="AX934" s="16"/>
    </row>
    <row r="935">
      <c r="A935" s="16"/>
      <c r="B935" s="16"/>
      <c r="C935" s="16"/>
      <c r="D935" s="42"/>
      <c r="E935" s="42"/>
      <c r="F935" s="42"/>
      <c r="G935" s="42"/>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c r="AS935" s="16"/>
      <c r="AT935" s="16"/>
      <c r="AU935" s="16"/>
      <c r="AV935" s="16"/>
      <c r="AW935" s="16"/>
      <c r="AX935" s="16"/>
    </row>
    <row r="936">
      <c r="A936" s="16"/>
      <c r="B936" s="16"/>
      <c r="C936" s="16"/>
      <c r="D936" s="42"/>
      <c r="E936" s="42"/>
      <c r="F936" s="42"/>
      <c r="G936" s="42"/>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c r="AU936" s="16"/>
      <c r="AV936" s="16"/>
      <c r="AW936" s="16"/>
      <c r="AX936" s="16"/>
    </row>
    <row r="937">
      <c r="A937" s="16"/>
      <c r="B937" s="16"/>
      <c r="C937" s="16"/>
      <c r="D937" s="42"/>
      <c r="E937" s="42"/>
      <c r="F937" s="42"/>
      <c r="G937" s="42"/>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c r="AU937" s="16"/>
      <c r="AV937" s="16"/>
      <c r="AW937" s="16"/>
      <c r="AX937" s="16"/>
    </row>
    <row r="938">
      <c r="A938" s="16"/>
      <c r="B938" s="16"/>
      <c r="C938" s="16"/>
      <c r="D938" s="42"/>
      <c r="E938" s="42"/>
      <c r="F938" s="42"/>
      <c r="G938" s="42"/>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c r="AU938" s="16"/>
      <c r="AV938" s="16"/>
      <c r="AW938" s="16"/>
      <c r="AX938" s="16"/>
    </row>
    <row r="939">
      <c r="A939" s="16"/>
      <c r="B939" s="16"/>
      <c r="C939" s="16"/>
      <c r="D939" s="42"/>
      <c r="E939" s="42"/>
      <c r="F939" s="42"/>
      <c r="G939" s="42"/>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c r="AS939" s="16"/>
      <c r="AT939" s="16"/>
      <c r="AU939" s="16"/>
      <c r="AV939" s="16"/>
      <c r="AW939" s="16"/>
      <c r="AX939" s="16"/>
    </row>
    <row r="940">
      <c r="A940" s="16"/>
      <c r="B940" s="16"/>
      <c r="C940" s="16"/>
      <c r="D940" s="42"/>
      <c r="E940" s="42"/>
      <c r="F940" s="42"/>
      <c r="G940" s="42"/>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U940" s="16"/>
      <c r="AV940" s="16"/>
      <c r="AW940" s="16"/>
      <c r="AX940" s="16"/>
    </row>
    <row r="941">
      <c r="A941" s="16"/>
      <c r="B941" s="16"/>
      <c r="C941" s="16"/>
      <c r="D941" s="42"/>
      <c r="E941" s="42"/>
      <c r="F941" s="42"/>
      <c r="G941" s="42"/>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c r="AS941" s="16"/>
      <c r="AT941" s="16"/>
      <c r="AU941" s="16"/>
      <c r="AV941" s="16"/>
      <c r="AW941" s="16"/>
      <c r="AX941" s="16"/>
    </row>
    <row r="942">
      <c r="A942" s="16"/>
      <c r="B942" s="16"/>
      <c r="C942" s="16"/>
      <c r="D942" s="42"/>
      <c r="E942" s="42"/>
      <c r="F942" s="42"/>
      <c r="G942" s="42"/>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c r="AU942" s="16"/>
      <c r="AV942" s="16"/>
      <c r="AW942" s="16"/>
      <c r="AX942" s="16"/>
    </row>
    <row r="943">
      <c r="A943" s="16"/>
      <c r="B943" s="16"/>
      <c r="C943" s="16"/>
      <c r="D943" s="42"/>
      <c r="E943" s="42"/>
      <c r="F943" s="42"/>
      <c r="G943" s="42"/>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c r="AS943" s="16"/>
      <c r="AT943" s="16"/>
      <c r="AU943" s="16"/>
      <c r="AV943" s="16"/>
      <c r="AW943" s="16"/>
      <c r="AX943" s="16"/>
    </row>
    <row r="944">
      <c r="A944" s="16"/>
      <c r="B944" s="16"/>
      <c r="C944" s="16"/>
      <c r="D944" s="42"/>
      <c r="E944" s="42"/>
      <c r="F944" s="42"/>
      <c r="G944" s="42"/>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c r="AS944" s="16"/>
      <c r="AT944" s="16"/>
      <c r="AU944" s="16"/>
      <c r="AV944" s="16"/>
      <c r="AW944" s="16"/>
      <c r="AX944" s="16"/>
    </row>
    <row r="945">
      <c r="A945" s="16"/>
      <c r="B945" s="16"/>
      <c r="C945" s="16"/>
      <c r="D945" s="42"/>
      <c r="E945" s="42"/>
      <c r="F945" s="42"/>
      <c r="G945" s="42"/>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c r="AU945" s="16"/>
      <c r="AV945" s="16"/>
      <c r="AW945" s="16"/>
      <c r="AX945" s="16"/>
    </row>
    <row r="946">
      <c r="A946" s="16"/>
      <c r="B946" s="16"/>
      <c r="C946" s="16"/>
      <c r="D946" s="42"/>
      <c r="E946" s="42"/>
      <c r="F946" s="42"/>
      <c r="G946" s="42"/>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c r="AU946" s="16"/>
      <c r="AV946" s="16"/>
      <c r="AW946" s="16"/>
      <c r="AX946" s="16"/>
    </row>
    <row r="947">
      <c r="A947" s="16"/>
      <c r="B947" s="16"/>
      <c r="C947" s="16"/>
      <c r="D947" s="42"/>
      <c r="E947" s="42"/>
      <c r="F947" s="42"/>
      <c r="G947" s="42"/>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c r="AS947" s="16"/>
      <c r="AT947" s="16"/>
      <c r="AU947" s="16"/>
      <c r="AV947" s="16"/>
      <c r="AW947" s="16"/>
      <c r="AX947" s="16"/>
    </row>
    <row r="948">
      <c r="A948" s="16"/>
      <c r="B948" s="16"/>
      <c r="C948" s="16"/>
      <c r="D948" s="42"/>
      <c r="E948" s="42"/>
      <c r="F948" s="42"/>
      <c r="G948" s="42"/>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c r="AS948" s="16"/>
      <c r="AT948" s="16"/>
      <c r="AU948" s="16"/>
      <c r="AV948" s="16"/>
      <c r="AW948" s="16"/>
      <c r="AX948" s="16"/>
    </row>
    <row r="949">
      <c r="A949" s="16"/>
      <c r="B949" s="16"/>
      <c r="C949" s="16"/>
      <c r="D949" s="42"/>
      <c r="E949" s="42"/>
      <c r="F949" s="42"/>
      <c r="G949" s="42"/>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c r="AS949" s="16"/>
      <c r="AT949" s="16"/>
      <c r="AU949" s="16"/>
      <c r="AV949" s="16"/>
      <c r="AW949" s="16"/>
      <c r="AX949" s="16"/>
    </row>
    <row r="950">
      <c r="A950" s="16"/>
      <c r="B950" s="16"/>
      <c r="C950" s="16"/>
      <c r="D950" s="42"/>
      <c r="E950" s="42"/>
      <c r="F950" s="42"/>
      <c r="G950" s="42"/>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c r="AU950" s="16"/>
      <c r="AV950" s="16"/>
      <c r="AW950" s="16"/>
      <c r="AX950" s="16"/>
    </row>
    <row r="951">
      <c r="A951" s="16"/>
      <c r="B951" s="16"/>
      <c r="C951" s="16"/>
      <c r="D951" s="42"/>
      <c r="E951" s="42"/>
      <c r="F951" s="42"/>
      <c r="G951" s="42"/>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c r="AU951" s="16"/>
      <c r="AV951" s="16"/>
      <c r="AW951" s="16"/>
      <c r="AX951" s="16"/>
    </row>
    <row r="952">
      <c r="A952" s="16"/>
      <c r="B952" s="16"/>
      <c r="C952" s="16"/>
      <c r="D952" s="42"/>
      <c r="E952" s="42"/>
      <c r="F952" s="42"/>
      <c r="G952" s="42"/>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c r="AU952" s="16"/>
      <c r="AV952" s="16"/>
      <c r="AW952" s="16"/>
      <c r="AX952" s="16"/>
    </row>
    <row r="953">
      <c r="A953" s="16"/>
      <c r="B953" s="16"/>
      <c r="C953" s="16"/>
      <c r="D953" s="42"/>
      <c r="E953" s="42"/>
      <c r="F953" s="42"/>
      <c r="G953" s="42"/>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c r="AU953" s="16"/>
      <c r="AV953" s="16"/>
      <c r="AW953" s="16"/>
      <c r="AX953" s="16"/>
    </row>
    <row r="954">
      <c r="A954" s="16"/>
      <c r="B954" s="16"/>
      <c r="C954" s="16"/>
      <c r="D954" s="42"/>
      <c r="E954" s="42"/>
      <c r="F954" s="42"/>
      <c r="G954" s="42"/>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c r="AU954" s="16"/>
      <c r="AV954" s="16"/>
      <c r="AW954" s="16"/>
      <c r="AX954" s="16"/>
    </row>
    <row r="955">
      <c r="A955" s="16"/>
      <c r="B955" s="16"/>
      <c r="C955" s="16"/>
      <c r="D955" s="42"/>
      <c r="E955" s="42"/>
      <c r="F955" s="42"/>
      <c r="G955" s="42"/>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c r="AM955" s="16"/>
      <c r="AN955" s="16"/>
      <c r="AO955" s="16"/>
      <c r="AP955" s="16"/>
      <c r="AQ955" s="16"/>
      <c r="AR955" s="16"/>
      <c r="AS955" s="16"/>
      <c r="AT955" s="16"/>
      <c r="AU955" s="16"/>
      <c r="AV955" s="16"/>
      <c r="AW955" s="16"/>
      <c r="AX955" s="16"/>
    </row>
    <row r="956">
      <c r="A956" s="16"/>
      <c r="B956" s="16"/>
      <c r="C956" s="16"/>
      <c r="D956" s="42"/>
      <c r="E956" s="42"/>
      <c r="F956" s="42"/>
      <c r="G956" s="42"/>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c r="AU956" s="16"/>
      <c r="AV956" s="16"/>
      <c r="AW956" s="16"/>
      <c r="AX956" s="16"/>
    </row>
    <row r="957">
      <c r="A957" s="16"/>
      <c r="B957" s="16"/>
      <c r="C957" s="16"/>
      <c r="D957" s="42"/>
      <c r="E957" s="42"/>
      <c r="F957" s="42"/>
      <c r="G957" s="42"/>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c r="AR957" s="16"/>
      <c r="AS957" s="16"/>
      <c r="AT957" s="16"/>
      <c r="AU957" s="16"/>
      <c r="AV957" s="16"/>
      <c r="AW957" s="16"/>
      <c r="AX957" s="16"/>
    </row>
    <row r="958">
      <c r="A958" s="16"/>
      <c r="B958" s="16"/>
      <c r="C958" s="16"/>
      <c r="D958" s="42"/>
      <c r="E958" s="42"/>
      <c r="F958" s="42"/>
      <c r="G958" s="42"/>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c r="AS958" s="16"/>
      <c r="AT958" s="16"/>
      <c r="AU958" s="16"/>
      <c r="AV958" s="16"/>
      <c r="AW958" s="16"/>
      <c r="AX958" s="16"/>
    </row>
    <row r="959">
      <c r="A959" s="16"/>
      <c r="B959" s="16"/>
      <c r="C959" s="16"/>
      <c r="D959" s="42"/>
      <c r="E959" s="42"/>
      <c r="F959" s="42"/>
      <c r="G959" s="42"/>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c r="AM959" s="16"/>
      <c r="AN959" s="16"/>
      <c r="AO959" s="16"/>
      <c r="AP959" s="16"/>
      <c r="AQ959" s="16"/>
      <c r="AR959" s="16"/>
      <c r="AS959" s="16"/>
      <c r="AT959" s="16"/>
      <c r="AU959" s="16"/>
      <c r="AV959" s="16"/>
      <c r="AW959" s="16"/>
      <c r="AX959" s="16"/>
    </row>
    <row r="960">
      <c r="A960" s="16"/>
      <c r="B960" s="16"/>
      <c r="C960" s="16"/>
      <c r="D960" s="42"/>
      <c r="E960" s="42"/>
      <c r="F960" s="42"/>
      <c r="G960" s="42"/>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c r="AR960" s="16"/>
      <c r="AS960" s="16"/>
      <c r="AT960" s="16"/>
      <c r="AU960" s="16"/>
      <c r="AV960" s="16"/>
      <c r="AW960" s="16"/>
      <c r="AX960" s="16"/>
    </row>
    <row r="961">
      <c r="A961" s="16"/>
      <c r="B961" s="16"/>
      <c r="C961" s="16"/>
      <c r="D961" s="42"/>
      <c r="E961" s="42"/>
      <c r="F961" s="42"/>
      <c r="G961" s="42"/>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c r="AM961" s="16"/>
      <c r="AN961" s="16"/>
      <c r="AO961" s="16"/>
      <c r="AP961" s="16"/>
      <c r="AQ961" s="16"/>
      <c r="AR961" s="16"/>
      <c r="AS961" s="16"/>
      <c r="AT961" s="16"/>
      <c r="AU961" s="16"/>
      <c r="AV961" s="16"/>
      <c r="AW961" s="16"/>
      <c r="AX961" s="16"/>
    </row>
    <row r="962">
      <c r="A962" s="16"/>
      <c r="B962" s="16"/>
      <c r="C962" s="16"/>
      <c r="D962" s="42"/>
      <c r="E962" s="42"/>
      <c r="F962" s="42"/>
      <c r="G962" s="42"/>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c r="AR962" s="16"/>
      <c r="AS962" s="16"/>
      <c r="AT962" s="16"/>
      <c r="AU962" s="16"/>
      <c r="AV962" s="16"/>
      <c r="AW962" s="16"/>
      <c r="AX962" s="16"/>
    </row>
    <row r="963">
      <c r="A963" s="16"/>
      <c r="B963" s="16"/>
      <c r="C963" s="16"/>
      <c r="D963" s="42"/>
      <c r="E963" s="42"/>
      <c r="F963" s="42"/>
      <c r="G963" s="42"/>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c r="AM963" s="16"/>
      <c r="AN963" s="16"/>
      <c r="AO963" s="16"/>
      <c r="AP963" s="16"/>
      <c r="AQ963" s="16"/>
      <c r="AR963" s="16"/>
      <c r="AS963" s="16"/>
      <c r="AT963" s="16"/>
      <c r="AU963" s="16"/>
      <c r="AV963" s="16"/>
      <c r="AW963" s="16"/>
      <c r="AX963" s="16"/>
    </row>
    <row r="964">
      <c r="A964" s="16"/>
      <c r="B964" s="16"/>
      <c r="C964" s="16"/>
      <c r="D964" s="42"/>
      <c r="E964" s="42"/>
      <c r="F964" s="42"/>
      <c r="G964" s="42"/>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c r="AR964" s="16"/>
      <c r="AS964" s="16"/>
      <c r="AT964" s="16"/>
      <c r="AU964" s="16"/>
      <c r="AV964" s="16"/>
      <c r="AW964" s="16"/>
      <c r="AX964" s="16"/>
    </row>
    <row r="965">
      <c r="A965" s="16"/>
      <c r="B965" s="16"/>
      <c r="C965" s="16"/>
      <c r="D965" s="42"/>
      <c r="E965" s="42"/>
      <c r="F965" s="42"/>
      <c r="G965" s="42"/>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c r="AR965" s="16"/>
      <c r="AS965" s="16"/>
      <c r="AT965" s="16"/>
      <c r="AU965" s="16"/>
      <c r="AV965" s="16"/>
      <c r="AW965" s="16"/>
      <c r="AX965" s="16"/>
    </row>
    <row r="966">
      <c r="A966" s="16"/>
      <c r="B966" s="16"/>
      <c r="C966" s="16"/>
      <c r="D966" s="42"/>
      <c r="E966" s="42"/>
      <c r="F966" s="42"/>
      <c r="G966" s="42"/>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c r="AU966" s="16"/>
      <c r="AV966" s="16"/>
      <c r="AW966" s="16"/>
      <c r="AX966" s="16"/>
    </row>
    <row r="967">
      <c r="A967" s="16"/>
      <c r="B967" s="16"/>
      <c r="C967" s="16"/>
      <c r="D967" s="42"/>
      <c r="E967" s="42"/>
      <c r="F967" s="42"/>
      <c r="G967" s="42"/>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c r="AM967" s="16"/>
      <c r="AN967" s="16"/>
      <c r="AO967" s="16"/>
      <c r="AP967" s="16"/>
      <c r="AQ967" s="16"/>
      <c r="AR967" s="16"/>
      <c r="AS967" s="16"/>
      <c r="AT967" s="16"/>
      <c r="AU967" s="16"/>
      <c r="AV967" s="16"/>
      <c r="AW967" s="16"/>
      <c r="AX967" s="16"/>
    </row>
    <row r="968">
      <c r="A968" s="16"/>
      <c r="B968" s="16"/>
      <c r="C968" s="16"/>
      <c r="D968" s="42"/>
      <c r="E968" s="42"/>
      <c r="F968" s="42"/>
      <c r="G968" s="42"/>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c r="AR968" s="16"/>
      <c r="AS968" s="16"/>
      <c r="AT968" s="16"/>
      <c r="AU968" s="16"/>
      <c r="AV968" s="16"/>
      <c r="AW968" s="16"/>
      <c r="AX968" s="16"/>
    </row>
    <row r="969">
      <c r="A969" s="16"/>
      <c r="B969" s="16"/>
      <c r="C969" s="16"/>
      <c r="D969" s="42"/>
      <c r="E969" s="42"/>
      <c r="F969" s="42"/>
      <c r="G969" s="42"/>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16"/>
      <c r="AO969" s="16"/>
      <c r="AP969" s="16"/>
      <c r="AQ969" s="16"/>
      <c r="AR969" s="16"/>
      <c r="AS969" s="16"/>
      <c r="AT969" s="16"/>
      <c r="AU969" s="16"/>
      <c r="AV969" s="16"/>
      <c r="AW969" s="16"/>
      <c r="AX969" s="16"/>
    </row>
    <row r="970">
      <c r="A970" s="16"/>
      <c r="B970" s="16"/>
      <c r="C970" s="16"/>
      <c r="D970" s="42"/>
      <c r="E970" s="42"/>
      <c r="F970" s="42"/>
      <c r="G970" s="42"/>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16"/>
      <c r="AO970" s="16"/>
      <c r="AP970" s="16"/>
      <c r="AQ970" s="16"/>
      <c r="AR970" s="16"/>
      <c r="AS970" s="16"/>
      <c r="AT970" s="16"/>
      <c r="AU970" s="16"/>
      <c r="AV970" s="16"/>
      <c r="AW970" s="16"/>
      <c r="AX970" s="16"/>
    </row>
    <row r="971">
      <c r="A971" s="16"/>
      <c r="B971" s="16"/>
      <c r="C971" s="16"/>
      <c r="D971" s="42"/>
      <c r="E971" s="42"/>
      <c r="F971" s="42"/>
      <c r="G971" s="42"/>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16"/>
      <c r="AO971" s="16"/>
      <c r="AP971" s="16"/>
      <c r="AQ971" s="16"/>
      <c r="AR971" s="16"/>
      <c r="AS971" s="16"/>
      <c r="AT971" s="16"/>
      <c r="AU971" s="16"/>
      <c r="AV971" s="16"/>
      <c r="AW971" s="16"/>
      <c r="AX971" s="16"/>
    </row>
    <row r="972">
      <c r="A972" s="16"/>
      <c r="B972" s="16"/>
      <c r="C972" s="16"/>
      <c r="D972" s="42"/>
      <c r="E972" s="42"/>
      <c r="F972" s="42"/>
      <c r="G972" s="42"/>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c r="AR972" s="16"/>
      <c r="AS972" s="16"/>
      <c r="AT972" s="16"/>
      <c r="AU972" s="16"/>
      <c r="AV972" s="16"/>
      <c r="AW972" s="16"/>
      <c r="AX972" s="16"/>
    </row>
    <row r="973">
      <c r="A973" s="16"/>
      <c r="B973" s="16"/>
      <c r="C973" s="16"/>
      <c r="D973" s="42"/>
      <c r="E973" s="42"/>
      <c r="F973" s="42"/>
      <c r="G973" s="42"/>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c r="AM973" s="16"/>
      <c r="AN973" s="16"/>
      <c r="AO973" s="16"/>
      <c r="AP973" s="16"/>
      <c r="AQ973" s="16"/>
      <c r="AR973" s="16"/>
      <c r="AS973" s="16"/>
      <c r="AT973" s="16"/>
      <c r="AU973" s="16"/>
      <c r="AV973" s="16"/>
      <c r="AW973" s="16"/>
      <c r="AX973" s="16"/>
    </row>
    <row r="974">
      <c r="A974" s="16"/>
      <c r="B974" s="16"/>
      <c r="C974" s="16"/>
      <c r="D974" s="42"/>
      <c r="E974" s="42"/>
      <c r="F974" s="42"/>
      <c r="G974" s="42"/>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c r="AR974" s="16"/>
      <c r="AS974" s="16"/>
      <c r="AT974" s="16"/>
      <c r="AU974" s="16"/>
      <c r="AV974" s="16"/>
      <c r="AW974" s="16"/>
      <c r="AX974" s="16"/>
    </row>
    <row r="975">
      <c r="A975" s="16"/>
      <c r="B975" s="16"/>
      <c r="C975" s="16"/>
      <c r="D975" s="42"/>
      <c r="E975" s="42"/>
      <c r="F975" s="42"/>
      <c r="G975" s="42"/>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c r="AS975" s="16"/>
      <c r="AT975" s="16"/>
      <c r="AU975" s="16"/>
      <c r="AV975" s="16"/>
      <c r="AW975" s="16"/>
      <c r="AX975" s="16"/>
    </row>
    <row r="976">
      <c r="A976" s="16"/>
      <c r="B976" s="16"/>
      <c r="C976" s="16"/>
      <c r="D976" s="42"/>
      <c r="E976" s="42"/>
      <c r="F976" s="42"/>
      <c r="G976" s="42"/>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16"/>
      <c r="AO976" s="16"/>
      <c r="AP976" s="16"/>
      <c r="AQ976" s="16"/>
      <c r="AR976" s="16"/>
      <c r="AS976" s="16"/>
      <c r="AT976" s="16"/>
      <c r="AU976" s="16"/>
      <c r="AV976" s="16"/>
      <c r="AW976" s="16"/>
      <c r="AX976" s="16"/>
    </row>
    <row r="977">
      <c r="A977" s="16"/>
      <c r="B977" s="16"/>
      <c r="C977" s="16"/>
      <c r="D977" s="42"/>
      <c r="E977" s="42"/>
      <c r="F977" s="42"/>
      <c r="G977" s="42"/>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16"/>
      <c r="AP977" s="16"/>
      <c r="AQ977" s="16"/>
      <c r="AR977" s="16"/>
      <c r="AS977" s="16"/>
      <c r="AT977" s="16"/>
      <c r="AU977" s="16"/>
      <c r="AV977" s="16"/>
      <c r="AW977" s="16"/>
      <c r="AX977" s="16"/>
    </row>
    <row r="978">
      <c r="A978" s="16"/>
      <c r="B978" s="16"/>
      <c r="C978" s="16"/>
      <c r="D978" s="42"/>
      <c r="E978" s="42"/>
      <c r="F978" s="42"/>
      <c r="G978" s="42"/>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c r="AM978" s="16"/>
      <c r="AN978" s="16"/>
      <c r="AO978" s="16"/>
      <c r="AP978" s="16"/>
      <c r="AQ978" s="16"/>
      <c r="AR978" s="16"/>
      <c r="AS978" s="16"/>
      <c r="AT978" s="16"/>
      <c r="AU978" s="16"/>
      <c r="AV978" s="16"/>
      <c r="AW978" s="16"/>
      <c r="AX978" s="16"/>
    </row>
    <row r="979">
      <c r="A979" s="16"/>
      <c r="B979" s="16"/>
      <c r="C979" s="16"/>
      <c r="D979" s="42"/>
      <c r="E979" s="42"/>
      <c r="F979" s="42"/>
      <c r="G979" s="42"/>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c r="AQ979" s="16"/>
      <c r="AR979" s="16"/>
      <c r="AS979" s="16"/>
      <c r="AT979" s="16"/>
      <c r="AU979" s="16"/>
      <c r="AV979" s="16"/>
      <c r="AW979" s="16"/>
      <c r="AX979" s="16"/>
    </row>
    <row r="980">
      <c r="A980" s="16"/>
      <c r="B980" s="16"/>
      <c r="C980" s="16"/>
      <c r="D980" s="42"/>
      <c r="E980" s="42"/>
      <c r="F980" s="42"/>
      <c r="G980" s="42"/>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c r="AM980" s="16"/>
      <c r="AN980" s="16"/>
      <c r="AO980" s="16"/>
      <c r="AP980" s="16"/>
      <c r="AQ980" s="16"/>
      <c r="AR980" s="16"/>
      <c r="AS980" s="16"/>
      <c r="AT980" s="16"/>
      <c r="AU980" s="16"/>
      <c r="AV980" s="16"/>
      <c r="AW980" s="16"/>
      <c r="AX980" s="16"/>
    </row>
    <row r="981">
      <c r="A981" s="16"/>
      <c r="B981" s="16"/>
      <c r="C981" s="16"/>
      <c r="D981" s="42"/>
      <c r="E981" s="42"/>
      <c r="F981" s="42"/>
      <c r="G981" s="42"/>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6"/>
      <c r="AK981" s="16"/>
      <c r="AL981" s="16"/>
      <c r="AM981" s="16"/>
      <c r="AN981" s="16"/>
      <c r="AO981" s="16"/>
      <c r="AP981" s="16"/>
      <c r="AQ981" s="16"/>
      <c r="AR981" s="16"/>
      <c r="AS981" s="16"/>
      <c r="AT981" s="16"/>
      <c r="AU981" s="16"/>
      <c r="AV981" s="16"/>
      <c r="AW981" s="16"/>
      <c r="AX981" s="16"/>
    </row>
    <row r="982">
      <c r="A982" s="16"/>
      <c r="B982" s="16"/>
      <c r="C982" s="16"/>
      <c r="D982" s="42"/>
      <c r="E982" s="42"/>
      <c r="F982" s="42"/>
      <c r="G982" s="42"/>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c r="AS982" s="16"/>
      <c r="AT982" s="16"/>
      <c r="AU982" s="16"/>
      <c r="AV982" s="16"/>
      <c r="AW982" s="16"/>
      <c r="AX982" s="16"/>
    </row>
    <row r="983">
      <c r="A983" s="16"/>
      <c r="B983" s="16"/>
      <c r="C983" s="16"/>
      <c r="D983" s="42"/>
      <c r="E983" s="42"/>
      <c r="F983" s="42"/>
      <c r="G983" s="42"/>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c r="AR983" s="16"/>
      <c r="AS983" s="16"/>
      <c r="AT983" s="16"/>
      <c r="AU983" s="16"/>
      <c r="AV983" s="16"/>
      <c r="AW983" s="16"/>
      <c r="AX983" s="16"/>
    </row>
    <row r="984">
      <c r="A984" s="16"/>
      <c r="B984" s="16"/>
      <c r="C984" s="16"/>
      <c r="D984" s="42"/>
      <c r="E984" s="42"/>
      <c r="F984" s="42"/>
      <c r="G984" s="42"/>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6"/>
      <c r="AK984" s="16"/>
      <c r="AL984" s="16"/>
      <c r="AM984" s="16"/>
      <c r="AN984" s="16"/>
      <c r="AO984" s="16"/>
      <c r="AP984" s="16"/>
      <c r="AQ984" s="16"/>
      <c r="AR984" s="16"/>
      <c r="AS984" s="16"/>
      <c r="AT984" s="16"/>
      <c r="AU984" s="16"/>
      <c r="AV984" s="16"/>
      <c r="AW984" s="16"/>
      <c r="AX984" s="16"/>
    </row>
    <row r="985">
      <c r="D985" s="42"/>
      <c r="E985" s="42"/>
      <c r="F985" s="42"/>
      <c r="G985" s="42"/>
    </row>
    <row r="986">
      <c r="D986" s="42"/>
      <c r="E986" s="42"/>
      <c r="F986" s="42"/>
      <c r="G986" s="42"/>
    </row>
    <row r="987">
      <c r="D987" s="42"/>
      <c r="E987" s="42"/>
      <c r="F987" s="42"/>
      <c r="G987" s="42"/>
    </row>
    <row r="988">
      <c r="D988" s="42"/>
      <c r="E988" s="42"/>
      <c r="F988" s="42"/>
      <c r="G988" s="42"/>
    </row>
    <row r="989">
      <c r="D989" s="42"/>
      <c r="E989" s="42"/>
      <c r="F989" s="42"/>
      <c r="G989" s="42"/>
    </row>
    <row r="990">
      <c r="D990" s="42"/>
      <c r="E990" s="42"/>
      <c r="F990" s="42"/>
      <c r="G990" s="42"/>
    </row>
    <row r="991">
      <c r="D991" s="42"/>
      <c r="E991" s="42"/>
      <c r="F991" s="42"/>
      <c r="G991" s="42"/>
    </row>
    <row r="992">
      <c r="D992" s="42"/>
      <c r="E992" s="42"/>
      <c r="F992" s="42"/>
      <c r="G992" s="42"/>
    </row>
    <row r="993">
      <c r="D993" s="42"/>
      <c r="E993" s="42"/>
      <c r="F993" s="42"/>
      <c r="G993" s="42"/>
    </row>
    <row r="994">
      <c r="D994" s="42"/>
      <c r="E994" s="42"/>
      <c r="F994" s="42"/>
      <c r="G994" s="42"/>
    </row>
    <row r="995">
      <c r="D995" s="42"/>
      <c r="E995" s="42"/>
      <c r="F995" s="42"/>
      <c r="G995" s="42"/>
    </row>
    <row r="996">
      <c r="D996" s="42"/>
      <c r="E996" s="42"/>
      <c r="F996" s="42"/>
      <c r="G996" s="42"/>
    </row>
    <row r="997">
      <c r="D997" s="42"/>
      <c r="E997" s="42"/>
      <c r="F997" s="42"/>
      <c r="G997" s="42"/>
    </row>
    <row r="998">
      <c r="D998" s="42"/>
      <c r="E998" s="42"/>
      <c r="F998" s="42"/>
      <c r="G998" s="42"/>
    </row>
    <row r="999">
      <c r="D999" s="42"/>
      <c r="E999" s="42"/>
      <c r="F999" s="42"/>
      <c r="G999" s="42"/>
    </row>
    <row r="1000">
      <c r="D1000" s="42"/>
      <c r="E1000" s="42"/>
      <c r="F1000" s="42"/>
      <c r="G1000" s="42"/>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2" max="2" width="45.13"/>
    <col customWidth="1" min="3" max="3" width="60.13"/>
  </cols>
  <sheetData>
    <row r="1">
      <c r="A1" s="16" t="str">
        <f>IFERROR(__xludf.DUMMYFUNCTION("IMPORTRANGE(""https://docs.google.com/spreadsheets/d/""&amp;Config!B1,""Races!A:AX"")"),"Name")</f>
        <v>Name</v>
      </c>
      <c r="B1" s="16" t="str">
        <f>IFERROR(__xludf.DUMMYFUNCTION("""COMPUTED_VALUE"""),"StatBonus")</f>
        <v>StatBonus</v>
      </c>
      <c r="C1" s="42" t="str">
        <f>IFERROR(__xludf.DUMMYFUNCTION("""COMPUTED_VALUE"""),"Ability")</f>
        <v>Ability</v>
      </c>
      <c r="D1" s="16" t="str">
        <f>IFERROR(__xludf.DUMMYFUNCTION("""COMPUTED_VALUE"""),"EntityType")</f>
        <v>EntityType</v>
      </c>
      <c r="E1" s="16" t="str">
        <f>IFERROR(__xludf.DUMMYFUNCTION("""COMPUTED_VALUE"""),"Attack")</f>
        <v>Attack</v>
      </c>
      <c r="F1" s="16" t="str">
        <f>IFERROR(__xludf.DUMMYFUNCTION("""COMPUTED_VALUE"""),"Defense")</f>
        <v>Defense</v>
      </c>
      <c r="G1" s="16" t="str">
        <f>IFERROR(__xludf.DUMMYFUNCTION("""COMPUTED_VALUE"""),"Accuracy")</f>
        <v>Accuracy</v>
      </c>
      <c r="H1" s="16" t="str">
        <f>IFERROR(__xludf.DUMMYFUNCTION("""COMPUTED_VALUE"""),"Charisma")</f>
        <v>Charisma</v>
      </c>
      <c r="I1" s="16" t="str">
        <f>IFERROR(__xludf.DUMMYFUNCTION("""COMPUTED_VALUE"""),"Wisdom")</f>
        <v>Wisdom</v>
      </c>
      <c r="J1" s="16" t="str">
        <f>IFERROR(__xludf.DUMMYFUNCTION("""COMPUTED_VALUE"""),"Constitution")</f>
        <v>Constitution</v>
      </c>
      <c r="K1" s="16" t="str">
        <f>IFERROR(__xludf.DUMMYFUNCTION("""COMPUTED_VALUE"""),"Evasion")</f>
        <v>Evasion</v>
      </c>
      <c r="L1" s="16" t="str">
        <f>IFERROR(__xludf.DUMMYFUNCTION("""COMPUTED_VALUE"""),"Intimidation")</f>
        <v>Intimidation</v>
      </c>
      <c r="M1" s="16" t="str">
        <f>IFERROR(__xludf.DUMMYFUNCTION("""COMPUTED_VALUE"""),"Mobility")</f>
        <v>Mobility</v>
      </c>
      <c r="N1" s="16" t="str">
        <f>IFERROR(__xludf.DUMMYFUNCTION("""COMPUTED_VALUE"""),"HP")</f>
        <v>HP</v>
      </c>
      <c r="O1" s="16" t="str">
        <f>IFERROR(__xludf.DUMMYFUNCTION("""COMPUTED_VALUE"""),"SP")</f>
        <v>SP</v>
      </c>
      <c r="P1" s="16" t="str">
        <f>IFERROR(__xludf.DUMMYFUNCTION("""COMPUTED_VALUE"""),"Hunger")</f>
        <v>Hunger</v>
      </c>
      <c r="Q1" s="16" t="str">
        <f>IFERROR(__xludf.DUMMYFUNCTION("""COMPUTED_VALUE"""),"Thirst")</f>
        <v>Thirst</v>
      </c>
      <c r="R1" s="16" t="str">
        <f>IFERROR(__xludf.DUMMYFUNCTION("""COMPUTED_VALUE"""),"Energy")</f>
        <v>Energy</v>
      </c>
      <c r="S1" s="16" t="str">
        <f>IFERROR(__xludf.DUMMYFUNCTION("""COMPUTED_VALUE"""),"Fire")</f>
        <v>Fire</v>
      </c>
      <c r="T1" s="16" t="str">
        <f>IFERROR(__xludf.DUMMYFUNCTION("""COMPUTED_VALUE"""),"Water")</f>
        <v>Water</v>
      </c>
      <c r="U1" s="16" t="str">
        <f>IFERROR(__xludf.DUMMYFUNCTION("""COMPUTED_VALUE"""),"Storm")</f>
        <v>Storm</v>
      </c>
      <c r="V1" s="16" t="str">
        <f>IFERROR(__xludf.DUMMYFUNCTION("""COMPUTED_VALUE"""),"Earth")</f>
        <v>Earth</v>
      </c>
      <c r="W1" s="16" t="str">
        <f>IFERROR(__xludf.DUMMYFUNCTION("""COMPUTED_VALUE"""),"Light")</f>
        <v>Light</v>
      </c>
      <c r="X1" s="16" t="str">
        <f>IFERROR(__xludf.DUMMYFUNCTION("""COMPUTED_VALUE"""),"Dark")</f>
        <v>Dark</v>
      </c>
      <c r="Y1" s="16" t="str">
        <f>IFERROR(__xludf.DUMMYFUNCTION("""COMPUTED_VALUE"""),"Spirit")</f>
        <v>Spirit</v>
      </c>
      <c r="Z1" s="16" t="str">
        <f>IFERROR(__xludf.DUMMYFUNCTION("""COMPUTED_VALUE"""),"Order")</f>
        <v>Order</v>
      </c>
      <c r="AA1" s="16" t="str">
        <f>IFERROR(__xludf.DUMMYFUNCTION("""COMPUTED_VALUE"""),"Chaos")</f>
        <v>Chaos</v>
      </c>
      <c r="AB1" s="16" t="str">
        <f>IFERROR(__xludf.DUMMYFUNCTION("""COMPUTED_VALUE"""),"Nature")</f>
        <v>Nature</v>
      </c>
      <c r="AC1" s="16" t="str">
        <f>IFERROR(__xludf.DUMMYFUNCTION("""COMPUTED_VALUE"""),"Physical")</f>
        <v>Physical</v>
      </c>
      <c r="AD1" s="16" t="str">
        <f>IFERROR(__xludf.DUMMYFUNCTION("""COMPUTED_VALUE"""),"Melee")</f>
        <v>Melee</v>
      </c>
      <c r="AE1" s="16" t="str">
        <f>IFERROR(__xludf.DUMMYFUNCTION("""COMPUTED_VALUE"""),"Ranged")</f>
        <v>Ranged</v>
      </c>
      <c r="AF1" s="16" t="str">
        <f>IFERROR(__xludf.DUMMYFUNCTION("""COMPUTED_VALUE"""),"Stasis")</f>
        <v>Stasis</v>
      </c>
      <c r="AG1" s="16" t="str">
        <f>IFERROR(__xludf.DUMMYFUNCTION("""COMPUTED_VALUE"""),"Twilight")</f>
        <v>Twilight</v>
      </c>
      <c r="AH1" s="16" t="str">
        <f>IFERROR(__xludf.DUMMYFUNCTION("""COMPUTED_VALUE"""),"Voodoo")</f>
        <v>Voodoo</v>
      </c>
      <c r="AI1" s="16" t="str">
        <f>IFERROR(__xludf.DUMMYFUNCTION("""COMPUTED_VALUE"""),"Blood")</f>
        <v>Blood</v>
      </c>
      <c r="AJ1" s="16" t="str">
        <f>IFERROR(__xludf.DUMMYFUNCTION("""COMPUTED_VALUE"""),"Delta")</f>
        <v>Delta</v>
      </c>
      <c r="AK1" s="16" t="str">
        <f>IFERROR(__xludf.DUMMYFUNCTION("""COMPUTED_VALUE"""),"Zen")</f>
        <v>Zen</v>
      </c>
      <c r="AL1" s="16" t="str">
        <f>IFERROR(__xludf.DUMMYFUNCTION("""COMPUTED_VALUE"""),"Time")</f>
        <v>Time</v>
      </c>
      <c r="AM1" s="16" t="str">
        <f>IFERROR(__xludf.DUMMYFUNCTION("""COMPUTED_VALUE"""),"Astral")</f>
        <v>Astral</v>
      </c>
      <c r="AN1" s="16" t="str">
        <f>IFERROR(__xludf.DUMMYFUNCTION("""COMPUTED_VALUE"""),"Celestial")</f>
        <v>Celestial</v>
      </c>
      <c r="AO1" s="16" t="str">
        <f>IFERROR(__xludf.DUMMYFUNCTION("""COMPUTED_VALUE"""),"Acoustic")</f>
        <v>Acoustic</v>
      </c>
      <c r="AP1" s="16"/>
      <c r="AQ1" s="16"/>
      <c r="AR1" s="16"/>
      <c r="AS1" s="16"/>
      <c r="AT1" s="16"/>
      <c r="AU1" s="16"/>
      <c r="AV1" s="16"/>
      <c r="AW1" s="16"/>
      <c r="AX1" s="16"/>
    </row>
    <row r="2">
      <c r="A2" s="16" t="str">
        <f>IFERROR(__xludf.DUMMYFUNCTION("""COMPUTED_VALUE"""),"Angel")</f>
        <v>Angel</v>
      </c>
      <c r="B2" s="16" t="str">
        <f>IFERROR(__xludf.DUMMYFUNCTION("""COMPUTED_VALUE"""),"+7 Charisma, +7 Constitution")</f>
        <v>+7 Charisma, +7 Constitution</v>
      </c>
      <c r="C2" s="42" t="str">
        <f>IFERROR(__xludf.DUMMYFUNCTION("""COMPUTED_VALUE"""),"Restricted Race: (Must unlock the Solreach Expansion to use this race)
X8 Light and Order Damage.
Immune to Light and Order.")</f>
        <v>Restricted Race: (Must unlock the Solreach Expansion to use this race)
X8 Light and Order Damage.
Immune to Light and Order.</v>
      </c>
      <c r="D2" s="119" t="str">
        <f>IFERROR(__xludf.DUMMYFUNCTION("""COMPUTED_VALUE"""),"Heavenly")</f>
        <v>Heavenly</v>
      </c>
      <c r="E2" s="16"/>
      <c r="F2" s="16"/>
      <c r="G2" s="16"/>
      <c r="H2" s="16">
        <f>IFERROR(__xludf.DUMMYFUNCTION("""COMPUTED_VALUE"""),4.0)</f>
        <v>4</v>
      </c>
      <c r="I2" s="16"/>
      <c r="J2" s="16">
        <f>IFERROR(__xludf.DUMMYFUNCTION("""COMPUTED_VALUE"""),1.0)</f>
        <v>1</v>
      </c>
      <c r="K2" s="16"/>
      <c r="L2" s="16"/>
      <c r="M2" s="16"/>
      <c r="N2" s="16"/>
      <c r="O2" s="16"/>
      <c r="P2" s="16"/>
      <c r="Q2" s="16"/>
      <c r="R2" s="16"/>
      <c r="S2" s="16"/>
      <c r="T2" s="16"/>
      <c r="U2" s="16"/>
      <c r="V2" s="16"/>
      <c r="W2" s="16">
        <f>IFERROR(__xludf.DUMMYFUNCTION("""COMPUTED_VALUE"""),1.0)</f>
        <v>1</v>
      </c>
      <c r="X2" s="16"/>
      <c r="Y2" s="16"/>
      <c r="Z2" s="16">
        <f>IFERROR(__xludf.DUMMYFUNCTION("""COMPUTED_VALUE"""),1.0)</f>
        <v>1</v>
      </c>
      <c r="AA2" s="16"/>
      <c r="AB2" s="16"/>
      <c r="AC2" s="16"/>
      <c r="AD2" s="16"/>
      <c r="AE2" s="16"/>
      <c r="AF2" s="16"/>
      <c r="AG2" s="16"/>
      <c r="AH2" s="16"/>
      <c r="AI2" s="16"/>
      <c r="AJ2" s="16"/>
      <c r="AK2" s="16"/>
      <c r="AL2" s="16"/>
      <c r="AM2" s="16"/>
      <c r="AN2" s="16"/>
      <c r="AO2" s="16"/>
      <c r="AP2" s="16"/>
      <c r="AQ2" s="16"/>
      <c r="AR2" s="16"/>
      <c r="AS2" s="16"/>
      <c r="AT2" s="16"/>
      <c r="AU2" s="16"/>
      <c r="AV2" s="16"/>
      <c r="AW2" s="16"/>
      <c r="AX2" s="16"/>
    </row>
    <row r="3">
      <c r="A3" s="16" t="str">
        <f>IFERROR(__xludf.DUMMYFUNCTION("""COMPUTED_VALUE"""),"Beastfolk")</f>
        <v>Beastfolk</v>
      </c>
      <c r="B3" s="16" t="str">
        <f>IFERROR(__xludf.DUMMYFUNCTION("""COMPUTED_VALUE"""),"+3 Mobility, +4 Constition, +3 Evasion")</f>
        <v>+3 Mobility, +4 Constition, +3 Evasion</v>
      </c>
      <c r="C3" s="42" t="str">
        <f>IFERROR(__xludf.DUMMYFUNCTION("""COMPUTED_VALUE"""),"Start with the ability Were-Form
Roll a d20 (unaffected by roll bonuses) at the beginning of battle and each of your turns, 10 or lower = Normal-Form, 11 or higher = Were-Form/Stay in Were-Form. 11 or higher - Your base stats are all doubled and your perk"&amp;"s get +5, 10 or lower = Return to normal, This ability lasts until the end of battle.
Dark vision")</f>
        <v>Start with the ability Were-Form
Roll a d20 (unaffected by roll bonuses) at the beginning of battle and each of your turns, 10 or lower = Normal-Form, 11 or higher = Were-Form/Stay in Were-Form. 11 or higher - Your base stats are all doubled and your perks get +5, 10 or lower = Return to normal, This ability lasts until the end of battle.
Dark vision</v>
      </c>
      <c r="D3" s="16" t="str">
        <f>IFERROR(__xludf.DUMMYFUNCTION("""COMPUTED_VALUE"""),"Humanoid")</f>
        <v>Humanoid</v>
      </c>
      <c r="E3" s="16"/>
      <c r="F3" s="16"/>
      <c r="G3" s="16"/>
      <c r="H3" s="16"/>
      <c r="I3" s="16"/>
      <c r="J3" s="16">
        <f>IFERROR(__xludf.DUMMYFUNCTION("""COMPUTED_VALUE"""),4.0)</f>
        <v>4</v>
      </c>
      <c r="K3" s="16">
        <f>IFERROR(__xludf.DUMMYFUNCTION("""COMPUTED_VALUE"""),3.0)</f>
        <v>3</v>
      </c>
      <c r="L3" s="16"/>
      <c r="M3" s="16">
        <f>IFERROR(__xludf.DUMMYFUNCTION("""COMPUTED_VALUE"""),3.0)</f>
        <v>3</v>
      </c>
      <c r="N3" s="16"/>
      <c r="O3" s="16"/>
      <c r="P3" s="16"/>
      <c r="Q3" s="16"/>
      <c r="R3" s="16"/>
      <c r="S3" s="16"/>
      <c r="T3" s="16"/>
      <c r="U3" s="16"/>
      <c r="V3" s="16"/>
      <c r="W3" s="16"/>
      <c r="X3" s="16"/>
      <c r="Y3" s="16"/>
      <c r="Z3" s="16"/>
      <c r="AA3" s="16"/>
      <c r="AB3" s="16"/>
      <c r="AC3" s="16"/>
      <c r="AD3" s="16"/>
      <c r="AE3" s="16"/>
      <c r="AF3" s="16"/>
      <c r="AG3" s="16"/>
      <c r="AH3" s="16"/>
      <c r="AI3" s="16"/>
      <c r="AJ3" s="16"/>
      <c r="AK3" s="16"/>
      <c r="AL3" s="16"/>
      <c r="AM3" s="16"/>
      <c r="AN3" s="16"/>
      <c r="AO3" s="16"/>
      <c r="AP3" s="16"/>
      <c r="AQ3" s="16"/>
      <c r="AR3" s="16"/>
      <c r="AS3" s="16"/>
      <c r="AT3" s="16"/>
      <c r="AU3" s="16"/>
      <c r="AV3" s="16"/>
      <c r="AW3" s="16"/>
      <c r="AX3" s="16"/>
    </row>
    <row r="4">
      <c r="A4" s="16" t="str">
        <f>IFERROR(__xludf.DUMMYFUNCTION("""COMPUTED_VALUE"""),"Blood Elf")</f>
        <v>Blood Elf</v>
      </c>
      <c r="B4" s="16" t="str">
        <f>IFERROR(__xludf.DUMMYFUNCTION("""COMPUTED_VALUE"""),"+5 Charisma, +3 Wisdom")</f>
        <v>+5 Charisma, +3 Wisdom</v>
      </c>
      <c r="C4" s="42" t="str">
        <f>IFERROR(__xludf.DUMMYFUNCTION("""COMPUTED_VALUE"""),"Can use HP to pay an SP cost.
Half the HP costs for Blood Spells, and Half the SP costs for Dark, Chaos, and Voodoo Spells.")</f>
        <v>Can use HP to pay an SP cost.
Half the HP costs for Blood Spells, and Half the SP costs for Dark, Chaos, and Voodoo Spells.</v>
      </c>
      <c r="D4" s="16" t="str">
        <f>IFERROR(__xludf.DUMMYFUNCTION("""COMPUTED_VALUE"""),"Fae")</f>
        <v>Fae</v>
      </c>
      <c r="E4" s="16"/>
      <c r="F4" s="16"/>
      <c r="G4" s="16"/>
      <c r="H4" s="16">
        <f>IFERROR(__xludf.DUMMYFUNCTION("""COMPUTED_VALUE"""),5.0)</f>
        <v>5</v>
      </c>
      <c r="I4" s="16">
        <f>IFERROR(__xludf.DUMMYFUNCTION("""COMPUTED_VALUE"""),3.0)</f>
        <v>3</v>
      </c>
      <c r="J4" s="16"/>
      <c r="K4" s="16"/>
      <c r="L4" s="16"/>
      <c r="M4" s="16"/>
      <c r="N4" s="16"/>
      <c r="O4" s="16"/>
      <c r="P4" s="16"/>
      <c r="Q4" s="16"/>
      <c r="R4" s="16"/>
      <c r="S4" s="16"/>
      <c r="T4" s="16"/>
      <c r="U4" s="16"/>
      <c r="V4" s="16"/>
      <c r="W4" s="16"/>
      <c r="X4" s="16"/>
      <c r="Y4" s="16"/>
      <c r="Z4" s="16"/>
      <c r="AA4" s="16"/>
      <c r="AB4" s="16"/>
      <c r="AC4" s="16"/>
      <c r="AD4" s="16"/>
      <c r="AE4" s="16"/>
      <c r="AF4" s="16"/>
      <c r="AG4" s="16"/>
      <c r="AH4" s="16"/>
      <c r="AI4" s="16"/>
      <c r="AJ4" s="16"/>
      <c r="AK4" s="16"/>
      <c r="AL4" s="16"/>
      <c r="AM4" s="16"/>
      <c r="AN4" s="16"/>
      <c r="AO4" s="16"/>
      <c r="AP4" s="16"/>
      <c r="AQ4" s="16"/>
      <c r="AR4" s="16"/>
      <c r="AS4" s="16"/>
      <c r="AT4" s="16"/>
      <c r="AU4" s="16"/>
      <c r="AV4" s="16"/>
      <c r="AW4" s="16"/>
      <c r="AX4" s="16"/>
    </row>
    <row r="5">
      <c r="A5" s="16" t="str">
        <f>IFERROR(__xludf.DUMMYFUNCTION("""COMPUTED_VALUE"""),"Celestial")</f>
        <v>Celestial</v>
      </c>
      <c r="B5" s="16" t="str">
        <f>IFERROR(__xludf.DUMMYFUNCTION("""COMPUTED_VALUE"""),"+7 Wisdom, +7 Charisma")</f>
        <v>+7 Wisdom, +7 Charisma</v>
      </c>
      <c r="C5" s="42" t="str">
        <f>IFERROR(__xludf.DUMMYFUNCTION("""COMPUTED_VALUE"""),"Restricted Race: (Must unlock the Solreach Expansion to use this race)
X8 Celestial Damage.
Immune to Celestial damage.")</f>
        <v>Restricted Race: (Must unlock the Solreach Expansion to use this race)
X8 Celestial Damage.
Immune to Celestial damage.</v>
      </c>
      <c r="D5" s="16" t="str">
        <f>IFERROR(__xludf.DUMMYFUNCTION("""COMPUTED_VALUE"""),"Heavenly")</f>
        <v>Heavenly</v>
      </c>
      <c r="E5" s="16"/>
      <c r="F5" s="16"/>
      <c r="G5" s="16"/>
      <c r="H5" s="16">
        <f>IFERROR(__xludf.DUMMYFUNCTION("""COMPUTED_VALUE"""),8.0)</f>
        <v>8</v>
      </c>
      <c r="I5" s="16">
        <f>IFERROR(__xludf.DUMMYFUNCTION("""COMPUTED_VALUE"""),8.0)</f>
        <v>8</v>
      </c>
      <c r="J5" s="16"/>
      <c r="K5" s="16"/>
      <c r="L5" s="16"/>
      <c r="M5" s="16"/>
      <c r="N5" s="16"/>
      <c r="O5" s="16"/>
      <c r="P5" s="16"/>
      <c r="Q5" s="16"/>
      <c r="R5" s="16"/>
      <c r="S5" s="16"/>
      <c r="T5" s="16"/>
      <c r="U5" s="16"/>
      <c r="V5" s="16"/>
      <c r="W5" s="16"/>
      <c r="X5" s="16"/>
      <c r="Y5" s="16"/>
      <c r="Z5" s="16"/>
      <c r="AA5" s="16"/>
      <c r="AB5" s="16"/>
      <c r="AC5" s="16"/>
      <c r="AD5" s="16"/>
      <c r="AE5" s="16"/>
      <c r="AF5" s="16"/>
      <c r="AG5" s="16"/>
      <c r="AH5" s="16"/>
      <c r="AI5" s="16"/>
      <c r="AJ5" s="16"/>
      <c r="AK5" s="16"/>
      <c r="AL5" s="16"/>
      <c r="AM5" s="16"/>
      <c r="AN5" s="16">
        <f>IFERROR(__xludf.DUMMYFUNCTION("""COMPUTED_VALUE"""),3.0)</f>
        <v>3</v>
      </c>
      <c r="AO5" s="16"/>
      <c r="AP5" s="16"/>
      <c r="AQ5" s="16"/>
      <c r="AR5" s="16"/>
      <c r="AS5" s="16"/>
      <c r="AT5" s="16"/>
      <c r="AU5" s="16"/>
      <c r="AV5" s="16"/>
      <c r="AW5" s="16"/>
      <c r="AX5" s="16"/>
    </row>
    <row r="6">
      <c r="A6" s="16" t="str">
        <f>IFERROR(__xludf.DUMMYFUNCTION("""COMPUTED_VALUE"""),"DayWalker")</f>
        <v>DayWalker</v>
      </c>
      <c r="B6" s="16" t="str">
        <f>IFERROR(__xludf.DUMMYFUNCTION("""COMPUTED_VALUE"""),"+3 Mobility, +3 Evasion, +2 Constitution")</f>
        <v>+3 Mobility, +3 Evasion, +2 Constitution</v>
      </c>
      <c r="C6" s="42" t="str">
        <f>IFERROR(__xludf.DUMMYFUNCTION("""COMPUTED_VALUE"""),"Take half damage from Fire and Light.
Vulnerable 100 to water ")</f>
        <v>Take half damage from Fire and Light.
Vulnerable 100 to water </v>
      </c>
      <c r="D6" s="16" t="str">
        <f>IFERROR(__xludf.DUMMYFUNCTION("""COMPUTED_VALUE"""),"Undead")</f>
        <v>Undead</v>
      </c>
      <c r="E6" s="16"/>
      <c r="F6" s="16"/>
      <c r="G6" s="16"/>
      <c r="H6" s="16"/>
      <c r="I6" s="16"/>
      <c r="J6" s="16">
        <f>IFERROR(__xludf.DUMMYFUNCTION("""COMPUTED_VALUE"""),2.0)</f>
        <v>2</v>
      </c>
      <c r="K6" s="16">
        <f>IFERROR(__xludf.DUMMYFUNCTION("""COMPUTED_VALUE"""),3.0)</f>
        <v>3</v>
      </c>
      <c r="L6" s="16"/>
      <c r="M6" s="16">
        <f>IFERROR(__xludf.DUMMYFUNCTION("""COMPUTED_VALUE"""),3.0)</f>
        <v>3</v>
      </c>
      <c r="N6" s="16"/>
      <c r="O6" s="16"/>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row>
    <row r="7">
      <c r="A7" s="16" t="str">
        <f>IFERROR(__xludf.DUMMYFUNCTION("""COMPUTED_VALUE"""),"Demon")</f>
        <v>Demon</v>
      </c>
      <c r="B7" s="16" t="str">
        <f>IFERROR(__xludf.DUMMYFUNCTION("""COMPUTED_VALUE"""),"+12 Intimidation")</f>
        <v>+12 Intimidation</v>
      </c>
      <c r="C7" s="42" t="str">
        <f>IFERROR(__xludf.DUMMYFUNCTION("""COMPUTED_VALUE"""),"Restricted Race: (Must unlock the Abstara Expansion to use this race)
X2 Fire Damage.
Immune to Fire.
Has dark-vision. ")</f>
        <v>Restricted Race: (Must unlock the Abstara Expansion to use this race)
X2 Fire Damage.
Immune to Fire.
Has dark-vision. </v>
      </c>
      <c r="D7" s="16" t="str">
        <f>IFERROR(__xludf.DUMMYFUNCTION("""COMPUTED_VALUE"""),"Demonic")</f>
        <v>Demonic</v>
      </c>
      <c r="E7" s="16"/>
      <c r="F7" s="16"/>
      <c r="G7" s="16"/>
      <c r="H7" s="16"/>
      <c r="I7" s="16"/>
      <c r="J7" s="16"/>
      <c r="K7" s="16"/>
      <c r="L7" s="16">
        <f>IFERROR(__xludf.DUMMYFUNCTION("""COMPUTED_VALUE"""),12.0)</f>
        <v>12</v>
      </c>
      <c r="M7" s="16"/>
      <c r="N7" s="16"/>
      <c r="O7" s="16"/>
      <c r="P7" s="16"/>
      <c r="Q7" s="16"/>
      <c r="R7" s="16"/>
      <c r="S7" s="16">
        <f>IFERROR(__xludf.DUMMYFUNCTION("""COMPUTED_VALUE"""),1.0)</f>
        <v>1</v>
      </c>
      <c r="T7" s="16"/>
      <c r="U7" s="16"/>
      <c r="V7" s="16"/>
      <c r="W7" s="16"/>
      <c r="X7" s="16">
        <f>IFERROR(__xludf.DUMMYFUNCTION("""COMPUTED_VALUE"""),1.0)</f>
        <v>1</v>
      </c>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
    </row>
    <row r="8">
      <c r="A8" s="16" t="str">
        <f>IFERROR(__xludf.DUMMYFUNCTION("""COMPUTED_VALUE"""),"Devil")</f>
        <v>Devil</v>
      </c>
      <c r="B8" s="16" t="str">
        <f>IFERROR(__xludf.DUMMYFUNCTION("""COMPUTED_VALUE"""),"+6 Mobility +6 Wisdom")</f>
        <v>+6 Mobility +6 Wisdom</v>
      </c>
      <c r="C8" s="42" t="str">
        <f>IFERROR(__xludf.DUMMYFUNCTION("""COMPUTED_VALUE"""),"Restricted Race: (Must unlock the Abstara Expansion to use this race)
Can consume a Soul to Double your ATK, DEF, and ACC for 2 rounds
When using a Scythe you have a 25% chance to inflict an enemy with 30,000 Soulburn
Immune to Fire
Has dark-vision")</f>
        <v>Restricted Race: (Must unlock the Abstara Expansion to use this race)
Can consume a Soul to Double your ATK, DEF, and ACC for 2 rounds
When using a Scythe you have a 25% chance to inflict an enemy with 30,000 Soulburn
Immune to Fire
Has dark-vision</v>
      </c>
      <c r="D8" s="16" t="str">
        <f>IFERROR(__xludf.DUMMYFUNCTION("""COMPUTED_VALUE"""),"Demonic")</f>
        <v>Demonic</v>
      </c>
      <c r="E8" s="16"/>
      <c r="F8" s="16"/>
      <c r="G8" s="16"/>
      <c r="H8" s="16"/>
      <c r="I8" s="16">
        <f>IFERROR(__xludf.DUMMYFUNCTION("""COMPUTED_VALUE"""),6.0)</f>
        <v>6</v>
      </c>
      <c r="J8" s="16"/>
      <c r="K8" s="16"/>
      <c r="L8" s="16"/>
      <c r="M8" s="16">
        <f>IFERROR(__xludf.DUMMYFUNCTION("""COMPUTED_VALUE"""),6.0)</f>
        <v>6</v>
      </c>
      <c r="N8" s="16"/>
      <c r="O8" s="16"/>
      <c r="P8" s="16"/>
      <c r="Q8" s="16"/>
      <c r="R8" s="16"/>
      <c r="S8" s="16"/>
      <c r="T8" s="16"/>
      <c r="U8" s="16"/>
      <c r="V8" s="16"/>
      <c r="W8" s="16"/>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row>
    <row r="9">
      <c r="A9" s="16" t="str">
        <f>IFERROR(__xludf.DUMMYFUNCTION("""COMPUTED_VALUE"""),"Dragonian")</f>
        <v>Dragonian</v>
      </c>
      <c r="B9" s="16" t="str">
        <f>IFERROR(__xludf.DUMMYFUNCTION("""COMPUTED_VALUE"""),"+3 Mobility +3 Evasion +4 Wisdom")</f>
        <v>+3 Mobility +3 Evasion +4 Wisdom</v>
      </c>
      <c r="C9" s="42" t="str">
        <f>IFERROR(__xludf.DUMMYFUNCTION("""COMPUTED_VALUE"""),"Restricted Race: (Must complete the quest ""Reviving Thundertail Falls"" in Dragonscale Island Expansion to use this Race)
Gain the ""Dragon's Breath Power""
Flaming Aura - When you are attacked or killed the enemy will take Burn 10,000 per round.
Flame W"&amp;"ard - When ""Flaming Aura"" activates and the enemy is under the effect of Burn, You act under the effect of  Haste ∞, and the enemy acts under the effect of Rampage ∞ as long as you are still alive.   
X4 Fire and Natural Attack Damage.
Has dark-vision
I"&amp;"mmune to Fire and Chaos Damage.")</f>
        <v>Restricted Race: (Must complete the quest "Reviving Thundertail Falls" in Dragonscale Island Expansion to use this Race)
Gain the "Dragon's Breath Power"
Flaming Aura - When you are attacked or killed the enemy will take Burn 10,000 per round.
Flame Ward - When "Flaming Aura" activates and the enemy is under the effect of Burn, You act under the effect of  Haste ∞, and the enemy acts under the effect of Rampage ∞ as long as you are still alive.   
X4 Fire and Natural Attack Damage.
Has dark-vision
Immune to Fire and Chaos Damage.</v>
      </c>
      <c r="D9" s="16" t="str">
        <f>IFERROR(__xludf.DUMMYFUNCTION("""COMPUTED_VALUE"""),"Draconic")</f>
        <v>Draconic</v>
      </c>
      <c r="E9" s="16"/>
      <c r="F9" s="16"/>
      <c r="G9" s="16"/>
      <c r="H9" s="16"/>
      <c r="I9" s="16">
        <f>IFERROR(__xludf.DUMMYFUNCTION("""COMPUTED_VALUE"""),4.0)</f>
        <v>4</v>
      </c>
      <c r="J9" s="16"/>
      <c r="K9" s="16">
        <f>IFERROR(__xludf.DUMMYFUNCTION("""COMPUTED_VALUE"""),2.0)</f>
        <v>2</v>
      </c>
      <c r="L9" s="16"/>
      <c r="M9" s="16">
        <f>IFERROR(__xludf.DUMMYFUNCTION("""COMPUTED_VALUE"""),2.0)</f>
        <v>2</v>
      </c>
      <c r="N9" s="16"/>
      <c r="O9" s="16"/>
      <c r="P9" s="16"/>
      <c r="Q9" s="16"/>
      <c r="R9" s="16"/>
      <c r="S9" s="16">
        <f>IFERROR(__xludf.DUMMYFUNCTION("""COMPUTED_VALUE"""),1.0)</f>
        <v>1</v>
      </c>
      <c r="T9" s="16"/>
      <c r="U9" s="16"/>
      <c r="V9" s="16"/>
      <c r="W9" s="16"/>
      <c r="X9" s="16"/>
      <c r="Y9" s="16"/>
      <c r="Z9" s="16"/>
      <c r="AA9" s="16">
        <f>IFERROR(__xludf.DUMMYFUNCTION("""COMPUTED_VALUE"""),1.0)</f>
        <v>1</v>
      </c>
      <c r="AB9" s="16"/>
      <c r="AC9" s="16"/>
      <c r="AD9" s="16"/>
      <c r="AE9" s="16"/>
      <c r="AF9" s="16"/>
      <c r="AG9" s="16"/>
      <c r="AH9" s="16"/>
      <c r="AI9" s="16"/>
      <c r="AJ9" s="16"/>
      <c r="AK9" s="16"/>
      <c r="AL9" s="16"/>
      <c r="AM9" s="16"/>
      <c r="AN9" s="16"/>
      <c r="AO9" s="16"/>
      <c r="AP9" s="16"/>
      <c r="AQ9" s="16"/>
      <c r="AR9" s="16"/>
      <c r="AS9" s="16"/>
      <c r="AT9" s="16"/>
      <c r="AU9" s="16"/>
      <c r="AV9" s="16"/>
      <c r="AW9" s="16"/>
      <c r="AX9" s="16"/>
    </row>
    <row r="10">
      <c r="A10" s="16" t="str">
        <f>IFERROR(__xludf.DUMMYFUNCTION("""COMPUTED_VALUE"""),"Dryad")</f>
        <v>Dryad</v>
      </c>
      <c r="B10" s="16" t="str">
        <f>IFERROR(__xludf.DUMMYFUNCTION("""COMPUTED_VALUE"""),"+8 Constitution")</f>
        <v>+8 Constitution</v>
      </c>
      <c r="C10" s="42" t="str">
        <f>IFERROR(__xludf.DUMMYFUNCTION("""COMPUTED_VALUE"""),"Immune to water and nature.
Nature Spells Costs half the normal SP cost.
50 HP and SP per round in battle while in a woodland environment.")</f>
        <v>Immune to water and nature.
Nature Spells Costs half the normal SP cost.
50 HP and SP per round in battle while in a woodland environment.</v>
      </c>
      <c r="D10" s="16" t="str">
        <f>IFERROR(__xludf.DUMMYFUNCTION("""COMPUTED_VALUE"""),"Fae")</f>
        <v>Fae</v>
      </c>
      <c r="E10" s="16"/>
      <c r="F10" s="16"/>
      <c r="G10" s="16"/>
      <c r="H10" s="16"/>
      <c r="I10" s="16"/>
      <c r="J10" s="16">
        <f>IFERROR(__xludf.DUMMYFUNCTION("""COMPUTED_VALUE"""),8.0)</f>
        <v>8</v>
      </c>
      <c r="K10" s="16"/>
      <c r="L10" s="16"/>
      <c r="M10" s="16"/>
      <c r="N10" s="16"/>
      <c r="O10" s="16"/>
      <c r="P10" s="16"/>
      <c r="Q10" s="16"/>
      <c r="R10" s="16"/>
      <c r="S10" s="16"/>
      <c r="T10" s="16"/>
      <c r="U10" s="16"/>
      <c r="V10" s="16"/>
      <c r="W10" s="16"/>
      <c r="X10" s="16"/>
      <c r="Y10" s="16"/>
      <c r="Z10" s="16"/>
      <c r="AA10" s="16"/>
      <c r="AB10" s="16"/>
      <c r="AC10" s="16"/>
      <c r="AD10" s="16"/>
      <c r="AE10" s="16"/>
      <c r="AF10" s="16"/>
      <c r="AG10" s="16"/>
      <c r="AH10" s="16"/>
      <c r="AI10" s="16"/>
      <c r="AJ10" s="16"/>
      <c r="AK10" s="16"/>
      <c r="AL10" s="16"/>
      <c r="AM10" s="16"/>
      <c r="AN10" s="16"/>
      <c r="AO10" s="16"/>
      <c r="AP10" s="16"/>
      <c r="AQ10" s="16"/>
      <c r="AR10" s="16"/>
      <c r="AS10" s="16"/>
      <c r="AT10" s="16"/>
      <c r="AU10" s="16"/>
      <c r="AV10" s="16"/>
      <c r="AW10" s="16"/>
      <c r="AX10" s="16"/>
    </row>
    <row r="11">
      <c r="A11" s="16" t="str">
        <f>IFERROR(__xludf.DUMMYFUNCTION("""COMPUTED_VALUE"""),"Dwarf")</f>
        <v>Dwarf</v>
      </c>
      <c r="B11" s="16" t="str">
        <f>IFERROR(__xludf.DUMMYFUNCTION("""COMPUTED_VALUE"""),"+6 Constitution, +2 Wisdom, ")</f>
        <v>+6 Constitution, +2 Wisdom, </v>
      </c>
      <c r="C11" s="42" t="str">
        <f>IFERROR(__xludf.DUMMYFUNCTION("""COMPUTED_VALUE"""),"Starts with the ability Blacksmith
+5 to forging rolls.
Can roll a d40 when attacking with a forged weapon.
Has dark-vision")</f>
        <v>Starts with the ability Blacksmith
+5 to forging rolls.
Can roll a d40 when attacking with a forged weapon.
Has dark-vision</v>
      </c>
      <c r="D11" s="16" t="str">
        <f>IFERROR(__xludf.DUMMYFUNCTION("""COMPUTED_VALUE"""),"Humanoid")</f>
        <v>Humanoid</v>
      </c>
      <c r="E11" s="16"/>
      <c r="F11" s="16"/>
      <c r="G11" s="16"/>
      <c r="H11" s="16"/>
      <c r="I11" s="16">
        <f>IFERROR(__xludf.DUMMYFUNCTION("""COMPUTED_VALUE"""),2.0)</f>
        <v>2</v>
      </c>
      <c r="J11" s="16">
        <f>IFERROR(__xludf.DUMMYFUNCTION("""COMPUTED_VALUE"""),6.0)</f>
        <v>6</v>
      </c>
      <c r="K11" s="16"/>
      <c r="L11" s="16"/>
      <c r="M11" s="16"/>
      <c r="N11" s="16"/>
      <c r="O11" s="16"/>
      <c r="P11" s="16"/>
      <c r="Q11" s="16"/>
      <c r="R11" s="16"/>
      <c r="S11" s="16"/>
      <c r="T11" s="16"/>
      <c r="U11" s="16"/>
      <c r="V11" s="16"/>
      <c r="W11" s="16"/>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row>
    <row r="12">
      <c r="A12" s="16" t="str">
        <f>IFERROR(__xludf.DUMMYFUNCTION("""COMPUTED_VALUE"""),"Frogonian")</f>
        <v>Frogonian</v>
      </c>
      <c r="B12" s="16" t="str">
        <f>IFERROR(__xludf.DUMMYFUNCTION("""COMPUTED_VALUE"""),"+5 Mobility, +5 Evasion")</f>
        <v>+5 Mobility, +5 Evasion</v>
      </c>
      <c r="C12" s="42" t="str">
        <f>IFERROR(__xludf.DUMMYFUNCTION("""COMPUTED_VALUE"""),"Restricted Race: (Must complete the quest ""TBD"" in Dragonscale Island Expansion to use this Race)
While being Concealed you act under the effects of Haste and Truesight.
Has dark-vision. ")</f>
        <v>Restricted Race: (Must complete the quest "TBD" in Dragonscale Island Expansion to use this Race)
While being Concealed you act under the effects of Haste and Truesight.
Has dark-vision. </v>
      </c>
      <c r="D12" s="16" t="str">
        <f>IFERROR(__xludf.DUMMYFUNCTION("""COMPUTED_VALUE"""),"Humanoid")</f>
        <v>Humanoid</v>
      </c>
      <c r="E12" s="16"/>
      <c r="F12" s="16"/>
      <c r="G12" s="16"/>
      <c r="H12" s="16"/>
      <c r="I12" s="16"/>
      <c r="J12" s="16"/>
      <c r="K12" s="16">
        <f>IFERROR(__xludf.DUMMYFUNCTION("""COMPUTED_VALUE"""),5.0)</f>
        <v>5</v>
      </c>
      <c r="L12" s="16"/>
      <c r="M12" s="16">
        <f>IFERROR(__xludf.DUMMYFUNCTION("""COMPUTED_VALUE"""),5.0)</f>
        <v>5</v>
      </c>
      <c r="N12" s="16"/>
      <c r="O12" s="16"/>
      <c r="P12" s="16"/>
      <c r="Q12" s="16"/>
      <c r="R12" s="16"/>
      <c r="S12" s="16"/>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row>
    <row r="13">
      <c r="A13" s="16" t="str">
        <f>IFERROR(__xludf.DUMMYFUNCTION("""COMPUTED_VALUE"""),"Gargoyle")</f>
        <v>Gargoyle</v>
      </c>
      <c r="B13" s="16" t="str">
        <f>IFERROR(__xludf.DUMMYFUNCTION("""COMPUTED_VALUE"""),"+12 Constitution")</f>
        <v>+12 Constitution</v>
      </c>
      <c r="C13" s="42" t="str">
        <f>IFERROR(__xludf.DUMMYFUNCTION("""COMPUTED_VALUE"""),"Restricted Race: (Must unlock the Abstara Expansion to use this race)
Has dark-vision. 
This race has 2 forms, Hardened Form, and Normal Form.
Hardened Form: 50% chance to become hardened while it is day time during travel until the end of the current jou"&amp;"rney, while hardened you are completely unresponsive and you will gain X10 defense.
Normal Form: you have no penalties while it is night time.
When you are attacked with a natural/weapon attack their will be a 50% chance to turn the target attacking you t"&amp;"o stone making  them completely unresponsive until the end of battle. ")</f>
        <v>Restricted Race: (Must unlock the Abstara Expansion to use this race)
Has dark-vision. 
This race has 2 forms, Hardened Form, and Normal Form.
Hardened Form: 50% chance to become hardened while it is day time during travel until the end of the current journey, while hardened you are completely unresponsive and you will gain X10 defense.
Normal Form: you have no penalties while it is night time.
When you are attacked with a natural/weapon attack their will be a 50% chance to turn the target attacking you to stone making  them completely unresponsive until the end of battle. </v>
      </c>
      <c r="D13" s="16" t="str">
        <f>IFERROR(__xludf.DUMMYFUNCTION("""COMPUTED_VALUE"""),"Demonic")</f>
        <v>Demonic</v>
      </c>
      <c r="E13" s="16"/>
      <c r="F13" s="16"/>
      <c r="G13" s="16"/>
      <c r="H13" s="16"/>
      <c r="I13" s="16"/>
      <c r="J13" s="16">
        <f>IFERROR(__xludf.DUMMYFUNCTION("""COMPUTED_VALUE"""),12.0)</f>
        <v>12</v>
      </c>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row>
    <row r="14">
      <c r="A14" s="16" t="str">
        <f>IFERROR(__xludf.DUMMYFUNCTION("""COMPUTED_VALUE"""),"Gnome")</f>
        <v>Gnome</v>
      </c>
      <c r="B14" s="16" t="str">
        <f>IFERROR(__xludf.DUMMYFUNCTION("""COMPUTED_VALUE"""),"+8 Wisdom, ")</f>
        <v>+8 Wisdom, </v>
      </c>
      <c r="C14" s="42" t="str">
        <f>IFERROR(__xludf.DUMMYFUNCTION("""COMPUTED_VALUE"""),"X2 Spell damage.
Immune to nature damage.")</f>
        <v>X2 Spell damage.
Immune to nature damage.</v>
      </c>
      <c r="D14" s="16" t="str">
        <f>IFERROR(__xludf.DUMMYFUNCTION("""COMPUTED_VALUE"""),"Fae")</f>
        <v>Fae</v>
      </c>
      <c r="E14" s="16"/>
      <c r="F14" s="16"/>
      <c r="G14" s="16"/>
      <c r="H14" s="16"/>
      <c r="I14" s="16">
        <f>IFERROR(__xludf.DUMMYFUNCTION("""COMPUTED_VALUE"""),8.0)</f>
        <v>8</v>
      </c>
      <c r="J14" s="16"/>
      <c r="K14" s="16"/>
      <c r="L14" s="16"/>
      <c r="M14" s="16"/>
      <c r="N14" s="16"/>
      <c r="O14" s="16"/>
      <c r="P14" s="16"/>
      <c r="Q14" s="16"/>
      <c r="R14" s="16"/>
      <c r="S14" s="16"/>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row>
    <row r="15">
      <c r="A15" s="16" t="str">
        <f>IFERROR(__xludf.DUMMYFUNCTION("""COMPUTED_VALUE"""),"Goblin")</f>
        <v>Goblin</v>
      </c>
      <c r="B15" s="16" t="str">
        <f>IFERROR(__xludf.DUMMYFUNCTION("""COMPUTED_VALUE"""),"+4 Con, +2 Mobility, +2 Evasion")</f>
        <v>+4 Con, +2 Mobility, +2 Evasion</v>
      </c>
      <c r="C15" s="42" t="str">
        <f>IFERROR(__xludf.DUMMYFUNCTION("""COMPUTED_VALUE"""),"Has dark-vision. 
Gets an extra loot roll each battle.")</f>
        <v>Has dark-vision. 
Gets an extra loot roll each battle.</v>
      </c>
      <c r="D15" s="16" t="str">
        <f>IFERROR(__xludf.DUMMYFUNCTION("""COMPUTED_VALUE"""),"Humanoid")</f>
        <v>Humanoid</v>
      </c>
      <c r="E15" s="16"/>
      <c r="F15" s="16"/>
      <c r="G15" s="16"/>
      <c r="H15" s="16"/>
      <c r="I15" s="16"/>
      <c r="J15" s="16">
        <f>IFERROR(__xludf.DUMMYFUNCTION("""COMPUTED_VALUE"""),4.0)</f>
        <v>4</v>
      </c>
      <c r="K15" s="16">
        <f>IFERROR(__xludf.DUMMYFUNCTION("""COMPUTED_VALUE"""),2.0)</f>
        <v>2</v>
      </c>
      <c r="L15" s="16"/>
      <c r="M15" s="16">
        <f>IFERROR(__xludf.DUMMYFUNCTION("""COMPUTED_VALUE"""),2.0)</f>
        <v>2</v>
      </c>
      <c r="N15" s="16"/>
      <c r="O15" s="16"/>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c r="AX15" s="16"/>
    </row>
    <row r="16">
      <c r="A16" s="16" t="str">
        <f>IFERROR(__xludf.DUMMYFUNCTION("""COMPUTED_VALUE"""),"Halfling")</f>
        <v>Halfling</v>
      </c>
      <c r="B16" s="16" t="str">
        <f>IFERROR(__xludf.DUMMYFUNCTION("""COMPUTED_VALUE"""),"+3 Mobility, +3 Evasion, +2 Constitution")</f>
        <v>+3 Mobility, +3 Evasion, +2 Constitution</v>
      </c>
      <c r="C16" s="42" t="str">
        <f>IFERROR(__xludf.DUMMYFUNCTION("""COMPUTED_VALUE"""),"Has a 20% chance of any attack missing them")</f>
        <v>Has a 20% chance of any attack missing them</v>
      </c>
      <c r="D16" s="16" t="str">
        <f>IFERROR(__xludf.DUMMYFUNCTION("""COMPUTED_VALUE"""),"Humanoid")</f>
        <v>Humanoid</v>
      </c>
      <c r="E16" s="16"/>
      <c r="F16" s="16"/>
      <c r="G16" s="16"/>
      <c r="H16" s="16"/>
      <c r="I16" s="16"/>
      <c r="J16" s="16">
        <f>IFERROR(__xludf.DUMMYFUNCTION("""COMPUTED_VALUE"""),2.0)</f>
        <v>2</v>
      </c>
      <c r="K16" s="16">
        <f>IFERROR(__xludf.DUMMYFUNCTION("""COMPUTED_VALUE"""),3.0)</f>
        <v>3</v>
      </c>
      <c r="L16" s="16"/>
      <c r="M16" s="16">
        <f>IFERROR(__xludf.DUMMYFUNCTION("""COMPUTED_VALUE"""),3.0)</f>
        <v>3</v>
      </c>
      <c r="N16" s="16"/>
      <c r="O16" s="16"/>
      <c r="P16" s="16"/>
      <c r="Q16" s="16"/>
      <c r="R16" s="16"/>
      <c r="S16" s="16"/>
      <c r="T16" s="16"/>
      <c r="U16" s="16"/>
      <c r="V16" s="16"/>
      <c r="W16" s="16"/>
      <c r="X16" s="16"/>
      <c r="Y16" s="16"/>
      <c r="Z16" s="16"/>
      <c r="AA16" s="16"/>
      <c r="AB16" s="16"/>
      <c r="AC16" s="16"/>
      <c r="AD16" s="16"/>
      <c r="AE16" s="16"/>
      <c r="AF16" s="16"/>
      <c r="AG16" s="16"/>
      <c r="AH16" s="16"/>
      <c r="AI16" s="16"/>
      <c r="AJ16" s="16"/>
      <c r="AK16" s="16"/>
      <c r="AL16" s="16"/>
      <c r="AM16" s="16"/>
      <c r="AN16" s="16"/>
      <c r="AO16" s="16"/>
      <c r="AP16" s="16"/>
      <c r="AQ16" s="16"/>
      <c r="AR16" s="16"/>
      <c r="AS16" s="16"/>
      <c r="AT16" s="16"/>
      <c r="AU16" s="16"/>
      <c r="AV16" s="16"/>
      <c r="AW16" s="16"/>
      <c r="AX16" s="16"/>
    </row>
    <row r="17">
      <c r="A17" s="16" t="str">
        <f>IFERROR(__xludf.DUMMYFUNCTION("""COMPUTED_VALUE"""),"Human")</f>
        <v>Human</v>
      </c>
      <c r="B17" s="16" t="str">
        <f>IFERROR(__xludf.DUMMYFUNCTION("""COMPUTED_VALUE"""),"+2 Mobility, +2 Evasion, +2 Charisma, +2 Wisdom, +1 Intimidation, +1 Con")</f>
        <v>+2 Mobility, +2 Evasion, +2 Charisma, +2 Wisdom, +1 Intimidation, +1 Con</v>
      </c>
      <c r="C17" s="42" t="str">
        <f>IFERROR(__xludf.DUMMYFUNCTION("""COMPUTED_VALUE"""),"Gains 2 points into each base stat when they level up instead of 1 (non perks)")</f>
        <v>Gains 2 points into each base stat when they level up instead of 1 (non perks)</v>
      </c>
      <c r="D17" s="16" t="str">
        <f>IFERROR(__xludf.DUMMYFUNCTION("""COMPUTED_VALUE"""),"Humanoid")</f>
        <v>Humanoid</v>
      </c>
      <c r="E17" s="16"/>
      <c r="F17" s="16"/>
      <c r="G17" s="16"/>
      <c r="H17" s="16">
        <f>IFERROR(__xludf.DUMMYFUNCTION("""COMPUTED_VALUE"""),2.0)</f>
        <v>2</v>
      </c>
      <c r="I17" s="16">
        <f>IFERROR(__xludf.DUMMYFUNCTION("""COMPUTED_VALUE"""),2.0)</f>
        <v>2</v>
      </c>
      <c r="J17" s="16">
        <f>IFERROR(__xludf.DUMMYFUNCTION("""COMPUTED_VALUE"""),1.0)</f>
        <v>1</v>
      </c>
      <c r="K17" s="16">
        <f>IFERROR(__xludf.DUMMYFUNCTION("""COMPUTED_VALUE"""),2.0)</f>
        <v>2</v>
      </c>
      <c r="L17" s="16">
        <f>IFERROR(__xludf.DUMMYFUNCTION("""COMPUTED_VALUE"""),1.0)</f>
        <v>1</v>
      </c>
      <c r="M17" s="16">
        <f>IFERROR(__xludf.DUMMYFUNCTION("""COMPUTED_VALUE"""),2.0)</f>
        <v>2</v>
      </c>
      <c r="N17" s="16"/>
      <c r="O17" s="16"/>
      <c r="P17" s="16"/>
      <c r="Q17" s="16"/>
      <c r="R17" s="16"/>
      <c r="S17" s="16"/>
      <c r="T17" s="16"/>
      <c r="U17" s="16"/>
      <c r="V17" s="16"/>
      <c r="W17" s="16"/>
      <c r="X17" s="16"/>
      <c r="Y17" s="16"/>
      <c r="Z17" s="16"/>
      <c r="AA17" s="16"/>
      <c r="AB17" s="16"/>
      <c r="AC17" s="16"/>
      <c r="AD17" s="16"/>
      <c r="AE17" s="16"/>
      <c r="AF17" s="16"/>
      <c r="AG17" s="16"/>
      <c r="AH17" s="16"/>
      <c r="AI17" s="16"/>
      <c r="AJ17" s="16"/>
      <c r="AK17" s="16"/>
      <c r="AL17" s="16"/>
      <c r="AM17" s="16"/>
      <c r="AN17" s="16"/>
      <c r="AO17" s="16"/>
      <c r="AP17" s="16"/>
      <c r="AQ17" s="16"/>
      <c r="AR17" s="16"/>
      <c r="AS17" s="16"/>
      <c r="AT17" s="16"/>
      <c r="AU17" s="16"/>
      <c r="AV17" s="16"/>
      <c r="AW17" s="16"/>
      <c r="AX17" s="16"/>
    </row>
    <row r="18">
      <c r="A18" s="16" t="str">
        <f>IFERROR(__xludf.DUMMYFUNCTION("""COMPUTED_VALUE"""),"Jinn")</f>
        <v>Jinn</v>
      </c>
      <c r="B18" s="16" t="str">
        <f>IFERROR(__xludf.DUMMYFUNCTION("""COMPUTED_VALUE"""),"+14 Wisdom")</f>
        <v>+14 Wisdom</v>
      </c>
      <c r="C18" s="42" t="str">
        <f>IFERROR(__xludf.DUMMYFUNCTION("""COMPUTED_VALUE"""),"Restricted Race: (Must unlock the Solreach Expansion to use this race)
30% chance to be unaffected by spells.
X4 additional Spirit Damage
Bonding Souls: Allows you to link your soul with a party members soul increasing damage by times the amount of party "&amp;"members linked with")</f>
        <v>Restricted Race: (Must unlock the Solreach Expansion to use this race)
30% chance to be unaffected by spells.
X4 additional Spirit Damage
Bonding Souls: Allows you to link your soul with a party members soul increasing damage by times the amount of party members linked with</v>
      </c>
      <c r="D18" s="16" t="str">
        <f>IFERROR(__xludf.DUMMYFUNCTION("""COMPUTED_VALUE"""),"Spirit")</f>
        <v>Spirit</v>
      </c>
      <c r="E18" s="16"/>
      <c r="F18" s="16"/>
      <c r="G18" s="16"/>
      <c r="H18" s="16"/>
      <c r="I18" s="16">
        <f>IFERROR(__xludf.DUMMYFUNCTION("""COMPUTED_VALUE"""),14.0)</f>
        <v>14</v>
      </c>
      <c r="J18" s="16"/>
      <c r="K18" s="16"/>
      <c r="L18" s="16"/>
      <c r="M18" s="16"/>
      <c r="N18" s="16"/>
      <c r="O18" s="16"/>
      <c r="P18" s="16"/>
      <c r="Q18" s="16"/>
      <c r="R18" s="16"/>
      <c r="S18" s="16"/>
      <c r="T18" s="16"/>
      <c r="U18" s="16"/>
      <c r="V18" s="16"/>
      <c r="W18" s="16"/>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c r="AX18" s="16"/>
    </row>
    <row r="19">
      <c r="A19" s="16" t="str">
        <f>IFERROR(__xludf.DUMMYFUNCTION("""COMPUTED_VALUE"""),"Lizardfolk")</f>
        <v>Lizardfolk</v>
      </c>
      <c r="B19" s="16" t="str">
        <f>IFERROR(__xludf.DUMMYFUNCTION("""COMPUTED_VALUE"""),"+4 Con, +3 Mobility, +3 Evasion")</f>
        <v>+4 Con, +3 Mobility, +3 Evasion</v>
      </c>
      <c r="C19" s="42" t="str">
        <f>IFERROR(__xludf.DUMMYFUNCTION("""COMPUTED_VALUE"""),"Restricted Race: (Must complete the quest ""TBD"" in Dragonscale Island Expansion to use this Race)
Has dark-vision. 
Immune to Poison
Acidic Aura - When you are attacked or killed the enemy will take Poison 20,000 per round.
Acidic Ward - When ""Acidic A"&amp;"ura"" activates your HP and SP will be restored equal to 1.5% of the damage ""Acidic Aura"" deals to the enemy as long as you are still alive.")</f>
        <v>Restricted Race: (Must complete the quest "TBD" in Dragonscale Island Expansion to use this Race)
Has dark-vision. 
Immune to Poison
Acidic Aura - When you are attacked or killed the enemy will take Poison 20,000 per round.
Acidic Ward - When "Acidic Aura" activates your HP and SP will be restored equal to 1.5% of the damage "Acidic Aura" deals to the enemy as long as you are still alive.</v>
      </c>
      <c r="D19" s="16" t="str">
        <f>IFERROR(__xludf.DUMMYFUNCTION("""COMPUTED_VALUE"""),"Humanoid")</f>
        <v>Humanoid</v>
      </c>
      <c r="E19" s="16"/>
      <c r="F19" s="16"/>
      <c r="G19" s="16"/>
      <c r="H19" s="16"/>
      <c r="I19" s="16"/>
      <c r="J19" s="16">
        <f>IFERROR(__xludf.DUMMYFUNCTION("""COMPUTED_VALUE"""),4.0)</f>
        <v>4</v>
      </c>
      <c r="K19" s="16">
        <f>IFERROR(__xludf.DUMMYFUNCTION("""COMPUTED_VALUE"""),3.0)</f>
        <v>3</v>
      </c>
      <c r="L19" s="16"/>
      <c r="M19" s="16">
        <f>IFERROR(__xludf.DUMMYFUNCTION("""COMPUTED_VALUE"""),3.0)</f>
        <v>3</v>
      </c>
      <c r="N19" s="16"/>
      <c r="O19" s="16"/>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c r="AT19" s="16"/>
      <c r="AU19" s="16"/>
      <c r="AV19" s="16"/>
      <c r="AW19" s="16"/>
      <c r="AX19" s="16"/>
    </row>
    <row r="20">
      <c r="A20" s="16" t="str">
        <f>IFERROR(__xludf.DUMMYFUNCTION("""COMPUTED_VALUE"""),"Mekanian")</f>
        <v>Mekanian</v>
      </c>
      <c r="B20" s="16" t="str">
        <f>IFERROR(__xludf.DUMMYFUNCTION("""COMPUTED_VALUE"""),"+5 Mobility, +3 Constitution,")</f>
        <v>+5 Mobility, +3 Constitution,</v>
      </c>
      <c r="C20" s="42" t="str">
        <f>IFERROR(__xludf.DUMMYFUNCTION("""COMPUTED_VALUE"""),"Has dark-vision. 
Immune to Poison.
Will not gain the “Undead or Spirit Ability” when choosing a class that has it.
Weapons deal X2 damage for the user.
Gain acess to the Natural Powers, Cooldown, Overcharge, and Recharge")</f>
        <v>Has dark-vision. 
Immune to Poison.
Will not gain the “Undead or Spirit Ability” when choosing a class that has it.
Weapons deal X2 damage for the user.
Gain acess to the Natural Powers, Cooldown, Overcharge, and Recharge</v>
      </c>
      <c r="D20" s="16" t="str">
        <f>IFERROR(__xludf.DUMMYFUNCTION("""COMPUTED_VALUE"""),"Construct")</f>
        <v>Construct</v>
      </c>
      <c r="E20" s="16"/>
      <c r="F20" s="16"/>
      <c r="G20" s="16"/>
      <c r="H20" s="16"/>
      <c r="I20" s="16"/>
      <c r="J20" s="16">
        <f>IFERROR(__xludf.DUMMYFUNCTION("""COMPUTED_VALUE"""),3.0)</f>
        <v>3</v>
      </c>
      <c r="K20" s="16"/>
      <c r="L20" s="16"/>
      <c r="M20" s="16">
        <f>IFERROR(__xludf.DUMMYFUNCTION("""COMPUTED_VALUE"""),5.0)</f>
        <v>5</v>
      </c>
      <c r="N20" s="16"/>
      <c r="O20" s="16"/>
      <c r="P20" s="16"/>
      <c r="Q20" s="16"/>
      <c r="R20" s="16"/>
      <c r="S20" s="16"/>
      <c r="T20" s="16"/>
      <c r="U20" s="16"/>
      <c r="V20" s="16"/>
      <c r="W20" s="16"/>
      <c r="X20" s="16"/>
      <c r="Y20" s="16"/>
      <c r="Z20" s="16"/>
      <c r="AA20" s="16"/>
      <c r="AB20" s="16"/>
      <c r="AC20" s="16"/>
      <c r="AD20" s="16"/>
      <c r="AE20" s="16"/>
      <c r="AF20" s="16"/>
      <c r="AG20" s="16"/>
      <c r="AH20" s="16"/>
      <c r="AI20" s="16"/>
      <c r="AJ20" s="16"/>
      <c r="AK20" s="16"/>
      <c r="AL20" s="16"/>
      <c r="AM20" s="16"/>
      <c r="AN20" s="16"/>
      <c r="AO20" s="16"/>
      <c r="AP20" s="16"/>
      <c r="AQ20" s="16"/>
      <c r="AR20" s="16"/>
      <c r="AS20" s="16"/>
      <c r="AT20" s="16"/>
      <c r="AU20" s="16"/>
      <c r="AV20" s="16"/>
      <c r="AW20" s="16"/>
      <c r="AX20" s="16"/>
    </row>
    <row r="21">
      <c r="A21" s="16" t="str">
        <f>IFERROR(__xludf.DUMMYFUNCTION("""COMPUTED_VALUE"""),"Naga")</f>
        <v>Naga</v>
      </c>
      <c r="B21" s="16" t="str">
        <f>IFERROR(__xludf.DUMMYFUNCTION("""COMPUTED_VALUE"""),"+5 Mobility, +5 Wisdom")</f>
        <v>+5 Mobility, +5 Wisdom</v>
      </c>
      <c r="C21" s="42" t="str">
        <f>IFERROR(__xludf.DUMMYFUNCTION("""COMPUTED_VALUE"""),"Restricted Race: (Must complete the quest ""TBD"" in Dragonscale Island Expansion to use this Race)
Shedding Skin - Your defense becomes 0 for the rest of the round which fully restores your SP and HP, Can only be done once per battle.
When any enemy is P"&amp;"oisoned they act under the effects of Slowness ∞, and you act under the effects of Haste ∞ durng battle as long as you are still aliive.
Immune to Poison.
Has dark-vision. ")</f>
        <v>Restricted Race: (Must complete the quest "TBD" in Dragonscale Island Expansion to use this Race)
Shedding Skin - Your defense becomes 0 for the rest of the round which fully restores your SP and HP, Can only be done once per battle.
When any enemy is Poisoned they act under the effects of Slowness ∞, and you act under the effects of Haste ∞ durng battle as long as you are still aliive.
Immune to Poison.
Has dark-vision. </v>
      </c>
      <c r="D21" s="16" t="str">
        <f>IFERROR(__xludf.DUMMYFUNCTION("""COMPUTED_VALUE"""),"Humanoid")</f>
        <v>Humanoid</v>
      </c>
      <c r="E21" s="16"/>
      <c r="F21" s="16"/>
      <c r="G21" s="16"/>
      <c r="H21" s="16"/>
      <c r="I21" s="16">
        <f>IFERROR(__xludf.DUMMYFUNCTION("""COMPUTED_VALUE"""),5.0)</f>
        <v>5</v>
      </c>
      <c r="J21" s="16"/>
      <c r="K21" s="16"/>
      <c r="L21" s="16"/>
      <c r="M21" s="16">
        <f>IFERROR(__xludf.DUMMYFUNCTION("""COMPUTED_VALUE"""),5.0)</f>
        <v>5</v>
      </c>
      <c r="N21" s="16"/>
      <c r="O21" s="16"/>
      <c r="P21" s="16"/>
      <c r="Q21" s="16"/>
      <c r="R21" s="16"/>
      <c r="S21" s="16"/>
      <c r="T21" s="16"/>
      <c r="U21" s="16"/>
      <c r="V21" s="16">
        <f>IFERROR(__xludf.DUMMYFUNCTION("""COMPUTED_VALUE"""),1.0)</f>
        <v>1</v>
      </c>
      <c r="W21" s="16"/>
      <c r="X21" s="16"/>
      <c r="Y21" s="16"/>
      <c r="Z21" s="16"/>
      <c r="AA21" s="16"/>
      <c r="AB21" s="16">
        <f>IFERROR(__xludf.DUMMYFUNCTION("""COMPUTED_VALUE"""),1.0)</f>
        <v>1</v>
      </c>
      <c r="AC21" s="16"/>
      <c r="AD21" s="16"/>
      <c r="AE21" s="16"/>
      <c r="AF21" s="16"/>
      <c r="AG21" s="16"/>
      <c r="AH21" s="16"/>
      <c r="AI21" s="16"/>
      <c r="AJ21" s="16"/>
      <c r="AK21" s="16"/>
      <c r="AL21" s="16"/>
      <c r="AM21" s="16"/>
      <c r="AN21" s="16"/>
      <c r="AO21" s="16"/>
      <c r="AP21" s="16"/>
      <c r="AQ21" s="16"/>
      <c r="AR21" s="16"/>
      <c r="AS21" s="16"/>
      <c r="AT21" s="16"/>
      <c r="AU21" s="16"/>
      <c r="AV21" s="16"/>
      <c r="AW21" s="16"/>
      <c r="AX21" s="16"/>
    </row>
    <row r="22">
      <c r="A22" s="16" t="str">
        <f>IFERROR(__xludf.DUMMYFUNCTION("""COMPUTED_VALUE"""),"Night Elf")</f>
        <v>Night Elf</v>
      </c>
      <c r="B22" s="16" t="str">
        <f>IFERROR(__xludf.DUMMYFUNCTION("""COMPUTED_VALUE"""),"+3 Charisma, +3 Evasion, +2 Wisdom")</f>
        <v>+3 Charisma, +3 Evasion, +2 Wisdom</v>
      </c>
      <c r="C22" s="42" t="str">
        <f>IFERROR(__xludf.DUMMYFUNCTION("""COMPUTED_VALUE"""),"Has dark-vision. 
X2 damage dealt in a dark enviroment.")</f>
        <v>Has dark-vision. 
X2 damage dealt in a dark enviroment.</v>
      </c>
      <c r="D22" s="16" t="str">
        <f>IFERROR(__xludf.DUMMYFUNCTION("""COMPUTED_VALUE"""),"Fae")</f>
        <v>Fae</v>
      </c>
      <c r="E22" s="16"/>
      <c r="F22" s="16"/>
      <c r="G22" s="16"/>
      <c r="H22" s="16">
        <f>IFERROR(__xludf.DUMMYFUNCTION("""COMPUTED_VALUE"""),3.0)</f>
        <v>3</v>
      </c>
      <c r="I22" s="16">
        <f>IFERROR(__xludf.DUMMYFUNCTION("""COMPUTED_VALUE"""),2.0)</f>
        <v>2</v>
      </c>
      <c r="J22" s="16"/>
      <c r="K22" s="16">
        <f>IFERROR(__xludf.DUMMYFUNCTION("""COMPUTED_VALUE"""),3.0)</f>
        <v>3</v>
      </c>
      <c r="L22" s="16"/>
      <c r="M22" s="16"/>
      <c r="N22" s="16"/>
      <c r="O22" s="16"/>
      <c r="P22" s="16"/>
      <c r="Q22" s="16"/>
      <c r="R22" s="16"/>
      <c r="S22" s="16"/>
      <c r="T22" s="16"/>
      <c r="U22" s="16"/>
      <c r="V22" s="16"/>
      <c r="W22" s="16"/>
      <c r="X22" s="16"/>
      <c r="Y22" s="16"/>
      <c r="Z22" s="16"/>
      <c r="AA22" s="16"/>
      <c r="AB22" s="16"/>
      <c r="AC22" s="16"/>
      <c r="AD22" s="16"/>
      <c r="AE22" s="16"/>
      <c r="AF22" s="16"/>
      <c r="AG22" s="16"/>
      <c r="AH22" s="16"/>
      <c r="AI22" s="16"/>
      <c r="AJ22" s="16"/>
      <c r="AK22" s="16"/>
      <c r="AL22" s="16"/>
      <c r="AM22" s="16"/>
      <c r="AN22" s="16"/>
      <c r="AO22" s="16"/>
      <c r="AP22" s="16"/>
      <c r="AQ22" s="16"/>
      <c r="AR22" s="16"/>
      <c r="AS22" s="16"/>
      <c r="AT22" s="16"/>
      <c r="AU22" s="16"/>
      <c r="AV22" s="16"/>
      <c r="AW22" s="16"/>
      <c r="AX22" s="16"/>
    </row>
    <row r="23">
      <c r="A23" s="16" t="str">
        <f>IFERROR(__xludf.DUMMYFUNCTION("""COMPUTED_VALUE"""),"Orc")</f>
        <v>Orc</v>
      </c>
      <c r="B23" s="16" t="str">
        <f>IFERROR(__xludf.DUMMYFUNCTION("""COMPUTED_VALUE"""),"+2 Mobility, +6 Constituion,")</f>
        <v>+2 Mobility, +6 Constituion,</v>
      </c>
      <c r="C23" s="42" t="str">
        <f>IFERROR(__xludf.DUMMYFUNCTION("""COMPUTED_VALUE"""),"Half the SP cost for Physical, Melee, and Ranged Spells.")</f>
        <v>Half the SP cost for Physical, Melee, and Ranged Spells.</v>
      </c>
      <c r="D23" s="16" t="str">
        <f>IFERROR(__xludf.DUMMYFUNCTION("""COMPUTED_VALUE"""),"Humanoid")</f>
        <v>Humanoid</v>
      </c>
      <c r="E23" s="16"/>
      <c r="F23" s="16"/>
      <c r="G23" s="16"/>
      <c r="H23" s="16"/>
      <c r="I23" s="16"/>
      <c r="J23" s="16">
        <f>IFERROR(__xludf.DUMMYFUNCTION("""COMPUTED_VALUE"""),6.0)</f>
        <v>6</v>
      </c>
      <c r="K23" s="16"/>
      <c r="L23" s="16"/>
      <c r="M23" s="16">
        <f>IFERROR(__xludf.DUMMYFUNCTION("""COMPUTED_VALUE"""),2.0)</f>
        <v>2</v>
      </c>
      <c r="N23" s="16"/>
      <c r="O23" s="16"/>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c r="AS23" s="16"/>
      <c r="AT23" s="16"/>
      <c r="AU23" s="16"/>
      <c r="AV23" s="16"/>
      <c r="AW23" s="16"/>
      <c r="AX23" s="16"/>
    </row>
    <row r="24">
      <c r="A24" s="16" t="str">
        <f>IFERROR(__xludf.DUMMYFUNCTION("""COMPUTED_VALUE"""),"Poultrian")</f>
        <v>Poultrian</v>
      </c>
      <c r="B24" s="16" t="str">
        <f>IFERROR(__xludf.DUMMYFUNCTION("""COMPUTED_VALUE"""),"+4 Mobility +4 Evasion ")</f>
        <v>+4 Mobility +4 Evasion </v>
      </c>
      <c r="C24" s="42" t="str">
        <f>IFERROR(__xludf.DUMMYFUNCTION("""COMPUTED_VALUE"""),"Days to hatch eggs are reduced by half after rolling 
Starts with the Sub-Class Breeder
Has dark-vision. ")</f>
        <v>Days to hatch eggs are reduced by half after rolling 
Starts with the Sub-Class Breeder
Has dark-vision. </v>
      </c>
      <c r="D24" s="16" t="str">
        <f>IFERROR(__xludf.DUMMYFUNCTION("""COMPUTED_VALUE"""),"Humanoid")</f>
        <v>Humanoid</v>
      </c>
      <c r="E24" s="16"/>
      <c r="F24" s="16"/>
      <c r="G24" s="16"/>
      <c r="H24" s="16"/>
      <c r="I24" s="16"/>
      <c r="J24" s="16"/>
      <c r="K24" s="16">
        <f>IFERROR(__xludf.DUMMYFUNCTION("""COMPUTED_VALUE"""),4.0)</f>
        <v>4</v>
      </c>
      <c r="L24" s="16"/>
      <c r="M24" s="16">
        <f>IFERROR(__xludf.DUMMYFUNCTION("""COMPUTED_VALUE"""),4.0)</f>
        <v>4</v>
      </c>
      <c r="N24" s="16"/>
      <c r="O24" s="16"/>
      <c r="P24" s="16"/>
      <c r="Q24" s="16"/>
      <c r="R24" s="16"/>
      <c r="S24" s="16"/>
      <c r="T24" s="16"/>
      <c r="U24" s="16"/>
      <c r="V24" s="16"/>
      <c r="W24" s="16"/>
      <c r="X24" s="16"/>
      <c r="Y24" s="16"/>
      <c r="Z24" s="16"/>
      <c r="AA24" s="16"/>
      <c r="AB24" s="16"/>
      <c r="AC24" s="16"/>
      <c r="AD24" s="16"/>
      <c r="AE24" s="16"/>
      <c r="AF24" s="16"/>
      <c r="AG24" s="16"/>
      <c r="AH24" s="16"/>
      <c r="AI24" s="16"/>
      <c r="AJ24" s="16"/>
      <c r="AK24" s="16"/>
      <c r="AL24" s="16"/>
      <c r="AM24" s="16"/>
      <c r="AN24" s="16"/>
      <c r="AO24" s="16"/>
      <c r="AP24" s="16"/>
      <c r="AQ24" s="16"/>
      <c r="AR24" s="16"/>
      <c r="AS24" s="16"/>
      <c r="AT24" s="16"/>
      <c r="AU24" s="16"/>
      <c r="AV24" s="16"/>
      <c r="AW24" s="16"/>
      <c r="AX24" s="16"/>
    </row>
    <row r="25">
      <c r="A25" s="16" t="str">
        <f>IFERROR(__xludf.DUMMYFUNCTION("""COMPUTED_VALUE"""),"Pure Elf")</f>
        <v>Pure Elf</v>
      </c>
      <c r="B25" s="16" t="str">
        <f>IFERROR(__xludf.DUMMYFUNCTION("""COMPUTED_VALUE"""),"+3 Charisma, +3 Wisdom, +2 Evasion")</f>
        <v>+3 Charisma, +3 Wisdom, +2 Evasion</v>
      </c>
      <c r="C25" s="42" t="str">
        <f>IFERROR(__xludf.DUMMYFUNCTION("""COMPUTED_VALUE"""),"25% chance to be unaffected by spells casted by enemies.")</f>
        <v>25% chance to be unaffected by spells casted by enemies.</v>
      </c>
      <c r="D25" s="16" t="str">
        <f>IFERROR(__xludf.DUMMYFUNCTION("""COMPUTED_VALUE"""),"Fae")</f>
        <v>Fae</v>
      </c>
      <c r="E25" s="16"/>
      <c r="F25" s="16"/>
      <c r="G25" s="16"/>
      <c r="H25" s="16">
        <f>IFERROR(__xludf.DUMMYFUNCTION("""COMPUTED_VALUE"""),3.0)</f>
        <v>3</v>
      </c>
      <c r="I25" s="16">
        <f>IFERROR(__xludf.DUMMYFUNCTION("""COMPUTED_VALUE"""),3.0)</f>
        <v>3</v>
      </c>
      <c r="J25" s="16"/>
      <c r="K25" s="16">
        <f>IFERROR(__xludf.DUMMYFUNCTION("""COMPUTED_VALUE"""),2.0)</f>
        <v>2</v>
      </c>
      <c r="L25" s="16"/>
      <c r="M25" s="16"/>
      <c r="N25" s="16"/>
      <c r="O25" s="16"/>
      <c r="P25" s="16"/>
      <c r="Q25" s="16"/>
      <c r="R25" s="16"/>
      <c r="S25" s="16"/>
      <c r="T25" s="16"/>
      <c r="U25" s="16"/>
      <c r="V25" s="16"/>
      <c r="W25" s="16"/>
      <c r="X25" s="16"/>
      <c r="Y25" s="16"/>
      <c r="Z25" s="16"/>
      <c r="AA25" s="16"/>
      <c r="AB25" s="16"/>
      <c r="AC25" s="16"/>
      <c r="AD25" s="16"/>
      <c r="AE25" s="16"/>
      <c r="AF25" s="16"/>
      <c r="AG25" s="16"/>
      <c r="AH25" s="16"/>
      <c r="AI25" s="16"/>
      <c r="AJ25" s="16"/>
      <c r="AK25" s="16"/>
      <c r="AL25" s="16"/>
      <c r="AM25" s="16"/>
      <c r="AN25" s="16"/>
      <c r="AO25" s="16"/>
      <c r="AP25" s="16"/>
      <c r="AQ25" s="16"/>
      <c r="AR25" s="16"/>
      <c r="AS25" s="16"/>
      <c r="AT25" s="16"/>
      <c r="AU25" s="16"/>
      <c r="AV25" s="16"/>
      <c r="AW25" s="16"/>
      <c r="AX25" s="16"/>
    </row>
    <row r="26">
      <c r="A26" s="16" t="str">
        <f>IFERROR(__xludf.DUMMYFUNCTION("""COMPUTED_VALUE"""),"Shape Shifter")</f>
        <v>Shape Shifter</v>
      </c>
      <c r="B26" s="16" t="str">
        <f>IFERROR(__xludf.DUMMYFUNCTION("""COMPUTED_VALUE"""),"+14 Wisdom")</f>
        <v>+14 Wisdom</v>
      </c>
      <c r="C26" s="42" t="str">
        <f>IFERROR(__xludf.DUMMYFUNCTION("""COMPUTED_VALUE"""),"Restricted Race: (Must unlock the Solreach Expansion to use this race)
You may make a Fail/Succeed roll to transform into a enemy you currently see for 3 rounds or
You may make a Fail/Succeed roll to transform into a party member you currently see for 3 r"&amp;"ounds.
Your stats, abilities, spells/powers, and equipment become the same as the target you transformed into.")</f>
        <v>Restricted Race: (Must unlock the Solreach Expansion to use this race)
You may make a Fail/Succeed roll to transform into a enemy you currently see for 3 rounds or
You may make a Fail/Succeed roll to transform into a party member you currently see for 3 rounds.
Your stats, abilities, spells/powers, and equipment become the same as the target you transformed into.</v>
      </c>
      <c r="D26" s="16" t="str">
        <f>IFERROR(__xludf.DUMMYFUNCTION("""COMPUTED_VALUE"""),"Fae")</f>
        <v>Fae</v>
      </c>
      <c r="E26" s="16"/>
      <c r="F26" s="16"/>
      <c r="G26" s="16"/>
      <c r="H26" s="16"/>
      <c r="I26" s="16">
        <f>IFERROR(__xludf.DUMMYFUNCTION("""COMPUTED_VALUE"""),14.0)</f>
        <v>14</v>
      </c>
      <c r="J26" s="16"/>
      <c r="K26" s="16"/>
      <c r="L26" s="16"/>
      <c r="M26" s="16"/>
      <c r="N26" s="16"/>
      <c r="O26" s="16"/>
      <c r="P26" s="16"/>
      <c r="Q26" s="16"/>
      <c r="R26" s="16"/>
      <c r="S26" s="16"/>
      <c r="T26" s="16"/>
      <c r="U26" s="16"/>
      <c r="V26" s="16"/>
      <c r="W26" s="16"/>
      <c r="X26" s="16"/>
      <c r="Y26" s="16"/>
      <c r="Z26" s="16"/>
      <c r="AA26" s="16"/>
      <c r="AB26" s="16"/>
      <c r="AC26" s="16"/>
      <c r="AD26" s="16"/>
      <c r="AE26" s="16"/>
      <c r="AF26" s="16"/>
      <c r="AG26" s="16"/>
      <c r="AH26" s="16"/>
      <c r="AI26" s="16"/>
      <c r="AJ26" s="16"/>
      <c r="AK26" s="16"/>
      <c r="AL26" s="16"/>
      <c r="AM26" s="16"/>
      <c r="AN26" s="16"/>
      <c r="AO26" s="16"/>
      <c r="AP26" s="16"/>
      <c r="AQ26" s="16"/>
      <c r="AR26" s="16"/>
      <c r="AS26" s="16"/>
      <c r="AT26" s="16"/>
      <c r="AU26" s="16"/>
      <c r="AV26" s="16"/>
      <c r="AW26" s="16"/>
      <c r="AX26" s="16"/>
    </row>
    <row r="27">
      <c r="A27" s="16" t="str">
        <f>IFERROR(__xludf.DUMMYFUNCTION("""COMPUTED_VALUE"""),"Specter")</f>
        <v>Specter</v>
      </c>
      <c r="B27" s="16" t="str">
        <f>IFERROR(__xludf.DUMMYFUNCTION("""COMPUTED_VALUE"""),"+6 Mobility, +6 Wisdom")</f>
        <v>+6 Mobility, +6 Wisdom</v>
      </c>
      <c r="C27" s="42" t="str">
        <f>IFERROR(__xludf.DUMMYFUNCTION("""COMPUTED_VALUE"""),"Restricted Race: (Must unlock the Abstara Expansion to use this race)
At the begining of the battle you may choose to roll a d20 if you get a 11 or higher you can posses one target.
Immune to instant death.
X4 Spirit Damage")</f>
        <v>Restricted Race: (Must unlock the Abstara Expansion to use this race)
At the begining of the battle you may choose to roll a d20 if you get a 11 or higher you can posses one target.
Immune to instant death.
X4 Spirit Damage</v>
      </c>
      <c r="D27" s="16" t="str">
        <f>IFERROR(__xludf.DUMMYFUNCTION("""COMPUTED_VALUE"""),"Spirit")</f>
        <v>Spirit</v>
      </c>
      <c r="E27" s="16"/>
      <c r="F27" s="16"/>
      <c r="G27" s="16"/>
      <c r="H27" s="16"/>
      <c r="I27" s="16">
        <f>IFERROR(__xludf.DUMMYFUNCTION("""COMPUTED_VALUE"""),6.0)</f>
        <v>6</v>
      </c>
      <c r="J27" s="16"/>
      <c r="K27" s="16"/>
      <c r="L27" s="16"/>
      <c r="M27" s="16">
        <f>IFERROR(__xludf.DUMMYFUNCTION("""COMPUTED_VALUE"""),6.0)</f>
        <v>6</v>
      </c>
      <c r="N27" s="16"/>
      <c r="O27" s="16"/>
      <c r="P27" s="16"/>
      <c r="Q27" s="16"/>
      <c r="R27" s="16"/>
      <c r="S27" s="16"/>
      <c r="T27" s="16"/>
      <c r="U27" s="16"/>
      <c r="V27" s="16"/>
      <c r="W27" s="16"/>
      <c r="X27" s="16"/>
      <c r="Y27" s="16"/>
      <c r="Z27" s="16"/>
      <c r="AA27" s="16"/>
      <c r="AB27" s="16"/>
      <c r="AC27" s="16"/>
      <c r="AD27" s="16"/>
      <c r="AE27" s="16"/>
      <c r="AF27" s="16"/>
      <c r="AG27" s="16"/>
      <c r="AH27" s="16"/>
      <c r="AI27" s="16"/>
      <c r="AJ27" s="16"/>
      <c r="AK27" s="16"/>
      <c r="AL27" s="16"/>
      <c r="AM27" s="16"/>
      <c r="AN27" s="16"/>
      <c r="AO27" s="16"/>
      <c r="AP27" s="16"/>
      <c r="AQ27" s="16"/>
      <c r="AR27" s="16"/>
      <c r="AS27" s="16"/>
      <c r="AT27" s="16"/>
      <c r="AU27" s="16"/>
      <c r="AV27" s="16"/>
      <c r="AW27" s="16"/>
      <c r="AX27" s="16"/>
    </row>
    <row r="28">
      <c r="A28" s="16" t="str">
        <f>IFERROR(__xludf.DUMMYFUNCTION("""COMPUTED_VALUE"""),"Triton/Mermaid")</f>
        <v>Triton/Mermaid</v>
      </c>
      <c r="B28" s="16" t="str">
        <f>IFERROR(__xludf.DUMMYFUNCTION("""COMPUTED_VALUE"""),"+4 Constitution +4 Wisdom")</f>
        <v>+4 Constitution +4 Wisdom</v>
      </c>
      <c r="C28" s="42" t="str">
        <f>IFERROR(__xludf.DUMMYFUNCTION("""COMPUTED_VALUE"""),"Roll 2 d20’s and combine the total while in water.
Has dark-vision. 
Immune to water.
Half the SP cost for Water Spells.
Starts with Sub-Class Fisherman")</f>
        <v>Roll 2 d20’s and combine the total while in water.
Has dark-vision. 
Immune to water.
Half the SP cost for Water Spells.
Starts with Sub-Class Fisherman</v>
      </c>
      <c r="D28" s="16" t="str">
        <f>IFERROR(__xludf.DUMMYFUNCTION("""COMPUTED_VALUE"""),"Fae")</f>
        <v>Fae</v>
      </c>
      <c r="E28" s="16"/>
      <c r="F28" s="16"/>
      <c r="G28" s="16"/>
      <c r="H28" s="16"/>
      <c r="I28" s="16">
        <f>IFERROR(__xludf.DUMMYFUNCTION("""COMPUTED_VALUE"""),4.0)</f>
        <v>4</v>
      </c>
      <c r="J28" s="16">
        <f>IFERROR(__xludf.DUMMYFUNCTION("""COMPUTED_VALUE"""),4.0)</f>
        <v>4</v>
      </c>
      <c r="K28" s="16"/>
      <c r="L28" s="16"/>
      <c r="M28" s="16"/>
      <c r="N28" s="16"/>
      <c r="O28" s="16"/>
      <c r="P28" s="16"/>
      <c r="Q28" s="16"/>
      <c r="R28" s="16"/>
      <c r="S28" s="16"/>
      <c r="T28" s="16"/>
      <c r="U28" s="16"/>
      <c r="V28" s="16"/>
      <c r="W28" s="16"/>
      <c r="X28" s="16"/>
      <c r="Y28" s="16"/>
      <c r="Z28" s="16"/>
      <c r="AA28" s="16"/>
      <c r="AB28" s="16"/>
      <c r="AC28" s="16"/>
      <c r="AD28" s="16"/>
      <c r="AE28" s="16"/>
      <c r="AF28" s="16"/>
      <c r="AG28" s="16"/>
      <c r="AH28" s="16"/>
      <c r="AI28" s="16"/>
      <c r="AJ28" s="16"/>
      <c r="AK28" s="16"/>
      <c r="AL28" s="16"/>
      <c r="AM28" s="16"/>
      <c r="AN28" s="16"/>
      <c r="AO28" s="16"/>
      <c r="AP28" s="16"/>
      <c r="AQ28" s="16"/>
      <c r="AR28" s="16"/>
      <c r="AS28" s="16"/>
      <c r="AT28" s="16"/>
      <c r="AU28" s="16"/>
      <c r="AV28" s="16"/>
      <c r="AW28" s="16"/>
      <c r="AX28" s="16"/>
    </row>
    <row r="29">
      <c r="A29" s="16" t="str">
        <f>IFERROR(__xludf.DUMMYFUNCTION("""COMPUTED_VALUE"""),"Troll")</f>
        <v>Troll</v>
      </c>
      <c r="B29" s="16" t="str">
        <f>IFERROR(__xludf.DUMMYFUNCTION("""COMPUTED_VALUE"""),"+10 Constitution -2 Wisdom")</f>
        <v>+10 Constitution -2 Wisdom</v>
      </c>
      <c r="C29" s="42" t="str">
        <f>IFERROR(__xludf.DUMMYFUNCTION("""COMPUTED_VALUE"""),"Has dark-vision. 
Can turn SP into HP or HP into SP.")</f>
        <v>Has dark-vision. 
Can turn SP into HP or HP into SP.</v>
      </c>
      <c r="D29" s="16" t="str">
        <f>IFERROR(__xludf.DUMMYFUNCTION("""COMPUTED_VALUE"""),"Humanoid")</f>
        <v>Humanoid</v>
      </c>
      <c r="E29" s="16"/>
      <c r="F29" s="16"/>
      <c r="G29" s="16"/>
      <c r="H29" s="16"/>
      <c r="I29" s="16">
        <f>IFERROR(__xludf.DUMMYFUNCTION("""COMPUTED_VALUE"""),-2.0)</f>
        <v>-2</v>
      </c>
      <c r="J29" s="16">
        <f>IFERROR(__xludf.DUMMYFUNCTION("""COMPUTED_VALUE"""),10.0)</f>
        <v>10</v>
      </c>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c r="AL29" s="16"/>
      <c r="AM29" s="16"/>
      <c r="AN29" s="16"/>
      <c r="AO29" s="16"/>
      <c r="AP29" s="16"/>
      <c r="AQ29" s="16"/>
      <c r="AR29" s="16"/>
      <c r="AS29" s="16"/>
      <c r="AT29" s="16"/>
      <c r="AU29" s="16"/>
      <c r="AV29" s="16"/>
      <c r="AW29" s="16"/>
      <c r="AX29" s="16"/>
    </row>
    <row r="30">
      <c r="A30" s="16" t="str">
        <f>IFERROR(__xludf.DUMMYFUNCTION("""COMPUTED_VALUE"""),"Vampire")</f>
        <v>Vampire</v>
      </c>
      <c r="B30" s="16" t="str">
        <f>IFERROR(__xludf.DUMMYFUNCTION("""COMPUTED_VALUE"""),"+4 Wisdom +4 Constitution")</f>
        <v>+4 Wisdom +4 Constitution</v>
      </c>
      <c r="C30" s="42" t="str">
        <f>IFERROR(__xludf.DUMMYFUNCTION("""COMPUTED_VALUE"""),"Has dark-vision.  
Any attack gives you HP back equal to half the damage you caused.")</f>
        <v>Has dark-vision.  
Any attack gives you HP back equal to half the damage you caused.</v>
      </c>
      <c r="D30" s="16" t="str">
        <f>IFERROR(__xludf.DUMMYFUNCTION("""COMPUTED_VALUE"""),"Undead")</f>
        <v>Undead</v>
      </c>
      <c r="E30" s="16"/>
      <c r="F30" s="16"/>
      <c r="G30" s="16"/>
      <c r="H30" s="16"/>
      <c r="I30" s="16">
        <f>IFERROR(__xludf.DUMMYFUNCTION("""COMPUTED_VALUE"""),4.0)</f>
        <v>4</v>
      </c>
      <c r="J30" s="16">
        <f>IFERROR(__xludf.DUMMYFUNCTION("""COMPUTED_VALUE"""),4.0)</f>
        <v>4</v>
      </c>
      <c r="K30" s="16"/>
      <c r="L30" s="16"/>
      <c r="M30" s="16"/>
      <c r="N30" s="16"/>
      <c r="O30" s="16"/>
      <c r="P30" s="16"/>
      <c r="Q30" s="16"/>
      <c r="R30" s="16"/>
      <c r="S30" s="16"/>
      <c r="T30" s="16"/>
      <c r="U30" s="16"/>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c r="AW30" s="16"/>
      <c r="AX30" s="16"/>
    </row>
    <row r="31">
      <c r="A31" s="16" t="str">
        <f>IFERROR(__xludf.DUMMYFUNCTION("""COMPUTED_VALUE"""),"Wraith")</f>
        <v>Wraith</v>
      </c>
      <c r="B31" s="16" t="str">
        <f>IFERROR(__xludf.DUMMYFUNCTION("""COMPUTED_VALUE"""),"+4 Constitution +4 Wisdom")</f>
        <v>+4 Constitution +4 Wisdom</v>
      </c>
      <c r="C31" s="42" t="str">
        <f>IFERROR(__xludf.DUMMYFUNCTION("""COMPUTED_VALUE"""),"Immune to Chaos, Voodoo, Dark, and Instant Death
X4 Spirit Damage")</f>
        <v>Immune to Chaos, Voodoo, Dark, and Instant Death
X4 Spirit Damage</v>
      </c>
      <c r="D31" s="16" t="str">
        <f>IFERROR(__xludf.DUMMYFUNCTION("""COMPUTED_VALUE"""),"Spirit")</f>
        <v>Spirit</v>
      </c>
      <c r="E31" s="16"/>
      <c r="F31" s="16"/>
      <c r="G31" s="16"/>
      <c r="H31" s="16"/>
      <c r="I31" s="16">
        <f>IFERROR(__xludf.DUMMYFUNCTION("""COMPUTED_VALUE"""),4.0)</f>
        <v>4</v>
      </c>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c r="AS31" s="16"/>
      <c r="AT31" s="16"/>
      <c r="AU31" s="16"/>
      <c r="AV31" s="16"/>
      <c r="AW31" s="16"/>
      <c r="AX31" s="16"/>
    </row>
    <row r="32">
      <c r="A32" s="16"/>
      <c r="B32" s="16"/>
      <c r="C32" s="42"/>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c r="AV32" s="16"/>
      <c r="AW32" s="16"/>
      <c r="AX32" s="16"/>
    </row>
    <row r="33">
      <c r="A33" s="16"/>
      <c r="B33" s="16"/>
      <c r="C33" s="42"/>
      <c r="D33" s="16"/>
      <c r="E33" s="16"/>
      <c r="F33" s="16"/>
      <c r="G33" s="16"/>
      <c r="H33" s="16"/>
      <c r="I33" s="16"/>
      <c r="J33" s="16"/>
      <c r="K33" s="16"/>
      <c r="L33" s="16"/>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c r="AS33" s="16"/>
      <c r="AT33" s="16"/>
      <c r="AU33" s="16"/>
      <c r="AV33" s="16"/>
      <c r="AW33" s="16"/>
      <c r="AX33" s="16"/>
    </row>
    <row r="34">
      <c r="A34" s="16"/>
      <c r="B34" s="16"/>
      <c r="C34" s="42"/>
      <c r="D34" s="16"/>
      <c r="E34" s="16"/>
      <c r="F34" s="16"/>
      <c r="G34" s="16"/>
      <c r="H34" s="16"/>
      <c r="I34" s="16"/>
      <c r="J34" s="16"/>
      <c r="K34" s="16"/>
      <c r="L34" s="16"/>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c r="AX34" s="16"/>
    </row>
    <row r="35">
      <c r="A35" s="16"/>
      <c r="B35" s="16"/>
      <c r="C35" s="42"/>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row>
    <row r="36">
      <c r="A36" s="16"/>
      <c r="B36" s="16"/>
      <c r="C36" s="42"/>
      <c r="D36" s="16"/>
      <c r="E36" s="16"/>
      <c r="F36" s="16"/>
      <c r="G36" s="16"/>
      <c r="H36" s="16"/>
      <c r="I36" s="16"/>
      <c r="J36" s="16"/>
      <c r="K36" s="16"/>
      <c r="L36" s="16"/>
      <c r="M36" s="16"/>
      <c r="N36" s="16"/>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c r="AX36" s="16"/>
    </row>
    <row r="37">
      <c r="A37" s="16"/>
      <c r="B37" s="16"/>
      <c r="C37" s="42"/>
      <c r="D37" s="16"/>
      <c r="E37" s="16"/>
      <c r="F37" s="16"/>
      <c r="G37" s="16"/>
      <c r="H37" s="16"/>
      <c r="I37" s="16"/>
      <c r="J37" s="16"/>
      <c r="K37" s="16"/>
      <c r="L37" s="16"/>
      <c r="M37" s="16"/>
      <c r="N37" s="16"/>
      <c r="O37" s="16"/>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c r="AX37" s="16"/>
    </row>
    <row r="38">
      <c r="A38" s="16"/>
      <c r="B38" s="16"/>
      <c r="C38" s="42"/>
      <c r="D38" s="16"/>
      <c r="E38" s="16"/>
      <c r="F38" s="16"/>
      <c r="G38" s="16"/>
      <c r="H38" s="16"/>
      <c r="I38" s="16"/>
      <c r="J38" s="16"/>
      <c r="K38" s="16"/>
      <c r="L38" s="16"/>
      <c r="M38" s="16"/>
      <c r="N38" s="16"/>
      <c r="O38" s="16"/>
      <c r="P38" s="16"/>
      <c r="Q38" s="16"/>
      <c r="R38" s="16"/>
      <c r="S38" s="16"/>
      <c r="T38" s="16"/>
      <c r="U38" s="16"/>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c r="AX38" s="16"/>
    </row>
    <row r="39">
      <c r="A39" s="16"/>
      <c r="B39" s="16"/>
      <c r="C39" s="42"/>
      <c r="D39" s="16"/>
      <c r="E39" s="16"/>
      <c r="F39" s="16"/>
      <c r="G39" s="16"/>
      <c r="H39" s="16"/>
      <c r="I39" s="16"/>
      <c r="J39" s="16"/>
      <c r="K39" s="16"/>
      <c r="L39" s="16"/>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c r="AW39" s="16"/>
      <c r="AX39" s="16"/>
    </row>
    <row r="40">
      <c r="A40" s="16"/>
      <c r="B40" s="16"/>
      <c r="C40" s="42"/>
      <c r="D40" s="16"/>
      <c r="E40" s="16"/>
      <c r="F40" s="16"/>
      <c r="G40" s="16"/>
      <c r="H40" s="16"/>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c r="AX40" s="16"/>
    </row>
    <row r="41">
      <c r="A41" s="16"/>
      <c r="B41" s="16"/>
      <c r="C41" s="42"/>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c r="AU41" s="16"/>
      <c r="AV41" s="16"/>
      <c r="AW41" s="16"/>
      <c r="AX41" s="16"/>
    </row>
    <row r="42">
      <c r="A42" s="16"/>
      <c r="B42" s="16"/>
      <c r="C42" s="42"/>
      <c r="D42" s="16"/>
      <c r="E42" s="16"/>
      <c r="F42" s="16"/>
      <c r="G42" s="16"/>
      <c r="H42" s="16"/>
      <c r="I42" s="16"/>
      <c r="J42" s="16"/>
      <c r="K42" s="16"/>
      <c r="L42" s="16"/>
      <c r="M42" s="16"/>
      <c r="N42" s="16"/>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c r="AS42" s="16"/>
      <c r="AT42" s="16"/>
      <c r="AU42" s="16"/>
      <c r="AV42" s="16"/>
      <c r="AW42" s="16"/>
      <c r="AX42" s="16"/>
    </row>
    <row r="43">
      <c r="A43" s="16"/>
      <c r="B43" s="16"/>
      <c r="C43" s="42"/>
      <c r="D43" s="16"/>
      <c r="E43" s="16"/>
      <c r="F43" s="16"/>
      <c r="G43" s="16"/>
      <c r="H43" s="16"/>
      <c r="I43" s="16"/>
      <c r="J43" s="16"/>
      <c r="K43" s="16"/>
      <c r="L43" s="16"/>
      <c r="M43" s="16"/>
      <c r="N43" s="16"/>
      <c r="O43" s="16"/>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c r="AW43" s="16"/>
      <c r="AX43" s="16"/>
    </row>
    <row r="44">
      <c r="A44" s="16"/>
      <c r="B44" s="16"/>
      <c r="C44" s="42"/>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c r="AW44" s="16"/>
      <c r="AX44" s="16"/>
    </row>
    <row r="45">
      <c r="A45" s="16"/>
      <c r="B45" s="16"/>
      <c r="C45" s="42"/>
      <c r="D45" s="16"/>
      <c r="E45" s="16"/>
      <c r="F45" s="16"/>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row>
    <row r="46">
      <c r="A46" s="16"/>
      <c r="B46" s="16"/>
      <c r="C46" s="42"/>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c r="AX46" s="16"/>
    </row>
    <row r="47">
      <c r="A47" s="16"/>
      <c r="B47" s="16"/>
      <c r="C47" s="42"/>
      <c r="D47" s="16"/>
      <c r="E47" s="16"/>
      <c r="F47" s="16"/>
      <c r="G47" s="16"/>
      <c r="H47" s="16"/>
      <c r="I47" s="16"/>
      <c r="J47" s="16"/>
      <c r="K47" s="16"/>
      <c r="L47" s="16"/>
      <c r="M47" s="16"/>
      <c r="N47" s="16"/>
      <c r="O47" s="16"/>
      <c r="P47" s="16"/>
      <c r="Q47" s="16"/>
      <c r="R47" s="16"/>
      <c r="S47" s="16"/>
      <c r="T47" s="16"/>
      <c r="U47" s="16"/>
      <c r="V47" s="16"/>
      <c r="W47" s="16"/>
      <c r="X47" s="16"/>
      <c r="Y47" s="16"/>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row>
    <row r="48">
      <c r="A48" s="16"/>
      <c r="B48" s="16"/>
      <c r="C48" s="42"/>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c r="AD48" s="16"/>
      <c r="AE48" s="16"/>
      <c r="AF48" s="16"/>
      <c r="AG48" s="16"/>
      <c r="AH48" s="16"/>
      <c r="AI48" s="16"/>
      <c r="AJ48" s="16"/>
      <c r="AK48" s="16"/>
      <c r="AL48" s="16"/>
      <c r="AM48" s="16"/>
      <c r="AN48" s="16"/>
      <c r="AO48" s="16"/>
      <c r="AP48" s="16"/>
      <c r="AQ48" s="16"/>
      <c r="AR48" s="16"/>
      <c r="AS48" s="16"/>
      <c r="AT48" s="16"/>
      <c r="AU48" s="16"/>
      <c r="AV48" s="16"/>
      <c r="AW48" s="16"/>
      <c r="AX48" s="16"/>
    </row>
    <row r="49">
      <c r="A49" s="16"/>
      <c r="B49" s="16"/>
      <c r="C49" s="42"/>
      <c r="D49" s="16"/>
      <c r="E49" s="16"/>
      <c r="F49" s="16"/>
      <c r="G49" s="16"/>
      <c r="H49" s="16"/>
      <c r="I49" s="16"/>
      <c r="J49" s="16"/>
      <c r="K49" s="16"/>
      <c r="L49" s="16"/>
      <c r="M49" s="16"/>
      <c r="N49" s="16"/>
      <c r="O49" s="16"/>
      <c r="P49" s="16"/>
      <c r="Q49" s="16"/>
      <c r="R49" s="16"/>
      <c r="S49" s="16"/>
      <c r="T49" s="16"/>
      <c r="U49" s="16"/>
      <c r="V49" s="16"/>
      <c r="W49" s="16"/>
      <c r="X49" s="16"/>
      <c r="Y49" s="16"/>
      <c r="Z49" s="16"/>
      <c r="AA49" s="16"/>
      <c r="AB49" s="16"/>
      <c r="AC49" s="16"/>
      <c r="AD49" s="16"/>
      <c r="AE49" s="16"/>
      <c r="AF49" s="16"/>
      <c r="AG49" s="16"/>
      <c r="AH49" s="16"/>
      <c r="AI49" s="16"/>
      <c r="AJ49" s="16"/>
      <c r="AK49" s="16"/>
      <c r="AL49" s="16"/>
      <c r="AM49" s="16"/>
      <c r="AN49" s="16"/>
      <c r="AO49" s="16"/>
      <c r="AP49" s="16"/>
      <c r="AQ49" s="16"/>
      <c r="AR49" s="16"/>
      <c r="AS49" s="16"/>
      <c r="AT49" s="16"/>
      <c r="AU49" s="16"/>
      <c r="AV49" s="16"/>
      <c r="AW49" s="16"/>
      <c r="AX49" s="16"/>
    </row>
    <row r="50">
      <c r="A50" s="16"/>
      <c r="B50" s="16"/>
      <c r="C50" s="42"/>
      <c r="D50" s="16"/>
      <c r="E50" s="16"/>
      <c r="F50" s="16"/>
      <c r="G50" s="16"/>
      <c r="H50" s="16"/>
      <c r="I50" s="16"/>
      <c r="J50" s="16"/>
      <c r="K50" s="16"/>
      <c r="L50" s="16"/>
      <c r="M50" s="16"/>
      <c r="N50" s="16"/>
      <c r="O50" s="16"/>
      <c r="P50" s="16"/>
      <c r="Q50" s="16"/>
      <c r="R50" s="16"/>
      <c r="S50" s="16"/>
      <c r="T50" s="16"/>
      <c r="U50" s="16"/>
      <c r="V50" s="16"/>
      <c r="W50" s="16"/>
      <c r="X50" s="16"/>
      <c r="Y50" s="16"/>
      <c r="Z50" s="16"/>
      <c r="AA50" s="16"/>
      <c r="AB50" s="16"/>
      <c r="AC50" s="16"/>
      <c r="AD50" s="16"/>
      <c r="AE50" s="16"/>
      <c r="AF50" s="16"/>
      <c r="AG50" s="16"/>
      <c r="AH50" s="16"/>
      <c r="AI50" s="16"/>
      <c r="AJ50" s="16"/>
      <c r="AK50" s="16"/>
      <c r="AL50" s="16"/>
      <c r="AM50" s="16"/>
      <c r="AN50" s="16"/>
      <c r="AO50" s="16"/>
      <c r="AP50" s="16"/>
      <c r="AQ50" s="16"/>
      <c r="AR50" s="16"/>
      <c r="AS50" s="16"/>
      <c r="AT50" s="16"/>
      <c r="AU50" s="16"/>
      <c r="AV50" s="16"/>
      <c r="AW50" s="16"/>
      <c r="AX50" s="16"/>
    </row>
    <row r="51">
      <c r="A51" s="16"/>
      <c r="B51" s="16"/>
      <c r="C51" s="42"/>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c r="AL51" s="16"/>
      <c r="AM51" s="16"/>
      <c r="AN51" s="16"/>
      <c r="AO51" s="16"/>
      <c r="AP51" s="16"/>
      <c r="AQ51" s="16"/>
      <c r="AR51" s="16"/>
      <c r="AS51" s="16"/>
      <c r="AT51" s="16"/>
      <c r="AU51" s="16"/>
      <c r="AV51" s="16"/>
      <c r="AW51" s="16"/>
      <c r="AX51" s="16"/>
    </row>
    <row r="52">
      <c r="A52" s="16"/>
      <c r="B52" s="16"/>
      <c r="C52" s="42"/>
      <c r="D52" s="16"/>
      <c r="E52" s="16"/>
      <c r="F52" s="16"/>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c r="AG52" s="16"/>
      <c r="AH52" s="16"/>
      <c r="AI52" s="16"/>
      <c r="AJ52" s="16"/>
      <c r="AK52" s="16"/>
      <c r="AL52" s="16"/>
      <c r="AM52" s="16"/>
      <c r="AN52" s="16"/>
      <c r="AO52" s="16"/>
      <c r="AP52" s="16"/>
      <c r="AQ52" s="16"/>
      <c r="AR52" s="16"/>
      <c r="AS52" s="16"/>
      <c r="AT52" s="16"/>
      <c r="AU52" s="16"/>
      <c r="AV52" s="16"/>
      <c r="AW52" s="16"/>
      <c r="AX52" s="16"/>
    </row>
    <row r="53">
      <c r="A53" s="16"/>
      <c r="B53" s="16"/>
      <c r="C53" s="42"/>
      <c r="D53" s="16"/>
      <c r="E53" s="16"/>
      <c r="F53" s="16"/>
      <c r="G53" s="16"/>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c r="AX53" s="16"/>
    </row>
    <row r="54">
      <c r="A54" s="16"/>
      <c r="B54" s="16"/>
      <c r="C54" s="42"/>
      <c r="D54" s="16"/>
      <c r="E54" s="16"/>
      <c r="F54" s="16"/>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c r="AX54" s="16"/>
    </row>
    <row r="55">
      <c r="A55" s="16"/>
      <c r="B55" s="16"/>
      <c r="C55" s="42"/>
      <c r="D55" s="16"/>
      <c r="E55" s="16"/>
      <c r="F55" s="16"/>
      <c r="G55" s="16"/>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c r="AX55" s="16"/>
    </row>
    <row r="56">
      <c r="A56" s="16"/>
      <c r="B56" s="16"/>
      <c r="C56" s="42"/>
      <c r="D56" s="16"/>
      <c r="E56" s="16"/>
      <c r="F56" s="16"/>
      <c r="G56" s="16"/>
      <c r="H56" s="16"/>
      <c r="I56" s="16"/>
      <c r="J56" s="16"/>
      <c r="K56" s="16"/>
      <c r="L56" s="16"/>
      <c r="M56" s="16"/>
      <c r="N56" s="16"/>
      <c r="O56" s="16"/>
      <c r="P56" s="16"/>
      <c r="Q56" s="16"/>
      <c r="R56" s="16"/>
      <c r="S56" s="16"/>
      <c r="T56" s="16"/>
      <c r="U56" s="16"/>
      <c r="V56" s="16"/>
      <c r="W56" s="16"/>
      <c r="X56" s="16"/>
      <c r="Y56" s="16"/>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c r="AX56" s="16"/>
    </row>
    <row r="57">
      <c r="A57" s="16"/>
      <c r="B57" s="16"/>
      <c r="C57" s="42"/>
      <c r="D57" s="16"/>
      <c r="E57" s="16"/>
      <c r="F57" s="16"/>
      <c r="G57" s="16"/>
      <c r="H57" s="16"/>
      <c r="I57" s="16"/>
      <c r="J57" s="16"/>
      <c r="K57" s="16"/>
      <c r="L57" s="16"/>
      <c r="M57" s="16"/>
      <c r="N57" s="16"/>
      <c r="O57" s="16"/>
      <c r="P57" s="16"/>
      <c r="Q57" s="16"/>
      <c r="R57" s="16"/>
      <c r="S57" s="16"/>
      <c r="T57" s="16"/>
      <c r="U57" s="16"/>
      <c r="V57" s="16"/>
      <c r="W57" s="16"/>
      <c r="X57" s="16"/>
      <c r="Y57" s="16"/>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row>
    <row r="58">
      <c r="A58" s="16"/>
      <c r="B58" s="16"/>
      <c r="C58" s="42"/>
      <c r="D58" s="16"/>
      <c r="E58" s="16"/>
      <c r="F58" s="16"/>
      <c r="G58" s="16"/>
      <c r="H58" s="16"/>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row>
    <row r="59">
      <c r="A59" s="16"/>
      <c r="B59" s="16"/>
      <c r="C59" s="42"/>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row>
    <row r="60">
      <c r="A60" s="16"/>
      <c r="B60" s="16"/>
      <c r="C60" s="42"/>
      <c r="D60" s="16"/>
      <c r="E60" s="16"/>
      <c r="F60" s="16"/>
      <c r="G60" s="16"/>
      <c r="H60" s="16"/>
      <c r="I60" s="16"/>
      <c r="J60" s="16"/>
      <c r="K60" s="16"/>
      <c r="L60" s="16"/>
      <c r="M60" s="16"/>
      <c r="N60" s="16"/>
      <c r="O60" s="16"/>
      <c r="P60" s="16"/>
      <c r="Q60" s="16"/>
      <c r="R60" s="16"/>
      <c r="S60" s="16"/>
      <c r="T60" s="16"/>
      <c r="U60" s="16"/>
      <c r="V60" s="16"/>
      <c r="W60" s="16"/>
      <c r="X60" s="16"/>
      <c r="Y60" s="16"/>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row>
    <row r="61">
      <c r="A61" s="16"/>
      <c r="B61" s="16"/>
      <c r="C61" s="42"/>
      <c r="D61" s="16"/>
      <c r="E61" s="16"/>
      <c r="F61" s="16"/>
      <c r="G61" s="16"/>
      <c r="H61" s="16"/>
      <c r="I61" s="16"/>
      <c r="J61" s="16"/>
      <c r="K61" s="16"/>
      <c r="L61" s="16"/>
      <c r="M61" s="16"/>
      <c r="N61" s="16"/>
      <c r="O61" s="16"/>
      <c r="P61" s="16"/>
      <c r="Q61" s="16"/>
      <c r="R61" s="16"/>
      <c r="S61" s="16"/>
      <c r="T61" s="16"/>
      <c r="U61" s="16"/>
      <c r="V61" s="16"/>
      <c r="W61" s="16"/>
      <c r="X61" s="16"/>
      <c r="Y61" s="16"/>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row>
    <row r="62">
      <c r="A62" s="16"/>
      <c r="B62" s="16"/>
      <c r="C62" s="42"/>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c r="AX62" s="16"/>
    </row>
    <row r="63">
      <c r="A63" s="16"/>
      <c r="B63" s="16"/>
      <c r="C63" s="42"/>
      <c r="D63" s="16"/>
      <c r="E63" s="16"/>
      <c r="F63" s="16"/>
      <c r="G63" s="16"/>
      <c r="H63" s="16"/>
      <c r="I63" s="16"/>
      <c r="J63" s="16"/>
      <c r="K63" s="16"/>
      <c r="L63" s="16"/>
      <c r="M63" s="16"/>
      <c r="N63" s="16"/>
      <c r="O63" s="16"/>
      <c r="P63" s="16"/>
      <c r="Q63" s="16"/>
      <c r="R63" s="16"/>
      <c r="S63" s="16"/>
      <c r="T63" s="16"/>
      <c r="U63" s="16"/>
      <c r="V63" s="16"/>
      <c r="W63" s="16"/>
      <c r="X63" s="16"/>
      <c r="Y63" s="16"/>
      <c r="Z63" s="16"/>
      <c r="AA63" s="16"/>
      <c r="AB63" s="16"/>
      <c r="AC63" s="16"/>
      <c r="AD63" s="16"/>
      <c r="AE63" s="16"/>
      <c r="AF63" s="16"/>
      <c r="AG63" s="16"/>
      <c r="AH63" s="16"/>
      <c r="AI63" s="16"/>
      <c r="AJ63" s="16"/>
      <c r="AK63" s="16"/>
      <c r="AL63" s="16"/>
      <c r="AM63" s="16"/>
      <c r="AN63" s="16"/>
      <c r="AO63" s="16"/>
      <c r="AP63" s="16"/>
      <c r="AQ63" s="16"/>
      <c r="AR63" s="16"/>
      <c r="AS63" s="16"/>
      <c r="AT63" s="16"/>
      <c r="AU63" s="16"/>
      <c r="AV63" s="16"/>
      <c r="AW63" s="16"/>
      <c r="AX63" s="16"/>
    </row>
    <row r="64">
      <c r="A64" s="16"/>
      <c r="B64" s="16"/>
      <c r="C64" s="42"/>
      <c r="D64" s="16"/>
      <c r="E64" s="16"/>
      <c r="F64" s="16"/>
      <c r="G64" s="16"/>
      <c r="H64" s="16"/>
      <c r="I64" s="16"/>
      <c r="J64" s="16"/>
      <c r="K64" s="16"/>
      <c r="L64" s="16"/>
      <c r="M64" s="16"/>
      <c r="N64" s="16"/>
      <c r="O64" s="16"/>
      <c r="P64" s="16"/>
      <c r="Q64" s="16"/>
      <c r="R64" s="16"/>
      <c r="S64" s="16"/>
      <c r="T64" s="16"/>
      <c r="U64" s="16"/>
      <c r="V64" s="16"/>
      <c r="W64" s="16"/>
      <c r="X64" s="16"/>
      <c r="Y64" s="16"/>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c r="AX64" s="16"/>
    </row>
    <row r="65">
      <c r="A65" s="16"/>
      <c r="B65" s="16"/>
      <c r="C65" s="42"/>
      <c r="D65" s="16"/>
      <c r="E65" s="16"/>
      <c r="F65" s="16"/>
      <c r="G65" s="16"/>
      <c r="H65" s="16"/>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c r="AX65" s="16"/>
    </row>
    <row r="66">
      <c r="A66" s="16"/>
      <c r="B66" s="16"/>
      <c r="C66" s="42"/>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c r="AX66" s="16"/>
    </row>
    <row r="67">
      <c r="A67" s="16"/>
      <c r="B67" s="16"/>
      <c r="C67" s="42"/>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c r="AL67" s="16"/>
      <c r="AM67" s="16"/>
      <c r="AN67" s="16"/>
      <c r="AO67" s="16"/>
      <c r="AP67" s="16"/>
      <c r="AQ67" s="16"/>
      <c r="AR67" s="16"/>
      <c r="AS67" s="16"/>
      <c r="AT67" s="16"/>
      <c r="AU67" s="16"/>
      <c r="AV67" s="16"/>
      <c r="AW67" s="16"/>
      <c r="AX67" s="16"/>
    </row>
    <row r="68">
      <c r="A68" s="16"/>
      <c r="B68" s="16"/>
      <c r="C68" s="42"/>
      <c r="D68" s="16"/>
      <c r="E68" s="16"/>
      <c r="F68" s="16"/>
      <c r="G68" s="16"/>
      <c r="H68" s="16"/>
      <c r="I68" s="16"/>
      <c r="J68" s="16"/>
      <c r="K68" s="16"/>
      <c r="L68" s="16"/>
      <c r="M68" s="16"/>
      <c r="N68" s="16"/>
      <c r="O68" s="16"/>
      <c r="P68" s="16"/>
      <c r="Q68" s="16"/>
      <c r="R68" s="16"/>
      <c r="S68" s="16"/>
      <c r="T68" s="16"/>
      <c r="U68" s="16"/>
      <c r="V68" s="16"/>
      <c r="W68" s="16"/>
      <c r="X68" s="16"/>
      <c r="Y68" s="16"/>
      <c r="Z68" s="16"/>
      <c r="AA68" s="16"/>
      <c r="AB68" s="16"/>
      <c r="AC68" s="16"/>
      <c r="AD68" s="16"/>
      <c r="AE68" s="16"/>
      <c r="AF68" s="16"/>
      <c r="AG68" s="16"/>
      <c r="AH68" s="16"/>
      <c r="AI68" s="16"/>
      <c r="AJ68" s="16"/>
      <c r="AK68" s="16"/>
      <c r="AL68" s="16"/>
      <c r="AM68" s="16"/>
      <c r="AN68" s="16"/>
      <c r="AO68" s="16"/>
      <c r="AP68" s="16"/>
      <c r="AQ68" s="16"/>
      <c r="AR68" s="16"/>
      <c r="AS68" s="16"/>
      <c r="AT68" s="16"/>
      <c r="AU68" s="16"/>
      <c r="AV68" s="16"/>
      <c r="AW68" s="16"/>
      <c r="AX68" s="16"/>
    </row>
    <row r="69">
      <c r="A69" s="16"/>
      <c r="B69" s="16"/>
      <c r="C69" s="42"/>
      <c r="D69" s="16"/>
      <c r="E69" s="16"/>
      <c r="F69" s="16"/>
      <c r="G69" s="16"/>
      <c r="H69" s="16"/>
      <c r="I69" s="16"/>
      <c r="J69" s="16"/>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c r="AX69" s="16"/>
    </row>
    <row r="70">
      <c r="A70" s="16"/>
      <c r="B70" s="16"/>
      <c r="C70" s="42"/>
      <c r="D70" s="16"/>
      <c r="E70" s="16"/>
      <c r="F70" s="16"/>
      <c r="G70" s="16"/>
      <c r="H70" s="16"/>
      <c r="I70" s="16"/>
      <c r="J70" s="16"/>
      <c r="K70" s="16"/>
      <c r="L70" s="16"/>
      <c r="M70" s="16"/>
      <c r="N70" s="16"/>
      <c r="O70" s="16"/>
      <c r="P70" s="16"/>
      <c r="Q70" s="16"/>
      <c r="R70" s="16"/>
      <c r="S70" s="16"/>
      <c r="T70" s="16"/>
      <c r="U70" s="16"/>
      <c r="V70" s="16"/>
      <c r="W70" s="16"/>
      <c r="X70" s="16"/>
      <c r="Y70" s="16"/>
      <c r="Z70" s="16"/>
      <c r="AA70" s="16"/>
      <c r="AB70" s="16"/>
      <c r="AC70" s="16"/>
      <c r="AD70" s="16"/>
      <c r="AE70" s="16"/>
      <c r="AF70" s="16"/>
      <c r="AG70" s="16"/>
      <c r="AH70" s="16"/>
      <c r="AI70" s="16"/>
      <c r="AJ70" s="16"/>
      <c r="AK70" s="16"/>
      <c r="AL70" s="16"/>
      <c r="AM70" s="16"/>
      <c r="AN70" s="16"/>
      <c r="AO70" s="16"/>
      <c r="AP70" s="16"/>
      <c r="AQ70" s="16"/>
      <c r="AR70" s="16"/>
      <c r="AS70" s="16"/>
      <c r="AT70" s="16"/>
      <c r="AU70" s="16"/>
      <c r="AV70" s="16"/>
      <c r="AW70" s="16"/>
      <c r="AX70" s="16"/>
    </row>
    <row r="71">
      <c r="A71" s="16"/>
      <c r="B71" s="16"/>
      <c r="C71" s="42"/>
      <c r="D71" s="16"/>
      <c r="E71" s="16"/>
      <c r="F71" s="16"/>
      <c r="G71" s="16"/>
      <c r="H71" s="16"/>
      <c r="I71" s="16"/>
      <c r="J71" s="16"/>
      <c r="K71" s="16"/>
      <c r="L71" s="16"/>
      <c r="M71" s="16"/>
      <c r="N71" s="16"/>
      <c r="O71" s="16"/>
      <c r="P71" s="16"/>
      <c r="Q71" s="16"/>
      <c r="R71" s="16"/>
      <c r="S71" s="16"/>
      <c r="T71" s="16"/>
      <c r="U71" s="16"/>
      <c r="V71" s="16"/>
      <c r="W71" s="16"/>
      <c r="X71" s="16"/>
      <c r="Y71" s="16"/>
      <c r="Z71" s="16"/>
      <c r="AA71" s="16"/>
      <c r="AB71" s="16"/>
      <c r="AC71" s="16"/>
      <c r="AD71" s="16"/>
      <c r="AE71" s="16"/>
      <c r="AF71" s="16"/>
      <c r="AG71" s="16"/>
      <c r="AH71" s="16"/>
      <c r="AI71" s="16"/>
      <c r="AJ71" s="16"/>
      <c r="AK71" s="16"/>
      <c r="AL71" s="16"/>
      <c r="AM71" s="16"/>
      <c r="AN71" s="16"/>
      <c r="AO71" s="16"/>
      <c r="AP71" s="16"/>
      <c r="AQ71" s="16"/>
      <c r="AR71" s="16"/>
      <c r="AS71" s="16"/>
      <c r="AT71" s="16"/>
      <c r="AU71" s="16"/>
      <c r="AV71" s="16"/>
      <c r="AW71" s="16"/>
      <c r="AX71" s="16"/>
    </row>
    <row r="72">
      <c r="A72" s="16"/>
      <c r="B72" s="16"/>
      <c r="C72" s="42"/>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c r="AL72" s="16"/>
      <c r="AM72" s="16"/>
      <c r="AN72" s="16"/>
      <c r="AO72" s="16"/>
      <c r="AP72" s="16"/>
      <c r="AQ72" s="16"/>
      <c r="AR72" s="16"/>
      <c r="AS72" s="16"/>
      <c r="AT72" s="16"/>
      <c r="AU72" s="16"/>
      <c r="AV72" s="16"/>
      <c r="AW72" s="16"/>
      <c r="AX72" s="16"/>
    </row>
    <row r="73">
      <c r="A73" s="16"/>
      <c r="B73" s="16"/>
      <c r="C73" s="42"/>
      <c r="D73" s="16"/>
      <c r="E73" s="16"/>
      <c r="F73" s="16"/>
      <c r="G73" s="16"/>
      <c r="H73" s="16"/>
      <c r="I73" s="16"/>
      <c r="J73" s="16"/>
      <c r="K73" s="16"/>
      <c r="L73" s="16"/>
      <c r="M73" s="16"/>
      <c r="N73" s="16"/>
      <c r="O73" s="16"/>
      <c r="P73" s="16"/>
      <c r="Q73" s="16"/>
      <c r="R73" s="16"/>
      <c r="S73" s="16"/>
      <c r="T73" s="16"/>
      <c r="U73" s="16"/>
      <c r="V73" s="16"/>
      <c r="W73" s="16"/>
      <c r="X73" s="16"/>
      <c r="Y73" s="16"/>
      <c r="Z73" s="16"/>
      <c r="AA73" s="16"/>
      <c r="AB73" s="16"/>
      <c r="AC73" s="16"/>
      <c r="AD73" s="16"/>
      <c r="AE73" s="16"/>
      <c r="AF73" s="16"/>
      <c r="AG73" s="16"/>
      <c r="AH73" s="16"/>
      <c r="AI73" s="16"/>
      <c r="AJ73" s="16"/>
      <c r="AK73" s="16"/>
      <c r="AL73" s="16"/>
      <c r="AM73" s="16"/>
      <c r="AN73" s="16"/>
      <c r="AO73" s="16"/>
      <c r="AP73" s="16"/>
      <c r="AQ73" s="16"/>
      <c r="AR73" s="16"/>
      <c r="AS73" s="16"/>
      <c r="AT73" s="16"/>
      <c r="AU73" s="16"/>
      <c r="AV73" s="16"/>
      <c r="AW73" s="16"/>
      <c r="AX73" s="16"/>
    </row>
    <row r="74">
      <c r="A74" s="16"/>
      <c r="B74" s="16"/>
      <c r="C74" s="42"/>
      <c r="D74" s="16"/>
      <c r="E74" s="16"/>
      <c r="F74" s="16"/>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c r="AG74" s="16"/>
      <c r="AH74" s="16"/>
      <c r="AI74" s="16"/>
      <c r="AJ74" s="16"/>
      <c r="AK74" s="16"/>
      <c r="AL74" s="16"/>
      <c r="AM74" s="16"/>
      <c r="AN74" s="16"/>
      <c r="AO74" s="16"/>
      <c r="AP74" s="16"/>
      <c r="AQ74" s="16"/>
      <c r="AR74" s="16"/>
      <c r="AS74" s="16"/>
      <c r="AT74" s="16"/>
      <c r="AU74" s="16"/>
      <c r="AV74" s="16"/>
      <c r="AW74" s="16"/>
      <c r="AX74" s="16"/>
    </row>
    <row r="75">
      <c r="A75" s="16"/>
      <c r="B75" s="16"/>
      <c r="C75" s="42"/>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row>
    <row r="76">
      <c r="A76" s="16"/>
      <c r="B76" s="16"/>
      <c r="C76" s="42"/>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c r="AL76" s="16"/>
      <c r="AM76" s="16"/>
      <c r="AN76" s="16"/>
      <c r="AO76" s="16"/>
      <c r="AP76" s="16"/>
      <c r="AQ76" s="16"/>
      <c r="AR76" s="16"/>
      <c r="AS76" s="16"/>
      <c r="AT76" s="16"/>
      <c r="AU76" s="16"/>
      <c r="AV76" s="16"/>
      <c r="AW76" s="16"/>
      <c r="AX76" s="16"/>
    </row>
    <row r="77">
      <c r="A77" s="16"/>
      <c r="B77" s="16"/>
      <c r="C77" s="42"/>
      <c r="D77" s="16"/>
      <c r="E77" s="16"/>
      <c r="F77" s="16"/>
      <c r="G77" s="16"/>
      <c r="H77" s="16"/>
      <c r="I77" s="16"/>
      <c r="J77" s="16"/>
      <c r="K77" s="16"/>
      <c r="L77" s="16"/>
      <c r="M77" s="16"/>
      <c r="N77" s="16"/>
      <c r="O77" s="16"/>
      <c r="P77" s="16"/>
      <c r="Q77" s="16"/>
      <c r="R77" s="16"/>
      <c r="S77" s="16"/>
      <c r="T77" s="16"/>
      <c r="U77" s="16"/>
      <c r="V77" s="16"/>
      <c r="W77" s="16"/>
      <c r="X77" s="16"/>
      <c r="Y77" s="16"/>
      <c r="Z77" s="16"/>
      <c r="AA77" s="16"/>
      <c r="AB77" s="16"/>
      <c r="AC77" s="16"/>
      <c r="AD77" s="16"/>
      <c r="AE77" s="16"/>
      <c r="AF77" s="16"/>
      <c r="AG77" s="16"/>
      <c r="AH77" s="16"/>
      <c r="AI77" s="16"/>
      <c r="AJ77" s="16"/>
      <c r="AK77" s="16"/>
      <c r="AL77" s="16"/>
      <c r="AM77" s="16"/>
      <c r="AN77" s="16"/>
      <c r="AO77" s="16"/>
      <c r="AP77" s="16"/>
      <c r="AQ77" s="16"/>
      <c r="AR77" s="16"/>
      <c r="AS77" s="16"/>
      <c r="AT77" s="16"/>
      <c r="AU77" s="16"/>
      <c r="AV77" s="16"/>
      <c r="AW77" s="16"/>
      <c r="AX77" s="16"/>
    </row>
    <row r="78">
      <c r="A78" s="16"/>
      <c r="B78" s="16"/>
      <c r="C78" s="42"/>
      <c r="D78" s="16"/>
      <c r="E78" s="16"/>
      <c r="F78" s="16"/>
      <c r="G78" s="16"/>
      <c r="H78" s="16"/>
      <c r="I78" s="16"/>
      <c r="J78" s="16"/>
      <c r="K78" s="16"/>
      <c r="L78" s="16"/>
      <c r="M78" s="16"/>
      <c r="N78" s="16"/>
      <c r="O78" s="16"/>
      <c r="P78" s="16"/>
      <c r="Q78" s="16"/>
      <c r="R78" s="16"/>
      <c r="S78" s="16"/>
      <c r="T78" s="16"/>
      <c r="U78" s="16"/>
      <c r="V78" s="16"/>
      <c r="W78" s="16"/>
      <c r="X78" s="16"/>
      <c r="Y78" s="16"/>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X78" s="16"/>
    </row>
    <row r="79">
      <c r="A79" s="16"/>
      <c r="B79" s="16"/>
      <c r="C79" s="42"/>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row>
    <row r="80">
      <c r="A80" s="16"/>
      <c r="B80" s="16"/>
      <c r="C80" s="42"/>
      <c r="D80" s="16"/>
      <c r="E80" s="16"/>
      <c r="F80" s="16"/>
      <c r="G80" s="16"/>
      <c r="H80" s="16"/>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c r="AX80" s="16"/>
    </row>
    <row r="81">
      <c r="A81" s="16"/>
      <c r="B81" s="16"/>
      <c r="C81" s="42"/>
      <c r="D81" s="16"/>
      <c r="E81" s="16"/>
      <c r="F81" s="16"/>
      <c r="G81" s="16"/>
      <c r="H81" s="16"/>
      <c r="I81" s="16"/>
      <c r="J81" s="16"/>
      <c r="K81" s="16"/>
      <c r="L81" s="16"/>
      <c r="M81" s="16"/>
      <c r="N81" s="16"/>
      <c r="O81" s="16"/>
      <c r="P81" s="16"/>
      <c r="Q81" s="16"/>
      <c r="R81" s="16"/>
      <c r="S81" s="16"/>
      <c r="T81" s="16"/>
      <c r="U81" s="16"/>
      <c r="V81" s="16"/>
      <c r="W81" s="16"/>
      <c r="X81" s="16"/>
      <c r="Y81" s="16"/>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c r="AX81" s="16"/>
    </row>
    <row r="82">
      <c r="A82" s="16"/>
      <c r="B82" s="16"/>
      <c r="C82" s="42"/>
      <c r="D82" s="16"/>
      <c r="E82" s="16"/>
      <c r="F82" s="16"/>
      <c r="G82" s="16"/>
      <c r="H82" s="16"/>
      <c r="I82" s="16"/>
      <c r="J82" s="16"/>
      <c r="K82" s="16"/>
      <c r="L82" s="16"/>
      <c r="M82" s="16"/>
      <c r="N82" s="16"/>
      <c r="O82" s="16"/>
      <c r="P82" s="16"/>
      <c r="Q82" s="16"/>
      <c r="R82" s="16"/>
      <c r="S82" s="16"/>
      <c r="T82" s="16"/>
      <c r="U82" s="16"/>
      <c r="V82" s="16"/>
      <c r="W82" s="16"/>
      <c r="X82" s="16"/>
      <c r="Y82" s="16"/>
      <c r="Z82" s="16"/>
      <c r="AA82" s="16"/>
      <c r="AB82" s="16"/>
      <c r="AC82" s="16"/>
      <c r="AD82" s="16"/>
      <c r="AE82" s="16"/>
      <c r="AF82" s="16"/>
      <c r="AG82" s="16"/>
      <c r="AH82" s="16"/>
      <c r="AI82" s="16"/>
      <c r="AJ82" s="16"/>
      <c r="AK82" s="16"/>
      <c r="AL82" s="16"/>
      <c r="AM82" s="16"/>
      <c r="AN82" s="16"/>
      <c r="AO82" s="16"/>
      <c r="AP82" s="16"/>
      <c r="AQ82" s="16"/>
      <c r="AR82" s="16"/>
      <c r="AS82" s="16"/>
      <c r="AT82" s="16"/>
      <c r="AU82" s="16"/>
      <c r="AV82" s="16"/>
      <c r="AW82" s="16"/>
      <c r="AX82" s="16"/>
    </row>
    <row r="83">
      <c r="A83" s="16"/>
      <c r="B83" s="16"/>
      <c r="C83" s="42"/>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c r="AL83" s="16"/>
      <c r="AM83" s="16"/>
      <c r="AN83" s="16"/>
      <c r="AO83" s="16"/>
      <c r="AP83" s="16"/>
      <c r="AQ83" s="16"/>
      <c r="AR83" s="16"/>
      <c r="AS83" s="16"/>
      <c r="AT83" s="16"/>
      <c r="AU83" s="16"/>
      <c r="AV83" s="16"/>
      <c r="AW83" s="16"/>
      <c r="AX83" s="16"/>
    </row>
    <row r="84">
      <c r="A84" s="16"/>
      <c r="B84" s="16"/>
      <c r="C84" s="42"/>
      <c r="D84" s="16"/>
      <c r="E84" s="16"/>
      <c r="F84" s="16"/>
      <c r="G84" s="16"/>
      <c r="H84" s="16"/>
      <c r="I84" s="16"/>
      <c r="J84" s="16"/>
      <c r="K84" s="16"/>
      <c r="L84" s="16"/>
      <c r="M84" s="16"/>
      <c r="N84" s="16"/>
      <c r="O84" s="16"/>
      <c r="P84" s="16"/>
      <c r="Q84" s="16"/>
      <c r="R84" s="16"/>
      <c r="S84" s="16"/>
      <c r="T84" s="16"/>
      <c r="U84" s="16"/>
      <c r="V84" s="16"/>
      <c r="W84" s="16"/>
      <c r="X84" s="16"/>
      <c r="Y84" s="16"/>
      <c r="Z84" s="16"/>
      <c r="AA84" s="16"/>
      <c r="AB84" s="16"/>
      <c r="AC84" s="16"/>
      <c r="AD84" s="16"/>
      <c r="AE84" s="16"/>
      <c r="AF84" s="16"/>
      <c r="AG84" s="16"/>
      <c r="AH84" s="16"/>
      <c r="AI84" s="16"/>
      <c r="AJ84" s="16"/>
      <c r="AK84" s="16"/>
      <c r="AL84" s="16"/>
      <c r="AM84" s="16"/>
      <c r="AN84" s="16"/>
      <c r="AO84" s="16"/>
      <c r="AP84" s="16"/>
      <c r="AQ84" s="16"/>
      <c r="AR84" s="16"/>
      <c r="AS84" s="16"/>
      <c r="AT84" s="16"/>
      <c r="AU84" s="16"/>
      <c r="AV84" s="16"/>
      <c r="AW84" s="16"/>
      <c r="AX84" s="16"/>
    </row>
    <row r="85">
      <c r="A85" s="16"/>
      <c r="B85" s="16"/>
      <c r="C85" s="42"/>
      <c r="D85" s="16"/>
      <c r="E85" s="16"/>
      <c r="F85" s="16"/>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row>
    <row r="86">
      <c r="A86" s="16"/>
      <c r="B86" s="16"/>
      <c r="C86" s="42"/>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row>
    <row r="87">
      <c r="A87" s="16"/>
      <c r="B87" s="16"/>
      <c r="C87" s="42"/>
      <c r="D87" s="16"/>
      <c r="E87" s="16"/>
      <c r="F87" s="16"/>
      <c r="G87" s="16"/>
      <c r="H87" s="16"/>
      <c r="I87" s="16"/>
      <c r="J87" s="16"/>
      <c r="K87" s="16"/>
      <c r="L87" s="16"/>
      <c r="M87" s="16"/>
      <c r="N87" s="16"/>
      <c r="O87" s="16"/>
      <c r="P87" s="16"/>
      <c r="Q87" s="16"/>
      <c r="R87" s="16"/>
      <c r="S87" s="16"/>
      <c r="T87" s="16"/>
      <c r="U87" s="16"/>
      <c r="V87" s="16"/>
      <c r="W87" s="16"/>
      <c r="X87" s="16"/>
      <c r="Y87" s="16"/>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c r="AX87" s="16"/>
    </row>
    <row r="88">
      <c r="A88" s="16"/>
      <c r="B88" s="16"/>
      <c r="C88" s="42"/>
      <c r="D88" s="16"/>
      <c r="E88" s="16"/>
      <c r="F88" s="16"/>
      <c r="G88" s="16"/>
      <c r="H88" s="16"/>
      <c r="I88" s="16"/>
      <c r="J88" s="16"/>
      <c r="K88" s="16"/>
      <c r="L88" s="16"/>
      <c r="M88" s="16"/>
      <c r="N88" s="16"/>
      <c r="O88" s="16"/>
      <c r="P88" s="16"/>
      <c r="Q88" s="16"/>
      <c r="R88" s="16"/>
      <c r="S88" s="16"/>
      <c r="T88" s="16"/>
      <c r="U88" s="16"/>
      <c r="V88" s="16"/>
      <c r="W88" s="16"/>
      <c r="X88" s="16"/>
      <c r="Y88" s="16"/>
      <c r="Z88" s="16"/>
      <c r="AA88" s="16"/>
      <c r="AB88" s="16"/>
      <c r="AC88" s="16"/>
      <c r="AD88" s="16"/>
      <c r="AE88" s="16"/>
      <c r="AF88" s="16"/>
      <c r="AG88" s="16"/>
      <c r="AH88" s="16"/>
      <c r="AI88" s="16"/>
      <c r="AJ88" s="16"/>
      <c r="AK88" s="16"/>
      <c r="AL88" s="16"/>
      <c r="AM88" s="16"/>
      <c r="AN88" s="16"/>
      <c r="AO88" s="16"/>
      <c r="AP88" s="16"/>
      <c r="AQ88" s="16"/>
      <c r="AR88" s="16"/>
      <c r="AS88" s="16"/>
      <c r="AT88" s="16"/>
      <c r="AU88" s="16"/>
      <c r="AV88" s="16"/>
      <c r="AW88" s="16"/>
      <c r="AX88" s="16"/>
    </row>
    <row r="89">
      <c r="A89" s="16"/>
      <c r="B89" s="16"/>
      <c r="C89" s="42"/>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c r="AX89" s="16"/>
    </row>
    <row r="90">
      <c r="A90" s="16"/>
      <c r="B90" s="16"/>
      <c r="C90" s="42"/>
      <c r="D90" s="16"/>
      <c r="E90" s="16"/>
      <c r="F90" s="16"/>
      <c r="G90" s="16"/>
      <c r="H90" s="16"/>
      <c r="I90" s="16"/>
      <c r="J90" s="16"/>
      <c r="K90" s="16"/>
      <c r="L90" s="16"/>
      <c r="M90" s="16"/>
      <c r="N90" s="16"/>
      <c r="O90" s="16"/>
      <c r="P90" s="16"/>
      <c r="Q90" s="16"/>
      <c r="R90" s="16"/>
      <c r="S90" s="16"/>
      <c r="T90" s="16"/>
      <c r="U90" s="16"/>
      <c r="V90" s="16"/>
      <c r="W90" s="16"/>
      <c r="X90" s="16"/>
      <c r="Y90" s="16"/>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row>
    <row r="91">
      <c r="A91" s="16"/>
      <c r="B91" s="16"/>
      <c r="C91" s="42"/>
      <c r="D91" s="16"/>
      <c r="E91" s="16"/>
      <c r="F91" s="16"/>
      <c r="G91" s="16"/>
      <c r="H91" s="16"/>
      <c r="I91" s="16"/>
      <c r="J91" s="16"/>
      <c r="K91" s="16"/>
      <c r="L91" s="16"/>
      <c r="M91" s="16"/>
      <c r="N91" s="16"/>
      <c r="O91" s="16"/>
      <c r="P91" s="16"/>
      <c r="Q91" s="16"/>
      <c r="R91" s="16"/>
      <c r="S91" s="16"/>
      <c r="T91" s="16"/>
      <c r="U91" s="16"/>
      <c r="V91" s="16"/>
      <c r="W91" s="16"/>
      <c r="X91" s="16"/>
      <c r="Y91" s="16"/>
      <c r="Z91" s="16"/>
      <c r="AA91" s="16"/>
      <c r="AB91" s="16"/>
      <c r="AC91" s="16"/>
      <c r="AD91" s="16"/>
      <c r="AE91" s="16"/>
      <c r="AF91" s="16"/>
      <c r="AG91" s="16"/>
      <c r="AH91" s="16"/>
      <c r="AI91" s="16"/>
      <c r="AJ91" s="16"/>
      <c r="AK91" s="16"/>
      <c r="AL91" s="16"/>
      <c r="AM91" s="16"/>
      <c r="AN91" s="16"/>
      <c r="AO91" s="16"/>
      <c r="AP91" s="16"/>
      <c r="AQ91" s="16"/>
      <c r="AR91" s="16"/>
      <c r="AS91" s="16"/>
      <c r="AT91" s="16"/>
      <c r="AU91" s="16"/>
      <c r="AV91" s="16"/>
      <c r="AW91" s="16"/>
      <c r="AX91" s="16"/>
    </row>
    <row r="92">
      <c r="A92" s="16"/>
      <c r="B92" s="16"/>
      <c r="C92" s="42"/>
      <c r="D92" s="16"/>
      <c r="E92" s="16"/>
      <c r="F92" s="16"/>
      <c r="G92" s="16"/>
      <c r="H92" s="16"/>
      <c r="I92" s="16"/>
      <c r="J92" s="16"/>
      <c r="K92" s="16"/>
      <c r="L92" s="16"/>
      <c r="M92" s="16"/>
      <c r="N92" s="16"/>
      <c r="O92" s="16"/>
      <c r="P92" s="16"/>
      <c r="Q92" s="16"/>
      <c r="R92" s="16"/>
      <c r="S92" s="16"/>
      <c r="T92" s="16"/>
      <c r="U92" s="16"/>
      <c r="V92" s="16"/>
      <c r="W92" s="16"/>
      <c r="X92" s="16"/>
      <c r="Y92" s="16"/>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row>
    <row r="93">
      <c r="A93" s="16"/>
      <c r="B93" s="16"/>
      <c r="C93" s="42"/>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row>
    <row r="94">
      <c r="A94" s="16"/>
      <c r="B94" s="16"/>
      <c r="C94" s="42"/>
      <c r="D94" s="16"/>
      <c r="E94" s="16"/>
      <c r="F94" s="16"/>
      <c r="G94" s="16"/>
      <c r="H94" s="16"/>
      <c r="I94" s="16"/>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row>
    <row r="95">
      <c r="A95" s="16"/>
      <c r="B95" s="16"/>
      <c r="C95" s="42"/>
      <c r="D95" s="16"/>
      <c r="E95" s="16"/>
      <c r="F95" s="16"/>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row>
    <row r="96">
      <c r="A96" s="16"/>
      <c r="B96" s="16"/>
      <c r="C96" s="42"/>
      <c r="D96" s="16"/>
      <c r="E96" s="16"/>
      <c r="F96" s="16"/>
      <c r="G96" s="16"/>
      <c r="H96" s="16"/>
      <c r="I96" s="16"/>
      <c r="J96" s="16"/>
      <c r="K96" s="16"/>
      <c r="L96" s="16"/>
      <c r="M96" s="16"/>
      <c r="N96" s="16"/>
      <c r="O96" s="16"/>
      <c r="P96" s="16"/>
      <c r="Q96" s="16"/>
      <c r="R96" s="16"/>
      <c r="S96" s="16"/>
      <c r="T96" s="16"/>
      <c r="U96" s="16"/>
      <c r="V96" s="16"/>
      <c r="W96" s="16"/>
      <c r="X96" s="16"/>
      <c r="Y96" s="16"/>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row>
    <row r="97">
      <c r="A97" s="16"/>
      <c r="B97" s="16"/>
      <c r="C97" s="42"/>
      <c r="D97" s="16"/>
      <c r="E97" s="16"/>
      <c r="F97" s="16"/>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c r="AX97" s="16"/>
    </row>
    <row r="98">
      <c r="A98" s="16"/>
      <c r="B98" s="16"/>
      <c r="C98" s="42"/>
      <c r="D98" s="16"/>
      <c r="E98" s="16"/>
      <c r="F98" s="16"/>
      <c r="G98" s="16"/>
      <c r="H98" s="16"/>
      <c r="I98" s="16"/>
      <c r="J98" s="16"/>
      <c r="K98" s="16"/>
      <c r="L98" s="16"/>
      <c r="M98" s="16"/>
      <c r="N98" s="16"/>
      <c r="O98" s="16"/>
      <c r="P98" s="16"/>
      <c r="Q98" s="16"/>
      <c r="R98" s="16"/>
      <c r="S98" s="16"/>
      <c r="T98" s="16"/>
      <c r="U98" s="16"/>
      <c r="V98" s="16"/>
      <c r="W98" s="16"/>
      <c r="X98" s="16"/>
      <c r="Y98" s="16"/>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c r="AX98" s="16"/>
    </row>
    <row r="99">
      <c r="A99" s="16"/>
      <c r="B99" s="16"/>
      <c r="C99" s="42"/>
      <c r="D99" s="16"/>
      <c r="E99" s="16"/>
      <c r="F99" s="16"/>
      <c r="G99" s="16"/>
      <c r="H99" s="16"/>
      <c r="I99" s="16"/>
      <c r="J99" s="16"/>
      <c r="K99" s="16"/>
      <c r="L99" s="16"/>
      <c r="M99" s="16"/>
      <c r="N99" s="16"/>
      <c r="O99" s="16"/>
      <c r="P99" s="16"/>
      <c r="Q99" s="16"/>
      <c r="R99" s="16"/>
      <c r="S99" s="16"/>
      <c r="T99" s="16"/>
      <c r="U99" s="16"/>
      <c r="V99" s="16"/>
      <c r="W99" s="16"/>
      <c r="X99" s="16"/>
      <c r="Y99" s="16"/>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c r="AX99" s="16"/>
    </row>
    <row r="100">
      <c r="A100" s="16"/>
      <c r="B100" s="16"/>
      <c r="C100" s="42"/>
      <c r="D100" s="16"/>
      <c r="E100" s="16"/>
      <c r="F100" s="16"/>
      <c r="G100" s="16"/>
      <c r="H100" s="16"/>
      <c r="I100" s="16"/>
      <c r="J100" s="16"/>
      <c r="K100" s="16"/>
      <c r="L100" s="16"/>
      <c r="M100" s="16"/>
      <c r="N100" s="16"/>
      <c r="O100" s="16"/>
      <c r="P100" s="16"/>
      <c r="Q100" s="16"/>
      <c r="R100" s="16"/>
      <c r="S100" s="16"/>
      <c r="T100" s="16"/>
      <c r="U100" s="16"/>
      <c r="V100" s="16"/>
      <c r="W100" s="16"/>
      <c r="X100" s="16"/>
      <c r="Y100" s="16"/>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row>
    <row r="101">
      <c r="A101" s="16"/>
      <c r="B101" s="16"/>
      <c r="C101" s="42"/>
      <c r="D101" s="16"/>
      <c r="E101" s="16"/>
      <c r="F101" s="16"/>
      <c r="G101" s="16"/>
      <c r="H101" s="16"/>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row>
    <row r="102">
      <c r="A102" s="16"/>
      <c r="B102" s="16"/>
      <c r="C102" s="42"/>
      <c r="D102" s="16"/>
      <c r="E102" s="16"/>
      <c r="F102" s="16"/>
      <c r="G102" s="16"/>
      <c r="H102" s="16"/>
      <c r="I102" s="16"/>
      <c r="J102" s="16"/>
      <c r="K102" s="16"/>
      <c r="L102" s="16"/>
      <c r="M102" s="16"/>
      <c r="N102" s="16"/>
      <c r="O102" s="16"/>
      <c r="P102" s="16"/>
      <c r="Q102" s="16"/>
      <c r="R102" s="16"/>
      <c r="S102" s="16"/>
      <c r="T102" s="16"/>
      <c r="U102" s="16"/>
      <c r="V102" s="16"/>
      <c r="W102" s="16"/>
      <c r="X102" s="16"/>
      <c r="Y102" s="16"/>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row>
    <row r="103">
      <c r="A103" s="16"/>
      <c r="B103" s="16"/>
      <c r="C103" s="42"/>
      <c r="D103" s="16"/>
      <c r="E103" s="16"/>
      <c r="F103" s="16"/>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c r="AX103" s="16"/>
    </row>
    <row r="104">
      <c r="A104" s="16"/>
      <c r="B104" s="16"/>
      <c r="C104" s="42"/>
      <c r="D104" s="16"/>
      <c r="E104" s="16"/>
      <c r="F104" s="16"/>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row>
    <row r="105">
      <c r="A105" s="16"/>
      <c r="B105" s="16"/>
      <c r="C105" s="42"/>
      <c r="D105" s="16"/>
      <c r="E105" s="16"/>
      <c r="F105" s="16"/>
      <c r="G105" s="16"/>
      <c r="H105" s="16"/>
      <c r="I105" s="16"/>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row>
    <row r="106">
      <c r="A106" s="16"/>
      <c r="B106" s="16"/>
      <c r="C106" s="42"/>
      <c r="D106" s="16"/>
      <c r="E106" s="16"/>
      <c r="F106" s="16"/>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row>
    <row r="107">
      <c r="A107" s="16"/>
      <c r="B107" s="16"/>
      <c r="C107" s="42"/>
      <c r="D107" s="16"/>
      <c r="E107" s="16"/>
      <c r="F107" s="16"/>
      <c r="G107" s="16"/>
      <c r="H107" s="16"/>
      <c r="I107" s="16"/>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row>
    <row r="108">
      <c r="A108" s="16"/>
      <c r="B108" s="16"/>
      <c r="C108" s="42"/>
      <c r="D108" s="16"/>
      <c r="E108" s="16"/>
      <c r="F108" s="16"/>
      <c r="G108" s="16"/>
      <c r="H108" s="16"/>
      <c r="I108" s="16"/>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row>
    <row r="109">
      <c r="A109" s="16"/>
      <c r="B109" s="16"/>
      <c r="C109" s="42"/>
      <c r="D109" s="16"/>
      <c r="E109" s="16"/>
      <c r="F109" s="16"/>
      <c r="G109" s="16"/>
      <c r="H109" s="16"/>
      <c r="I109" s="16"/>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row>
    <row r="110">
      <c r="A110" s="16"/>
      <c r="B110" s="16"/>
      <c r="C110" s="42"/>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row>
    <row r="111">
      <c r="A111" s="16"/>
      <c r="B111" s="16"/>
      <c r="C111" s="42"/>
      <c r="D111" s="16"/>
      <c r="E111" s="16"/>
      <c r="F111" s="16"/>
      <c r="G111" s="16"/>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row>
    <row r="112">
      <c r="A112" s="16"/>
      <c r="B112" s="16"/>
      <c r="C112" s="42"/>
      <c r="D112" s="16"/>
      <c r="E112" s="16"/>
      <c r="F112" s="16"/>
      <c r="G112" s="16"/>
      <c r="H112" s="16"/>
      <c r="I112" s="16"/>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row>
    <row r="113">
      <c r="A113" s="16"/>
      <c r="B113" s="16"/>
      <c r="C113" s="42"/>
      <c r="D113" s="16"/>
      <c r="E113" s="16"/>
      <c r="F113" s="16"/>
      <c r="G113" s="16"/>
      <c r="H113" s="16"/>
      <c r="I113" s="16"/>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row>
    <row r="114">
      <c r="A114" s="16"/>
      <c r="B114" s="16"/>
      <c r="C114" s="42"/>
      <c r="D114" s="16"/>
      <c r="E114" s="16"/>
      <c r="F114" s="16"/>
      <c r="G114" s="16"/>
      <c r="H114" s="16"/>
      <c r="I114" s="16"/>
      <c r="J114" s="16"/>
      <c r="K114" s="16"/>
      <c r="L114" s="16"/>
      <c r="M114" s="16"/>
      <c r="N114" s="16"/>
      <c r="O114" s="16"/>
      <c r="P114" s="16"/>
      <c r="Q114" s="16"/>
      <c r="R114" s="16"/>
      <c r="S114" s="16"/>
      <c r="T114" s="16"/>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row>
    <row r="115">
      <c r="A115" s="16"/>
      <c r="B115" s="16"/>
      <c r="C115" s="42"/>
      <c r="D115" s="16"/>
      <c r="E115" s="16"/>
      <c r="F115" s="16"/>
      <c r="G115" s="16"/>
      <c r="H115" s="16"/>
      <c r="I115" s="16"/>
      <c r="J115" s="16"/>
      <c r="K115" s="16"/>
      <c r="L115" s="16"/>
      <c r="M115" s="16"/>
      <c r="N115" s="16"/>
      <c r="O115" s="16"/>
      <c r="P115" s="16"/>
      <c r="Q115" s="16"/>
      <c r="R115" s="16"/>
      <c r="S115" s="16"/>
      <c r="T115" s="16"/>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row>
    <row r="116">
      <c r="A116" s="16"/>
      <c r="B116" s="16"/>
      <c r="C116" s="42"/>
      <c r="D116" s="16"/>
      <c r="E116" s="16"/>
      <c r="F116" s="16"/>
      <c r="G116" s="16"/>
      <c r="H116" s="16"/>
      <c r="I116" s="16"/>
      <c r="J116" s="16"/>
      <c r="K116" s="16"/>
      <c r="L116" s="16"/>
      <c r="M116" s="16"/>
      <c r="N116" s="16"/>
      <c r="O116" s="16"/>
      <c r="P116" s="16"/>
      <c r="Q116" s="16"/>
      <c r="R116" s="16"/>
      <c r="S116" s="16"/>
      <c r="T116" s="16"/>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row>
    <row r="117">
      <c r="A117" s="16"/>
      <c r="B117" s="16"/>
      <c r="C117" s="42"/>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row>
    <row r="118">
      <c r="A118" s="16"/>
      <c r="B118" s="16"/>
      <c r="C118" s="42"/>
      <c r="D118" s="16"/>
      <c r="E118" s="16"/>
      <c r="F118" s="16"/>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row>
    <row r="119">
      <c r="A119" s="16"/>
      <c r="B119" s="16"/>
      <c r="C119" s="42"/>
      <c r="D119" s="16"/>
      <c r="E119" s="16"/>
      <c r="F119" s="16"/>
      <c r="G119" s="16"/>
      <c r="H119" s="16"/>
      <c r="I119" s="16"/>
      <c r="J119" s="16"/>
      <c r="K119" s="16"/>
      <c r="L119" s="16"/>
      <c r="M119" s="16"/>
      <c r="N119" s="16"/>
      <c r="O119" s="16"/>
      <c r="P119" s="16"/>
      <c r="Q119" s="16"/>
      <c r="R119" s="16"/>
      <c r="S119" s="16"/>
      <c r="T119" s="16"/>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row>
    <row r="120">
      <c r="A120" s="16"/>
      <c r="B120" s="16"/>
      <c r="C120" s="42"/>
      <c r="D120" s="16"/>
      <c r="E120" s="16"/>
      <c r="F120" s="16"/>
      <c r="G120" s="16"/>
      <c r="H120" s="16"/>
      <c r="I120" s="16"/>
      <c r="J120" s="16"/>
      <c r="K120" s="16"/>
      <c r="L120" s="16"/>
      <c r="M120" s="16"/>
      <c r="N120" s="16"/>
      <c r="O120" s="16"/>
      <c r="P120" s="16"/>
      <c r="Q120" s="16"/>
      <c r="R120" s="16"/>
      <c r="S120" s="16"/>
      <c r="T120" s="16"/>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row>
    <row r="121">
      <c r="A121" s="16"/>
      <c r="B121" s="16"/>
      <c r="C121" s="42"/>
      <c r="D121" s="16"/>
      <c r="E121" s="16"/>
      <c r="F121" s="16"/>
      <c r="G121" s="16"/>
      <c r="H121" s="16"/>
      <c r="I121" s="16"/>
      <c r="J121" s="16"/>
      <c r="K121" s="16"/>
      <c r="L121" s="16"/>
      <c r="M121" s="16"/>
      <c r="N121" s="16"/>
      <c r="O121" s="16"/>
      <c r="P121" s="16"/>
      <c r="Q121" s="16"/>
      <c r="R121" s="16"/>
      <c r="S121" s="16"/>
      <c r="T121" s="16"/>
      <c r="U121" s="16"/>
      <c r="V121" s="16"/>
      <c r="W121" s="16"/>
      <c r="X121" s="16"/>
      <c r="Y121" s="16"/>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c r="AW121" s="16"/>
      <c r="AX121" s="16"/>
    </row>
    <row r="122">
      <c r="A122" s="16"/>
      <c r="B122" s="16"/>
      <c r="C122" s="42"/>
      <c r="D122" s="16"/>
      <c r="E122" s="16"/>
      <c r="F122" s="16"/>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row>
    <row r="123">
      <c r="A123" s="16"/>
      <c r="B123" s="16"/>
      <c r="C123" s="42"/>
      <c r="D123" s="16"/>
      <c r="E123" s="16"/>
      <c r="F123" s="16"/>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c r="AW123" s="16"/>
      <c r="AX123" s="16"/>
    </row>
    <row r="124">
      <c r="A124" s="16"/>
      <c r="B124" s="16"/>
      <c r="C124" s="42"/>
      <c r="D124" s="16"/>
      <c r="E124" s="16"/>
      <c r="F124" s="16"/>
      <c r="G124" s="16"/>
      <c r="H124" s="16"/>
      <c r="I124" s="16"/>
      <c r="J124" s="16"/>
      <c r="K124" s="16"/>
      <c r="L124" s="16"/>
      <c r="M124" s="16"/>
      <c r="N124" s="16"/>
      <c r="O124" s="16"/>
      <c r="P124" s="16"/>
      <c r="Q124" s="16"/>
      <c r="R124" s="16"/>
      <c r="S124" s="16"/>
      <c r="T124" s="16"/>
      <c r="U124" s="16"/>
      <c r="V124" s="16"/>
      <c r="W124" s="16"/>
      <c r="X124" s="16"/>
      <c r="Y124" s="16"/>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c r="AW124" s="16"/>
      <c r="AX124" s="16"/>
    </row>
    <row r="125">
      <c r="A125" s="16"/>
      <c r="B125" s="16"/>
      <c r="C125" s="42"/>
      <c r="D125" s="16"/>
      <c r="E125" s="16"/>
      <c r="F125" s="16"/>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c r="AW125" s="16"/>
      <c r="AX125" s="16"/>
    </row>
    <row r="126">
      <c r="A126" s="16"/>
      <c r="B126" s="16"/>
      <c r="C126" s="42"/>
      <c r="D126" s="16"/>
      <c r="E126" s="16"/>
      <c r="F126" s="16"/>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c r="AW126" s="16"/>
      <c r="AX126" s="16"/>
    </row>
    <row r="127">
      <c r="A127" s="16"/>
      <c r="B127" s="16"/>
      <c r="C127" s="42"/>
      <c r="D127" s="16"/>
      <c r="E127" s="16"/>
      <c r="F127" s="16"/>
      <c r="G127" s="16"/>
      <c r="H127" s="16"/>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c r="AW127" s="16"/>
      <c r="AX127" s="16"/>
    </row>
    <row r="128">
      <c r="A128" s="16"/>
      <c r="B128" s="16"/>
      <c r="C128" s="42"/>
      <c r="D128" s="16"/>
      <c r="E128" s="16"/>
      <c r="F128" s="16"/>
      <c r="G128" s="16"/>
      <c r="H128" s="16"/>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c r="AW128" s="16"/>
      <c r="AX128" s="16"/>
    </row>
    <row r="129">
      <c r="A129" s="16"/>
      <c r="B129" s="16"/>
      <c r="C129" s="42"/>
      <c r="D129" s="16"/>
      <c r="E129" s="16"/>
      <c r="F129" s="16"/>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c r="AW129" s="16"/>
      <c r="AX129" s="16"/>
    </row>
    <row r="130">
      <c r="A130" s="16"/>
      <c r="B130" s="16"/>
      <c r="C130" s="42"/>
      <c r="D130" s="16"/>
      <c r="E130" s="16"/>
      <c r="F130" s="16"/>
      <c r="G130" s="16"/>
      <c r="H130" s="16"/>
      <c r="I130" s="16"/>
      <c r="J130" s="16"/>
      <c r="K130" s="16"/>
      <c r="L130" s="16"/>
      <c r="M130" s="16"/>
      <c r="N130" s="16"/>
      <c r="O130" s="16"/>
      <c r="P130" s="16"/>
      <c r="Q130" s="16"/>
      <c r="R130" s="16"/>
      <c r="S130" s="16"/>
      <c r="T130" s="16"/>
      <c r="U130" s="16"/>
      <c r="V130" s="16"/>
      <c r="W130" s="16"/>
      <c r="X130" s="16"/>
      <c r="Y130" s="16"/>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c r="AW130" s="16"/>
      <c r="AX130" s="16"/>
    </row>
    <row r="131">
      <c r="A131" s="16"/>
      <c r="B131" s="16"/>
      <c r="C131" s="42"/>
      <c r="D131" s="16"/>
      <c r="E131" s="16"/>
      <c r="F131" s="16"/>
      <c r="G131" s="16"/>
      <c r="H131" s="16"/>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c r="AW131" s="16"/>
      <c r="AX131" s="16"/>
    </row>
    <row r="132">
      <c r="A132" s="16"/>
      <c r="B132" s="16"/>
      <c r="C132" s="42"/>
      <c r="D132" s="16"/>
      <c r="E132" s="16"/>
      <c r="F132" s="16"/>
      <c r="G132" s="16"/>
      <c r="H132" s="16"/>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c r="AW132" s="16"/>
      <c r="AX132" s="16"/>
    </row>
    <row r="133">
      <c r="A133" s="16"/>
      <c r="B133" s="16"/>
      <c r="C133" s="42"/>
      <c r="D133" s="16"/>
      <c r="E133" s="16"/>
      <c r="F133" s="16"/>
      <c r="G133" s="16"/>
      <c r="H133" s="16"/>
      <c r="I133" s="16"/>
      <c r="J133" s="16"/>
      <c r="K133" s="16"/>
      <c r="L133" s="16"/>
      <c r="M133" s="16"/>
      <c r="N133" s="16"/>
      <c r="O133" s="16"/>
      <c r="P133" s="16"/>
      <c r="Q133" s="16"/>
      <c r="R133" s="16"/>
      <c r="S133" s="16"/>
      <c r="T133" s="16"/>
      <c r="U133" s="16"/>
      <c r="V133" s="16"/>
      <c r="W133" s="16"/>
      <c r="X133" s="16"/>
      <c r="Y133" s="16"/>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c r="AW133" s="16"/>
      <c r="AX133" s="16"/>
    </row>
    <row r="134">
      <c r="A134" s="16"/>
      <c r="B134" s="16"/>
      <c r="C134" s="42"/>
      <c r="D134" s="16"/>
      <c r="E134" s="16"/>
      <c r="F134" s="16"/>
      <c r="G134" s="16"/>
      <c r="H134" s="16"/>
      <c r="I134" s="16"/>
      <c r="J134" s="16"/>
      <c r="K134" s="16"/>
      <c r="L134" s="16"/>
      <c r="M134" s="16"/>
      <c r="N134" s="16"/>
      <c r="O134" s="16"/>
      <c r="P134" s="16"/>
      <c r="Q134" s="16"/>
      <c r="R134" s="16"/>
      <c r="S134" s="16"/>
      <c r="T134" s="16"/>
      <c r="U134" s="16"/>
      <c r="V134" s="16"/>
      <c r="W134" s="16"/>
      <c r="X134" s="16"/>
      <c r="Y134" s="16"/>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row>
    <row r="135">
      <c r="A135" s="16"/>
      <c r="B135" s="16"/>
      <c r="C135" s="42"/>
      <c r="D135" s="16"/>
      <c r="E135" s="16"/>
      <c r="F135" s="16"/>
      <c r="G135" s="16"/>
      <c r="H135" s="16"/>
      <c r="I135" s="16"/>
      <c r="J135" s="16"/>
      <c r="K135" s="16"/>
      <c r="L135" s="16"/>
      <c r="M135" s="16"/>
      <c r="N135" s="16"/>
      <c r="O135" s="16"/>
      <c r="P135" s="16"/>
      <c r="Q135" s="16"/>
      <c r="R135" s="16"/>
      <c r="S135" s="16"/>
      <c r="T135" s="16"/>
      <c r="U135" s="16"/>
      <c r="V135" s="16"/>
      <c r="W135" s="16"/>
      <c r="X135" s="16"/>
      <c r="Y135" s="16"/>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row>
    <row r="136">
      <c r="A136" s="16"/>
      <c r="B136" s="16"/>
      <c r="C136" s="42"/>
      <c r="D136" s="16"/>
      <c r="E136" s="16"/>
      <c r="F136" s="16"/>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row>
    <row r="137">
      <c r="A137" s="16"/>
      <c r="B137" s="16"/>
      <c r="C137" s="42"/>
      <c r="D137" s="16"/>
      <c r="E137" s="16"/>
      <c r="F137" s="16"/>
      <c r="G137" s="16"/>
      <c r="H137" s="16"/>
      <c r="I137" s="16"/>
      <c r="J137" s="16"/>
      <c r="K137" s="16"/>
      <c r="L137" s="16"/>
      <c r="M137" s="16"/>
      <c r="N137" s="16"/>
      <c r="O137" s="16"/>
      <c r="P137" s="16"/>
      <c r="Q137" s="16"/>
      <c r="R137" s="16"/>
      <c r="S137" s="16"/>
      <c r="T137" s="16"/>
      <c r="U137" s="16"/>
      <c r="V137" s="16"/>
      <c r="W137" s="16"/>
      <c r="X137" s="16"/>
      <c r="Y137" s="16"/>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row>
    <row r="138">
      <c r="A138" s="16"/>
      <c r="B138" s="16"/>
      <c r="C138" s="42"/>
      <c r="D138" s="16"/>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row>
    <row r="139">
      <c r="A139" s="16"/>
      <c r="B139" s="16"/>
      <c r="C139" s="42"/>
      <c r="D139" s="16"/>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row>
    <row r="140">
      <c r="A140" s="16"/>
      <c r="B140" s="16"/>
      <c r="C140" s="42"/>
      <c r="D140" s="16"/>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row>
    <row r="141">
      <c r="A141" s="16"/>
      <c r="B141" s="16"/>
      <c r="C141" s="42"/>
      <c r="D141" s="16"/>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row>
    <row r="142">
      <c r="A142" s="16"/>
      <c r="B142" s="16"/>
      <c r="C142" s="42"/>
      <c r="D142" s="16"/>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row>
    <row r="143">
      <c r="A143" s="16"/>
      <c r="B143" s="16"/>
      <c r="C143" s="42"/>
      <c r="D143" s="16"/>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row>
    <row r="144">
      <c r="A144" s="16"/>
      <c r="B144" s="16"/>
      <c r="C144" s="42"/>
      <c r="D144" s="16"/>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row>
    <row r="145">
      <c r="A145" s="16"/>
      <c r="B145" s="16"/>
      <c r="C145" s="42"/>
      <c r="D145" s="16"/>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row>
    <row r="146">
      <c r="A146" s="16"/>
      <c r="B146" s="16"/>
      <c r="C146" s="42"/>
      <c r="D146" s="16"/>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row>
    <row r="147">
      <c r="A147" s="16"/>
      <c r="B147" s="16"/>
      <c r="C147" s="42"/>
      <c r="D147" s="16"/>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row>
    <row r="148">
      <c r="A148" s="16"/>
      <c r="B148" s="16"/>
      <c r="C148" s="42"/>
      <c r="D148" s="16"/>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row>
    <row r="149">
      <c r="A149" s="16"/>
      <c r="B149" s="16"/>
      <c r="C149" s="42"/>
      <c r="D149" s="16"/>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row>
    <row r="150">
      <c r="A150" s="16"/>
      <c r="B150" s="16"/>
      <c r="C150" s="42"/>
      <c r="D150" s="1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row>
    <row r="151">
      <c r="A151" s="16"/>
      <c r="B151" s="16"/>
      <c r="C151" s="42"/>
      <c r="D151" s="16"/>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row>
    <row r="152">
      <c r="A152" s="16"/>
      <c r="B152" s="16"/>
      <c r="C152" s="42"/>
      <c r="D152" s="16"/>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row>
    <row r="153">
      <c r="A153" s="16"/>
      <c r="B153" s="16"/>
      <c r="C153" s="42"/>
      <c r="D153" s="1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row>
    <row r="154">
      <c r="A154" s="16"/>
      <c r="B154" s="16"/>
      <c r="C154" s="42"/>
      <c r="D154" s="16"/>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row>
    <row r="155">
      <c r="A155" s="16"/>
      <c r="B155" s="16"/>
      <c r="C155" s="42"/>
      <c r="D155" s="16"/>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row>
    <row r="156">
      <c r="A156" s="16"/>
      <c r="B156" s="16"/>
      <c r="C156" s="42"/>
      <c r="D156" s="16"/>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row>
    <row r="157">
      <c r="A157" s="16"/>
      <c r="B157" s="16"/>
      <c r="C157" s="42"/>
      <c r="D157" s="16"/>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row>
    <row r="158">
      <c r="A158" s="16"/>
      <c r="B158" s="16"/>
      <c r="C158" s="42"/>
      <c r="D158" s="16"/>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row>
    <row r="159">
      <c r="A159" s="16"/>
      <c r="B159" s="16"/>
      <c r="C159" s="42"/>
      <c r="D159" s="16"/>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row>
    <row r="160">
      <c r="A160" s="16"/>
      <c r="B160" s="16"/>
      <c r="C160" s="42"/>
      <c r="D160" s="16"/>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row>
    <row r="161">
      <c r="A161" s="16"/>
      <c r="B161" s="16"/>
      <c r="C161" s="42"/>
      <c r="D161" s="16"/>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row>
    <row r="162">
      <c r="A162" s="16"/>
      <c r="B162" s="16"/>
      <c r="C162" s="42"/>
      <c r="D162" s="16"/>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row>
    <row r="163">
      <c r="A163" s="16"/>
      <c r="B163" s="16"/>
      <c r="C163" s="42"/>
      <c r="D163" s="16"/>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row>
    <row r="164">
      <c r="A164" s="16"/>
      <c r="B164" s="16"/>
      <c r="C164" s="42"/>
      <c r="D164" s="16"/>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row>
    <row r="165">
      <c r="A165" s="16"/>
      <c r="B165" s="16"/>
      <c r="C165" s="42"/>
      <c r="D165" s="1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row>
    <row r="166">
      <c r="A166" s="16"/>
      <c r="B166" s="16"/>
      <c r="C166" s="42"/>
      <c r="D166" s="16"/>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row>
    <row r="167">
      <c r="A167" s="16"/>
      <c r="B167" s="16"/>
      <c r="C167" s="42"/>
      <c r="D167" s="16"/>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row>
    <row r="168">
      <c r="A168" s="16"/>
      <c r="B168" s="16"/>
      <c r="C168" s="42"/>
      <c r="D168" s="1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row>
    <row r="169">
      <c r="A169" s="16"/>
      <c r="B169" s="16"/>
      <c r="C169" s="42"/>
      <c r="D169" s="16"/>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row>
    <row r="170">
      <c r="A170" s="16"/>
      <c r="B170" s="16"/>
      <c r="C170" s="42"/>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row>
    <row r="171">
      <c r="A171" s="16"/>
      <c r="B171" s="16"/>
      <c r="C171" s="42"/>
      <c r="D171" s="1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row>
    <row r="172">
      <c r="A172" s="16"/>
      <c r="B172" s="16"/>
      <c r="C172" s="42"/>
      <c r="D172" s="16"/>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row>
    <row r="173">
      <c r="A173" s="16"/>
      <c r="B173" s="16"/>
      <c r="C173" s="42"/>
      <c r="D173" s="16"/>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row>
    <row r="174">
      <c r="A174" s="16"/>
      <c r="B174" s="16"/>
      <c r="C174" s="42"/>
      <c r="D174" s="1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row>
    <row r="175">
      <c r="A175" s="16"/>
      <c r="B175" s="16"/>
      <c r="C175" s="42"/>
      <c r="D175" s="16"/>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row>
    <row r="176">
      <c r="A176" s="16"/>
      <c r="B176" s="16"/>
      <c r="C176" s="42"/>
      <c r="D176" s="16"/>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row>
    <row r="177">
      <c r="A177" s="16"/>
      <c r="B177" s="16"/>
      <c r="C177" s="42"/>
      <c r="D177" s="16"/>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row>
    <row r="178">
      <c r="A178" s="16"/>
      <c r="B178" s="16"/>
      <c r="C178" s="42"/>
      <c r="D178" s="16"/>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row>
    <row r="179">
      <c r="A179" s="16"/>
      <c r="B179" s="16"/>
      <c r="C179" s="42"/>
      <c r="D179" s="16"/>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row>
    <row r="180">
      <c r="A180" s="16"/>
      <c r="B180" s="16"/>
      <c r="C180" s="42"/>
      <c r="D180" s="16"/>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row>
    <row r="181">
      <c r="A181" s="16"/>
      <c r="B181" s="16"/>
      <c r="C181" s="42"/>
      <c r="D181" s="16"/>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row>
    <row r="182">
      <c r="A182" s="16"/>
      <c r="B182" s="16"/>
      <c r="C182" s="42"/>
      <c r="D182" s="16"/>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row>
    <row r="183">
      <c r="A183" s="16"/>
      <c r="B183" s="16"/>
      <c r="C183" s="42"/>
      <c r="D183" s="16"/>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row>
    <row r="184">
      <c r="A184" s="16"/>
      <c r="B184" s="16"/>
      <c r="C184" s="42"/>
      <c r="D184" s="16"/>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row>
    <row r="185">
      <c r="A185" s="16"/>
      <c r="B185" s="16"/>
      <c r="C185" s="42"/>
      <c r="D185" s="16"/>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row>
    <row r="186">
      <c r="A186" s="16"/>
      <c r="B186" s="16"/>
      <c r="C186" s="42"/>
      <c r="D186" s="16"/>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row>
    <row r="187">
      <c r="A187" s="16"/>
      <c r="B187" s="16"/>
      <c r="C187" s="42"/>
      <c r="D187" s="16"/>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row>
    <row r="188">
      <c r="A188" s="16"/>
      <c r="B188" s="16"/>
      <c r="C188" s="42"/>
      <c r="D188" s="16"/>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row>
    <row r="189">
      <c r="A189" s="16"/>
      <c r="B189" s="16"/>
      <c r="C189" s="42"/>
      <c r="D189" s="16"/>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row>
    <row r="190">
      <c r="A190" s="16"/>
      <c r="B190" s="16"/>
      <c r="C190" s="42"/>
      <c r="D190" s="16"/>
      <c r="E190" s="16"/>
      <c r="F190" s="16"/>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row>
    <row r="191">
      <c r="A191" s="16"/>
      <c r="B191" s="16"/>
      <c r="C191" s="42"/>
      <c r="D191" s="16"/>
      <c r="E191" s="16"/>
      <c r="F191" s="16"/>
      <c r="G191" s="16"/>
      <c r="H191" s="16"/>
      <c r="I191" s="16"/>
      <c r="J191" s="16"/>
      <c r="K191" s="16"/>
      <c r="L191" s="16"/>
      <c r="M191" s="16"/>
      <c r="N191" s="16"/>
      <c r="O191" s="16"/>
      <c r="P191" s="16"/>
      <c r="Q191" s="16"/>
      <c r="R191" s="16"/>
      <c r="S191" s="16"/>
      <c r="T191" s="16"/>
      <c r="U191" s="16"/>
      <c r="V191" s="16"/>
      <c r="W191" s="16"/>
      <c r="X191" s="16"/>
      <c r="Y191" s="16"/>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row>
    <row r="192">
      <c r="A192" s="16"/>
      <c r="B192" s="16"/>
      <c r="C192" s="42"/>
      <c r="D192" s="16"/>
      <c r="E192" s="16"/>
      <c r="F192" s="16"/>
      <c r="G192" s="16"/>
      <c r="H192" s="16"/>
      <c r="I192" s="16"/>
      <c r="J192" s="16"/>
      <c r="K192" s="16"/>
      <c r="L192" s="16"/>
      <c r="M192" s="16"/>
      <c r="N192" s="16"/>
      <c r="O192" s="16"/>
      <c r="P192" s="16"/>
      <c r="Q192" s="16"/>
      <c r="R192" s="16"/>
      <c r="S192" s="16"/>
      <c r="T192" s="16"/>
      <c r="U192" s="16"/>
      <c r="V192" s="16"/>
      <c r="W192" s="16"/>
      <c r="X192" s="16"/>
      <c r="Y192" s="16"/>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c r="AW192" s="16"/>
      <c r="AX192" s="16"/>
    </row>
    <row r="193">
      <c r="A193" s="16"/>
      <c r="B193" s="16"/>
      <c r="C193" s="42"/>
      <c r="D193" s="16"/>
      <c r="E193" s="16"/>
      <c r="F193" s="16"/>
      <c r="G193" s="16"/>
      <c r="H193" s="16"/>
      <c r="I193" s="16"/>
      <c r="J193" s="16"/>
      <c r="K193" s="16"/>
      <c r="L193" s="16"/>
      <c r="M193" s="16"/>
      <c r="N193" s="16"/>
      <c r="O193" s="16"/>
      <c r="P193" s="16"/>
      <c r="Q193" s="16"/>
      <c r="R193" s="16"/>
      <c r="S193" s="16"/>
      <c r="T193" s="16"/>
      <c r="U193" s="16"/>
      <c r="V193" s="16"/>
      <c r="W193" s="16"/>
      <c r="X193" s="16"/>
      <c r="Y193" s="16"/>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c r="AW193" s="16"/>
      <c r="AX193" s="16"/>
    </row>
    <row r="194">
      <c r="A194" s="16"/>
      <c r="B194" s="16"/>
      <c r="C194" s="42"/>
      <c r="D194" s="16"/>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row>
    <row r="195">
      <c r="A195" s="16"/>
      <c r="B195" s="16"/>
      <c r="C195" s="42"/>
      <c r="D195" s="1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row>
    <row r="196">
      <c r="A196" s="16"/>
      <c r="B196" s="16"/>
      <c r="C196" s="42"/>
      <c r="D196" s="16"/>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row>
    <row r="197">
      <c r="A197" s="16"/>
      <c r="B197" s="16"/>
      <c r="C197" s="42"/>
      <c r="D197" s="16"/>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row>
    <row r="198">
      <c r="A198" s="16"/>
      <c r="B198" s="16"/>
      <c r="C198" s="42"/>
      <c r="D198" s="16"/>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row>
    <row r="199">
      <c r="A199" s="16"/>
      <c r="B199" s="16"/>
      <c r="C199" s="42"/>
      <c r="D199" s="1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row>
    <row r="200">
      <c r="A200" s="16"/>
      <c r="B200" s="16"/>
      <c r="C200" s="42"/>
      <c r="D200" s="16"/>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row>
    <row r="201">
      <c r="A201" s="16"/>
      <c r="B201" s="16"/>
      <c r="C201" s="42"/>
      <c r="D201" s="16"/>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row>
    <row r="202">
      <c r="A202" s="16"/>
      <c r="B202" s="16"/>
      <c r="C202" s="42"/>
      <c r="D202" s="16"/>
      <c r="E202" s="16"/>
      <c r="F202" s="16"/>
      <c r="G202" s="16"/>
      <c r="H202" s="16"/>
      <c r="I202" s="16"/>
      <c r="J202" s="16"/>
      <c r="K202" s="16"/>
      <c r="L202" s="16"/>
      <c r="M202" s="16"/>
      <c r="N202" s="16"/>
      <c r="O202" s="16"/>
      <c r="P202" s="16"/>
      <c r="Q202" s="16"/>
      <c r="R202" s="16"/>
      <c r="S202" s="16"/>
      <c r="T202" s="16"/>
      <c r="U202" s="16"/>
      <c r="V202" s="16"/>
      <c r="W202" s="16"/>
      <c r="X202" s="16"/>
      <c r="Y202" s="16"/>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row>
    <row r="203">
      <c r="A203" s="16"/>
      <c r="B203" s="16"/>
      <c r="C203" s="42"/>
      <c r="D203" s="16"/>
      <c r="E203" s="16"/>
      <c r="F203" s="16"/>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row>
    <row r="204">
      <c r="A204" s="16"/>
      <c r="B204" s="16"/>
      <c r="C204" s="42"/>
      <c r="D204" s="16"/>
      <c r="E204" s="16"/>
      <c r="F204" s="16"/>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6"/>
    </row>
    <row r="205">
      <c r="A205" s="16"/>
      <c r="B205" s="16"/>
      <c r="C205" s="42"/>
      <c r="D205" s="16"/>
      <c r="E205" s="16"/>
      <c r="F205" s="16"/>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row>
    <row r="206">
      <c r="A206" s="16"/>
      <c r="B206" s="16"/>
      <c r="C206" s="42"/>
      <c r="D206" s="16"/>
      <c r="E206" s="16"/>
      <c r="F206" s="16"/>
      <c r="G206" s="16"/>
      <c r="H206" s="16"/>
      <c r="I206" s="16"/>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row>
    <row r="207">
      <c r="A207" s="16"/>
      <c r="B207" s="16"/>
      <c r="C207" s="42"/>
      <c r="D207" s="16"/>
      <c r="E207" s="16"/>
      <c r="F207" s="16"/>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c r="AW207" s="16"/>
      <c r="AX207" s="16"/>
    </row>
    <row r="208">
      <c r="A208" s="16"/>
      <c r="B208" s="16"/>
      <c r="C208" s="42"/>
      <c r="D208" s="16"/>
      <c r="E208" s="16"/>
      <c r="F208" s="16"/>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6"/>
    </row>
    <row r="209">
      <c r="A209" s="16"/>
      <c r="B209" s="16"/>
      <c r="C209" s="42"/>
      <c r="D209" s="16"/>
      <c r="E209" s="16"/>
      <c r="F209" s="16"/>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c r="AW209" s="16"/>
      <c r="AX209" s="16"/>
    </row>
    <row r="210">
      <c r="A210" s="16"/>
      <c r="B210" s="16"/>
      <c r="C210" s="42"/>
      <c r="D210" s="16"/>
      <c r="E210" s="16"/>
      <c r="F210" s="16"/>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row>
    <row r="211">
      <c r="A211" s="16"/>
      <c r="B211" s="16"/>
      <c r="C211" s="42"/>
      <c r="D211" s="16"/>
      <c r="E211" s="16"/>
      <c r="F211" s="16"/>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row>
    <row r="212">
      <c r="A212" s="16"/>
      <c r="B212" s="16"/>
      <c r="C212" s="42"/>
      <c r="D212" s="16"/>
      <c r="E212" s="16"/>
      <c r="F212" s="16"/>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row>
    <row r="213">
      <c r="A213" s="16"/>
      <c r="B213" s="16"/>
      <c r="C213" s="42"/>
      <c r="D213" s="16"/>
      <c r="E213" s="16"/>
      <c r="F213" s="16"/>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row>
    <row r="214">
      <c r="A214" s="16"/>
      <c r="B214" s="16"/>
      <c r="C214" s="42"/>
      <c r="D214" s="16"/>
      <c r="E214" s="16"/>
      <c r="F214" s="16"/>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row>
    <row r="215">
      <c r="A215" s="16"/>
      <c r="B215" s="16"/>
      <c r="C215" s="42"/>
      <c r="D215" s="16"/>
      <c r="E215" s="16"/>
      <c r="F215" s="16"/>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row>
    <row r="216">
      <c r="A216" s="16"/>
      <c r="B216" s="16"/>
      <c r="C216" s="42"/>
      <c r="D216" s="16"/>
      <c r="E216" s="16"/>
      <c r="F216" s="16"/>
      <c r="G216" s="16"/>
      <c r="H216" s="16"/>
      <c r="I216" s="16"/>
      <c r="J216" s="16"/>
      <c r="K216" s="16"/>
      <c r="L216" s="16"/>
      <c r="M216" s="16"/>
      <c r="N216" s="16"/>
      <c r="O216" s="16"/>
      <c r="P216" s="16"/>
      <c r="Q216" s="16"/>
      <c r="R216" s="16"/>
      <c r="S216" s="16"/>
      <c r="T216" s="16"/>
      <c r="U216" s="16"/>
      <c r="V216" s="16"/>
      <c r="W216" s="16"/>
      <c r="X216" s="16"/>
      <c r="Y216" s="16"/>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row>
    <row r="217">
      <c r="A217" s="16"/>
      <c r="B217" s="16"/>
      <c r="C217" s="42"/>
      <c r="D217" s="16"/>
      <c r="E217" s="16"/>
      <c r="F217" s="16"/>
      <c r="G217" s="16"/>
      <c r="H217" s="16"/>
      <c r="I217" s="16"/>
      <c r="J217" s="16"/>
      <c r="K217" s="16"/>
      <c r="L217" s="16"/>
      <c r="M217" s="16"/>
      <c r="N217" s="16"/>
      <c r="O217" s="16"/>
      <c r="P217" s="16"/>
      <c r="Q217" s="16"/>
      <c r="R217" s="16"/>
      <c r="S217" s="16"/>
      <c r="T217" s="16"/>
      <c r="U217" s="16"/>
      <c r="V217" s="16"/>
      <c r="W217" s="16"/>
      <c r="X217" s="16"/>
      <c r="Y217" s="16"/>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row>
    <row r="218">
      <c r="A218" s="16"/>
      <c r="B218" s="16"/>
      <c r="C218" s="42"/>
      <c r="D218" s="16"/>
      <c r="E218" s="16"/>
      <c r="F218" s="16"/>
      <c r="G218" s="16"/>
      <c r="H218" s="16"/>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row>
    <row r="219">
      <c r="A219" s="16"/>
      <c r="B219" s="16"/>
      <c r="C219" s="42"/>
      <c r="D219" s="16"/>
      <c r="E219" s="16"/>
      <c r="F219" s="16"/>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c r="AW219" s="16"/>
      <c r="AX219" s="16"/>
    </row>
    <row r="220">
      <c r="A220" s="16"/>
      <c r="B220" s="16"/>
      <c r="C220" s="42"/>
      <c r="D220" s="16"/>
      <c r="E220" s="16"/>
      <c r="F220" s="16"/>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row>
    <row r="221">
      <c r="A221" s="16"/>
      <c r="B221" s="16"/>
      <c r="C221" s="42"/>
      <c r="D221" s="16"/>
      <c r="E221" s="16"/>
      <c r="F221" s="16"/>
      <c r="G221" s="16"/>
      <c r="H221" s="16"/>
      <c r="I221" s="16"/>
      <c r="J221" s="16"/>
      <c r="K221" s="16"/>
      <c r="L221" s="16"/>
      <c r="M221" s="16"/>
      <c r="N221" s="16"/>
      <c r="O221" s="16"/>
      <c r="P221" s="16"/>
      <c r="Q221" s="16"/>
      <c r="R221" s="16"/>
      <c r="S221" s="16"/>
      <c r="T221" s="16"/>
      <c r="U221" s="16"/>
      <c r="V221" s="16"/>
      <c r="W221" s="16"/>
      <c r="X221" s="16"/>
      <c r="Y221" s="16"/>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row>
    <row r="222">
      <c r="A222" s="16"/>
      <c r="B222" s="16"/>
      <c r="C222" s="42"/>
      <c r="D222" s="16"/>
      <c r="E222" s="16"/>
      <c r="F222" s="16"/>
      <c r="G222" s="16"/>
      <c r="H222" s="16"/>
      <c r="I222" s="16"/>
      <c r="J222" s="16"/>
      <c r="K222" s="16"/>
      <c r="L222" s="16"/>
      <c r="M222" s="16"/>
      <c r="N222" s="16"/>
      <c r="O222" s="16"/>
      <c r="P222" s="16"/>
      <c r="Q222" s="16"/>
      <c r="R222" s="16"/>
      <c r="S222" s="16"/>
      <c r="T222" s="16"/>
      <c r="U222" s="16"/>
      <c r="V222" s="16"/>
      <c r="W222" s="16"/>
      <c r="X222" s="16"/>
      <c r="Y222" s="16"/>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6"/>
    </row>
    <row r="223">
      <c r="A223" s="16"/>
      <c r="B223" s="16"/>
      <c r="C223" s="42"/>
      <c r="D223" s="16"/>
      <c r="E223" s="16"/>
      <c r="F223" s="16"/>
      <c r="G223" s="16"/>
      <c r="H223" s="16"/>
      <c r="I223" s="16"/>
      <c r="J223" s="16"/>
      <c r="K223" s="16"/>
      <c r="L223" s="16"/>
      <c r="M223" s="16"/>
      <c r="N223" s="16"/>
      <c r="O223" s="16"/>
      <c r="P223" s="16"/>
      <c r="Q223" s="16"/>
      <c r="R223" s="16"/>
      <c r="S223" s="16"/>
      <c r="T223" s="16"/>
      <c r="U223" s="16"/>
      <c r="V223" s="16"/>
      <c r="W223" s="16"/>
      <c r="X223" s="16"/>
      <c r="Y223" s="16"/>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row>
    <row r="224">
      <c r="A224" s="16"/>
      <c r="B224" s="16"/>
      <c r="C224" s="42"/>
      <c r="D224" s="16"/>
      <c r="E224" s="16"/>
      <c r="F224" s="16"/>
      <c r="G224" s="16"/>
      <c r="H224" s="16"/>
      <c r="I224" s="16"/>
      <c r="J224" s="16"/>
      <c r="K224" s="16"/>
      <c r="L224" s="16"/>
      <c r="M224" s="16"/>
      <c r="N224" s="16"/>
      <c r="O224" s="16"/>
      <c r="P224" s="16"/>
      <c r="Q224" s="16"/>
      <c r="R224" s="16"/>
      <c r="S224" s="16"/>
      <c r="T224" s="16"/>
      <c r="U224" s="16"/>
      <c r="V224" s="16"/>
      <c r="W224" s="16"/>
      <c r="X224" s="16"/>
      <c r="Y224" s="16"/>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6"/>
    </row>
    <row r="225">
      <c r="A225" s="16"/>
      <c r="B225" s="16"/>
      <c r="C225" s="42"/>
      <c r="D225" s="16"/>
      <c r="E225" s="16"/>
      <c r="F225" s="16"/>
      <c r="G225" s="16"/>
      <c r="H225" s="16"/>
      <c r="I225" s="16"/>
      <c r="J225" s="16"/>
      <c r="K225" s="16"/>
      <c r="L225" s="16"/>
      <c r="M225" s="16"/>
      <c r="N225" s="16"/>
      <c r="O225" s="16"/>
      <c r="P225" s="16"/>
      <c r="Q225" s="16"/>
      <c r="R225" s="16"/>
      <c r="S225" s="16"/>
      <c r="T225" s="16"/>
      <c r="U225" s="16"/>
      <c r="V225" s="16"/>
      <c r="W225" s="16"/>
      <c r="X225" s="16"/>
      <c r="Y225" s="16"/>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row>
    <row r="226">
      <c r="A226" s="16"/>
      <c r="B226" s="16"/>
      <c r="C226" s="42"/>
      <c r="D226" s="16"/>
      <c r="E226" s="16"/>
      <c r="F226" s="16"/>
      <c r="G226" s="16"/>
      <c r="H226" s="16"/>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c r="AW226" s="16"/>
      <c r="AX226" s="16"/>
    </row>
    <row r="227">
      <c r="A227" s="16"/>
      <c r="B227" s="16"/>
      <c r="C227" s="42"/>
      <c r="D227" s="16"/>
      <c r="E227" s="16"/>
      <c r="F227" s="16"/>
      <c r="G227" s="16"/>
      <c r="H227" s="16"/>
      <c r="I227" s="16"/>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c r="AW227" s="16"/>
      <c r="AX227" s="16"/>
    </row>
    <row r="228">
      <c r="A228" s="16"/>
      <c r="B228" s="16"/>
      <c r="C228" s="42"/>
      <c r="D228" s="16"/>
      <c r="E228" s="16"/>
      <c r="F228" s="16"/>
      <c r="G228" s="16"/>
      <c r="H228" s="16"/>
      <c r="I228" s="16"/>
      <c r="J228" s="16"/>
      <c r="K228" s="16"/>
      <c r="L228" s="16"/>
      <c r="M228" s="16"/>
      <c r="N228" s="16"/>
      <c r="O228" s="16"/>
      <c r="P228" s="16"/>
      <c r="Q228" s="16"/>
      <c r="R228" s="16"/>
      <c r="S228" s="16"/>
      <c r="T228" s="16"/>
      <c r="U228" s="16"/>
      <c r="V228" s="16"/>
      <c r="W228" s="16"/>
      <c r="X228" s="16"/>
      <c r="Y228" s="16"/>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c r="AW228" s="16"/>
      <c r="AX228" s="16"/>
    </row>
    <row r="229">
      <c r="A229" s="16"/>
      <c r="B229" s="16"/>
      <c r="C229" s="42"/>
      <c r="D229" s="16"/>
      <c r="E229" s="16"/>
      <c r="F229" s="16"/>
      <c r="G229" s="16"/>
      <c r="H229" s="16"/>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c r="AW229" s="16"/>
      <c r="AX229" s="16"/>
    </row>
    <row r="230">
      <c r="A230" s="16"/>
      <c r="B230" s="16"/>
      <c r="C230" s="42"/>
      <c r="D230" s="16"/>
      <c r="E230" s="16"/>
      <c r="F230" s="16"/>
      <c r="G230" s="16"/>
      <c r="H230" s="16"/>
      <c r="I230" s="16"/>
      <c r="J230" s="16"/>
      <c r="K230" s="16"/>
      <c r="L230" s="16"/>
      <c r="M230" s="16"/>
      <c r="N230" s="16"/>
      <c r="O230" s="16"/>
      <c r="P230" s="16"/>
      <c r="Q230" s="16"/>
      <c r="R230" s="16"/>
      <c r="S230" s="16"/>
      <c r="T230" s="16"/>
      <c r="U230" s="16"/>
      <c r="V230" s="16"/>
      <c r="W230" s="16"/>
      <c r="X230" s="16"/>
      <c r="Y230" s="16"/>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row>
    <row r="231">
      <c r="A231" s="16"/>
      <c r="B231" s="16"/>
      <c r="C231" s="42"/>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row>
    <row r="232">
      <c r="A232" s="16"/>
      <c r="B232" s="16"/>
      <c r="C232" s="42"/>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row>
    <row r="233">
      <c r="A233" s="16"/>
      <c r="B233" s="16"/>
      <c r="C233" s="42"/>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row>
    <row r="234">
      <c r="A234" s="16"/>
      <c r="B234" s="16"/>
      <c r="C234" s="42"/>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row>
    <row r="235">
      <c r="A235" s="16"/>
      <c r="B235" s="16"/>
      <c r="C235" s="42"/>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row>
    <row r="236">
      <c r="A236" s="16"/>
      <c r="B236" s="16"/>
      <c r="C236" s="42"/>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row>
    <row r="237">
      <c r="A237" s="16"/>
      <c r="B237" s="16"/>
      <c r="C237" s="42"/>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row>
    <row r="238">
      <c r="A238" s="16"/>
      <c r="B238" s="16"/>
      <c r="C238" s="42"/>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row>
    <row r="239">
      <c r="A239" s="16"/>
      <c r="B239" s="16"/>
      <c r="C239" s="42"/>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row>
    <row r="240">
      <c r="A240" s="16"/>
      <c r="B240" s="16"/>
      <c r="C240" s="42"/>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row>
    <row r="241">
      <c r="A241" s="16"/>
      <c r="B241" s="16"/>
      <c r="C241" s="42"/>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row>
    <row r="242">
      <c r="A242" s="16"/>
      <c r="B242" s="16"/>
      <c r="C242" s="42"/>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row>
    <row r="243">
      <c r="A243" s="16"/>
      <c r="B243" s="16"/>
      <c r="C243" s="42"/>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row>
    <row r="244">
      <c r="A244" s="16"/>
      <c r="B244" s="16"/>
      <c r="C244" s="42"/>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row>
    <row r="245">
      <c r="A245" s="16"/>
      <c r="B245" s="16"/>
      <c r="C245" s="42"/>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row>
    <row r="246">
      <c r="A246" s="16"/>
      <c r="B246" s="16"/>
      <c r="C246" s="42"/>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row>
    <row r="247">
      <c r="A247" s="16"/>
      <c r="B247" s="16"/>
      <c r="C247" s="42"/>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row>
    <row r="248">
      <c r="A248" s="16"/>
      <c r="B248" s="16"/>
      <c r="C248" s="42"/>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row>
    <row r="249">
      <c r="A249" s="16"/>
      <c r="B249" s="16"/>
      <c r="C249" s="42"/>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row>
    <row r="250">
      <c r="A250" s="16"/>
      <c r="B250" s="16"/>
      <c r="C250" s="42"/>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row>
    <row r="251">
      <c r="A251" s="16"/>
      <c r="B251" s="16"/>
      <c r="C251" s="42"/>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row>
    <row r="252">
      <c r="A252" s="16"/>
      <c r="B252" s="16"/>
      <c r="C252" s="42"/>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row>
    <row r="253">
      <c r="A253" s="16"/>
      <c r="B253" s="16"/>
      <c r="C253" s="42"/>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row>
    <row r="254">
      <c r="A254" s="16"/>
      <c r="B254" s="16"/>
      <c r="C254" s="42"/>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row>
    <row r="255">
      <c r="A255" s="16"/>
      <c r="B255" s="16"/>
      <c r="C255" s="42"/>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row>
    <row r="256">
      <c r="A256" s="16"/>
      <c r="B256" s="16"/>
      <c r="C256" s="42"/>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row>
    <row r="257">
      <c r="A257" s="16"/>
      <c r="B257" s="16"/>
      <c r="C257" s="42"/>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row>
    <row r="258">
      <c r="A258" s="16"/>
      <c r="B258" s="16"/>
      <c r="C258" s="42"/>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c r="AW258" s="16"/>
      <c r="AX258" s="16"/>
    </row>
    <row r="259">
      <c r="A259" s="16"/>
      <c r="B259" s="16"/>
      <c r="C259" s="42"/>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row>
    <row r="260">
      <c r="A260" s="16"/>
      <c r="B260" s="16"/>
      <c r="C260" s="42"/>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row>
    <row r="261">
      <c r="A261" s="16"/>
      <c r="B261" s="16"/>
      <c r="C261" s="42"/>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row>
    <row r="262">
      <c r="A262" s="16"/>
      <c r="B262" s="16"/>
      <c r="C262" s="42"/>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row>
    <row r="263">
      <c r="A263" s="16"/>
      <c r="B263" s="16"/>
      <c r="C263" s="42"/>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row>
    <row r="264">
      <c r="A264" s="16"/>
      <c r="B264" s="16"/>
      <c r="C264" s="42"/>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row>
    <row r="265">
      <c r="A265" s="16"/>
      <c r="B265" s="16"/>
      <c r="C265" s="42"/>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row>
    <row r="266">
      <c r="A266" s="16"/>
      <c r="B266" s="16"/>
      <c r="C266" s="42"/>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row>
    <row r="267">
      <c r="A267" s="16"/>
      <c r="B267" s="16"/>
      <c r="C267" s="42"/>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row>
    <row r="268">
      <c r="A268" s="16"/>
      <c r="B268" s="16"/>
      <c r="C268" s="42"/>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row>
    <row r="269">
      <c r="A269" s="16"/>
      <c r="B269" s="16"/>
      <c r="C269" s="42"/>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row>
    <row r="270">
      <c r="A270" s="16"/>
      <c r="B270" s="16"/>
      <c r="C270" s="42"/>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row>
    <row r="271">
      <c r="A271" s="16"/>
      <c r="B271" s="16"/>
      <c r="C271" s="42"/>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row>
    <row r="272">
      <c r="A272" s="16"/>
      <c r="B272" s="16"/>
      <c r="C272" s="42"/>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row>
    <row r="273">
      <c r="A273" s="16"/>
      <c r="B273" s="16"/>
      <c r="C273" s="42"/>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row>
    <row r="274">
      <c r="A274" s="16"/>
      <c r="B274" s="16"/>
      <c r="C274" s="42"/>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row>
    <row r="275">
      <c r="A275" s="16"/>
      <c r="B275" s="16"/>
      <c r="C275" s="42"/>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c r="AW275" s="16"/>
      <c r="AX275" s="16"/>
    </row>
    <row r="276">
      <c r="A276" s="16"/>
      <c r="B276" s="16"/>
      <c r="C276" s="42"/>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c r="AW276" s="16"/>
      <c r="AX276" s="16"/>
    </row>
    <row r="277">
      <c r="A277" s="16"/>
      <c r="B277" s="16"/>
      <c r="C277" s="42"/>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c r="AW277" s="16"/>
      <c r="AX277" s="16"/>
    </row>
    <row r="278">
      <c r="A278" s="16"/>
      <c r="B278" s="16"/>
      <c r="C278" s="42"/>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V278" s="16"/>
      <c r="AW278" s="16"/>
      <c r="AX278" s="16"/>
    </row>
    <row r="279">
      <c r="A279" s="16"/>
      <c r="B279" s="16"/>
      <c r="C279" s="42"/>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c r="AW279" s="16"/>
      <c r="AX279" s="16"/>
    </row>
    <row r="280">
      <c r="A280" s="16"/>
      <c r="B280" s="16"/>
      <c r="C280" s="42"/>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V280" s="16"/>
      <c r="AW280" s="16"/>
      <c r="AX280" s="16"/>
    </row>
    <row r="281">
      <c r="A281" s="16"/>
      <c r="B281" s="16"/>
      <c r="C281" s="42"/>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V281" s="16"/>
      <c r="AW281" s="16"/>
      <c r="AX281" s="16"/>
    </row>
    <row r="282">
      <c r="A282" s="16"/>
      <c r="B282" s="16"/>
      <c r="C282" s="42"/>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V282" s="16"/>
      <c r="AW282" s="16"/>
      <c r="AX282" s="16"/>
    </row>
    <row r="283">
      <c r="A283" s="16"/>
      <c r="B283" s="16"/>
      <c r="C283" s="42"/>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c r="AW283" s="16"/>
      <c r="AX283" s="16"/>
    </row>
    <row r="284">
      <c r="A284" s="16"/>
      <c r="B284" s="16"/>
      <c r="C284" s="42"/>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row>
    <row r="285">
      <c r="A285" s="16"/>
      <c r="B285" s="16"/>
      <c r="C285" s="42"/>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row>
    <row r="286">
      <c r="A286" s="16"/>
      <c r="B286" s="16"/>
      <c r="C286" s="42"/>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row>
    <row r="287">
      <c r="A287" s="16"/>
      <c r="B287" s="16"/>
      <c r="C287" s="42"/>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row>
    <row r="288">
      <c r="A288" s="16"/>
      <c r="B288" s="16"/>
      <c r="C288" s="42"/>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row>
    <row r="289">
      <c r="A289" s="16"/>
      <c r="B289" s="16"/>
      <c r="C289" s="42"/>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row>
    <row r="290">
      <c r="A290" s="16"/>
      <c r="B290" s="16"/>
      <c r="C290" s="42"/>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row>
    <row r="291">
      <c r="A291" s="16"/>
      <c r="B291" s="16"/>
      <c r="C291" s="42"/>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row>
    <row r="292">
      <c r="A292" s="16"/>
      <c r="B292" s="16"/>
      <c r="C292" s="42"/>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row>
    <row r="293">
      <c r="A293" s="16"/>
      <c r="B293" s="16"/>
      <c r="C293" s="42"/>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row>
    <row r="294">
      <c r="A294" s="16"/>
      <c r="B294" s="16"/>
      <c r="C294" s="42"/>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row>
    <row r="295">
      <c r="A295" s="16"/>
      <c r="B295" s="16"/>
      <c r="C295" s="42"/>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row>
    <row r="296">
      <c r="A296" s="16"/>
      <c r="B296" s="16"/>
      <c r="C296" s="42"/>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row>
    <row r="297">
      <c r="A297" s="16"/>
      <c r="B297" s="16"/>
      <c r="C297" s="42"/>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row>
    <row r="298">
      <c r="A298" s="16"/>
      <c r="B298" s="16"/>
      <c r="C298" s="42"/>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row>
    <row r="299">
      <c r="A299" s="16"/>
      <c r="B299" s="16"/>
      <c r="C299" s="42"/>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row>
    <row r="300">
      <c r="A300" s="16"/>
      <c r="B300" s="16"/>
      <c r="C300" s="42"/>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row>
    <row r="301">
      <c r="A301" s="16"/>
      <c r="B301" s="16"/>
      <c r="C301" s="42"/>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row>
    <row r="302">
      <c r="A302" s="16"/>
      <c r="B302" s="16"/>
      <c r="C302" s="42"/>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6"/>
    </row>
    <row r="303">
      <c r="A303" s="16"/>
      <c r="B303" s="16"/>
      <c r="C303" s="42"/>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row>
    <row r="304">
      <c r="A304" s="16"/>
      <c r="B304" s="16"/>
      <c r="C304" s="42"/>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c r="AW304" s="16"/>
      <c r="AX304" s="16"/>
    </row>
    <row r="305">
      <c r="A305" s="16"/>
      <c r="B305" s="16"/>
      <c r="C305" s="42"/>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row>
    <row r="306">
      <c r="A306" s="16"/>
      <c r="B306" s="16"/>
      <c r="C306" s="42"/>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V306" s="16"/>
      <c r="AW306" s="16"/>
      <c r="AX306" s="16"/>
    </row>
    <row r="307">
      <c r="A307" s="16"/>
      <c r="B307" s="16"/>
      <c r="C307" s="42"/>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c r="AW307" s="16"/>
      <c r="AX307" s="16"/>
    </row>
    <row r="308">
      <c r="A308" s="16"/>
      <c r="B308" s="16"/>
      <c r="C308" s="42"/>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V308" s="16"/>
      <c r="AW308" s="16"/>
      <c r="AX308" s="16"/>
    </row>
    <row r="309">
      <c r="A309" s="16"/>
      <c r="B309" s="16"/>
      <c r="C309" s="42"/>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row>
    <row r="310">
      <c r="A310" s="16"/>
      <c r="B310" s="16"/>
      <c r="C310" s="42"/>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row>
    <row r="311">
      <c r="A311" s="16"/>
      <c r="B311" s="16"/>
      <c r="C311" s="42"/>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row>
    <row r="312">
      <c r="A312" s="16"/>
      <c r="B312" s="16"/>
      <c r="C312" s="42"/>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6"/>
    </row>
    <row r="313">
      <c r="A313" s="16"/>
      <c r="B313" s="16"/>
      <c r="C313" s="42"/>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row>
    <row r="314">
      <c r="A314" s="16"/>
      <c r="B314" s="16"/>
      <c r="C314" s="42"/>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6"/>
    </row>
    <row r="315">
      <c r="A315" s="16"/>
      <c r="B315" s="16"/>
      <c r="C315" s="42"/>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row>
    <row r="316">
      <c r="A316" s="16"/>
      <c r="B316" s="16"/>
      <c r="C316" s="42"/>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c r="AW316" s="16"/>
      <c r="AX316" s="16"/>
    </row>
    <row r="317">
      <c r="A317" s="16"/>
      <c r="B317" s="16"/>
      <c r="C317" s="42"/>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row>
    <row r="318">
      <c r="A318" s="16"/>
      <c r="B318" s="16"/>
      <c r="C318" s="42"/>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row>
    <row r="319">
      <c r="A319" s="16"/>
      <c r="B319" s="16"/>
      <c r="C319" s="42"/>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row>
    <row r="320">
      <c r="A320" s="16"/>
      <c r="B320" s="16"/>
      <c r="C320" s="42"/>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row>
    <row r="321">
      <c r="A321" s="16"/>
      <c r="B321" s="16"/>
      <c r="C321" s="42"/>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row>
    <row r="322">
      <c r="A322" s="16"/>
      <c r="B322" s="16"/>
      <c r="C322" s="42"/>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V322" s="16"/>
      <c r="AW322" s="16"/>
      <c r="AX322" s="16"/>
    </row>
    <row r="323">
      <c r="A323" s="16"/>
      <c r="B323" s="16"/>
      <c r="C323" s="42"/>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c r="AW323" s="16"/>
      <c r="AX323" s="16"/>
    </row>
    <row r="324">
      <c r="A324" s="16"/>
      <c r="B324" s="16"/>
      <c r="C324" s="42"/>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V324" s="16"/>
      <c r="AW324" s="16"/>
      <c r="AX324" s="16"/>
    </row>
    <row r="325">
      <c r="A325" s="16"/>
      <c r="B325" s="16"/>
      <c r="C325" s="42"/>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c r="AW325" s="16"/>
      <c r="AX325" s="16"/>
    </row>
    <row r="326">
      <c r="A326" s="16"/>
      <c r="B326" s="16"/>
      <c r="C326" s="42"/>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V326" s="16"/>
      <c r="AW326" s="16"/>
      <c r="AX326" s="16"/>
    </row>
    <row r="327">
      <c r="A327" s="16"/>
      <c r="B327" s="16"/>
      <c r="C327" s="42"/>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V327" s="16"/>
      <c r="AW327" s="16"/>
      <c r="AX327" s="16"/>
    </row>
    <row r="328">
      <c r="A328" s="16"/>
      <c r="B328" s="16"/>
      <c r="C328" s="42"/>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V328" s="16"/>
      <c r="AW328" s="16"/>
      <c r="AX328" s="16"/>
    </row>
    <row r="329">
      <c r="A329" s="16"/>
      <c r="B329" s="16"/>
      <c r="C329" s="42"/>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V329" s="16"/>
      <c r="AW329" s="16"/>
      <c r="AX329" s="16"/>
    </row>
    <row r="330">
      <c r="A330" s="16"/>
      <c r="B330" s="16"/>
      <c r="C330" s="42"/>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row>
    <row r="331">
      <c r="A331" s="16"/>
      <c r="B331" s="16"/>
      <c r="C331" s="42"/>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c r="AW331" s="16"/>
      <c r="AX331" s="16"/>
    </row>
    <row r="332">
      <c r="A332" s="16"/>
      <c r="B332" s="16"/>
      <c r="C332" s="42"/>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V332" s="16"/>
      <c r="AW332" s="16"/>
      <c r="AX332" s="16"/>
    </row>
    <row r="333">
      <c r="A333" s="16"/>
      <c r="B333" s="16"/>
      <c r="C333" s="42"/>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V333" s="16"/>
      <c r="AW333" s="16"/>
      <c r="AX333" s="16"/>
    </row>
    <row r="334">
      <c r="A334" s="16"/>
      <c r="B334" s="16"/>
      <c r="C334" s="42"/>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V334" s="16"/>
      <c r="AW334" s="16"/>
      <c r="AX334" s="16"/>
    </row>
    <row r="335">
      <c r="A335" s="16"/>
      <c r="B335" s="16"/>
      <c r="C335" s="42"/>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V335" s="16"/>
      <c r="AW335" s="16"/>
      <c r="AX335" s="16"/>
    </row>
    <row r="336">
      <c r="A336" s="16"/>
      <c r="B336" s="16"/>
      <c r="C336" s="42"/>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row>
    <row r="337">
      <c r="A337" s="16"/>
      <c r="B337" s="16"/>
      <c r="C337" s="42"/>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c r="AW337" s="16"/>
      <c r="AX337" s="16"/>
    </row>
    <row r="338">
      <c r="A338" s="16"/>
      <c r="B338" s="16"/>
      <c r="C338" s="42"/>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row>
    <row r="339">
      <c r="A339" s="16"/>
      <c r="B339" s="16"/>
      <c r="C339" s="42"/>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row>
    <row r="340">
      <c r="A340" s="16"/>
      <c r="B340" s="16"/>
      <c r="C340" s="42"/>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row>
    <row r="341">
      <c r="A341" s="16"/>
      <c r="B341" s="16"/>
      <c r="C341" s="42"/>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row>
    <row r="342">
      <c r="A342" s="16"/>
      <c r="B342" s="16"/>
      <c r="C342" s="42"/>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row>
    <row r="343">
      <c r="A343" s="16"/>
      <c r="B343" s="16"/>
      <c r="C343" s="42"/>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row>
    <row r="344">
      <c r="A344" s="16"/>
      <c r="B344" s="16"/>
      <c r="C344" s="42"/>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row>
    <row r="345">
      <c r="A345" s="16"/>
      <c r="B345" s="16"/>
      <c r="C345" s="42"/>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row>
    <row r="346">
      <c r="A346" s="16"/>
      <c r="B346" s="16"/>
      <c r="C346" s="42"/>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row>
    <row r="347">
      <c r="A347" s="16"/>
      <c r="B347" s="16"/>
      <c r="C347" s="42"/>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row>
    <row r="348">
      <c r="A348" s="16"/>
      <c r="B348" s="16"/>
      <c r="C348" s="42"/>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row>
    <row r="349">
      <c r="A349" s="16"/>
      <c r="B349" s="16"/>
      <c r="C349" s="42"/>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row>
    <row r="350">
      <c r="A350" s="16"/>
      <c r="B350" s="16"/>
      <c r="C350" s="42"/>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row>
    <row r="351">
      <c r="A351" s="16"/>
      <c r="B351" s="16"/>
      <c r="C351" s="42"/>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row>
    <row r="352">
      <c r="A352" s="16"/>
      <c r="B352" s="16"/>
      <c r="C352" s="42"/>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row>
    <row r="353">
      <c r="A353" s="16"/>
      <c r="B353" s="16"/>
      <c r="C353" s="42"/>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row>
    <row r="354">
      <c r="A354" s="16"/>
      <c r="B354" s="16"/>
      <c r="C354" s="42"/>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c r="AW354" s="16"/>
      <c r="AX354" s="16"/>
    </row>
    <row r="355">
      <c r="A355" s="16"/>
      <c r="B355" s="16"/>
      <c r="C355" s="42"/>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row>
    <row r="356">
      <c r="A356" s="16"/>
      <c r="B356" s="16"/>
      <c r="C356" s="42"/>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row>
    <row r="357">
      <c r="A357" s="16"/>
      <c r="B357" s="16"/>
      <c r="C357" s="42"/>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row>
    <row r="358">
      <c r="A358" s="16"/>
      <c r="B358" s="16"/>
      <c r="C358" s="42"/>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6"/>
    </row>
    <row r="359">
      <c r="A359" s="16"/>
      <c r="B359" s="16"/>
      <c r="C359" s="42"/>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V359" s="16"/>
      <c r="AW359" s="16"/>
      <c r="AX359" s="16"/>
    </row>
    <row r="360">
      <c r="A360" s="16"/>
      <c r="B360" s="16"/>
      <c r="C360" s="42"/>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row>
    <row r="361">
      <c r="A361" s="16"/>
      <c r="B361" s="16"/>
      <c r="C361" s="42"/>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V361" s="16"/>
      <c r="AW361" s="16"/>
      <c r="AX361" s="16"/>
    </row>
    <row r="362">
      <c r="A362" s="16"/>
      <c r="B362" s="16"/>
      <c r="C362" s="42"/>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V362" s="16"/>
      <c r="AW362" s="16"/>
      <c r="AX362" s="16"/>
    </row>
    <row r="363">
      <c r="A363" s="16"/>
      <c r="B363" s="16"/>
      <c r="C363" s="42"/>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c r="AW363" s="16"/>
      <c r="AX363" s="16"/>
    </row>
    <row r="364">
      <c r="A364" s="16"/>
      <c r="B364" s="16"/>
      <c r="C364" s="42"/>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row>
    <row r="365">
      <c r="A365" s="16"/>
      <c r="B365" s="16"/>
      <c r="C365" s="42"/>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row>
    <row r="366">
      <c r="A366" s="16"/>
      <c r="B366" s="16"/>
      <c r="C366" s="42"/>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row>
    <row r="367">
      <c r="A367" s="16"/>
      <c r="B367" s="16"/>
      <c r="C367" s="42"/>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row>
    <row r="368">
      <c r="A368" s="16"/>
      <c r="B368" s="16"/>
      <c r="C368" s="42"/>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row>
    <row r="369">
      <c r="A369" s="16"/>
      <c r="B369" s="16"/>
      <c r="C369" s="42"/>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row>
    <row r="370">
      <c r="A370" s="16"/>
      <c r="B370" s="16"/>
      <c r="C370" s="42"/>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row>
    <row r="371">
      <c r="A371" s="16"/>
      <c r="B371" s="16"/>
      <c r="C371" s="42"/>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row>
    <row r="372">
      <c r="A372" s="16"/>
      <c r="B372" s="16"/>
      <c r="C372" s="42"/>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V372" s="16"/>
      <c r="AW372" s="16"/>
      <c r="AX372" s="16"/>
    </row>
    <row r="373">
      <c r="A373" s="16"/>
      <c r="B373" s="16"/>
      <c r="C373" s="42"/>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V373" s="16"/>
      <c r="AW373" s="16"/>
      <c r="AX373" s="16"/>
    </row>
    <row r="374">
      <c r="A374" s="16"/>
      <c r="B374" s="16"/>
      <c r="C374" s="42"/>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c r="AW374" s="16"/>
      <c r="AX374" s="16"/>
    </row>
    <row r="375">
      <c r="A375" s="16"/>
      <c r="B375" s="16"/>
      <c r="C375" s="42"/>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row>
    <row r="376">
      <c r="A376" s="16"/>
      <c r="B376" s="16"/>
      <c r="C376" s="42"/>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6"/>
    </row>
    <row r="377">
      <c r="A377" s="16"/>
      <c r="B377" s="16"/>
      <c r="C377" s="42"/>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c r="AW377" s="16"/>
      <c r="AX377" s="16"/>
    </row>
    <row r="378">
      <c r="A378" s="16"/>
      <c r="B378" s="16"/>
      <c r="C378" s="42"/>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6"/>
    </row>
    <row r="379">
      <c r="A379" s="16"/>
      <c r="B379" s="16"/>
      <c r="C379" s="42"/>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row>
    <row r="380">
      <c r="A380" s="16"/>
      <c r="B380" s="16"/>
      <c r="C380" s="42"/>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c r="AW380" s="16"/>
      <c r="AX380" s="16"/>
    </row>
    <row r="381">
      <c r="A381" s="16"/>
      <c r="B381" s="16"/>
      <c r="C381" s="42"/>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row>
    <row r="382">
      <c r="A382" s="16"/>
      <c r="B382" s="16"/>
      <c r="C382" s="42"/>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c r="AW382" s="16"/>
      <c r="AX382" s="16"/>
    </row>
    <row r="383">
      <c r="A383" s="16"/>
      <c r="B383" s="16"/>
      <c r="C383" s="42"/>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V383" s="16"/>
      <c r="AW383" s="16"/>
      <c r="AX383" s="16"/>
    </row>
    <row r="384">
      <c r="A384" s="16"/>
      <c r="B384" s="16"/>
      <c r="C384" s="42"/>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V384" s="16"/>
      <c r="AW384" s="16"/>
      <c r="AX384" s="16"/>
    </row>
    <row r="385">
      <c r="A385" s="16"/>
      <c r="B385" s="16"/>
      <c r="C385" s="42"/>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V385" s="16"/>
      <c r="AW385" s="16"/>
      <c r="AX385" s="16"/>
    </row>
    <row r="386">
      <c r="A386" s="16"/>
      <c r="B386" s="16"/>
      <c r="C386" s="42"/>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c r="AV386" s="16"/>
      <c r="AW386" s="16"/>
      <c r="AX386" s="16"/>
    </row>
    <row r="387">
      <c r="A387" s="16"/>
      <c r="B387" s="16"/>
      <c r="C387" s="42"/>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U387" s="16"/>
      <c r="AV387" s="16"/>
      <c r="AW387" s="16"/>
      <c r="AX387" s="16"/>
    </row>
    <row r="388">
      <c r="A388" s="16"/>
      <c r="B388" s="16"/>
      <c r="C388" s="42"/>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c r="AV388" s="16"/>
      <c r="AW388" s="16"/>
      <c r="AX388" s="16"/>
    </row>
    <row r="389">
      <c r="A389" s="16"/>
      <c r="B389" s="16"/>
      <c r="C389" s="42"/>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c r="AV389" s="16"/>
      <c r="AW389" s="16"/>
      <c r="AX389" s="16"/>
    </row>
    <row r="390">
      <c r="A390" s="16"/>
      <c r="B390" s="16"/>
      <c r="C390" s="42"/>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c r="AV390" s="16"/>
      <c r="AW390" s="16"/>
      <c r="AX390" s="16"/>
    </row>
    <row r="391">
      <c r="A391" s="16"/>
      <c r="B391" s="16"/>
      <c r="C391" s="42"/>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c r="AV391" s="16"/>
      <c r="AW391" s="16"/>
      <c r="AX391" s="16"/>
    </row>
    <row r="392">
      <c r="A392" s="16"/>
      <c r="B392" s="16"/>
      <c r="C392" s="42"/>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U392" s="16"/>
      <c r="AV392" s="16"/>
      <c r="AW392" s="16"/>
      <c r="AX392" s="16"/>
    </row>
    <row r="393">
      <c r="A393" s="16"/>
      <c r="B393" s="16"/>
      <c r="C393" s="42"/>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c r="AV393" s="16"/>
      <c r="AW393" s="16"/>
      <c r="AX393" s="16"/>
    </row>
    <row r="394">
      <c r="A394" s="16"/>
      <c r="B394" s="16"/>
      <c r="C394" s="42"/>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V394" s="16"/>
      <c r="AW394" s="16"/>
      <c r="AX394" s="16"/>
    </row>
    <row r="395">
      <c r="A395" s="16"/>
      <c r="B395" s="16"/>
      <c r="C395" s="42"/>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U395" s="16"/>
      <c r="AV395" s="16"/>
      <c r="AW395" s="16"/>
      <c r="AX395" s="16"/>
    </row>
    <row r="396">
      <c r="A396" s="16"/>
      <c r="B396" s="16"/>
      <c r="C396" s="42"/>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V396" s="16"/>
      <c r="AW396" s="16"/>
      <c r="AX396" s="16"/>
    </row>
    <row r="397">
      <c r="A397" s="16"/>
      <c r="B397" s="16"/>
      <c r="C397" s="42"/>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c r="AV397" s="16"/>
      <c r="AW397" s="16"/>
      <c r="AX397" s="16"/>
    </row>
    <row r="398">
      <c r="A398" s="16"/>
      <c r="B398" s="16"/>
      <c r="C398" s="42"/>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V398" s="16"/>
      <c r="AW398" s="16"/>
      <c r="AX398" s="16"/>
    </row>
    <row r="399">
      <c r="A399" s="16"/>
      <c r="B399" s="16"/>
      <c r="C399" s="42"/>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V399" s="16"/>
      <c r="AW399" s="16"/>
      <c r="AX399" s="16"/>
    </row>
    <row r="400">
      <c r="A400" s="16"/>
      <c r="B400" s="16"/>
      <c r="C400" s="42"/>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V400" s="16"/>
      <c r="AW400" s="16"/>
      <c r="AX400" s="16"/>
    </row>
    <row r="401">
      <c r="A401" s="16"/>
      <c r="B401" s="16"/>
      <c r="C401" s="42"/>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row>
    <row r="402">
      <c r="A402" s="16"/>
      <c r="B402" s="16"/>
      <c r="C402" s="42"/>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c r="AW402" s="16"/>
      <c r="AX402" s="16"/>
    </row>
    <row r="403">
      <c r="A403" s="16"/>
      <c r="B403" s="16"/>
      <c r="C403" s="42"/>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row>
    <row r="404">
      <c r="A404" s="16"/>
      <c r="B404" s="16"/>
      <c r="C404" s="42"/>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V404" s="16"/>
      <c r="AW404" s="16"/>
      <c r="AX404" s="16"/>
    </row>
    <row r="405">
      <c r="A405" s="16"/>
      <c r="B405" s="16"/>
      <c r="C405" s="42"/>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c r="AW405" s="16"/>
      <c r="AX405" s="16"/>
    </row>
    <row r="406">
      <c r="A406" s="16"/>
      <c r="B406" s="16"/>
      <c r="C406" s="42"/>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V406" s="16"/>
      <c r="AW406" s="16"/>
      <c r="AX406" s="16"/>
    </row>
    <row r="407">
      <c r="A407" s="16"/>
      <c r="B407" s="16"/>
      <c r="C407" s="42"/>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c r="AW407" s="16"/>
      <c r="AX407" s="16"/>
    </row>
    <row r="408">
      <c r="A408" s="16"/>
      <c r="B408" s="16"/>
      <c r="C408" s="42"/>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V408" s="16"/>
      <c r="AW408" s="16"/>
      <c r="AX408" s="16"/>
    </row>
    <row r="409">
      <c r="A409" s="16"/>
      <c r="B409" s="16"/>
      <c r="C409" s="42"/>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c r="AW409" s="16"/>
      <c r="AX409" s="16"/>
    </row>
    <row r="410">
      <c r="A410" s="16"/>
      <c r="B410" s="16"/>
      <c r="C410" s="42"/>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V410" s="16"/>
      <c r="AW410" s="16"/>
      <c r="AX410" s="16"/>
    </row>
    <row r="411">
      <c r="A411" s="16"/>
      <c r="B411" s="16"/>
      <c r="C411" s="42"/>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row>
    <row r="412">
      <c r="A412" s="16"/>
      <c r="B412" s="16"/>
      <c r="C412" s="42"/>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V412" s="16"/>
      <c r="AW412" s="16"/>
      <c r="AX412" s="16"/>
    </row>
    <row r="413">
      <c r="A413" s="16"/>
      <c r="B413" s="16"/>
      <c r="C413" s="42"/>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V413" s="16"/>
      <c r="AW413" s="16"/>
      <c r="AX413" s="16"/>
    </row>
    <row r="414">
      <c r="A414" s="16"/>
      <c r="B414" s="16"/>
      <c r="C414" s="42"/>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c r="AV414" s="16"/>
      <c r="AW414" s="16"/>
      <c r="AX414" s="16"/>
    </row>
    <row r="415">
      <c r="A415" s="16"/>
      <c r="B415" s="16"/>
      <c r="C415" s="42"/>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c r="AV415" s="16"/>
      <c r="AW415" s="16"/>
      <c r="AX415" s="16"/>
    </row>
    <row r="416">
      <c r="A416" s="16"/>
      <c r="B416" s="16"/>
      <c r="C416" s="42"/>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U416" s="16"/>
      <c r="AV416" s="16"/>
      <c r="AW416" s="16"/>
      <c r="AX416" s="16"/>
    </row>
    <row r="417">
      <c r="A417" s="16"/>
      <c r="B417" s="16"/>
      <c r="C417" s="42"/>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c r="AV417" s="16"/>
      <c r="AW417" s="16"/>
      <c r="AX417" s="16"/>
    </row>
    <row r="418">
      <c r="A418" s="16"/>
      <c r="B418" s="16"/>
      <c r="C418" s="42"/>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c r="AV418" s="16"/>
      <c r="AW418" s="16"/>
      <c r="AX418" s="16"/>
    </row>
    <row r="419">
      <c r="A419" s="16"/>
      <c r="B419" s="16"/>
      <c r="C419" s="42"/>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V419" s="16"/>
      <c r="AW419" s="16"/>
      <c r="AX419" s="16"/>
    </row>
    <row r="420">
      <c r="A420" s="16"/>
      <c r="B420" s="16"/>
      <c r="C420" s="42"/>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c r="AV420" s="16"/>
      <c r="AW420" s="16"/>
      <c r="AX420" s="16"/>
    </row>
    <row r="421">
      <c r="A421" s="16"/>
      <c r="B421" s="16"/>
      <c r="C421" s="42"/>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V421" s="16"/>
      <c r="AW421" s="16"/>
      <c r="AX421" s="16"/>
    </row>
    <row r="422">
      <c r="A422" s="16"/>
      <c r="B422" s="16"/>
      <c r="C422" s="42"/>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c r="AV422" s="16"/>
      <c r="AW422" s="16"/>
      <c r="AX422" s="16"/>
    </row>
    <row r="423">
      <c r="A423" s="16"/>
      <c r="B423" s="16"/>
      <c r="C423" s="42"/>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c r="AW423" s="16"/>
      <c r="AX423" s="16"/>
    </row>
    <row r="424">
      <c r="A424" s="16"/>
      <c r="B424" s="16"/>
      <c r="C424" s="42"/>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V424" s="16"/>
      <c r="AW424" s="16"/>
      <c r="AX424" s="16"/>
    </row>
    <row r="425">
      <c r="A425" s="16"/>
      <c r="B425" s="16"/>
      <c r="C425" s="42"/>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c r="AV425" s="16"/>
      <c r="AW425" s="16"/>
      <c r="AX425" s="16"/>
    </row>
    <row r="426">
      <c r="A426" s="16"/>
      <c r="B426" s="16"/>
      <c r="C426" s="42"/>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V426" s="16"/>
      <c r="AW426" s="16"/>
      <c r="AX426" s="16"/>
    </row>
    <row r="427">
      <c r="A427" s="16"/>
      <c r="B427" s="16"/>
      <c r="C427" s="42"/>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V427" s="16"/>
      <c r="AW427" s="16"/>
      <c r="AX427" s="16"/>
    </row>
    <row r="428">
      <c r="A428" s="16"/>
      <c r="B428" s="16"/>
      <c r="C428" s="42"/>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c r="AU428" s="16"/>
      <c r="AV428" s="16"/>
      <c r="AW428" s="16"/>
      <c r="AX428" s="16"/>
    </row>
    <row r="429">
      <c r="A429" s="16"/>
      <c r="B429" s="16"/>
      <c r="C429" s="42"/>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V429" s="16"/>
      <c r="AW429" s="16"/>
      <c r="AX429" s="16"/>
    </row>
    <row r="430">
      <c r="A430" s="16"/>
      <c r="B430" s="16"/>
      <c r="C430" s="42"/>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V430" s="16"/>
      <c r="AW430" s="16"/>
      <c r="AX430" s="16"/>
    </row>
    <row r="431">
      <c r="A431" s="16"/>
      <c r="B431" s="16"/>
      <c r="C431" s="42"/>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V431" s="16"/>
      <c r="AW431" s="16"/>
      <c r="AX431" s="16"/>
    </row>
    <row r="432">
      <c r="A432" s="16"/>
      <c r="B432" s="16"/>
      <c r="C432" s="42"/>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V432" s="16"/>
      <c r="AW432" s="16"/>
      <c r="AX432" s="16"/>
    </row>
    <row r="433">
      <c r="A433" s="16"/>
      <c r="B433" s="16"/>
      <c r="C433" s="42"/>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c r="AV433" s="16"/>
      <c r="AW433" s="16"/>
      <c r="AX433" s="16"/>
    </row>
    <row r="434">
      <c r="A434" s="16"/>
      <c r="B434" s="16"/>
      <c r="C434" s="42"/>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c r="AU434" s="16"/>
      <c r="AV434" s="16"/>
      <c r="AW434" s="16"/>
      <c r="AX434" s="16"/>
    </row>
    <row r="435">
      <c r="A435" s="16"/>
      <c r="B435" s="16"/>
      <c r="C435" s="42"/>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c r="AU435" s="16"/>
      <c r="AV435" s="16"/>
      <c r="AW435" s="16"/>
      <c r="AX435" s="16"/>
    </row>
    <row r="436">
      <c r="A436" s="16"/>
      <c r="B436" s="16"/>
      <c r="C436" s="42"/>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row>
    <row r="437">
      <c r="A437" s="16"/>
      <c r="B437" s="16"/>
      <c r="C437" s="42"/>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c r="AV437" s="16"/>
      <c r="AW437" s="16"/>
      <c r="AX437" s="16"/>
    </row>
    <row r="438">
      <c r="A438" s="16"/>
      <c r="B438" s="16"/>
      <c r="C438" s="42"/>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c r="AU438" s="16"/>
      <c r="AV438" s="16"/>
      <c r="AW438" s="16"/>
      <c r="AX438" s="16"/>
    </row>
    <row r="439">
      <c r="A439" s="16"/>
      <c r="B439" s="16"/>
      <c r="C439" s="42"/>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c r="AS439" s="16"/>
      <c r="AT439" s="16"/>
      <c r="AU439" s="16"/>
      <c r="AV439" s="16"/>
      <c r="AW439" s="16"/>
      <c r="AX439" s="16"/>
    </row>
    <row r="440">
      <c r="A440" s="16"/>
      <c r="B440" s="16"/>
      <c r="C440" s="42"/>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c r="AS440" s="16"/>
      <c r="AT440" s="16"/>
      <c r="AU440" s="16"/>
      <c r="AV440" s="16"/>
      <c r="AW440" s="16"/>
      <c r="AX440" s="16"/>
    </row>
    <row r="441">
      <c r="A441" s="16"/>
      <c r="B441" s="16"/>
      <c r="C441" s="42"/>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U441" s="16"/>
      <c r="AV441" s="16"/>
      <c r="AW441" s="16"/>
      <c r="AX441" s="16"/>
    </row>
    <row r="442">
      <c r="A442" s="16"/>
      <c r="B442" s="16"/>
      <c r="C442" s="42"/>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c r="AS442" s="16"/>
      <c r="AT442" s="16"/>
      <c r="AU442" s="16"/>
      <c r="AV442" s="16"/>
      <c r="AW442" s="16"/>
      <c r="AX442" s="16"/>
    </row>
    <row r="443">
      <c r="A443" s="16"/>
      <c r="B443" s="16"/>
      <c r="C443" s="42"/>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c r="AS443" s="16"/>
      <c r="AT443" s="16"/>
      <c r="AU443" s="16"/>
      <c r="AV443" s="16"/>
      <c r="AW443" s="16"/>
      <c r="AX443" s="16"/>
    </row>
    <row r="444">
      <c r="A444" s="16"/>
      <c r="B444" s="16"/>
      <c r="C444" s="42"/>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c r="AU444" s="16"/>
      <c r="AV444" s="16"/>
      <c r="AW444" s="16"/>
      <c r="AX444" s="16"/>
    </row>
    <row r="445">
      <c r="A445" s="16"/>
      <c r="B445" s="16"/>
      <c r="C445" s="42"/>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c r="AS445" s="16"/>
      <c r="AT445" s="16"/>
      <c r="AU445" s="16"/>
      <c r="AV445" s="16"/>
      <c r="AW445" s="16"/>
      <c r="AX445" s="16"/>
    </row>
    <row r="446">
      <c r="A446" s="16"/>
      <c r="B446" s="16"/>
      <c r="C446" s="42"/>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c r="AS446" s="16"/>
      <c r="AT446" s="16"/>
      <c r="AU446" s="16"/>
      <c r="AV446" s="16"/>
      <c r="AW446" s="16"/>
      <c r="AX446" s="16"/>
    </row>
    <row r="447">
      <c r="A447" s="16"/>
      <c r="B447" s="16"/>
      <c r="C447" s="42"/>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c r="AR447" s="16"/>
      <c r="AS447" s="16"/>
      <c r="AT447" s="16"/>
      <c r="AU447" s="16"/>
      <c r="AV447" s="16"/>
      <c r="AW447" s="16"/>
      <c r="AX447" s="16"/>
    </row>
    <row r="448">
      <c r="A448" s="16"/>
      <c r="B448" s="16"/>
      <c r="C448" s="42"/>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c r="AS448" s="16"/>
      <c r="AT448" s="16"/>
      <c r="AU448" s="16"/>
      <c r="AV448" s="16"/>
      <c r="AW448" s="16"/>
      <c r="AX448" s="16"/>
    </row>
    <row r="449">
      <c r="A449" s="16"/>
      <c r="B449" s="16"/>
      <c r="C449" s="42"/>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c r="AS449" s="16"/>
      <c r="AT449" s="16"/>
      <c r="AU449" s="16"/>
      <c r="AV449" s="16"/>
      <c r="AW449" s="16"/>
      <c r="AX449" s="16"/>
    </row>
    <row r="450">
      <c r="A450" s="16"/>
      <c r="B450" s="16"/>
      <c r="C450" s="42"/>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c r="AS450" s="16"/>
      <c r="AT450" s="16"/>
      <c r="AU450" s="16"/>
      <c r="AV450" s="16"/>
      <c r="AW450" s="16"/>
      <c r="AX450" s="16"/>
    </row>
    <row r="451">
      <c r="A451" s="16"/>
      <c r="B451" s="16"/>
      <c r="C451" s="42"/>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c r="AU451" s="16"/>
      <c r="AV451" s="16"/>
      <c r="AW451" s="16"/>
      <c r="AX451" s="16"/>
    </row>
    <row r="452">
      <c r="A452" s="16"/>
      <c r="B452" s="16"/>
      <c r="C452" s="42"/>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c r="AS452" s="16"/>
      <c r="AT452" s="16"/>
      <c r="AU452" s="16"/>
      <c r="AV452" s="16"/>
      <c r="AW452" s="16"/>
      <c r="AX452" s="16"/>
    </row>
    <row r="453">
      <c r="A453" s="16"/>
      <c r="B453" s="16"/>
      <c r="C453" s="42"/>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c r="AU453" s="16"/>
      <c r="AV453" s="16"/>
      <c r="AW453" s="16"/>
      <c r="AX453" s="16"/>
    </row>
    <row r="454">
      <c r="A454" s="16"/>
      <c r="B454" s="16"/>
      <c r="C454" s="42"/>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V454" s="16"/>
      <c r="AW454" s="16"/>
      <c r="AX454" s="16"/>
    </row>
    <row r="455">
      <c r="A455" s="16"/>
      <c r="B455" s="16"/>
      <c r="C455" s="42"/>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row>
    <row r="456">
      <c r="A456" s="16"/>
      <c r="B456" s="16"/>
      <c r="C456" s="42"/>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row>
    <row r="457">
      <c r="A457" s="16"/>
      <c r="B457" s="16"/>
      <c r="C457" s="42"/>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row>
    <row r="458">
      <c r="A458" s="16"/>
      <c r="B458" s="16"/>
      <c r="C458" s="42"/>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row>
    <row r="459">
      <c r="A459" s="16"/>
      <c r="B459" s="16"/>
      <c r="C459" s="42"/>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row>
    <row r="460">
      <c r="A460" s="16"/>
      <c r="B460" s="16"/>
      <c r="C460" s="42"/>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row>
    <row r="461">
      <c r="A461" s="16"/>
      <c r="B461" s="16"/>
      <c r="C461" s="42"/>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row>
    <row r="462">
      <c r="A462" s="16"/>
      <c r="B462" s="16"/>
      <c r="C462" s="42"/>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row>
    <row r="463">
      <c r="A463" s="16"/>
      <c r="B463" s="16"/>
      <c r="C463" s="42"/>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row>
    <row r="464">
      <c r="A464" s="16"/>
      <c r="B464" s="16"/>
      <c r="C464" s="42"/>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row>
    <row r="465">
      <c r="A465" s="16"/>
      <c r="B465" s="16"/>
      <c r="C465" s="42"/>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row>
    <row r="466">
      <c r="A466" s="16"/>
      <c r="B466" s="16"/>
      <c r="C466" s="42"/>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row>
    <row r="467">
      <c r="A467" s="16"/>
      <c r="B467" s="16"/>
      <c r="C467" s="42"/>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row>
    <row r="468">
      <c r="A468" s="16"/>
      <c r="B468" s="16"/>
      <c r="C468" s="42"/>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row>
    <row r="469">
      <c r="A469" s="16"/>
      <c r="B469" s="16"/>
      <c r="C469" s="42"/>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row>
    <row r="470">
      <c r="A470" s="16"/>
      <c r="B470" s="16"/>
      <c r="C470" s="42"/>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row>
    <row r="471">
      <c r="A471" s="16"/>
      <c r="B471" s="16"/>
      <c r="C471" s="42"/>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row>
    <row r="472">
      <c r="A472" s="16"/>
      <c r="B472" s="16"/>
      <c r="C472" s="42"/>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c r="AU472" s="16"/>
      <c r="AV472" s="16"/>
      <c r="AW472" s="16"/>
      <c r="AX472" s="16"/>
    </row>
    <row r="473">
      <c r="A473" s="16"/>
      <c r="B473" s="16"/>
      <c r="C473" s="42"/>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U473" s="16"/>
      <c r="AV473" s="16"/>
      <c r="AW473" s="16"/>
      <c r="AX473" s="16"/>
    </row>
    <row r="474">
      <c r="A474" s="16"/>
      <c r="B474" s="16"/>
      <c r="C474" s="42"/>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c r="AU474" s="16"/>
      <c r="AV474" s="16"/>
      <c r="AW474" s="16"/>
      <c r="AX474" s="16"/>
    </row>
    <row r="475">
      <c r="A475" s="16"/>
      <c r="B475" s="16"/>
      <c r="C475" s="42"/>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c r="AU475" s="16"/>
      <c r="AV475" s="16"/>
      <c r="AW475" s="16"/>
      <c r="AX475" s="16"/>
    </row>
    <row r="476">
      <c r="A476" s="16"/>
      <c r="B476" s="16"/>
      <c r="C476" s="42"/>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c r="AS476" s="16"/>
      <c r="AT476" s="16"/>
      <c r="AU476" s="16"/>
      <c r="AV476" s="16"/>
      <c r="AW476" s="16"/>
      <c r="AX476" s="16"/>
    </row>
    <row r="477">
      <c r="A477" s="16"/>
      <c r="B477" s="16"/>
      <c r="C477" s="42"/>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c r="AS477" s="16"/>
      <c r="AT477" s="16"/>
      <c r="AU477" s="16"/>
      <c r="AV477" s="16"/>
      <c r="AW477" s="16"/>
      <c r="AX477" s="16"/>
    </row>
    <row r="478">
      <c r="A478" s="16"/>
      <c r="B478" s="16"/>
      <c r="C478" s="42"/>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c r="AS478" s="16"/>
      <c r="AT478" s="16"/>
      <c r="AU478" s="16"/>
      <c r="AV478" s="16"/>
      <c r="AW478" s="16"/>
      <c r="AX478" s="16"/>
    </row>
    <row r="479">
      <c r="A479" s="16"/>
      <c r="B479" s="16"/>
      <c r="C479" s="42"/>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c r="AS479" s="16"/>
      <c r="AT479" s="16"/>
      <c r="AU479" s="16"/>
      <c r="AV479" s="16"/>
      <c r="AW479" s="16"/>
      <c r="AX479" s="16"/>
    </row>
    <row r="480">
      <c r="A480" s="16"/>
      <c r="B480" s="16"/>
      <c r="C480" s="42"/>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c r="AU480" s="16"/>
      <c r="AV480" s="16"/>
      <c r="AW480" s="16"/>
      <c r="AX480" s="16"/>
    </row>
    <row r="481">
      <c r="A481" s="16"/>
      <c r="B481" s="16"/>
      <c r="C481" s="42"/>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c r="AS481" s="16"/>
      <c r="AT481" s="16"/>
      <c r="AU481" s="16"/>
      <c r="AV481" s="16"/>
      <c r="AW481" s="16"/>
      <c r="AX481" s="16"/>
    </row>
    <row r="482">
      <c r="A482" s="16"/>
      <c r="B482" s="16"/>
      <c r="C482" s="42"/>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c r="AU482" s="16"/>
      <c r="AV482" s="16"/>
      <c r="AW482" s="16"/>
      <c r="AX482" s="16"/>
    </row>
    <row r="483">
      <c r="A483" s="16"/>
      <c r="B483" s="16"/>
      <c r="C483" s="42"/>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U483" s="16"/>
      <c r="AV483" s="16"/>
      <c r="AW483" s="16"/>
      <c r="AX483" s="16"/>
    </row>
    <row r="484">
      <c r="A484" s="16"/>
      <c r="B484" s="16"/>
      <c r="C484" s="42"/>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c r="AU484" s="16"/>
      <c r="AV484" s="16"/>
      <c r="AW484" s="16"/>
      <c r="AX484" s="16"/>
    </row>
    <row r="485">
      <c r="A485" s="16"/>
      <c r="B485" s="16"/>
      <c r="C485" s="42"/>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c r="AU485" s="16"/>
      <c r="AV485" s="16"/>
      <c r="AW485" s="16"/>
      <c r="AX485" s="16"/>
    </row>
    <row r="486">
      <c r="A486" s="16"/>
      <c r="B486" s="16"/>
      <c r="C486" s="42"/>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c r="AU486" s="16"/>
      <c r="AV486" s="16"/>
      <c r="AW486" s="16"/>
      <c r="AX486" s="16"/>
    </row>
    <row r="487">
      <c r="A487" s="16"/>
      <c r="B487" s="16"/>
      <c r="C487" s="42"/>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row>
    <row r="488">
      <c r="A488" s="16"/>
      <c r="B488" s="16"/>
      <c r="C488" s="42"/>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row>
    <row r="489">
      <c r="A489" s="16"/>
      <c r="B489" s="16"/>
      <c r="C489" s="42"/>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row>
    <row r="490">
      <c r="A490" s="16"/>
      <c r="B490" s="16"/>
      <c r="C490" s="42"/>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row>
    <row r="491">
      <c r="A491" s="16"/>
      <c r="B491" s="16"/>
      <c r="C491" s="42"/>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row>
    <row r="492">
      <c r="A492" s="16"/>
      <c r="B492" s="16"/>
      <c r="C492" s="42"/>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row>
    <row r="493">
      <c r="A493" s="16"/>
      <c r="B493" s="16"/>
      <c r="C493" s="42"/>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row>
    <row r="494">
      <c r="A494" s="16"/>
      <c r="B494" s="16"/>
      <c r="C494" s="42"/>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row>
    <row r="495">
      <c r="A495" s="16"/>
      <c r="B495" s="16"/>
      <c r="C495" s="42"/>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row>
    <row r="496">
      <c r="A496" s="16"/>
      <c r="B496" s="16"/>
      <c r="C496" s="42"/>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row>
    <row r="497">
      <c r="A497" s="16"/>
      <c r="B497" s="16"/>
      <c r="C497" s="42"/>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row>
    <row r="498">
      <c r="A498" s="16"/>
      <c r="B498" s="16"/>
      <c r="C498" s="42"/>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6"/>
    </row>
    <row r="499">
      <c r="A499" s="16"/>
      <c r="B499" s="16"/>
      <c r="C499" s="42"/>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row>
    <row r="500">
      <c r="A500" s="16"/>
      <c r="B500" s="16"/>
      <c r="C500" s="42"/>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c r="AS500" s="16"/>
      <c r="AT500" s="16"/>
      <c r="AU500" s="16"/>
      <c r="AV500" s="16"/>
      <c r="AW500" s="16"/>
      <c r="AX500" s="16"/>
    </row>
    <row r="501">
      <c r="A501" s="16"/>
      <c r="B501" s="16"/>
      <c r="C501" s="42"/>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c r="AS501" s="16"/>
      <c r="AT501" s="16"/>
      <c r="AU501" s="16"/>
      <c r="AV501" s="16"/>
      <c r="AW501" s="16"/>
      <c r="AX501" s="16"/>
    </row>
    <row r="502">
      <c r="A502" s="16"/>
      <c r="B502" s="16"/>
      <c r="C502" s="42"/>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c r="AS502" s="16"/>
      <c r="AT502" s="16"/>
      <c r="AU502" s="16"/>
      <c r="AV502" s="16"/>
      <c r="AW502" s="16"/>
      <c r="AX502" s="16"/>
    </row>
    <row r="503">
      <c r="A503" s="16"/>
      <c r="B503" s="16"/>
      <c r="C503" s="42"/>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c r="AS503" s="16"/>
      <c r="AT503" s="16"/>
      <c r="AU503" s="16"/>
      <c r="AV503" s="16"/>
      <c r="AW503" s="16"/>
      <c r="AX503" s="16"/>
    </row>
    <row r="504">
      <c r="A504" s="16"/>
      <c r="B504" s="16"/>
      <c r="C504" s="42"/>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c r="AU504" s="16"/>
      <c r="AV504" s="16"/>
      <c r="AW504" s="16"/>
      <c r="AX504" s="16"/>
    </row>
    <row r="505">
      <c r="A505" s="16"/>
      <c r="B505" s="16"/>
      <c r="C505" s="42"/>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c r="AS505" s="16"/>
      <c r="AT505" s="16"/>
      <c r="AU505" s="16"/>
      <c r="AV505" s="16"/>
      <c r="AW505" s="16"/>
      <c r="AX505" s="16"/>
    </row>
    <row r="506">
      <c r="A506" s="16"/>
      <c r="B506" s="16"/>
      <c r="C506" s="42"/>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c r="AU506" s="16"/>
      <c r="AV506" s="16"/>
      <c r="AW506" s="16"/>
      <c r="AX506" s="16"/>
    </row>
    <row r="507">
      <c r="A507" s="16"/>
      <c r="B507" s="16"/>
      <c r="C507" s="42"/>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c r="AS507" s="16"/>
      <c r="AT507" s="16"/>
      <c r="AU507" s="16"/>
      <c r="AV507" s="16"/>
      <c r="AW507" s="16"/>
      <c r="AX507" s="16"/>
    </row>
    <row r="508">
      <c r="A508" s="16"/>
      <c r="B508" s="16"/>
      <c r="C508" s="42"/>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c r="AU508" s="16"/>
      <c r="AV508" s="16"/>
      <c r="AW508" s="16"/>
      <c r="AX508" s="16"/>
    </row>
    <row r="509">
      <c r="A509" s="16"/>
      <c r="B509" s="16"/>
      <c r="C509" s="42"/>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c r="AU509" s="16"/>
      <c r="AV509" s="16"/>
      <c r="AW509" s="16"/>
      <c r="AX509" s="16"/>
    </row>
    <row r="510">
      <c r="A510" s="16"/>
      <c r="B510" s="16"/>
      <c r="C510" s="42"/>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c r="AU510" s="16"/>
      <c r="AV510" s="16"/>
      <c r="AW510" s="16"/>
      <c r="AX510" s="16"/>
    </row>
    <row r="511">
      <c r="A511" s="16"/>
      <c r="B511" s="16"/>
      <c r="C511" s="42"/>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c r="AU511" s="16"/>
      <c r="AV511" s="16"/>
      <c r="AW511" s="16"/>
      <c r="AX511" s="16"/>
    </row>
    <row r="512">
      <c r="A512" s="16"/>
      <c r="B512" s="16"/>
      <c r="C512" s="42"/>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U512" s="16"/>
      <c r="AV512" s="16"/>
      <c r="AW512" s="16"/>
      <c r="AX512" s="16"/>
    </row>
    <row r="513">
      <c r="A513" s="16"/>
      <c r="B513" s="16"/>
      <c r="C513" s="42"/>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c r="AU513" s="16"/>
      <c r="AV513" s="16"/>
      <c r="AW513" s="16"/>
      <c r="AX513" s="16"/>
    </row>
    <row r="514">
      <c r="A514" s="16"/>
      <c r="B514" s="16"/>
      <c r="C514" s="42"/>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c r="AU514" s="16"/>
      <c r="AV514" s="16"/>
      <c r="AW514" s="16"/>
      <c r="AX514" s="16"/>
    </row>
    <row r="515">
      <c r="A515" s="16"/>
      <c r="B515" s="16"/>
      <c r="C515" s="42"/>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c r="AS515" s="16"/>
      <c r="AT515" s="16"/>
      <c r="AU515" s="16"/>
      <c r="AV515" s="16"/>
      <c r="AW515" s="16"/>
      <c r="AX515" s="16"/>
    </row>
    <row r="516">
      <c r="A516" s="16"/>
      <c r="B516" s="16"/>
      <c r="C516" s="42"/>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c r="AV516" s="16"/>
      <c r="AW516" s="16"/>
      <c r="AX516" s="16"/>
    </row>
    <row r="517">
      <c r="A517" s="16"/>
      <c r="B517" s="16"/>
      <c r="C517" s="42"/>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U517" s="16"/>
      <c r="AV517" s="16"/>
      <c r="AW517" s="16"/>
      <c r="AX517" s="16"/>
    </row>
    <row r="518">
      <c r="A518" s="16"/>
      <c r="B518" s="16"/>
      <c r="C518" s="42"/>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V518" s="16"/>
      <c r="AW518" s="16"/>
      <c r="AX518" s="16"/>
    </row>
    <row r="519">
      <c r="A519" s="16"/>
      <c r="B519" s="16"/>
      <c r="C519" s="42"/>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c r="AU519" s="16"/>
      <c r="AV519" s="16"/>
      <c r="AW519" s="16"/>
      <c r="AX519" s="16"/>
    </row>
    <row r="520">
      <c r="A520" s="16"/>
      <c r="B520" s="16"/>
      <c r="C520" s="42"/>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U520" s="16"/>
      <c r="AV520" s="16"/>
      <c r="AW520" s="16"/>
      <c r="AX520" s="16"/>
    </row>
    <row r="521">
      <c r="A521" s="16"/>
      <c r="B521" s="16"/>
      <c r="C521" s="42"/>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U521" s="16"/>
      <c r="AV521" s="16"/>
      <c r="AW521" s="16"/>
      <c r="AX521" s="16"/>
    </row>
    <row r="522">
      <c r="A522" s="16"/>
      <c r="B522" s="16"/>
      <c r="C522" s="42"/>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c r="AU522" s="16"/>
      <c r="AV522" s="16"/>
      <c r="AW522" s="16"/>
      <c r="AX522" s="16"/>
    </row>
    <row r="523">
      <c r="A523" s="16"/>
      <c r="B523" s="16"/>
      <c r="C523" s="42"/>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c r="AS523" s="16"/>
      <c r="AT523" s="16"/>
      <c r="AU523" s="16"/>
      <c r="AV523" s="16"/>
      <c r="AW523" s="16"/>
      <c r="AX523" s="16"/>
    </row>
    <row r="524">
      <c r="A524" s="16"/>
      <c r="B524" s="16"/>
      <c r="C524" s="42"/>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V524" s="16"/>
      <c r="AW524" s="16"/>
      <c r="AX524" s="16"/>
    </row>
    <row r="525">
      <c r="A525" s="16"/>
      <c r="B525" s="16"/>
      <c r="C525" s="42"/>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c r="AS525" s="16"/>
      <c r="AT525" s="16"/>
      <c r="AU525" s="16"/>
      <c r="AV525" s="16"/>
      <c r="AW525" s="16"/>
      <c r="AX525" s="16"/>
    </row>
    <row r="526">
      <c r="A526" s="16"/>
      <c r="B526" s="16"/>
      <c r="C526" s="42"/>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c r="AU526" s="16"/>
      <c r="AV526" s="16"/>
      <c r="AW526" s="16"/>
      <c r="AX526" s="16"/>
    </row>
    <row r="527">
      <c r="A527" s="16"/>
      <c r="B527" s="16"/>
      <c r="C527" s="42"/>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c r="AU527" s="16"/>
      <c r="AV527" s="16"/>
      <c r="AW527" s="16"/>
      <c r="AX527" s="16"/>
    </row>
    <row r="528">
      <c r="A528" s="16"/>
      <c r="B528" s="16"/>
      <c r="C528" s="42"/>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c r="AS528" s="16"/>
      <c r="AT528" s="16"/>
      <c r="AU528" s="16"/>
      <c r="AV528" s="16"/>
      <c r="AW528" s="16"/>
      <c r="AX528" s="16"/>
    </row>
    <row r="529">
      <c r="A529" s="16"/>
      <c r="B529" s="16"/>
      <c r="C529" s="42"/>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c r="AU529" s="16"/>
      <c r="AV529" s="16"/>
      <c r="AW529" s="16"/>
      <c r="AX529" s="16"/>
    </row>
    <row r="530">
      <c r="A530" s="16"/>
      <c r="B530" s="16"/>
      <c r="C530" s="42"/>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c r="AS530" s="16"/>
      <c r="AT530" s="16"/>
      <c r="AU530" s="16"/>
      <c r="AV530" s="16"/>
      <c r="AW530" s="16"/>
      <c r="AX530" s="16"/>
    </row>
    <row r="531">
      <c r="A531" s="16"/>
      <c r="B531" s="16"/>
      <c r="C531" s="42"/>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U531" s="16"/>
      <c r="AV531" s="16"/>
      <c r="AW531" s="16"/>
      <c r="AX531" s="16"/>
    </row>
    <row r="532">
      <c r="A532" s="16"/>
      <c r="B532" s="16"/>
      <c r="C532" s="42"/>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c r="AS532" s="16"/>
      <c r="AT532" s="16"/>
      <c r="AU532" s="16"/>
      <c r="AV532" s="16"/>
      <c r="AW532" s="16"/>
      <c r="AX532" s="16"/>
    </row>
    <row r="533">
      <c r="A533" s="16"/>
      <c r="B533" s="16"/>
      <c r="C533" s="42"/>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row>
    <row r="534">
      <c r="A534" s="16"/>
      <c r="B534" s="16"/>
      <c r="C534" s="42"/>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row>
    <row r="535">
      <c r="A535" s="16"/>
      <c r="B535" s="16"/>
      <c r="C535" s="42"/>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row>
    <row r="536">
      <c r="A536" s="16"/>
      <c r="B536" s="16"/>
      <c r="C536" s="42"/>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row>
    <row r="537">
      <c r="A537" s="16"/>
      <c r="B537" s="16"/>
      <c r="C537" s="42"/>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row>
    <row r="538">
      <c r="A538" s="16"/>
      <c r="B538" s="16"/>
      <c r="C538" s="42"/>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row>
    <row r="539">
      <c r="A539" s="16"/>
      <c r="B539" s="16"/>
      <c r="C539" s="42"/>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row>
    <row r="540">
      <c r="A540" s="16"/>
      <c r="B540" s="16"/>
      <c r="C540" s="42"/>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row>
    <row r="541">
      <c r="A541" s="16"/>
      <c r="B541" s="16"/>
      <c r="C541" s="42"/>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row>
    <row r="542">
      <c r="A542" s="16"/>
      <c r="B542" s="16"/>
      <c r="C542" s="42"/>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row>
    <row r="543">
      <c r="A543" s="16"/>
      <c r="B543" s="16"/>
      <c r="C543" s="42"/>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row>
    <row r="544">
      <c r="A544" s="16"/>
      <c r="B544" s="16"/>
      <c r="C544" s="42"/>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row>
    <row r="545">
      <c r="A545" s="16"/>
      <c r="B545" s="16"/>
      <c r="C545" s="42"/>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row>
    <row r="546">
      <c r="A546" s="16"/>
      <c r="B546" s="16"/>
      <c r="C546" s="42"/>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c r="AS546" s="16"/>
      <c r="AT546" s="16"/>
      <c r="AU546" s="16"/>
      <c r="AV546" s="16"/>
      <c r="AW546" s="16"/>
      <c r="AX546" s="16"/>
    </row>
    <row r="547">
      <c r="A547" s="16"/>
      <c r="B547" s="16"/>
      <c r="C547" s="42"/>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c r="AV547" s="16"/>
      <c r="AW547" s="16"/>
      <c r="AX547" s="16"/>
    </row>
    <row r="548">
      <c r="A548" s="16"/>
      <c r="B548" s="16"/>
      <c r="C548" s="42"/>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c r="AR548" s="16"/>
      <c r="AS548" s="16"/>
      <c r="AT548" s="16"/>
      <c r="AU548" s="16"/>
      <c r="AV548" s="16"/>
      <c r="AW548" s="16"/>
      <c r="AX548" s="16"/>
    </row>
    <row r="549">
      <c r="A549" s="16"/>
      <c r="B549" s="16"/>
      <c r="C549" s="42"/>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V549" s="16"/>
      <c r="AW549" s="16"/>
      <c r="AX549" s="16"/>
    </row>
    <row r="550">
      <c r="A550" s="16"/>
      <c r="B550" s="16"/>
      <c r="C550" s="42"/>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c r="AS550" s="16"/>
      <c r="AT550" s="16"/>
      <c r="AU550" s="16"/>
      <c r="AV550" s="16"/>
      <c r="AW550" s="16"/>
      <c r="AX550" s="16"/>
    </row>
    <row r="551">
      <c r="A551" s="16"/>
      <c r="B551" s="16"/>
      <c r="C551" s="42"/>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V551" s="16"/>
      <c r="AW551" s="16"/>
      <c r="AX551" s="16"/>
    </row>
    <row r="552">
      <c r="A552" s="16"/>
      <c r="B552" s="16"/>
      <c r="C552" s="42"/>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c r="AS552" s="16"/>
      <c r="AT552" s="16"/>
      <c r="AU552" s="16"/>
      <c r="AV552" s="16"/>
      <c r="AW552" s="16"/>
      <c r="AX552" s="16"/>
    </row>
    <row r="553">
      <c r="A553" s="16"/>
      <c r="B553" s="16"/>
      <c r="C553" s="42"/>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row>
    <row r="554">
      <c r="A554" s="16"/>
      <c r="B554" s="16"/>
      <c r="C554" s="42"/>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c r="AS554" s="16"/>
      <c r="AT554" s="16"/>
      <c r="AU554" s="16"/>
      <c r="AV554" s="16"/>
      <c r="AW554" s="16"/>
      <c r="AX554" s="16"/>
    </row>
    <row r="555">
      <c r="A555" s="16"/>
      <c r="B555" s="16"/>
      <c r="C555" s="42"/>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V555" s="16"/>
      <c r="AW555" s="16"/>
      <c r="AX555" s="16"/>
    </row>
    <row r="556">
      <c r="A556" s="16"/>
      <c r="B556" s="16"/>
      <c r="C556" s="42"/>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c r="AS556" s="16"/>
      <c r="AT556" s="16"/>
      <c r="AU556" s="16"/>
      <c r="AV556" s="16"/>
      <c r="AW556" s="16"/>
      <c r="AX556" s="16"/>
    </row>
    <row r="557">
      <c r="A557" s="16"/>
      <c r="B557" s="16"/>
      <c r="C557" s="42"/>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V557" s="16"/>
      <c r="AW557" s="16"/>
      <c r="AX557" s="16"/>
    </row>
    <row r="558">
      <c r="A558" s="16"/>
      <c r="B558" s="16"/>
      <c r="C558" s="42"/>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row>
    <row r="559">
      <c r="A559" s="16"/>
      <c r="B559" s="16"/>
      <c r="C559" s="42"/>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row>
    <row r="560">
      <c r="A560" s="16"/>
      <c r="B560" s="16"/>
      <c r="C560" s="42"/>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6"/>
    </row>
    <row r="561">
      <c r="A561" s="16"/>
      <c r="B561" s="16"/>
      <c r="C561" s="42"/>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row>
    <row r="562">
      <c r="A562" s="16"/>
      <c r="B562" s="16"/>
      <c r="C562" s="42"/>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row>
    <row r="563">
      <c r="A563" s="16"/>
      <c r="B563" s="16"/>
      <c r="C563" s="42"/>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row>
    <row r="564">
      <c r="A564" s="16"/>
      <c r="B564" s="16"/>
      <c r="C564" s="42"/>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row>
    <row r="565">
      <c r="A565" s="16"/>
      <c r="B565" s="16"/>
      <c r="C565" s="42"/>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row>
    <row r="566">
      <c r="A566" s="16"/>
      <c r="B566" s="16"/>
      <c r="C566" s="42"/>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row>
    <row r="567">
      <c r="A567" s="16"/>
      <c r="B567" s="16"/>
      <c r="C567" s="42"/>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row>
    <row r="568">
      <c r="A568" s="16"/>
      <c r="B568" s="16"/>
      <c r="C568" s="42"/>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row>
    <row r="569">
      <c r="A569" s="16"/>
      <c r="B569" s="16"/>
      <c r="C569" s="42"/>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row>
    <row r="570">
      <c r="A570" s="16"/>
      <c r="B570" s="16"/>
      <c r="C570" s="42"/>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row>
    <row r="571">
      <c r="A571" s="16"/>
      <c r="B571" s="16"/>
      <c r="C571" s="42"/>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row>
    <row r="572">
      <c r="A572" s="16"/>
      <c r="B572" s="16"/>
      <c r="C572" s="42"/>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row>
    <row r="573">
      <c r="A573" s="16"/>
      <c r="B573" s="16"/>
      <c r="C573" s="42"/>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row>
    <row r="574">
      <c r="A574" s="16"/>
      <c r="B574" s="16"/>
      <c r="C574" s="42"/>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16"/>
      <c r="AO574" s="16"/>
      <c r="AP574" s="16"/>
      <c r="AQ574" s="16"/>
      <c r="AR574" s="16"/>
      <c r="AS574" s="16"/>
      <c r="AT574" s="16"/>
      <c r="AU574" s="16"/>
      <c r="AV574" s="16"/>
      <c r="AW574" s="16"/>
      <c r="AX574" s="16"/>
    </row>
    <row r="575">
      <c r="A575" s="16"/>
      <c r="B575" s="16"/>
      <c r="C575" s="42"/>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c r="AR575" s="16"/>
      <c r="AS575" s="16"/>
      <c r="AT575" s="16"/>
      <c r="AU575" s="16"/>
      <c r="AV575" s="16"/>
      <c r="AW575" s="16"/>
      <c r="AX575" s="16"/>
    </row>
    <row r="576">
      <c r="A576" s="16"/>
      <c r="B576" s="16"/>
      <c r="C576" s="42"/>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U576" s="16"/>
      <c r="AV576" s="16"/>
      <c r="AW576" s="16"/>
      <c r="AX576" s="16"/>
    </row>
    <row r="577">
      <c r="A577" s="16"/>
      <c r="B577" s="16"/>
      <c r="C577" s="42"/>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V577" s="16"/>
      <c r="AW577" s="16"/>
      <c r="AX577" s="16"/>
    </row>
    <row r="578">
      <c r="A578" s="16"/>
      <c r="B578" s="16"/>
      <c r="C578" s="42"/>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c r="AR578" s="16"/>
      <c r="AS578" s="16"/>
      <c r="AT578" s="16"/>
      <c r="AU578" s="16"/>
      <c r="AV578" s="16"/>
      <c r="AW578" s="16"/>
      <c r="AX578" s="16"/>
    </row>
    <row r="579">
      <c r="A579" s="16"/>
      <c r="B579" s="16"/>
      <c r="C579" s="42"/>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16"/>
      <c r="AO579" s="16"/>
      <c r="AP579" s="16"/>
      <c r="AQ579" s="16"/>
      <c r="AR579" s="16"/>
      <c r="AS579" s="16"/>
      <c r="AT579" s="16"/>
      <c r="AU579" s="16"/>
      <c r="AV579" s="16"/>
      <c r="AW579" s="16"/>
      <c r="AX579" s="16"/>
    </row>
    <row r="580">
      <c r="A580" s="16"/>
      <c r="B580" s="16"/>
      <c r="C580" s="42"/>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c r="AM580" s="16"/>
      <c r="AN580" s="16"/>
      <c r="AO580" s="16"/>
      <c r="AP580" s="16"/>
      <c r="AQ580" s="16"/>
      <c r="AR580" s="16"/>
      <c r="AS580" s="16"/>
      <c r="AT580" s="16"/>
      <c r="AU580" s="16"/>
      <c r="AV580" s="16"/>
      <c r="AW580" s="16"/>
      <c r="AX580" s="16"/>
    </row>
    <row r="581">
      <c r="A581" s="16"/>
      <c r="B581" s="16"/>
      <c r="C581" s="42"/>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c r="AP581" s="16"/>
      <c r="AQ581" s="16"/>
      <c r="AR581" s="16"/>
      <c r="AS581" s="16"/>
      <c r="AT581" s="16"/>
      <c r="AU581" s="16"/>
      <c r="AV581" s="16"/>
      <c r="AW581" s="16"/>
      <c r="AX581" s="16"/>
    </row>
    <row r="582">
      <c r="A582" s="16"/>
      <c r="B582" s="16"/>
      <c r="C582" s="42"/>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c r="AR582" s="16"/>
      <c r="AS582" s="16"/>
      <c r="AT582" s="16"/>
      <c r="AU582" s="16"/>
      <c r="AV582" s="16"/>
      <c r="AW582" s="16"/>
      <c r="AX582" s="16"/>
    </row>
    <row r="583">
      <c r="A583" s="16"/>
      <c r="B583" s="16"/>
      <c r="C583" s="42"/>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c r="AR583" s="16"/>
      <c r="AS583" s="16"/>
      <c r="AT583" s="16"/>
      <c r="AU583" s="16"/>
      <c r="AV583" s="16"/>
      <c r="AW583" s="16"/>
      <c r="AX583" s="16"/>
    </row>
    <row r="584">
      <c r="A584" s="16"/>
      <c r="B584" s="16"/>
      <c r="C584" s="42"/>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row>
    <row r="585">
      <c r="A585" s="16"/>
      <c r="B585" s="16"/>
      <c r="C585" s="42"/>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row>
    <row r="586">
      <c r="A586" s="16"/>
      <c r="B586" s="16"/>
      <c r="C586" s="42"/>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row>
    <row r="587">
      <c r="A587" s="16"/>
      <c r="B587" s="16"/>
      <c r="C587" s="42"/>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row>
    <row r="588">
      <c r="A588" s="16"/>
      <c r="B588" s="16"/>
      <c r="C588" s="42"/>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row>
    <row r="589">
      <c r="A589" s="16"/>
      <c r="B589" s="16"/>
      <c r="C589" s="42"/>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row>
    <row r="590">
      <c r="A590" s="16"/>
      <c r="B590" s="16"/>
      <c r="C590" s="42"/>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row>
    <row r="591">
      <c r="A591" s="16"/>
      <c r="B591" s="16"/>
      <c r="C591" s="42"/>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row>
    <row r="592">
      <c r="A592" s="16"/>
      <c r="B592" s="16"/>
      <c r="C592" s="42"/>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row>
    <row r="593">
      <c r="A593" s="16"/>
      <c r="B593" s="16"/>
      <c r="C593" s="42"/>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row>
    <row r="594">
      <c r="A594" s="16"/>
      <c r="B594" s="16"/>
      <c r="C594" s="42"/>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6"/>
    </row>
    <row r="595">
      <c r="A595" s="16"/>
      <c r="B595" s="16"/>
      <c r="C595" s="42"/>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row>
    <row r="596">
      <c r="A596" s="16"/>
      <c r="B596" s="16"/>
      <c r="C596" s="42"/>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6"/>
    </row>
    <row r="597">
      <c r="A597" s="16"/>
      <c r="B597" s="16"/>
      <c r="C597" s="42"/>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row>
    <row r="598">
      <c r="A598" s="16"/>
      <c r="B598" s="16"/>
      <c r="C598" s="42"/>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V598" s="16"/>
      <c r="AW598" s="16"/>
      <c r="AX598" s="16"/>
    </row>
    <row r="599">
      <c r="A599" s="16"/>
      <c r="B599" s="16"/>
      <c r="C599" s="42"/>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row>
    <row r="600">
      <c r="A600" s="16"/>
      <c r="B600" s="16"/>
      <c r="C600" s="42"/>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6"/>
    </row>
    <row r="601">
      <c r="A601" s="16"/>
      <c r="B601" s="16"/>
      <c r="C601" s="42"/>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row>
    <row r="602">
      <c r="A602" s="16"/>
      <c r="B602" s="16"/>
      <c r="C602" s="42"/>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row>
    <row r="603">
      <c r="A603" s="16"/>
      <c r="B603" s="16"/>
      <c r="C603" s="42"/>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row>
    <row r="604">
      <c r="A604" s="16"/>
      <c r="B604" s="16"/>
      <c r="C604" s="42"/>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row>
    <row r="605">
      <c r="A605" s="16"/>
      <c r="B605" s="16"/>
      <c r="C605" s="42"/>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row>
    <row r="606">
      <c r="A606" s="16"/>
      <c r="B606" s="16"/>
      <c r="C606" s="42"/>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c r="AL606" s="16"/>
      <c r="AM606" s="16"/>
      <c r="AN606" s="16"/>
      <c r="AO606" s="16"/>
      <c r="AP606" s="16"/>
      <c r="AQ606" s="16"/>
      <c r="AR606" s="16"/>
      <c r="AS606" s="16"/>
      <c r="AT606" s="16"/>
      <c r="AU606" s="16"/>
      <c r="AV606" s="16"/>
      <c r="AW606" s="16"/>
      <c r="AX606" s="16"/>
    </row>
    <row r="607">
      <c r="A607" s="16"/>
      <c r="B607" s="16"/>
      <c r="C607" s="42"/>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c r="AM607" s="16"/>
      <c r="AN607" s="16"/>
      <c r="AO607" s="16"/>
      <c r="AP607" s="16"/>
      <c r="AQ607" s="16"/>
      <c r="AR607" s="16"/>
      <c r="AS607" s="16"/>
      <c r="AT607" s="16"/>
      <c r="AU607" s="16"/>
      <c r="AV607" s="16"/>
      <c r="AW607" s="16"/>
      <c r="AX607" s="16"/>
    </row>
    <row r="608">
      <c r="A608" s="16"/>
      <c r="B608" s="16"/>
      <c r="C608" s="42"/>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c r="AR608" s="16"/>
      <c r="AS608" s="16"/>
      <c r="AT608" s="16"/>
      <c r="AU608" s="16"/>
      <c r="AV608" s="16"/>
      <c r="AW608" s="16"/>
      <c r="AX608" s="16"/>
    </row>
    <row r="609">
      <c r="A609" s="16"/>
      <c r="B609" s="16"/>
      <c r="C609" s="42"/>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c r="AR609" s="16"/>
      <c r="AS609" s="16"/>
      <c r="AT609" s="16"/>
      <c r="AU609" s="16"/>
      <c r="AV609" s="16"/>
      <c r="AW609" s="16"/>
      <c r="AX609" s="16"/>
    </row>
    <row r="610">
      <c r="A610" s="16"/>
      <c r="B610" s="16"/>
      <c r="C610" s="42"/>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c r="AP610" s="16"/>
      <c r="AQ610" s="16"/>
      <c r="AR610" s="16"/>
      <c r="AS610" s="16"/>
      <c r="AT610" s="16"/>
      <c r="AU610" s="16"/>
      <c r="AV610" s="16"/>
      <c r="AW610" s="16"/>
      <c r="AX610" s="16"/>
    </row>
    <row r="611">
      <c r="A611" s="16"/>
      <c r="B611" s="16"/>
      <c r="C611" s="42"/>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V611" s="16"/>
      <c r="AW611" s="16"/>
      <c r="AX611" s="16"/>
    </row>
    <row r="612">
      <c r="A612" s="16"/>
      <c r="B612" s="16"/>
      <c r="C612" s="42"/>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V612" s="16"/>
      <c r="AW612" s="16"/>
      <c r="AX612" s="16"/>
    </row>
    <row r="613">
      <c r="A613" s="16"/>
      <c r="B613" s="16"/>
      <c r="C613" s="42"/>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c r="AR613" s="16"/>
      <c r="AS613" s="16"/>
      <c r="AT613" s="16"/>
      <c r="AU613" s="16"/>
      <c r="AV613" s="16"/>
      <c r="AW613" s="16"/>
      <c r="AX613" s="16"/>
    </row>
    <row r="614">
      <c r="A614" s="16"/>
      <c r="B614" s="16"/>
      <c r="C614" s="42"/>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c r="AS614" s="16"/>
      <c r="AT614" s="16"/>
      <c r="AU614" s="16"/>
      <c r="AV614" s="16"/>
      <c r="AW614" s="16"/>
      <c r="AX614" s="16"/>
    </row>
    <row r="615">
      <c r="A615" s="16"/>
      <c r="B615" s="16"/>
      <c r="C615" s="42"/>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c r="AR615" s="16"/>
      <c r="AS615" s="16"/>
      <c r="AT615" s="16"/>
      <c r="AU615" s="16"/>
      <c r="AV615" s="16"/>
      <c r="AW615" s="16"/>
      <c r="AX615" s="16"/>
    </row>
    <row r="616">
      <c r="A616" s="16"/>
      <c r="B616" s="16"/>
      <c r="C616" s="42"/>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row>
    <row r="617">
      <c r="A617" s="16"/>
      <c r="B617" s="16"/>
      <c r="C617" s="42"/>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V617" s="16"/>
      <c r="AW617" s="16"/>
      <c r="AX617" s="16"/>
    </row>
    <row r="618">
      <c r="A618" s="16"/>
      <c r="B618" s="16"/>
      <c r="C618" s="42"/>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row>
    <row r="619">
      <c r="A619" s="16"/>
      <c r="B619" s="16"/>
      <c r="C619" s="42"/>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row>
    <row r="620">
      <c r="A620" s="16"/>
      <c r="B620" s="16"/>
      <c r="C620" s="42"/>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row>
    <row r="621">
      <c r="A621" s="16"/>
      <c r="B621" s="16"/>
      <c r="C621" s="42"/>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row>
    <row r="622">
      <c r="A622" s="16"/>
      <c r="B622" s="16"/>
      <c r="C622" s="42"/>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row>
    <row r="623">
      <c r="A623" s="16"/>
      <c r="B623" s="16"/>
      <c r="C623" s="42"/>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row>
    <row r="624">
      <c r="A624" s="16"/>
      <c r="B624" s="16"/>
      <c r="C624" s="42"/>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row>
    <row r="625">
      <c r="A625" s="16"/>
      <c r="B625" s="16"/>
      <c r="C625" s="42"/>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row>
    <row r="626">
      <c r="A626" s="16"/>
      <c r="B626" s="16"/>
      <c r="C626" s="42"/>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row>
    <row r="627">
      <c r="A627" s="16"/>
      <c r="B627" s="16"/>
      <c r="C627" s="42"/>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row>
    <row r="628">
      <c r="A628" s="16"/>
      <c r="B628" s="16"/>
      <c r="C628" s="42"/>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row>
    <row r="629">
      <c r="A629" s="16"/>
      <c r="B629" s="16"/>
      <c r="C629" s="42"/>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c r="AU629" s="16"/>
      <c r="AV629" s="16"/>
      <c r="AW629" s="16"/>
      <c r="AX629" s="16"/>
    </row>
    <row r="630">
      <c r="A630" s="16"/>
      <c r="B630" s="16"/>
      <c r="C630" s="42"/>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c r="AS630" s="16"/>
      <c r="AT630" s="16"/>
      <c r="AU630" s="16"/>
      <c r="AV630" s="16"/>
      <c r="AW630" s="16"/>
      <c r="AX630" s="16"/>
    </row>
    <row r="631">
      <c r="A631" s="16"/>
      <c r="B631" s="16"/>
      <c r="C631" s="42"/>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c r="AS631" s="16"/>
      <c r="AT631" s="16"/>
      <c r="AU631" s="16"/>
      <c r="AV631" s="16"/>
      <c r="AW631" s="16"/>
      <c r="AX631" s="16"/>
    </row>
    <row r="632">
      <c r="A632" s="16"/>
      <c r="B632" s="16"/>
      <c r="C632" s="42"/>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c r="AU632" s="16"/>
      <c r="AV632" s="16"/>
      <c r="AW632" s="16"/>
      <c r="AX632" s="16"/>
    </row>
    <row r="633">
      <c r="A633" s="16"/>
      <c r="B633" s="16"/>
      <c r="C633" s="42"/>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c r="AS633" s="16"/>
      <c r="AT633" s="16"/>
      <c r="AU633" s="16"/>
      <c r="AV633" s="16"/>
      <c r="AW633" s="16"/>
      <c r="AX633" s="16"/>
    </row>
    <row r="634">
      <c r="A634" s="16"/>
      <c r="B634" s="16"/>
      <c r="C634" s="42"/>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c r="AR634" s="16"/>
      <c r="AS634" s="16"/>
      <c r="AT634" s="16"/>
      <c r="AU634" s="16"/>
      <c r="AV634" s="16"/>
      <c r="AW634" s="16"/>
      <c r="AX634" s="16"/>
    </row>
    <row r="635">
      <c r="A635" s="16"/>
      <c r="B635" s="16"/>
      <c r="C635" s="42"/>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c r="AR635" s="16"/>
      <c r="AS635" s="16"/>
      <c r="AT635" s="16"/>
      <c r="AU635" s="16"/>
      <c r="AV635" s="16"/>
      <c r="AW635" s="16"/>
      <c r="AX635" s="16"/>
    </row>
    <row r="636">
      <c r="A636" s="16"/>
      <c r="B636" s="16"/>
      <c r="C636" s="42"/>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c r="AS636" s="16"/>
      <c r="AT636" s="16"/>
      <c r="AU636" s="16"/>
      <c r="AV636" s="16"/>
      <c r="AW636" s="16"/>
      <c r="AX636" s="16"/>
    </row>
    <row r="637">
      <c r="A637" s="16"/>
      <c r="B637" s="16"/>
      <c r="C637" s="42"/>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c r="AR637" s="16"/>
      <c r="AS637" s="16"/>
      <c r="AT637" s="16"/>
      <c r="AU637" s="16"/>
      <c r="AV637" s="16"/>
      <c r="AW637" s="16"/>
      <c r="AX637" s="16"/>
    </row>
    <row r="638">
      <c r="A638" s="16"/>
      <c r="B638" s="16"/>
      <c r="C638" s="42"/>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c r="AS638" s="16"/>
      <c r="AT638" s="16"/>
      <c r="AU638" s="16"/>
      <c r="AV638" s="16"/>
      <c r="AW638" s="16"/>
      <c r="AX638" s="16"/>
    </row>
    <row r="639">
      <c r="A639" s="16"/>
      <c r="B639" s="16"/>
      <c r="C639" s="42"/>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c r="AP639" s="16"/>
      <c r="AQ639" s="16"/>
      <c r="AR639" s="16"/>
      <c r="AS639" s="16"/>
      <c r="AT639" s="16"/>
      <c r="AU639" s="16"/>
      <c r="AV639" s="16"/>
      <c r="AW639" s="16"/>
      <c r="AX639" s="16"/>
    </row>
    <row r="640">
      <c r="A640" s="16"/>
      <c r="B640" s="16"/>
      <c r="C640" s="42"/>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c r="AR640" s="16"/>
      <c r="AS640" s="16"/>
      <c r="AT640" s="16"/>
      <c r="AU640" s="16"/>
      <c r="AV640" s="16"/>
      <c r="AW640" s="16"/>
      <c r="AX640" s="16"/>
    </row>
    <row r="641">
      <c r="A641" s="16"/>
      <c r="B641" s="16"/>
      <c r="C641" s="42"/>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c r="AQ641" s="16"/>
      <c r="AR641" s="16"/>
      <c r="AS641" s="16"/>
      <c r="AT641" s="16"/>
      <c r="AU641" s="16"/>
      <c r="AV641" s="16"/>
      <c r="AW641" s="16"/>
      <c r="AX641" s="16"/>
    </row>
    <row r="642">
      <c r="A642" s="16"/>
      <c r="B642" s="16"/>
      <c r="C642" s="42"/>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c r="AU642" s="16"/>
      <c r="AV642" s="16"/>
      <c r="AW642" s="16"/>
      <c r="AX642" s="16"/>
    </row>
    <row r="643">
      <c r="A643" s="16"/>
      <c r="B643" s="16"/>
      <c r="C643" s="42"/>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c r="AP643" s="16"/>
      <c r="AQ643" s="16"/>
      <c r="AR643" s="16"/>
      <c r="AS643" s="16"/>
      <c r="AT643" s="16"/>
      <c r="AU643" s="16"/>
      <c r="AV643" s="16"/>
      <c r="AW643" s="16"/>
      <c r="AX643" s="16"/>
    </row>
    <row r="644">
      <c r="A644" s="16"/>
      <c r="B644" s="16"/>
      <c r="C644" s="42"/>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c r="AS644" s="16"/>
      <c r="AT644" s="16"/>
      <c r="AU644" s="16"/>
      <c r="AV644" s="16"/>
      <c r="AW644" s="16"/>
      <c r="AX644" s="16"/>
    </row>
    <row r="645">
      <c r="A645" s="16"/>
      <c r="B645" s="16"/>
      <c r="C645" s="42"/>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c r="AP645" s="16"/>
      <c r="AQ645" s="16"/>
      <c r="AR645" s="16"/>
      <c r="AS645" s="16"/>
      <c r="AT645" s="16"/>
      <c r="AU645" s="16"/>
      <c r="AV645" s="16"/>
      <c r="AW645" s="16"/>
      <c r="AX645" s="16"/>
    </row>
    <row r="646">
      <c r="A646" s="16"/>
      <c r="B646" s="16"/>
      <c r="C646" s="42"/>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c r="AR646" s="16"/>
      <c r="AS646" s="16"/>
      <c r="AT646" s="16"/>
      <c r="AU646" s="16"/>
      <c r="AV646" s="16"/>
      <c r="AW646" s="16"/>
      <c r="AX646" s="16"/>
    </row>
    <row r="647">
      <c r="A647" s="16"/>
      <c r="B647" s="16"/>
      <c r="C647" s="42"/>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c r="AQ647" s="16"/>
      <c r="AR647" s="16"/>
      <c r="AS647" s="16"/>
      <c r="AT647" s="16"/>
      <c r="AU647" s="16"/>
      <c r="AV647" s="16"/>
      <c r="AW647" s="16"/>
      <c r="AX647" s="16"/>
    </row>
    <row r="648">
      <c r="A648" s="16"/>
      <c r="B648" s="16"/>
      <c r="C648" s="42"/>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c r="AU648" s="16"/>
      <c r="AV648" s="16"/>
      <c r="AW648" s="16"/>
      <c r="AX648" s="16"/>
    </row>
    <row r="649">
      <c r="A649" s="16"/>
      <c r="B649" s="16"/>
      <c r="C649" s="42"/>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16"/>
      <c r="AS649" s="16"/>
      <c r="AT649" s="16"/>
      <c r="AU649" s="16"/>
      <c r="AV649" s="16"/>
      <c r="AW649" s="16"/>
      <c r="AX649" s="16"/>
    </row>
    <row r="650">
      <c r="A650" s="16"/>
      <c r="B650" s="16"/>
      <c r="C650" s="42"/>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c r="AR650" s="16"/>
      <c r="AS650" s="16"/>
      <c r="AT650" s="16"/>
      <c r="AU650" s="16"/>
      <c r="AV650" s="16"/>
      <c r="AW650" s="16"/>
      <c r="AX650" s="16"/>
    </row>
    <row r="651">
      <c r="A651" s="16"/>
      <c r="B651" s="16"/>
      <c r="C651" s="42"/>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c r="AP651" s="16"/>
      <c r="AQ651" s="16"/>
      <c r="AR651" s="16"/>
      <c r="AS651" s="16"/>
      <c r="AT651" s="16"/>
      <c r="AU651" s="16"/>
      <c r="AV651" s="16"/>
      <c r="AW651" s="16"/>
      <c r="AX651" s="16"/>
    </row>
    <row r="652">
      <c r="A652" s="16"/>
      <c r="B652" s="16"/>
      <c r="C652" s="42"/>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c r="AR652" s="16"/>
      <c r="AS652" s="16"/>
      <c r="AT652" s="16"/>
      <c r="AU652" s="16"/>
      <c r="AV652" s="16"/>
      <c r="AW652" s="16"/>
      <c r="AX652" s="16"/>
    </row>
    <row r="653">
      <c r="A653" s="16"/>
      <c r="B653" s="16"/>
      <c r="C653" s="42"/>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c r="AU653" s="16"/>
      <c r="AV653" s="16"/>
      <c r="AW653" s="16"/>
      <c r="AX653" s="16"/>
    </row>
    <row r="654">
      <c r="A654" s="16"/>
      <c r="B654" s="16"/>
      <c r="C654" s="42"/>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c r="AM654" s="16"/>
      <c r="AN654" s="16"/>
      <c r="AO654" s="16"/>
      <c r="AP654" s="16"/>
      <c r="AQ654" s="16"/>
      <c r="AR654" s="16"/>
      <c r="AS654" s="16"/>
      <c r="AT654" s="16"/>
      <c r="AU654" s="16"/>
      <c r="AV654" s="16"/>
      <c r="AW654" s="16"/>
      <c r="AX654" s="16"/>
    </row>
    <row r="655">
      <c r="A655" s="16"/>
      <c r="B655" s="16"/>
      <c r="C655" s="42"/>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c r="AR655" s="16"/>
      <c r="AS655" s="16"/>
      <c r="AT655" s="16"/>
      <c r="AU655" s="16"/>
      <c r="AV655" s="16"/>
      <c r="AW655" s="16"/>
      <c r="AX655" s="16"/>
    </row>
    <row r="656">
      <c r="A656" s="16"/>
      <c r="B656" s="16"/>
      <c r="C656" s="42"/>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c r="AR656" s="16"/>
      <c r="AS656" s="16"/>
      <c r="AT656" s="16"/>
      <c r="AU656" s="16"/>
      <c r="AV656" s="16"/>
      <c r="AW656" s="16"/>
      <c r="AX656" s="16"/>
    </row>
    <row r="657">
      <c r="A657" s="16"/>
      <c r="B657" s="16"/>
      <c r="C657" s="42"/>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16"/>
      <c r="AO657" s="16"/>
      <c r="AP657" s="16"/>
      <c r="AQ657" s="16"/>
      <c r="AR657" s="16"/>
      <c r="AS657" s="16"/>
      <c r="AT657" s="16"/>
      <c r="AU657" s="16"/>
      <c r="AV657" s="16"/>
      <c r="AW657" s="16"/>
      <c r="AX657" s="16"/>
    </row>
    <row r="658">
      <c r="A658" s="16"/>
      <c r="B658" s="16"/>
      <c r="C658" s="42"/>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c r="AR658" s="16"/>
      <c r="AS658" s="16"/>
      <c r="AT658" s="16"/>
      <c r="AU658" s="16"/>
      <c r="AV658" s="16"/>
      <c r="AW658" s="16"/>
      <c r="AX658" s="16"/>
    </row>
    <row r="659">
      <c r="A659" s="16"/>
      <c r="B659" s="16"/>
      <c r="C659" s="42"/>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c r="AM659" s="16"/>
      <c r="AN659" s="16"/>
      <c r="AO659" s="16"/>
      <c r="AP659" s="16"/>
      <c r="AQ659" s="16"/>
      <c r="AR659" s="16"/>
      <c r="AS659" s="16"/>
      <c r="AT659" s="16"/>
      <c r="AU659" s="16"/>
      <c r="AV659" s="16"/>
      <c r="AW659" s="16"/>
      <c r="AX659" s="16"/>
    </row>
    <row r="660">
      <c r="A660" s="16"/>
      <c r="B660" s="16"/>
      <c r="C660" s="42"/>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c r="AR660" s="16"/>
      <c r="AS660" s="16"/>
      <c r="AT660" s="16"/>
      <c r="AU660" s="16"/>
      <c r="AV660" s="16"/>
      <c r="AW660" s="16"/>
      <c r="AX660" s="16"/>
    </row>
    <row r="661">
      <c r="A661" s="16"/>
      <c r="B661" s="16"/>
      <c r="C661" s="42"/>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c r="AR661" s="16"/>
      <c r="AS661" s="16"/>
      <c r="AT661" s="16"/>
      <c r="AU661" s="16"/>
      <c r="AV661" s="16"/>
      <c r="AW661" s="16"/>
      <c r="AX661" s="16"/>
    </row>
    <row r="662">
      <c r="A662" s="16"/>
      <c r="B662" s="16"/>
      <c r="C662" s="42"/>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c r="AR662" s="16"/>
      <c r="AS662" s="16"/>
      <c r="AT662" s="16"/>
      <c r="AU662" s="16"/>
      <c r="AV662" s="16"/>
      <c r="AW662" s="16"/>
      <c r="AX662" s="16"/>
    </row>
    <row r="663">
      <c r="A663" s="16"/>
      <c r="B663" s="16"/>
      <c r="C663" s="42"/>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c r="AM663" s="16"/>
      <c r="AN663" s="16"/>
      <c r="AO663" s="16"/>
      <c r="AP663" s="16"/>
      <c r="AQ663" s="16"/>
      <c r="AR663" s="16"/>
      <c r="AS663" s="16"/>
      <c r="AT663" s="16"/>
      <c r="AU663" s="16"/>
      <c r="AV663" s="16"/>
      <c r="AW663" s="16"/>
      <c r="AX663" s="16"/>
    </row>
    <row r="664">
      <c r="A664" s="16"/>
      <c r="B664" s="16"/>
      <c r="C664" s="42"/>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c r="AS664" s="16"/>
      <c r="AT664" s="16"/>
      <c r="AU664" s="16"/>
      <c r="AV664" s="16"/>
      <c r="AW664" s="16"/>
      <c r="AX664" s="16"/>
    </row>
    <row r="665">
      <c r="A665" s="16"/>
      <c r="B665" s="16"/>
      <c r="C665" s="42"/>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c r="AR665" s="16"/>
      <c r="AS665" s="16"/>
      <c r="AT665" s="16"/>
      <c r="AU665" s="16"/>
      <c r="AV665" s="16"/>
      <c r="AW665" s="16"/>
      <c r="AX665" s="16"/>
    </row>
    <row r="666">
      <c r="A666" s="16"/>
      <c r="B666" s="16"/>
      <c r="C666" s="42"/>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c r="AS666" s="16"/>
      <c r="AT666" s="16"/>
      <c r="AU666" s="16"/>
      <c r="AV666" s="16"/>
      <c r="AW666" s="16"/>
      <c r="AX666" s="16"/>
    </row>
    <row r="667">
      <c r="A667" s="16"/>
      <c r="B667" s="16"/>
      <c r="C667" s="42"/>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c r="AQ667" s="16"/>
      <c r="AR667" s="16"/>
      <c r="AS667" s="16"/>
      <c r="AT667" s="16"/>
      <c r="AU667" s="16"/>
      <c r="AV667" s="16"/>
      <c r="AW667" s="16"/>
      <c r="AX667" s="16"/>
    </row>
    <row r="668">
      <c r="A668" s="16"/>
      <c r="B668" s="16"/>
      <c r="C668" s="42"/>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c r="AU668" s="16"/>
      <c r="AV668" s="16"/>
      <c r="AW668" s="16"/>
      <c r="AX668" s="16"/>
    </row>
    <row r="669">
      <c r="A669" s="16"/>
      <c r="B669" s="16"/>
      <c r="C669" s="42"/>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c r="AM669" s="16"/>
      <c r="AN669" s="16"/>
      <c r="AO669" s="16"/>
      <c r="AP669" s="16"/>
      <c r="AQ669" s="16"/>
      <c r="AR669" s="16"/>
      <c r="AS669" s="16"/>
      <c r="AT669" s="16"/>
      <c r="AU669" s="16"/>
      <c r="AV669" s="16"/>
      <c r="AW669" s="16"/>
      <c r="AX669" s="16"/>
    </row>
    <row r="670">
      <c r="A670" s="16"/>
      <c r="B670" s="16"/>
      <c r="C670" s="42"/>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c r="AU670" s="16"/>
      <c r="AV670" s="16"/>
      <c r="AW670" s="16"/>
      <c r="AX670" s="16"/>
    </row>
    <row r="671">
      <c r="A671" s="16"/>
      <c r="B671" s="16"/>
      <c r="C671" s="42"/>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c r="AM671" s="16"/>
      <c r="AN671" s="16"/>
      <c r="AO671" s="16"/>
      <c r="AP671" s="16"/>
      <c r="AQ671" s="16"/>
      <c r="AR671" s="16"/>
      <c r="AS671" s="16"/>
      <c r="AT671" s="16"/>
      <c r="AU671" s="16"/>
      <c r="AV671" s="16"/>
      <c r="AW671" s="16"/>
      <c r="AX671" s="16"/>
    </row>
    <row r="672">
      <c r="A672" s="16"/>
      <c r="B672" s="16"/>
      <c r="C672" s="42"/>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c r="AR672" s="16"/>
      <c r="AS672" s="16"/>
      <c r="AT672" s="16"/>
      <c r="AU672" s="16"/>
      <c r="AV672" s="16"/>
      <c r="AW672" s="16"/>
      <c r="AX672" s="16"/>
    </row>
    <row r="673">
      <c r="A673" s="16"/>
      <c r="B673" s="16"/>
      <c r="C673" s="42"/>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16"/>
      <c r="AO673" s="16"/>
      <c r="AP673" s="16"/>
      <c r="AQ673" s="16"/>
      <c r="AR673" s="16"/>
      <c r="AS673" s="16"/>
      <c r="AT673" s="16"/>
      <c r="AU673" s="16"/>
      <c r="AV673" s="16"/>
      <c r="AW673" s="16"/>
      <c r="AX673" s="16"/>
    </row>
    <row r="674">
      <c r="A674" s="16"/>
      <c r="B674" s="16"/>
      <c r="C674" s="42"/>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c r="AS674" s="16"/>
      <c r="AT674" s="16"/>
      <c r="AU674" s="16"/>
      <c r="AV674" s="16"/>
      <c r="AW674" s="16"/>
      <c r="AX674" s="16"/>
    </row>
    <row r="675">
      <c r="A675" s="16"/>
      <c r="B675" s="16"/>
      <c r="C675" s="42"/>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c r="AM675" s="16"/>
      <c r="AN675" s="16"/>
      <c r="AO675" s="16"/>
      <c r="AP675" s="16"/>
      <c r="AQ675" s="16"/>
      <c r="AR675" s="16"/>
      <c r="AS675" s="16"/>
      <c r="AT675" s="16"/>
      <c r="AU675" s="16"/>
      <c r="AV675" s="16"/>
      <c r="AW675" s="16"/>
      <c r="AX675" s="16"/>
    </row>
    <row r="676">
      <c r="A676" s="16"/>
      <c r="B676" s="16"/>
      <c r="C676" s="42"/>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U676" s="16"/>
      <c r="AV676" s="16"/>
      <c r="AW676" s="16"/>
      <c r="AX676" s="16"/>
    </row>
    <row r="677">
      <c r="A677" s="16"/>
      <c r="B677" s="16"/>
      <c r="C677" s="42"/>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V677" s="16"/>
      <c r="AW677" s="16"/>
      <c r="AX677" s="16"/>
    </row>
    <row r="678">
      <c r="A678" s="16"/>
      <c r="B678" s="16"/>
      <c r="C678" s="42"/>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U678" s="16"/>
      <c r="AV678" s="16"/>
      <c r="AW678" s="16"/>
      <c r="AX678" s="16"/>
    </row>
    <row r="679">
      <c r="A679" s="16"/>
      <c r="B679" s="16"/>
      <c r="C679" s="42"/>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c r="AS679" s="16"/>
      <c r="AT679" s="16"/>
      <c r="AU679" s="16"/>
      <c r="AV679" s="16"/>
      <c r="AW679" s="16"/>
      <c r="AX679" s="16"/>
    </row>
    <row r="680">
      <c r="A680" s="16"/>
      <c r="B680" s="16"/>
      <c r="C680" s="42"/>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c r="AU680" s="16"/>
      <c r="AV680" s="16"/>
      <c r="AW680" s="16"/>
      <c r="AX680" s="16"/>
    </row>
    <row r="681">
      <c r="A681" s="16"/>
      <c r="B681" s="16"/>
      <c r="C681" s="42"/>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c r="AS681" s="16"/>
      <c r="AT681" s="16"/>
      <c r="AU681" s="16"/>
      <c r="AV681" s="16"/>
      <c r="AW681" s="16"/>
      <c r="AX681" s="16"/>
    </row>
    <row r="682">
      <c r="A682" s="16"/>
      <c r="B682" s="16"/>
      <c r="C682" s="42"/>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c r="AS682" s="16"/>
      <c r="AT682" s="16"/>
      <c r="AU682" s="16"/>
      <c r="AV682" s="16"/>
      <c r="AW682" s="16"/>
      <c r="AX682" s="16"/>
    </row>
    <row r="683">
      <c r="A683" s="16"/>
      <c r="B683" s="16"/>
      <c r="C683" s="42"/>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c r="AS683" s="16"/>
      <c r="AT683" s="16"/>
      <c r="AU683" s="16"/>
      <c r="AV683" s="16"/>
      <c r="AW683" s="16"/>
      <c r="AX683" s="16"/>
    </row>
    <row r="684">
      <c r="A684" s="16"/>
      <c r="B684" s="16"/>
      <c r="C684" s="42"/>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c r="AS684" s="16"/>
      <c r="AT684" s="16"/>
      <c r="AU684" s="16"/>
      <c r="AV684" s="16"/>
      <c r="AW684" s="16"/>
      <c r="AX684" s="16"/>
    </row>
    <row r="685">
      <c r="A685" s="16"/>
      <c r="B685" s="16"/>
      <c r="C685" s="42"/>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c r="AS685" s="16"/>
      <c r="AT685" s="16"/>
      <c r="AU685" s="16"/>
      <c r="AV685" s="16"/>
      <c r="AW685" s="16"/>
      <c r="AX685" s="16"/>
    </row>
    <row r="686">
      <c r="A686" s="16"/>
      <c r="B686" s="16"/>
      <c r="C686" s="42"/>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V686" s="16"/>
      <c r="AW686" s="16"/>
      <c r="AX686" s="16"/>
    </row>
    <row r="687">
      <c r="A687" s="16"/>
      <c r="B687" s="16"/>
      <c r="C687" s="42"/>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U687" s="16"/>
      <c r="AV687" s="16"/>
      <c r="AW687" s="16"/>
      <c r="AX687" s="16"/>
    </row>
    <row r="688">
      <c r="A688" s="16"/>
      <c r="B688" s="16"/>
      <c r="C688" s="42"/>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V688" s="16"/>
      <c r="AW688" s="16"/>
      <c r="AX688" s="16"/>
    </row>
    <row r="689">
      <c r="A689" s="16"/>
      <c r="B689" s="16"/>
      <c r="C689" s="42"/>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c r="AS689" s="16"/>
      <c r="AT689" s="16"/>
      <c r="AU689" s="16"/>
      <c r="AV689" s="16"/>
      <c r="AW689" s="16"/>
      <c r="AX689" s="16"/>
    </row>
    <row r="690">
      <c r="A690" s="16"/>
      <c r="B690" s="16"/>
      <c r="C690" s="42"/>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c r="AS690" s="16"/>
      <c r="AT690" s="16"/>
      <c r="AU690" s="16"/>
      <c r="AV690" s="16"/>
      <c r="AW690" s="16"/>
      <c r="AX690" s="16"/>
    </row>
    <row r="691">
      <c r="A691" s="16"/>
      <c r="B691" s="16"/>
      <c r="C691" s="42"/>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c r="AU691" s="16"/>
      <c r="AV691" s="16"/>
      <c r="AW691" s="16"/>
      <c r="AX691" s="16"/>
    </row>
    <row r="692">
      <c r="A692" s="16"/>
      <c r="B692" s="16"/>
      <c r="C692" s="42"/>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c r="AS692" s="16"/>
      <c r="AT692" s="16"/>
      <c r="AU692" s="16"/>
      <c r="AV692" s="16"/>
      <c r="AW692" s="16"/>
      <c r="AX692" s="16"/>
    </row>
    <row r="693">
      <c r="A693" s="16"/>
      <c r="B693" s="16"/>
      <c r="C693" s="42"/>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c r="AU693" s="16"/>
      <c r="AV693" s="16"/>
      <c r="AW693" s="16"/>
      <c r="AX693" s="16"/>
    </row>
    <row r="694">
      <c r="A694" s="16"/>
      <c r="B694" s="16"/>
      <c r="C694" s="42"/>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c r="AS694" s="16"/>
      <c r="AT694" s="16"/>
      <c r="AU694" s="16"/>
      <c r="AV694" s="16"/>
      <c r="AW694" s="16"/>
      <c r="AX694" s="16"/>
    </row>
    <row r="695">
      <c r="A695" s="16"/>
      <c r="B695" s="16"/>
      <c r="C695" s="42"/>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c r="AS695" s="16"/>
      <c r="AT695" s="16"/>
      <c r="AU695" s="16"/>
      <c r="AV695" s="16"/>
      <c r="AW695" s="16"/>
      <c r="AX695" s="16"/>
    </row>
    <row r="696">
      <c r="A696" s="16"/>
      <c r="B696" s="16"/>
      <c r="C696" s="42"/>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c r="AS696" s="16"/>
      <c r="AT696" s="16"/>
      <c r="AU696" s="16"/>
      <c r="AV696" s="16"/>
      <c r="AW696" s="16"/>
      <c r="AX696" s="16"/>
    </row>
    <row r="697">
      <c r="A697" s="16"/>
      <c r="B697" s="16"/>
      <c r="C697" s="42"/>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c r="AS697" s="16"/>
      <c r="AT697" s="16"/>
      <c r="AU697" s="16"/>
      <c r="AV697" s="16"/>
      <c r="AW697" s="16"/>
      <c r="AX697" s="16"/>
    </row>
    <row r="698">
      <c r="A698" s="16"/>
      <c r="B698" s="16"/>
      <c r="C698" s="42"/>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c r="AS698" s="16"/>
      <c r="AT698" s="16"/>
      <c r="AU698" s="16"/>
      <c r="AV698" s="16"/>
      <c r="AW698" s="16"/>
      <c r="AX698" s="16"/>
    </row>
    <row r="699">
      <c r="A699" s="16"/>
      <c r="B699" s="16"/>
      <c r="C699" s="42"/>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c r="AS699" s="16"/>
      <c r="AT699" s="16"/>
      <c r="AU699" s="16"/>
      <c r="AV699" s="16"/>
      <c r="AW699" s="16"/>
      <c r="AX699" s="16"/>
    </row>
    <row r="700">
      <c r="A700" s="16"/>
      <c r="B700" s="16"/>
      <c r="C700" s="42"/>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c r="AS700" s="16"/>
      <c r="AT700" s="16"/>
      <c r="AU700" s="16"/>
      <c r="AV700" s="16"/>
      <c r="AW700" s="16"/>
      <c r="AX700" s="16"/>
    </row>
    <row r="701">
      <c r="A701" s="16"/>
      <c r="B701" s="16"/>
      <c r="C701" s="42"/>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c r="AS701" s="16"/>
      <c r="AT701" s="16"/>
      <c r="AU701" s="16"/>
      <c r="AV701" s="16"/>
      <c r="AW701" s="16"/>
      <c r="AX701" s="16"/>
    </row>
    <row r="702">
      <c r="A702" s="16"/>
      <c r="B702" s="16"/>
      <c r="C702" s="42"/>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c r="AU702" s="16"/>
      <c r="AV702" s="16"/>
      <c r="AW702" s="16"/>
      <c r="AX702" s="16"/>
    </row>
    <row r="703">
      <c r="A703" s="16"/>
      <c r="B703" s="16"/>
      <c r="C703" s="42"/>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c r="AU703" s="16"/>
      <c r="AV703" s="16"/>
      <c r="AW703" s="16"/>
      <c r="AX703" s="16"/>
    </row>
    <row r="704">
      <c r="A704" s="16"/>
      <c r="B704" s="16"/>
      <c r="C704" s="42"/>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c r="AS704" s="16"/>
      <c r="AT704" s="16"/>
      <c r="AU704" s="16"/>
      <c r="AV704" s="16"/>
      <c r="AW704" s="16"/>
      <c r="AX704" s="16"/>
    </row>
    <row r="705">
      <c r="A705" s="16"/>
      <c r="B705" s="16"/>
      <c r="C705" s="42"/>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c r="AS705" s="16"/>
      <c r="AT705" s="16"/>
      <c r="AU705" s="16"/>
      <c r="AV705" s="16"/>
      <c r="AW705" s="16"/>
      <c r="AX705" s="16"/>
    </row>
    <row r="706">
      <c r="A706" s="16"/>
      <c r="B706" s="16"/>
      <c r="C706" s="42"/>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c r="AR706" s="16"/>
      <c r="AS706" s="16"/>
      <c r="AT706" s="16"/>
      <c r="AU706" s="16"/>
      <c r="AV706" s="16"/>
      <c r="AW706" s="16"/>
      <c r="AX706" s="16"/>
    </row>
    <row r="707">
      <c r="A707" s="16"/>
      <c r="B707" s="16"/>
      <c r="C707" s="42"/>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16"/>
      <c r="AO707" s="16"/>
      <c r="AP707" s="16"/>
      <c r="AQ707" s="16"/>
      <c r="AR707" s="16"/>
      <c r="AS707" s="16"/>
      <c r="AT707" s="16"/>
      <c r="AU707" s="16"/>
      <c r="AV707" s="16"/>
      <c r="AW707" s="16"/>
      <c r="AX707" s="16"/>
    </row>
    <row r="708">
      <c r="A708" s="16"/>
      <c r="B708" s="16"/>
      <c r="C708" s="42"/>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c r="AR708" s="16"/>
      <c r="AS708" s="16"/>
      <c r="AT708" s="16"/>
      <c r="AU708" s="16"/>
      <c r="AV708" s="16"/>
      <c r="AW708" s="16"/>
      <c r="AX708" s="16"/>
    </row>
    <row r="709">
      <c r="A709" s="16"/>
      <c r="B709" s="16"/>
      <c r="C709" s="42"/>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c r="AS709" s="16"/>
      <c r="AT709" s="16"/>
      <c r="AU709" s="16"/>
      <c r="AV709" s="16"/>
      <c r="AW709" s="16"/>
      <c r="AX709" s="16"/>
    </row>
    <row r="710">
      <c r="A710" s="16"/>
      <c r="B710" s="16"/>
      <c r="C710" s="42"/>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c r="AS710" s="16"/>
      <c r="AT710" s="16"/>
      <c r="AU710" s="16"/>
      <c r="AV710" s="16"/>
      <c r="AW710" s="16"/>
      <c r="AX710" s="16"/>
    </row>
    <row r="711">
      <c r="A711" s="16"/>
      <c r="B711" s="16"/>
      <c r="C711" s="42"/>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c r="AM711" s="16"/>
      <c r="AN711" s="16"/>
      <c r="AO711" s="16"/>
      <c r="AP711" s="16"/>
      <c r="AQ711" s="16"/>
      <c r="AR711" s="16"/>
      <c r="AS711" s="16"/>
      <c r="AT711" s="16"/>
      <c r="AU711" s="16"/>
      <c r="AV711" s="16"/>
      <c r="AW711" s="16"/>
      <c r="AX711" s="16"/>
    </row>
    <row r="712">
      <c r="A712" s="16"/>
      <c r="B712" s="16"/>
      <c r="C712" s="42"/>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c r="AR712" s="16"/>
      <c r="AS712" s="16"/>
      <c r="AT712" s="16"/>
      <c r="AU712" s="16"/>
      <c r="AV712" s="16"/>
      <c r="AW712" s="16"/>
      <c r="AX712" s="16"/>
    </row>
    <row r="713">
      <c r="A713" s="16"/>
      <c r="B713" s="16"/>
      <c r="C713" s="42"/>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c r="AS713" s="16"/>
      <c r="AT713" s="16"/>
      <c r="AU713" s="16"/>
      <c r="AV713" s="16"/>
      <c r="AW713" s="16"/>
      <c r="AX713" s="16"/>
    </row>
    <row r="714">
      <c r="A714" s="16"/>
      <c r="B714" s="16"/>
      <c r="C714" s="42"/>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c r="AS714" s="16"/>
      <c r="AT714" s="16"/>
      <c r="AU714" s="16"/>
      <c r="AV714" s="16"/>
      <c r="AW714" s="16"/>
      <c r="AX714" s="16"/>
    </row>
    <row r="715">
      <c r="A715" s="16"/>
      <c r="B715" s="16"/>
      <c r="C715" s="42"/>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c r="AS715" s="16"/>
      <c r="AT715" s="16"/>
      <c r="AU715" s="16"/>
      <c r="AV715" s="16"/>
      <c r="AW715" s="16"/>
      <c r="AX715" s="16"/>
    </row>
    <row r="716">
      <c r="A716" s="16"/>
      <c r="B716" s="16"/>
      <c r="C716" s="42"/>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c r="AS716" s="16"/>
      <c r="AT716" s="16"/>
      <c r="AU716" s="16"/>
      <c r="AV716" s="16"/>
      <c r="AW716" s="16"/>
      <c r="AX716" s="16"/>
    </row>
    <row r="717">
      <c r="A717" s="16"/>
      <c r="B717" s="16"/>
      <c r="C717" s="42"/>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c r="AS717" s="16"/>
      <c r="AT717" s="16"/>
      <c r="AU717" s="16"/>
      <c r="AV717" s="16"/>
      <c r="AW717" s="16"/>
      <c r="AX717" s="16"/>
    </row>
    <row r="718">
      <c r="A718" s="16"/>
      <c r="B718" s="16"/>
      <c r="C718" s="42"/>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c r="AS718" s="16"/>
      <c r="AT718" s="16"/>
      <c r="AU718" s="16"/>
      <c r="AV718" s="16"/>
      <c r="AW718" s="16"/>
      <c r="AX718" s="16"/>
    </row>
    <row r="719">
      <c r="A719" s="16"/>
      <c r="B719" s="16"/>
      <c r="C719" s="42"/>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c r="AU719" s="16"/>
      <c r="AV719" s="16"/>
      <c r="AW719" s="16"/>
      <c r="AX719" s="16"/>
    </row>
    <row r="720">
      <c r="A720" s="16"/>
      <c r="B720" s="16"/>
      <c r="C720" s="42"/>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row>
    <row r="721">
      <c r="A721" s="16"/>
      <c r="B721" s="16"/>
      <c r="C721" s="42"/>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row>
    <row r="722">
      <c r="A722" s="16"/>
      <c r="B722" s="16"/>
      <c r="C722" s="42"/>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row>
    <row r="723">
      <c r="A723" s="16"/>
      <c r="B723" s="16"/>
      <c r="C723" s="42"/>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row>
    <row r="724">
      <c r="A724" s="16"/>
      <c r="B724" s="16"/>
      <c r="C724" s="42"/>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row>
    <row r="725">
      <c r="A725" s="16"/>
      <c r="B725" s="16"/>
      <c r="C725" s="42"/>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row>
    <row r="726">
      <c r="A726" s="16"/>
      <c r="B726" s="16"/>
      <c r="C726" s="42"/>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row>
    <row r="727">
      <c r="A727" s="16"/>
      <c r="B727" s="16"/>
      <c r="C727" s="42"/>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row>
    <row r="728">
      <c r="A728" s="16"/>
      <c r="B728" s="16"/>
      <c r="C728" s="42"/>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row>
    <row r="729">
      <c r="A729" s="16"/>
      <c r="B729" s="16"/>
      <c r="C729" s="42"/>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row>
    <row r="730">
      <c r="A730" s="16"/>
      <c r="B730" s="16"/>
      <c r="C730" s="42"/>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row>
    <row r="731">
      <c r="A731" s="16"/>
      <c r="B731" s="16"/>
      <c r="C731" s="42"/>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row>
    <row r="732">
      <c r="A732" s="16"/>
      <c r="B732" s="16"/>
      <c r="C732" s="42"/>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row>
    <row r="733">
      <c r="A733" s="16"/>
      <c r="B733" s="16"/>
      <c r="C733" s="42"/>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row>
    <row r="734">
      <c r="A734" s="16"/>
      <c r="B734" s="16"/>
      <c r="C734" s="42"/>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row>
    <row r="735">
      <c r="A735" s="16"/>
      <c r="B735" s="16"/>
      <c r="C735" s="42"/>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row>
    <row r="736">
      <c r="A736" s="16"/>
      <c r="B736" s="16"/>
      <c r="C736" s="42"/>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row>
    <row r="737">
      <c r="A737" s="16"/>
      <c r="B737" s="16"/>
      <c r="C737" s="42"/>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row>
    <row r="738">
      <c r="A738" s="16"/>
      <c r="B738" s="16"/>
      <c r="C738" s="42"/>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row>
    <row r="739">
      <c r="A739" s="16"/>
      <c r="B739" s="16"/>
      <c r="C739" s="42"/>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row>
    <row r="740">
      <c r="A740" s="16"/>
      <c r="B740" s="16"/>
      <c r="C740" s="42"/>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row>
    <row r="741">
      <c r="A741" s="16"/>
      <c r="B741" s="16"/>
      <c r="C741" s="42"/>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row>
    <row r="742">
      <c r="A742" s="16"/>
      <c r="B742" s="16"/>
      <c r="C742" s="42"/>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V742" s="16"/>
      <c r="AW742" s="16"/>
      <c r="AX742" s="16"/>
    </row>
    <row r="743">
      <c r="A743" s="16"/>
      <c r="B743" s="16"/>
      <c r="C743" s="42"/>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row>
    <row r="744">
      <c r="A744" s="16"/>
      <c r="B744" s="16"/>
      <c r="C744" s="42"/>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V744" s="16"/>
      <c r="AW744" s="16"/>
      <c r="AX744" s="16"/>
    </row>
    <row r="745">
      <c r="A745" s="16"/>
      <c r="B745" s="16"/>
      <c r="C745" s="42"/>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V745" s="16"/>
      <c r="AW745" s="16"/>
      <c r="AX745" s="16"/>
    </row>
    <row r="746">
      <c r="A746" s="16"/>
      <c r="B746" s="16"/>
      <c r="C746" s="42"/>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V746" s="16"/>
      <c r="AW746" s="16"/>
      <c r="AX746" s="16"/>
    </row>
    <row r="747">
      <c r="A747" s="16"/>
      <c r="B747" s="16"/>
      <c r="C747" s="42"/>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row>
    <row r="748">
      <c r="A748" s="16"/>
      <c r="B748" s="16"/>
      <c r="C748" s="42"/>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row>
    <row r="749">
      <c r="A749" s="16"/>
      <c r="B749" s="16"/>
      <c r="C749" s="42"/>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V749" s="16"/>
      <c r="AW749" s="16"/>
      <c r="AX749" s="16"/>
    </row>
    <row r="750">
      <c r="A750" s="16"/>
      <c r="B750" s="16"/>
      <c r="C750" s="42"/>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row>
    <row r="751">
      <c r="A751" s="16"/>
      <c r="B751" s="16"/>
      <c r="C751" s="42"/>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V751" s="16"/>
      <c r="AW751" s="16"/>
      <c r="AX751" s="16"/>
    </row>
    <row r="752">
      <c r="A752" s="16"/>
      <c r="B752" s="16"/>
      <c r="C752" s="42"/>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V752" s="16"/>
      <c r="AW752" s="16"/>
      <c r="AX752" s="16"/>
    </row>
    <row r="753">
      <c r="A753" s="16"/>
      <c r="B753" s="16"/>
      <c r="C753" s="42"/>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row>
    <row r="754">
      <c r="A754" s="16"/>
      <c r="B754" s="16"/>
      <c r="C754" s="42"/>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row>
    <row r="755">
      <c r="A755" s="16"/>
      <c r="B755" s="16"/>
      <c r="C755" s="42"/>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V755" s="16"/>
      <c r="AW755" s="16"/>
      <c r="AX755" s="16"/>
    </row>
    <row r="756">
      <c r="A756" s="16"/>
      <c r="B756" s="16"/>
      <c r="C756" s="42"/>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row>
    <row r="757">
      <c r="A757" s="16"/>
      <c r="B757" s="16"/>
      <c r="C757" s="42"/>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V757" s="16"/>
      <c r="AW757" s="16"/>
      <c r="AX757" s="16"/>
    </row>
    <row r="758">
      <c r="A758" s="16"/>
      <c r="B758" s="16"/>
      <c r="C758" s="42"/>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6"/>
    </row>
    <row r="759">
      <c r="A759" s="16"/>
      <c r="B759" s="16"/>
      <c r="C759" s="42"/>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row>
    <row r="760">
      <c r="A760" s="16"/>
      <c r="B760" s="16"/>
      <c r="C760" s="42"/>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c r="AS760" s="16"/>
      <c r="AT760" s="16"/>
      <c r="AU760" s="16"/>
      <c r="AV760" s="16"/>
      <c r="AW760" s="16"/>
      <c r="AX760" s="16"/>
    </row>
    <row r="761">
      <c r="A761" s="16"/>
      <c r="B761" s="16"/>
      <c r="C761" s="42"/>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c r="AP761" s="16"/>
      <c r="AQ761" s="16"/>
      <c r="AR761" s="16"/>
      <c r="AS761" s="16"/>
      <c r="AT761" s="16"/>
      <c r="AU761" s="16"/>
      <c r="AV761" s="16"/>
      <c r="AW761" s="16"/>
      <c r="AX761" s="16"/>
    </row>
    <row r="762">
      <c r="A762" s="16"/>
      <c r="B762" s="16"/>
      <c r="C762" s="42"/>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c r="AR762" s="16"/>
      <c r="AS762" s="16"/>
      <c r="AT762" s="16"/>
      <c r="AU762" s="16"/>
      <c r="AV762" s="16"/>
      <c r="AW762" s="16"/>
      <c r="AX762" s="16"/>
    </row>
    <row r="763">
      <c r="A763" s="16"/>
      <c r="B763" s="16"/>
      <c r="C763" s="42"/>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c r="AS763" s="16"/>
      <c r="AT763" s="16"/>
      <c r="AU763" s="16"/>
      <c r="AV763" s="16"/>
      <c r="AW763" s="16"/>
      <c r="AX763" s="16"/>
    </row>
    <row r="764">
      <c r="A764" s="16"/>
      <c r="B764" s="16"/>
      <c r="C764" s="42"/>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c r="AP764" s="16"/>
      <c r="AQ764" s="16"/>
      <c r="AR764" s="16"/>
      <c r="AS764" s="16"/>
      <c r="AT764" s="16"/>
      <c r="AU764" s="16"/>
      <c r="AV764" s="16"/>
      <c r="AW764" s="16"/>
      <c r="AX764" s="16"/>
    </row>
    <row r="765">
      <c r="A765" s="16"/>
      <c r="B765" s="16"/>
      <c r="C765" s="42"/>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c r="AR765" s="16"/>
      <c r="AS765" s="16"/>
      <c r="AT765" s="16"/>
      <c r="AU765" s="16"/>
      <c r="AV765" s="16"/>
      <c r="AW765" s="16"/>
      <c r="AX765" s="16"/>
    </row>
    <row r="766">
      <c r="A766" s="16"/>
      <c r="B766" s="16"/>
      <c r="C766" s="42"/>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c r="AR766" s="16"/>
      <c r="AS766" s="16"/>
      <c r="AT766" s="16"/>
      <c r="AU766" s="16"/>
      <c r="AV766" s="16"/>
      <c r="AW766" s="16"/>
      <c r="AX766" s="16"/>
    </row>
    <row r="767">
      <c r="A767" s="16"/>
      <c r="B767" s="16"/>
      <c r="C767" s="42"/>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c r="AS767" s="16"/>
      <c r="AT767" s="16"/>
      <c r="AU767" s="16"/>
      <c r="AV767" s="16"/>
      <c r="AW767" s="16"/>
      <c r="AX767" s="16"/>
    </row>
    <row r="768">
      <c r="A768" s="16"/>
      <c r="B768" s="16"/>
      <c r="C768" s="42"/>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c r="AR768" s="16"/>
      <c r="AS768" s="16"/>
      <c r="AT768" s="16"/>
      <c r="AU768" s="16"/>
      <c r="AV768" s="16"/>
      <c r="AW768" s="16"/>
      <c r="AX768" s="16"/>
    </row>
    <row r="769">
      <c r="A769" s="16"/>
      <c r="B769" s="16"/>
      <c r="C769" s="42"/>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c r="AR769" s="16"/>
      <c r="AS769" s="16"/>
      <c r="AT769" s="16"/>
      <c r="AU769" s="16"/>
      <c r="AV769" s="16"/>
      <c r="AW769" s="16"/>
      <c r="AX769" s="16"/>
    </row>
    <row r="770">
      <c r="A770" s="16"/>
      <c r="B770" s="16"/>
      <c r="C770" s="42"/>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c r="AR770" s="16"/>
      <c r="AS770" s="16"/>
      <c r="AT770" s="16"/>
      <c r="AU770" s="16"/>
      <c r="AV770" s="16"/>
      <c r="AW770" s="16"/>
      <c r="AX770" s="16"/>
    </row>
    <row r="771">
      <c r="A771" s="16"/>
      <c r="B771" s="16"/>
      <c r="C771" s="42"/>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c r="AM771" s="16"/>
      <c r="AN771" s="16"/>
      <c r="AO771" s="16"/>
      <c r="AP771" s="16"/>
      <c r="AQ771" s="16"/>
      <c r="AR771" s="16"/>
      <c r="AS771" s="16"/>
      <c r="AT771" s="16"/>
      <c r="AU771" s="16"/>
      <c r="AV771" s="16"/>
      <c r="AW771" s="16"/>
      <c r="AX771" s="16"/>
    </row>
    <row r="772">
      <c r="A772" s="16"/>
      <c r="B772" s="16"/>
      <c r="C772" s="42"/>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c r="AS772" s="16"/>
      <c r="AT772" s="16"/>
      <c r="AU772" s="16"/>
      <c r="AV772" s="16"/>
      <c r="AW772" s="16"/>
      <c r="AX772" s="16"/>
    </row>
    <row r="773">
      <c r="A773" s="16"/>
      <c r="B773" s="16"/>
      <c r="C773" s="42"/>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c r="AU773" s="16"/>
      <c r="AV773" s="16"/>
      <c r="AW773" s="16"/>
      <c r="AX773" s="16"/>
    </row>
    <row r="774">
      <c r="A774" s="16"/>
      <c r="B774" s="16"/>
      <c r="C774" s="42"/>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c r="AU774" s="16"/>
      <c r="AV774" s="16"/>
      <c r="AW774" s="16"/>
      <c r="AX774" s="16"/>
    </row>
    <row r="775">
      <c r="A775" s="16"/>
      <c r="B775" s="16"/>
      <c r="C775" s="42"/>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c r="AS775" s="16"/>
      <c r="AT775" s="16"/>
      <c r="AU775" s="16"/>
      <c r="AV775" s="16"/>
      <c r="AW775" s="16"/>
      <c r="AX775" s="16"/>
    </row>
    <row r="776">
      <c r="A776" s="16"/>
      <c r="B776" s="16"/>
      <c r="C776" s="42"/>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c r="AU776" s="16"/>
      <c r="AV776" s="16"/>
      <c r="AW776" s="16"/>
      <c r="AX776" s="16"/>
    </row>
    <row r="777">
      <c r="A777" s="16"/>
      <c r="B777" s="16"/>
      <c r="C777" s="42"/>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c r="AS777" s="16"/>
      <c r="AT777" s="16"/>
      <c r="AU777" s="16"/>
      <c r="AV777" s="16"/>
      <c r="AW777" s="16"/>
      <c r="AX777" s="16"/>
    </row>
    <row r="778">
      <c r="A778" s="16"/>
      <c r="B778" s="16"/>
      <c r="C778" s="42"/>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c r="AU778" s="16"/>
      <c r="AV778" s="16"/>
      <c r="AW778" s="16"/>
      <c r="AX778" s="16"/>
    </row>
    <row r="779">
      <c r="A779" s="16"/>
      <c r="B779" s="16"/>
      <c r="C779" s="42"/>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c r="AR779" s="16"/>
      <c r="AS779" s="16"/>
      <c r="AT779" s="16"/>
      <c r="AU779" s="16"/>
      <c r="AV779" s="16"/>
      <c r="AW779" s="16"/>
      <c r="AX779" s="16"/>
    </row>
    <row r="780">
      <c r="A780" s="16"/>
      <c r="B780" s="16"/>
      <c r="C780" s="42"/>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c r="AU780" s="16"/>
      <c r="AV780" s="16"/>
      <c r="AW780" s="16"/>
      <c r="AX780" s="16"/>
    </row>
    <row r="781">
      <c r="A781" s="16"/>
      <c r="B781" s="16"/>
      <c r="C781" s="42"/>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c r="AM781" s="16"/>
      <c r="AN781" s="16"/>
      <c r="AO781" s="16"/>
      <c r="AP781" s="16"/>
      <c r="AQ781" s="16"/>
      <c r="AR781" s="16"/>
      <c r="AS781" s="16"/>
      <c r="AT781" s="16"/>
      <c r="AU781" s="16"/>
      <c r="AV781" s="16"/>
      <c r="AW781" s="16"/>
      <c r="AX781" s="16"/>
    </row>
    <row r="782">
      <c r="A782" s="16"/>
      <c r="B782" s="16"/>
      <c r="C782" s="42"/>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c r="AM782" s="16"/>
      <c r="AN782" s="16"/>
      <c r="AO782" s="16"/>
      <c r="AP782" s="16"/>
      <c r="AQ782" s="16"/>
      <c r="AR782" s="16"/>
      <c r="AS782" s="16"/>
      <c r="AT782" s="16"/>
      <c r="AU782" s="16"/>
      <c r="AV782" s="16"/>
      <c r="AW782" s="16"/>
      <c r="AX782" s="16"/>
    </row>
    <row r="783">
      <c r="A783" s="16"/>
      <c r="B783" s="16"/>
      <c r="C783" s="42"/>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c r="AM783" s="16"/>
      <c r="AN783" s="16"/>
      <c r="AO783" s="16"/>
      <c r="AP783" s="16"/>
      <c r="AQ783" s="16"/>
      <c r="AR783" s="16"/>
      <c r="AS783" s="16"/>
      <c r="AT783" s="16"/>
      <c r="AU783" s="16"/>
      <c r="AV783" s="16"/>
      <c r="AW783" s="16"/>
      <c r="AX783" s="16"/>
    </row>
    <row r="784">
      <c r="A784" s="16"/>
      <c r="B784" s="16"/>
      <c r="C784" s="42"/>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c r="AR784" s="16"/>
      <c r="AS784" s="16"/>
      <c r="AT784" s="16"/>
      <c r="AU784" s="16"/>
      <c r="AV784" s="16"/>
      <c r="AW784" s="16"/>
      <c r="AX784" s="16"/>
    </row>
    <row r="785">
      <c r="A785" s="16"/>
      <c r="B785" s="16"/>
      <c r="C785" s="42"/>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c r="AR785" s="16"/>
      <c r="AS785" s="16"/>
      <c r="AT785" s="16"/>
      <c r="AU785" s="16"/>
      <c r="AV785" s="16"/>
      <c r="AW785" s="16"/>
      <c r="AX785" s="16"/>
    </row>
    <row r="786">
      <c r="A786" s="16"/>
      <c r="B786" s="16"/>
      <c r="C786" s="42"/>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U786" s="16"/>
      <c r="AV786" s="16"/>
      <c r="AW786" s="16"/>
      <c r="AX786" s="16"/>
    </row>
    <row r="787">
      <c r="A787" s="16"/>
      <c r="B787" s="16"/>
      <c r="C787" s="42"/>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c r="AS787" s="16"/>
      <c r="AT787" s="16"/>
      <c r="AU787" s="16"/>
      <c r="AV787" s="16"/>
      <c r="AW787" s="16"/>
      <c r="AX787" s="16"/>
    </row>
    <row r="788">
      <c r="A788" s="16"/>
      <c r="B788" s="16"/>
      <c r="C788" s="42"/>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c r="AR788" s="16"/>
      <c r="AS788" s="16"/>
      <c r="AT788" s="16"/>
      <c r="AU788" s="16"/>
      <c r="AV788" s="16"/>
      <c r="AW788" s="16"/>
      <c r="AX788" s="16"/>
    </row>
    <row r="789">
      <c r="A789" s="16"/>
      <c r="B789" s="16"/>
      <c r="C789" s="42"/>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c r="AM789" s="16"/>
      <c r="AN789" s="16"/>
      <c r="AO789" s="16"/>
      <c r="AP789" s="16"/>
      <c r="AQ789" s="16"/>
      <c r="AR789" s="16"/>
      <c r="AS789" s="16"/>
      <c r="AT789" s="16"/>
      <c r="AU789" s="16"/>
      <c r="AV789" s="16"/>
      <c r="AW789" s="16"/>
      <c r="AX789" s="16"/>
    </row>
    <row r="790">
      <c r="A790" s="16"/>
      <c r="B790" s="16"/>
      <c r="C790" s="42"/>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c r="AR790" s="16"/>
      <c r="AS790" s="16"/>
      <c r="AT790" s="16"/>
      <c r="AU790" s="16"/>
      <c r="AV790" s="16"/>
      <c r="AW790" s="16"/>
      <c r="AX790" s="16"/>
    </row>
    <row r="791">
      <c r="A791" s="16"/>
      <c r="B791" s="16"/>
      <c r="C791" s="42"/>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c r="AR791" s="16"/>
      <c r="AS791" s="16"/>
      <c r="AT791" s="16"/>
      <c r="AU791" s="16"/>
      <c r="AV791" s="16"/>
      <c r="AW791" s="16"/>
      <c r="AX791" s="16"/>
    </row>
    <row r="792">
      <c r="A792" s="16"/>
      <c r="B792" s="16"/>
      <c r="C792" s="42"/>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U792" s="16"/>
      <c r="AV792" s="16"/>
      <c r="AW792" s="16"/>
      <c r="AX792" s="16"/>
    </row>
    <row r="793">
      <c r="A793" s="16"/>
      <c r="B793" s="16"/>
      <c r="C793" s="42"/>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c r="AS793" s="16"/>
      <c r="AT793" s="16"/>
      <c r="AU793" s="16"/>
      <c r="AV793" s="16"/>
      <c r="AW793" s="16"/>
      <c r="AX793" s="16"/>
    </row>
    <row r="794">
      <c r="A794" s="16"/>
      <c r="B794" s="16"/>
      <c r="C794" s="42"/>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c r="AP794" s="16"/>
      <c r="AQ794" s="16"/>
      <c r="AR794" s="16"/>
      <c r="AS794" s="16"/>
      <c r="AT794" s="16"/>
      <c r="AU794" s="16"/>
      <c r="AV794" s="16"/>
      <c r="AW794" s="16"/>
      <c r="AX794" s="16"/>
    </row>
    <row r="795">
      <c r="A795" s="16"/>
      <c r="B795" s="16"/>
      <c r="C795" s="42"/>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c r="AP795" s="16"/>
      <c r="AQ795" s="16"/>
      <c r="AR795" s="16"/>
      <c r="AS795" s="16"/>
      <c r="AT795" s="16"/>
      <c r="AU795" s="16"/>
      <c r="AV795" s="16"/>
      <c r="AW795" s="16"/>
      <c r="AX795" s="16"/>
    </row>
    <row r="796">
      <c r="A796" s="16"/>
      <c r="B796" s="16"/>
      <c r="C796" s="42"/>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c r="AR796" s="16"/>
      <c r="AS796" s="16"/>
      <c r="AT796" s="16"/>
      <c r="AU796" s="16"/>
      <c r="AV796" s="16"/>
      <c r="AW796" s="16"/>
      <c r="AX796" s="16"/>
    </row>
    <row r="797">
      <c r="A797" s="16"/>
      <c r="B797" s="16"/>
      <c r="C797" s="42"/>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c r="AP797" s="16"/>
      <c r="AQ797" s="16"/>
      <c r="AR797" s="16"/>
      <c r="AS797" s="16"/>
      <c r="AT797" s="16"/>
      <c r="AU797" s="16"/>
      <c r="AV797" s="16"/>
      <c r="AW797" s="16"/>
      <c r="AX797" s="16"/>
    </row>
    <row r="798">
      <c r="A798" s="16"/>
      <c r="B798" s="16"/>
      <c r="C798" s="42"/>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c r="AR798" s="16"/>
      <c r="AS798" s="16"/>
      <c r="AT798" s="16"/>
      <c r="AU798" s="16"/>
      <c r="AV798" s="16"/>
      <c r="AW798" s="16"/>
      <c r="AX798" s="16"/>
    </row>
    <row r="799">
      <c r="A799" s="16"/>
      <c r="B799" s="16"/>
      <c r="C799" s="42"/>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c r="AP799" s="16"/>
      <c r="AQ799" s="16"/>
      <c r="AR799" s="16"/>
      <c r="AS799" s="16"/>
      <c r="AT799" s="16"/>
      <c r="AU799" s="16"/>
      <c r="AV799" s="16"/>
      <c r="AW799" s="16"/>
      <c r="AX799" s="16"/>
    </row>
    <row r="800">
      <c r="A800" s="16"/>
      <c r="B800" s="16"/>
      <c r="C800" s="42"/>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c r="AS800" s="16"/>
      <c r="AT800" s="16"/>
      <c r="AU800" s="16"/>
      <c r="AV800" s="16"/>
      <c r="AW800" s="16"/>
      <c r="AX800" s="16"/>
    </row>
    <row r="801">
      <c r="A801" s="16"/>
      <c r="B801" s="16"/>
      <c r="C801" s="42"/>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c r="AR801" s="16"/>
      <c r="AS801" s="16"/>
      <c r="AT801" s="16"/>
      <c r="AU801" s="16"/>
      <c r="AV801" s="16"/>
      <c r="AW801" s="16"/>
      <c r="AX801" s="16"/>
    </row>
    <row r="802">
      <c r="A802" s="16"/>
      <c r="B802" s="16"/>
      <c r="C802" s="42"/>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c r="AU802" s="16"/>
      <c r="AV802" s="16"/>
      <c r="AW802" s="16"/>
      <c r="AX802" s="16"/>
    </row>
    <row r="803">
      <c r="A803" s="16"/>
      <c r="B803" s="16"/>
      <c r="C803" s="42"/>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c r="AU803" s="16"/>
      <c r="AV803" s="16"/>
      <c r="AW803" s="16"/>
      <c r="AX803" s="16"/>
    </row>
    <row r="804">
      <c r="A804" s="16"/>
      <c r="B804" s="16"/>
      <c r="C804" s="42"/>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c r="AR804" s="16"/>
      <c r="AS804" s="16"/>
      <c r="AT804" s="16"/>
      <c r="AU804" s="16"/>
      <c r="AV804" s="16"/>
      <c r="AW804" s="16"/>
      <c r="AX804" s="16"/>
    </row>
    <row r="805">
      <c r="A805" s="16"/>
      <c r="B805" s="16"/>
      <c r="C805" s="42"/>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c r="AP805" s="16"/>
      <c r="AQ805" s="16"/>
      <c r="AR805" s="16"/>
      <c r="AS805" s="16"/>
      <c r="AT805" s="16"/>
      <c r="AU805" s="16"/>
      <c r="AV805" s="16"/>
      <c r="AW805" s="16"/>
      <c r="AX805" s="16"/>
    </row>
    <row r="806">
      <c r="A806" s="16"/>
      <c r="B806" s="16"/>
      <c r="C806" s="42"/>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c r="AS806" s="16"/>
      <c r="AT806" s="16"/>
      <c r="AU806" s="16"/>
      <c r="AV806" s="16"/>
      <c r="AW806" s="16"/>
      <c r="AX806" s="16"/>
    </row>
    <row r="807">
      <c r="A807" s="16"/>
      <c r="B807" s="16"/>
      <c r="C807" s="42"/>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c r="AP807" s="16"/>
      <c r="AQ807" s="16"/>
      <c r="AR807" s="16"/>
      <c r="AS807" s="16"/>
      <c r="AT807" s="16"/>
      <c r="AU807" s="16"/>
      <c r="AV807" s="16"/>
      <c r="AW807" s="16"/>
      <c r="AX807" s="16"/>
    </row>
    <row r="808">
      <c r="A808" s="16"/>
      <c r="B808" s="16"/>
      <c r="C808" s="42"/>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c r="AP808" s="16"/>
      <c r="AQ808" s="16"/>
      <c r="AR808" s="16"/>
      <c r="AS808" s="16"/>
      <c r="AT808" s="16"/>
      <c r="AU808" s="16"/>
      <c r="AV808" s="16"/>
      <c r="AW808" s="16"/>
      <c r="AX808" s="16"/>
    </row>
    <row r="809">
      <c r="A809" s="16"/>
      <c r="B809" s="16"/>
      <c r="C809" s="42"/>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c r="AP809" s="16"/>
      <c r="AQ809" s="16"/>
      <c r="AR809" s="16"/>
      <c r="AS809" s="16"/>
      <c r="AT809" s="16"/>
      <c r="AU809" s="16"/>
      <c r="AV809" s="16"/>
      <c r="AW809" s="16"/>
      <c r="AX809" s="16"/>
    </row>
    <row r="810">
      <c r="A810" s="16"/>
      <c r="B810" s="16"/>
      <c r="C810" s="42"/>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c r="AR810" s="16"/>
      <c r="AS810" s="16"/>
      <c r="AT810" s="16"/>
      <c r="AU810" s="16"/>
      <c r="AV810" s="16"/>
      <c r="AW810" s="16"/>
      <c r="AX810" s="16"/>
    </row>
    <row r="811">
      <c r="A811" s="16"/>
      <c r="B811" s="16"/>
      <c r="C811" s="42"/>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c r="AU811" s="16"/>
      <c r="AV811" s="16"/>
      <c r="AW811" s="16"/>
      <c r="AX811" s="16"/>
    </row>
    <row r="812">
      <c r="A812" s="16"/>
      <c r="B812" s="16"/>
      <c r="C812" s="42"/>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c r="AR812" s="16"/>
      <c r="AS812" s="16"/>
      <c r="AT812" s="16"/>
      <c r="AU812" s="16"/>
      <c r="AV812" s="16"/>
      <c r="AW812" s="16"/>
      <c r="AX812" s="16"/>
    </row>
    <row r="813">
      <c r="A813" s="16"/>
      <c r="B813" s="16"/>
      <c r="C813" s="42"/>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c r="AP813" s="16"/>
      <c r="AQ813" s="16"/>
      <c r="AR813" s="16"/>
      <c r="AS813" s="16"/>
      <c r="AT813" s="16"/>
      <c r="AU813" s="16"/>
      <c r="AV813" s="16"/>
      <c r="AW813" s="16"/>
      <c r="AX813" s="16"/>
    </row>
    <row r="814">
      <c r="A814" s="16"/>
      <c r="B814" s="16"/>
      <c r="C814" s="42"/>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c r="AR814" s="16"/>
      <c r="AS814" s="16"/>
      <c r="AT814" s="16"/>
      <c r="AU814" s="16"/>
      <c r="AV814" s="16"/>
      <c r="AW814" s="16"/>
      <c r="AX814" s="16"/>
    </row>
    <row r="815">
      <c r="A815" s="16"/>
      <c r="B815" s="16"/>
      <c r="C815" s="42"/>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c r="AU815" s="16"/>
      <c r="AV815" s="16"/>
      <c r="AW815" s="16"/>
      <c r="AX815" s="16"/>
    </row>
    <row r="816">
      <c r="A816" s="16"/>
      <c r="B816" s="16"/>
      <c r="C816" s="42"/>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U816" s="16"/>
      <c r="AV816" s="16"/>
      <c r="AW816" s="16"/>
      <c r="AX816" s="16"/>
    </row>
    <row r="817">
      <c r="A817" s="16"/>
      <c r="B817" s="16"/>
      <c r="C817" s="42"/>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c r="AU817" s="16"/>
      <c r="AV817" s="16"/>
      <c r="AW817" s="16"/>
      <c r="AX817" s="16"/>
    </row>
    <row r="818">
      <c r="A818" s="16"/>
      <c r="B818" s="16"/>
      <c r="C818" s="42"/>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c r="AS818" s="16"/>
      <c r="AT818" s="16"/>
      <c r="AU818" s="16"/>
      <c r="AV818" s="16"/>
      <c r="AW818" s="16"/>
      <c r="AX818" s="16"/>
    </row>
    <row r="819">
      <c r="A819" s="16"/>
      <c r="B819" s="16"/>
      <c r="C819" s="42"/>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c r="AS819" s="16"/>
      <c r="AT819" s="16"/>
      <c r="AU819" s="16"/>
      <c r="AV819" s="16"/>
      <c r="AW819" s="16"/>
      <c r="AX819" s="16"/>
    </row>
    <row r="820">
      <c r="A820" s="16"/>
      <c r="B820" s="16"/>
      <c r="C820" s="42"/>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c r="AU820" s="16"/>
      <c r="AV820" s="16"/>
      <c r="AW820" s="16"/>
      <c r="AX820" s="16"/>
    </row>
    <row r="821">
      <c r="A821" s="16"/>
      <c r="B821" s="16"/>
      <c r="C821" s="42"/>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c r="AU821" s="16"/>
      <c r="AV821" s="16"/>
      <c r="AW821" s="16"/>
      <c r="AX821" s="16"/>
    </row>
    <row r="822">
      <c r="A822" s="16"/>
      <c r="B822" s="16"/>
      <c r="C822" s="42"/>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c r="AS822" s="16"/>
      <c r="AT822" s="16"/>
      <c r="AU822" s="16"/>
      <c r="AV822" s="16"/>
      <c r="AW822" s="16"/>
      <c r="AX822" s="16"/>
    </row>
    <row r="823">
      <c r="A823" s="16"/>
      <c r="B823" s="16"/>
      <c r="C823" s="42"/>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c r="AS823" s="16"/>
      <c r="AT823" s="16"/>
      <c r="AU823" s="16"/>
      <c r="AV823" s="16"/>
      <c r="AW823" s="16"/>
      <c r="AX823" s="16"/>
    </row>
    <row r="824">
      <c r="A824" s="16"/>
      <c r="B824" s="16"/>
      <c r="C824" s="42"/>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c r="AS824" s="16"/>
      <c r="AT824" s="16"/>
      <c r="AU824" s="16"/>
      <c r="AV824" s="16"/>
      <c r="AW824" s="16"/>
      <c r="AX824" s="16"/>
    </row>
    <row r="825">
      <c r="A825" s="16"/>
      <c r="B825" s="16"/>
      <c r="C825" s="42"/>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c r="AS825" s="16"/>
      <c r="AT825" s="16"/>
      <c r="AU825" s="16"/>
      <c r="AV825" s="16"/>
      <c r="AW825" s="16"/>
      <c r="AX825" s="16"/>
    </row>
    <row r="826">
      <c r="A826" s="16"/>
      <c r="B826" s="16"/>
      <c r="C826" s="42"/>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c r="AS826" s="16"/>
      <c r="AT826" s="16"/>
      <c r="AU826" s="16"/>
      <c r="AV826" s="16"/>
      <c r="AW826" s="16"/>
      <c r="AX826" s="16"/>
    </row>
    <row r="827">
      <c r="A827" s="16"/>
      <c r="B827" s="16"/>
      <c r="C827" s="42"/>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c r="AS827" s="16"/>
      <c r="AT827" s="16"/>
      <c r="AU827" s="16"/>
      <c r="AV827" s="16"/>
      <c r="AW827" s="16"/>
      <c r="AX827" s="16"/>
    </row>
    <row r="828">
      <c r="A828" s="16"/>
      <c r="B828" s="16"/>
      <c r="C828" s="42"/>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c r="AS828" s="16"/>
      <c r="AT828" s="16"/>
      <c r="AU828" s="16"/>
      <c r="AV828" s="16"/>
      <c r="AW828" s="16"/>
      <c r="AX828" s="16"/>
    </row>
    <row r="829">
      <c r="A829" s="16"/>
      <c r="B829" s="16"/>
      <c r="C829" s="42"/>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c r="AP829" s="16"/>
      <c r="AQ829" s="16"/>
      <c r="AR829" s="16"/>
      <c r="AS829" s="16"/>
      <c r="AT829" s="16"/>
      <c r="AU829" s="16"/>
      <c r="AV829" s="16"/>
      <c r="AW829" s="16"/>
      <c r="AX829" s="16"/>
    </row>
    <row r="830">
      <c r="A830" s="16"/>
      <c r="B830" s="16"/>
      <c r="C830" s="42"/>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U830" s="16"/>
      <c r="AV830" s="16"/>
      <c r="AW830" s="16"/>
      <c r="AX830" s="16"/>
    </row>
    <row r="831">
      <c r="A831" s="16"/>
      <c r="B831" s="16"/>
      <c r="C831" s="42"/>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c r="AP831" s="16"/>
      <c r="AQ831" s="16"/>
      <c r="AR831" s="16"/>
      <c r="AS831" s="16"/>
      <c r="AT831" s="16"/>
      <c r="AU831" s="16"/>
      <c r="AV831" s="16"/>
      <c r="AW831" s="16"/>
      <c r="AX831" s="16"/>
    </row>
    <row r="832">
      <c r="A832" s="16"/>
      <c r="B832" s="16"/>
      <c r="C832" s="42"/>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V832" s="16"/>
      <c r="AW832" s="16"/>
      <c r="AX832" s="16"/>
    </row>
    <row r="833">
      <c r="A833" s="16"/>
      <c r="B833" s="16"/>
      <c r="C833" s="42"/>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c r="AU833" s="16"/>
      <c r="AV833" s="16"/>
      <c r="AW833" s="16"/>
      <c r="AX833" s="16"/>
    </row>
    <row r="834">
      <c r="A834" s="16"/>
      <c r="B834" s="16"/>
      <c r="C834" s="42"/>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U834" s="16"/>
      <c r="AV834" s="16"/>
      <c r="AW834" s="16"/>
      <c r="AX834" s="16"/>
    </row>
    <row r="835">
      <c r="A835" s="16"/>
      <c r="B835" s="16"/>
      <c r="C835" s="42"/>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c r="AU835" s="16"/>
      <c r="AV835" s="16"/>
      <c r="AW835" s="16"/>
      <c r="AX835" s="16"/>
    </row>
    <row r="836">
      <c r="A836" s="16"/>
      <c r="B836" s="16"/>
      <c r="C836" s="42"/>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row>
    <row r="837">
      <c r="A837" s="16"/>
      <c r="B837" s="16"/>
      <c r="C837" s="42"/>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row>
    <row r="838">
      <c r="A838" s="16"/>
      <c r="B838" s="16"/>
      <c r="C838" s="42"/>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U838" s="16"/>
      <c r="AV838" s="16"/>
      <c r="AW838" s="16"/>
      <c r="AX838" s="16"/>
    </row>
    <row r="839">
      <c r="A839" s="16"/>
      <c r="B839" s="16"/>
      <c r="C839" s="42"/>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V839" s="16"/>
      <c r="AW839" s="16"/>
      <c r="AX839" s="16"/>
    </row>
    <row r="840">
      <c r="A840" s="16"/>
      <c r="B840" s="16"/>
      <c r="C840" s="42"/>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6"/>
    </row>
    <row r="841">
      <c r="A841" s="16"/>
      <c r="B841" s="16"/>
      <c r="C841" s="42"/>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c r="AU841" s="16"/>
      <c r="AV841" s="16"/>
      <c r="AW841" s="16"/>
      <c r="AX841" s="16"/>
    </row>
    <row r="842">
      <c r="A842" s="16"/>
      <c r="B842" s="16"/>
      <c r="C842" s="42"/>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6"/>
    </row>
    <row r="843">
      <c r="A843" s="16"/>
      <c r="B843" s="16"/>
      <c r="C843" s="42"/>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c r="AU843" s="16"/>
      <c r="AV843" s="16"/>
      <c r="AW843" s="16"/>
      <c r="AX843" s="16"/>
    </row>
    <row r="844">
      <c r="A844" s="16"/>
      <c r="B844" s="16"/>
      <c r="C844" s="42"/>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6"/>
    </row>
    <row r="845">
      <c r="A845" s="16"/>
      <c r="B845" s="16"/>
      <c r="C845" s="42"/>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row>
    <row r="846">
      <c r="A846" s="16"/>
      <c r="B846" s="16"/>
      <c r="C846" s="42"/>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row>
    <row r="847">
      <c r="A847" s="16"/>
      <c r="B847" s="16"/>
      <c r="C847" s="42"/>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V847" s="16"/>
      <c r="AW847" s="16"/>
      <c r="AX847" s="16"/>
    </row>
    <row r="848">
      <c r="A848" s="16"/>
      <c r="B848" s="16"/>
      <c r="C848" s="42"/>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c r="AS848" s="16"/>
      <c r="AT848" s="16"/>
      <c r="AU848" s="16"/>
      <c r="AV848" s="16"/>
      <c r="AW848" s="16"/>
      <c r="AX848" s="16"/>
    </row>
    <row r="849">
      <c r="A849" s="16"/>
      <c r="B849" s="16"/>
      <c r="C849" s="42"/>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c r="AR849" s="16"/>
      <c r="AS849" s="16"/>
      <c r="AT849" s="16"/>
      <c r="AU849" s="16"/>
      <c r="AV849" s="16"/>
      <c r="AW849" s="16"/>
      <c r="AX849" s="16"/>
    </row>
    <row r="850">
      <c r="A850" s="16"/>
      <c r="B850" s="16"/>
      <c r="C850" s="42"/>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c r="AS850" s="16"/>
      <c r="AT850" s="16"/>
      <c r="AU850" s="16"/>
      <c r="AV850" s="16"/>
      <c r="AW850" s="16"/>
      <c r="AX850" s="16"/>
    </row>
    <row r="851">
      <c r="A851" s="16"/>
      <c r="B851" s="16"/>
      <c r="C851" s="42"/>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V851" s="16"/>
      <c r="AW851" s="16"/>
      <c r="AX851" s="16"/>
    </row>
    <row r="852">
      <c r="A852" s="16"/>
      <c r="B852" s="16"/>
      <c r="C852" s="42"/>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row>
    <row r="853">
      <c r="A853" s="16"/>
      <c r="B853" s="16"/>
      <c r="C853" s="42"/>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V853" s="16"/>
      <c r="AW853" s="16"/>
      <c r="AX853" s="16"/>
    </row>
    <row r="854">
      <c r="A854" s="16"/>
      <c r="B854" s="16"/>
      <c r="C854" s="42"/>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V854" s="16"/>
      <c r="AW854" s="16"/>
      <c r="AX854" s="16"/>
    </row>
    <row r="855">
      <c r="A855" s="16"/>
      <c r="B855" s="16"/>
      <c r="C855" s="42"/>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V855" s="16"/>
      <c r="AW855" s="16"/>
      <c r="AX855" s="16"/>
    </row>
    <row r="856">
      <c r="A856" s="16"/>
      <c r="B856" s="16"/>
      <c r="C856" s="42"/>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V856" s="16"/>
      <c r="AW856" s="16"/>
      <c r="AX856" s="16"/>
    </row>
    <row r="857">
      <c r="A857" s="16"/>
      <c r="B857" s="16"/>
      <c r="C857" s="42"/>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U857" s="16"/>
      <c r="AV857" s="16"/>
      <c r="AW857" s="16"/>
      <c r="AX857" s="16"/>
    </row>
    <row r="858">
      <c r="A858" s="16"/>
      <c r="B858" s="16"/>
      <c r="C858" s="42"/>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row>
    <row r="859">
      <c r="A859" s="16"/>
      <c r="B859" s="16"/>
      <c r="C859" s="42"/>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V859" s="16"/>
      <c r="AW859" s="16"/>
      <c r="AX859" s="16"/>
    </row>
    <row r="860">
      <c r="A860" s="16"/>
      <c r="B860" s="16"/>
      <c r="C860" s="42"/>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V860" s="16"/>
      <c r="AW860" s="16"/>
      <c r="AX860" s="16"/>
    </row>
    <row r="861">
      <c r="A861" s="16"/>
      <c r="B861" s="16"/>
      <c r="C861" s="42"/>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row>
    <row r="862">
      <c r="A862" s="16"/>
      <c r="B862" s="16"/>
      <c r="C862" s="42"/>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row>
    <row r="863">
      <c r="A863" s="16"/>
      <c r="B863" s="16"/>
      <c r="C863" s="42"/>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V863" s="16"/>
      <c r="AW863" s="16"/>
      <c r="AX863" s="16"/>
    </row>
    <row r="864">
      <c r="A864" s="16"/>
      <c r="B864" s="16"/>
      <c r="C864" s="42"/>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row>
    <row r="865">
      <c r="A865" s="16"/>
      <c r="B865" s="16"/>
      <c r="C865" s="42"/>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c r="AS865" s="16"/>
      <c r="AT865" s="16"/>
      <c r="AU865" s="16"/>
      <c r="AV865" s="16"/>
      <c r="AW865" s="16"/>
      <c r="AX865" s="16"/>
    </row>
    <row r="866">
      <c r="A866" s="16"/>
      <c r="B866" s="16"/>
      <c r="C866" s="42"/>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c r="AU866" s="16"/>
      <c r="AV866" s="16"/>
      <c r="AW866" s="16"/>
      <c r="AX866" s="16"/>
    </row>
    <row r="867">
      <c r="A867" s="16"/>
      <c r="B867" s="16"/>
      <c r="C867" s="42"/>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c r="AU867" s="16"/>
      <c r="AV867" s="16"/>
      <c r="AW867" s="16"/>
      <c r="AX867" s="16"/>
    </row>
    <row r="868">
      <c r="A868" s="16"/>
      <c r="B868" s="16"/>
      <c r="C868" s="42"/>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c r="AU868" s="16"/>
      <c r="AV868" s="16"/>
      <c r="AW868" s="16"/>
      <c r="AX868" s="16"/>
    </row>
    <row r="869">
      <c r="A869" s="16"/>
      <c r="B869" s="16"/>
      <c r="C869" s="42"/>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c r="AS869" s="16"/>
      <c r="AT869" s="16"/>
      <c r="AU869" s="16"/>
      <c r="AV869" s="16"/>
      <c r="AW869" s="16"/>
      <c r="AX869" s="16"/>
    </row>
    <row r="870">
      <c r="A870" s="16"/>
      <c r="B870" s="16"/>
      <c r="C870" s="42"/>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c r="AR870" s="16"/>
      <c r="AS870" s="16"/>
      <c r="AT870" s="16"/>
      <c r="AU870" s="16"/>
      <c r="AV870" s="16"/>
      <c r="AW870" s="16"/>
      <c r="AX870" s="16"/>
    </row>
    <row r="871">
      <c r="A871" s="16"/>
      <c r="B871" s="16"/>
      <c r="C871" s="42"/>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6"/>
      <c r="AK871" s="16"/>
      <c r="AL871" s="16"/>
      <c r="AM871" s="16"/>
      <c r="AN871" s="16"/>
      <c r="AO871" s="16"/>
      <c r="AP871" s="16"/>
      <c r="AQ871" s="16"/>
      <c r="AR871" s="16"/>
      <c r="AS871" s="16"/>
      <c r="AT871" s="16"/>
      <c r="AU871" s="16"/>
      <c r="AV871" s="16"/>
      <c r="AW871" s="16"/>
      <c r="AX871" s="16"/>
    </row>
    <row r="872">
      <c r="A872" s="16"/>
      <c r="B872" s="16"/>
      <c r="C872" s="42"/>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c r="AS872" s="16"/>
      <c r="AT872" s="16"/>
      <c r="AU872" s="16"/>
      <c r="AV872" s="16"/>
      <c r="AW872" s="16"/>
      <c r="AX872" s="16"/>
    </row>
    <row r="873">
      <c r="A873" s="16"/>
      <c r="B873" s="16"/>
      <c r="C873" s="42"/>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c r="AR873" s="16"/>
      <c r="AS873" s="16"/>
      <c r="AT873" s="16"/>
      <c r="AU873" s="16"/>
      <c r="AV873" s="16"/>
      <c r="AW873" s="16"/>
      <c r="AX873" s="16"/>
    </row>
    <row r="874">
      <c r="A874" s="16"/>
      <c r="B874" s="16"/>
      <c r="C874" s="42"/>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c r="AS874" s="16"/>
      <c r="AT874" s="16"/>
      <c r="AU874" s="16"/>
      <c r="AV874" s="16"/>
      <c r="AW874" s="16"/>
      <c r="AX874" s="16"/>
    </row>
    <row r="875">
      <c r="A875" s="16"/>
      <c r="B875" s="16"/>
      <c r="C875" s="42"/>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c r="AS875" s="16"/>
      <c r="AT875" s="16"/>
      <c r="AU875" s="16"/>
      <c r="AV875" s="16"/>
      <c r="AW875" s="16"/>
      <c r="AX875" s="16"/>
    </row>
    <row r="876">
      <c r="A876" s="16"/>
      <c r="B876" s="16"/>
      <c r="C876" s="42"/>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c r="AR876" s="16"/>
      <c r="AS876" s="16"/>
      <c r="AT876" s="16"/>
      <c r="AU876" s="16"/>
      <c r="AV876" s="16"/>
      <c r="AW876" s="16"/>
      <c r="AX876" s="16"/>
    </row>
    <row r="877">
      <c r="A877" s="16"/>
      <c r="B877" s="16"/>
      <c r="C877" s="42"/>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c r="AU877" s="16"/>
      <c r="AV877" s="16"/>
      <c r="AW877" s="16"/>
      <c r="AX877" s="16"/>
    </row>
    <row r="878">
      <c r="A878" s="16"/>
      <c r="B878" s="16"/>
      <c r="C878" s="42"/>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c r="AU878" s="16"/>
      <c r="AV878" s="16"/>
      <c r="AW878" s="16"/>
      <c r="AX878" s="16"/>
    </row>
    <row r="879">
      <c r="A879" s="16"/>
      <c r="B879" s="16"/>
      <c r="C879" s="42"/>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c r="AS879" s="16"/>
      <c r="AT879" s="16"/>
      <c r="AU879" s="16"/>
      <c r="AV879" s="16"/>
      <c r="AW879" s="16"/>
      <c r="AX879" s="16"/>
    </row>
    <row r="880">
      <c r="A880" s="16"/>
      <c r="B880" s="16"/>
      <c r="C880" s="42"/>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row>
    <row r="881">
      <c r="A881" s="16"/>
      <c r="B881" s="16"/>
      <c r="C881" s="42"/>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row>
    <row r="882">
      <c r="A882" s="16"/>
      <c r="B882" s="16"/>
      <c r="C882" s="42"/>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row>
    <row r="883">
      <c r="A883" s="16"/>
      <c r="B883" s="16"/>
      <c r="C883" s="42"/>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row>
    <row r="884">
      <c r="A884" s="16"/>
      <c r="B884" s="16"/>
      <c r="C884" s="42"/>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row>
    <row r="885">
      <c r="A885" s="16"/>
      <c r="B885" s="16"/>
      <c r="C885" s="42"/>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row>
    <row r="886">
      <c r="A886" s="16"/>
      <c r="B886" s="16"/>
      <c r="C886" s="42"/>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row>
    <row r="887">
      <c r="A887" s="16"/>
      <c r="B887" s="16"/>
      <c r="C887" s="42"/>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row>
    <row r="888">
      <c r="A888" s="16"/>
      <c r="B888" s="16"/>
      <c r="C888" s="42"/>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row>
    <row r="889">
      <c r="A889" s="16"/>
      <c r="B889" s="16"/>
      <c r="C889" s="42"/>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row>
    <row r="890">
      <c r="A890" s="16"/>
      <c r="B890" s="16"/>
      <c r="C890" s="42"/>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row>
    <row r="891">
      <c r="A891" s="16"/>
      <c r="B891" s="16"/>
      <c r="C891" s="42"/>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row>
    <row r="892">
      <c r="A892" s="16"/>
      <c r="B892" s="16"/>
      <c r="C892" s="42"/>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row>
    <row r="893">
      <c r="A893" s="16"/>
      <c r="B893" s="16"/>
      <c r="C893" s="42"/>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row>
    <row r="894">
      <c r="A894" s="16"/>
      <c r="B894" s="16"/>
      <c r="C894" s="42"/>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row>
    <row r="895">
      <c r="A895" s="16"/>
      <c r="B895" s="16"/>
      <c r="C895" s="42"/>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row>
    <row r="896">
      <c r="A896" s="16"/>
      <c r="B896" s="16"/>
      <c r="C896" s="42"/>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c r="AX896" s="16"/>
    </row>
    <row r="897">
      <c r="A897" s="16"/>
      <c r="B897" s="16"/>
      <c r="C897" s="42"/>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c r="AX897" s="16"/>
    </row>
    <row r="898">
      <c r="A898" s="16"/>
      <c r="B898" s="16"/>
      <c r="C898" s="42"/>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c r="AX898" s="16"/>
    </row>
    <row r="899">
      <c r="A899" s="16"/>
      <c r="B899" s="16"/>
      <c r="C899" s="42"/>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row>
    <row r="900">
      <c r="A900" s="16"/>
      <c r="B900" s="16"/>
      <c r="C900" s="42"/>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row>
    <row r="901">
      <c r="A901" s="16"/>
      <c r="B901" s="16"/>
      <c r="C901" s="42"/>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row>
    <row r="902">
      <c r="A902" s="16"/>
      <c r="B902" s="16"/>
      <c r="C902" s="42"/>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row>
    <row r="903">
      <c r="A903" s="16"/>
      <c r="B903" s="16"/>
      <c r="C903" s="42"/>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row>
    <row r="904">
      <c r="A904" s="16"/>
      <c r="B904" s="16"/>
      <c r="C904" s="42"/>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row>
    <row r="905">
      <c r="A905" s="16"/>
      <c r="B905" s="16"/>
      <c r="C905" s="42"/>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row>
    <row r="906">
      <c r="A906" s="16"/>
      <c r="B906" s="16"/>
      <c r="C906" s="42"/>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row>
    <row r="907">
      <c r="A907" s="16"/>
      <c r="B907" s="16"/>
      <c r="C907" s="42"/>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row>
    <row r="908">
      <c r="A908" s="16"/>
      <c r="B908" s="16"/>
      <c r="C908" s="42"/>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row>
    <row r="909">
      <c r="A909" s="16"/>
      <c r="B909" s="16"/>
      <c r="C909" s="42"/>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row>
    <row r="910">
      <c r="A910" s="16"/>
      <c r="B910" s="16"/>
      <c r="C910" s="42"/>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row>
    <row r="911">
      <c r="A911" s="16"/>
      <c r="B911" s="16"/>
      <c r="C911" s="42"/>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row>
    <row r="912">
      <c r="A912" s="16"/>
      <c r="B912" s="16"/>
      <c r="C912" s="42"/>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row>
    <row r="913">
      <c r="A913" s="16"/>
      <c r="B913" s="16"/>
      <c r="C913" s="42"/>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c r="AR913" s="16"/>
      <c r="AS913" s="16"/>
      <c r="AT913" s="16"/>
      <c r="AU913" s="16"/>
      <c r="AV913" s="16"/>
      <c r="AW913" s="16"/>
      <c r="AX913" s="16"/>
    </row>
    <row r="914">
      <c r="A914" s="16"/>
      <c r="B914" s="16"/>
      <c r="C914" s="42"/>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c r="AS914" s="16"/>
      <c r="AT914" s="16"/>
      <c r="AU914" s="16"/>
      <c r="AV914" s="16"/>
      <c r="AW914" s="16"/>
      <c r="AX914" s="16"/>
    </row>
    <row r="915">
      <c r="A915" s="16"/>
      <c r="B915" s="16"/>
      <c r="C915" s="42"/>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c r="AS915" s="16"/>
      <c r="AT915" s="16"/>
      <c r="AU915" s="16"/>
      <c r="AV915" s="16"/>
      <c r="AW915" s="16"/>
      <c r="AX915" s="16"/>
    </row>
    <row r="916">
      <c r="A916" s="16"/>
      <c r="B916" s="16"/>
      <c r="C916" s="42"/>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c r="AR916" s="16"/>
      <c r="AS916" s="16"/>
      <c r="AT916" s="16"/>
      <c r="AU916" s="16"/>
      <c r="AV916" s="16"/>
      <c r="AW916" s="16"/>
      <c r="AX916" s="16"/>
    </row>
    <row r="917">
      <c r="A917" s="16"/>
      <c r="B917" s="16"/>
      <c r="C917" s="42"/>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c r="AR917" s="16"/>
      <c r="AS917" s="16"/>
      <c r="AT917" s="16"/>
      <c r="AU917" s="16"/>
      <c r="AV917" s="16"/>
      <c r="AW917" s="16"/>
      <c r="AX917" s="16"/>
    </row>
    <row r="918">
      <c r="A918" s="16"/>
      <c r="B918" s="16"/>
      <c r="C918" s="42"/>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U918" s="16"/>
      <c r="AV918" s="16"/>
      <c r="AW918" s="16"/>
      <c r="AX918" s="16"/>
    </row>
    <row r="919">
      <c r="A919" s="16"/>
      <c r="B919" s="16"/>
      <c r="C919" s="42"/>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c r="AS919" s="16"/>
      <c r="AT919" s="16"/>
      <c r="AU919" s="16"/>
      <c r="AV919" s="16"/>
      <c r="AW919" s="16"/>
      <c r="AX919" s="16"/>
    </row>
    <row r="920">
      <c r="A920" s="16"/>
      <c r="B920" s="16"/>
      <c r="C920" s="42"/>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c r="AU920" s="16"/>
      <c r="AV920" s="16"/>
      <c r="AW920" s="16"/>
      <c r="AX920" s="16"/>
    </row>
    <row r="921">
      <c r="A921" s="16"/>
      <c r="B921" s="16"/>
      <c r="C921" s="42"/>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c r="AS921" s="16"/>
      <c r="AT921" s="16"/>
      <c r="AU921" s="16"/>
      <c r="AV921" s="16"/>
      <c r="AW921" s="16"/>
      <c r="AX921" s="16"/>
    </row>
    <row r="922">
      <c r="A922" s="16"/>
      <c r="B922" s="16"/>
      <c r="C922" s="42"/>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c r="AU922" s="16"/>
      <c r="AV922" s="16"/>
      <c r="AW922" s="16"/>
      <c r="AX922" s="16"/>
    </row>
    <row r="923">
      <c r="A923" s="16"/>
      <c r="B923" s="16"/>
      <c r="C923" s="42"/>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c r="AS923" s="16"/>
      <c r="AT923" s="16"/>
      <c r="AU923" s="16"/>
      <c r="AV923" s="16"/>
      <c r="AW923" s="16"/>
      <c r="AX923" s="16"/>
    </row>
    <row r="924">
      <c r="A924" s="16"/>
      <c r="B924" s="16"/>
      <c r="C924" s="42"/>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V924" s="16"/>
      <c r="AW924" s="16"/>
      <c r="AX924" s="16"/>
    </row>
    <row r="925">
      <c r="A925" s="16"/>
      <c r="B925" s="16"/>
      <c r="C925" s="42"/>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c r="AS925" s="16"/>
      <c r="AT925" s="16"/>
      <c r="AU925" s="16"/>
      <c r="AV925" s="16"/>
      <c r="AW925" s="16"/>
      <c r="AX925" s="16"/>
    </row>
    <row r="926">
      <c r="A926" s="16"/>
      <c r="B926" s="16"/>
      <c r="C926" s="42"/>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c r="AU926" s="16"/>
      <c r="AV926" s="16"/>
      <c r="AW926" s="16"/>
      <c r="AX926" s="16"/>
    </row>
    <row r="927">
      <c r="A927" s="16"/>
      <c r="B927" s="16"/>
      <c r="C927" s="42"/>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c r="AS927" s="16"/>
      <c r="AT927" s="16"/>
      <c r="AU927" s="16"/>
      <c r="AV927" s="16"/>
      <c r="AW927" s="16"/>
      <c r="AX927" s="16"/>
    </row>
    <row r="928">
      <c r="A928" s="16"/>
      <c r="B928" s="16"/>
      <c r="C928" s="42"/>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c r="AS928" s="16"/>
      <c r="AT928" s="16"/>
      <c r="AU928" s="16"/>
      <c r="AV928" s="16"/>
      <c r="AW928" s="16"/>
      <c r="AX928" s="16"/>
    </row>
    <row r="929">
      <c r="A929" s="16"/>
      <c r="B929" s="16"/>
      <c r="C929" s="42"/>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c r="AR929" s="16"/>
      <c r="AS929" s="16"/>
      <c r="AT929" s="16"/>
      <c r="AU929" s="16"/>
      <c r="AV929" s="16"/>
      <c r="AW929" s="16"/>
      <c r="AX929" s="16"/>
    </row>
    <row r="930">
      <c r="A930" s="16"/>
      <c r="B930" s="16"/>
      <c r="C930" s="42"/>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c r="AS930" s="16"/>
      <c r="AT930" s="16"/>
      <c r="AU930" s="16"/>
      <c r="AV930" s="16"/>
      <c r="AW930" s="16"/>
      <c r="AX930" s="16"/>
    </row>
    <row r="931">
      <c r="A931" s="16"/>
      <c r="B931" s="16"/>
      <c r="C931" s="42"/>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c r="AR931" s="16"/>
      <c r="AS931" s="16"/>
      <c r="AT931" s="16"/>
      <c r="AU931" s="16"/>
      <c r="AV931" s="16"/>
      <c r="AW931" s="16"/>
      <c r="AX931" s="16"/>
    </row>
    <row r="932">
      <c r="A932" s="16"/>
      <c r="B932" s="16"/>
      <c r="C932" s="42"/>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c r="AS932" s="16"/>
      <c r="AT932" s="16"/>
      <c r="AU932" s="16"/>
      <c r="AV932" s="16"/>
      <c r="AW932" s="16"/>
      <c r="AX932" s="16"/>
    </row>
    <row r="933">
      <c r="A933" s="16"/>
      <c r="B933" s="16"/>
      <c r="C933" s="42"/>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c r="AS933" s="16"/>
      <c r="AT933" s="16"/>
      <c r="AU933" s="16"/>
      <c r="AV933" s="16"/>
      <c r="AW933" s="16"/>
      <c r="AX933" s="16"/>
    </row>
    <row r="934">
      <c r="A934" s="16"/>
      <c r="B934" s="16"/>
      <c r="C934" s="42"/>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c r="AS934" s="16"/>
      <c r="AT934" s="16"/>
      <c r="AU934" s="16"/>
      <c r="AV934" s="16"/>
      <c r="AW934" s="16"/>
      <c r="AX934" s="16"/>
    </row>
    <row r="935">
      <c r="A935" s="16"/>
      <c r="B935" s="16"/>
      <c r="C935" s="42"/>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c r="AS935" s="16"/>
      <c r="AT935" s="16"/>
      <c r="AU935" s="16"/>
      <c r="AV935" s="16"/>
      <c r="AW935" s="16"/>
      <c r="AX935" s="16"/>
    </row>
    <row r="936">
      <c r="A936" s="16"/>
      <c r="B936" s="16"/>
      <c r="C936" s="42"/>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c r="AU936" s="16"/>
      <c r="AV936" s="16"/>
      <c r="AW936" s="16"/>
      <c r="AX936" s="16"/>
    </row>
    <row r="937">
      <c r="A937" s="16"/>
      <c r="B937" s="16"/>
      <c r="C937" s="42"/>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c r="AU937" s="16"/>
      <c r="AV937" s="16"/>
      <c r="AW937" s="16"/>
      <c r="AX937" s="16"/>
    </row>
    <row r="938">
      <c r="A938" s="16"/>
      <c r="B938" s="16"/>
      <c r="C938" s="42"/>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c r="AU938" s="16"/>
      <c r="AV938" s="16"/>
      <c r="AW938" s="16"/>
      <c r="AX938" s="16"/>
    </row>
    <row r="939">
      <c r="A939" s="16"/>
      <c r="B939" s="16"/>
      <c r="C939" s="42"/>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c r="AS939" s="16"/>
      <c r="AT939" s="16"/>
      <c r="AU939" s="16"/>
      <c r="AV939" s="16"/>
      <c r="AW939" s="16"/>
      <c r="AX939" s="16"/>
    </row>
    <row r="940">
      <c r="A940" s="16"/>
      <c r="B940" s="16"/>
      <c r="C940" s="42"/>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U940" s="16"/>
      <c r="AV940" s="16"/>
      <c r="AW940" s="16"/>
      <c r="AX940" s="16"/>
    </row>
    <row r="941">
      <c r="A941" s="16"/>
      <c r="B941" s="16"/>
      <c r="C941" s="42"/>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c r="AS941" s="16"/>
      <c r="AT941" s="16"/>
      <c r="AU941" s="16"/>
      <c r="AV941" s="16"/>
      <c r="AW941" s="16"/>
      <c r="AX941" s="16"/>
    </row>
    <row r="942">
      <c r="A942" s="16"/>
      <c r="B942" s="16"/>
      <c r="C942" s="42"/>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c r="AU942" s="16"/>
      <c r="AV942" s="16"/>
      <c r="AW942" s="16"/>
      <c r="AX942" s="16"/>
    </row>
    <row r="943">
      <c r="A943" s="16"/>
      <c r="B943" s="16"/>
      <c r="C943" s="42"/>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c r="AS943" s="16"/>
      <c r="AT943" s="16"/>
      <c r="AU943" s="16"/>
      <c r="AV943" s="16"/>
      <c r="AW943" s="16"/>
      <c r="AX943" s="16"/>
    </row>
    <row r="944">
      <c r="A944" s="16"/>
      <c r="B944" s="16"/>
      <c r="C944" s="42"/>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c r="AS944" s="16"/>
      <c r="AT944" s="16"/>
      <c r="AU944" s="16"/>
      <c r="AV944" s="16"/>
      <c r="AW944" s="16"/>
      <c r="AX944" s="16"/>
    </row>
    <row r="945">
      <c r="A945" s="16"/>
      <c r="B945" s="16"/>
      <c r="C945" s="42"/>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c r="AU945" s="16"/>
      <c r="AV945" s="16"/>
      <c r="AW945" s="16"/>
      <c r="AX945" s="16"/>
    </row>
    <row r="946">
      <c r="A946" s="16"/>
      <c r="B946" s="16"/>
      <c r="C946" s="42"/>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c r="AU946" s="16"/>
      <c r="AV946" s="16"/>
      <c r="AW946" s="16"/>
      <c r="AX946" s="16"/>
    </row>
    <row r="947">
      <c r="A947" s="16"/>
      <c r="B947" s="16"/>
      <c r="C947" s="42"/>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c r="AS947" s="16"/>
      <c r="AT947" s="16"/>
      <c r="AU947" s="16"/>
      <c r="AV947" s="16"/>
      <c r="AW947" s="16"/>
      <c r="AX947" s="16"/>
    </row>
    <row r="948">
      <c r="A948" s="16"/>
      <c r="B948" s="16"/>
      <c r="C948" s="42"/>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c r="AS948" s="16"/>
      <c r="AT948" s="16"/>
      <c r="AU948" s="16"/>
      <c r="AV948" s="16"/>
      <c r="AW948" s="16"/>
      <c r="AX948" s="16"/>
    </row>
    <row r="949">
      <c r="A949" s="16"/>
      <c r="B949" s="16"/>
      <c r="C949" s="42"/>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c r="AS949" s="16"/>
      <c r="AT949" s="16"/>
      <c r="AU949" s="16"/>
      <c r="AV949" s="16"/>
      <c r="AW949" s="16"/>
      <c r="AX949" s="16"/>
    </row>
    <row r="950">
      <c r="A950" s="16"/>
      <c r="B950" s="16"/>
      <c r="C950" s="42"/>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c r="AU950" s="16"/>
      <c r="AV950" s="16"/>
      <c r="AW950" s="16"/>
      <c r="AX950" s="16"/>
    </row>
    <row r="951">
      <c r="A951" s="16"/>
      <c r="B951" s="16"/>
      <c r="C951" s="42"/>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c r="AU951" s="16"/>
      <c r="AV951" s="16"/>
      <c r="AW951" s="16"/>
      <c r="AX951" s="16"/>
    </row>
    <row r="952">
      <c r="A952" s="16"/>
      <c r="B952" s="16"/>
      <c r="C952" s="42"/>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c r="AU952" s="16"/>
      <c r="AV952" s="16"/>
      <c r="AW952" s="16"/>
      <c r="AX952" s="16"/>
    </row>
    <row r="953">
      <c r="A953" s="16"/>
      <c r="B953" s="16"/>
      <c r="C953" s="42"/>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c r="AU953" s="16"/>
      <c r="AV953" s="16"/>
      <c r="AW953" s="16"/>
      <c r="AX953" s="16"/>
    </row>
    <row r="954">
      <c r="A954" s="16"/>
      <c r="B954" s="16"/>
      <c r="C954" s="42"/>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c r="AU954" s="16"/>
      <c r="AV954" s="16"/>
      <c r="AW954" s="16"/>
      <c r="AX954" s="16"/>
    </row>
    <row r="955">
      <c r="A955" s="16"/>
      <c r="B955" s="16"/>
      <c r="C955" s="42"/>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c r="AM955" s="16"/>
      <c r="AN955" s="16"/>
      <c r="AO955" s="16"/>
      <c r="AP955" s="16"/>
      <c r="AQ955" s="16"/>
      <c r="AR955" s="16"/>
      <c r="AS955" s="16"/>
      <c r="AT955" s="16"/>
      <c r="AU955" s="16"/>
      <c r="AV955" s="16"/>
      <c r="AW955" s="16"/>
      <c r="AX955" s="16"/>
    </row>
    <row r="956">
      <c r="A956" s="16"/>
      <c r="B956" s="16"/>
      <c r="C956" s="42"/>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c r="AU956" s="16"/>
      <c r="AV956" s="16"/>
      <c r="AW956" s="16"/>
      <c r="AX956" s="16"/>
    </row>
    <row r="957">
      <c r="A957" s="16"/>
      <c r="B957" s="16"/>
      <c r="C957" s="42"/>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c r="AR957" s="16"/>
      <c r="AS957" s="16"/>
      <c r="AT957" s="16"/>
      <c r="AU957" s="16"/>
      <c r="AV957" s="16"/>
      <c r="AW957" s="16"/>
      <c r="AX957" s="16"/>
    </row>
    <row r="958">
      <c r="A958" s="16"/>
      <c r="B958" s="16"/>
      <c r="C958" s="42"/>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c r="AS958" s="16"/>
      <c r="AT958" s="16"/>
      <c r="AU958" s="16"/>
      <c r="AV958" s="16"/>
      <c r="AW958" s="16"/>
      <c r="AX958" s="16"/>
    </row>
    <row r="959">
      <c r="A959" s="16"/>
      <c r="B959" s="16"/>
      <c r="C959" s="42"/>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c r="AM959" s="16"/>
      <c r="AN959" s="16"/>
      <c r="AO959" s="16"/>
      <c r="AP959" s="16"/>
      <c r="AQ959" s="16"/>
      <c r="AR959" s="16"/>
      <c r="AS959" s="16"/>
      <c r="AT959" s="16"/>
      <c r="AU959" s="16"/>
      <c r="AV959" s="16"/>
      <c r="AW959" s="16"/>
      <c r="AX959" s="16"/>
    </row>
    <row r="960">
      <c r="A960" s="16"/>
      <c r="B960" s="16"/>
      <c r="C960" s="42"/>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c r="AR960" s="16"/>
      <c r="AS960" s="16"/>
      <c r="AT960" s="16"/>
      <c r="AU960" s="16"/>
      <c r="AV960" s="16"/>
      <c r="AW960" s="16"/>
      <c r="AX960" s="16"/>
    </row>
    <row r="961">
      <c r="A961" s="16"/>
      <c r="B961" s="16"/>
      <c r="C961" s="42"/>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c r="AM961" s="16"/>
      <c r="AN961" s="16"/>
      <c r="AO961" s="16"/>
      <c r="AP961" s="16"/>
      <c r="AQ961" s="16"/>
      <c r="AR961" s="16"/>
      <c r="AS961" s="16"/>
      <c r="AT961" s="16"/>
      <c r="AU961" s="16"/>
      <c r="AV961" s="16"/>
      <c r="AW961" s="16"/>
      <c r="AX961" s="16"/>
    </row>
    <row r="962">
      <c r="A962" s="16"/>
      <c r="B962" s="16"/>
      <c r="C962" s="42"/>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c r="AR962" s="16"/>
      <c r="AS962" s="16"/>
      <c r="AT962" s="16"/>
      <c r="AU962" s="16"/>
      <c r="AV962" s="16"/>
      <c r="AW962" s="16"/>
      <c r="AX962" s="16"/>
    </row>
    <row r="963">
      <c r="A963" s="16"/>
      <c r="B963" s="16"/>
      <c r="C963" s="42"/>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c r="AM963" s="16"/>
      <c r="AN963" s="16"/>
      <c r="AO963" s="16"/>
      <c r="AP963" s="16"/>
      <c r="AQ963" s="16"/>
      <c r="AR963" s="16"/>
      <c r="AS963" s="16"/>
      <c r="AT963" s="16"/>
      <c r="AU963" s="16"/>
      <c r="AV963" s="16"/>
      <c r="AW963" s="16"/>
      <c r="AX963" s="16"/>
    </row>
    <row r="964">
      <c r="A964" s="16"/>
      <c r="B964" s="16"/>
      <c r="C964" s="42"/>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c r="AR964" s="16"/>
      <c r="AS964" s="16"/>
      <c r="AT964" s="16"/>
      <c r="AU964" s="16"/>
      <c r="AV964" s="16"/>
      <c r="AW964" s="16"/>
      <c r="AX964" s="16"/>
    </row>
    <row r="965">
      <c r="A965" s="16"/>
      <c r="B965" s="16"/>
      <c r="C965" s="42"/>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c r="AR965" s="16"/>
      <c r="AS965" s="16"/>
      <c r="AT965" s="16"/>
      <c r="AU965" s="16"/>
      <c r="AV965" s="16"/>
      <c r="AW965" s="16"/>
      <c r="AX965" s="16"/>
    </row>
    <row r="966">
      <c r="A966" s="16"/>
      <c r="B966" s="16"/>
      <c r="C966" s="42"/>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c r="AU966" s="16"/>
      <c r="AV966" s="16"/>
      <c r="AW966" s="16"/>
      <c r="AX966" s="16"/>
    </row>
    <row r="967">
      <c r="A967" s="16"/>
      <c r="B967" s="16"/>
      <c r="C967" s="42"/>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c r="AM967" s="16"/>
      <c r="AN967" s="16"/>
      <c r="AO967" s="16"/>
      <c r="AP967" s="16"/>
      <c r="AQ967" s="16"/>
      <c r="AR967" s="16"/>
      <c r="AS967" s="16"/>
      <c r="AT967" s="16"/>
      <c r="AU967" s="16"/>
      <c r="AV967" s="16"/>
      <c r="AW967" s="16"/>
      <c r="AX967" s="16"/>
    </row>
    <row r="968">
      <c r="A968" s="16"/>
      <c r="B968" s="16"/>
      <c r="C968" s="42"/>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c r="AR968" s="16"/>
      <c r="AS968" s="16"/>
      <c r="AT968" s="16"/>
      <c r="AU968" s="16"/>
      <c r="AV968" s="16"/>
      <c r="AW968" s="16"/>
      <c r="AX968" s="16"/>
    </row>
    <row r="969">
      <c r="A969" s="16"/>
      <c r="B969" s="16"/>
      <c r="C969" s="42"/>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16"/>
      <c r="AO969" s="16"/>
      <c r="AP969" s="16"/>
      <c r="AQ969" s="16"/>
      <c r="AR969" s="16"/>
      <c r="AS969" s="16"/>
      <c r="AT969" s="16"/>
      <c r="AU969" s="16"/>
      <c r="AV969" s="16"/>
      <c r="AW969" s="16"/>
      <c r="AX969" s="16"/>
    </row>
    <row r="970">
      <c r="A970" s="16"/>
      <c r="B970" s="16"/>
      <c r="C970" s="42"/>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16"/>
      <c r="AO970" s="16"/>
      <c r="AP970" s="16"/>
      <c r="AQ970" s="16"/>
      <c r="AR970" s="16"/>
      <c r="AS970" s="16"/>
      <c r="AT970" s="16"/>
      <c r="AU970" s="16"/>
      <c r="AV970" s="16"/>
      <c r="AW970" s="16"/>
      <c r="AX970" s="16"/>
    </row>
    <row r="971">
      <c r="A971" s="16"/>
      <c r="B971" s="16"/>
      <c r="C971" s="42"/>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16"/>
      <c r="AO971" s="16"/>
      <c r="AP971" s="16"/>
      <c r="AQ971" s="16"/>
      <c r="AR971" s="16"/>
      <c r="AS971" s="16"/>
      <c r="AT971" s="16"/>
      <c r="AU971" s="16"/>
      <c r="AV971" s="16"/>
      <c r="AW971" s="16"/>
      <c r="AX971" s="16"/>
    </row>
    <row r="972">
      <c r="A972" s="16"/>
      <c r="B972" s="16"/>
      <c r="C972" s="42"/>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c r="AR972" s="16"/>
      <c r="AS972" s="16"/>
      <c r="AT972" s="16"/>
      <c r="AU972" s="16"/>
      <c r="AV972" s="16"/>
      <c r="AW972" s="16"/>
      <c r="AX972" s="16"/>
    </row>
    <row r="973">
      <c r="A973" s="16"/>
      <c r="B973" s="16"/>
      <c r="C973" s="42"/>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c r="AM973" s="16"/>
      <c r="AN973" s="16"/>
      <c r="AO973" s="16"/>
      <c r="AP973" s="16"/>
      <c r="AQ973" s="16"/>
      <c r="AR973" s="16"/>
      <c r="AS973" s="16"/>
      <c r="AT973" s="16"/>
      <c r="AU973" s="16"/>
      <c r="AV973" s="16"/>
      <c r="AW973" s="16"/>
      <c r="AX973" s="16"/>
    </row>
    <row r="974">
      <c r="A974" s="16"/>
      <c r="B974" s="16"/>
      <c r="C974" s="42"/>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c r="AR974" s="16"/>
      <c r="AS974" s="16"/>
      <c r="AT974" s="16"/>
      <c r="AU974" s="16"/>
      <c r="AV974" s="16"/>
      <c r="AW974" s="16"/>
      <c r="AX974" s="16"/>
    </row>
    <row r="975">
      <c r="A975" s="16"/>
      <c r="B975" s="16"/>
      <c r="C975" s="42"/>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c r="AS975" s="16"/>
      <c r="AT975" s="16"/>
      <c r="AU975" s="16"/>
      <c r="AV975" s="16"/>
      <c r="AW975" s="16"/>
      <c r="AX975" s="16"/>
    </row>
    <row r="976">
      <c r="A976" s="16"/>
      <c r="B976" s="16"/>
      <c r="C976" s="42"/>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16"/>
      <c r="AO976" s="16"/>
      <c r="AP976" s="16"/>
      <c r="AQ976" s="16"/>
      <c r="AR976" s="16"/>
      <c r="AS976" s="16"/>
      <c r="AT976" s="16"/>
      <c r="AU976" s="16"/>
      <c r="AV976" s="16"/>
      <c r="AW976" s="16"/>
      <c r="AX976" s="16"/>
    </row>
    <row r="977">
      <c r="A977" s="16"/>
      <c r="B977" s="16"/>
      <c r="C977" s="42"/>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16"/>
      <c r="AP977" s="16"/>
      <c r="AQ977" s="16"/>
      <c r="AR977" s="16"/>
      <c r="AS977" s="16"/>
      <c r="AT977" s="16"/>
      <c r="AU977" s="16"/>
      <c r="AV977" s="16"/>
      <c r="AW977" s="16"/>
      <c r="AX977" s="16"/>
    </row>
    <row r="978">
      <c r="A978" s="16"/>
      <c r="B978" s="16"/>
      <c r="C978" s="42"/>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c r="AM978" s="16"/>
      <c r="AN978" s="16"/>
      <c r="AO978" s="16"/>
      <c r="AP978" s="16"/>
      <c r="AQ978" s="16"/>
      <c r="AR978" s="16"/>
      <c r="AS978" s="16"/>
      <c r="AT978" s="16"/>
      <c r="AU978" s="16"/>
      <c r="AV978" s="16"/>
      <c r="AW978" s="16"/>
      <c r="AX978" s="16"/>
    </row>
    <row r="979">
      <c r="A979" s="16"/>
      <c r="B979" s="16"/>
      <c r="C979" s="42"/>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c r="AQ979" s="16"/>
      <c r="AR979" s="16"/>
      <c r="AS979" s="16"/>
      <c r="AT979" s="16"/>
      <c r="AU979" s="16"/>
      <c r="AV979" s="16"/>
      <c r="AW979" s="16"/>
      <c r="AX979" s="16"/>
    </row>
    <row r="980">
      <c r="A980" s="16"/>
      <c r="B980" s="16"/>
      <c r="C980" s="42"/>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c r="AM980" s="16"/>
      <c r="AN980" s="16"/>
      <c r="AO980" s="16"/>
      <c r="AP980" s="16"/>
      <c r="AQ980" s="16"/>
      <c r="AR980" s="16"/>
      <c r="AS980" s="16"/>
      <c r="AT980" s="16"/>
      <c r="AU980" s="16"/>
      <c r="AV980" s="16"/>
      <c r="AW980" s="16"/>
      <c r="AX980" s="16"/>
    </row>
    <row r="981">
      <c r="A981" s="16"/>
      <c r="B981" s="16"/>
      <c r="C981" s="42"/>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6"/>
      <c r="AK981" s="16"/>
      <c r="AL981" s="16"/>
      <c r="AM981" s="16"/>
      <c r="AN981" s="16"/>
      <c r="AO981" s="16"/>
      <c r="AP981" s="16"/>
      <c r="AQ981" s="16"/>
      <c r="AR981" s="16"/>
      <c r="AS981" s="16"/>
      <c r="AT981" s="16"/>
      <c r="AU981" s="16"/>
      <c r="AV981" s="16"/>
      <c r="AW981" s="16"/>
      <c r="AX981" s="16"/>
    </row>
    <row r="982">
      <c r="A982" s="16"/>
      <c r="B982" s="16"/>
      <c r="C982" s="42"/>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c r="AS982" s="16"/>
      <c r="AT982" s="16"/>
      <c r="AU982" s="16"/>
      <c r="AV982" s="16"/>
      <c r="AW982" s="16"/>
      <c r="AX982" s="16"/>
    </row>
    <row r="983">
      <c r="A983" s="16"/>
      <c r="B983" s="16"/>
      <c r="C983" s="42"/>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c r="AR983" s="16"/>
      <c r="AS983" s="16"/>
      <c r="AT983" s="16"/>
      <c r="AU983" s="16"/>
      <c r="AV983" s="16"/>
      <c r="AW983" s="16"/>
      <c r="AX983" s="16"/>
    </row>
    <row r="984">
      <c r="A984" s="16"/>
      <c r="B984" s="16"/>
      <c r="C984" s="42"/>
      <c r="D984" s="16"/>
      <c r="E984" s="16"/>
      <c r="F984" s="16"/>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6"/>
      <c r="AK984" s="16"/>
      <c r="AL984" s="16"/>
      <c r="AM984" s="16"/>
      <c r="AN984" s="16"/>
      <c r="AO984" s="16"/>
      <c r="AP984" s="16"/>
      <c r="AQ984" s="16"/>
      <c r="AR984" s="16"/>
      <c r="AS984" s="16"/>
      <c r="AT984" s="16"/>
      <c r="AU984" s="16"/>
      <c r="AV984" s="16"/>
      <c r="AW984" s="16"/>
      <c r="AX984" s="16"/>
    </row>
    <row r="985">
      <c r="A985" s="16"/>
      <c r="B985" s="16"/>
      <c r="C985" s="42"/>
      <c r="D985" s="16"/>
      <c r="E985" s="16"/>
      <c r="F985" s="16"/>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c r="AI985" s="16"/>
      <c r="AJ985" s="16"/>
      <c r="AK985" s="16"/>
      <c r="AL985" s="16"/>
      <c r="AM985" s="16"/>
      <c r="AN985" s="16"/>
      <c r="AO985" s="16"/>
      <c r="AP985" s="16"/>
      <c r="AQ985" s="16"/>
      <c r="AR985" s="16"/>
      <c r="AS985" s="16"/>
      <c r="AT985" s="16"/>
      <c r="AU985" s="16"/>
      <c r="AV985" s="16"/>
      <c r="AW985" s="16"/>
      <c r="AX985" s="16"/>
    </row>
    <row r="986">
      <c r="A986" s="16"/>
      <c r="B986" s="16"/>
      <c r="C986" s="42"/>
      <c r="D986" s="16"/>
      <c r="E986" s="16"/>
      <c r="F986" s="16"/>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c r="AI986" s="16"/>
      <c r="AJ986" s="16"/>
      <c r="AK986" s="16"/>
      <c r="AL986" s="16"/>
      <c r="AM986" s="16"/>
      <c r="AN986" s="16"/>
      <c r="AO986" s="16"/>
      <c r="AP986" s="16"/>
      <c r="AQ986" s="16"/>
      <c r="AR986" s="16"/>
      <c r="AS986" s="16"/>
      <c r="AT986" s="16"/>
      <c r="AU986" s="16"/>
      <c r="AV986" s="16"/>
      <c r="AW986" s="16"/>
      <c r="AX986" s="16"/>
    </row>
    <row r="987">
      <c r="A987" s="16"/>
      <c r="B987" s="16"/>
      <c r="C987" s="42"/>
      <c r="D987" s="16"/>
      <c r="E987" s="16"/>
      <c r="F987" s="16"/>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c r="AI987" s="16"/>
      <c r="AJ987" s="16"/>
      <c r="AK987" s="16"/>
      <c r="AL987" s="16"/>
      <c r="AM987" s="16"/>
      <c r="AN987" s="16"/>
      <c r="AO987" s="16"/>
      <c r="AP987" s="16"/>
      <c r="AQ987" s="16"/>
      <c r="AR987" s="16"/>
      <c r="AS987" s="16"/>
      <c r="AT987" s="16"/>
      <c r="AU987" s="16"/>
      <c r="AV987" s="16"/>
      <c r="AW987" s="16"/>
      <c r="AX987" s="16"/>
    </row>
    <row r="988">
      <c r="A988" s="16"/>
      <c r="B988" s="16"/>
      <c r="C988" s="42"/>
      <c r="D988" s="16"/>
      <c r="E988" s="16"/>
      <c r="F988" s="16"/>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c r="AI988" s="16"/>
      <c r="AJ988" s="16"/>
      <c r="AK988" s="16"/>
      <c r="AL988" s="16"/>
      <c r="AM988" s="16"/>
      <c r="AN988" s="16"/>
      <c r="AO988" s="16"/>
      <c r="AP988" s="16"/>
      <c r="AQ988" s="16"/>
      <c r="AR988" s="16"/>
      <c r="AS988" s="16"/>
      <c r="AT988" s="16"/>
      <c r="AU988" s="16"/>
      <c r="AV988" s="16"/>
      <c r="AW988" s="16"/>
      <c r="AX988" s="16"/>
    </row>
    <row r="989">
      <c r="A989" s="16"/>
      <c r="B989" s="16"/>
      <c r="C989" s="42"/>
      <c r="D989" s="16"/>
      <c r="E989" s="16"/>
      <c r="F989" s="16"/>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c r="AI989" s="16"/>
      <c r="AJ989" s="16"/>
      <c r="AK989" s="16"/>
      <c r="AL989" s="16"/>
      <c r="AM989" s="16"/>
      <c r="AN989" s="16"/>
      <c r="AO989" s="16"/>
      <c r="AP989" s="16"/>
      <c r="AQ989" s="16"/>
      <c r="AR989" s="16"/>
      <c r="AS989" s="16"/>
      <c r="AT989" s="16"/>
      <c r="AU989" s="16"/>
      <c r="AV989" s="16"/>
      <c r="AW989" s="16"/>
      <c r="AX989" s="16"/>
    </row>
    <row r="990">
      <c r="A990" s="16"/>
      <c r="B990" s="16"/>
      <c r="C990" s="42"/>
      <c r="D990" s="16"/>
      <c r="E990" s="16"/>
      <c r="F990" s="16"/>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c r="AI990" s="16"/>
      <c r="AJ990" s="16"/>
      <c r="AK990" s="16"/>
      <c r="AL990" s="16"/>
      <c r="AM990" s="16"/>
      <c r="AN990" s="16"/>
      <c r="AO990" s="16"/>
      <c r="AP990" s="16"/>
      <c r="AQ990" s="16"/>
      <c r="AR990" s="16"/>
      <c r="AS990" s="16"/>
      <c r="AT990" s="16"/>
      <c r="AU990" s="16"/>
      <c r="AV990" s="16"/>
      <c r="AW990" s="16"/>
      <c r="AX990" s="16"/>
    </row>
    <row r="991">
      <c r="A991" s="16"/>
      <c r="B991" s="16"/>
      <c r="C991" s="42"/>
      <c r="D991" s="16"/>
      <c r="E991" s="16"/>
      <c r="F991" s="16"/>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c r="AI991" s="16"/>
      <c r="AJ991" s="16"/>
      <c r="AK991" s="16"/>
      <c r="AL991" s="16"/>
      <c r="AM991" s="16"/>
      <c r="AN991" s="16"/>
      <c r="AO991" s="16"/>
      <c r="AP991" s="16"/>
      <c r="AQ991" s="16"/>
      <c r="AR991" s="16"/>
      <c r="AS991" s="16"/>
      <c r="AT991" s="16"/>
      <c r="AU991" s="16"/>
      <c r="AV991" s="16"/>
      <c r="AW991" s="16"/>
      <c r="AX991" s="16"/>
    </row>
    <row r="992">
      <c r="A992" s="16"/>
      <c r="B992" s="16"/>
      <c r="C992" s="42"/>
      <c r="D992" s="16"/>
      <c r="E992" s="16"/>
      <c r="F992" s="16"/>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c r="AI992" s="16"/>
      <c r="AJ992" s="16"/>
      <c r="AK992" s="16"/>
      <c r="AL992" s="16"/>
      <c r="AM992" s="16"/>
      <c r="AN992" s="16"/>
      <c r="AO992" s="16"/>
      <c r="AP992" s="16"/>
      <c r="AQ992" s="16"/>
      <c r="AR992" s="16"/>
      <c r="AS992" s="16"/>
      <c r="AT992" s="16"/>
      <c r="AU992" s="16"/>
      <c r="AV992" s="16"/>
      <c r="AW992" s="16"/>
      <c r="AX992" s="16"/>
    </row>
    <row r="993">
      <c r="A993" s="16"/>
      <c r="B993" s="16"/>
      <c r="C993" s="42"/>
      <c r="D993" s="16"/>
      <c r="E993" s="16"/>
      <c r="F993" s="16"/>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c r="AI993" s="16"/>
      <c r="AJ993" s="16"/>
      <c r="AK993" s="16"/>
      <c r="AL993" s="16"/>
      <c r="AM993" s="16"/>
      <c r="AN993" s="16"/>
      <c r="AO993" s="16"/>
      <c r="AP993" s="16"/>
      <c r="AQ993" s="16"/>
      <c r="AR993" s="16"/>
      <c r="AS993" s="16"/>
      <c r="AT993" s="16"/>
      <c r="AU993" s="16"/>
      <c r="AV993" s="16"/>
      <c r="AW993" s="16"/>
      <c r="AX993" s="16"/>
    </row>
    <row r="994">
      <c r="A994" s="16"/>
      <c r="B994" s="16"/>
      <c r="C994" s="42"/>
      <c r="D994" s="16"/>
      <c r="E994" s="16"/>
      <c r="F994" s="16"/>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c r="AI994" s="16"/>
      <c r="AJ994" s="16"/>
      <c r="AK994" s="16"/>
      <c r="AL994" s="16"/>
      <c r="AM994" s="16"/>
      <c r="AN994" s="16"/>
      <c r="AO994" s="16"/>
      <c r="AP994" s="16"/>
      <c r="AQ994" s="16"/>
      <c r="AR994" s="16"/>
      <c r="AS994" s="16"/>
      <c r="AT994" s="16"/>
      <c r="AU994" s="16"/>
      <c r="AV994" s="16"/>
      <c r="AW994" s="16"/>
      <c r="AX994" s="16"/>
    </row>
    <row r="995">
      <c r="A995" s="16"/>
      <c r="B995" s="16"/>
      <c r="C995" s="42"/>
      <c r="D995" s="16"/>
      <c r="E995" s="16"/>
      <c r="F995" s="16"/>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c r="AI995" s="16"/>
      <c r="AJ995" s="16"/>
      <c r="AK995" s="16"/>
      <c r="AL995" s="16"/>
      <c r="AM995" s="16"/>
      <c r="AN995" s="16"/>
      <c r="AO995" s="16"/>
      <c r="AP995" s="16"/>
      <c r="AQ995" s="16"/>
      <c r="AR995" s="16"/>
      <c r="AS995" s="16"/>
      <c r="AT995" s="16"/>
      <c r="AU995" s="16"/>
      <c r="AV995" s="16"/>
      <c r="AW995" s="16"/>
      <c r="AX995" s="16"/>
    </row>
    <row r="996">
      <c r="A996" s="16"/>
      <c r="B996" s="16"/>
      <c r="C996" s="42"/>
      <c r="D996" s="16"/>
      <c r="E996" s="16"/>
      <c r="F996" s="16"/>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c r="AI996" s="16"/>
      <c r="AJ996" s="16"/>
      <c r="AK996" s="16"/>
      <c r="AL996" s="16"/>
      <c r="AM996" s="16"/>
      <c r="AN996" s="16"/>
      <c r="AO996" s="16"/>
      <c r="AP996" s="16"/>
      <c r="AQ996" s="16"/>
      <c r="AR996" s="16"/>
      <c r="AS996" s="16"/>
      <c r="AT996" s="16"/>
      <c r="AU996" s="16"/>
      <c r="AV996" s="16"/>
      <c r="AW996" s="16"/>
      <c r="AX996" s="16"/>
    </row>
    <row r="997">
      <c r="A997" s="16"/>
      <c r="B997" s="16"/>
      <c r="C997" s="42"/>
      <c r="D997" s="16"/>
      <c r="E997" s="16"/>
      <c r="F997" s="16"/>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c r="AI997" s="16"/>
      <c r="AJ997" s="16"/>
      <c r="AK997" s="16"/>
      <c r="AL997" s="16"/>
      <c r="AM997" s="16"/>
      <c r="AN997" s="16"/>
      <c r="AO997" s="16"/>
      <c r="AP997" s="16"/>
      <c r="AQ997" s="16"/>
      <c r="AR997" s="16"/>
      <c r="AS997" s="16"/>
      <c r="AT997" s="16"/>
      <c r="AU997" s="16"/>
      <c r="AV997" s="16"/>
      <c r="AW997" s="16"/>
      <c r="AX997" s="16"/>
    </row>
    <row r="998">
      <c r="A998" s="16"/>
      <c r="B998" s="16"/>
      <c r="C998" s="42"/>
      <c r="D998" s="16"/>
      <c r="E998" s="16"/>
      <c r="F998" s="16"/>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c r="AI998" s="16"/>
      <c r="AJ998" s="16"/>
      <c r="AK998" s="16"/>
      <c r="AL998" s="16"/>
      <c r="AM998" s="16"/>
      <c r="AN998" s="16"/>
      <c r="AO998" s="16"/>
      <c r="AP998" s="16"/>
      <c r="AQ998" s="16"/>
      <c r="AR998" s="16"/>
      <c r="AS998" s="16"/>
      <c r="AT998" s="16"/>
      <c r="AU998" s="16"/>
      <c r="AV998" s="16"/>
      <c r="AW998" s="16"/>
      <c r="AX998" s="16"/>
    </row>
    <row r="999">
      <c r="A999" s="16"/>
      <c r="B999" s="16"/>
      <c r="C999" s="42"/>
      <c r="D999" s="16"/>
      <c r="E999" s="16"/>
      <c r="F999" s="16"/>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c r="AI999" s="16"/>
      <c r="AJ999" s="16"/>
      <c r="AK999" s="16"/>
      <c r="AL999" s="16"/>
      <c r="AM999" s="16"/>
      <c r="AN999" s="16"/>
      <c r="AO999" s="16"/>
      <c r="AP999" s="16"/>
      <c r="AQ999" s="16"/>
      <c r="AR999" s="16"/>
      <c r="AS999" s="16"/>
      <c r="AT999" s="16"/>
      <c r="AU999" s="16"/>
      <c r="AV999" s="16"/>
      <c r="AW999" s="16"/>
      <c r="AX999" s="16"/>
    </row>
    <row r="1000">
      <c r="A1000" s="16"/>
      <c r="B1000" s="16"/>
      <c r="C1000" s="42"/>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c r="AI1000" s="16"/>
      <c r="AJ1000" s="16"/>
      <c r="AK1000" s="16"/>
      <c r="AL1000" s="16"/>
      <c r="AM1000" s="16"/>
      <c r="AN1000" s="16"/>
      <c r="AO1000" s="16"/>
      <c r="AP1000" s="16"/>
      <c r="AQ1000" s="16"/>
      <c r="AR1000" s="16"/>
      <c r="AS1000" s="16"/>
      <c r="AT1000" s="16"/>
      <c r="AU1000" s="16"/>
      <c r="AV1000" s="16"/>
      <c r="AW1000" s="16"/>
      <c r="AX1000" s="16"/>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IFERROR(__xludf.DUMMYFUNCTION("IMPORTRANGE(""https://docs.google.com/spreadsheets/d/""&amp;Config!B1,""EntityTypes!A:AX"")"),"EntityType")</f>
        <v>EntityType</v>
      </c>
      <c r="B1" s="16" t="str">
        <f>IFERROR(__xludf.DUMMYFUNCTION("""COMPUTED_VALUE"""),"Description")</f>
        <v>Description</v>
      </c>
      <c r="C1" s="16" t="str">
        <f>IFERROR(__xludf.DUMMYFUNCTION("""COMPUTED_VALUE"""),"Abilities")</f>
        <v>Abilities</v>
      </c>
      <c r="D1" s="16"/>
      <c r="E1" s="16"/>
      <c r="F1" s="16"/>
      <c r="G1" s="16"/>
      <c r="H1" s="16"/>
      <c r="I1" s="16"/>
      <c r="J1" s="16"/>
      <c r="K1" s="16"/>
      <c r="L1" s="16"/>
      <c r="M1" s="16"/>
      <c r="N1" s="16"/>
      <c r="O1" s="16"/>
      <c r="P1" s="16"/>
      <c r="Q1" s="16"/>
      <c r="R1" s="16"/>
      <c r="S1" s="16"/>
      <c r="T1" s="16"/>
      <c r="U1" s="16"/>
      <c r="V1" s="16"/>
      <c r="W1" s="16"/>
      <c r="X1" s="16"/>
      <c r="Y1" s="16"/>
      <c r="Z1" s="16"/>
    </row>
    <row r="2">
      <c r="A2" s="16" t="str">
        <f>IFERROR(__xludf.DUMMYFUNCTION("""COMPUTED_VALUE"""),"Undead")</f>
        <v>Undead</v>
      </c>
      <c r="B2" s="16"/>
      <c r="C2" s="16" t="str">
        <f>IFERROR(__xludf.DUMMYFUNCTION("""COMPUTED_VALUE"""),"Immune to dark, Will live on 1HP unless hit with a Light, Fire, or Celestial attack. Cannot be immune to Light, Fire, and Celestial.")</f>
        <v>Immune to dark, Will live on 1HP unless hit with a Light, Fire, or Celestial attack. Cannot be immune to Light, Fire, and Celestial.</v>
      </c>
      <c r="D2" s="16"/>
      <c r="E2" s="16"/>
      <c r="F2" s="16"/>
      <c r="G2" s="16"/>
      <c r="H2" s="16"/>
      <c r="I2" s="16"/>
      <c r="J2" s="16"/>
      <c r="K2" s="16"/>
      <c r="L2" s="16"/>
      <c r="M2" s="16"/>
      <c r="N2" s="16"/>
      <c r="O2" s="16"/>
      <c r="P2" s="16"/>
      <c r="Q2" s="16"/>
      <c r="R2" s="16"/>
      <c r="S2" s="16"/>
      <c r="T2" s="16"/>
      <c r="U2" s="16"/>
      <c r="V2" s="16"/>
      <c r="W2" s="16"/>
      <c r="X2" s="16"/>
      <c r="Y2" s="16"/>
      <c r="Z2" s="16"/>
    </row>
    <row r="3">
      <c r="A3" s="16" t="str">
        <f>IFERROR(__xludf.DUMMYFUNCTION("""COMPUTED_VALUE"""),"Beast")</f>
        <v>Beast</v>
      </c>
      <c r="B3" s="16"/>
      <c r="C3" s="16" t="str">
        <f>IFERROR(__xludf.DUMMYFUNCTION("""COMPUTED_VALUE"""),"+5 to all perks and doubled base stats for the first round of battle.")</f>
        <v>+5 to all perks and doubled base stats for the first round of battle.</v>
      </c>
      <c r="D3" s="16"/>
      <c r="E3" s="16"/>
      <c r="F3" s="16"/>
      <c r="G3" s="16"/>
      <c r="H3" s="16"/>
      <c r="I3" s="16"/>
      <c r="J3" s="16"/>
      <c r="K3" s="16"/>
      <c r="L3" s="16"/>
      <c r="M3" s="16"/>
      <c r="N3" s="16"/>
      <c r="O3" s="16"/>
      <c r="P3" s="16"/>
      <c r="Q3" s="16"/>
      <c r="R3" s="16"/>
      <c r="S3" s="16"/>
      <c r="T3" s="16"/>
      <c r="U3" s="16"/>
      <c r="V3" s="16"/>
      <c r="W3" s="16"/>
      <c r="X3" s="16"/>
      <c r="Y3" s="16"/>
      <c r="Z3" s="16"/>
    </row>
    <row r="4">
      <c r="A4" s="16" t="str">
        <f>IFERROR(__xludf.DUMMYFUNCTION("""COMPUTED_VALUE"""),"Humanoid")</f>
        <v>Humanoid</v>
      </c>
      <c r="B4" s="16"/>
      <c r="C4" s="16" t="str">
        <f>IFERROR(__xludf.DUMMYFUNCTION("""COMPUTED_VALUE"""),"Inspiration - Roll a fail or succeed roll, On success all allies add the casters Charisma X100 to DEF, ATK, and ACC for 1 round")</f>
        <v>Inspiration - Roll a fail or succeed roll, On success all allies add the casters Charisma X100 to DEF, ATK, and ACC for 1 round</v>
      </c>
      <c r="D4" s="16"/>
      <c r="E4" s="16"/>
      <c r="F4" s="16"/>
      <c r="G4" s="16"/>
      <c r="H4" s="16"/>
      <c r="I4" s="16"/>
      <c r="J4" s="16"/>
      <c r="K4" s="16"/>
      <c r="L4" s="16"/>
      <c r="M4" s="16"/>
      <c r="N4" s="16"/>
      <c r="O4" s="16"/>
      <c r="P4" s="16"/>
      <c r="Q4" s="16"/>
      <c r="R4" s="16"/>
      <c r="S4" s="16"/>
      <c r="T4" s="16"/>
      <c r="U4" s="16"/>
      <c r="V4" s="16"/>
      <c r="W4" s="16"/>
      <c r="X4" s="16"/>
      <c r="Y4" s="16"/>
      <c r="Z4" s="16"/>
    </row>
    <row r="5">
      <c r="A5" s="16" t="str">
        <f>IFERROR(__xludf.DUMMYFUNCTION("""COMPUTED_VALUE"""),"God")</f>
        <v>God</v>
      </c>
      <c r="B5" s="16"/>
      <c r="C5" s="16" t="str">
        <f>IFERROR(__xludf.DUMMYFUNCTION("""COMPUTED_VALUE"""),"Immune to Celestial, X10 to all damage types.")</f>
        <v>Immune to Celestial, X10 to all damage types.</v>
      </c>
      <c r="D5" s="16"/>
      <c r="E5" s="16"/>
      <c r="F5" s="16"/>
      <c r="G5" s="16"/>
      <c r="H5" s="16"/>
      <c r="I5" s="16"/>
      <c r="J5" s="16"/>
      <c r="K5" s="16"/>
      <c r="L5" s="16"/>
      <c r="M5" s="16"/>
      <c r="N5" s="16"/>
      <c r="O5" s="16"/>
      <c r="P5" s="16"/>
      <c r="Q5" s="16"/>
      <c r="R5" s="16"/>
      <c r="S5" s="16"/>
      <c r="T5" s="16"/>
      <c r="U5" s="16"/>
      <c r="V5" s="16"/>
      <c r="W5" s="16"/>
      <c r="X5" s="16"/>
      <c r="Y5" s="16"/>
      <c r="Z5" s="16"/>
    </row>
    <row r="6">
      <c r="A6" s="16" t="str">
        <f>IFERROR(__xludf.DUMMYFUNCTION("""COMPUTED_VALUE"""),"Demonic")</f>
        <v>Demonic</v>
      </c>
      <c r="B6" s="16"/>
      <c r="C6" s="16" t="str">
        <f>IFERROR(__xludf.DUMMYFUNCTION("""COMPUTED_VALUE"""),"When casting any Chaos, Dark, or Voodoo spell there is a 5% chance of the spell effect activating twice")</f>
        <v>When casting any Chaos, Dark, or Voodoo spell there is a 5% chance of the spell effect activating twice</v>
      </c>
      <c r="D6" s="16"/>
      <c r="E6" s="16"/>
      <c r="F6" s="16"/>
      <c r="G6" s="16"/>
      <c r="H6" s="16"/>
      <c r="I6" s="16"/>
      <c r="J6" s="16"/>
      <c r="K6" s="16"/>
      <c r="L6" s="16"/>
      <c r="M6" s="16"/>
      <c r="N6" s="16"/>
      <c r="O6" s="16"/>
      <c r="P6" s="16"/>
      <c r="Q6" s="16"/>
      <c r="R6" s="16"/>
      <c r="S6" s="16"/>
      <c r="T6" s="16"/>
      <c r="U6" s="16"/>
      <c r="V6" s="16"/>
      <c r="W6" s="16"/>
      <c r="X6" s="16"/>
      <c r="Y6" s="16"/>
      <c r="Z6" s="16"/>
    </row>
    <row r="7">
      <c r="A7" s="16" t="str">
        <f>IFERROR(__xludf.DUMMYFUNCTION("""COMPUTED_VALUE"""),"Heavenly")</f>
        <v>Heavenly</v>
      </c>
      <c r="B7" s="16"/>
      <c r="C7" s="16" t="str">
        <f>IFERROR(__xludf.DUMMYFUNCTION("""COMPUTED_VALUE"""),"When casting any Order, Light, or Astral spell there is a 5% chance of the spell effect activating twice")</f>
        <v>When casting any Order, Light, or Astral spell there is a 5% chance of the spell effect activating twice</v>
      </c>
      <c r="D7" s="16"/>
      <c r="E7" s="16"/>
      <c r="F7" s="16"/>
      <c r="G7" s="16"/>
      <c r="H7" s="16"/>
      <c r="I7" s="16"/>
      <c r="J7" s="16"/>
      <c r="K7" s="16"/>
      <c r="L7" s="16"/>
      <c r="M7" s="16"/>
      <c r="N7" s="16"/>
      <c r="O7" s="16"/>
      <c r="P7" s="16"/>
      <c r="Q7" s="16"/>
      <c r="R7" s="16"/>
      <c r="S7" s="16"/>
      <c r="T7" s="16"/>
      <c r="U7" s="16"/>
      <c r="V7" s="16"/>
      <c r="W7" s="16"/>
      <c r="X7" s="16"/>
      <c r="Y7" s="16"/>
      <c r="Z7" s="16"/>
    </row>
    <row r="8">
      <c r="A8" s="16" t="str">
        <f>IFERROR(__xludf.DUMMYFUNCTION("""COMPUTED_VALUE"""),"Spirit")</f>
        <v>Spirit</v>
      </c>
      <c r="B8" s="16"/>
      <c r="C8" s="16" t="str">
        <f>IFERROR(__xludf.DUMMYFUNCTION("""COMPUTED_VALUE"""),"Immune to Blood and Possession, Will live on 1HP unless hit with a Light, Spirit, or Celestial attack. Cannot be immune to Light, Spirit, and Celestial.")</f>
        <v>Immune to Blood and Possession, Will live on 1HP unless hit with a Light, Spirit, or Celestial attack. Cannot be immune to Light, Spirit, and Celestial.</v>
      </c>
      <c r="D8" s="16"/>
      <c r="E8" s="16"/>
      <c r="F8" s="16"/>
      <c r="G8" s="16"/>
      <c r="H8" s="16"/>
      <c r="I8" s="16"/>
      <c r="J8" s="16"/>
      <c r="K8" s="16"/>
      <c r="L8" s="16"/>
      <c r="M8" s="16"/>
      <c r="N8" s="16"/>
      <c r="O8" s="16"/>
      <c r="P8" s="16"/>
      <c r="Q8" s="16"/>
      <c r="R8" s="16"/>
      <c r="S8" s="16"/>
      <c r="T8" s="16"/>
      <c r="U8" s="16"/>
      <c r="V8" s="16"/>
      <c r="W8" s="16"/>
      <c r="X8" s="16"/>
      <c r="Y8" s="16"/>
      <c r="Z8" s="16"/>
    </row>
    <row r="9">
      <c r="A9" s="16" t="str">
        <f>IFERROR(__xludf.DUMMYFUNCTION("""COMPUTED_VALUE"""),"Draconic")</f>
        <v>Draconic</v>
      </c>
      <c r="B9" s="16"/>
      <c r="C9" s="16" t="str">
        <f>IFERROR(__xludf.DUMMYFUNCTION("""COMPUTED_VALUE"""),"When in a party with 2 or more Draconic allies you and your Draconic allies gain X2 DEF")</f>
        <v>When in a party with 2 or more Draconic allies you and your Draconic allies gain X2 DEF</v>
      </c>
      <c r="D9" s="16"/>
      <c r="E9" s="16"/>
      <c r="F9" s="16"/>
      <c r="G9" s="16"/>
      <c r="H9" s="16"/>
      <c r="I9" s="16"/>
      <c r="J9" s="16"/>
      <c r="K9" s="16"/>
      <c r="L9" s="16"/>
      <c r="M9" s="16"/>
      <c r="N9" s="16"/>
      <c r="O9" s="16"/>
      <c r="P9" s="16"/>
      <c r="Q9" s="16"/>
      <c r="R9" s="16"/>
      <c r="S9" s="16"/>
      <c r="T9" s="16"/>
      <c r="U9" s="16"/>
      <c r="V9" s="16"/>
      <c r="W9" s="16"/>
      <c r="X9" s="16"/>
      <c r="Y9" s="16"/>
      <c r="Z9" s="16"/>
    </row>
    <row r="10">
      <c r="A10" s="16" t="str">
        <f>IFERROR(__xludf.DUMMYFUNCTION("""COMPUTED_VALUE"""),"Construct")</f>
        <v>Construct</v>
      </c>
      <c r="B10" s="16"/>
      <c r="C10" s="16" t="str">
        <f>IFERROR(__xludf.DUMMYFUNCTION("""COMPUTED_VALUE"""),"Must use batteries to restore energy and fuel to restore thirst/hunger/fuel. Immune to Spirit and Blood but deal Half Spirit and Blood damage.")</f>
        <v>Must use batteries to restore energy and fuel to restore thirst/hunger/fuel. Immune to Spirit and Blood but deal Half Spirit and Blood damage.</v>
      </c>
      <c r="D10" s="16"/>
      <c r="E10" s="16"/>
      <c r="F10" s="16"/>
      <c r="G10" s="16"/>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IFERROR(__xludf.DUMMYFUNCTION("""COMPUTED_VALUE"""),"Monstrosity")</f>
        <v>Monstrosity</v>
      </c>
      <c r="B11" s="16"/>
      <c r="C11" s="16" t="str">
        <f>IFERROR(__xludf.DUMMYFUNCTION("""COMPUTED_VALUE"""),"When removing an enemy from battle you regain HP and SP equal to their defense..")</f>
        <v>When removing an enemy from battle you regain HP and SP equal to their defense..</v>
      </c>
      <c r="D11" s="16"/>
      <c r="E11" s="16"/>
      <c r="F11" s="16"/>
      <c r="G11" s="16"/>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IFERROR(__xludf.DUMMYFUNCTION("""COMPUTED_VALUE"""),"Fae")</f>
        <v>Fae</v>
      </c>
      <c r="B12" s="16"/>
      <c r="C12" s="16" t="str">
        <f>IFERROR(__xludf.DUMMYFUNCTION("""COMPUTED_VALUE"""),"When attacking with a Hit/Miss Spell you may roll 1d40 instead of 1d20 and you may apply any d20 bonuses to that roll.")</f>
        <v>When attacking with a Hit/Miss Spell you may roll 1d40 instead of 1d20 and you may apply any d20 bonuses to that roll.</v>
      </c>
      <c r="D12" s="16"/>
      <c r="E12" s="16"/>
      <c r="F12" s="16"/>
      <c r="G12" s="16"/>
      <c r="H12" s="16"/>
      <c r="I12" s="16"/>
      <c r="J12" s="16"/>
      <c r="K12" s="16"/>
      <c r="L12" s="16"/>
      <c r="M12" s="16"/>
      <c r="N12" s="16"/>
      <c r="O12" s="16"/>
      <c r="P12" s="16"/>
      <c r="Q12" s="16"/>
      <c r="R12" s="16"/>
      <c r="S12" s="16"/>
      <c r="T12" s="16"/>
      <c r="U12" s="16"/>
      <c r="V12" s="16"/>
      <c r="W12" s="16"/>
      <c r="X12" s="16"/>
      <c r="Y12" s="16"/>
      <c r="Z12" s="16"/>
    </row>
    <row r="13">
      <c r="A13" s="16" t="str">
        <f>IFERROR(__xludf.DUMMYFUNCTION("""COMPUTED_VALUE"""),"Giant")</f>
        <v>Giant</v>
      </c>
      <c r="B13" s="16"/>
      <c r="C13" s="16" t="str">
        <f>IFERROR(__xludf.DUMMYFUNCTION("""COMPUTED_VALUE"""),"When attacking with a Weapon or Natural attack you may roll 1d40 instead of 1d20 to hit and you may apply any d20 bonuses to that roll.")</f>
        <v>When attacking with a Weapon or Natural attack you may roll 1d40 instead of 1d20 to hit and you may apply any d20 bonuses to that roll.</v>
      </c>
      <c r="D13" s="16"/>
      <c r="E13" s="16"/>
      <c r="F13" s="16"/>
      <c r="G13" s="16"/>
      <c r="H13" s="16"/>
      <c r="I13" s="16"/>
      <c r="J13" s="16"/>
      <c r="K13" s="16"/>
      <c r="L13" s="16"/>
      <c r="M13" s="16"/>
      <c r="N13" s="16"/>
      <c r="O13" s="16"/>
      <c r="P13" s="16"/>
      <c r="Q13" s="16"/>
      <c r="R13" s="16"/>
      <c r="S13" s="16"/>
      <c r="T13" s="16"/>
      <c r="U13" s="16"/>
      <c r="V13" s="16"/>
      <c r="W13" s="16"/>
      <c r="X13" s="16"/>
      <c r="Y13" s="16"/>
      <c r="Z13" s="16"/>
    </row>
    <row r="14">
      <c r="A14" s="16" t="str">
        <f>IFERROR(__xludf.DUMMYFUNCTION("""COMPUTED_VALUE"""),"Trap/Puzzle")</f>
        <v>Trap/Puzzle</v>
      </c>
      <c r="B14" s="16"/>
      <c r="C14" s="16"/>
      <c r="D14" s="16"/>
      <c r="E14" s="16"/>
      <c r="F14" s="16"/>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16"/>
      <c r="F15" s="16"/>
      <c r="G15" s="16"/>
      <c r="H15" s="16"/>
      <c r="I15" s="16"/>
      <c r="J15" s="16"/>
      <c r="K15" s="16"/>
      <c r="L15" s="16"/>
      <c r="M15" s="16"/>
      <c r="N15" s="16"/>
      <c r="O15" s="16"/>
      <c r="P15" s="16"/>
      <c r="Q15" s="16"/>
      <c r="R15" s="16"/>
      <c r="S15" s="16"/>
      <c r="T15" s="16"/>
      <c r="U15" s="16"/>
      <c r="V15" s="16"/>
      <c r="W15" s="16"/>
      <c r="X15" s="16"/>
      <c r="Y15" s="16"/>
      <c r="Z15" s="16"/>
    </row>
    <row r="16">
      <c r="A16" s="16"/>
      <c r="B16" s="16"/>
      <c r="C16" s="16"/>
      <c r="D16" s="16"/>
      <c r="E16" s="16"/>
      <c r="F16" s="16"/>
      <c r="G16" s="16"/>
      <c r="H16" s="16"/>
      <c r="I16" s="16"/>
      <c r="J16" s="16"/>
      <c r="K16" s="16"/>
      <c r="L16" s="16"/>
      <c r="M16" s="16"/>
      <c r="N16" s="16"/>
      <c r="O16" s="16"/>
      <c r="P16" s="16"/>
      <c r="Q16" s="16"/>
      <c r="R16" s="16"/>
      <c r="S16" s="16"/>
      <c r="T16" s="16"/>
      <c r="U16" s="16"/>
      <c r="V16" s="16"/>
      <c r="W16" s="16"/>
      <c r="X16" s="16"/>
      <c r="Y16" s="16"/>
      <c r="Z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c r="Z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7.38"/>
    <col customWidth="1" min="5" max="5" width="19.5"/>
    <col customWidth="1" min="13" max="13" width="18.0"/>
    <col customWidth="1" min="14" max="14" width="13.5"/>
  </cols>
  <sheetData>
    <row r="1">
      <c r="A1" s="16" t="str">
        <f>IFERROR(__xludf.DUMMYFUNCTION("IMPORTRANGE(""https://docs.google.com/spreadsheets/d/""&amp;Config!B1,""SpellsNatPowers!A:N"")"),"Name")</f>
        <v>Name</v>
      </c>
      <c r="B1" s="120" t="str">
        <f>IFERROR(__xludf.DUMMYFUNCTION("""COMPUTED_VALUE"""),"Rank")</f>
        <v>Rank</v>
      </c>
      <c r="C1" s="16" t="str">
        <f>IFERROR(__xludf.DUMMYFUNCTION("""COMPUTED_VALUE"""),"SP Cost")</f>
        <v>SP Cost</v>
      </c>
      <c r="D1" s="16" t="str">
        <f>IFERROR(__xludf.DUMMYFUNCTION("""COMPUTED_VALUE"""),"HP Cost")</f>
        <v>HP Cost</v>
      </c>
      <c r="E1" s="16" t="str">
        <f>IFERROR(__xludf.DUMMYFUNCTION("""COMPUTED_VALUE"""),"Effect")</f>
        <v>Effect</v>
      </c>
      <c r="F1" s="16" t="str">
        <f>IFERROR(__xludf.DUMMYFUNCTION("""COMPUTED_VALUE"""),"Type")</f>
        <v>Type</v>
      </c>
      <c r="G1" s="16" t="str">
        <f>IFERROR(__xludf.DUMMYFUNCTION("""COMPUTED_VALUE"""),"Target Amount")</f>
        <v>Target Amount</v>
      </c>
      <c r="H1" s="16" t="str">
        <f>IFERROR(__xludf.DUMMYFUNCTION("""COMPUTED_VALUE"""),"Element")</f>
        <v>Element</v>
      </c>
      <c r="I1" s="16" t="str">
        <f>IFERROR(__xludf.DUMMYFUNCTION("""COMPUTED_VALUE"""),"Player/Mob")</f>
        <v>Player/Mob</v>
      </c>
      <c r="J1" s="16" t="str">
        <f>IFERROR(__xludf.DUMMYFUNCTION("""COMPUTED_VALUE"""),"Restricted")</f>
        <v>Restricted</v>
      </c>
      <c r="K1" s="16" t="str">
        <f>IFERROR(__xludf.DUMMYFUNCTION("""COMPUTED_VALUE"""),"Restricted Info")</f>
        <v>Restricted Info</v>
      </c>
      <c r="L1" s="16" t="str">
        <f>IFERROR(__xludf.DUMMYFUNCTION("""COMPUTED_VALUE"""),"Undefendable")</f>
        <v>Undefendable</v>
      </c>
      <c r="M1" s="16" t="str">
        <f>IFERROR(__xludf.DUMMYFUNCTION("""COMPUTED_VALUE"""),"Bypass Resist/Immune")</f>
        <v>Bypass Resist/Immune</v>
      </c>
      <c r="N1" s="16" t="str">
        <f>IFERROR(__xludf.DUMMYFUNCTION("""COMPUTED_VALUE"""),"SpellWorldOrigin")</f>
        <v>SpellWorldOrigin</v>
      </c>
    </row>
    <row r="2">
      <c r="A2" s="16" t="str">
        <f>IFERROR(__xludf.DUMMYFUNCTION("""COMPUTED_VALUE"""),"Acoustic Slam")</f>
        <v>Acoustic Slam</v>
      </c>
      <c r="B2" s="120">
        <f>IFERROR(__xludf.DUMMYFUNCTION("""COMPUTED_VALUE"""),1.0)</f>
        <v>1</v>
      </c>
      <c r="C2" s="16">
        <f>IFERROR(__xludf.DUMMYFUNCTION("""COMPUTED_VALUE"""),0.0)</f>
        <v>0</v>
      </c>
      <c r="D2" s="16"/>
      <c r="E2" s="16" t="str">
        <f>IFERROR(__xludf.DUMMYFUNCTION("""COMPUTED_VALUE"""),"Deals X*Charisma Acoustic Damage Where X equals the users Accuracy")</f>
        <v>Deals X*Charisma Acoustic Damage Where X equals the users Accuracy</v>
      </c>
      <c r="F2" s="16" t="str">
        <f>IFERROR(__xludf.DUMMYFUNCTION("""COMPUTED_VALUE"""),"Natural/Fail or Succeed")</f>
        <v>Natural/Fail or Succeed</v>
      </c>
      <c r="G2" s="16">
        <f>IFERROR(__xludf.DUMMYFUNCTION("""COMPUTED_VALUE"""),1.0)</f>
        <v>1</v>
      </c>
      <c r="H2" s="16" t="str">
        <f>IFERROR(__xludf.DUMMYFUNCTION("""COMPUTED_VALUE"""),"Acoustic")</f>
        <v>Acoustic</v>
      </c>
      <c r="I2" s="16" t="str">
        <f>IFERROR(__xludf.DUMMYFUNCTION("""COMPUTED_VALUE"""),"Player")</f>
        <v>Player</v>
      </c>
      <c r="J2" s="16" t="b">
        <f>IFERROR(__xludf.DUMMYFUNCTION("""COMPUTED_VALUE"""),FALSE)</f>
        <v>0</v>
      </c>
      <c r="K2" s="16"/>
      <c r="L2" s="16" t="b">
        <f>IFERROR(__xludf.DUMMYFUNCTION("""COMPUTED_VALUE"""),TRUE)</f>
        <v>1</v>
      </c>
      <c r="M2" s="16" t="b">
        <f>IFERROR(__xludf.DUMMYFUNCTION("""COMPUTED_VALUE"""),FALSE)</f>
        <v>0</v>
      </c>
      <c r="N2" s="16"/>
    </row>
    <row r="3">
      <c r="A3" s="16" t="str">
        <f>IFERROR(__xludf.DUMMYFUNCTION("""COMPUTED_VALUE"""),"Amplify")</f>
        <v>Amplify</v>
      </c>
      <c r="B3" s="120">
        <f>IFERROR(__xludf.DUMMYFUNCTION("""COMPUTED_VALUE"""),1.0)</f>
        <v>1</v>
      </c>
      <c r="C3" s="16">
        <f>IFERROR(__xludf.DUMMYFUNCTION("""COMPUTED_VALUE"""),0.0)</f>
        <v>0</v>
      </c>
      <c r="D3" s="16"/>
      <c r="E3" s="16" t="str">
        <f>IFERROR(__xludf.DUMMYFUNCTION("""COMPUTED_VALUE"""),"X2 additional Acoustic damage for the caster, X4 additional Accoustic damage if you are weilding an instrument.")</f>
        <v>X2 additional Acoustic damage for the caster, X4 additional Accoustic damage if you are weilding an instrument.</v>
      </c>
      <c r="F3" s="16" t="str">
        <f>IFERROR(__xludf.DUMMYFUNCTION("""COMPUTED_VALUE"""),"Natural/Will Succeed")</f>
        <v>Natural/Will Succeed</v>
      </c>
      <c r="G3" s="16" t="str">
        <f>IFERROR(__xludf.DUMMYFUNCTION("""COMPUTED_VALUE"""),"Self")</f>
        <v>Self</v>
      </c>
      <c r="H3" s="16" t="str">
        <f>IFERROR(__xludf.DUMMYFUNCTION("""COMPUTED_VALUE"""),"Acoustic")</f>
        <v>Acoustic</v>
      </c>
      <c r="I3" s="16" t="str">
        <f>IFERROR(__xludf.DUMMYFUNCTION("""COMPUTED_VALUE"""),"Player")</f>
        <v>Player</v>
      </c>
      <c r="J3" s="16" t="b">
        <f>IFERROR(__xludf.DUMMYFUNCTION("""COMPUTED_VALUE"""),FALSE)</f>
        <v>0</v>
      </c>
      <c r="K3" s="16"/>
      <c r="L3" s="16" t="b">
        <f>IFERROR(__xludf.DUMMYFUNCTION("""COMPUTED_VALUE"""),TRUE)</f>
        <v>1</v>
      </c>
      <c r="M3" s="16" t="b">
        <f>IFERROR(__xludf.DUMMYFUNCTION("""COMPUTED_VALUE"""),FALSE)</f>
        <v>0</v>
      </c>
      <c r="N3" s="16"/>
    </row>
    <row r="4">
      <c r="A4" s="16" t="str">
        <f>IFERROR(__xludf.DUMMYFUNCTION("""COMPUTED_VALUE"""),"Chant of Discomfort")</f>
        <v>Chant of Discomfort</v>
      </c>
      <c r="B4" s="120">
        <f>IFERROR(__xludf.DUMMYFUNCTION("""COMPUTED_VALUE"""),1.0)</f>
        <v>1</v>
      </c>
      <c r="C4" s="16">
        <f>IFERROR(__xludf.DUMMYFUNCTION("""COMPUTED_VALUE"""),0.0)</f>
        <v>0</v>
      </c>
      <c r="D4" s="16"/>
      <c r="E4" s="16" t="str">
        <f>IFERROR(__xludf.DUMMYFUNCTION("""COMPUTED_VALUE"""),"20,000 Acoustic damage to all enemies.")</f>
        <v>20,000 Acoustic damage to all enemies.</v>
      </c>
      <c r="F4" s="16" t="str">
        <f>IFERROR(__xludf.DUMMYFUNCTION("""COMPUTED_VALUE"""),"Natural/Cannot Avoid")</f>
        <v>Natural/Cannot Avoid</v>
      </c>
      <c r="G4" s="16" t="str">
        <f>IFERROR(__xludf.DUMMYFUNCTION("""COMPUTED_VALUE"""),"All")</f>
        <v>All</v>
      </c>
      <c r="H4" s="16" t="str">
        <f>IFERROR(__xludf.DUMMYFUNCTION("""COMPUTED_VALUE"""),"Acoustic")</f>
        <v>Acoustic</v>
      </c>
      <c r="I4" s="16" t="str">
        <f>IFERROR(__xludf.DUMMYFUNCTION("""COMPUTED_VALUE"""),"Player")</f>
        <v>Player</v>
      </c>
      <c r="J4" s="16" t="b">
        <f>IFERROR(__xludf.DUMMYFUNCTION("""COMPUTED_VALUE"""),FALSE)</f>
        <v>0</v>
      </c>
      <c r="K4" s="16"/>
      <c r="L4" s="16" t="b">
        <f>IFERROR(__xludf.DUMMYFUNCTION("""COMPUTED_VALUE"""),TRUE)</f>
        <v>1</v>
      </c>
      <c r="M4" s="16" t="b">
        <f>IFERROR(__xludf.DUMMYFUNCTION("""COMPUTED_VALUE"""),FALSE)</f>
        <v>0</v>
      </c>
      <c r="N4" s="16"/>
    </row>
    <row r="5">
      <c r="A5" s="16" t="str">
        <f>IFERROR(__xludf.DUMMYFUNCTION("""COMPUTED_VALUE"""),"Chanting Destruction")</f>
        <v>Chanting Destruction</v>
      </c>
      <c r="B5" s="120">
        <f>IFERROR(__xludf.DUMMYFUNCTION("""COMPUTED_VALUE"""),1.0)</f>
        <v>1</v>
      </c>
      <c r="C5" s="16">
        <f>IFERROR(__xludf.DUMMYFUNCTION("""COMPUTED_VALUE"""),0.0)</f>
        <v>0</v>
      </c>
      <c r="D5" s="16"/>
      <c r="E5" s="16" t="str">
        <f>IFERROR(__xludf.DUMMYFUNCTION("""COMPUTED_VALUE"""),"50,000 Acoustic, Fire, Dark, Chaos, and Celestial Damage to all enemies.")</f>
        <v>50,000 Acoustic, Fire, Dark, Chaos, and Celestial Damage to all enemies.</v>
      </c>
      <c r="F5" s="16" t="str">
        <f>IFERROR(__xludf.DUMMYFUNCTION("""COMPUTED_VALUE"""),"Natural/Cannot Avoid")</f>
        <v>Natural/Cannot Avoid</v>
      </c>
      <c r="G5" s="16" t="str">
        <f>IFERROR(__xludf.DUMMYFUNCTION("""COMPUTED_VALUE"""),"All")</f>
        <v>All</v>
      </c>
      <c r="H5" s="16" t="str">
        <f>IFERROR(__xludf.DUMMYFUNCTION("""COMPUTED_VALUE"""),"Acoustic")</f>
        <v>Acoustic</v>
      </c>
      <c r="I5" s="16" t="str">
        <f>IFERROR(__xludf.DUMMYFUNCTION("""COMPUTED_VALUE"""),"Mob")</f>
        <v>Mob</v>
      </c>
      <c r="J5" s="16" t="b">
        <f>IFERROR(__xludf.DUMMYFUNCTION("""COMPUTED_VALUE"""),TRUE)</f>
        <v>1</v>
      </c>
      <c r="K5" s="16"/>
      <c r="L5" s="16" t="b">
        <f>IFERROR(__xludf.DUMMYFUNCTION("""COMPUTED_VALUE"""),TRUE)</f>
        <v>1</v>
      </c>
      <c r="M5" s="16" t="b">
        <f>IFERROR(__xludf.DUMMYFUNCTION("""COMPUTED_VALUE"""),FALSE)</f>
        <v>0</v>
      </c>
      <c r="N5" s="16"/>
    </row>
    <row r="6">
      <c r="A6" s="16" t="str">
        <f>IFERROR(__xludf.DUMMYFUNCTION("""COMPUTED_VALUE"""),"Choir of 1000 Voices")</f>
        <v>Choir of 1000 Voices</v>
      </c>
      <c r="B6" s="120">
        <f>IFERROR(__xludf.DUMMYFUNCTION("""COMPUTED_VALUE"""),1.0)</f>
        <v>1</v>
      </c>
      <c r="C6" s="16">
        <f>IFERROR(__xludf.DUMMYFUNCTION("""COMPUTED_VALUE"""),0.0)</f>
        <v>0</v>
      </c>
      <c r="D6" s="16"/>
      <c r="E6" s="16" t="str">
        <f>IFERROR(__xludf.DUMMYFUNCTION("""COMPUTED_VALUE"""),"10,000 Acoustic, Light, and Order damage to all enemies.")</f>
        <v>10,000 Acoustic, Light, and Order damage to all enemies.</v>
      </c>
      <c r="F6" s="16" t="str">
        <f>IFERROR(__xludf.DUMMYFUNCTION("""COMPUTED_VALUE"""),"Natural/Cannot Avoid")</f>
        <v>Natural/Cannot Avoid</v>
      </c>
      <c r="G6" s="16" t="str">
        <f>IFERROR(__xludf.DUMMYFUNCTION("""COMPUTED_VALUE"""),"All")</f>
        <v>All</v>
      </c>
      <c r="H6" s="16" t="str">
        <f>IFERROR(__xludf.DUMMYFUNCTION("""COMPUTED_VALUE"""),"Acoustic")</f>
        <v>Acoustic</v>
      </c>
      <c r="I6" s="16" t="str">
        <f>IFERROR(__xludf.DUMMYFUNCTION("""COMPUTED_VALUE"""),"Player")</f>
        <v>Player</v>
      </c>
      <c r="J6" s="16" t="b">
        <f>IFERROR(__xludf.DUMMYFUNCTION("""COMPUTED_VALUE"""),FALSE)</f>
        <v>0</v>
      </c>
      <c r="K6" s="16"/>
      <c r="L6" s="16" t="b">
        <f>IFERROR(__xludf.DUMMYFUNCTION("""COMPUTED_VALUE"""),TRUE)</f>
        <v>1</v>
      </c>
      <c r="M6" s="16" t="b">
        <f>IFERROR(__xludf.DUMMYFUNCTION("""COMPUTED_VALUE"""),FALSE)</f>
        <v>0</v>
      </c>
      <c r="N6" s="16"/>
    </row>
    <row r="7">
      <c r="A7" s="16" t="str">
        <f>IFERROR(__xludf.DUMMYFUNCTION("""COMPUTED_VALUE"""),"Dreadful's Choir")</f>
        <v>Dreadful's Choir</v>
      </c>
      <c r="B7" s="120">
        <f>IFERROR(__xludf.DUMMYFUNCTION("""COMPUTED_VALUE"""),1.0)</f>
        <v>1</v>
      </c>
      <c r="C7" s="16">
        <f>IFERROR(__xludf.DUMMYFUNCTION("""COMPUTED_VALUE"""),0.0)</f>
        <v>0</v>
      </c>
      <c r="D7" s="16"/>
      <c r="E7" s="16" t="str">
        <f>IFERROR(__xludf.DUMMYFUNCTION("""COMPUTED_VALUE"""),"20,000 Acoustic, Dark, Fire, and Chaos Damage to all enemies. 25% chance nearby guards will engage you in battle.")</f>
        <v>20,000 Acoustic, Dark, Fire, and Chaos Damage to all enemies. 25% chance nearby guards will engage you in battle.</v>
      </c>
      <c r="F7" s="16" t="str">
        <f>IFERROR(__xludf.DUMMYFUNCTION("""COMPUTED_VALUE"""),"Natural/Cannot Avoid")</f>
        <v>Natural/Cannot Avoid</v>
      </c>
      <c r="G7" s="16" t="str">
        <f>IFERROR(__xludf.DUMMYFUNCTION("""COMPUTED_VALUE"""),"All")</f>
        <v>All</v>
      </c>
      <c r="H7" s="16" t="str">
        <f>IFERROR(__xludf.DUMMYFUNCTION("""COMPUTED_VALUE"""),"Acoustic")</f>
        <v>Acoustic</v>
      </c>
      <c r="I7" s="16" t="str">
        <f>IFERROR(__xludf.DUMMYFUNCTION("""COMPUTED_VALUE"""),"Player")</f>
        <v>Player</v>
      </c>
      <c r="J7" s="16" t="b">
        <f>IFERROR(__xludf.DUMMYFUNCTION("""COMPUTED_VALUE"""),FALSE)</f>
        <v>0</v>
      </c>
      <c r="K7" s="16"/>
      <c r="L7" s="16" t="b">
        <f>IFERROR(__xludf.DUMMYFUNCTION("""COMPUTED_VALUE"""),TRUE)</f>
        <v>1</v>
      </c>
      <c r="M7" s="16" t="b">
        <f>IFERROR(__xludf.DUMMYFUNCTION("""COMPUTED_VALUE"""),FALSE)</f>
        <v>0</v>
      </c>
      <c r="N7" s="16"/>
    </row>
    <row r="8">
      <c r="A8" s="16" t="str">
        <f>IFERROR(__xludf.DUMMYFUNCTION("""COMPUTED_VALUE"""),"Healing Melody")</f>
        <v>Healing Melody</v>
      </c>
      <c r="B8" s="120">
        <f>IFERROR(__xludf.DUMMYFUNCTION("""COMPUTED_VALUE"""),1.0)</f>
        <v>1</v>
      </c>
      <c r="C8" s="16">
        <f>IFERROR(__xludf.DUMMYFUNCTION("""COMPUTED_VALUE"""),0.0)</f>
        <v>0</v>
      </c>
      <c r="D8" s="16"/>
      <c r="E8" s="16" t="str">
        <f>IFERROR(__xludf.DUMMYFUNCTION("""COMPUTED_VALUE"""),"Restores 300 HP and SP to a target of choosing.")</f>
        <v>Restores 300 HP and SP to a target of choosing.</v>
      </c>
      <c r="F8" s="16" t="str">
        <f>IFERROR(__xludf.DUMMYFUNCTION("""COMPUTED_VALUE"""),"Natural/Will Succeed")</f>
        <v>Natural/Will Succeed</v>
      </c>
      <c r="G8" s="16">
        <f>IFERROR(__xludf.DUMMYFUNCTION("""COMPUTED_VALUE"""),1.0)</f>
        <v>1</v>
      </c>
      <c r="H8" s="16" t="str">
        <f>IFERROR(__xludf.DUMMYFUNCTION("""COMPUTED_VALUE"""),"Acoustic")</f>
        <v>Acoustic</v>
      </c>
      <c r="I8" s="16" t="str">
        <f>IFERROR(__xludf.DUMMYFUNCTION("""COMPUTED_VALUE"""),"Player")</f>
        <v>Player</v>
      </c>
      <c r="J8" s="16" t="b">
        <f>IFERROR(__xludf.DUMMYFUNCTION("""COMPUTED_VALUE"""),FALSE)</f>
        <v>0</v>
      </c>
      <c r="K8" s="16"/>
      <c r="L8" s="16" t="b">
        <f>IFERROR(__xludf.DUMMYFUNCTION("""COMPUTED_VALUE"""),TRUE)</f>
        <v>1</v>
      </c>
      <c r="M8" s="16" t="b">
        <f>IFERROR(__xludf.DUMMYFUNCTION("""COMPUTED_VALUE"""),FALSE)</f>
        <v>0</v>
      </c>
      <c r="N8" s="16"/>
    </row>
    <row r="9">
      <c r="A9" s="16" t="str">
        <f>IFERROR(__xludf.DUMMYFUNCTION("""COMPUTED_VALUE"""),"Intimidating Song")</f>
        <v>Intimidating Song</v>
      </c>
      <c r="B9" s="120">
        <f>IFERROR(__xludf.DUMMYFUNCTION("""COMPUTED_VALUE"""),1.0)</f>
        <v>1</v>
      </c>
      <c r="C9" s="16">
        <f>IFERROR(__xludf.DUMMYFUNCTION("""COMPUTED_VALUE"""),0.0)</f>
        <v>0</v>
      </c>
      <c r="D9" s="16"/>
      <c r="E9" s="16" t="str">
        <f>IFERROR(__xludf.DUMMYFUNCTION("""COMPUTED_VALUE"""),"+10 Intimidation for 3 rounds.")</f>
        <v>+10 Intimidation for 3 rounds.</v>
      </c>
      <c r="F9" s="16" t="str">
        <f>IFERROR(__xludf.DUMMYFUNCTION("""COMPUTED_VALUE"""),"Natural/Fail or Succeed")</f>
        <v>Natural/Fail or Succeed</v>
      </c>
      <c r="G9" s="16" t="str">
        <f>IFERROR(__xludf.DUMMYFUNCTION("""COMPUTED_VALUE"""),"Self")</f>
        <v>Self</v>
      </c>
      <c r="H9" s="16" t="str">
        <f>IFERROR(__xludf.DUMMYFUNCTION("""COMPUTED_VALUE"""),"Acoustic")</f>
        <v>Acoustic</v>
      </c>
      <c r="I9" s="16" t="str">
        <f>IFERROR(__xludf.DUMMYFUNCTION("""COMPUTED_VALUE"""),"Player")</f>
        <v>Player</v>
      </c>
      <c r="J9" s="16" t="b">
        <f>IFERROR(__xludf.DUMMYFUNCTION("""COMPUTED_VALUE"""),FALSE)</f>
        <v>0</v>
      </c>
      <c r="K9" s="16"/>
      <c r="L9" s="16" t="b">
        <f>IFERROR(__xludf.DUMMYFUNCTION("""COMPUTED_VALUE"""),TRUE)</f>
        <v>1</v>
      </c>
      <c r="M9" s="16" t="b">
        <f>IFERROR(__xludf.DUMMYFUNCTION("""COMPUTED_VALUE"""),FALSE)</f>
        <v>0</v>
      </c>
      <c r="N9" s="16"/>
    </row>
    <row r="10">
      <c r="A10" s="16" t="str">
        <f>IFERROR(__xludf.DUMMYFUNCTION("""COMPUTED_VALUE"""),"Melodic Push")</f>
        <v>Melodic Push</v>
      </c>
      <c r="B10" s="120">
        <f>IFERROR(__xludf.DUMMYFUNCTION("""COMPUTED_VALUE"""),1.0)</f>
        <v>1</v>
      </c>
      <c r="C10" s="16">
        <f>IFERROR(__xludf.DUMMYFUNCTION("""COMPUTED_VALUE"""),0.0)</f>
        <v>0</v>
      </c>
      <c r="D10" s="16"/>
      <c r="E10" s="16" t="str">
        <f>IFERROR(__xludf.DUMMYFUNCTION("""COMPUTED_VALUE"""),"10,000 Acoustic damage.")</f>
        <v>10,000 Acoustic damage.</v>
      </c>
      <c r="F10" s="16" t="str">
        <f>IFERROR(__xludf.DUMMYFUNCTION("""COMPUTED_VALUE"""),"Natural/Fail or Succeed")</f>
        <v>Natural/Fail or Succeed</v>
      </c>
      <c r="G10" s="16">
        <f>IFERROR(__xludf.DUMMYFUNCTION("""COMPUTED_VALUE"""),1.0)</f>
        <v>1</v>
      </c>
      <c r="H10" s="16" t="str">
        <f>IFERROR(__xludf.DUMMYFUNCTION("""COMPUTED_VALUE"""),"Acoustic")</f>
        <v>Acoustic</v>
      </c>
      <c r="I10" s="16" t="str">
        <f>IFERROR(__xludf.DUMMYFUNCTION("""COMPUTED_VALUE"""),"Player")</f>
        <v>Player</v>
      </c>
      <c r="J10" s="16" t="b">
        <f>IFERROR(__xludf.DUMMYFUNCTION("""COMPUTED_VALUE"""),FALSE)</f>
        <v>0</v>
      </c>
      <c r="K10" s="16"/>
      <c r="L10" s="16" t="b">
        <f>IFERROR(__xludf.DUMMYFUNCTION("""COMPUTED_VALUE"""),TRUE)</f>
        <v>1</v>
      </c>
      <c r="M10" s="16" t="b">
        <f>IFERROR(__xludf.DUMMYFUNCTION("""COMPUTED_VALUE"""),FALSE)</f>
        <v>0</v>
      </c>
      <c r="N10" s="16"/>
    </row>
    <row r="11">
      <c r="A11" s="16" t="str">
        <f>IFERROR(__xludf.DUMMYFUNCTION("""COMPUTED_VALUE"""),"Thrash Sesh")</f>
        <v>Thrash Sesh</v>
      </c>
      <c r="B11" s="120">
        <f>IFERROR(__xludf.DUMMYFUNCTION("""COMPUTED_VALUE"""),1.0)</f>
        <v>1</v>
      </c>
      <c r="C11" s="16">
        <f>IFERROR(__xludf.DUMMYFUNCTION("""COMPUTED_VALUE"""),0.0)</f>
        <v>0</v>
      </c>
      <c r="D11" s="16"/>
      <c r="E11" s="16" t="str">
        <f>IFERROR(__xludf.DUMMYFUNCTION("""COMPUTED_VALUE"""),"+5 Evasion and Mobility for 3 rounds.")</f>
        <v>+5 Evasion and Mobility for 3 rounds.</v>
      </c>
      <c r="F11" s="16" t="str">
        <f>IFERROR(__xludf.DUMMYFUNCTION("""COMPUTED_VALUE"""),"Natural/Fail or Succeed")</f>
        <v>Natural/Fail or Succeed</v>
      </c>
      <c r="G11" s="16" t="str">
        <f>IFERROR(__xludf.DUMMYFUNCTION("""COMPUTED_VALUE"""),"Self")</f>
        <v>Self</v>
      </c>
      <c r="H11" s="16" t="str">
        <f>IFERROR(__xludf.DUMMYFUNCTION("""COMPUTED_VALUE"""),"Acoustic")</f>
        <v>Acoustic</v>
      </c>
      <c r="I11" s="16" t="str">
        <f>IFERROR(__xludf.DUMMYFUNCTION("""COMPUTED_VALUE"""),"Player")</f>
        <v>Player</v>
      </c>
      <c r="J11" s="16" t="b">
        <f>IFERROR(__xludf.DUMMYFUNCTION("""COMPUTED_VALUE"""),FALSE)</f>
        <v>0</v>
      </c>
      <c r="K11" s="16"/>
      <c r="L11" s="16" t="b">
        <f>IFERROR(__xludf.DUMMYFUNCTION("""COMPUTED_VALUE"""),TRUE)</f>
        <v>1</v>
      </c>
      <c r="M11" s="16" t="b">
        <f>IFERROR(__xludf.DUMMYFUNCTION("""COMPUTED_VALUE"""),FALSE)</f>
        <v>0</v>
      </c>
      <c r="N11" s="16"/>
    </row>
    <row r="12">
      <c r="A12" s="16" t="str">
        <f>IFERROR(__xludf.DUMMYFUNCTION("""COMPUTED_VALUE"""),"Serenading Song")</f>
        <v>Serenading Song</v>
      </c>
      <c r="B12" s="120">
        <f>IFERROR(__xludf.DUMMYFUNCTION("""COMPUTED_VALUE"""),1.0)</f>
        <v>1</v>
      </c>
      <c r="C12" s="16">
        <f>IFERROR(__xludf.DUMMYFUNCTION("""COMPUTED_VALUE"""),0.0)</f>
        <v>0</v>
      </c>
      <c r="D12" s="16"/>
      <c r="E12" s="16" t="str">
        <f>IFERROR(__xludf.DUMMYFUNCTION("""COMPUTED_VALUE"""),"+10 Charisma for 3 rounds")</f>
        <v>+10 Charisma for 3 rounds</v>
      </c>
      <c r="F12" s="16" t="str">
        <f>IFERROR(__xludf.DUMMYFUNCTION("""COMPUTED_VALUE"""),"Natural/Fail or Succeed")</f>
        <v>Natural/Fail or Succeed</v>
      </c>
      <c r="G12" s="16" t="str">
        <f>IFERROR(__xludf.DUMMYFUNCTION("""COMPUTED_VALUE"""),"Self")</f>
        <v>Self</v>
      </c>
      <c r="H12" s="16" t="str">
        <f>IFERROR(__xludf.DUMMYFUNCTION("""COMPUTED_VALUE"""),"Acoustic")</f>
        <v>Acoustic</v>
      </c>
      <c r="I12" s="16" t="str">
        <f>IFERROR(__xludf.DUMMYFUNCTION("""COMPUTED_VALUE"""),"Player")</f>
        <v>Player</v>
      </c>
      <c r="J12" s="16" t="b">
        <f>IFERROR(__xludf.DUMMYFUNCTION("""COMPUTED_VALUE"""),FALSE)</f>
        <v>0</v>
      </c>
      <c r="K12" s="16"/>
      <c r="L12" s="16" t="b">
        <f>IFERROR(__xludf.DUMMYFUNCTION("""COMPUTED_VALUE"""),FALSE)</f>
        <v>0</v>
      </c>
      <c r="M12" s="16" t="b">
        <f>IFERROR(__xludf.DUMMYFUNCTION("""COMPUTED_VALUE"""),FALSE)</f>
        <v>0</v>
      </c>
      <c r="N12" s="16"/>
    </row>
    <row r="13">
      <c r="A13" s="16" t="str">
        <f>IFERROR(__xludf.DUMMYFUNCTION("""COMPUTED_VALUE"""),"Astral Beam")</f>
        <v>Astral Beam</v>
      </c>
      <c r="B13" s="120">
        <f>IFERROR(__xludf.DUMMYFUNCTION("""COMPUTED_VALUE"""),2.0)</f>
        <v>2</v>
      </c>
      <c r="C13" s="16" t="str">
        <f>IFERROR(__xludf.DUMMYFUNCTION("""COMPUTED_VALUE"""),"X")</f>
        <v>X</v>
      </c>
      <c r="D13" s="16"/>
      <c r="E13" s="16" t="str">
        <f>IFERROR(__xludf.DUMMYFUNCTION("""COMPUTED_VALUE"""),"X*50 Light damage and X*50 Astral damage to a single target where X is equal to SP.")</f>
        <v>X*50 Light damage and X*50 Astral damage to a single target where X is equal to SP.</v>
      </c>
      <c r="F13" s="16" t="str">
        <f>IFERROR(__xludf.DUMMYFUNCTION("""COMPUTED_VALUE"""),"Hit or Miss")</f>
        <v>Hit or Miss</v>
      </c>
      <c r="G13" s="16">
        <f>IFERROR(__xludf.DUMMYFUNCTION("""COMPUTED_VALUE"""),1.0)</f>
        <v>1</v>
      </c>
      <c r="H13" s="16" t="str">
        <f>IFERROR(__xludf.DUMMYFUNCTION("""COMPUTED_VALUE"""),"Astral")</f>
        <v>Astral</v>
      </c>
      <c r="I13" s="16" t="str">
        <f>IFERROR(__xludf.DUMMYFUNCTION("""COMPUTED_VALUE"""),"Player")</f>
        <v>Player</v>
      </c>
      <c r="J13" s="16" t="b">
        <f>IFERROR(__xludf.DUMMYFUNCTION("""COMPUTED_VALUE"""),FALSE)</f>
        <v>0</v>
      </c>
      <c r="K13" s="16"/>
      <c r="L13" s="16" t="b">
        <f>IFERROR(__xludf.DUMMYFUNCTION("""COMPUTED_VALUE"""),FALSE)</f>
        <v>0</v>
      </c>
      <c r="M13" s="16" t="b">
        <f>IFERROR(__xludf.DUMMYFUNCTION("""COMPUTED_VALUE"""),FALSE)</f>
        <v>0</v>
      </c>
      <c r="N13" s="16"/>
    </row>
    <row r="14">
      <c r="A14" s="16" t="str">
        <f>IFERROR(__xludf.DUMMYFUNCTION("""COMPUTED_VALUE"""),"Astral Contact")</f>
        <v>Astral Contact</v>
      </c>
      <c r="B14" s="120">
        <f>IFERROR(__xludf.DUMMYFUNCTION("""COMPUTED_VALUE"""),3.0)</f>
        <v>3</v>
      </c>
      <c r="C14" s="16">
        <f>IFERROR(__xludf.DUMMYFUNCTION("""COMPUTED_VALUE"""),100.0)</f>
        <v>100</v>
      </c>
      <c r="D14" s="16"/>
      <c r="E14" s="16" t="str">
        <f>IFERROR(__xludf.DUMMYFUNCTION("""COMPUTED_VALUE"""),"Increases Astral and Light damage by X2 for caster only.")</f>
        <v>Increases Astral and Light damage by X2 for caster only.</v>
      </c>
      <c r="F14" s="16" t="str">
        <f>IFERROR(__xludf.DUMMYFUNCTION("""COMPUTED_VALUE"""),"Fail/succeed")</f>
        <v>Fail/succeed</v>
      </c>
      <c r="G14" s="16"/>
      <c r="H14" s="16" t="str">
        <f>IFERROR(__xludf.DUMMYFUNCTION("""COMPUTED_VALUE"""),"Astral")</f>
        <v>Astral</v>
      </c>
      <c r="I14" s="16" t="str">
        <f>IFERROR(__xludf.DUMMYFUNCTION("""COMPUTED_VALUE"""),"Player")</f>
        <v>Player</v>
      </c>
      <c r="J14" s="16" t="b">
        <f>IFERROR(__xludf.DUMMYFUNCTION("""COMPUTED_VALUE"""),FALSE)</f>
        <v>0</v>
      </c>
      <c r="K14" s="16"/>
      <c r="L14" s="16" t="b">
        <f>IFERROR(__xludf.DUMMYFUNCTION("""COMPUTED_VALUE"""),FALSE)</f>
        <v>0</v>
      </c>
      <c r="M14" s="16" t="b">
        <f>IFERROR(__xludf.DUMMYFUNCTION("""COMPUTED_VALUE"""),FALSE)</f>
        <v>0</v>
      </c>
      <c r="N14" s="16"/>
    </row>
    <row r="15">
      <c r="A15" s="16" t="str">
        <f>IFERROR(__xludf.DUMMYFUNCTION("""COMPUTED_VALUE"""),"Black Hole")</f>
        <v>Black Hole</v>
      </c>
      <c r="B15" s="120">
        <f>IFERROR(__xludf.DUMMYFUNCTION("""COMPUTED_VALUE"""),9.0)</f>
        <v>9</v>
      </c>
      <c r="C15" s="16">
        <f>IFERROR(__xludf.DUMMYFUNCTION("""COMPUTED_VALUE"""),1000.0)</f>
        <v>1000</v>
      </c>
      <c r="D15" s="16"/>
      <c r="E15" s="16" t="str">
        <f>IFERROR(__xludf.DUMMYFUNCTION("""COMPUTED_VALUE"""),"Summon a void that has a 100% chance of instant death to all enemies.")</f>
        <v>Summon a void that has a 100% chance of instant death to all enemies.</v>
      </c>
      <c r="F15" s="16" t="str">
        <f>IFERROR(__xludf.DUMMYFUNCTION("""COMPUTED_VALUE"""),"Cannot be avoided")</f>
        <v>Cannot be avoided</v>
      </c>
      <c r="G15" s="16"/>
      <c r="H15" s="16" t="str">
        <f>IFERROR(__xludf.DUMMYFUNCTION("""COMPUTED_VALUE"""),"Astral")</f>
        <v>Astral</v>
      </c>
      <c r="I15" s="16" t="str">
        <f>IFERROR(__xludf.DUMMYFUNCTION("""COMPUTED_VALUE"""),"Player")</f>
        <v>Player</v>
      </c>
      <c r="J15" s="16" t="b">
        <f>IFERROR(__xludf.DUMMYFUNCTION("""COMPUTED_VALUE"""),FALSE)</f>
        <v>0</v>
      </c>
      <c r="K15" s="16"/>
      <c r="L15" s="16" t="b">
        <f>IFERROR(__xludf.DUMMYFUNCTION("""COMPUTED_VALUE"""),FALSE)</f>
        <v>0</v>
      </c>
      <c r="M15" s="16" t="b">
        <f>IFERROR(__xludf.DUMMYFUNCTION("""COMPUTED_VALUE"""),FALSE)</f>
        <v>0</v>
      </c>
      <c r="N15" s="16"/>
    </row>
    <row r="16">
      <c r="A16" s="16" t="str">
        <f>IFERROR(__xludf.DUMMYFUNCTION("""COMPUTED_VALUE"""),"Comet Shower")</f>
        <v>Comet Shower</v>
      </c>
      <c r="B16" s="120">
        <f>IFERROR(__xludf.DUMMYFUNCTION("""COMPUTED_VALUE"""),9.0)</f>
        <v>9</v>
      </c>
      <c r="C16" s="16" t="str">
        <f>IFERROR(__xludf.DUMMYFUNCTION("""COMPUTED_VALUE"""),"X")</f>
        <v>X</v>
      </c>
      <c r="D16" s="16"/>
      <c r="E16" s="16" t="str">
        <f>IFERROR(__xludf.DUMMYFUNCTION("""COMPUTED_VALUE"""),"X*15 Astral and X*15 Light damage to all enemies where X is equal to SP.")</f>
        <v>X*15 Astral and X*15 Light damage to all enemies where X is equal to SP.</v>
      </c>
      <c r="F16" s="16" t="str">
        <f>IFERROR(__xludf.DUMMYFUNCTION("""COMPUTED_VALUE"""),"Cannot be avoided")</f>
        <v>Cannot be avoided</v>
      </c>
      <c r="G16" s="16"/>
      <c r="H16" s="16" t="str">
        <f>IFERROR(__xludf.DUMMYFUNCTION("""COMPUTED_VALUE"""),"Astral")</f>
        <v>Astral</v>
      </c>
      <c r="I16" s="16" t="str">
        <f>IFERROR(__xludf.DUMMYFUNCTION("""COMPUTED_VALUE"""),"Player")</f>
        <v>Player</v>
      </c>
      <c r="J16" s="16" t="b">
        <f>IFERROR(__xludf.DUMMYFUNCTION("""COMPUTED_VALUE"""),FALSE)</f>
        <v>0</v>
      </c>
      <c r="K16" s="16"/>
      <c r="L16" s="16" t="b">
        <f>IFERROR(__xludf.DUMMYFUNCTION("""COMPUTED_VALUE"""),FALSE)</f>
        <v>0</v>
      </c>
      <c r="M16" s="16" t="b">
        <f>IFERROR(__xludf.DUMMYFUNCTION("""COMPUTED_VALUE"""),FALSE)</f>
        <v>0</v>
      </c>
      <c r="N16" s="16"/>
    </row>
    <row r="17">
      <c r="A17" s="16" t="str">
        <f>IFERROR(__xludf.DUMMYFUNCTION("""COMPUTED_VALUE"""),"Constellation Strike")</f>
        <v>Constellation Strike</v>
      </c>
      <c r="B17" s="120">
        <f>IFERROR(__xludf.DUMMYFUNCTION("""COMPUTED_VALUE"""),5.0)</f>
        <v>5</v>
      </c>
      <c r="C17" s="16">
        <f>IFERROR(__xludf.DUMMYFUNCTION("""COMPUTED_VALUE"""),1100.0)</f>
        <v>1100</v>
      </c>
      <c r="D17" s="16"/>
      <c r="E17" s="16" t="str">
        <f>IFERROR(__xludf.DUMMYFUNCTION("""COMPUTED_VALUE"""),"25000 Astral dmg + 25000 light dmg, increases Astral damage by X2 for caster only.")</f>
        <v>25000 Astral dmg + 25000 light dmg, increases Astral damage by X2 for caster only.</v>
      </c>
      <c r="F17" s="16" t="str">
        <f>IFERROR(__xludf.DUMMYFUNCTION("""COMPUTED_VALUE"""),"Hit or Miss")</f>
        <v>Hit or Miss</v>
      </c>
      <c r="G17" s="16">
        <f>IFERROR(__xludf.DUMMYFUNCTION("""COMPUTED_VALUE"""),1.0)</f>
        <v>1</v>
      </c>
      <c r="H17" s="16" t="str">
        <f>IFERROR(__xludf.DUMMYFUNCTION("""COMPUTED_VALUE"""),"Astral")</f>
        <v>Astral</v>
      </c>
      <c r="I17" s="16" t="str">
        <f>IFERROR(__xludf.DUMMYFUNCTION("""COMPUTED_VALUE"""),"Player")</f>
        <v>Player</v>
      </c>
      <c r="J17" s="16" t="b">
        <f>IFERROR(__xludf.DUMMYFUNCTION("""COMPUTED_VALUE"""),FALSE)</f>
        <v>0</v>
      </c>
      <c r="K17" s="16"/>
      <c r="L17" s="16" t="b">
        <f>IFERROR(__xludf.DUMMYFUNCTION("""COMPUTED_VALUE"""),FALSE)</f>
        <v>0</v>
      </c>
      <c r="M17" s="16" t="b">
        <f>IFERROR(__xludf.DUMMYFUNCTION("""COMPUTED_VALUE"""),FALSE)</f>
        <v>0</v>
      </c>
      <c r="N17" s="16"/>
    </row>
    <row r="18">
      <c r="A18" s="16" t="str">
        <f>IFERROR(__xludf.DUMMYFUNCTION("""COMPUTED_VALUE"""),"Lunar Ward")</f>
        <v>Lunar Ward</v>
      </c>
      <c r="B18" s="120">
        <f>IFERROR(__xludf.DUMMYFUNCTION("""COMPUTED_VALUE"""),1.0)</f>
        <v>1</v>
      </c>
      <c r="C18" s="16">
        <f>IFERROR(__xludf.DUMMYFUNCTION("""COMPUTED_VALUE"""),0.0)</f>
        <v>0</v>
      </c>
      <c r="D18" s="16"/>
      <c r="E18" s="16" t="str">
        <f>IFERROR(__xludf.DUMMYFUNCTION("""COMPUTED_VALUE"""),"Damage is reflected back at the damager that damaged this user for 3 rounds. X2 Astral damage for the user, Astral spells is unaffected by resistance and immunities for the caster. Ward ends when stopping a spell that bypasses immunities/resistances.")</f>
        <v>Damage is reflected back at the damager that damaged this user for 3 rounds. X2 Astral damage for the user, Astral spells is unaffected by resistance and immunities for the caster. Ward ends when stopping a spell that bypasses immunities/resistances.</v>
      </c>
      <c r="F18" s="16" t="str">
        <f>IFERROR(__xludf.DUMMYFUNCTION("""COMPUTED_VALUE"""),"Natural/Fail or Succeed")</f>
        <v>Natural/Fail or Succeed</v>
      </c>
      <c r="G18" s="16" t="str">
        <f>IFERROR(__xludf.DUMMYFUNCTION("""COMPUTED_VALUE"""),"Self")</f>
        <v>Self</v>
      </c>
      <c r="H18" s="16" t="str">
        <f>IFERROR(__xludf.DUMMYFUNCTION("""COMPUTED_VALUE"""),"Astral")</f>
        <v>Astral</v>
      </c>
      <c r="I18" s="16" t="str">
        <f>IFERROR(__xludf.DUMMYFUNCTION("""COMPUTED_VALUE"""),"Mob")</f>
        <v>Mob</v>
      </c>
      <c r="J18" s="16" t="b">
        <f>IFERROR(__xludf.DUMMYFUNCTION("""COMPUTED_VALUE"""),TRUE)</f>
        <v>1</v>
      </c>
      <c r="K18" s="16"/>
      <c r="L18" s="16" t="b">
        <f>IFERROR(__xludf.DUMMYFUNCTION("""COMPUTED_VALUE"""),FALSE)</f>
        <v>0</v>
      </c>
      <c r="M18" s="16" t="b">
        <f>IFERROR(__xludf.DUMMYFUNCTION("""COMPUTED_VALUE"""),FALSE)</f>
        <v>0</v>
      </c>
      <c r="N18" s="16"/>
    </row>
    <row r="19">
      <c r="A19" s="16" t="str">
        <f>IFERROR(__xludf.DUMMYFUNCTION("""COMPUTED_VALUE"""),"Planetary Meteor Storm")</f>
        <v>Planetary Meteor Storm</v>
      </c>
      <c r="B19" s="120">
        <f>IFERROR(__xludf.DUMMYFUNCTION("""COMPUTED_VALUE"""),9.0)</f>
        <v>9</v>
      </c>
      <c r="C19" s="16" t="str">
        <f>IFERROR(__xludf.DUMMYFUNCTION("""COMPUTED_VALUE"""),"X")</f>
        <v>X</v>
      </c>
      <c r="D19" s="16"/>
      <c r="E19" s="16" t="str">
        <f>IFERROR(__xludf.DUMMYFUNCTION("""COMPUTED_VALUE"""),"X*15 Astral damage and X*15 Light damage to all enemies.")</f>
        <v>X*15 Astral damage and X*15 Light damage to all enemies.</v>
      </c>
      <c r="F19" s="16" t="str">
        <f>IFERROR(__xludf.DUMMYFUNCTION("""COMPUTED_VALUE"""),"Cannot be avoided")</f>
        <v>Cannot be avoided</v>
      </c>
      <c r="G19" s="16"/>
      <c r="H19" s="16" t="str">
        <f>IFERROR(__xludf.DUMMYFUNCTION("""COMPUTED_VALUE"""),"Astral")</f>
        <v>Astral</v>
      </c>
      <c r="I19" s="16" t="str">
        <f>IFERROR(__xludf.DUMMYFUNCTION("""COMPUTED_VALUE"""),"Player")</f>
        <v>Player</v>
      </c>
      <c r="J19" s="16" t="b">
        <f>IFERROR(__xludf.DUMMYFUNCTION("""COMPUTED_VALUE"""),FALSE)</f>
        <v>0</v>
      </c>
      <c r="K19" s="16"/>
      <c r="L19" s="16" t="b">
        <f>IFERROR(__xludf.DUMMYFUNCTION("""COMPUTED_VALUE"""),FALSE)</f>
        <v>0</v>
      </c>
      <c r="M19" s="16" t="b">
        <f>IFERROR(__xludf.DUMMYFUNCTION("""COMPUTED_VALUE"""),FALSE)</f>
        <v>0</v>
      </c>
      <c r="N19" s="16"/>
    </row>
    <row r="20">
      <c r="A20" s="16" t="str">
        <f>IFERROR(__xludf.DUMMYFUNCTION("""COMPUTED_VALUE"""),"Protection of Stars.")</f>
        <v>Protection of Stars.</v>
      </c>
      <c r="B20" s="120">
        <f>IFERROR(__xludf.DUMMYFUNCTION("""COMPUTED_VALUE"""),4.0)</f>
        <v>4</v>
      </c>
      <c r="C20" s="16">
        <f>IFERROR(__xludf.DUMMYFUNCTION("""COMPUTED_VALUE"""),200.0)</f>
        <v>200</v>
      </c>
      <c r="D20" s="16"/>
      <c r="E20" s="16" t="str">
        <f>IFERROR(__xludf.DUMMYFUNCTION("""COMPUTED_VALUE"""),"X2 defense to self and any enemy who hits you for 3 rounds is inflicted with blindness 3, negates the need for darkvision for 5 rounds.")</f>
        <v>X2 defense to self and any enemy who hits you for 3 rounds is inflicted with blindness 3, negates the need for darkvision for 5 rounds.</v>
      </c>
      <c r="F20" s="16" t="str">
        <f>IFERROR(__xludf.DUMMYFUNCTION("""COMPUTED_VALUE"""),"Fail/Succeed")</f>
        <v>Fail/Succeed</v>
      </c>
      <c r="G20" s="16"/>
      <c r="H20" s="16" t="str">
        <f>IFERROR(__xludf.DUMMYFUNCTION("""COMPUTED_VALUE"""),"Astral")</f>
        <v>Astral</v>
      </c>
      <c r="I20" s="16" t="str">
        <f>IFERROR(__xludf.DUMMYFUNCTION("""COMPUTED_VALUE"""),"Player")</f>
        <v>Player</v>
      </c>
      <c r="J20" s="16" t="b">
        <f>IFERROR(__xludf.DUMMYFUNCTION("""COMPUTED_VALUE"""),FALSE)</f>
        <v>0</v>
      </c>
      <c r="K20" s="16"/>
      <c r="L20" s="16" t="b">
        <f>IFERROR(__xludf.DUMMYFUNCTION("""COMPUTED_VALUE"""),FALSE)</f>
        <v>0</v>
      </c>
      <c r="M20" s="16" t="b">
        <f>IFERROR(__xludf.DUMMYFUNCTION("""COMPUTED_VALUE"""),FALSE)</f>
        <v>0</v>
      </c>
      <c r="N20" s="16"/>
    </row>
    <row r="21">
      <c r="A21" s="16" t="str">
        <f>IFERROR(__xludf.DUMMYFUNCTION("""COMPUTED_VALUE"""),"Star Storm")</f>
        <v>Star Storm</v>
      </c>
      <c r="B21" s="120">
        <f>IFERROR(__xludf.DUMMYFUNCTION("""COMPUTED_VALUE"""),1.0)</f>
        <v>1</v>
      </c>
      <c r="C21" s="16" t="str">
        <f>IFERROR(__xludf.DUMMYFUNCTION("""COMPUTED_VALUE"""),"X")</f>
        <v>X</v>
      </c>
      <c r="D21" s="16"/>
      <c r="E21" s="16" t="str">
        <f>IFERROR(__xludf.DUMMYFUNCTION("""COMPUTED_VALUE"""),"X*5 Ongoing Astral damage and X*5 Ongoing Light damage to all enemies where X is equal to SP spent. negates the need for darkvision for 3 rounds.")</f>
        <v>X*5 Ongoing Astral damage and X*5 Ongoing Light damage to all enemies where X is equal to SP spent. negates the need for darkvision for 3 rounds.</v>
      </c>
      <c r="F21" s="16" t="str">
        <f>IFERROR(__xludf.DUMMYFUNCTION("""COMPUTED_VALUE"""),"Fail/Succeed")</f>
        <v>Fail/Succeed</v>
      </c>
      <c r="G21" s="16"/>
      <c r="H21" s="16" t="str">
        <f>IFERROR(__xludf.DUMMYFUNCTION("""COMPUTED_VALUE"""),"Astral")</f>
        <v>Astral</v>
      </c>
      <c r="I21" s="16" t="str">
        <f>IFERROR(__xludf.DUMMYFUNCTION("""COMPUTED_VALUE"""),"Player")</f>
        <v>Player</v>
      </c>
      <c r="J21" s="16" t="b">
        <f>IFERROR(__xludf.DUMMYFUNCTION("""COMPUTED_VALUE"""),FALSE)</f>
        <v>0</v>
      </c>
      <c r="K21" s="16"/>
      <c r="L21" s="16" t="b">
        <f>IFERROR(__xludf.DUMMYFUNCTION("""COMPUTED_VALUE"""),FALSE)</f>
        <v>0</v>
      </c>
      <c r="M21" s="16" t="b">
        <f>IFERROR(__xludf.DUMMYFUNCTION("""COMPUTED_VALUE"""),FALSE)</f>
        <v>0</v>
      </c>
      <c r="N21" s="16"/>
    </row>
    <row r="22">
      <c r="A22" s="16" t="str">
        <f>IFERROR(__xludf.DUMMYFUNCTION("""COMPUTED_VALUE"""),"Sunny Day")</f>
        <v>Sunny Day</v>
      </c>
      <c r="B22" s="120">
        <f>IFERROR(__xludf.DUMMYFUNCTION("""COMPUTED_VALUE"""),9.0)</f>
        <v>9</v>
      </c>
      <c r="C22" s="119">
        <f>IFERROR(__xludf.DUMMYFUNCTION("""COMPUTED_VALUE"""),20000.0)</f>
        <v>20000</v>
      </c>
      <c r="D22" s="16"/>
      <c r="E22" s="16" t="str">
        <f>IFERROR(__xludf.DUMMYFUNCTION("""COMPUTED_VALUE"""),"Summons a miniature sun, the target is forced to look at the sun for the next three rounds, reducing their stats by ½ except constitution and dealing 36000 Light and 36,000 Fire damage p/r for 3 rounds. (nullifies all abilities that require darkness or da"&amp;"rkness related field effects), negates the need for darkvision for 5 rounds.")</f>
        <v>Summons a miniature sun, the target is forced to look at the sun for the next three rounds, reducing their stats by ½ except constitution and dealing 36000 Light and 36,000 Fire damage p/r for 3 rounds. (nullifies all abilities that require darkness or darkness related field effects), negates the need for darkvision for 5 rounds.</v>
      </c>
      <c r="F22" s="16" t="str">
        <f>IFERROR(__xludf.DUMMYFUNCTION("""COMPUTED_VALUE"""),"Fail/Succeed")</f>
        <v>Fail/Succeed</v>
      </c>
      <c r="G22" s="16"/>
      <c r="H22" s="16" t="str">
        <f>IFERROR(__xludf.DUMMYFUNCTION("""COMPUTED_VALUE"""),"Astral")</f>
        <v>Astral</v>
      </c>
      <c r="I22" s="16" t="str">
        <f>IFERROR(__xludf.DUMMYFUNCTION("""COMPUTED_VALUE"""),"Player")</f>
        <v>Player</v>
      </c>
      <c r="J22" s="16" t="b">
        <f>IFERROR(__xludf.DUMMYFUNCTION("""COMPUTED_VALUE"""),FALSE)</f>
        <v>0</v>
      </c>
      <c r="K22" s="16"/>
      <c r="L22" s="16" t="b">
        <f>IFERROR(__xludf.DUMMYFUNCTION("""COMPUTED_VALUE"""),FALSE)</f>
        <v>0</v>
      </c>
      <c r="M22" s="16" t="b">
        <f>IFERROR(__xludf.DUMMYFUNCTION("""COMPUTED_VALUE"""),FALSE)</f>
        <v>0</v>
      </c>
      <c r="N22" s="16"/>
    </row>
    <row r="23">
      <c r="A23" s="16" t="str">
        <f>IFERROR(__xludf.DUMMYFUNCTION("""COMPUTED_VALUE"""),"Tower of The Universe")</f>
        <v>Tower of The Universe</v>
      </c>
      <c r="B23" s="120">
        <f>IFERROR(__xludf.DUMMYFUNCTION("""COMPUTED_VALUE"""),8.0)</f>
        <v>8</v>
      </c>
      <c r="C23" s="16">
        <f>IFERROR(__xludf.DUMMYFUNCTION("""COMPUTED_VALUE"""),1200.0)</f>
        <v>1200</v>
      </c>
      <c r="D23" s="16"/>
      <c r="E23" s="16" t="str">
        <f>IFERROR(__xludf.DUMMYFUNCTION("""COMPUTED_VALUE"""),"Forms a tower that appears in the sky and shoots a giant beam of Astral energy from the towers eye dealing 42000 Astral, Dark, and Light damage. Negates the need for darkvision for 5 rounds.")</f>
        <v>Forms a tower that appears in the sky and shoots a giant beam of Astral energy from the towers eye dealing 42000 Astral, Dark, and Light damage. Negates the need for darkvision for 5 rounds.</v>
      </c>
      <c r="F23" s="16" t="str">
        <f>IFERROR(__xludf.DUMMYFUNCTION("""COMPUTED_VALUE"""),"Hit/miss")</f>
        <v>Hit/miss</v>
      </c>
      <c r="G23" s="16">
        <f>IFERROR(__xludf.DUMMYFUNCTION("""COMPUTED_VALUE"""),1.0)</f>
        <v>1</v>
      </c>
      <c r="H23" s="16" t="str">
        <f>IFERROR(__xludf.DUMMYFUNCTION("""COMPUTED_VALUE"""),"Astral")</f>
        <v>Astral</v>
      </c>
      <c r="I23" s="16" t="str">
        <f>IFERROR(__xludf.DUMMYFUNCTION("""COMPUTED_VALUE"""),"Player")</f>
        <v>Player</v>
      </c>
      <c r="J23" s="16" t="b">
        <f>IFERROR(__xludf.DUMMYFUNCTION("""COMPUTED_VALUE"""),FALSE)</f>
        <v>0</v>
      </c>
      <c r="K23" s="16"/>
      <c r="L23" s="16" t="b">
        <f>IFERROR(__xludf.DUMMYFUNCTION("""COMPUTED_VALUE"""),FALSE)</f>
        <v>0</v>
      </c>
      <c r="M23" s="16" t="b">
        <f>IFERROR(__xludf.DUMMYFUNCTION("""COMPUTED_VALUE"""),FALSE)</f>
        <v>0</v>
      </c>
      <c r="N23" s="16"/>
    </row>
    <row r="24">
      <c r="A24" s="16" t="str">
        <f>IFERROR(__xludf.DUMMYFUNCTION("""COMPUTED_VALUE"""),"Inferno Sun")</f>
        <v>Inferno Sun</v>
      </c>
      <c r="B24" s="120">
        <f>IFERROR(__xludf.DUMMYFUNCTION("""COMPUTED_VALUE"""),9.0)</f>
        <v>9</v>
      </c>
      <c r="C24" s="119">
        <f>IFERROR(__xludf.DUMMYFUNCTION("""COMPUTED_VALUE"""),5000.0)</f>
        <v>5000</v>
      </c>
      <c r="D24" s="16"/>
      <c r="E24" s="16" t="str">
        <f>IFERROR(__xludf.DUMMYFUNCTION("""COMPUTED_VALUE"""),"5,000 Fire, 5,000 Light, and 10,000 Astral damage for 3 rounds to all enemies, The targets cannot restore HP or SP for the rest of the battle. Negates the need for darkvision for 3 rounds.")</f>
        <v>5,000 Fire, 5,000 Light, and 10,000 Astral damage for 3 rounds to all enemies, The targets cannot restore HP or SP for the rest of the battle. Negates the need for darkvision for 3 rounds.</v>
      </c>
      <c r="F24" s="16" t="str">
        <f>IFERROR(__xludf.DUMMYFUNCTION("""COMPUTED_VALUE"""),"Cannot Avoid")</f>
        <v>Cannot Avoid</v>
      </c>
      <c r="G24" s="16" t="str">
        <f>IFERROR(__xludf.DUMMYFUNCTION("""COMPUTED_VALUE"""),"All")</f>
        <v>All</v>
      </c>
      <c r="H24" s="16" t="str">
        <f>IFERROR(__xludf.DUMMYFUNCTION("""COMPUTED_VALUE"""),"Astral")</f>
        <v>Astral</v>
      </c>
      <c r="I24" s="16" t="str">
        <f>IFERROR(__xludf.DUMMYFUNCTION("""COMPUTED_VALUE"""),"Mob")</f>
        <v>Mob</v>
      </c>
      <c r="J24" s="16" t="b">
        <f>IFERROR(__xludf.DUMMYFUNCTION("""COMPUTED_VALUE"""),TRUE)</f>
        <v>1</v>
      </c>
      <c r="K24" s="16" t="str">
        <f>IFERROR(__xludf.DUMMYFUNCTION("""COMPUTED_VALUE"""),"Mob spell")</f>
        <v>Mob spell</v>
      </c>
      <c r="L24" s="16" t="b">
        <f>IFERROR(__xludf.DUMMYFUNCTION("""COMPUTED_VALUE"""),FALSE)</f>
        <v>0</v>
      </c>
      <c r="M24" s="16" t="b">
        <f>IFERROR(__xludf.DUMMYFUNCTION("""COMPUTED_VALUE"""),FALSE)</f>
        <v>0</v>
      </c>
      <c r="N24" s="16"/>
    </row>
    <row r="25">
      <c r="A25" s="16" t="str">
        <f>IFERROR(__xludf.DUMMYFUNCTION("""COMPUTED_VALUE"""),"Sunlight Regen")</f>
        <v>Sunlight Regen</v>
      </c>
      <c r="B25" s="120">
        <f>IFERROR(__xludf.DUMMYFUNCTION("""COMPUTED_VALUE"""),9.0)</f>
        <v>9</v>
      </c>
      <c r="C25" s="119">
        <f>IFERROR(__xludf.DUMMYFUNCTION("""COMPUTED_VALUE"""),900.0)</f>
        <v>900</v>
      </c>
      <c r="D25" s="16"/>
      <c r="E25" s="16" t="str">
        <f>IFERROR(__xludf.DUMMYFUNCTION("""COMPUTED_VALUE"""),"Turns the weather to Sunny until the end of battle, 1000hp and 1000sp to self and allies per round as long as the weather remains sunny. Negates the need for darkvision.")</f>
        <v>Turns the weather to Sunny until the end of battle, 1000hp and 1000sp to self and allies per round as long as the weather remains sunny. Negates the need for darkvision.</v>
      </c>
      <c r="F25" s="16" t="str">
        <f>IFERROR(__xludf.DUMMYFUNCTION("""COMPUTED_VALUE"""),"Will Succeed")</f>
        <v>Will Succeed</v>
      </c>
      <c r="G25" s="16" t="str">
        <f>IFERROR(__xludf.DUMMYFUNCTION("""COMPUTED_VALUE"""),"Self")</f>
        <v>Self</v>
      </c>
      <c r="H25" s="16" t="str">
        <f>IFERROR(__xludf.DUMMYFUNCTION("""COMPUTED_VALUE"""),"Astral")</f>
        <v>Astral</v>
      </c>
      <c r="I25" s="16" t="str">
        <f>IFERROR(__xludf.DUMMYFUNCTION("""COMPUTED_VALUE"""),"Player")</f>
        <v>Player</v>
      </c>
      <c r="J25" s="16" t="b">
        <f>IFERROR(__xludf.DUMMYFUNCTION("""COMPUTED_VALUE"""),TRUE)</f>
        <v>1</v>
      </c>
      <c r="K25" s="16" t="str">
        <f>IFERROR(__xludf.DUMMYFUNCTION("""COMPUTED_VALUE"""),"shop spell")</f>
        <v>shop spell</v>
      </c>
      <c r="L25" s="16" t="b">
        <f>IFERROR(__xludf.DUMMYFUNCTION("""COMPUTED_VALUE"""),FALSE)</f>
        <v>0</v>
      </c>
      <c r="M25" s="16" t="b">
        <f>IFERROR(__xludf.DUMMYFUNCTION("""COMPUTED_VALUE"""),FALSE)</f>
        <v>0</v>
      </c>
      <c r="N25" s="16"/>
    </row>
    <row r="26">
      <c r="A26" s="16" t="str">
        <f>IFERROR(__xludf.DUMMYFUNCTION("""COMPUTED_VALUE"""),"Moon Slam")</f>
        <v>Moon Slam</v>
      </c>
      <c r="B26" s="120">
        <f>IFERROR(__xludf.DUMMYFUNCTION("""COMPUTED_VALUE"""),9.0)</f>
        <v>9</v>
      </c>
      <c r="C26" s="16">
        <f>IFERROR(__xludf.DUMMYFUNCTION("""COMPUTED_VALUE"""),80000.0)</f>
        <v>80000</v>
      </c>
      <c r="D26" s="16"/>
      <c r="E26" s="16" t="str">
        <f>IFERROR(__xludf.DUMMYFUNCTION("""COMPUTED_VALUE"""),"Summon a small version of the moon and slam it into your enemies dealing 100,000 Dark damage and 100,000 Astral damage that they cannot resist or be immune to. Also gives self and allies doubled stats (can only be used once per battle)")</f>
        <v>Summon a small version of the moon and slam it into your enemies dealing 100,000 Dark damage and 100,000 Astral damage that they cannot resist or be immune to. Also gives self and allies doubled stats (can only be used once per battle)</v>
      </c>
      <c r="F26" s="16" t="str">
        <f>IFERROR(__xludf.DUMMYFUNCTION("""COMPUTED_VALUE"""),"Cannot Avoid")</f>
        <v>Cannot Avoid</v>
      </c>
      <c r="G26" s="16" t="str">
        <f>IFERROR(__xludf.DUMMYFUNCTION("""COMPUTED_VALUE"""),"All")</f>
        <v>All</v>
      </c>
      <c r="H26" s="16" t="str">
        <f>IFERROR(__xludf.DUMMYFUNCTION("""COMPUTED_VALUE"""),"Astral")</f>
        <v>Astral</v>
      </c>
      <c r="I26" s="16" t="str">
        <f>IFERROR(__xludf.DUMMYFUNCTION("""COMPUTED_VALUE"""),"Mob")</f>
        <v>Mob</v>
      </c>
      <c r="J26" s="16" t="b">
        <f>IFERROR(__xludf.DUMMYFUNCTION("""COMPUTED_VALUE"""),TRUE)</f>
        <v>1</v>
      </c>
      <c r="K26" s="16" t="str">
        <f>IFERROR(__xludf.DUMMYFUNCTION("""COMPUTED_VALUE"""),"mob power")</f>
        <v>mob power</v>
      </c>
      <c r="L26" s="16" t="b">
        <f>IFERROR(__xludf.DUMMYFUNCTION("""COMPUTED_VALUE"""),FALSE)</f>
        <v>0</v>
      </c>
      <c r="M26" s="16" t="b">
        <f>IFERROR(__xludf.DUMMYFUNCTION("""COMPUTED_VALUE"""),TRUE)</f>
        <v>1</v>
      </c>
      <c r="N26" s="16"/>
    </row>
    <row r="27">
      <c r="A27" s="16" t="str">
        <f>IFERROR(__xludf.DUMMYFUNCTION("""COMPUTED_VALUE"""),"Moon Beam")</f>
        <v>Moon Beam</v>
      </c>
      <c r="B27" s="120">
        <f>IFERROR(__xludf.DUMMYFUNCTION("""COMPUTED_VALUE"""),9.0)</f>
        <v>9</v>
      </c>
      <c r="C27" s="16">
        <f>IFERROR(__xludf.DUMMYFUNCTION("""COMPUTED_VALUE"""),200.0)</f>
        <v>200</v>
      </c>
      <c r="D27" s="16"/>
      <c r="E27" s="16" t="str">
        <f>IFERROR(__xludf.DUMMYFUNCTION("""COMPUTED_VALUE"""),"Deals 10,000 Dark and 10,000 astral damage that enemies cannot resist or be immune to. However if the enemy is undead instead stuns them for 3 rounds.")</f>
        <v>Deals 10,000 Dark and 10,000 astral damage that enemies cannot resist or be immune to. However if the enemy is undead instead stuns them for 3 rounds.</v>
      </c>
      <c r="F27" s="16" t="str">
        <f>IFERROR(__xludf.DUMMYFUNCTION("""COMPUTED_VALUE"""),"Hit/Miss")</f>
        <v>Hit/Miss</v>
      </c>
      <c r="G27" s="16">
        <f>IFERROR(__xludf.DUMMYFUNCTION("""COMPUTED_VALUE"""),1.0)</f>
        <v>1</v>
      </c>
      <c r="H27" s="16" t="str">
        <f>IFERROR(__xludf.DUMMYFUNCTION("""COMPUTED_VALUE"""),"Astral")</f>
        <v>Astral</v>
      </c>
      <c r="I27" s="16" t="str">
        <f>IFERROR(__xludf.DUMMYFUNCTION("""COMPUTED_VALUE"""),"Player")</f>
        <v>Player</v>
      </c>
      <c r="J27" s="16" t="b">
        <f>IFERROR(__xludf.DUMMYFUNCTION("""COMPUTED_VALUE"""),FALSE)</f>
        <v>0</v>
      </c>
      <c r="K27" s="16"/>
      <c r="L27" s="16" t="b">
        <f>IFERROR(__xludf.DUMMYFUNCTION("""COMPUTED_VALUE"""),FALSE)</f>
        <v>0</v>
      </c>
      <c r="M27" s="16" t="b">
        <f>IFERROR(__xludf.DUMMYFUNCTION("""COMPUTED_VALUE"""),FALSE)</f>
        <v>0</v>
      </c>
      <c r="N27" s="16"/>
    </row>
    <row r="28">
      <c r="A28" s="16" t="str">
        <f>IFERROR(__xludf.DUMMYFUNCTION("""COMPUTED_VALUE"""),"Moonlight")</f>
        <v>Moonlight</v>
      </c>
      <c r="B28" s="120">
        <f>IFERROR(__xludf.DUMMYFUNCTION("""COMPUTED_VALUE"""),7.0)</f>
        <v>7</v>
      </c>
      <c r="C28" s="16">
        <f>IFERROR(__xludf.DUMMYFUNCTION("""COMPUTED_VALUE"""),250.0)</f>
        <v>250</v>
      </c>
      <c r="D28" s="16"/>
      <c r="E28" s="16" t="str">
        <f>IFERROR(__xludf.DUMMYFUNCTION("""COMPUTED_VALUE"""),"Bathes the field in moonlight causing all astral and dark damage to be increased by X2 for both allies and enemies. Also causes all light and celestial damage to be halved for both allies and enemies. (nullifies all abilities that require darkness or dark"&amp;"ness related field effects) negates the need for darkvision for 3 rounds.")</f>
        <v>Bathes the field in moonlight causing all astral and dark damage to be increased by X2 for both allies and enemies. Also causes all light and celestial damage to be halved for both allies and enemies. (nullifies all abilities that require darkness or darkness related field effects) negates the need for darkvision for 3 rounds.</v>
      </c>
      <c r="F28" s="16" t="str">
        <f>IFERROR(__xludf.DUMMYFUNCTION("""COMPUTED_VALUE"""),"Fail/Succeed")</f>
        <v>Fail/Succeed</v>
      </c>
      <c r="G28" s="16" t="str">
        <f>IFERROR(__xludf.DUMMYFUNCTION("""COMPUTED_VALUE"""),"All")</f>
        <v>All</v>
      </c>
      <c r="H28" s="16" t="str">
        <f>IFERROR(__xludf.DUMMYFUNCTION("""COMPUTED_VALUE"""),"Astral")</f>
        <v>Astral</v>
      </c>
      <c r="I28" s="16" t="str">
        <f>IFERROR(__xludf.DUMMYFUNCTION("""COMPUTED_VALUE"""),"Mob")</f>
        <v>Mob</v>
      </c>
      <c r="J28" s="16" t="b">
        <f>IFERROR(__xludf.DUMMYFUNCTION("""COMPUTED_VALUE"""),TRUE)</f>
        <v>1</v>
      </c>
      <c r="K28" s="16" t="str">
        <f>IFERROR(__xludf.DUMMYFUNCTION("""COMPUTED_VALUE"""),"(Obtained From Quest)")</f>
        <v>(Obtained From Quest)</v>
      </c>
      <c r="L28" s="16" t="b">
        <f>IFERROR(__xludf.DUMMYFUNCTION("""COMPUTED_VALUE"""),FALSE)</f>
        <v>0</v>
      </c>
      <c r="M28" s="16" t="b">
        <f>IFERROR(__xludf.DUMMYFUNCTION("""COMPUTED_VALUE"""),FALSE)</f>
        <v>0</v>
      </c>
      <c r="N28" s="16"/>
    </row>
    <row r="29">
      <c r="A29" s="16" t="str">
        <f>IFERROR(__xludf.DUMMYFUNCTION("""COMPUTED_VALUE"""),"Moonlight Regen")</f>
        <v>Moonlight Regen</v>
      </c>
      <c r="B29" s="120">
        <f>IFERROR(__xludf.DUMMYFUNCTION("""COMPUTED_VALUE"""),9.0)</f>
        <v>9</v>
      </c>
      <c r="C29" s="16">
        <f>IFERROR(__xludf.DUMMYFUNCTION("""COMPUTED_VALUE"""),400.0)</f>
        <v>400</v>
      </c>
      <c r="D29" s="16"/>
      <c r="E29" s="16" t="str">
        <f>IFERROR(__xludf.DUMMYFUNCTION("""COMPUTED_VALUE"""),"If the field is bathed in moonlight, 1000hp and 1000sp to self and allies per round until the end of the battle. negates the need for darkvision for 3 rounds.")</f>
        <v>If the field is bathed in moonlight, 1000hp and 1000sp to self and allies per round until the end of the battle. negates the need for darkvision for 3 rounds.</v>
      </c>
      <c r="F29" s="16" t="str">
        <f>IFERROR(__xludf.DUMMYFUNCTION("""COMPUTED_VALUE"""),"Fail/Succeed")</f>
        <v>Fail/Succeed</v>
      </c>
      <c r="G29" s="16" t="str">
        <f>IFERROR(__xludf.DUMMYFUNCTION("""COMPUTED_VALUE"""),"All")</f>
        <v>All</v>
      </c>
      <c r="H29" s="16" t="str">
        <f>IFERROR(__xludf.DUMMYFUNCTION("""COMPUTED_VALUE"""),"Astral")</f>
        <v>Astral</v>
      </c>
      <c r="I29" s="16" t="str">
        <f>IFERROR(__xludf.DUMMYFUNCTION("""COMPUTED_VALUE"""),"Player")</f>
        <v>Player</v>
      </c>
      <c r="J29" s="16" t="b">
        <f>IFERROR(__xludf.DUMMYFUNCTION("""COMPUTED_VALUE"""),FALSE)</f>
        <v>0</v>
      </c>
      <c r="K29" s="16"/>
      <c r="L29" s="16" t="b">
        <f>IFERROR(__xludf.DUMMYFUNCTION("""COMPUTED_VALUE"""),FALSE)</f>
        <v>0</v>
      </c>
      <c r="M29" s="16" t="b">
        <f>IFERROR(__xludf.DUMMYFUNCTION("""COMPUTED_VALUE"""),FALSE)</f>
        <v>0</v>
      </c>
      <c r="N29" s="16"/>
    </row>
    <row r="30">
      <c r="A30" s="16" t="str">
        <f>IFERROR(__xludf.DUMMYFUNCTION("""COMPUTED_VALUE"""),"Sun Slam")</f>
        <v>Sun Slam</v>
      </c>
      <c r="B30" s="120">
        <f>IFERROR(__xludf.DUMMYFUNCTION("""COMPUTED_VALUE"""),9.0)</f>
        <v>9</v>
      </c>
      <c r="C30" s="16">
        <f>IFERROR(__xludf.DUMMYFUNCTION("""COMPUTED_VALUE"""),80000.0)</f>
        <v>80000</v>
      </c>
      <c r="D30" s="16"/>
      <c r="E30" s="16" t="str">
        <f>IFERROR(__xludf.DUMMYFUNCTION("""COMPUTED_VALUE"""),"Summon a smaller version of the sun and slam it into your enemies dealing 100,000 Light damage and 100,000 Astral damage that they cannot resist or be immune to, also gives self and allies doubled stats (can only be used once per battle) negates the need "&amp;"for darkvision for 3 rounds.")</f>
        <v>Summon a smaller version of the sun and slam it into your enemies dealing 100,000 Light damage and 100,000 Astral damage that they cannot resist or be immune to, also gives self and allies doubled stats (can only be used once per battle) negates the need for darkvision for 3 rounds.</v>
      </c>
      <c r="F30" s="16" t="str">
        <f>IFERROR(__xludf.DUMMYFUNCTION("""COMPUTED_VALUE"""),"Cannot Avoid")</f>
        <v>Cannot Avoid</v>
      </c>
      <c r="G30" s="16" t="str">
        <f>IFERROR(__xludf.DUMMYFUNCTION("""COMPUTED_VALUE"""),"All")</f>
        <v>All</v>
      </c>
      <c r="H30" s="16" t="str">
        <f>IFERROR(__xludf.DUMMYFUNCTION("""COMPUTED_VALUE"""),"Astral")</f>
        <v>Astral</v>
      </c>
      <c r="I30" s="16" t="str">
        <f>IFERROR(__xludf.DUMMYFUNCTION("""COMPUTED_VALUE"""),"Mob")</f>
        <v>Mob</v>
      </c>
      <c r="J30" s="16" t="b">
        <f>IFERROR(__xludf.DUMMYFUNCTION("""COMPUTED_VALUE"""),TRUE)</f>
        <v>1</v>
      </c>
      <c r="K30" s="16" t="str">
        <f>IFERROR(__xludf.DUMMYFUNCTION("""COMPUTED_VALUE"""),"mob power")</f>
        <v>mob power</v>
      </c>
      <c r="L30" s="16" t="b">
        <f>IFERROR(__xludf.DUMMYFUNCTION("""COMPUTED_VALUE"""),FALSE)</f>
        <v>0</v>
      </c>
      <c r="M30" s="16" t="b">
        <f>IFERROR(__xludf.DUMMYFUNCTION("""COMPUTED_VALUE"""),TRUE)</f>
        <v>1</v>
      </c>
      <c r="N30" s="16"/>
    </row>
    <row r="31">
      <c r="A31" s="16" t="str">
        <f>IFERROR(__xludf.DUMMYFUNCTION("""COMPUTED_VALUE"""),"Solar Eclipse")</f>
        <v>Solar Eclipse</v>
      </c>
      <c r="B31" s="120">
        <f>IFERROR(__xludf.DUMMYFUNCTION("""COMPUTED_VALUE"""),9.0)</f>
        <v>9</v>
      </c>
      <c r="C31" s="119">
        <f>IFERROR(__xludf.DUMMYFUNCTION("""COMPUTED_VALUE"""),600000.0)</f>
        <v>600000</v>
      </c>
      <c r="D31" s="16"/>
      <c r="E31" s="16" t="str">
        <f>IFERROR(__xludf.DUMMYFUNCTION("""COMPUTED_VALUE"""),"Upon the arena being bathed by the contradictory forces of sun and moon unleash the power of Bahaumut upon your unsuspecting foes dealing 500,000 light, 500,000 dark. 500,000 astral damage. Enemies cannot resist or be immune to this damage. Also causes th"&amp;"e entire battle field to be darkened causing all creatures without darkvision to be blinded until the end of battle.")</f>
        <v>Upon the arena being bathed by the contradictory forces of sun and moon unleash the power of Bahaumut upon your unsuspecting foes dealing 500,000 light, 500,000 dark. 500,000 astral damage. Enemies cannot resist or be immune to this damage. Also causes the entire battle field to be darkened causing all creatures without darkvision to be blinded until the end of battle.</v>
      </c>
      <c r="F31" s="16" t="str">
        <f>IFERROR(__xludf.DUMMYFUNCTION("""COMPUTED_VALUE"""),"Cannot Avoid")</f>
        <v>Cannot Avoid</v>
      </c>
      <c r="G31" s="16"/>
      <c r="H31" s="16" t="str">
        <f>IFERROR(__xludf.DUMMYFUNCTION("""COMPUTED_VALUE"""),"Astral")</f>
        <v>Astral</v>
      </c>
      <c r="I31" s="16" t="str">
        <f>IFERROR(__xludf.DUMMYFUNCTION("""COMPUTED_VALUE"""),"Mob")</f>
        <v>Mob</v>
      </c>
      <c r="J31" s="16" t="b">
        <f>IFERROR(__xludf.DUMMYFUNCTION("""COMPUTED_VALUE"""),TRUE)</f>
        <v>1</v>
      </c>
      <c r="K31" s="16" t="str">
        <f>IFERROR(__xludf.DUMMYFUNCTION("""COMPUTED_VALUE"""),"mob power")</f>
        <v>mob power</v>
      </c>
      <c r="L31" s="16" t="b">
        <f>IFERROR(__xludf.DUMMYFUNCTION("""COMPUTED_VALUE"""),FALSE)</f>
        <v>0</v>
      </c>
      <c r="M31" s="16" t="b">
        <f>IFERROR(__xludf.DUMMYFUNCTION("""COMPUTED_VALUE"""),TRUE)</f>
        <v>1</v>
      </c>
      <c r="N31" s="16"/>
    </row>
    <row r="32">
      <c r="A32" s="16" t="str">
        <f>IFERROR(__xludf.DUMMYFUNCTION("""COMPUTED_VALUE"""),"A Worthy Sacrifice")</f>
        <v>A Worthy Sacrifice</v>
      </c>
      <c r="B32" s="120">
        <f>IFERROR(__xludf.DUMMYFUNCTION("""COMPUTED_VALUE"""),9.0)</f>
        <v>9</v>
      </c>
      <c r="C32" s="16"/>
      <c r="D32" s="16" t="str">
        <f>IFERROR(__xludf.DUMMYFUNCTION("""COMPUTED_VALUE"""),"All")</f>
        <v>All</v>
      </c>
      <c r="E32" s="16" t="str">
        <f>IFERROR(__xludf.DUMMYFUNCTION("""COMPUTED_VALUE"""),"Revive all allies by completely depleting your own hp, Cannot resist or be immune to.")</f>
        <v>Revive all allies by completely depleting your own hp, Cannot resist or be immune to.</v>
      </c>
      <c r="F32" s="16" t="str">
        <f>IFERROR(__xludf.DUMMYFUNCTION("""COMPUTED_VALUE"""),"Will Succeed")</f>
        <v>Will Succeed</v>
      </c>
      <c r="G32" s="16"/>
      <c r="H32" s="16" t="str">
        <f>IFERROR(__xludf.DUMMYFUNCTION("""COMPUTED_VALUE"""),"Blood")</f>
        <v>Blood</v>
      </c>
      <c r="I32" s="16" t="str">
        <f>IFERROR(__xludf.DUMMYFUNCTION("""COMPUTED_VALUE"""),"Player")</f>
        <v>Player</v>
      </c>
      <c r="J32" s="16" t="b">
        <f>IFERROR(__xludf.DUMMYFUNCTION("""COMPUTED_VALUE"""),FALSE)</f>
        <v>0</v>
      </c>
      <c r="K32" s="16"/>
      <c r="L32" s="16" t="b">
        <f>IFERROR(__xludf.DUMMYFUNCTION("""COMPUTED_VALUE"""),TRUE)</f>
        <v>1</v>
      </c>
      <c r="M32" s="16" t="b">
        <f>IFERROR(__xludf.DUMMYFUNCTION("""COMPUTED_VALUE"""),FALSE)</f>
        <v>0</v>
      </c>
      <c r="N32" s="16"/>
    </row>
    <row r="33">
      <c r="A33" s="16" t="str">
        <f>IFERROR(__xludf.DUMMYFUNCTION("""COMPUTED_VALUE"""),"Absorbing Blood")</f>
        <v>Absorbing Blood</v>
      </c>
      <c r="B33" s="120">
        <f>IFERROR(__xludf.DUMMYFUNCTION("""COMPUTED_VALUE"""),9.0)</f>
        <v>9</v>
      </c>
      <c r="C33" s="16"/>
      <c r="D33" s="16">
        <f>IFERROR(__xludf.DUMMYFUNCTION("""COMPUTED_VALUE"""),300.0)</f>
        <v>300</v>
      </c>
      <c r="E33" s="16" t="str">
        <f>IFERROR(__xludf.DUMMYFUNCTION("""COMPUTED_VALUE"""),"Deal 20000 Blood damage to one target. If the target is killed, user is healed by target’s Max HP*2.
If the enemy is killed, skip loot roll.")</f>
        <v>Deal 20000 Blood damage to one target. If the target is killed, user is healed by target’s Max HP*2.
If the enemy is killed, skip loot roll.</v>
      </c>
      <c r="F33" s="16" t="str">
        <f>IFERROR(__xludf.DUMMYFUNCTION("""COMPUTED_VALUE"""),"Hit/Miss")</f>
        <v>Hit/Miss</v>
      </c>
      <c r="G33" s="16">
        <f>IFERROR(__xludf.DUMMYFUNCTION("""COMPUTED_VALUE"""),1.0)</f>
        <v>1</v>
      </c>
      <c r="H33" s="16" t="str">
        <f>IFERROR(__xludf.DUMMYFUNCTION("""COMPUTED_VALUE"""),"Blood")</f>
        <v>Blood</v>
      </c>
      <c r="I33" s="16" t="str">
        <f>IFERROR(__xludf.DUMMYFUNCTION("""COMPUTED_VALUE"""),"Player")</f>
        <v>Player</v>
      </c>
      <c r="J33" s="16" t="b">
        <f>IFERROR(__xludf.DUMMYFUNCTION("""COMPUTED_VALUE"""),FALSE)</f>
        <v>0</v>
      </c>
      <c r="K33" s="16"/>
      <c r="L33" s="16" t="b">
        <f>IFERROR(__xludf.DUMMYFUNCTION("""COMPUTED_VALUE"""),TRUE)</f>
        <v>1</v>
      </c>
      <c r="M33" s="16" t="b">
        <f>IFERROR(__xludf.DUMMYFUNCTION("""COMPUTED_VALUE"""),FALSE)</f>
        <v>0</v>
      </c>
      <c r="N33" s="16"/>
    </row>
    <row r="34">
      <c r="A34" s="16" t="str">
        <f>IFERROR(__xludf.DUMMYFUNCTION("""COMPUTED_VALUE"""),"Bleeding Catastrophe")</f>
        <v>Bleeding Catastrophe</v>
      </c>
      <c r="B34" s="120">
        <f>IFERROR(__xludf.DUMMYFUNCTION("""COMPUTED_VALUE"""),9.0)</f>
        <v>9</v>
      </c>
      <c r="C34" s="16"/>
      <c r="D34" s="16">
        <f>IFERROR(__xludf.DUMMYFUNCTION("""COMPUTED_VALUE"""),300.0)</f>
        <v>300</v>
      </c>
      <c r="E34" s="16" t="str">
        <f>IFERROR(__xludf.DUMMYFUNCTION("""COMPUTED_VALUE"""),"An equipped weapon will deal an additional X2 bleeding damage per round for 3 rounds.")</f>
        <v>An equipped weapon will deal an additional X2 bleeding damage per round for 3 rounds.</v>
      </c>
      <c r="F34" s="16" t="str">
        <f>IFERROR(__xludf.DUMMYFUNCTION("""COMPUTED_VALUE"""),"Will Succeed")</f>
        <v>Will Succeed</v>
      </c>
      <c r="G34" s="16"/>
      <c r="H34" s="16" t="str">
        <f>IFERROR(__xludf.DUMMYFUNCTION("""COMPUTED_VALUE"""),"Blood")</f>
        <v>Blood</v>
      </c>
      <c r="I34" s="16" t="str">
        <f>IFERROR(__xludf.DUMMYFUNCTION("""COMPUTED_VALUE"""),"Player")</f>
        <v>Player</v>
      </c>
      <c r="J34" s="16" t="b">
        <f>IFERROR(__xludf.DUMMYFUNCTION("""COMPUTED_VALUE"""),FALSE)</f>
        <v>0</v>
      </c>
      <c r="K34" s="16"/>
      <c r="L34" s="16" t="b">
        <f>IFERROR(__xludf.DUMMYFUNCTION("""COMPUTED_VALUE"""),TRUE)</f>
        <v>1</v>
      </c>
      <c r="M34" s="16" t="b">
        <f>IFERROR(__xludf.DUMMYFUNCTION("""COMPUTED_VALUE"""),FALSE)</f>
        <v>0</v>
      </c>
      <c r="N34" s="16"/>
    </row>
    <row r="35">
      <c r="A35" s="16" t="str">
        <f>IFERROR(__xludf.DUMMYFUNCTION("""COMPUTED_VALUE"""),"Blood Barrage")</f>
        <v>Blood Barrage</v>
      </c>
      <c r="B35" s="120">
        <f>IFERROR(__xludf.DUMMYFUNCTION("""COMPUTED_VALUE"""),6.0)</f>
        <v>6</v>
      </c>
      <c r="C35" s="16"/>
      <c r="D35" s="16" t="str">
        <f>IFERROR(__xludf.DUMMYFUNCTION("""COMPUTED_VALUE"""),"1d20*10")</f>
        <v>1d20*10</v>
      </c>
      <c r="E35" s="16" t="str">
        <f>IFERROR(__xludf.DUMMYFUNCTION("""COMPUTED_VALUE"""),"Drains 1d20*1000 HP.")</f>
        <v>Drains 1d20*1000 HP.</v>
      </c>
      <c r="F35" s="16" t="str">
        <f>IFERROR(__xludf.DUMMYFUNCTION("""COMPUTED_VALUE"""),"Hit/Miss")</f>
        <v>Hit/Miss</v>
      </c>
      <c r="G35" s="16">
        <f>IFERROR(__xludf.DUMMYFUNCTION("""COMPUTED_VALUE"""),1.0)</f>
        <v>1</v>
      </c>
      <c r="H35" s="16" t="str">
        <f>IFERROR(__xludf.DUMMYFUNCTION("""COMPUTED_VALUE"""),"Blood")</f>
        <v>Blood</v>
      </c>
      <c r="I35" s="16" t="str">
        <f>IFERROR(__xludf.DUMMYFUNCTION("""COMPUTED_VALUE"""),"Player")</f>
        <v>Player</v>
      </c>
      <c r="J35" s="16" t="b">
        <f>IFERROR(__xludf.DUMMYFUNCTION("""COMPUTED_VALUE"""),FALSE)</f>
        <v>0</v>
      </c>
      <c r="K35" s="16"/>
      <c r="L35" s="16" t="b">
        <f>IFERROR(__xludf.DUMMYFUNCTION("""COMPUTED_VALUE"""),TRUE)</f>
        <v>1</v>
      </c>
      <c r="M35" s="16" t="b">
        <f>IFERROR(__xludf.DUMMYFUNCTION("""COMPUTED_VALUE"""),FALSE)</f>
        <v>0</v>
      </c>
      <c r="N35" s="16"/>
    </row>
    <row r="36">
      <c r="A36" s="16" t="str">
        <f>IFERROR(__xludf.DUMMYFUNCTION("""COMPUTED_VALUE"""),"Blood Fire")</f>
        <v>Blood Fire</v>
      </c>
      <c r="B36" s="120">
        <f>IFERROR(__xludf.DUMMYFUNCTION("""COMPUTED_VALUE"""),5.0)</f>
        <v>5</v>
      </c>
      <c r="C36" s="16"/>
      <c r="D36" s="16" t="str">
        <f>IFERROR(__xludf.DUMMYFUNCTION("""COMPUTED_VALUE"""),"X")</f>
        <v>X</v>
      </c>
      <c r="E36" s="16" t="str">
        <f>IFERROR(__xludf.DUMMYFUNCTION("""COMPUTED_VALUE"""),"X*50 Blood and X*50 Fire Damage where X is equal to HP spent.")</f>
        <v>X*50 Blood and X*50 Fire Damage where X is equal to HP spent.</v>
      </c>
      <c r="F36" s="16" t="str">
        <f>IFERROR(__xludf.DUMMYFUNCTION("""COMPUTED_VALUE"""),"Hit/Miss")</f>
        <v>Hit/Miss</v>
      </c>
      <c r="G36" s="16">
        <f>IFERROR(__xludf.DUMMYFUNCTION("""COMPUTED_VALUE"""),1.0)</f>
        <v>1</v>
      </c>
      <c r="H36" s="16" t="str">
        <f>IFERROR(__xludf.DUMMYFUNCTION("""COMPUTED_VALUE"""),"Blood")</f>
        <v>Blood</v>
      </c>
      <c r="I36" s="16" t="str">
        <f>IFERROR(__xludf.DUMMYFUNCTION("""COMPUTED_VALUE"""),"Player")</f>
        <v>Player</v>
      </c>
      <c r="J36" s="16" t="b">
        <f>IFERROR(__xludf.DUMMYFUNCTION("""COMPUTED_VALUE"""),FALSE)</f>
        <v>0</v>
      </c>
      <c r="K36" s="16"/>
      <c r="L36" s="16" t="b">
        <f>IFERROR(__xludf.DUMMYFUNCTION("""COMPUTED_VALUE"""),TRUE)</f>
        <v>1</v>
      </c>
      <c r="M36" s="16" t="b">
        <f>IFERROR(__xludf.DUMMYFUNCTION("""COMPUTED_VALUE"""),FALSE)</f>
        <v>0</v>
      </c>
      <c r="N36" s="16"/>
    </row>
    <row r="37">
      <c r="A37" s="16" t="str">
        <f>IFERROR(__xludf.DUMMYFUNCTION("""COMPUTED_VALUE"""),"Blood Geyser")</f>
        <v>Blood Geyser</v>
      </c>
      <c r="B37" s="120">
        <f>IFERROR(__xludf.DUMMYFUNCTION("""COMPUTED_VALUE"""),7.0)</f>
        <v>7</v>
      </c>
      <c r="C37" s="16"/>
      <c r="D37" s="16">
        <f>IFERROR(__xludf.DUMMYFUNCTION("""COMPUTED_VALUE"""),600.0)</f>
        <v>600</v>
      </c>
      <c r="E37" s="16" t="str">
        <f>IFERROR(__xludf.DUMMYFUNCTION("""COMPUTED_VALUE"""),"Drain 8000 HP from all enemies, if a target is defeated by this power Drain an additional 8000 HP from those targets.")</f>
        <v>Drain 8000 HP from all enemies, if a target is defeated by this power Drain an additional 8000 HP from those targets.</v>
      </c>
      <c r="F37" s="16" t="str">
        <f>IFERROR(__xludf.DUMMYFUNCTION("""COMPUTED_VALUE"""),"Cannot Avoid")</f>
        <v>Cannot Avoid</v>
      </c>
      <c r="G37" s="16"/>
      <c r="H37" s="16" t="str">
        <f>IFERROR(__xludf.DUMMYFUNCTION("""COMPUTED_VALUE"""),"Blood")</f>
        <v>Blood</v>
      </c>
      <c r="I37" s="16" t="str">
        <f>IFERROR(__xludf.DUMMYFUNCTION("""COMPUTED_VALUE"""),"Player")</f>
        <v>Player</v>
      </c>
      <c r="J37" s="16" t="b">
        <f>IFERROR(__xludf.DUMMYFUNCTION("""COMPUTED_VALUE"""),FALSE)</f>
        <v>0</v>
      </c>
      <c r="K37" s="16"/>
      <c r="L37" s="16" t="b">
        <f>IFERROR(__xludf.DUMMYFUNCTION("""COMPUTED_VALUE"""),TRUE)</f>
        <v>1</v>
      </c>
      <c r="M37" s="16" t="b">
        <f>IFERROR(__xludf.DUMMYFUNCTION("""COMPUTED_VALUE"""),FALSE)</f>
        <v>0</v>
      </c>
      <c r="N37" s="16"/>
    </row>
    <row r="38">
      <c r="A38" s="16" t="str">
        <f>IFERROR(__xludf.DUMMYFUNCTION("""COMPUTED_VALUE"""),"Blood Rejuvenation")</f>
        <v>Blood Rejuvenation</v>
      </c>
      <c r="B38" s="120">
        <f>IFERROR(__xludf.DUMMYFUNCTION("""COMPUTED_VALUE"""),5.0)</f>
        <v>5</v>
      </c>
      <c r="C38" s="16"/>
      <c r="D38" s="16" t="str">
        <f>IFERROR(__xludf.DUMMYFUNCTION("""COMPUTED_VALUE"""),"X")</f>
        <v>X</v>
      </c>
      <c r="E38" s="16" t="str">
        <f>IFERROR(__xludf.DUMMYFUNCTION("""COMPUTED_VALUE"""),"Restores X*50 HP to target for 3 rounds. Cannot be used on self")</f>
        <v>Restores X*50 HP to target for 3 rounds. Cannot be used on self</v>
      </c>
      <c r="F38" s="16" t="str">
        <f>IFERROR(__xludf.DUMMYFUNCTION("""COMPUTED_VALUE"""),"Fail/Succeed")</f>
        <v>Fail/Succeed</v>
      </c>
      <c r="G38" s="16"/>
      <c r="H38" s="16" t="str">
        <f>IFERROR(__xludf.DUMMYFUNCTION("""COMPUTED_VALUE"""),"Blood")</f>
        <v>Blood</v>
      </c>
      <c r="I38" s="16" t="str">
        <f>IFERROR(__xludf.DUMMYFUNCTION("""COMPUTED_VALUE"""),"Player")</f>
        <v>Player</v>
      </c>
      <c r="J38" s="16" t="b">
        <f>IFERROR(__xludf.DUMMYFUNCTION("""COMPUTED_VALUE"""),FALSE)</f>
        <v>0</v>
      </c>
      <c r="K38" s="16"/>
      <c r="L38" s="16" t="b">
        <f>IFERROR(__xludf.DUMMYFUNCTION("""COMPUTED_VALUE"""),TRUE)</f>
        <v>1</v>
      </c>
      <c r="M38" s="16" t="b">
        <f>IFERROR(__xludf.DUMMYFUNCTION("""COMPUTED_VALUE"""),FALSE)</f>
        <v>0</v>
      </c>
      <c r="N38" s="16"/>
    </row>
    <row r="39">
      <c r="A39" s="16" t="str">
        <f>IFERROR(__xludf.DUMMYFUNCTION("""COMPUTED_VALUE"""),"Blood Siphon")</f>
        <v>Blood Siphon</v>
      </c>
      <c r="B39" s="120">
        <f>IFERROR(__xludf.DUMMYFUNCTION("""COMPUTED_VALUE"""),5.0)</f>
        <v>5</v>
      </c>
      <c r="C39" s="16"/>
      <c r="D39" s="16" t="str">
        <f>IFERROR(__xludf.DUMMYFUNCTION("""COMPUTED_VALUE"""),"X")</f>
        <v>X</v>
      </c>
      <c r="E39" s="16" t="str">
        <f>IFERROR(__xludf.DUMMYFUNCTION("""COMPUTED_VALUE"""),"Drain X*100 HP from target where X is equal to HP spent.")</f>
        <v>Drain X*100 HP from target where X is equal to HP spent.</v>
      </c>
      <c r="F39" s="16" t="str">
        <f>IFERROR(__xludf.DUMMYFUNCTION("""COMPUTED_VALUE"""),"Hit/Miss")</f>
        <v>Hit/Miss</v>
      </c>
      <c r="G39" s="16"/>
      <c r="H39" s="16" t="str">
        <f>IFERROR(__xludf.DUMMYFUNCTION("""COMPUTED_VALUE"""),"Blood")</f>
        <v>Blood</v>
      </c>
      <c r="I39" s="16" t="str">
        <f>IFERROR(__xludf.DUMMYFUNCTION("""COMPUTED_VALUE"""),"Player")</f>
        <v>Player</v>
      </c>
      <c r="J39" s="16" t="b">
        <f>IFERROR(__xludf.DUMMYFUNCTION("""COMPUTED_VALUE"""),FALSE)</f>
        <v>0</v>
      </c>
      <c r="K39" s="16"/>
      <c r="L39" s="16" t="b">
        <f>IFERROR(__xludf.DUMMYFUNCTION("""COMPUTED_VALUE"""),TRUE)</f>
        <v>1</v>
      </c>
      <c r="M39" s="16" t="b">
        <f>IFERROR(__xludf.DUMMYFUNCTION("""COMPUTED_VALUE"""),FALSE)</f>
        <v>0</v>
      </c>
      <c r="N39" s="16"/>
    </row>
    <row r="40">
      <c r="A40" s="16" t="str">
        <f>IFERROR(__xludf.DUMMYFUNCTION("""COMPUTED_VALUE"""),"Blood Transfusion")</f>
        <v>Blood Transfusion</v>
      </c>
      <c r="B40" s="120">
        <f>IFERROR(__xludf.DUMMYFUNCTION("""COMPUTED_VALUE"""),4.0)</f>
        <v>4</v>
      </c>
      <c r="C40" s="16"/>
      <c r="D40" s="16" t="str">
        <f>IFERROR(__xludf.DUMMYFUNCTION("""COMPUTED_VALUE"""),"d100")</f>
        <v>d100</v>
      </c>
      <c r="E40" s="16" t="str">
        <f>IFERROR(__xludf.DUMMYFUNCTION("""COMPUTED_VALUE"""),"Cure ally of already owned status effects. Cost is d100. If the caster has any status effects, they are transferred to the target.")</f>
        <v>Cure ally of already owned status effects. Cost is d100. If the caster has any status effects, they are transferred to the target.</v>
      </c>
      <c r="F40" s="16" t="str">
        <f>IFERROR(__xludf.DUMMYFUNCTION("""COMPUTED_VALUE"""),"Fail/Succeed")</f>
        <v>Fail/Succeed</v>
      </c>
      <c r="G40" s="16"/>
      <c r="H40" s="16" t="str">
        <f>IFERROR(__xludf.DUMMYFUNCTION("""COMPUTED_VALUE"""),"Blood")</f>
        <v>Blood</v>
      </c>
      <c r="I40" s="16" t="str">
        <f>IFERROR(__xludf.DUMMYFUNCTION("""COMPUTED_VALUE"""),"Player")</f>
        <v>Player</v>
      </c>
      <c r="J40" s="16" t="b">
        <f>IFERROR(__xludf.DUMMYFUNCTION("""COMPUTED_VALUE"""),FALSE)</f>
        <v>0</v>
      </c>
      <c r="K40" s="16"/>
      <c r="L40" s="16" t="b">
        <f>IFERROR(__xludf.DUMMYFUNCTION("""COMPUTED_VALUE"""),TRUE)</f>
        <v>1</v>
      </c>
      <c r="M40" s="16" t="b">
        <f>IFERROR(__xludf.DUMMYFUNCTION("""COMPUTED_VALUE"""),FALSE)</f>
        <v>0</v>
      </c>
      <c r="N40" s="16"/>
    </row>
    <row r="41">
      <c r="A41" s="16" t="str">
        <f>IFERROR(__xludf.DUMMYFUNCTION("""COMPUTED_VALUE"""),"Bloody Alliance")</f>
        <v>Bloody Alliance</v>
      </c>
      <c r="B41" s="120">
        <f>IFERROR(__xludf.DUMMYFUNCTION("""COMPUTED_VALUE"""),9.0)</f>
        <v>9</v>
      </c>
      <c r="C41" s="16"/>
      <c r="D41" s="16" t="str">
        <f>IFERROR(__xludf.DUMMYFUNCTION("""COMPUTED_VALUE"""),"X*1000")</f>
        <v>X*1000</v>
      </c>
      <c r="E41" s="16" t="str">
        <f>IFERROR(__xludf.DUMMYFUNCTION("""COMPUTED_VALUE"""),"Select up to 3 target's to gain SP equal to the damage you take from the next incoming attack.")</f>
        <v>Select up to 3 target's to gain SP equal to the damage you take from the next incoming attack.</v>
      </c>
      <c r="F41" s="16" t="str">
        <f>IFERROR(__xludf.DUMMYFUNCTION("""COMPUTED_VALUE"""),"Fail/Succeed")</f>
        <v>Fail/Succeed</v>
      </c>
      <c r="G41" s="16" t="str">
        <f>IFERROR(__xludf.DUMMYFUNCTION("""COMPUTED_VALUE"""),"X")</f>
        <v>X</v>
      </c>
      <c r="H41" s="16" t="str">
        <f>IFERROR(__xludf.DUMMYFUNCTION("""COMPUTED_VALUE"""),"Blood")</f>
        <v>Blood</v>
      </c>
      <c r="I41" s="16" t="str">
        <f>IFERROR(__xludf.DUMMYFUNCTION("""COMPUTED_VALUE"""),"Player")</f>
        <v>Player</v>
      </c>
      <c r="J41" s="16" t="b">
        <f>IFERROR(__xludf.DUMMYFUNCTION("""COMPUTED_VALUE"""),FALSE)</f>
        <v>0</v>
      </c>
      <c r="K41" s="16"/>
      <c r="L41" s="16" t="b">
        <f>IFERROR(__xludf.DUMMYFUNCTION("""COMPUTED_VALUE"""),TRUE)</f>
        <v>1</v>
      </c>
      <c r="M41" s="16" t="b">
        <f>IFERROR(__xludf.DUMMYFUNCTION("""COMPUTED_VALUE"""),FALSE)</f>
        <v>0</v>
      </c>
      <c r="N41" s="16"/>
    </row>
    <row r="42">
      <c r="A42" s="16" t="str">
        <f>IFERROR(__xludf.DUMMYFUNCTION("""COMPUTED_VALUE"""),"Bloody Knuckles")</f>
        <v>Bloody Knuckles</v>
      </c>
      <c r="B42" s="120">
        <f>IFERROR(__xludf.DUMMYFUNCTION("""COMPUTED_VALUE"""),4.0)</f>
        <v>4</v>
      </c>
      <c r="C42" s="16"/>
      <c r="D42" s="16">
        <f>IFERROR(__xludf.DUMMYFUNCTION("""COMPUTED_VALUE"""),40.0)</f>
        <v>40</v>
      </c>
      <c r="E42" s="16" t="str">
        <f>IFERROR(__xludf.DUMMYFUNCTION("""COMPUTED_VALUE"""),"X2 additional bleeding damage for weapons and spells.")</f>
        <v>X2 additional bleeding damage for weapons and spells.</v>
      </c>
      <c r="F42" s="16" t="str">
        <f>IFERROR(__xludf.DUMMYFUNCTION("""COMPUTED_VALUE"""),"Fail/Succeed")</f>
        <v>Fail/Succeed</v>
      </c>
      <c r="G42" s="16"/>
      <c r="H42" s="16" t="str">
        <f>IFERROR(__xludf.DUMMYFUNCTION("""COMPUTED_VALUE"""),"Blood")</f>
        <v>Blood</v>
      </c>
      <c r="I42" s="16" t="str">
        <f>IFERROR(__xludf.DUMMYFUNCTION("""COMPUTED_VALUE"""),"Player")</f>
        <v>Player</v>
      </c>
      <c r="J42" s="16" t="b">
        <f>IFERROR(__xludf.DUMMYFUNCTION("""COMPUTED_VALUE"""),FALSE)</f>
        <v>0</v>
      </c>
      <c r="K42" s="16"/>
      <c r="L42" s="16" t="b">
        <f>IFERROR(__xludf.DUMMYFUNCTION("""COMPUTED_VALUE"""),TRUE)</f>
        <v>1</v>
      </c>
      <c r="M42" s="16" t="b">
        <f>IFERROR(__xludf.DUMMYFUNCTION("""COMPUTED_VALUE"""),FALSE)</f>
        <v>0</v>
      </c>
      <c r="N42" s="16"/>
    </row>
    <row r="43">
      <c r="A43" s="16" t="str">
        <f>IFERROR(__xludf.DUMMYFUNCTION("""COMPUTED_VALUE"""),"Callous Sacrifice")</f>
        <v>Callous Sacrifice</v>
      </c>
      <c r="B43" s="120">
        <f>IFERROR(__xludf.DUMMYFUNCTION("""COMPUTED_VALUE"""),8.0)</f>
        <v>8</v>
      </c>
      <c r="C43" s="16" t="str">
        <f>IFERROR(__xludf.DUMMYFUNCTION("""COMPUTED_VALUE"""),"X*300")</f>
        <v>X*300</v>
      </c>
      <c r="D43" s="16">
        <f>IFERROR(__xludf.DUMMYFUNCTION("""COMPUTED_VALUE"""),200.0)</f>
        <v>200</v>
      </c>
      <c r="E43" s="16" t="str">
        <f>IFERROR(__xludf.DUMMYFUNCTION("""COMPUTED_VALUE"""),"Sacrifice a party member. All enemies take 6* sacrificed party member’s Max HP.")</f>
        <v>Sacrifice a party member. All enemies take 6* sacrificed party member’s Max HP.</v>
      </c>
      <c r="F43" s="16" t="str">
        <f>IFERROR(__xludf.DUMMYFUNCTION("""COMPUTED_VALUE"""),"Fail/Succeed")</f>
        <v>Fail/Succeed</v>
      </c>
      <c r="G43" s="16"/>
      <c r="H43" s="16" t="str">
        <f>IFERROR(__xludf.DUMMYFUNCTION("""COMPUTED_VALUE"""),"Blood")</f>
        <v>Blood</v>
      </c>
      <c r="I43" s="16" t="str">
        <f>IFERROR(__xludf.DUMMYFUNCTION("""COMPUTED_VALUE"""),"Player")</f>
        <v>Player</v>
      </c>
      <c r="J43" s="16" t="b">
        <f>IFERROR(__xludf.DUMMYFUNCTION("""COMPUTED_VALUE"""),FALSE)</f>
        <v>0</v>
      </c>
      <c r="K43" s="16"/>
      <c r="L43" s="16" t="b">
        <f>IFERROR(__xludf.DUMMYFUNCTION("""COMPUTED_VALUE"""),TRUE)</f>
        <v>1</v>
      </c>
      <c r="M43" s="16" t="b">
        <f>IFERROR(__xludf.DUMMYFUNCTION("""COMPUTED_VALUE"""),FALSE)</f>
        <v>0</v>
      </c>
      <c r="N43" s="16"/>
    </row>
    <row r="44">
      <c r="A44" s="16" t="str">
        <f>IFERROR(__xludf.DUMMYFUNCTION("""COMPUTED_VALUE"""),"Damage With A Cost.")</f>
        <v>Damage With A Cost.</v>
      </c>
      <c r="B44" s="120">
        <f>IFERROR(__xludf.DUMMYFUNCTION("""COMPUTED_VALUE"""),9.0)</f>
        <v>9</v>
      </c>
      <c r="C44" s="16"/>
      <c r="D44" s="16">
        <f>IFERROR(__xludf.DUMMYFUNCTION("""COMPUTED_VALUE"""),1000.0)</f>
        <v>1000</v>
      </c>
      <c r="E44" s="16" t="str">
        <f>IFERROR(__xludf.DUMMYFUNCTION("""COMPUTED_VALUE"""),"For 3 rounds enemies will take the same amount of damage you or your allies take.")</f>
        <v>For 3 rounds enemies will take the same amount of damage you or your allies take.</v>
      </c>
      <c r="F44" s="16" t="str">
        <f>IFERROR(__xludf.DUMMYFUNCTION("""COMPUTED_VALUE"""),"Fail/Succeed")</f>
        <v>Fail/Succeed</v>
      </c>
      <c r="G44" s="16"/>
      <c r="H44" s="16" t="str">
        <f>IFERROR(__xludf.DUMMYFUNCTION("""COMPUTED_VALUE"""),"Blood")</f>
        <v>Blood</v>
      </c>
      <c r="I44" s="16" t="str">
        <f>IFERROR(__xludf.DUMMYFUNCTION("""COMPUTED_VALUE"""),"Player")</f>
        <v>Player</v>
      </c>
      <c r="J44" s="16" t="b">
        <f>IFERROR(__xludf.DUMMYFUNCTION("""COMPUTED_VALUE"""),FALSE)</f>
        <v>0</v>
      </c>
      <c r="K44" s="16"/>
      <c r="L44" s="16" t="b">
        <f>IFERROR(__xludf.DUMMYFUNCTION("""COMPUTED_VALUE"""),TRUE)</f>
        <v>1</v>
      </c>
      <c r="M44" s="16" t="b">
        <f>IFERROR(__xludf.DUMMYFUNCTION("""COMPUTED_VALUE"""),FALSE)</f>
        <v>0</v>
      </c>
      <c r="N44" s="16"/>
    </row>
    <row r="45">
      <c r="A45" s="16" t="str">
        <f>IFERROR(__xludf.DUMMYFUNCTION("""COMPUTED_VALUE"""),"One For Another")</f>
        <v>One For Another</v>
      </c>
      <c r="B45" s="120">
        <f>IFERROR(__xludf.DUMMYFUNCTION("""COMPUTED_VALUE"""),6.0)</f>
        <v>6</v>
      </c>
      <c r="C45" s="16"/>
      <c r="D45" s="16" t="str">
        <f>IFERROR(__xludf.DUMMYFUNCTION("""COMPUTED_VALUE"""),"X")</f>
        <v>X</v>
      </c>
      <c r="E45" s="16" t="str">
        <f>IFERROR(__xludf.DUMMYFUNCTION("""COMPUTED_VALUE"""),"Drain all but 1HP from a party member to Drain all but 1HP from 1 enemy.")</f>
        <v>Drain all but 1HP from a party member to Drain all but 1HP from 1 enemy.</v>
      </c>
      <c r="F45" s="16" t="str">
        <f>IFERROR(__xludf.DUMMYFUNCTION("""COMPUTED_VALUE"""),"Hit/Miss")</f>
        <v>Hit/Miss</v>
      </c>
      <c r="G45" s="16">
        <f>IFERROR(__xludf.DUMMYFUNCTION("""COMPUTED_VALUE"""),1.0)</f>
        <v>1</v>
      </c>
      <c r="H45" s="16" t="str">
        <f>IFERROR(__xludf.DUMMYFUNCTION("""COMPUTED_VALUE"""),"Blood")</f>
        <v>Blood</v>
      </c>
      <c r="I45" s="16" t="str">
        <f>IFERROR(__xludf.DUMMYFUNCTION("""COMPUTED_VALUE"""),"Player")</f>
        <v>Player</v>
      </c>
      <c r="J45" s="16" t="b">
        <f>IFERROR(__xludf.DUMMYFUNCTION("""COMPUTED_VALUE"""),FALSE)</f>
        <v>0</v>
      </c>
      <c r="K45" s="16"/>
      <c r="L45" s="16" t="b">
        <f>IFERROR(__xludf.DUMMYFUNCTION("""COMPUTED_VALUE"""),TRUE)</f>
        <v>1</v>
      </c>
      <c r="M45" s="16" t="b">
        <f>IFERROR(__xludf.DUMMYFUNCTION("""COMPUTED_VALUE"""),FALSE)</f>
        <v>0</v>
      </c>
      <c r="N45" s="16"/>
    </row>
    <row r="46">
      <c r="A46" s="16" t="str">
        <f>IFERROR(__xludf.DUMMYFUNCTION("""COMPUTED_VALUE"""),"Purified Blood")</f>
        <v>Purified Blood</v>
      </c>
      <c r="B46" s="120">
        <f>IFERROR(__xludf.DUMMYFUNCTION("""COMPUTED_VALUE"""),6.0)</f>
        <v>6</v>
      </c>
      <c r="C46" s="16"/>
      <c r="D46" s="16">
        <f>IFERROR(__xludf.DUMMYFUNCTION("""COMPUTED_VALUE"""),60.0)</f>
        <v>60</v>
      </c>
      <c r="E46" s="16" t="str">
        <f>IFERROR(__xludf.DUMMYFUNCTION("""COMPUTED_VALUE"""),"Cure a target of the Bleed effect, or drain 10,000 health from an undead creature.")</f>
        <v>Cure a target of the Bleed effect, or drain 10,000 health from an undead creature.</v>
      </c>
      <c r="F46" s="16" t="str">
        <f>IFERROR(__xludf.DUMMYFUNCTION("""COMPUTED_VALUE"""),"Hit/Miss")</f>
        <v>Hit/Miss</v>
      </c>
      <c r="G46" s="16">
        <f>IFERROR(__xludf.DUMMYFUNCTION("""COMPUTED_VALUE"""),1.0)</f>
        <v>1</v>
      </c>
      <c r="H46" s="16" t="str">
        <f>IFERROR(__xludf.DUMMYFUNCTION("""COMPUTED_VALUE"""),"Blood")</f>
        <v>Blood</v>
      </c>
      <c r="I46" s="16" t="str">
        <f>IFERROR(__xludf.DUMMYFUNCTION("""COMPUTED_VALUE"""),"Player")</f>
        <v>Player</v>
      </c>
      <c r="J46" s="16" t="b">
        <f>IFERROR(__xludf.DUMMYFUNCTION("""COMPUTED_VALUE"""),FALSE)</f>
        <v>0</v>
      </c>
      <c r="K46" s="16"/>
      <c r="L46" s="16" t="b">
        <f>IFERROR(__xludf.DUMMYFUNCTION("""COMPUTED_VALUE"""),TRUE)</f>
        <v>1</v>
      </c>
      <c r="M46" s="16" t="b">
        <f>IFERROR(__xludf.DUMMYFUNCTION("""COMPUTED_VALUE"""),FALSE)</f>
        <v>0</v>
      </c>
      <c r="N46" s="16"/>
    </row>
    <row r="47">
      <c r="A47" s="16" t="str">
        <f>IFERROR(__xludf.DUMMYFUNCTION("""COMPUTED_VALUE"""),"Swallow")</f>
        <v>Swallow</v>
      </c>
      <c r="B47" s="120">
        <f>IFERROR(__xludf.DUMMYFUNCTION("""COMPUTED_VALUE"""),7.0)</f>
        <v>7</v>
      </c>
      <c r="C47" s="16"/>
      <c r="D47" s="16">
        <f>IFERROR(__xludf.DUMMYFUNCTION("""COMPUTED_VALUE"""),100.0)</f>
        <v>100</v>
      </c>
      <c r="E47" s="16" t="str">
        <f>IFERROR(__xludf.DUMMYFUNCTION("""COMPUTED_VALUE"""),"If Target’s Max HP is at least 500 &lt; Caster’s Max HP, The target is instantly vanquished.")</f>
        <v>If Target’s Max HP is at least 500 &lt; Caster’s Max HP, The target is instantly vanquished.</v>
      </c>
      <c r="F47" s="16" t="str">
        <f>IFERROR(__xludf.DUMMYFUNCTION("""COMPUTED_VALUE"""),"Fail/Succeed")</f>
        <v>Fail/Succeed</v>
      </c>
      <c r="G47" s="16">
        <f>IFERROR(__xludf.DUMMYFUNCTION("""COMPUTED_VALUE"""),1.0)</f>
        <v>1</v>
      </c>
      <c r="H47" s="16" t="str">
        <f>IFERROR(__xludf.DUMMYFUNCTION("""COMPUTED_VALUE"""),"Blood")</f>
        <v>Blood</v>
      </c>
      <c r="I47" s="16" t="str">
        <f>IFERROR(__xludf.DUMMYFUNCTION("""COMPUTED_VALUE"""),"Mob")</f>
        <v>Mob</v>
      </c>
      <c r="J47" s="16" t="b">
        <f>IFERROR(__xludf.DUMMYFUNCTION("""COMPUTED_VALUE"""),TRUE)</f>
        <v>1</v>
      </c>
      <c r="K47" s="16"/>
      <c r="L47" s="16" t="b">
        <f>IFERROR(__xludf.DUMMYFUNCTION("""COMPUTED_VALUE"""),TRUE)</f>
        <v>1</v>
      </c>
      <c r="M47" s="16" t="b">
        <f>IFERROR(__xludf.DUMMYFUNCTION("""COMPUTED_VALUE"""),FALSE)</f>
        <v>0</v>
      </c>
      <c r="N47" s="16"/>
    </row>
    <row r="48">
      <c r="A48" s="16" t="str">
        <f>IFERROR(__xludf.DUMMYFUNCTION("""COMPUTED_VALUE"""),"Tainted Blood")</f>
        <v>Tainted Blood</v>
      </c>
      <c r="B48" s="120">
        <f>IFERROR(__xludf.DUMMYFUNCTION("""COMPUTED_VALUE"""),6.0)</f>
        <v>6</v>
      </c>
      <c r="C48" s="16"/>
      <c r="D48" s="16">
        <f>IFERROR(__xludf.DUMMYFUNCTION("""COMPUTED_VALUE"""),60.0)</f>
        <v>60</v>
      </c>
      <c r="E48" s="16" t="str">
        <f>IFERROR(__xludf.DUMMYFUNCTION("""COMPUTED_VALUE"""),"Inflict Undead (Dark) for 3 rounds to 1 target.")</f>
        <v>Inflict Undead (Dark) for 3 rounds to 1 target.</v>
      </c>
      <c r="F48" s="16" t="str">
        <f>IFERROR(__xludf.DUMMYFUNCTION("""COMPUTED_VALUE"""),"Fail/Succeed")</f>
        <v>Fail/Succeed</v>
      </c>
      <c r="G48" s="16"/>
      <c r="H48" s="16" t="str">
        <f>IFERROR(__xludf.DUMMYFUNCTION("""COMPUTED_VALUE"""),"Blood")</f>
        <v>Blood</v>
      </c>
      <c r="I48" s="16" t="str">
        <f>IFERROR(__xludf.DUMMYFUNCTION("""COMPUTED_VALUE"""),"Player")</f>
        <v>Player</v>
      </c>
      <c r="J48" s="16" t="b">
        <f>IFERROR(__xludf.DUMMYFUNCTION("""COMPUTED_VALUE"""),FALSE)</f>
        <v>0</v>
      </c>
      <c r="K48" s="16"/>
      <c r="L48" s="16" t="b">
        <f>IFERROR(__xludf.DUMMYFUNCTION("""COMPUTED_VALUE"""),TRUE)</f>
        <v>1</v>
      </c>
      <c r="M48" s="16" t="b">
        <f>IFERROR(__xludf.DUMMYFUNCTION("""COMPUTED_VALUE"""),FALSE)</f>
        <v>0</v>
      </c>
      <c r="N48" s="16"/>
    </row>
    <row r="49">
      <c r="A49" s="16" t="str">
        <f>IFERROR(__xludf.DUMMYFUNCTION("""COMPUTED_VALUE"""),"Absorb Life")</f>
        <v>Absorb Life</v>
      </c>
      <c r="B49" s="120">
        <f>IFERROR(__xludf.DUMMYFUNCTION("""COMPUTED_VALUE"""),1.0)</f>
        <v>1</v>
      </c>
      <c r="C49" s="16"/>
      <c r="D49" s="16">
        <f>IFERROR(__xludf.DUMMYFUNCTION("""COMPUTED_VALUE"""),0.0)</f>
        <v>0</v>
      </c>
      <c r="E49" s="16" t="str">
        <f>IFERROR(__xludf.DUMMYFUNCTION("""COMPUTED_VALUE"""),"Drain X*2 HP from 1 target, where X is equal to your accuracy.")</f>
        <v>Drain X*2 HP from 1 target, where X is equal to your accuracy.</v>
      </c>
      <c r="F49" s="16" t="str">
        <f>IFERROR(__xludf.DUMMYFUNCTION("""COMPUTED_VALUE"""),"Natural/ Hit or Miss")</f>
        <v>Natural/ Hit or Miss</v>
      </c>
      <c r="G49" s="16">
        <f>IFERROR(__xludf.DUMMYFUNCTION("""COMPUTED_VALUE"""),1.0)</f>
        <v>1</v>
      </c>
      <c r="H49" s="16" t="str">
        <f>IFERROR(__xludf.DUMMYFUNCTION("""COMPUTED_VALUE"""),"Blood")</f>
        <v>Blood</v>
      </c>
      <c r="I49" s="16" t="str">
        <f>IFERROR(__xludf.DUMMYFUNCTION("""COMPUTED_VALUE"""),"Player")</f>
        <v>Player</v>
      </c>
      <c r="J49" s="16" t="b">
        <f>IFERROR(__xludf.DUMMYFUNCTION("""COMPUTED_VALUE"""),FALSE)</f>
        <v>0</v>
      </c>
      <c r="K49" s="16"/>
      <c r="L49" s="16" t="b">
        <f>IFERROR(__xludf.DUMMYFUNCTION("""COMPUTED_VALUE"""),FALSE)</f>
        <v>0</v>
      </c>
      <c r="M49" s="16" t="b">
        <f>IFERROR(__xludf.DUMMYFUNCTION("""COMPUTED_VALUE"""),FALSE)</f>
        <v>0</v>
      </c>
      <c r="N49" s="16"/>
    </row>
    <row r="50">
      <c r="A50" s="16" t="str">
        <f>IFERROR(__xludf.DUMMYFUNCTION("""COMPUTED_VALUE"""),"Blood Bolt")</f>
        <v>Blood Bolt</v>
      </c>
      <c r="B50" s="120">
        <f>IFERROR(__xludf.DUMMYFUNCTION("""COMPUTED_VALUE"""),1.0)</f>
        <v>1</v>
      </c>
      <c r="C50" s="16"/>
      <c r="D50" s="16" t="str">
        <f>IFERROR(__xludf.DUMMYFUNCTION("""COMPUTED_VALUE"""),"X")</f>
        <v>X</v>
      </c>
      <c r="E50" s="16" t="str">
        <f>IFERROR(__xludf.DUMMYFUNCTION("""COMPUTED_VALUE"""),"Deals X*100 Blood damage to a single enemy where X is equal to HP spent.")</f>
        <v>Deals X*100 Blood damage to a single enemy where X is equal to HP spent.</v>
      </c>
      <c r="F50" s="16" t="str">
        <f>IFERROR(__xludf.DUMMYFUNCTION("""COMPUTED_VALUE"""),"Hit/Miss")</f>
        <v>Hit/Miss</v>
      </c>
      <c r="G50" s="16">
        <f>IFERROR(__xludf.DUMMYFUNCTION("""COMPUTED_VALUE"""),1.0)</f>
        <v>1</v>
      </c>
      <c r="H50" s="16" t="str">
        <f>IFERROR(__xludf.DUMMYFUNCTION("""COMPUTED_VALUE"""),"Blood")</f>
        <v>Blood</v>
      </c>
      <c r="I50" s="16" t="str">
        <f>IFERROR(__xludf.DUMMYFUNCTION("""COMPUTED_VALUE"""),"Player")</f>
        <v>Player</v>
      </c>
      <c r="J50" s="16" t="b">
        <f>IFERROR(__xludf.DUMMYFUNCTION("""COMPUTED_VALUE"""),FALSE)</f>
        <v>0</v>
      </c>
      <c r="K50" s="16"/>
      <c r="L50" s="16" t="b">
        <f>IFERROR(__xludf.DUMMYFUNCTION("""COMPUTED_VALUE"""),FALSE)</f>
        <v>0</v>
      </c>
      <c r="M50" s="16" t="b">
        <f>IFERROR(__xludf.DUMMYFUNCTION("""COMPUTED_VALUE"""),FALSE)</f>
        <v>0</v>
      </c>
      <c r="N50" s="16"/>
    </row>
    <row r="51">
      <c r="A51" s="16" t="str">
        <f>IFERROR(__xludf.DUMMYFUNCTION("""COMPUTED_VALUE"""),"Atrophy")</f>
        <v>Atrophy</v>
      </c>
      <c r="B51" s="120">
        <f>IFERROR(__xludf.DUMMYFUNCTION("""COMPUTED_VALUE"""),5.0)</f>
        <v>5</v>
      </c>
      <c r="C51" s="16"/>
      <c r="D51" s="16" t="str">
        <f>IFERROR(__xludf.DUMMYFUNCTION("""COMPUTED_VALUE"""),"X")</f>
        <v>X</v>
      </c>
      <c r="E51" s="16" t="str">
        <f>IFERROR(__xludf.DUMMYFUNCTION("""COMPUTED_VALUE"""),"Deals X*50 Bleed for 3 rounds to a single target where X is equal to HP spent.")</f>
        <v>Deals X*50 Bleed for 3 rounds to a single target where X is equal to HP spent.</v>
      </c>
      <c r="F51" s="16" t="str">
        <f>IFERROR(__xludf.DUMMYFUNCTION("""COMPUTED_VALUE"""),"Hit/Miss")</f>
        <v>Hit/Miss</v>
      </c>
      <c r="G51" s="16">
        <f>IFERROR(__xludf.DUMMYFUNCTION("""COMPUTED_VALUE"""),1.0)</f>
        <v>1</v>
      </c>
      <c r="H51" s="16" t="str">
        <f>IFERROR(__xludf.DUMMYFUNCTION("""COMPUTED_VALUE"""),"Blood")</f>
        <v>Blood</v>
      </c>
      <c r="I51" s="16" t="str">
        <f>IFERROR(__xludf.DUMMYFUNCTION("""COMPUTED_VALUE"""),"Player")</f>
        <v>Player</v>
      </c>
      <c r="J51" s="16" t="b">
        <f>IFERROR(__xludf.DUMMYFUNCTION("""COMPUTED_VALUE"""),FALSE)</f>
        <v>0</v>
      </c>
      <c r="K51" s="16"/>
      <c r="L51" s="16" t="b">
        <f>IFERROR(__xludf.DUMMYFUNCTION("""COMPUTED_VALUE"""),FALSE)</f>
        <v>0</v>
      </c>
      <c r="M51" s="16" t="b">
        <f>IFERROR(__xludf.DUMMYFUNCTION("""COMPUTED_VALUE"""),FALSE)</f>
        <v>0</v>
      </c>
      <c r="N51" s="16"/>
    </row>
    <row r="52">
      <c r="A52" s="16" t="str">
        <f>IFERROR(__xludf.DUMMYFUNCTION("""COMPUTED_VALUE"""),"Blood Spray")</f>
        <v>Blood Spray</v>
      </c>
      <c r="B52" s="120">
        <f>IFERROR(__xludf.DUMMYFUNCTION("""COMPUTED_VALUE"""),5.0)</f>
        <v>5</v>
      </c>
      <c r="C52" s="16"/>
      <c r="D52" s="16" t="str">
        <f>IFERROR(__xludf.DUMMYFUNCTION("""COMPUTED_VALUE"""),"X")</f>
        <v>X</v>
      </c>
      <c r="E52" s="16" t="str">
        <f>IFERROR(__xludf.DUMMYFUNCTION("""COMPUTED_VALUE"""),"Deals X*25 Blood damage to all enemies where X is equal to HP spent.")</f>
        <v>Deals X*25 Blood damage to all enemies where X is equal to HP spent.</v>
      </c>
      <c r="F52" s="16" t="str">
        <f>IFERROR(__xludf.DUMMYFUNCTION("""COMPUTED_VALUE"""),"Cannot Avoid")</f>
        <v>Cannot Avoid</v>
      </c>
      <c r="G52" s="16" t="str">
        <f>IFERROR(__xludf.DUMMYFUNCTION("""COMPUTED_VALUE"""),"All")</f>
        <v>All</v>
      </c>
      <c r="H52" s="16" t="str">
        <f>IFERROR(__xludf.DUMMYFUNCTION("""COMPUTED_VALUE"""),"Blood")</f>
        <v>Blood</v>
      </c>
      <c r="I52" s="16" t="str">
        <f>IFERROR(__xludf.DUMMYFUNCTION("""COMPUTED_VALUE"""),"Player")</f>
        <v>Player</v>
      </c>
      <c r="J52" s="16" t="b">
        <f>IFERROR(__xludf.DUMMYFUNCTION("""COMPUTED_VALUE"""),FALSE)</f>
        <v>0</v>
      </c>
      <c r="K52" s="16"/>
      <c r="L52" s="16" t="b">
        <f>IFERROR(__xludf.DUMMYFUNCTION("""COMPUTED_VALUE"""),FALSE)</f>
        <v>0</v>
      </c>
      <c r="M52" s="16" t="b">
        <f>IFERROR(__xludf.DUMMYFUNCTION("""COMPUTED_VALUE"""),FALSE)</f>
        <v>0</v>
      </c>
      <c r="N52" s="16"/>
    </row>
    <row r="53">
      <c r="A53" s="16" t="str">
        <f>IFERROR(__xludf.DUMMYFUNCTION("""COMPUTED_VALUE"""),"Mass Blood Control")</f>
        <v>Mass Blood Control</v>
      </c>
      <c r="B53" s="120">
        <f>IFERROR(__xludf.DUMMYFUNCTION("""COMPUTED_VALUE"""),6.0)</f>
        <v>6</v>
      </c>
      <c r="C53" s="16"/>
      <c r="D53" s="16" t="str">
        <f>IFERROR(__xludf.DUMMYFUNCTION("""COMPUTED_VALUE"""),"X")</f>
        <v>X</v>
      </c>
      <c r="E53" s="16" t="str">
        <f>IFERROR(__xludf.DUMMYFUNCTION("""COMPUTED_VALUE"""),"Deals X*10 Bleed to all enemies for 3 rounds where X is equal to HP spent.")</f>
        <v>Deals X*10 Bleed to all enemies for 3 rounds where X is equal to HP spent.</v>
      </c>
      <c r="F53" s="16" t="str">
        <f>IFERROR(__xludf.DUMMYFUNCTION("""COMPUTED_VALUE"""),"Cannot Avoid")</f>
        <v>Cannot Avoid</v>
      </c>
      <c r="G53" s="16" t="str">
        <f>IFERROR(__xludf.DUMMYFUNCTION("""COMPUTED_VALUE"""),"All")</f>
        <v>All</v>
      </c>
      <c r="H53" s="16" t="str">
        <f>IFERROR(__xludf.DUMMYFUNCTION("""COMPUTED_VALUE"""),"Blood")</f>
        <v>Blood</v>
      </c>
      <c r="I53" s="16" t="str">
        <f>IFERROR(__xludf.DUMMYFUNCTION("""COMPUTED_VALUE"""),"Player")</f>
        <v>Player</v>
      </c>
      <c r="J53" s="16" t="b">
        <f>IFERROR(__xludf.DUMMYFUNCTION("""COMPUTED_VALUE"""),FALSE)</f>
        <v>0</v>
      </c>
      <c r="K53" s="16"/>
      <c r="L53" s="16" t="b">
        <f>IFERROR(__xludf.DUMMYFUNCTION("""COMPUTED_VALUE"""),FALSE)</f>
        <v>0</v>
      </c>
      <c r="M53" s="16" t="b">
        <f>IFERROR(__xludf.DUMMYFUNCTION("""COMPUTED_VALUE"""),FALSE)</f>
        <v>0</v>
      </c>
      <c r="N53" s="16"/>
    </row>
    <row r="54">
      <c r="A54" s="16" t="str">
        <f>IFERROR(__xludf.DUMMYFUNCTION("""COMPUTED_VALUE"""),"Ancient Frost Mages Ice Show")</f>
        <v>Ancient Frost Mages Ice Show</v>
      </c>
      <c r="B54" s="120">
        <f>IFERROR(__xludf.DUMMYFUNCTION("""COMPUTED_VALUE"""),9.0)</f>
        <v>9</v>
      </c>
      <c r="C54" s="16">
        <f>IFERROR(__xludf.DUMMYFUNCTION("""COMPUTED_VALUE"""),900.0)</f>
        <v>900</v>
      </c>
      <c r="D54" s="16"/>
      <c r="E54" s="16" t="str">
        <f>IFERROR(__xludf.DUMMYFUNCTION("""COMPUTED_VALUE"""),"Summon the spirit of the Ancient Frost Grand Mage to help you for 3 rounds. Level determined by DM/GM.")</f>
        <v>Summon the spirit of the Ancient Frost Grand Mage to help you for 3 rounds. Level determined by DM/GM.</v>
      </c>
      <c r="F54" s="16" t="str">
        <f>IFERROR(__xludf.DUMMYFUNCTION("""COMPUTED_VALUE"""),"Fail/Succeed")</f>
        <v>Fail/Succeed</v>
      </c>
      <c r="G54" s="16" t="str">
        <f>IFERROR(__xludf.DUMMYFUNCTION("""COMPUTED_VALUE"""),"Self")</f>
        <v>Self</v>
      </c>
      <c r="H54" s="16" t="str">
        <f>IFERROR(__xludf.DUMMYFUNCTION("""COMPUTED_VALUE"""),"Celestial")</f>
        <v>Celestial</v>
      </c>
      <c r="I54" s="16" t="str">
        <f>IFERROR(__xludf.DUMMYFUNCTION("""COMPUTED_VALUE"""),"Player")</f>
        <v>Player</v>
      </c>
      <c r="J54" s="16" t="b">
        <f>IFERROR(__xludf.DUMMYFUNCTION("""COMPUTED_VALUE"""),TRUE)</f>
        <v>1</v>
      </c>
      <c r="K54" s="16" t="str">
        <f>IFERROR(__xludf.DUMMYFUNCTION("""COMPUTED_VALUE"""),"(Must be level 200 to use celestial powers) (if your class cannot use Celestial magic you can still use it but you must be level 200) (The Celestial Jin is the only class that can use celestial powers before level 200)
Event Spell")</f>
        <v>(Must be level 200 to use celestial powers) (if your class cannot use Celestial magic you can still use it but you must be level 200) (The Celestial Jin is the only class that can use celestial powers before level 200)
Event Spell</v>
      </c>
      <c r="L54" s="16" t="b">
        <f>IFERROR(__xludf.DUMMYFUNCTION("""COMPUTED_VALUE"""),FALSE)</f>
        <v>0</v>
      </c>
      <c r="M54" s="16" t="b">
        <f>IFERROR(__xludf.DUMMYFUNCTION("""COMPUTED_VALUE"""),FALSE)</f>
        <v>0</v>
      </c>
      <c r="N54" s="16"/>
    </row>
    <row r="55">
      <c r="A55" s="16" t="str">
        <f>IFERROR(__xludf.DUMMYFUNCTION("""COMPUTED_VALUE"""),"Celestial Blast")</f>
        <v>Celestial Blast</v>
      </c>
      <c r="B55" s="120">
        <f>IFERROR(__xludf.DUMMYFUNCTION("""COMPUTED_VALUE"""),6.0)</f>
        <v>6</v>
      </c>
      <c r="C55" s="16" t="str">
        <f>IFERROR(__xludf.DUMMYFUNCTION("""COMPUTED_VALUE"""),"X*100")</f>
        <v>X*100</v>
      </c>
      <c r="D55" s="16"/>
      <c r="E55" s="16" t="str">
        <f>IFERROR(__xludf.DUMMYFUNCTION("""COMPUTED_VALUE"""),"Pay X amount of mana for celestial dmg and times the damage by 5000.")</f>
        <v>Pay X amount of mana for celestial dmg and times the damage by 5000.</v>
      </c>
      <c r="F55" s="16" t="str">
        <f>IFERROR(__xludf.DUMMYFUNCTION("""COMPUTED_VALUE"""),"Hit or Miss")</f>
        <v>Hit or Miss</v>
      </c>
      <c r="G55" s="16">
        <f>IFERROR(__xludf.DUMMYFUNCTION("""COMPUTED_VALUE"""),1.0)</f>
        <v>1</v>
      </c>
      <c r="H55" s="16" t="str">
        <f>IFERROR(__xludf.DUMMYFUNCTION("""COMPUTED_VALUE"""),"Celestial")</f>
        <v>Celestial</v>
      </c>
      <c r="I55" s="16" t="str">
        <f>IFERROR(__xludf.DUMMYFUNCTION("""COMPUTED_VALUE"""),"Player")</f>
        <v>Player</v>
      </c>
      <c r="J55" s="16" t="b">
        <f>IFERROR(__xludf.DUMMYFUNCTION("""COMPUTED_VALUE"""),FALSE)</f>
        <v>0</v>
      </c>
      <c r="K55"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5" s="16" t="b">
        <f>IFERROR(__xludf.DUMMYFUNCTION("""COMPUTED_VALUE"""),FALSE)</f>
        <v>0</v>
      </c>
      <c r="M55" s="16" t="b">
        <f>IFERROR(__xludf.DUMMYFUNCTION("""COMPUTED_VALUE"""),FALSE)</f>
        <v>0</v>
      </c>
      <c r="N55" s="16"/>
    </row>
    <row r="56">
      <c r="A56" s="16" t="str">
        <f>IFERROR(__xludf.DUMMYFUNCTION("""COMPUTED_VALUE"""),"Celestial Increase I")</f>
        <v>Celestial Increase I</v>
      </c>
      <c r="B56" s="120">
        <f>IFERROR(__xludf.DUMMYFUNCTION("""COMPUTED_VALUE"""),2.0)</f>
        <v>2</v>
      </c>
      <c r="C56" s="16">
        <f>IFERROR(__xludf.DUMMYFUNCTION("""COMPUTED_VALUE"""),200.0)</f>
        <v>200</v>
      </c>
      <c r="D56" s="16"/>
      <c r="E56" s="16" t="str">
        <f>IFERROR(__xludf.DUMMYFUNCTION("""COMPUTED_VALUE"""),"X2 additional Celestial dmg for self + X2 attack and accuracy for self.")</f>
        <v>X2 additional Celestial dmg for self + X2 attack and accuracy for self.</v>
      </c>
      <c r="F56" s="16" t="str">
        <f>IFERROR(__xludf.DUMMYFUNCTION("""COMPUTED_VALUE"""),"Will Succeed")</f>
        <v>Will Succeed</v>
      </c>
      <c r="G56" s="16"/>
      <c r="H56" s="16" t="str">
        <f>IFERROR(__xludf.DUMMYFUNCTION("""COMPUTED_VALUE"""),"Celestial")</f>
        <v>Celestial</v>
      </c>
      <c r="I56" s="16" t="str">
        <f>IFERROR(__xludf.DUMMYFUNCTION("""COMPUTED_VALUE"""),"Player")</f>
        <v>Player</v>
      </c>
      <c r="J56" s="16" t="b">
        <f>IFERROR(__xludf.DUMMYFUNCTION("""COMPUTED_VALUE"""),FALSE)</f>
        <v>0</v>
      </c>
      <c r="K56"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6" s="16" t="b">
        <f>IFERROR(__xludf.DUMMYFUNCTION("""COMPUTED_VALUE"""),FALSE)</f>
        <v>0</v>
      </c>
      <c r="M56" s="16" t="b">
        <f>IFERROR(__xludf.DUMMYFUNCTION("""COMPUTED_VALUE"""),FALSE)</f>
        <v>0</v>
      </c>
      <c r="N56" s="16"/>
    </row>
    <row r="57">
      <c r="A57" s="16" t="str">
        <f>IFERROR(__xludf.DUMMYFUNCTION("""COMPUTED_VALUE"""),"Celestial Increase II")</f>
        <v>Celestial Increase II</v>
      </c>
      <c r="B57" s="120">
        <f>IFERROR(__xludf.DUMMYFUNCTION("""COMPUTED_VALUE"""),3.0)</f>
        <v>3</v>
      </c>
      <c r="C57" s="16">
        <f>IFERROR(__xludf.DUMMYFUNCTION("""COMPUTED_VALUE"""),300.0)</f>
        <v>300</v>
      </c>
      <c r="D57" s="16"/>
      <c r="E57" s="16" t="str">
        <f>IFERROR(__xludf.DUMMYFUNCTION("""COMPUTED_VALUE"""),"X4 Celestial dmg for self + X4 attack and accuracy for self.")</f>
        <v>X4 Celestial dmg for self + X4 attack and accuracy for self.</v>
      </c>
      <c r="F57" s="16" t="str">
        <f>IFERROR(__xludf.DUMMYFUNCTION("""COMPUTED_VALUE"""),"Will Succeed")</f>
        <v>Will Succeed</v>
      </c>
      <c r="G57" s="16"/>
      <c r="H57" s="16" t="str">
        <f>IFERROR(__xludf.DUMMYFUNCTION("""COMPUTED_VALUE"""),"Celestial")</f>
        <v>Celestial</v>
      </c>
      <c r="I57" s="16" t="str">
        <f>IFERROR(__xludf.DUMMYFUNCTION("""COMPUTED_VALUE"""),"Player")</f>
        <v>Player</v>
      </c>
      <c r="J57" s="16" t="b">
        <f>IFERROR(__xludf.DUMMYFUNCTION("""COMPUTED_VALUE"""),FALSE)</f>
        <v>0</v>
      </c>
      <c r="K57"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7" s="16" t="b">
        <f>IFERROR(__xludf.DUMMYFUNCTION("""COMPUTED_VALUE"""),FALSE)</f>
        <v>0</v>
      </c>
      <c r="M57" s="16" t="b">
        <f>IFERROR(__xludf.DUMMYFUNCTION("""COMPUTED_VALUE"""),FALSE)</f>
        <v>0</v>
      </c>
      <c r="N57" s="16"/>
    </row>
    <row r="58">
      <c r="A58" s="16" t="str">
        <f>IFERROR(__xludf.DUMMYFUNCTION("""COMPUTED_VALUE"""),"Celestial Portal")</f>
        <v>Celestial Portal</v>
      </c>
      <c r="B58" s="120">
        <f>IFERROR(__xludf.DUMMYFUNCTION("""COMPUTED_VALUE"""),2.0)</f>
        <v>2</v>
      </c>
      <c r="C58" s="16">
        <f>IFERROR(__xludf.DUMMYFUNCTION("""COMPUTED_VALUE"""),200.0)</f>
        <v>200</v>
      </c>
      <c r="D58" s="16"/>
      <c r="E58" s="16" t="str">
        <f>IFERROR(__xludf.DUMMYFUNCTION("""COMPUTED_VALUE"""),"6000 celestial continuous damage to one target.")</f>
        <v>6000 celestial continuous damage to one target.</v>
      </c>
      <c r="F58" s="16" t="str">
        <f>IFERROR(__xludf.DUMMYFUNCTION("""COMPUTED_VALUE"""),"Hit or Miss")</f>
        <v>Hit or Miss</v>
      </c>
      <c r="G58" s="16">
        <f>IFERROR(__xludf.DUMMYFUNCTION("""COMPUTED_VALUE"""),1.0)</f>
        <v>1</v>
      </c>
      <c r="H58" s="16" t="str">
        <f>IFERROR(__xludf.DUMMYFUNCTION("""COMPUTED_VALUE"""),"Celestial")</f>
        <v>Celestial</v>
      </c>
      <c r="I58" s="16" t="str">
        <f>IFERROR(__xludf.DUMMYFUNCTION("""COMPUTED_VALUE"""),"Player")</f>
        <v>Player</v>
      </c>
      <c r="J58" s="16" t="b">
        <f>IFERROR(__xludf.DUMMYFUNCTION("""COMPUTED_VALUE"""),FALSE)</f>
        <v>0</v>
      </c>
      <c r="K58"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8" s="16" t="b">
        <f>IFERROR(__xludf.DUMMYFUNCTION("""COMPUTED_VALUE"""),FALSE)</f>
        <v>0</v>
      </c>
      <c r="M58" s="16" t="b">
        <f>IFERROR(__xludf.DUMMYFUNCTION("""COMPUTED_VALUE"""),FALSE)</f>
        <v>0</v>
      </c>
      <c r="N58" s="16"/>
    </row>
    <row r="59">
      <c r="A59" s="16" t="str">
        <f>IFERROR(__xludf.DUMMYFUNCTION("""COMPUTED_VALUE"""),"Celestial Shield")</f>
        <v>Celestial Shield</v>
      </c>
      <c r="B59" s="120">
        <f>IFERROR(__xludf.DUMMYFUNCTION("""COMPUTED_VALUE"""),4.0)</f>
        <v>4</v>
      </c>
      <c r="C59" s="16">
        <f>IFERROR(__xludf.DUMMYFUNCTION("""COMPUTED_VALUE"""),400.0)</f>
        <v>400</v>
      </c>
      <c r="D59" s="16"/>
      <c r="E59" s="16" t="str">
        <f>IFERROR(__xludf.DUMMYFUNCTION("""COMPUTED_VALUE"""),"Gives caster X2 def, and X2 resistance to astral dmg. (can only be used once per battle)")</f>
        <v>Gives caster X2 def, and X2 resistance to astral dmg. (can only be used once per battle)</v>
      </c>
      <c r="F59" s="16" t="str">
        <f>IFERROR(__xludf.DUMMYFUNCTION("""COMPUTED_VALUE"""),"Will Succeed")</f>
        <v>Will Succeed</v>
      </c>
      <c r="G59" s="16"/>
      <c r="H59" s="16" t="str">
        <f>IFERROR(__xludf.DUMMYFUNCTION("""COMPUTED_VALUE"""),"Celestial")</f>
        <v>Celestial</v>
      </c>
      <c r="I59" s="16" t="str">
        <f>IFERROR(__xludf.DUMMYFUNCTION("""COMPUTED_VALUE"""),"Player")</f>
        <v>Player</v>
      </c>
      <c r="J59" s="16" t="b">
        <f>IFERROR(__xludf.DUMMYFUNCTION("""COMPUTED_VALUE"""),FALSE)</f>
        <v>0</v>
      </c>
      <c r="K59"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59" s="16" t="b">
        <f>IFERROR(__xludf.DUMMYFUNCTION("""COMPUTED_VALUE"""),FALSE)</f>
        <v>0</v>
      </c>
      <c r="M59" s="16" t="b">
        <f>IFERROR(__xludf.DUMMYFUNCTION("""COMPUTED_VALUE"""),FALSE)</f>
        <v>0</v>
      </c>
      <c r="N59" s="16"/>
    </row>
    <row r="60">
      <c r="A60" s="16" t="str">
        <f>IFERROR(__xludf.DUMMYFUNCTION("""COMPUTED_VALUE"""),"Celestial Strike")</f>
        <v>Celestial Strike</v>
      </c>
      <c r="B60" s="120">
        <f>IFERROR(__xludf.DUMMYFUNCTION("""COMPUTED_VALUE"""),1.0)</f>
        <v>1</v>
      </c>
      <c r="C60" s="16">
        <f>IFERROR(__xludf.DUMMYFUNCTION("""COMPUTED_VALUE"""),100.0)</f>
        <v>100</v>
      </c>
      <c r="D60" s="16"/>
      <c r="E60" s="16" t="str">
        <f>IFERROR(__xludf.DUMMYFUNCTION("""COMPUTED_VALUE"""),"6000 celestial damage, X2 attack and accuracy for self if you hit the target..")</f>
        <v>6000 celestial damage, X2 attack and accuracy for self if you hit the target..</v>
      </c>
      <c r="F60" s="16" t="str">
        <f>IFERROR(__xludf.DUMMYFUNCTION("""COMPUTED_VALUE"""),"Hit/Miss")</f>
        <v>Hit/Miss</v>
      </c>
      <c r="G60" s="16">
        <f>IFERROR(__xludf.DUMMYFUNCTION("""COMPUTED_VALUE"""),1.0)</f>
        <v>1</v>
      </c>
      <c r="H60" s="16" t="str">
        <f>IFERROR(__xludf.DUMMYFUNCTION("""COMPUTED_VALUE"""),"Celestial")</f>
        <v>Celestial</v>
      </c>
      <c r="I60" s="16" t="str">
        <f>IFERROR(__xludf.DUMMYFUNCTION("""COMPUTED_VALUE"""),"Player")</f>
        <v>Player</v>
      </c>
      <c r="J60" s="16" t="b">
        <f>IFERROR(__xludf.DUMMYFUNCTION("""COMPUTED_VALUE"""),FALSE)</f>
        <v>0</v>
      </c>
      <c r="K60"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0" s="16" t="b">
        <f>IFERROR(__xludf.DUMMYFUNCTION("""COMPUTED_VALUE"""),FALSE)</f>
        <v>0</v>
      </c>
      <c r="M60" s="16" t="b">
        <f>IFERROR(__xludf.DUMMYFUNCTION("""COMPUTED_VALUE"""),FALSE)</f>
        <v>0</v>
      </c>
      <c r="N60" s="16"/>
    </row>
    <row r="61">
      <c r="A61" s="16" t="str">
        <f>IFERROR(__xludf.DUMMYFUNCTION("""COMPUTED_VALUE"""),"Celestial Summon")</f>
        <v>Celestial Summon</v>
      </c>
      <c r="B61" s="120">
        <f>IFERROR(__xludf.DUMMYFUNCTION("""COMPUTED_VALUE"""),8.0)</f>
        <v>8</v>
      </c>
      <c r="C61" s="16">
        <f>IFERROR(__xludf.DUMMYFUNCTION("""COMPUTED_VALUE"""),800.0)</f>
        <v>800</v>
      </c>
      <c r="D61" s="16"/>
      <c r="E61" s="16" t="str">
        <f>IFERROR(__xludf.DUMMYFUNCTION("""COMPUTED_VALUE"""),"Summon a mob as an ally. Level and Mob is determined by DM/GM.  ")</f>
        <v>Summon a mob as an ally. Level and Mob is determined by DM/GM.  </v>
      </c>
      <c r="F61" s="16" t="str">
        <f>IFERROR(__xludf.DUMMYFUNCTION("""COMPUTED_VALUE"""),"Fail/Succeed")</f>
        <v>Fail/Succeed</v>
      </c>
      <c r="G61" s="16"/>
      <c r="H61" s="16" t="str">
        <f>IFERROR(__xludf.DUMMYFUNCTION("""COMPUTED_VALUE"""),"Celestial")</f>
        <v>Celestial</v>
      </c>
      <c r="I61" s="16" t="str">
        <f>IFERROR(__xludf.DUMMYFUNCTION("""COMPUTED_VALUE"""),"Player")</f>
        <v>Player</v>
      </c>
      <c r="J61" s="16" t="b">
        <f>IFERROR(__xludf.DUMMYFUNCTION("""COMPUTED_VALUE"""),FALSE)</f>
        <v>0</v>
      </c>
      <c r="K61"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1" s="16" t="b">
        <f>IFERROR(__xludf.DUMMYFUNCTION("""COMPUTED_VALUE"""),FALSE)</f>
        <v>0</v>
      </c>
      <c r="M61" s="16" t="b">
        <f>IFERROR(__xludf.DUMMYFUNCTION("""COMPUTED_VALUE"""),FALSE)</f>
        <v>0</v>
      </c>
      <c r="N61" s="16"/>
    </row>
    <row r="62">
      <c r="A62" s="16" t="str">
        <f>IFERROR(__xludf.DUMMYFUNCTION("""COMPUTED_VALUE"""),"Celestial Wave")</f>
        <v>Celestial Wave</v>
      </c>
      <c r="B62" s="120">
        <f>IFERROR(__xludf.DUMMYFUNCTION("""COMPUTED_VALUE"""),5.0)</f>
        <v>5</v>
      </c>
      <c r="C62" s="16">
        <f>IFERROR(__xludf.DUMMYFUNCTION("""COMPUTED_VALUE"""),500.0)</f>
        <v>500</v>
      </c>
      <c r="D62" s="16"/>
      <c r="E62" s="16" t="str">
        <f>IFERROR(__xludf.DUMMYFUNCTION("""COMPUTED_VALUE"""),"30000 Celestial dmg to all enemies.")</f>
        <v>30000 Celestial dmg to all enemies.</v>
      </c>
      <c r="F62" s="16" t="str">
        <f>IFERROR(__xludf.DUMMYFUNCTION("""COMPUTED_VALUE"""),"Cannot be avoided")</f>
        <v>Cannot be avoided</v>
      </c>
      <c r="G62" s="16"/>
      <c r="H62" s="16" t="str">
        <f>IFERROR(__xludf.DUMMYFUNCTION("""COMPUTED_VALUE"""),"Celestial")</f>
        <v>Celestial</v>
      </c>
      <c r="I62" s="16" t="str">
        <f>IFERROR(__xludf.DUMMYFUNCTION("""COMPUTED_VALUE"""),"Player")</f>
        <v>Player</v>
      </c>
      <c r="J62" s="16" t="b">
        <f>IFERROR(__xludf.DUMMYFUNCTION("""COMPUTED_VALUE"""),FALSE)</f>
        <v>0</v>
      </c>
      <c r="K62"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2" s="16" t="b">
        <f>IFERROR(__xludf.DUMMYFUNCTION("""COMPUTED_VALUE"""),FALSE)</f>
        <v>0</v>
      </c>
      <c r="M62" s="16" t="b">
        <f>IFERROR(__xludf.DUMMYFUNCTION("""COMPUTED_VALUE"""),FALSE)</f>
        <v>0</v>
      </c>
      <c r="N62" s="16"/>
    </row>
    <row r="63">
      <c r="A63" s="16" t="str">
        <f>IFERROR(__xludf.DUMMYFUNCTION("""COMPUTED_VALUE"""),"Celestial Wrath")</f>
        <v>Celestial Wrath</v>
      </c>
      <c r="B63" s="120">
        <f>IFERROR(__xludf.DUMMYFUNCTION("""COMPUTED_VALUE"""),7.0)</f>
        <v>7</v>
      </c>
      <c r="C63" s="16">
        <f>IFERROR(__xludf.DUMMYFUNCTION("""COMPUTED_VALUE"""),700.0)</f>
        <v>700</v>
      </c>
      <c r="D63" s="16"/>
      <c r="E63" s="16" t="str">
        <f>IFERROR(__xludf.DUMMYFUNCTION("""COMPUTED_VALUE"""),"Causes 42000 Celestial dmg to all enemies, +7000 def to self and allies.")</f>
        <v>Causes 42000 Celestial dmg to all enemies, +7000 def to self and allies.</v>
      </c>
      <c r="F63" s="16" t="str">
        <f>IFERROR(__xludf.DUMMYFUNCTION("""COMPUTED_VALUE"""),"Cannot Avoid")</f>
        <v>Cannot Avoid</v>
      </c>
      <c r="G63" s="16"/>
      <c r="H63" s="16" t="str">
        <f>IFERROR(__xludf.DUMMYFUNCTION("""COMPUTED_VALUE"""),"Celestial")</f>
        <v>Celestial</v>
      </c>
      <c r="I63" s="16" t="str">
        <f>IFERROR(__xludf.DUMMYFUNCTION("""COMPUTED_VALUE"""),"Player")</f>
        <v>Player</v>
      </c>
      <c r="J63" s="16" t="b">
        <f>IFERROR(__xludf.DUMMYFUNCTION("""COMPUTED_VALUE"""),FALSE)</f>
        <v>0</v>
      </c>
      <c r="K63"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3" s="16" t="b">
        <f>IFERROR(__xludf.DUMMYFUNCTION("""COMPUTED_VALUE"""),FALSE)</f>
        <v>0</v>
      </c>
      <c r="M63" s="16" t="b">
        <f>IFERROR(__xludf.DUMMYFUNCTION("""COMPUTED_VALUE"""),FALSE)</f>
        <v>0</v>
      </c>
      <c r="N63" s="16"/>
    </row>
    <row r="64">
      <c r="A64" s="16" t="str">
        <f>IFERROR(__xludf.DUMMYFUNCTION("""COMPUTED_VALUE"""),"Defender of The Flame")</f>
        <v>Defender of The Flame</v>
      </c>
      <c r="B64" s="120">
        <f>IFERROR(__xludf.DUMMYFUNCTION("""COMPUTED_VALUE"""),9.0)</f>
        <v>9</v>
      </c>
      <c r="C64" s="16">
        <f>IFERROR(__xludf.DUMMYFUNCTION("""COMPUTED_VALUE"""),900.0)</f>
        <v>900</v>
      </c>
      <c r="D64" s="16"/>
      <c r="E64" s="16" t="str">
        <f>IFERROR(__xludf.DUMMYFUNCTION("""COMPUTED_VALUE"""),"Take the form of the heroic defender of flames. Taking this form will grant you immunity to fire damage (bypasses the undead (dark) ability) + an additional X4 defense. (Must succeed using “Legend of the Inflamed Master” before you can cast this spell dur"&amp;"ing each battle) (This spell effect lasts until the end of battle.")</f>
        <v>Take the form of the heroic defender of flames. Taking this form will grant you immunity to fire damage (bypasses the undead (dark) ability) + an additional X4 defense. (Must succeed using “Legend of the Inflamed Master” before you can cast this spell during each battle) (This spell effect lasts until the end of battle.</v>
      </c>
      <c r="F64" s="16" t="str">
        <f>IFERROR(__xludf.DUMMYFUNCTION("""COMPUTED_VALUE"""),"Fail/Succeed")</f>
        <v>Fail/Succeed</v>
      </c>
      <c r="G64" s="16" t="str">
        <f>IFERROR(__xludf.DUMMYFUNCTION("""COMPUTED_VALUE"""),"Self")</f>
        <v>Self</v>
      </c>
      <c r="H64" s="16" t="str">
        <f>IFERROR(__xludf.DUMMYFUNCTION("""COMPUTED_VALUE"""),"Celestial")</f>
        <v>Celestial</v>
      </c>
      <c r="I64" s="16" t="str">
        <f>IFERROR(__xludf.DUMMYFUNCTION("""COMPUTED_VALUE"""),"Player")</f>
        <v>Player</v>
      </c>
      <c r="J64" s="16" t="b">
        <f>IFERROR(__xludf.DUMMYFUNCTION("""COMPUTED_VALUE"""),TRUE)</f>
        <v>1</v>
      </c>
      <c r="K64" s="16" t="str">
        <f>IFERROR(__xludf.DUMMYFUNCTION("""COMPUTED_VALUE"""),"(Must be level 200 to use celestial powers) (if your class cannot use Celestial magic you can still use it but you must be level 200) (The Celestial Jin is the only class that can use celestial powers before level 200)
Event Spell")</f>
        <v>(Must be level 200 to use celestial powers) (if your class cannot use Celestial magic you can still use it but you must be level 200) (The Celestial Jin is the only class that can use celestial powers before level 200)
Event Spell</v>
      </c>
      <c r="L64" s="16" t="b">
        <f>IFERROR(__xludf.DUMMYFUNCTION("""COMPUTED_VALUE"""),FALSE)</f>
        <v>0</v>
      </c>
      <c r="M64" s="16" t="b">
        <f>IFERROR(__xludf.DUMMYFUNCTION("""COMPUTED_VALUE"""),FALSE)</f>
        <v>0</v>
      </c>
      <c r="N64" s="16"/>
    </row>
    <row r="65">
      <c r="A65" s="16" t="str">
        <f>IFERROR(__xludf.DUMMYFUNCTION("""COMPUTED_VALUE"""),"Duplicate")</f>
        <v>Duplicate</v>
      </c>
      <c r="B65" s="120">
        <f>IFERROR(__xludf.DUMMYFUNCTION("""COMPUTED_VALUE"""),9.0)</f>
        <v>9</v>
      </c>
      <c r="C65" s="16">
        <f>IFERROR(__xludf.DUMMYFUNCTION("""COMPUTED_VALUE"""),1000.0)</f>
        <v>1000</v>
      </c>
      <c r="D65" s="16"/>
      <c r="E65" s="16" t="str">
        <f>IFERROR(__xludf.DUMMYFUNCTION("""COMPUTED_VALUE"""),"Duplicate an item of choice in your bag or inventory. (spell can only be used once per week in real time.)")</f>
        <v>Duplicate an item of choice in your bag or inventory. (spell can only be used once per week in real time.)</v>
      </c>
      <c r="F65" s="16" t="str">
        <f>IFERROR(__xludf.DUMMYFUNCTION("""COMPUTED_VALUE"""),"Will Succeed")</f>
        <v>Will Succeed</v>
      </c>
      <c r="G65" s="16"/>
      <c r="H65" s="16" t="str">
        <f>IFERROR(__xludf.DUMMYFUNCTION("""COMPUTED_VALUE"""),"Celestial")</f>
        <v>Celestial</v>
      </c>
      <c r="I65" s="16" t="str">
        <f>IFERROR(__xludf.DUMMYFUNCTION("""COMPUTED_VALUE"""),"Player")</f>
        <v>Player</v>
      </c>
      <c r="J65" s="16" t="b">
        <f>IFERROR(__xludf.DUMMYFUNCTION("""COMPUTED_VALUE"""),FALSE)</f>
        <v>0</v>
      </c>
      <c r="K65"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5" s="16" t="b">
        <f>IFERROR(__xludf.DUMMYFUNCTION("""COMPUTED_VALUE"""),FALSE)</f>
        <v>0</v>
      </c>
      <c r="M65" s="16" t="b">
        <f>IFERROR(__xludf.DUMMYFUNCTION("""COMPUTED_VALUE"""),FALSE)</f>
        <v>0</v>
      </c>
      <c r="N65" s="16"/>
    </row>
    <row r="66">
      <c r="A66" s="16" t="str">
        <f>IFERROR(__xludf.DUMMYFUNCTION("""COMPUTED_VALUE"""),"Legend of the Inflamed Apprentice")</f>
        <v>Legend of the Inflamed Apprentice</v>
      </c>
      <c r="B66" s="120">
        <f>IFERROR(__xludf.DUMMYFUNCTION("""COMPUTED_VALUE"""),9.0)</f>
        <v>9</v>
      </c>
      <c r="C66" s="16">
        <f>IFERROR(__xludf.DUMMYFUNCTION("""COMPUTED_VALUE"""),900.0)</f>
        <v>900</v>
      </c>
      <c r="D66" s="16"/>
      <c r="E66" s="16" t="str">
        <f>IFERROR(__xludf.DUMMYFUNCTION("""COMPUTED_VALUE"""),"Take the form of a legendary warrior whose spirit became one with the flames of the land. Taking this form will boost all fire spells and weapons by X2 damage + gives the user an additional X2 to attack and accuracy + gives the user Immunity to Nature dam"&amp;"age. (This spell effect lasts until the end of battle)")</f>
        <v>Take the form of a legendary warrior whose spirit became one with the flames of the land. Taking this form will boost all fire spells and weapons by X2 damage + gives the user an additional X2 to attack and accuracy + gives the user Immunity to Nature damage. (This spell effect lasts until the end of battle)</v>
      </c>
      <c r="F66" s="16" t="str">
        <f>IFERROR(__xludf.DUMMYFUNCTION("""COMPUTED_VALUE"""),"Fail/Succeed")</f>
        <v>Fail/Succeed</v>
      </c>
      <c r="G66" s="16" t="str">
        <f>IFERROR(__xludf.DUMMYFUNCTION("""COMPUTED_VALUE"""),"Self")</f>
        <v>Self</v>
      </c>
      <c r="H66" s="16" t="str">
        <f>IFERROR(__xludf.DUMMYFUNCTION("""COMPUTED_VALUE"""),"Celestial")</f>
        <v>Celestial</v>
      </c>
      <c r="I66" s="16" t="str">
        <f>IFERROR(__xludf.DUMMYFUNCTION("""COMPUTED_VALUE"""),"Player")</f>
        <v>Player</v>
      </c>
      <c r="J66" s="16" t="b">
        <f>IFERROR(__xludf.DUMMYFUNCTION("""COMPUTED_VALUE"""),TRUE)</f>
        <v>1</v>
      </c>
      <c r="K66" s="16" t="str">
        <f>IFERROR(__xludf.DUMMYFUNCTION("""COMPUTED_VALUE"""),"(Must be level 200 to use celestial powers) (if your class cannot use Celestial magic you can still use it but you must be level 200) (The Celestial Jin is the only class that can use celestial powers before level 200)
Event Spell")</f>
        <v>(Must be level 200 to use celestial powers) (if your class cannot use Celestial magic you can still use it but you must be level 200) (The Celestial Jin is the only class that can use celestial powers before level 200)
Event Spell</v>
      </c>
      <c r="L66" s="16" t="b">
        <f>IFERROR(__xludf.DUMMYFUNCTION("""COMPUTED_VALUE"""),FALSE)</f>
        <v>0</v>
      </c>
      <c r="M66" s="16" t="b">
        <f>IFERROR(__xludf.DUMMYFUNCTION("""COMPUTED_VALUE"""),FALSE)</f>
        <v>0</v>
      </c>
      <c r="N66" s="16"/>
    </row>
    <row r="67">
      <c r="A67" s="16" t="str">
        <f>IFERROR(__xludf.DUMMYFUNCTION("""COMPUTED_VALUE"""),"Legend of The Inflamed Master")</f>
        <v>Legend of The Inflamed Master</v>
      </c>
      <c r="B67" s="120">
        <f>IFERROR(__xludf.DUMMYFUNCTION("""COMPUTED_VALUE"""),9.0)</f>
        <v>9</v>
      </c>
      <c r="C67" s="16">
        <f>IFERROR(__xludf.DUMMYFUNCTION("""COMPUTED_VALUE"""),900.0)</f>
        <v>900</v>
      </c>
      <c r="D67" s="16"/>
      <c r="E67" s="16" t="str">
        <f>IFERROR(__xludf.DUMMYFUNCTION("""COMPUTED_VALUE"""),"Take the form of a legendary warrior whose spirit became one with the flames of the land. Taking this form will boost all fire spells and weapons by X4 + Increase attack and accuracy by X4 + Immunity to Nature and Fire (Must succeed using ""Legend of the "&amp;"Inflamed Apprentice” before you can cast this spell during each battle) (This spell effect lasts until the end of the battle)")</f>
        <v>Take the form of a legendary warrior whose spirit became one with the flames of the land. Taking this form will boost all fire spells and weapons by X4 + Increase attack and accuracy by X4 + Immunity to Nature and Fire (Must succeed using "Legend of the Inflamed Apprentice” before you can cast this spell during each battle) (This spell effect lasts until the end of the battle)</v>
      </c>
      <c r="F67" s="16" t="str">
        <f>IFERROR(__xludf.DUMMYFUNCTION("""COMPUTED_VALUE"""),"Fail/Succeed")</f>
        <v>Fail/Succeed</v>
      </c>
      <c r="G67" s="16" t="str">
        <f>IFERROR(__xludf.DUMMYFUNCTION("""COMPUTED_VALUE"""),"Self")</f>
        <v>Self</v>
      </c>
      <c r="H67" s="16" t="str">
        <f>IFERROR(__xludf.DUMMYFUNCTION("""COMPUTED_VALUE"""),"Celestial")</f>
        <v>Celestial</v>
      </c>
      <c r="I67" s="16" t="str">
        <f>IFERROR(__xludf.DUMMYFUNCTION("""COMPUTED_VALUE"""),"Player")</f>
        <v>Player</v>
      </c>
      <c r="J67" s="16" t="b">
        <f>IFERROR(__xludf.DUMMYFUNCTION("""COMPUTED_VALUE"""),TRUE)</f>
        <v>1</v>
      </c>
      <c r="K67" s="16" t="str">
        <f>IFERROR(__xludf.DUMMYFUNCTION("""COMPUTED_VALUE"""),"(Must be level 200 to use celestial powers) (if your class cannot use Celestial magic you can still use it but you must be level 200) (The Celestial Jin is the only class that can use celestial powers before level 200)
Event Spell
")</f>
        <v>(Must be level 200 to use celestial powers) (if your class cannot use Celestial magic you can still use it but you must be level 200) (The Celestial Jin is the only class that can use celestial powers before level 200)
Event Spell
</v>
      </c>
      <c r="L67" s="16" t="b">
        <f>IFERROR(__xludf.DUMMYFUNCTION("""COMPUTED_VALUE"""),FALSE)</f>
        <v>0</v>
      </c>
      <c r="M67" s="16" t="b">
        <f>IFERROR(__xludf.DUMMYFUNCTION("""COMPUTED_VALUE"""),FALSE)</f>
        <v>0</v>
      </c>
      <c r="N67" s="16"/>
    </row>
    <row r="68">
      <c r="A68" s="16" t="str">
        <f>IFERROR(__xludf.DUMMYFUNCTION("""COMPUTED_VALUE"""),"Mass Destruction")</f>
        <v>Mass Destruction</v>
      </c>
      <c r="B68" s="120">
        <f>IFERROR(__xludf.DUMMYFUNCTION("""COMPUTED_VALUE"""),9.0)</f>
        <v>9</v>
      </c>
      <c r="C68" s="16">
        <f>IFERROR(__xludf.DUMMYFUNCTION("""COMPUTED_VALUE"""),900.0)</f>
        <v>900</v>
      </c>
      <c r="D68" s="16"/>
      <c r="E68" s="16" t="str">
        <f>IFERROR(__xludf.DUMMYFUNCTION("""COMPUTED_VALUE"""),"54,000 celestial damage to all enemies, 70% chance of instant death.")</f>
        <v>54,000 celestial damage to all enemies, 70% chance of instant death.</v>
      </c>
      <c r="F68" s="16" t="str">
        <f>IFERROR(__xludf.DUMMYFUNCTION("""COMPUTED_VALUE"""),"Cannot Avoid")</f>
        <v>Cannot Avoid</v>
      </c>
      <c r="G68" s="16"/>
      <c r="H68" s="16" t="str">
        <f>IFERROR(__xludf.DUMMYFUNCTION("""COMPUTED_VALUE"""),"Celestial")</f>
        <v>Celestial</v>
      </c>
      <c r="I68" s="16" t="str">
        <f>IFERROR(__xludf.DUMMYFUNCTION("""COMPUTED_VALUE"""),"Player")</f>
        <v>Player</v>
      </c>
      <c r="J68" s="16" t="b">
        <f>IFERROR(__xludf.DUMMYFUNCTION("""COMPUTED_VALUE"""),FALSE)</f>
        <v>0</v>
      </c>
      <c r="K68"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68" s="16" t="b">
        <f>IFERROR(__xludf.DUMMYFUNCTION("""COMPUTED_VALUE"""),FALSE)</f>
        <v>0</v>
      </c>
      <c r="M68" s="16" t="b">
        <f>IFERROR(__xludf.DUMMYFUNCTION("""COMPUTED_VALUE"""),FALSE)</f>
        <v>0</v>
      </c>
      <c r="N68" s="16"/>
    </row>
    <row r="69">
      <c r="A69" s="16" t="str">
        <f>IFERROR(__xludf.DUMMYFUNCTION("""COMPUTED_VALUE"""),"Solar Ward")</f>
        <v>Solar Ward</v>
      </c>
      <c r="B69" s="120">
        <f>IFERROR(__xludf.DUMMYFUNCTION("""COMPUTED_VALUE"""),0.0)</f>
        <v>0</v>
      </c>
      <c r="C69" s="16">
        <f>IFERROR(__xludf.DUMMYFUNCTION("""COMPUTED_VALUE"""),0.0)</f>
        <v>0</v>
      </c>
      <c r="D69" s="16"/>
      <c r="E69" s="16" t="str">
        <f>IFERROR(__xludf.DUMMYFUNCTION("""COMPUTED_VALUE"""),"Damage is reflected back at the damager that damaged this user for 3 rounds. Doubles Celestial damage for the user. Ward ends when stopping a spell that bypasses immunities/resistances.")</f>
        <v>Damage is reflected back at the damager that damaged this user for 3 rounds. Doubles Celestial damage for the user. Ward ends when stopping a spell that bypasses immunities/resistances.</v>
      </c>
      <c r="F69" s="16" t="str">
        <f>IFERROR(__xludf.DUMMYFUNCTION("""COMPUTED_VALUE"""),"Natural/Fail or Succeed")</f>
        <v>Natural/Fail or Succeed</v>
      </c>
      <c r="G69" s="16" t="str">
        <f>IFERROR(__xludf.DUMMYFUNCTION("""COMPUTED_VALUE"""),"Self")</f>
        <v>Self</v>
      </c>
      <c r="H69" s="16" t="str">
        <f>IFERROR(__xludf.DUMMYFUNCTION("""COMPUTED_VALUE"""),"Celestial")</f>
        <v>Celestial</v>
      </c>
      <c r="I69" s="16" t="str">
        <f>IFERROR(__xludf.DUMMYFUNCTION("""COMPUTED_VALUE"""),"Mob")</f>
        <v>Mob</v>
      </c>
      <c r="J69" s="16" t="b">
        <f>IFERROR(__xludf.DUMMYFUNCTION("""COMPUTED_VALUE"""),TRUE)</f>
        <v>1</v>
      </c>
      <c r="K69" s="16"/>
      <c r="L69" s="16" t="b">
        <f>IFERROR(__xludf.DUMMYFUNCTION("""COMPUTED_VALUE"""),FALSE)</f>
        <v>0</v>
      </c>
      <c r="M69" s="16" t="b">
        <f>IFERROR(__xludf.DUMMYFUNCTION("""COMPUTED_VALUE"""),FALSE)</f>
        <v>0</v>
      </c>
      <c r="N69" s="16"/>
    </row>
    <row r="70">
      <c r="A70" s="16" t="str">
        <f>IFERROR(__xludf.DUMMYFUNCTION("""COMPUTED_VALUE"""),"Tower Of Gods")</f>
        <v>Tower Of Gods</v>
      </c>
      <c r="B70" s="120">
        <f>IFERROR(__xludf.DUMMYFUNCTION("""COMPUTED_VALUE"""),8.0)</f>
        <v>8</v>
      </c>
      <c r="C70" s="16">
        <f>IFERROR(__xludf.DUMMYFUNCTION("""COMPUTED_VALUE"""),800.0)</f>
        <v>800</v>
      </c>
      <c r="D70" s="16"/>
      <c r="E70" s="16" t="str">
        <f>IFERROR(__xludf.DUMMYFUNCTION("""COMPUTED_VALUE"""),"Forms a tower that rises from beneath the ground and shoots a giant beam of celestial energy from the towers eye- 48000 celestial strike dmg and doubles celestial damage.")</f>
        <v>Forms a tower that rises from beneath the ground and shoots a giant beam of celestial energy from the towers eye- 48000 celestial strike dmg and doubles celestial damage.</v>
      </c>
      <c r="F70" s="16" t="str">
        <f>IFERROR(__xludf.DUMMYFUNCTION("""COMPUTED_VALUE"""),"Fail/Succeed")</f>
        <v>Fail/Succeed</v>
      </c>
      <c r="G70" s="16"/>
      <c r="H70" s="16" t="str">
        <f>IFERROR(__xludf.DUMMYFUNCTION("""COMPUTED_VALUE"""),"Celestial")</f>
        <v>Celestial</v>
      </c>
      <c r="I70" s="16" t="str">
        <f>IFERROR(__xludf.DUMMYFUNCTION("""COMPUTED_VALUE"""),"Player")</f>
        <v>Player</v>
      </c>
      <c r="J70" s="16" t="b">
        <f>IFERROR(__xludf.DUMMYFUNCTION("""COMPUTED_VALUE"""),FALSE)</f>
        <v>0</v>
      </c>
      <c r="K70"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70" s="16" t="b">
        <f>IFERROR(__xludf.DUMMYFUNCTION("""COMPUTED_VALUE"""),FALSE)</f>
        <v>0</v>
      </c>
      <c r="M70" s="16" t="b">
        <f>IFERROR(__xludf.DUMMYFUNCTION("""COMPUTED_VALUE"""),FALSE)</f>
        <v>0</v>
      </c>
      <c r="N70" s="16"/>
    </row>
    <row r="71">
      <c r="A71" s="16" t="str">
        <f>IFERROR(__xludf.DUMMYFUNCTION("""COMPUTED_VALUE"""),"Vaporize")</f>
        <v>Vaporize</v>
      </c>
      <c r="B71" s="120">
        <f>IFERROR(__xludf.DUMMYFUNCTION("""COMPUTED_VALUE"""),9.0)</f>
        <v>9</v>
      </c>
      <c r="C71" s="16" t="str">
        <f>IFERROR(__xludf.DUMMYFUNCTION("""COMPUTED_VALUE"""),"X*1000")</f>
        <v>X*1000</v>
      </c>
      <c r="D71" s="16"/>
      <c r="E71" s="16" t="str">
        <f>IFERROR(__xludf.DUMMYFUNCTION("""COMPUTED_VALUE"""),"X times 10,000  Celestial Damage to all enemies. X is = to the ammount of mana you paid")</f>
        <v>X times 10,000  Celestial Damage to all enemies. X is = to the ammount of mana you paid</v>
      </c>
      <c r="F71" s="16" t="str">
        <f>IFERROR(__xludf.DUMMYFUNCTION("""COMPUTED_VALUE"""),"Cannot Avoid")</f>
        <v>Cannot Avoid</v>
      </c>
      <c r="G71" s="16" t="str">
        <f>IFERROR(__xludf.DUMMYFUNCTION("""COMPUTED_VALUE"""),"All")</f>
        <v>All</v>
      </c>
      <c r="H71" s="16" t="str">
        <f>IFERROR(__xludf.DUMMYFUNCTION("""COMPUTED_VALUE"""),"Celestial")</f>
        <v>Celestial</v>
      </c>
      <c r="I71" s="16" t="str">
        <f>IFERROR(__xludf.DUMMYFUNCTION("""COMPUTED_VALUE"""),"Mob")</f>
        <v>Mob</v>
      </c>
      <c r="J71" s="16" t="b">
        <f>IFERROR(__xludf.DUMMYFUNCTION("""COMPUTED_VALUE"""),TRUE)</f>
        <v>1</v>
      </c>
      <c r="K71" s="16" t="str">
        <f>IFERROR(__xludf.DUMMYFUNCTION("""COMPUTED_VALUE"""),"(Must be level 200 to use celestial powers) (if your class cannot use Celestial magic you can still use it but you must be level 200) (The Celestial Jin is the only class that can use celestial powers before level 200))")</f>
        <v>(Must be level 200 to use celestial powers) (if your class cannot use Celestial magic you can still use it but you must be level 200) (The Celestial Jin is the only class that can use celestial powers before level 200))</v>
      </c>
      <c r="L71" s="16" t="b">
        <f>IFERROR(__xludf.DUMMYFUNCTION("""COMPUTED_VALUE"""),FALSE)</f>
        <v>0</v>
      </c>
      <c r="M71" s="16" t="b">
        <f>IFERROR(__xludf.DUMMYFUNCTION("""COMPUTED_VALUE"""),FALSE)</f>
        <v>0</v>
      </c>
      <c r="N71" s="16"/>
    </row>
    <row r="72">
      <c r="A72" s="16" t="str">
        <f>IFERROR(__xludf.DUMMYFUNCTION("""COMPUTED_VALUE"""),"World Tree Warp")</f>
        <v>World Tree Warp</v>
      </c>
      <c r="B72" s="120">
        <f>IFERROR(__xludf.DUMMYFUNCTION("""COMPUTED_VALUE"""),9.0)</f>
        <v>9</v>
      </c>
      <c r="C72" s="16">
        <f>IFERROR(__xludf.DUMMYFUNCTION("""COMPUTED_VALUE"""),900.0)</f>
        <v>900</v>
      </c>
      <c r="D72" s="16"/>
      <c r="E72" s="16" t="str">
        <f>IFERROR(__xludf.DUMMYFUNCTION("""COMPUTED_VALUE"""),"Allows the caster to warp directly to the world tree from anywhere in the Land of Spira")</f>
        <v>Allows the caster to warp directly to the world tree from anywhere in the Land of Spira</v>
      </c>
      <c r="F72" s="16" t="str">
        <f>IFERROR(__xludf.DUMMYFUNCTION("""COMPUTED_VALUE"""),"Will Succeed")</f>
        <v>Will Succeed</v>
      </c>
      <c r="G72" s="16" t="str">
        <f>IFERROR(__xludf.DUMMYFUNCTION("""COMPUTED_VALUE"""),"Self")</f>
        <v>Self</v>
      </c>
      <c r="H72" s="16" t="str">
        <f>IFERROR(__xludf.DUMMYFUNCTION("""COMPUTED_VALUE"""),"Celestial")</f>
        <v>Celestial</v>
      </c>
      <c r="I72" s="16" t="str">
        <f>IFERROR(__xludf.DUMMYFUNCTION("""COMPUTED_VALUE"""),"Player")</f>
        <v>Player</v>
      </c>
      <c r="J72" s="16" t="b">
        <f>IFERROR(__xludf.DUMMYFUNCTION("""COMPUTED_VALUE"""),TRUE)</f>
        <v>1</v>
      </c>
      <c r="K72" s="16" t="str">
        <f>IFERROR(__xludf.DUMMYFUNCTION("""COMPUTED_VALUE"""),"(Must be level 200 to use celestial powers) (if your class cannot use Celestial magic you can still use it but you must be level 200) (The Celestial Jin is the only class that can use celestial powers before level 200)
Loot drop")</f>
        <v>(Must be level 200 to use celestial powers) (if your class cannot use Celestial magic you can still use it but you must be level 200) (The Celestial Jin is the only class that can use celestial powers before level 200)
Loot drop</v>
      </c>
      <c r="L72" s="16" t="b">
        <f>IFERROR(__xludf.DUMMYFUNCTION("""COMPUTED_VALUE"""),FALSE)</f>
        <v>0</v>
      </c>
      <c r="M72" s="16" t="b">
        <f>IFERROR(__xludf.DUMMYFUNCTION("""COMPUTED_VALUE"""),FALSE)</f>
        <v>0</v>
      </c>
      <c r="N72" s="16"/>
    </row>
    <row r="73">
      <c r="A73" s="16" t="str">
        <f>IFERROR(__xludf.DUMMYFUNCTION("""COMPUTED_VALUE"""),"Transformation")</f>
        <v>Transformation</v>
      </c>
      <c r="B73" s="120">
        <f>IFERROR(__xludf.DUMMYFUNCTION("""COMPUTED_VALUE"""),1.0)</f>
        <v>1</v>
      </c>
      <c r="C73" s="121" t="str">
        <f>IFERROR(__xludf.DUMMYFUNCTION("""COMPUTED_VALUE"""),"0")</f>
        <v>0</v>
      </c>
      <c r="D73" s="16"/>
      <c r="E73" s="16" t="str">
        <f>IFERROR(__xludf.DUMMYFUNCTION("""COMPUTED_VALUE"""),"If you have  5+ souls of a specific creature in your backpack you can become that creature. Can only be used once per battle.")</f>
        <v>If you have  5+ souls of a specific creature in your backpack you can become that creature. Can only be used once per battle.</v>
      </c>
      <c r="F73" s="16" t="str">
        <f>IFERROR(__xludf.DUMMYFUNCTION("""COMPUTED_VALUE"""),"Fail/Succeed")</f>
        <v>Fail/Succeed</v>
      </c>
      <c r="G73" s="16" t="str">
        <f>IFERROR(__xludf.DUMMYFUNCTION("""COMPUTED_VALUE"""),"Self")</f>
        <v>Self</v>
      </c>
      <c r="H73" s="16" t="str">
        <f>IFERROR(__xludf.DUMMYFUNCTION("""COMPUTED_VALUE"""),"Celestial")</f>
        <v>Celestial</v>
      </c>
      <c r="I73" s="16" t="str">
        <f>IFERROR(__xludf.DUMMYFUNCTION("""COMPUTED_VALUE"""),"Player")</f>
        <v>Player</v>
      </c>
      <c r="J73" s="16" t="b">
        <f>IFERROR(__xludf.DUMMYFUNCTION("""COMPUTED_VALUE"""),FALSE)</f>
        <v>0</v>
      </c>
      <c r="K73" s="16"/>
      <c r="L73" s="16" t="b">
        <f>IFERROR(__xludf.DUMMYFUNCTION("""COMPUTED_VALUE"""),FALSE)</f>
        <v>0</v>
      </c>
      <c r="M73" s="16" t="b">
        <f>IFERROR(__xludf.DUMMYFUNCTION("""COMPUTED_VALUE"""),FALSE)</f>
        <v>0</v>
      </c>
      <c r="N73" s="16"/>
    </row>
    <row r="74">
      <c r="A74" s="16" t="str">
        <f>IFERROR(__xludf.DUMMYFUNCTION("""COMPUTED_VALUE"""),"Tri-Blast")</f>
        <v>Tri-Blast</v>
      </c>
      <c r="B74" s="120">
        <f>IFERROR(__xludf.DUMMYFUNCTION("""COMPUTED_VALUE"""),9.0)</f>
        <v>9</v>
      </c>
      <c r="C74" s="119">
        <f>IFERROR(__xludf.DUMMYFUNCTION("""COMPUTED_VALUE"""),24000.0)</f>
        <v>24000</v>
      </c>
      <c r="D74" s="16"/>
      <c r="E74" s="16" t="str">
        <f>IFERROR(__xludf.DUMMYFUNCTION("""COMPUTED_VALUE"""),"200,000 Water, Fire, and Nature damage to all enemies.")</f>
        <v>200,000 Water, Fire, and Nature damage to all enemies.</v>
      </c>
      <c r="F74" s="16" t="str">
        <f>IFERROR(__xludf.DUMMYFUNCTION("""COMPUTED_VALUE"""),"Cannot Avoid")</f>
        <v>Cannot Avoid</v>
      </c>
      <c r="G74" s="16" t="str">
        <f>IFERROR(__xludf.DUMMYFUNCTION("""COMPUTED_VALUE"""),"All")</f>
        <v>All</v>
      </c>
      <c r="H74" s="16" t="str">
        <f>IFERROR(__xludf.DUMMYFUNCTION("""COMPUTED_VALUE"""),"Celestial")</f>
        <v>Celestial</v>
      </c>
      <c r="I74" s="16" t="str">
        <f>IFERROR(__xludf.DUMMYFUNCTION("""COMPUTED_VALUE"""),"Mob")</f>
        <v>Mob</v>
      </c>
      <c r="J74" s="16" t="b">
        <f>IFERROR(__xludf.DUMMYFUNCTION("""COMPUTED_VALUE"""),TRUE)</f>
        <v>1</v>
      </c>
      <c r="K74" s="16"/>
      <c r="L74" s="16" t="b">
        <f>IFERROR(__xludf.DUMMYFUNCTION("""COMPUTED_VALUE"""),FALSE)</f>
        <v>0</v>
      </c>
      <c r="M74" s="16" t="b">
        <f>IFERROR(__xludf.DUMMYFUNCTION("""COMPUTED_VALUE"""),FALSE)</f>
        <v>0</v>
      </c>
      <c r="N74" s="16"/>
    </row>
    <row r="75">
      <c r="A75" s="16" t="str">
        <f>IFERROR(__xludf.DUMMYFUNCTION("""COMPUTED_VALUE"""),"Call From The Mob House")</f>
        <v>Call From The Mob House</v>
      </c>
      <c r="B75" s="120">
        <f>IFERROR(__xludf.DUMMYFUNCTION("""COMPUTED_VALUE"""),3.0)</f>
        <v>3</v>
      </c>
      <c r="C75" s="16">
        <f>IFERROR(__xludf.DUMMYFUNCTION("""COMPUTED_VALUE"""),30.0)</f>
        <v>30</v>
      </c>
      <c r="D75" s="16"/>
      <c r="E75" s="16" t="str">
        <f>IFERROR(__xludf.DUMMYFUNCTION("""COMPUTED_VALUE"""),"Randomly summon 1 mob from a list of 20. You have control over the summoned mobs until the end of battle. Level determined by DM/GM.")</f>
        <v>Randomly summon 1 mob from a list of 20. You have control over the summoned mobs until the end of battle. Level determined by DM/GM.</v>
      </c>
      <c r="F75" s="16" t="str">
        <f>IFERROR(__xludf.DUMMYFUNCTION("""COMPUTED_VALUE"""),"Fail/Succeed")</f>
        <v>Fail/Succeed</v>
      </c>
      <c r="G75" s="16"/>
      <c r="H75" s="16" t="str">
        <f>IFERROR(__xludf.DUMMYFUNCTION("""COMPUTED_VALUE"""),"Chaos")</f>
        <v>Chaos</v>
      </c>
      <c r="I75" s="16" t="str">
        <f>IFERROR(__xludf.DUMMYFUNCTION("""COMPUTED_VALUE"""),"Player")</f>
        <v>Player</v>
      </c>
      <c r="J75" s="16" t="b">
        <f>IFERROR(__xludf.DUMMYFUNCTION("""COMPUTED_VALUE"""),FALSE)</f>
        <v>0</v>
      </c>
      <c r="K75" s="16"/>
      <c r="L75" s="16" t="b">
        <f>IFERROR(__xludf.DUMMYFUNCTION("""COMPUTED_VALUE"""),FALSE)</f>
        <v>0</v>
      </c>
      <c r="M75" s="16" t="b">
        <f>IFERROR(__xludf.DUMMYFUNCTION("""COMPUTED_VALUE"""),FALSE)</f>
        <v>0</v>
      </c>
      <c r="N75" s="16"/>
    </row>
    <row r="76">
      <c r="A76" s="16" t="str">
        <f>IFERROR(__xludf.DUMMYFUNCTION("""COMPUTED_VALUE"""),"Chaos Barrier")</f>
        <v>Chaos Barrier</v>
      </c>
      <c r="B76" s="120">
        <f>IFERROR(__xludf.DUMMYFUNCTION("""COMPUTED_VALUE"""),4.0)</f>
        <v>4</v>
      </c>
      <c r="C76" s="16">
        <f>IFERROR(__xludf.DUMMYFUNCTION("""COMPUTED_VALUE"""),40.0)</f>
        <v>40</v>
      </c>
      <c r="D76" s="16"/>
      <c r="E76" s="16" t="str">
        <f>IFERROR(__xludf.DUMMYFUNCTION("""COMPUTED_VALUE"""),"If the caster is hit, the attacker takes 4000 chaos dmg for 3 rounds.")</f>
        <v>If the caster is hit, the attacker takes 4000 chaos dmg for 3 rounds.</v>
      </c>
      <c r="F76" s="16" t="str">
        <f>IFERROR(__xludf.DUMMYFUNCTION("""COMPUTED_VALUE"""),"Fail/Succeed")</f>
        <v>Fail/Succeed</v>
      </c>
      <c r="G76" s="16"/>
      <c r="H76" s="16" t="str">
        <f>IFERROR(__xludf.DUMMYFUNCTION("""COMPUTED_VALUE"""),"Chaos")</f>
        <v>Chaos</v>
      </c>
      <c r="I76" s="16" t="str">
        <f>IFERROR(__xludf.DUMMYFUNCTION("""COMPUTED_VALUE"""),"Player")</f>
        <v>Player</v>
      </c>
      <c r="J76" s="16" t="b">
        <f>IFERROR(__xludf.DUMMYFUNCTION("""COMPUTED_VALUE"""),FALSE)</f>
        <v>0</v>
      </c>
      <c r="K76" s="16"/>
      <c r="L76" s="16" t="b">
        <f>IFERROR(__xludf.DUMMYFUNCTION("""COMPUTED_VALUE"""),FALSE)</f>
        <v>0</v>
      </c>
      <c r="M76" s="16" t="b">
        <f>IFERROR(__xludf.DUMMYFUNCTION("""COMPUTED_VALUE"""),FALSE)</f>
        <v>0</v>
      </c>
      <c r="N76" s="16"/>
    </row>
    <row r="77">
      <c r="A77" s="16" t="str">
        <f>IFERROR(__xludf.DUMMYFUNCTION("""COMPUTED_VALUE"""),"Chaos Ward")</f>
        <v>Chaos Ward</v>
      </c>
      <c r="B77" s="120">
        <f>IFERROR(__xludf.DUMMYFUNCTION("""COMPUTED_VALUE"""),9.0)</f>
        <v>9</v>
      </c>
      <c r="C77" s="16">
        <f>IFERROR(__xludf.DUMMYFUNCTION("""COMPUTED_VALUE"""),400.0)</f>
        <v>400</v>
      </c>
      <c r="D77" s="16"/>
      <c r="E77" s="16" t="str">
        <f>IFERROR(__xludf.DUMMYFUNCTION("""COMPUTED_VALUE"""),"Deflects any incoming damage for 3 rounds to a random enemy. Ward ends when stopping a spell that bypasses immunities/resistances.")</f>
        <v>Deflects any incoming damage for 3 rounds to a random enemy. Ward ends when stopping a spell that bypasses immunities/resistances.</v>
      </c>
      <c r="F77" s="16" t="str">
        <f>IFERROR(__xludf.DUMMYFUNCTION("""COMPUTED_VALUE"""),"Fail/Succeed")</f>
        <v>Fail/Succeed</v>
      </c>
      <c r="G77" s="16">
        <f>IFERROR(__xludf.DUMMYFUNCTION("""COMPUTED_VALUE"""),1.0)</f>
        <v>1</v>
      </c>
      <c r="H77" s="16" t="str">
        <f>IFERROR(__xludf.DUMMYFUNCTION("""COMPUTED_VALUE"""),"Chaos")</f>
        <v>Chaos</v>
      </c>
      <c r="I77" s="16" t="str">
        <f>IFERROR(__xludf.DUMMYFUNCTION("""COMPUTED_VALUE"""),"Player")</f>
        <v>Player</v>
      </c>
      <c r="J77" s="16" t="b">
        <f>IFERROR(__xludf.DUMMYFUNCTION("""COMPUTED_VALUE"""),FALSE)</f>
        <v>0</v>
      </c>
      <c r="K77" s="16"/>
      <c r="L77" s="16" t="b">
        <f>IFERROR(__xludf.DUMMYFUNCTION("""COMPUTED_VALUE"""),FALSE)</f>
        <v>0</v>
      </c>
      <c r="M77" s="16" t="b">
        <f>IFERROR(__xludf.DUMMYFUNCTION("""COMPUTED_VALUE"""),FALSE)</f>
        <v>0</v>
      </c>
      <c r="N77" s="16"/>
    </row>
    <row r="78">
      <c r="A78" s="16" t="str">
        <f>IFERROR(__xludf.DUMMYFUNCTION("""COMPUTED_VALUE"""),"Chaotic Golem Scream")</f>
        <v>Chaotic Golem Scream</v>
      </c>
      <c r="B78" s="120">
        <f>IFERROR(__xludf.DUMMYFUNCTION("""COMPUTED_VALUE"""),0.0)</f>
        <v>0</v>
      </c>
      <c r="C78" s="16">
        <f>IFERROR(__xludf.DUMMYFUNCTION("""COMPUTED_VALUE"""),0.0)</f>
        <v>0</v>
      </c>
      <c r="D78" s="16"/>
      <c r="E78" s="16" t="str">
        <f>IFERROR(__xludf.DUMMYFUNCTION("""COMPUTED_VALUE"""),"All enemies are stunned for 3 rounds.")</f>
        <v>All enemies are stunned for 3 rounds.</v>
      </c>
      <c r="F78" s="16" t="str">
        <f>IFERROR(__xludf.DUMMYFUNCTION("""COMPUTED_VALUE"""),"Natural/Fail Or Succeed")</f>
        <v>Natural/Fail Or Succeed</v>
      </c>
      <c r="G78" s="16" t="str">
        <f>IFERROR(__xludf.DUMMYFUNCTION("""COMPUTED_VALUE"""),"All")</f>
        <v>All</v>
      </c>
      <c r="H78" s="16" t="str">
        <f>IFERROR(__xludf.DUMMYFUNCTION("""COMPUTED_VALUE"""),"Chaos")</f>
        <v>Chaos</v>
      </c>
      <c r="I78" s="16" t="str">
        <f>IFERROR(__xludf.DUMMYFUNCTION("""COMPUTED_VALUE"""),"Mob")</f>
        <v>Mob</v>
      </c>
      <c r="J78" s="16" t="b">
        <f>IFERROR(__xludf.DUMMYFUNCTION("""COMPUTED_VALUE"""),TRUE)</f>
        <v>1</v>
      </c>
      <c r="K78" s="16" t="str">
        <f>IFERROR(__xludf.DUMMYFUNCTION("""COMPUTED_VALUE"""),"Players cannot obtain this spell.")</f>
        <v>Players cannot obtain this spell.</v>
      </c>
      <c r="L78" s="16" t="b">
        <f>IFERROR(__xludf.DUMMYFUNCTION("""COMPUTED_VALUE"""),FALSE)</f>
        <v>0</v>
      </c>
      <c r="M78" s="16" t="b">
        <f>IFERROR(__xludf.DUMMYFUNCTION("""COMPUTED_VALUE"""),FALSE)</f>
        <v>0</v>
      </c>
      <c r="N78" s="16"/>
    </row>
    <row r="79">
      <c r="A79" s="16" t="str">
        <f>IFERROR(__xludf.DUMMYFUNCTION("""COMPUTED_VALUE"""),"Chaotic Increase")</f>
        <v>Chaotic Increase</v>
      </c>
      <c r="B79" s="120">
        <f>IFERROR(__xludf.DUMMYFUNCTION("""COMPUTED_VALUE"""),5.0)</f>
        <v>5</v>
      </c>
      <c r="C79" s="16">
        <f>IFERROR(__xludf.DUMMYFUNCTION("""COMPUTED_VALUE"""),200.0)</f>
        <v>200</v>
      </c>
      <c r="D79" s="16"/>
      <c r="E79" s="16" t="str">
        <f>IFERROR(__xludf.DUMMYFUNCTION("""COMPUTED_VALUE"""),"Increases chaos dmg by X4 for the caster.")</f>
        <v>Increases chaos dmg by X4 for the caster.</v>
      </c>
      <c r="F79" s="16" t="str">
        <f>IFERROR(__xludf.DUMMYFUNCTION("""COMPUTED_VALUE"""),"Will Succeed")</f>
        <v>Will Succeed</v>
      </c>
      <c r="G79" s="16"/>
      <c r="H79" s="16" t="str">
        <f>IFERROR(__xludf.DUMMYFUNCTION("""COMPUTED_VALUE"""),"Chaos")</f>
        <v>Chaos</v>
      </c>
      <c r="I79" s="16" t="str">
        <f>IFERROR(__xludf.DUMMYFUNCTION("""COMPUTED_VALUE"""),"Player")</f>
        <v>Player</v>
      </c>
      <c r="J79" s="16" t="b">
        <f>IFERROR(__xludf.DUMMYFUNCTION("""COMPUTED_VALUE"""),FALSE)</f>
        <v>0</v>
      </c>
      <c r="K79" s="16"/>
      <c r="L79" s="16" t="b">
        <f>IFERROR(__xludf.DUMMYFUNCTION("""COMPUTED_VALUE"""),FALSE)</f>
        <v>0</v>
      </c>
      <c r="M79" s="16" t="b">
        <f>IFERROR(__xludf.DUMMYFUNCTION("""COMPUTED_VALUE"""),FALSE)</f>
        <v>0</v>
      </c>
      <c r="N79" s="16"/>
    </row>
    <row r="80">
      <c r="A80" s="16" t="str">
        <f>IFERROR(__xludf.DUMMYFUNCTION("""COMPUTED_VALUE"""),"Chaotic Phantom Blast")</f>
        <v>Chaotic Phantom Blast</v>
      </c>
      <c r="B80" s="120">
        <f>IFERROR(__xludf.DUMMYFUNCTION("""COMPUTED_VALUE"""),9.0)</f>
        <v>9</v>
      </c>
      <c r="C80" s="16" t="str">
        <f>IFERROR(__xludf.DUMMYFUNCTION("""COMPUTED_VALUE"""),"X")</f>
        <v>X</v>
      </c>
      <c r="D80" s="16"/>
      <c r="E80" s="16" t="str">
        <f>IFERROR(__xludf.DUMMYFUNCTION("""COMPUTED_VALUE"""),"X*15 Dark and X*15 Chaos damage to all enemies where X is equal to SP spent.")</f>
        <v>X*15 Dark and X*15 Chaos damage to all enemies where X is equal to SP spent.</v>
      </c>
      <c r="F80" s="16" t="str">
        <f>IFERROR(__xludf.DUMMYFUNCTION("""COMPUTED_VALUE"""),"Cannot Avoid")</f>
        <v>Cannot Avoid</v>
      </c>
      <c r="G80" s="16" t="str">
        <f>IFERROR(__xludf.DUMMYFUNCTION("""COMPUTED_VALUE"""),"All")</f>
        <v>All</v>
      </c>
      <c r="H80" s="16" t="str">
        <f>IFERROR(__xludf.DUMMYFUNCTION("""COMPUTED_VALUE"""),"Chaos")</f>
        <v>Chaos</v>
      </c>
      <c r="I80" s="16" t="str">
        <f>IFERROR(__xludf.DUMMYFUNCTION("""COMPUTED_VALUE"""),"Mob")</f>
        <v>Mob</v>
      </c>
      <c r="J80" s="16" t="b">
        <f>IFERROR(__xludf.DUMMYFUNCTION("""COMPUTED_VALUE"""),TRUE)</f>
        <v>1</v>
      </c>
      <c r="K80" s="16"/>
      <c r="L80" s="16" t="b">
        <f>IFERROR(__xludf.DUMMYFUNCTION("""COMPUTED_VALUE"""),FALSE)</f>
        <v>0</v>
      </c>
      <c r="M80" s="16" t="b">
        <f>IFERROR(__xludf.DUMMYFUNCTION("""COMPUTED_VALUE"""),FALSE)</f>
        <v>0</v>
      </c>
      <c r="N80" s="16"/>
    </row>
    <row r="81">
      <c r="A81" s="16" t="str">
        <f>IFERROR(__xludf.DUMMYFUNCTION("""COMPUTED_VALUE"""),"Chaotic Royal Barrier")</f>
        <v>Chaotic Royal Barrier</v>
      </c>
      <c r="B81" s="120">
        <f>IFERROR(__xludf.DUMMYFUNCTION("""COMPUTED_VALUE"""),9.0)</f>
        <v>9</v>
      </c>
      <c r="C81" s="119">
        <f>IFERROR(__xludf.DUMMYFUNCTION("""COMPUTED_VALUE"""),10000.0)</f>
        <v>10000</v>
      </c>
      <c r="D81" s="16"/>
      <c r="E81" s="16" t="str">
        <f>IFERROR(__xludf.DUMMYFUNCTION("""COMPUTED_VALUE"""),"Caster and allies are protected from all dmg for 3 rounds.")</f>
        <v>Caster and allies are protected from all dmg for 3 rounds.</v>
      </c>
      <c r="F81" s="16" t="str">
        <f>IFERROR(__xludf.DUMMYFUNCTION("""COMPUTED_VALUE"""),"Fail/Succeed")</f>
        <v>Fail/Succeed</v>
      </c>
      <c r="G81" s="16" t="str">
        <f>IFERROR(__xludf.DUMMYFUNCTION("""COMPUTED_VALUE"""),"Self")</f>
        <v>Self</v>
      </c>
      <c r="H81" s="16" t="str">
        <f>IFERROR(__xludf.DUMMYFUNCTION("""COMPUTED_VALUE"""),"Chaos")</f>
        <v>Chaos</v>
      </c>
      <c r="I81" s="16" t="str">
        <f>IFERROR(__xludf.DUMMYFUNCTION("""COMPUTED_VALUE"""),"Mob")</f>
        <v>Mob</v>
      </c>
      <c r="J81" s="16" t="b">
        <f>IFERROR(__xludf.DUMMYFUNCTION("""COMPUTED_VALUE"""),TRUE)</f>
        <v>1</v>
      </c>
      <c r="K81" s="16"/>
      <c r="L81" s="16" t="b">
        <f>IFERROR(__xludf.DUMMYFUNCTION("""COMPUTED_VALUE"""),FALSE)</f>
        <v>0</v>
      </c>
      <c r="M81" s="16" t="b">
        <f>IFERROR(__xludf.DUMMYFUNCTION("""COMPUTED_VALUE"""),FALSE)</f>
        <v>0</v>
      </c>
      <c r="N81" s="16"/>
    </row>
    <row r="82">
      <c r="A82" s="16" t="str">
        <f>IFERROR(__xludf.DUMMYFUNCTION("""COMPUTED_VALUE"""),"Chaotic Shadow Barrier")</f>
        <v>Chaotic Shadow Barrier</v>
      </c>
      <c r="B82" s="120">
        <f>IFERROR(__xludf.DUMMYFUNCTION("""COMPUTED_VALUE"""),9.0)</f>
        <v>9</v>
      </c>
      <c r="C82" s="119">
        <f>IFERROR(__xludf.DUMMYFUNCTION("""COMPUTED_VALUE"""),10000.0)</f>
        <v>10000</v>
      </c>
      <c r="D82" s="16"/>
      <c r="E82" s="16" t="str">
        <f>IFERROR(__xludf.DUMMYFUNCTION("""COMPUTED_VALUE"""),"Target is protected from all spells for 3 rounds")</f>
        <v>Target is protected from all spells for 3 rounds</v>
      </c>
      <c r="F82" s="16" t="str">
        <f>IFERROR(__xludf.DUMMYFUNCTION("""COMPUTED_VALUE"""),"Fail/Succeed")</f>
        <v>Fail/Succeed</v>
      </c>
      <c r="G82" s="16" t="str">
        <f>IFERROR(__xludf.DUMMYFUNCTION("""COMPUTED_VALUE"""),"Self")</f>
        <v>Self</v>
      </c>
      <c r="H82" s="16" t="str">
        <f>IFERROR(__xludf.DUMMYFUNCTION("""COMPUTED_VALUE"""),"Chaos")</f>
        <v>Chaos</v>
      </c>
      <c r="I82" s="16" t="str">
        <f>IFERROR(__xludf.DUMMYFUNCTION("""COMPUTED_VALUE"""),"Mob")</f>
        <v>Mob</v>
      </c>
      <c r="J82" s="16" t="b">
        <f>IFERROR(__xludf.DUMMYFUNCTION("""COMPUTED_VALUE"""),TRUE)</f>
        <v>1</v>
      </c>
      <c r="K82" s="16"/>
      <c r="L82" s="16" t="b">
        <f>IFERROR(__xludf.DUMMYFUNCTION("""COMPUTED_VALUE"""),FALSE)</f>
        <v>0</v>
      </c>
      <c r="M82" s="16" t="b">
        <f>IFERROR(__xludf.DUMMYFUNCTION("""COMPUTED_VALUE"""),FALSE)</f>
        <v>0</v>
      </c>
      <c r="N82" s="16"/>
    </row>
    <row r="83">
      <c r="A83" s="16" t="str">
        <f>IFERROR(__xludf.DUMMYFUNCTION("""COMPUTED_VALUE"""),"Chaotic Shadow Breath")</f>
        <v>Chaotic Shadow Breath</v>
      </c>
      <c r="B83" s="120">
        <f>IFERROR(__xludf.DUMMYFUNCTION("""COMPUTED_VALUE"""),0.0)</f>
        <v>0</v>
      </c>
      <c r="C83" s="16">
        <f>IFERROR(__xludf.DUMMYFUNCTION("""COMPUTED_VALUE"""),0.0)</f>
        <v>0</v>
      </c>
      <c r="D83" s="16"/>
      <c r="E83" s="16" t="str">
        <f>IFERROR(__xludf.DUMMYFUNCTION("""COMPUTED_VALUE"""),"All enemies take X Dark and X Chaos damage where X is equal to the users accuracy.")</f>
        <v>All enemies take X Dark and X Chaos damage where X is equal to the users accuracy.</v>
      </c>
      <c r="F83" s="16" t="str">
        <f>IFERROR(__xludf.DUMMYFUNCTION("""COMPUTED_VALUE"""),"Natural/Cannot Avoid")</f>
        <v>Natural/Cannot Avoid</v>
      </c>
      <c r="G83" s="16" t="str">
        <f>IFERROR(__xludf.DUMMYFUNCTION("""COMPUTED_VALUE"""),"All")</f>
        <v>All</v>
      </c>
      <c r="H83" s="16" t="str">
        <f>IFERROR(__xludf.DUMMYFUNCTION("""COMPUTED_VALUE"""),"Chaos")</f>
        <v>Chaos</v>
      </c>
      <c r="I83" s="16" t="str">
        <f>IFERROR(__xludf.DUMMYFUNCTION("""COMPUTED_VALUE"""),"Mob")</f>
        <v>Mob</v>
      </c>
      <c r="J83" s="16" t="b">
        <f>IFERROR(__xludf.DUMMYFUNCTION("""COMPUTED_VALUE"""),TRUE)</f>
        <v>1</v>
      </c>
      <c r="K83" s="16" t="str">
        <f>IFERROR(__xludf.DUMMYFUNCTION("""COMPUTED_VALUE"""),"Players cannot obtain this power.")</f>
        <v>Players cannot obtain this power.</v>
      </c>
      <c r="L83" s="16" t="b">
        <f>IFERROR(__xludf.DUMMYFUNCTION("""COMPUTED_VALUE"""),FALSE)</f>
        <v>0</v>
      </c>
      <c r="M83" s="16" t="b">
        <f>IFERROR(__xludf.DUMMYFUNCTION("""COMPUTED_VALUE"""),FALSE)</f>
        <v>0</v>
      </c>
      <c r="N83" s="16"/>
    </row>
    <row r="84">
      <c r="A84" s="16" t="str">
        <f>IFERROR(__xludf.DUMMYFUNCTION("""COMPUTED_VALUE"""),"Chaotic Shadow Claws")</f>
        <v>Chaotic Shadow Claws</v>
      </c>
      <c r="B84" s="120">
        <f>IFERROR(__xludf.DUMMYFUNCTION("""COMPUTED_VALUE"""),0.0)</f>
        <v>0</v>
      </c>
      <c r="C84" s="16">
        <f>IFERROR(__xludf.DUMMYFUNCTION("""COMPUTED_VALUE"""),0.0)</f>
        <v>0</v>
      </c>
      <c r="D84" s="16"/>
      <c r="E84" s="16" t="str">
        <f>IFERROR(__xludf.DUMMYFUNCTION("""COMPUTED_VALUE"""),"X Chaos and X Dark damage to 1 target where X is equal to the users attack. 25% Chance to remove the target from battle.")</f>
        <v>X Chaos and X Dark damage to 1 target where X is equal to the users attack. 25% Chance to remove the target from battle.</v>
      </c>
      <c r="F84" s="16" t="str">
        <f>IFERROR(__xludf.DUMMYFUNCTION("""COMPUTED_VALUE"""),"Natural/Hit or Miss")</f>
        <v>Natural/Hit or Miss</v>
      </c>
      <c r="G84" s="16">
        <f>IFERROR(__xludf.DUMMYFUNCTION("""COMPUTED_VALUE"""),1.0)</f>
        <v>1</v>
      </c>
      <c r="H84" s="16" t="str">
        <f>IFERROR(__xludf.DUMMYFUNCTION("""COMPUTED_VALUE"""),"Chaos")</f>
        <v>Chaos</v>
      </c>
      <c r="I84" s="16" t="str">
        <f>IFERROR(__xludf.DUMMYFUNCTION("""COMPUTED_VALUE"""),"Mob")</f>
        <v>Mob</v>
      </c>
      <c r="J84" s="16" t="b">
        <f>IFERROR(__xludf.DUMMYFUNCTION("""COMPUTED_VALUE"""),TRUE)</f>
        <v>1</v>
      </c>
      <c r="K84" s="16"/>
      <c r="L84" s="16" t="b">
        <f>IFERROR(__xludf.DUMMYFUNCTION("""COMPUTED_VALUE"""),FALSE)</f>
        <v>0</v>
      </c>
      <c r="M84" s="16" t="b">
        <f>IFERROR(__xludf.DUMMYFUNCTION("""COMPUTED_VALUE"""),FALSE)</f>
        <v>0</v>
      </c>
      <c r="N84" s="16"/>
    </row>
    <row r="85">
      <c r="A85" s="16" t="str">
        <f>IFERROR(__xludf.DUMMYFUNCTION("""COMPUTED_VALUE"""),"Chaotic Shadow Dragons War Call")</f>
        <v>Chaotic Shadow Dragons War Call</v>
      </c>
      <c r="B85" s="120">
        <f>IFERROR(__xludf.DUMMYFUNCTION("""COMPUTED_VALUE"""),0.0)</f>
        <v>0</v>
      </c>
      <c r="C85" s="16">
        <f>IFERROR(__xludf.DUMMYFUNCTION("""COMPUTED_VALUE"""),0.0)</f>
        <v>0</v>
      </c>
      <c r="D85" s="16"/>
      <c r="E85" s="16" t="str">
        <f>IFERROR(__xludf.DUMMYFUNCTION("""COMPUTED_VALUE"""),"Calls in 2 other Multi headed Chaotic Shadow Dragon’s to battle, 50% chance to call in 3.")</f>
        <v>Calls in 2 other Multi headed Chaotic Shadow Dragon’s to battle, 50% chance to call in 3.</v>
      </c>
      <c r="F85" s="16" t="str">
        <f>IFERROR(__xludf.DUMMYFUNCTION("""COMPUTED_VALUE"""),"Natural/Fail or Succeed")</f>
        <v>Natural/Fail or Succeed</v>
      </c>
      <c r="G85" s="16" t="str">
        <f>IFERROR(__xludf.DUMMYFUNCTION("""COMPUTED_VALUE"""),"Self")</f>
        <v>Self</v>
      </c>
      <c r="H85" s="16" t="str">
        <f>IFERROR(__xludf.DUMMYFUNCTION("""COMPUTED_VALUE"""),"Chaos")</f>
        <v>Chaos</v>
      </c>
      <c r="I85" s="16" t="str">
        <f>IFERROR(__xludf.DUMMYFUNCTION("""COMPUTED_VALUE"""),"Mob")</f>
        <v>Mob</v>
      </c>
      <c r="J85" s="16" t="b">
        <f>IFERROR(__xludf.DUMMYFUNCTION("""COMPUTED_VALUE"""),TRUE)</f>
        <v>1</v>
      </c>
      <c r="K85" s="16"/>
      <c r="L85" s="16" t="b">
        <f>IFERROR(__xludf.DUMMYFUNCTION("""COMPUTED_VALUE"""),FALSE)</f>
        <v>0</v>
      </c>
      <c r="M85" s="16" t="b">
        <f>IFERROR(__xludf.DUMMYFUNCTION("""COMPUTED_VALUE"""),FALSE)</f>
        <v>0</v>
      </c>
      <c r="N85" s="16"/>
    </row>
    <row r="86">
      <c r="A86" s="16" t="str">
        <f>IFERROR(__xludf.DUMMYFUNCTION("""COMPUTED_VALUE"""),"Chaotic Shadow Dragons Wrath")</f>
        <v>Chaotic Shadow Dragons Wrath</v>
      </c>
      <c r="B86" s="120">
        <f>IFERROR(__xludf.DUMMYFUNCTION("""COMPUTED_VALUE"""),0.0)</f>
        <v>0</v>
      </c>
      <c r="C86" s="16">
        <f>IFERROR(__xludf.DUMMYFUNCTION("""COMPUTED_VALUE"""),0.0)</f>
        <v>0</v>
      </c>
      <c r="D86" s="16"/>
      <c r="E86" s="16" t="str">
        <f>IFERROR(__xludf.DUMMYFUNCTION("""COMPUTED_VALUE"""),"X Dark, X Fire, and X Chaos damage to all enemies, where X is equal to the users accuracy.")</f>
        <v>X Dark, X Fire, and X Chaos damage to all enemies, where X is equal to the users accuracy.</v>
      </c>
      <c r="F86" s="16" t="str">
        <f>IFERROR(__xludf.DUMMYFUNCTION("""COMPUTED_VALUE"""),"Natural/Cannot Avoid")</f>
        <v>Natural/Cannot Avoid</v>
      </c>
      <c r="G86" s="16" t="str">
        <f>IFERROR(__xludf.DUMMYFUNCTION("""COMPUTED_VALUE"""),"All")</f>
        <v>All</v>
      </c>
      <c r="H86" s="16" t="str">
        <f>IFERROR(__xludf.DUMMYFUNCTION("""COMPUTED_VALUE"""),"Chaos")</f>
        <v>Chaos</v>
      </c>
      <c r="I86" s="16" t="str">
        <f>IFERROR(__xludf.DUMMYFUNCTION("""COMPUTED_VALUE"""),"Mob")</f>
        <v>Mob</v>
      </c>
      <c r="J86" s="16" t="b">
        <f>IFERROR(__xludf.DUMMYFUNCTION("""COMPUTED_VALUE"""),TRUE)</f>
        <v>1</v>
      </c>
      <c r="K86" s="16"/>
      <c r="L86" s="16" t="b">
        <f>IFERROR(__xludf.DUMMYFUNCTION("""COMPUTED_VALUE"""),FALSE)</f>
        <v>0</v>
      </c>
      <c r="M86" s="16" t="b">
        <f>IFERROR(__xludf.DUMMYFUNCTION("""COMPUTED_VALUE"""),FALSE)</f>
        <v>0</v>
      </c>
      <c r="N86" s="16"/>
    </row>
    <row r="87">
      <c r="A87" s="16" t="str">
        <f>IFERROR(__xludf.DUMMYFUNCTION("""COMPUTED_VALUE"""),"Chaotic Shadow Force")</f>
        <v>Chaotic Shadow Force</v>
      </c>
      <c r="B87" s="120">
        <f>IFERROR(__xludf.DUMMYFUNCTION("""COMPUTED_VALUE"""),0.0)</f>
        <v>0</v>
      </c>
      <c r="C87" s="16">
        <f>IFERROR(__xludf.DUMMYFUNCTION("""COMPUTED_VALUE"""),0.0)</f>
        <v>0</v>
      </c>
      <c r="D87" s="16"/>
      <c r="E87" s="16" t="str">
        <f>IFERROR(__xludf.DUMMYFUNCTION("""COMPUTED_VALUE"""),"Target is forced to attack itself. Player chooses the attack if casted by a player. DM chooses the attack if casted by a mob.")</f>
        <v>Target is forced to attack itself. Player chooses the attack if casted by a player. DM chooses the attack if casted by a mob.</v>
      </c>
      <c r="F87" s="16" t="str">
        <f>IFERROR(__xludf.DUMMYFUNCTION("""COMPUTED_VALUE"""),"Natural/Fail Or Succeed")</f>
        <v>Natural/Fail Or Succeed</v>
      </c>
      <c r="G87" s="16">
        <f>IFERROR(__xludf.DUMMYFUNCTION("""COMPUTED_VALUE"""),1.0)</f>
        <v>1</v>
      </c>
      <c r="H87" s="16" t="str">
        <f>IFERROR(__xludf.DUMMYFUNCTION("""COMPUTED_VALUE"""),"Chaos")</f>
        <v>Chaos</v>
      </c>
      <c r="I87" s="16" t="str">
        <f>IFERROR(__xludf.DUMMYFUNCTION("""COMPUTED_VALUE"""),"Mob")</f>
        <v>Mob</v>
      </c>
      <c r="J87" s="16" t="b">
        <f>IFERROR(__xludf.DUMMYFUNCTION("""COMPUTED_VALUE"""),TRUE)</f>
        <v>1</v>
      </c>
      <c r="K87" s="16"/>
      <c r="L87" s="16" t="b">
        <f>IFERROR(__xludf.DUMMYFUNCTION("""COMPUTED_VALUE"""),FALSE)</f>
        <v>0</v>
      </c>
      <c r="M87" s="16" t="b">
        <f>IFERROR(__xludf.DUMMYFUNCTION("""COMPUTED_VALUE"""),FALSE)</f>
        <v>0</v>
      </c>
      <c r="N87" s="16"/>
    </row>
    <row r="88">
      <c r="A88" s="16" t="str">
        <f>IFERROR(__xludf.DUMMYFUNCTION("""COMPUTED_VALUE"""),"Chaotic Shadow Slam")</f>
        <v>Chaotic Shadow Slam</v>
      </c>
      <c r="B88" s="120">
        <f>IFERROR(__xludf.DUMMYFUNCTION("""COMPUTED_VALUE"""),0.0)</f>
        <v>0</v>
      </c>
      <c r="C88" s="16">
        <f>IFERROR(__xludf.DUMMYFUNCTION("""COMPUTED_VALUE"""),0.0)</f>
        <v>0</v>
      </c>
      <c r="D88" s="16"/>
      <c r="E88" s="16" t="str">
        <f>IFERROR(__xludf.DUMMYFUNCTION("""COMPUTED_VALUE"""),"Slams the target into the ground dealing X*2 Chaos and X*2 Dark damage where X is equal to attack.")</f>
        <v>Slams the target into the ground dealing X*2 Chaos and X*2 Dark damage where X is equal to attack.</v>
      </c>
      <c r="F88" s="16" t="str">
        <f>IFERROR(__xludf.DUMMYFUNCTION("""COMPUTED_VALUE"""),"Natural/Hit or Miss")</f>
        <v>Natural/Hit or Miss</v>
      </c>
      <c r="G88" s="16">
        <f>IFERROR(__xludf.DUMMYFUNCTION("""COMPUTED_VALUE"""),1.0)</f>
        <v>1</v>
      </c>
      <c r="H88" s="16" t="str">
        <f>IFERROR(__xludf.DUMMYFUNCTION("""COMPUTED_VALUE"""),"Chaos")</f>
        <v>Chaos</v>
      </c>
      <c r="I88" s="16" t="str">
        <f>IFERROR(__xludf.DUMMYFUNCTION("""COMPUTED_VALUE"""),"Mob")</f>
        <v>Mob</v>
      </c>
      <c r="J88" s="16" t="b">
        <f>IFERROR(__xludf.DUMMYFUNCTION("""COMPUTED_VALUE"""),TRUE)</f>
        <v>1</v>
      </c>
      <c r="K88" s="16"/>
      <c r="L88" s="16" t="b">
        <f>IFERROR(__xludf.DUMMYFUNCTION("""COMPUTED_VALUE"""),FALSE)</f>
        <v>0</v>
      </c>
      <c r="M88" s="16" t="b">
        <f>IFERROR(__xludf.DUMMYFUNCTION("""COMPUTED_VALUE"""),FALSE)</f>
        <v>0</v>
      </c>
      <c r="N88" s="16"/>
    </row>
    <row r="89">
      <c r="A89" s="16" t="str">
        <f>IFERROR(__xludf.DUMMYFUNCTION("""COMPUTED_VALUE"""),"Chaotic Shadow Spider Slam")</f>
        <v>Chaotic Shadow Spider Slam</v>
      </c>
      <c r="B89" s="120">
        <f>IFERROR(__xludf.DUMMYFUNCTION("""COMPUTED_VALUE"""),0.0)</f>
        <v>0</v>
      </c>
      <c r="C89" s="16">
        <f>IFERROR(__xludf.DUMMYFUNCTION("""COMPUTED_VALUE"""),0.0)</f>
        <v>0</v>
      </c>
      <c r="D89" s="16"/>
      <c r="E89" s="16" t="str">
        <f>IFERROR(__xludf.DUMMYFUNCTION("""COMPUTED_VALUE"""),"All targets take X Dark and X Chaos damage, where x is equal to the users attack.")</f>
        <v>All targets take X Dark and X Chaos damage, where x is equal to the users attack.</v>
      </c>
      <c r="F89" s="16" t="str">
        <f>IFERROR(__xludf.DUMMYFUNCTION("""COMPUTED_VALUE"""),"Natural/Cannot Avoid")</f>
        <v>Natural/Cannot Avoid</v>
      </c>
      <c r="G89" s="16" t="str">
        <f>IFERROR(__xludf.DUMMYFUNCTION("""COMPUTED_VALUE"""),"All")</f>
        <v>All</v>
      </c>
      <c r="H89" s="16" t="str">
        <f>IFERROR(__xludf.DUMMYFUNCTION("""COMPUTED_VALUE"""),"Chaos")</f>
        <v>Chaos</v>
      </c>
      <c r="I89" s="16" t="str">
        <f>IFERROR(__xludf.DUMMYFUNCTION("""COMPUTED_VALUE"""),"Mob")</f>
        <v>Mob</v>
      </c>
      <c r="J89" s="16" t="b">
        <f>IFERROR(__xludf.DUMMYFUNCTION("""COMPUTED_VALUE"""),TRUE)</f>
        <v>1</v>
      </c>
      <c r="K89" s="16"/>
      <c r="L89" s="16" t="b">
        <f>IFERROR(__xludf.DUMMYFUNCTION("""COMPUTED_VALUE"""),FALSE)</f>
        <v>0</v>
      </c>
      <c r="M89" s="16" t="b">
        <f>IFERROR(__xludf.DUMMYFUNCTION("""COMPUTED_VALUE"""),FALSE)</f>
        <v>0</v>
      </c>
      <c r="N89" s="16"/>
    </row>
    <row r="90">
      <c r="A90" s="16" t="str">
        <f>IFERROR(__xludf.DUMMYFUNCTION("""COMPUTED_VALUE"""),"Chaotic Shadow Stomp")</f>
        <v>Chaotic Shadow Stomp</v>
      </c>
      <c r="B90" s="120">
        <f>IFERROR(__xludf.DUMMYFUNCTION("""COMPUTED_VALUE"""),0.0)</f>
        <v>0</v>
      </c>
      <c r="C90" s="16">
        <f>IFERROR(__xludf.DUMMYFUNCTION("""COMPUTED_VALUE"""),0.0)</f>
        <v>0</v>
      </c>
      <c r="D90" s="16"/>
      <c r="E90" s="16" t="str">
        <f>IFERROR(__xludf.DUMMYFUNCTION("""COMPUTED_VALUE"""),"All enemies take X*4 Dark and X*4 Chaos damage, where x is equal to the users attack.")</f>
        <v>All enemies take X*4 Dark and X*4 Chaos damage, where x is equal to the users attack.</v>
      </c>
      <c r="F90" s="16" t="str">
        <f>IFERROR(__xludf.DUMMYFUNCTION("""COMPUTED_VALUE"""),"Natural/Cannot Avoid")</f>
        <v>Natural/Cannot Avoid</v>
      </c>
      <c r="G90" s="16" t="str">
        <f>IFERROR(__xludf.DUMMYFUNCTION("""COMPUTED_VALUE"""),"All")</f>
        <v>All</v>
      </c>
      <c r="H90" s="16" t="str">
        <f>IFERROR(__xludf.DUMMYFUNCTION("""COMPUTED_VALUE"""),"Chaos")</f>
        <v>Chaos</v>
      </c>
      <c r="I90" s="16" t="str">
        <f>IFERROR(__xludf.DUMMYFUNCTION("""COMPUTED_VALUE"""),"Mob")</f>
        <v>Mob</v>
      </c>
      <c r="J90" s="16" t="b">
        <f>IFERROR(__xludf.DUMMYFUNCTION("""COMPUTED_VALUE"""),TRUE)</f>
        <v>1</v>
      </c>
      <c r="K90" s="16"/>
      <c r="L90" s="16" t="b">
        <f>IFERROR(__xludf.DUMMYFUNCTION("""COMPUTED_VALUE"""),FALSE)</f>
        <v>0</v>
      </c>
      <c r="M90" s="16" t="b">
        <f>IFERROR(__xludf.DUMMYFUNCTION("""COMPUTED_VALUE"""),FALSE)</f>
        <v>0</v>
      </c>
      <c r="N90" s="16"/>
    </row>
    <row r="91">
      <c r="A91" s="16" t="str">
        <f>IFERROR(__xludf.DUMMYFUNCTION("""COMPUTED_VALUE"""),"Chaotic Spider Smarts")</f>
        <v>Chaotic Spider Smarts</v>
      </c>
      <c r="B91" s="120">
        <f>IFERROR(__xludf.DUMMYFUNCTION("""COMPUTED_VALUE"""),0.0)</f>
        <v>0</v>
      </c>
      <c r="C91" s="16">
        <f>IFERROR(__xludf.DUMMYFUNCTION("""COMPUTED_VALUE"""),0.0)</f>
        <v>0</v>
      </c>
      <c r="D91" s="16"/>
      <c r="E91" s="16" t="str">
        <f>IFERROR(__xludf.DUMMYFUNCTION("""COMPUTED_VALUE"""),"All base stats become x4 for 3 rounds, can only be used once per battle.")</f>
        <v>All base stats become x4 for 3 rounds, can only be used once per battle.</v>
      </c>
      <c r="F91" s="16" t="str">
        <f>IFERROR(__xludf.DUMMYFUNCTION("""COMPUTED_VALUE"""),"Natural/Fail or Succeed")</f>
        <v>Natural/Fail or Succeed</v>
      </c>
      <c r="G91" s="16" t="str">
        <f>IFERROR(__xludf.DUMMYFUNCTION("""COMPUTED_VALUE"""),"Self")</f>
        <v>Self</v>
      </c>
      <c r="H91" s="16" t="str">
        <f>IFERROR(__xludf.DUMMYFUNCTION("""COMPUTED_VALUE"""),"Chaos")</f>
        <v>Chaos</v>
      </c>
      <c r="I91" s="16" t="str">
        <f>IFERROR(__xludf.DUMMYFUNCTION("""COMPUTED_VALUE"""),"Mob")</f>
        <v>Mob</v>
      </c>
      <c r="J91" s="16" t="b">
        <f>IFERROR(__xludf.DUMMYFUNCTION("""COMPUTED_VALUE"""),TRUE)</f>
        <v>1</v>
      </c>
      <c r="K91" s="16"/>
      <c r="L91" s="16" t="b">
        <f>IFERROR(__xludf.DUMMYFUNCTION("""COMPUTED_VALUE"""),FALSE)</f>
        <v>0</v>
      </c>
      <c r="M91" s="16" t="b">
        <f>IFERROR(__xludf.DUMMYFUNCTION("""COMPUTED_VALUE"""),FALSE)</f>
        <v>0</v>
      </c>
      <c r="N91" s="16"/>
    </row>
    <row r="92">
      <c r="A92" s="16" t="str">
        <f>IFERROR(__xludf.DUMMYFUNCTION("""COMPUTED_VALUE"""),"Countdown")</f>
        <v>Countdown</v>
      </c>
      <c r="B92" s="120">
        <f>IFERROR(__xludf.DUMMYFUNCTION("""COMPUTED_VALUE"""),9.0)</f>
        <v>9</v>
      </c>
      <c r="C92" s="119">
        <f>IFERROR(__xludf.DUMMYFUNCTION("""COMPUTED_VALUE"""),10000.0)</f>
        <v>10000</v>
      </c>
      <c r="D92" s="16"/>
      <c r="E92" s="16" t="str">
        <f>IFERROR(__xludf.DUMMYFUNCTION("""COMPUTED_VALUE"""),"All enemies will instantly die after 3 rounds, cannot be canceled once begun, Cannot resist or be immune to.")</f>
        <v>All enemies will instantly die after 3 rounds, cannot be canceled once begun, Cannot resist or be immune to.</v>
      </c>
      <c r="F92" s="16" t="str">
        <f>IFERROR(__xludf.DUMMYFUNCTION("""COMPUTED_VALUE"""),"Fail/Succeed")</f>
        <v>Fail/Succeed</v>
      </c>
      <c r="G92" s="16" t="str">
        <f>IFERROR(__xludf.DUMMYFUNCTION("""COMPUTED_VALUE"""),"All")</f>
        <v>All</v>
      </c>
      <c r="H92" s="16" t="str">
        <f>IFERROR(__xludf.DUMMYFUNCTION("""COMPUTED_VALUE"""),"Chaos")</f>
        <v>Chaos</v>
      </c>
      <c r="I92" s="16" t="str">
        <f>IFERROR(__xludf.DUMMYFUNCTION("""COMPUTED_VALUE"""),"Player")</f>
        <v>Player</v>
      </c>
      <c r="J92" s="16" t="b">
        <f>IFERROR(__xludf.DUMMYFUNCTION("""COMPUTED_VALUE"""),TRUE)</f>
        <v>1</v>
      </c>
      <c r="K92" s="16" t="str">
        <f>IFERROR(__xludf.DUMMYFUNCTION("""COMPUTED_VALUE"""),"shop spell")</f>
        <v>shop spell</v>
      </c>
      <c r="L92" s="16" t="b">
        <f>IFERROR(__xludf.DUMMYFUNCTION("""COMPUTED_VALUE"""),FALSE)</f>
        <v>0</v>
      </c>
      <c r="M92" s="16" t="b">
        <f>IFERROR(__xludf.DUMMYFUNCTION("""COMPUTED_VALUE"""),TRUE)</f>
        <v>1</v>
      </c>
      <c r="N92" s="16"/>
    </row>
    <row r="93">
      <c r="A93" s="16" t="str">
        <f>IFERROR(__xludf.DUMMYFUNCTION("""COMPUTED_VALUE"""),"Curse of The Samurai")</f>
        <v>Curse of The Samurai</v>
      </c>
      <c r="B93" s="120">
        <f>IFERROR(__xludf.DUMMYFUNCTION("""COMPUTED_VALUE"""),9.0)</f>
        <v>9</v>
      </c>
      <c r="C93" s="119">
        <f>IFERROR(__xludf.DUMMYFUNCTION("""COMPUTED_VALUE"""),300.0)</f>
        <v>300</v>
      </c>
      <c r="D93" s="16"/>
      <c r="E93" s="16" t="str">
        <f>IFERROR(__xludf.DUMMYFUNCTION("""COMPUTED_VALUE"""),"Binds the target to the area they are in making it so they cannot leave it.")</f>
        <v>Binds the target to the area they are in making it so they cannot leave it.</v>
      </c>
      <c r="F93" s="16" t="str">
        <f>IFERROR(__xludf.DUMMYFUNCTION("""COMPUTED_VALUE"""),"Fail or Succeed")</f>
        <v>Fail or Succeed</v>
      </c>
      <c r="G93" s="16">
        <f>IFERROR(__xludf.DUMMYFUNCTION("""COMPUTED_VALUE"""),1.0)</f>
        <v>1</v>
      </c>
      <c r="H93" s="16" t="str">
        <f>IFERROR(__xludf.DUMMYFUNCTION("""COMPUTED_VALUE"""),"Chaos")</f>
        <v>Chaos</v>
      </c>
      <c r="I93" s="16" t="str">
        <f>IFERROR(__xludf.DUMMYFUNCTION("""COMPUTED_VALUE"""),"Mob")</f>
        <v>Mob</v>
      </c>
      <c r="J93" s="16" t="b">
        <f>IFERROR(__xludf.DUMMYFUNCTION("""COMPUTED_VALUE"""),TRUE)</f>
        <v>1</v>
      </c>
      <c r="K93" s="16"/>
      <c r="L93" s="16" t="b">
        <f>IFERROR(__xludf.DUMMYFUNCTION("""COMPUTED_VALUE"""),FALSE)</f>
        <v>0</v>
      </c>
      <c r="M93" s="16" t="b">
        <f>IFERROR(__xludf.DUMMYFUNCTION("""COMPUTED_VALUE"""),FALSE)</f>
        <v>0</v>
      </c>
      <c r="N93" s="16"/>
    </row>
    <row r="94">
      <c r="A94" s="16" t="str">
        <f>IFERROR(__xludf.DUMMYFUNCTION("""COMPUTED_VALUE"""),"Deflect (Random)")</f>
        <v>Deflect (Random)</v>
      </c>
      <c r="B94" s="120">
        <f>IFERROR(__xludf.DUMMYFUNCTION("""COMPUTED_VALUE"""),3.0)</f>
        <v>3</v>
      </c>
      <c r="C94" s="16">
        <f>IFERROR(__xludf.DUMMYFUNCTION("""COMPUTED_VALUE"""),30.0)</f>
        <v>30</v>
      </c>
      <c r="D94" s="16"/>
      <c r="E94" s="16" t="str">
        <f>IFERROR(__xludf.DUMMYFUNCTION("""COMPUTED_VALUE"""),"Deflects any damage you would have taken from the next attack and diverts to a random target.")</f>
        <v>Deflects any damage you would have taken from the next attack and diverts to a random target.</v>
      </c>
      <c r="F94" s="16" t="str">
        <f>IFERROR(__xludf.DUMMYFUNCTION("""COMPUTED_VALUE"""),"Fail/Succeed")</f>
        <v>Fail/Succeed</v>
      </c>
      <c r="G94" s="16"/>
      <c r="H94" s="16" t="str">
        <f>IFERROR(__xludf.DUMMYFUNCTION("""COMPUTED_VALUE"""),"Chaos")</f>
        <v>Chaos</v>
      </c>
      <c r="I94" s="16" t="str">
        <f>IFERROR(__xludf.DUMMYFUNCTION("""COMPUTED_VALUE"""),"Player")</f>
        <v>Player</v>
      </c>
      <c r="J94" s="16" t="b">
        <f>IFERROR(__xludf.DUMMYFUNCTION("""COMPUTED_VALUE"""),FALSE)</f>
        <v>0</v>
      </c>
      <c r="K94" s="16"/>
      <c r="L94" s="16" t="b">
        <f>IFERROR(__xludf.DUMMYFUNCTION("""COMPUTED_VALUE"""),FALSE)</f>
        <v>0</v>
      </c>
      <c r="M94" s="16" t="b">
        <f>IFERROR(__xludf.DUMMYFUNCTION("""COMPUTED_VALUE"""),FALSE)</f>
        <v>0</v>
      </c>
      <c r="N94" s="16"/>
    </row>
    <row r="95">
      <c r="A95" s="16" t="str">
        <f>IFERROR(__xludf.DUMMYFUNCTION("""COMPUTED_VALUE"""),"Dimension Portal")</f>
        <v>Dimension Portal</v>
      </c>
      <c r="B95" s="120">
        <f>IFERROR(__xludf.DUMMYFUNCTION("""COMPUTED_VALUE"""),9.0)</f>
        <v>9</v>
      </c>
      <c r="C95" s="16" t="str">
        <f>IFERROR(__xludf.DUMMYFUNCTION("""COMPUTED_VALUE"""),"200 or 400")</f>
        <v>200 or 400</v>
      </c>
      <c r="D95" s="16"/>
      <c r="E95" s="16" t="str">
        <f>IFERROR(__xludf.DUMMYFUNCTION("""COMPUTED_VALUE"""),"Pay 400SP to teleport you or a target to a desired region in battle or rp, pay 200SP to teleport you or a target to a random region in battle or rp.")</f>
        <v>Pay 400SP to teleport you or a target to a desired region in battle or rp, pay 200SP to teleport you or a target to a random region in battle or rp.</v>
      </c>
      <c r="F95" s="16" t="str">
        <f>IFERROR(__xludf.DUMMYFUNCTION("""COMPUTED_VALUE"""),"Fail/Succeed")</f>
        <v>Fail/Succeed</v>
      </c>
      <c r="G95" s="16"/>
      <c r="H95" s="16" t="str">
        <f>IFERROR(__xludf.DUMMYFUNCTION("""COMPUTED_VALUE"""),"Chaos")</f>
        <v>Chaos</v>
      </c>
      <c r="I95" s="16" t="str">
        <f>IFERROR(__xludf.DUMMYFUNCTION("""COMPUTED_VALUE"""),"Player")</f>
        <v>Player</v>
      </c>
      <c r="J95" s="16" t="b">
        <f>IFERROR(__xludf.DUMMYFUNCTION("""COMPUTED_VALUE"""),FALSE)</f>
        <v>0</v>
      </c>
      <c r="K95" s="16"/>
      <c r="L95" s="16" t="b">
        <f>IFERROR(__xludf.DUMMYFUNCTION("""COMPUTED_VALUE"""),FALSE)</f>
        <v>0</v>
      </c>
      <c r="M95" s="16" t="b">
        <f>IFERROR(__xludf.DUMMYFUNCTION("""COMPUTED_VALUE"""),FALSE)</f>
        <v>0</v>
      </c>
      <c r="N95" s="16"/>
    </row>
    <row r="96">
      <c r="A96" s="16" t="str">
        <f>IFERROR(__xludf.DUMMYFUNCTION("""COMPUTED_VALUE"""),"Dimensional Quake")</f>
        <v>Dimensional Quake</v>
      </c>
      <c r="B96" s="120">
        <f>IFERROR(__xludf.DUMMYFUNCTION("""COMPUTED_VALUE"""),9.0)</f>
        <v>9</v>
      </c>
      <c r="C96" s="16">
        <f>IFERROR(__xludf.DUMMYFUNCTION("""COMPUTED_VALUE"""),400.0)</f>
        <v>400</v>
      </c>
      <c r="D96" s="16"/>
      <c r="E96" s="16" t="str">
        <f>IFERROR(__xludf.DUMMYFUNCTION("""COMPUTED_VALUE"""),"24,000 chaos damage to all enemies, 50% chance to use the spell effect “Dimension portal (Random)” on all targets affected by this spell.")</f>
        <v>24,000 chaos damage to all enemies, 50% chance to use the spell effect “Dimension portal (Random)” on all targets affected by this spell.</v>
      </c>
      <c r="F96" s="16" t="str">
        <f>IFERROR(__xludf.DUMMYFUNCTION("""COMPUTED_VALUE"""),"Cannot Avoid")</f>
        <v>Cannot Avoid</v>
      </c>
      <c r="G96" s="16" t="str">
        <f>IFERROR(__xludf.DUMMYFUNCTION("""COMPUTED_VALUE"""),"All")</f>
        <v>All</v>
      </c>
      <c r="H96" s="16" t="str">
        <f>IFERROR(__xludf.DUMMYFUNCTION("""COMPUTED_VALUE"""),"Chaos")</f>
        <v>Chaos</v>
      </c>
      <c r="I96" s="16" t="str">
        <f>IFERROR(__xludf.DUMMYFUNCTION("""COMPUTED_VALUE"""),"Player")</f>
        <v>Player</v>
      </c>
      <c r="J96" s="16" t="b">
        <f>IFERROR(__xludf.DUMMYFUNCTION("""COMPUTED_VALUE"""),FALSE)</f>
        <v>0</v>
      </c>
      <c r="K96" s="16"/>
      <c r="L96" s="16" t="b">
        <f>IFERROR(__xludf.DUMMYFUNCTION("""COMPUTED_VALUE"""),FALSE)</f>
        <v>0</v>
      </c>
      <c r="M96" s="16" t="b">
        <f>IFERROR(__xludf.DUMMYFUNCTION("""COMPUTED_VALUE"""),FALSE)</f>
        <v>0</v>
      </c>
      <c r="N96" s="16"/>
    </row>
    <row r="97">
      <c r="A97" s="16" t="str">
        <f>IFERROR(__xludf.DUMMYFUNCTION("""COMPUTED_VALUE"""),"Disruption")</f>
        <v>Disruption</v>
      </c>
      <c r="B97" s="120">
        <f>IFERROR(__xludf.DUMMYFUNCTION("""COMPUTED_VALUE"""),9.0)</f>
        <v>9</v>
      </c>
      <c r="C97" s="16">
        <f>IFERROR(__xludf.DUMMYFUNCTION("""COMPUTED_VALUE"""),600.0)</f>
        <v>600</v>
      </c>
      <c r="D97" s="16"/>
      <c r="E97" s="16" t="str">
        <f>IFERROR(__xludf.DUMMYFUNCTION("""COMPUTED_VALUE"""),"Prevent all enemies from Spell Casting for 3 rounds.")</f>
        <v>Prevent all enemies from Spell Casting for 3 rounds.</v>
      </c>
      <c r="F97" s="16" t="str">
        <f>IFERROR(__xludf.DUMMYFUNCTION("""COMPUTED_VALUE"""),"Fail/Succeed")</f>
        <v>Fail/Succeed</v>
      </c>
      <c r="G97" s="16"/>
      <c r="H97" s="16" t="str">
        <f>IFERROR(__xludf.DUMMYFUNCTION("""COMPUTED_VALUE"""),"Chaos")</f>
        <v>Chaos</v>
      </c>
      <c r="I97" s="16" t="str">
        <f>IFERROR(__xludf.DUMMYFUNCTION("""COMPUTED_VALUE"""),"Player")</f>
        <v>Player</v>
      </c>
      <c r="J97" s="16" t="b">
        <f>IFERROR(__xludf.DUMMYFUNCTION("""COMPUTED_VALUE"""),FALSE)</f>
        <v>0</v>
      </c>
      <c r="K97" s="16"/>
      <c r="L97" s="16" t="b">
        <f>IFERROR(__xludf.DUMMYFUNCTION("""COMPUTED_VALUE"""),FALSE)</f>
        <v>0</v>
      </c>
      <c r="M97" s="16" t="b">
        <f>IFERROR(__xludf.DUMMYFUNCTION("""COMPUTED_VALUE"""),FALSE)</f>
        <v>0</v>
      </c>
      <c r="N97" s="16"/>
    </row>
    <row r="98">
      <c r="A98" s="16" t="str">
        <f>IFERROR(__xludf.DUMMYFUNCTION("""COMPUTED_VALUE"""),"Disturbance")</f>
        <v>Disturbance</v>
      </c>
      <c r="B98" s="120">
        <f>IFERROR(__xludf.DUMMYFUNCTION("""COMPUTED_VALUE"""),8.0)</f>
        <v>8</v>
      </c>
      <c r="C98" s="16">
        <f>IFERROR(__xludf.DUMMYFUNCTION("""COMPUTED_VALUE"""),300.0)</f>
        <v>300</v>
      </c>
      <c r="D98" s="16"/>
      <c r="E98" s="16" t="str">
        <f>IFERROR(__xludf.DUMMYFUNCTION("""COMPUTED_VALUE"""),"Prevent 1 target from Spell Casting for 3 rounds.")</f>
        <v>Prevent 1 target from Spell Casting for 3 rounds.</v>
      </c>
      <c r="F98" s="16" t="str">
        <f>IFERROR(__xludf.DUMMYFUNCTION("""COMPUTED_VALUE"""),"Fail/Succeed")</f>
        <v>Fail/Succeed</v>
      </c>
      <c r="G98" s="16"/>
      <c r="H98" s="16" t="str">
        <f>IFERROR(__xludf.DUMMYFUNCTION("""COMPUTED_VALUE"""),"Chaos")</f>
        <v>Chaos</v>
      </c>
      <c r="I98" s="16" t="str">
        <f>IFERROR(__xludf.DUMMYFUNCTION("""COMPUTED_VALUE"""),"Player")</f>
        <v>Player</v>
      </c>
      <c r="J98" s="16" t="b">
        <f>IFERROR(__xludf.DUMMYFUNCTION("""COMPUTED_VALUE"""),FALSE)</f>
        <v>0</v>
      </c>
      <c r="K98" s="16"/>
      <c r="L98" s="16" t="b">
        <f>IFERROR(__xludf.DUMMYFUNCTION("""COMPUTED_VALUE"""),FALSE)</f>
        <v>0</v>
      </c>
      <c r="M98" s="16" t="b">
        <f>IFERROR(__xludf.DUMMYFUNCTION("""COMPUTED_VALUE"""),FALSE)</f>
        <v>0</v>
      </c>
      <c r="N98" s="16"/>
    </row>
    <row r="99">
      <c r="A99" s="16" t="str">
        <f>IFERROR(__xludf.DUMMYFUNCTION("""COMPUTED_VALUE"""),"Doom Impulse")</f>
        <v>Doom Impulse</v>
      </c>
      <c r="B99" s="120">
        <f>IFERROR(__xludf.DUMMYFUNCTION("""COMPUTED_VALUE"""),9.0)</f>
        <v>9</v>
      </c>
      <c r="C99" s="119">
        <f>IFERROR(__xludf.DUMMYFUNCTION("""COMPUTED_VALUE"""),1000.0)</f>
        <v>1000</v>
      </c>
      <c r="D99" s="16"/>
      <c r="E99" s="16" t="str">
        <f>IFERROR(__xludf.DUMMYFUNCTION("""COMPUTED_VALUE"""),"20,000 chaos damage to all enemies, Ignores defense.")</f>
        <v>20,000 chaos damage to all enemies, Ignores defense.</v>
      </c>
      <c r="F99" s="16" t="str">
        <f>IFERROR(__xludf.DUMMYFUNCTION("""COMPUTED_VALUE"""),"Cannot Avoid")</f>
        <v>Cannot Avoid</v>
      </c>
      <c r="G99" s="16" t="str">
        <f>IFERROR(__xludf.DUMMYFUNCTION("""COMPUTED_VALUE"""),"All")</f>
        <v>All</v>
      </c>
      <c r="H99" s="16" t="str">
        <f>IFERROR(__xludf.DUMMYFUNCTION("""COMPUTED_VALUE"""),"Chaos")</f>
        <v>Chaos</v>
      </c>
      <c r="I99" s="16" t="str">
        <f>IFERROR(__xludf.DUMMYFUNCTION("""COMPUTED_VALUE"""),"Player")</f>
        <v>Player</v>
      </c>
      <c r="J99" s="16" t="b">
        <f>IFERROR(__xludf.DUMMYFUNCTION("""COMPUTED_VALUE"""),TRUE)</f>
        <v>1</v>
      </c>
      <c r="K99" s="16" t="str">
        <f>IFERROR(__xludf.DUMMYFUNCTION("""COMPUTED_VALUE"""),"shop spell")</f>
        <v>shop spell</v>
      </c>
      <c r="L99" s="16" t="b">
        <f>IFERROR(__xludf.DUMMYFUNCTION("""COMPUTED_VALUE"""),TRUE)</f>
        <v>1</v>
      </c>
      <c r="M99" s="16" t="b">
        <f>IFERROR(__xludf.DUMMYFUNCTION("""COMPUTED_VALUE"""),FALSE)</f>
        <v>0</v>
      </c>
      <c r="N99" s="16"/>
    </row>
    <row r="100">
      <c r="A100" s="16" t="str">
        <f>IFERROR(__xludf.DUMMYFUNCTION("""COMPUTED_VALUE"""),"Lucifer's Flames Of Damned Nation")</f>
        <v>Lucifer's Flames Of Damned Nation</v>
      </c>
      <c r="B100" s="120">
        <f>IFERROR(__xludf.DUMMYFUNCTION("""COMPUTED_VALUE"""),9.0)</f>
        <v>9</v>
      </c>
      <c r="C100" s="119">
        <f>IFERROR(__xludf.DUMMYFUNCTION("""COMPUTED_VALUE"""),300.0)</f>
        <v>300</v>
      </c>
      <c r="D100" s="16"/>
      <c r="E100" s="16" t="str">
        <f>IFERROR(__xludf.DUMMYFUNCTION("""COMPUTED_VALUE"""),"20,000 dark, chaos, and fire damage to all enemies, 25% chance to banish each enemy.")</f>
        <v>20,000 dark, chaos, and fire damage to all enemies, 25% chance to banish each enemy.</v>
      </c>
      <c r="F100" s="16" t="str">
        <f>IFERROR(__xludf.DUMMYFUNCTION("""COMPUTED_VALUE"""),"Cannot Avoid")</f>
        <v>Cannot Avoid</v>
      </c>
      <c r="G100" s="16"/>
      <c r="H100" s="16" t="str">
        <f>IFERROR(__xludf.DUMMYFUNCTION("""COMPUTED_VALUE"""),"Chaos")</f>
        <v>Chaos</v>
      </c>
      <c r="I100" s="16" t="str">
        <f>IFERROR(__xludf.DUMMYFUNCTION("""COMPUTED_VALUE"""),"Player")</f>
        <v>Player</v>
      </c>
      <c r="J100" s="16" t="b">
        <f>IFERROR(__xludf.DUMMYFUNCTION("""COMPUTED_VALUE"""),TRUE)</f>
        <v>1</v>
      </c>
      <c r="K100" s="16" t="str">
        <f>IFERROR(__xludf.DUMMYFUNCTION("""COMPUTED_VALUE"""),"Event spell")</f>
        <v>Event spell</v>
      </c>
      <c r="L100" s="16" t="b">
        <f>IFERROR(__xludf.DUMMYFUNCTION("""COMPUTED_VALUE"""),FALSE)</f>
        <v>0</v>
      </c>
      <c r="M100" s="16" t="b">
        <f>IFERROR(__xludf.DUMMYFUNCTION("""COMPUTED_VALUE"""),FALSE)</f>
        <v>0</v>
      </c>
      <c r="N100" s="16"/>
    </row>
    <row r="101">
      <c r="A101" s="16" t="str">
        <f>IFERROR(__xludf.DUMMYFUNCTION("""COMPUTED_VALUE"""),"Lucifer's Ward Of The Damned")</f>
        <v>Lucifer's Ward Of The Damned</v>
      </c>
      <c r="B101" s="120">
        <f>IFERROR(__xludf.DUMMYFUNCTION("""COMPUTED_VALUE"""),9.0)</f>
        <v>9</v>
      </c>
      <c r="C101" s="119">
        <f>IFERROR(__xludf.DUMMYFUNCTION("""COMPUTED_VALUE"""),300.0)</f>
        <v>300</v>
      </c>
      <c r="D101" s="16"/>
      <c r="E101" s="16" t="str">
        <f>IFERROR(__xludf.DUMMYFUNCTION("""COMPUTED_VALUE"""),"Choose yourself or an ally to Absorb all damage they would have taken for 3 rounds, After the 3 rounds inflict half of the damage the ward absorbed to the damagers. Ward ends when stopping a spell that bypasses immunities/resistances.")</f>
        <v>Choose yourself or an ally to Absorb all damage they would have taken for 3 rounds, After the 3 rounds inflict half of the damage the ward absorbed to the damagers. Ward ends when stopping a spell that bypasses immunities/resistances.</v>
      </c>
      <c r="F101" s="16" t="str">
        <f>IFERROR(__xludf.DUMMYFUNCTION("""COMPUTED_VALUE"""),"Fail/Succeed")</f>
        <v>Fail/Succeed</v>
      </c>
      <c r="G101" s="16">
        <f>IFERROR(__xludf.DUMMYFUNCTION("""COMPUTED_VALUE"""),1.0)</f>
        <v>1</v>
      </c>
      <c r="H101" s="16" t="str">
        <f>IFERROR(__xludf.DUMMYFUNCTION("""COMPUTED_VALUE"""),"Chaos")</f>
        <v>Chaos</v>
      </c>
      <c r="I101" s="16" t="str">
        <f>IFERROR(__xludf.DUMMYFUNCTION("""COMPUTED_VALUE"""),"Player")</f>
        <v>Player</v>
      </c>
      <c r="J101" s="16" t="b">
        <f>IFERROR(__xludf.DUMMYFUNCTION("""COMPUTED_VALUE"""),TRUE)</f>
        <v>1</v>
      </c>
      <c r="K101" s="16" t="str">
        <f>IFERROR(__xludf.DUMMYFUNCTION("""COMPUTED_VALUE"""),"Event spell")</f>
        <v>Event spell</v>
      </c>
      <c r="L101" s="16" t="b">
        <f>IFERROR(__xludf.DUMMYFUNCTION("""COMPUTED_VALUE"""),FALSE)</f>
        <v>0</v>
      </c>
      <c r="M101" s="16" t="b">
        <f>IFERROR(__xludf.DUMMYFUNCTION("""COMPUTED_VALUE"""),FALSE)</f>
        <v>0</v>
      </c>
      <c r="N101" s="16"/>
    </row>
    <row r="102">
      <c r="A102" s="16" t="str">
        <f>IFERROR(__xludf.DUMMYFUNCTION("""COMPUTED_VALUE"""),"Mad shot")</f>
        <v>Mad shot</v>
      </c>
      <c r="B102" s="120">
        <f>IFERROR(__xludf.DUMMYFUNCTION("""COMPUTED_VALUE"""),1.0)</f>
        <v>1</v>
      </c>
      <c r="C102" s="16">
        <f>IFERROR(__xludf.DUMMYFUNCTION("""COMPUTED_VALUE"""),10.0)</f>
        <v>10</v>
      </c>
      <c r="D102" s="16"/>
      <c r="E102" s="16" t="str">
        <f>IFERROR(__xludf.DUMMYFUNCTION("""COMPUTED_VALUE"""),"1000 chaos damage and inflicts target with 5 Insanity.")</f>
        <v>1000 chaos damage and inflicts target with 5 Insanity.</v>
      </c>
      <c r="F102" s="16" t="str">
        <f>IFERROR(__xludf.DUMMYFUNCTION("""COMPUTED_VALUE"""),"Hit/Miss")</f>
        <v>Hit/Miss</v>
      </c>
      <c r="G102" s="16">
        <f>IFERROR(__xludf.DUMMYFUNCTION("""COMPUTED_VALUE"""),1.0)</f>
        <v>1</v>
      </c>
      <c r="H102" s="16" t="str">
        <f>IFERROR(__xludf.DUMMYFUNCTION("""COMPUTED_VALUE"""),"Chaos")</f>
        <v>Chaos</v>
      </c>
      <c r="I102" s="16" t="str">
        <f>IFERROR(__xludf.DUMMYFUNCTION("""COMPUTED_VALUE"""),"Player")</f>
        <v>Player</v>
      </c>
      <c r="J102" s="16" t="b">
        <f>IFERROR(__xludf.DUMMYFUNCTION("""COMPUTED_VALUE"""),FALSE)</f>
        <v>0</v>
      </c>
      <c r="K102" s="16"/>
      <c r="L102" s="16" t="b">
        <f>IFERROR(__xludf.DUMMYFUNCTION("""COMPUTED_VALUE"""),FALSE)</f>
        <v>0</v>
      </c>
      <c r="M102" s="16" t="b">
        <f>IFERROR(__xludf.DUMMYFUNCTION("""COMPUTED_VALUE"""),FALSE)</f>
        <v>0</v>
      </c>
      <c r="N102" s="16"/>
    </row>
    <row r="103">
      <c r="A103" s="16" t="str">
        <f>IFERROR(__xludf.DUMMYFUNCTION("""COMPUTED_VALUE"""),"Chaotic Shadow Storm")</f>
        <v>Chaotic Shadow Storm</v>
      </c>
      <c r="B103" s="120">
        <f>IFERROR(__xludf.DUMMYFUNCTION("""COMPUTED_VALUE"""),9.0)</f>
        <v>9</v>
      </c>
      <c r="C103" s="16" t="str">
        <f>IFERROR(__xludf.DUMMYFUNCTION("""COMPUTED_VALUE"""),"X")</f>
        <v>X</v>
      </c>
      <c r="D103" s="16"/>
      <c r="E103" s="16" t="str">
        <f>IFERROR(__xludf.DUMMYFUNCTION("""COMPUTED_VALUE"""),"X*9 Dark, X*9 Chaos, and X*9 Fire damage to all enemies Where X is equal to SP spent")</f>
        <v>X*9 Dark, X*9 Chaos, and X*9 Fire damage to all enemies Where X is equal to SP spent</v>
      </c>
      <c r="F103" s="16" t="str">
        <f>IFERROR(__xludf.DUMMYFUNCTION("""COMPUTED_VALUE"""),"Cannot Avoid")</f>
        <v>Cannot Avoid</v>
      </c>
      <c r="G103" s="16" t="str">
        <f>IFERROR(__xludf.DUMMYFUNCTION("""COMPUTED_VALUE"""),"All")</f>
        <v>All</v>
      </c>
      <c r="H103" s="16" t="str">
        <f>IFERROR(__xludf.DUMMYFUNCTION("""COMPUTED_VALUE"""),"Chaos")</f>
        <v>Chaos</v>
      </c>
      <c r="I103" s="16" t="str">
        <f>IFERROR(__xludf.DUMMYFUNCTION("""COMPUTED_VALUE"""),"Mob")</f>
        <v>Mob</v>
      </c>
      <c r="J103" s="16" t="b">
        <f>IFERROR(__xludf.DUMMYFUNCTION("""COMPUTED_VALUE"""),TRUE)</f>
        <v>1</v>
      </c>
      <c r="K103" s="16"/>
      <c r="L103" s="16" t="b">
        <f>IFERROR(__xludf.DUMMYFUNCTION("""COMPUTED_VALUE"""),FALSE)</f>
        <v>0</v>
      </c>
      <c r="M103" s="16" t="b">
        <f>IFERROR(__xludf.DUMMYFUNCTION("""COMPUTED_VALUE"""),FALSE)</f>
        <v>0</v>
      </c>
      <c r="N103" s="16"/>
    </row>
    <row r="104">
      <c r="A104" s="16" t="str">
        <f>IFERROR(__xludf.DUMMYFUNCTION("""COMPUTED_VALUE"""),"Shatter")</f>
        <v>Shatter</v>
      </c>
      <c r="B104" s="120">
        <f>IFERROR(__xludf.DUMMYFUNCTION("""COMPUTED_VALUE"""),6.0)</f>
        <v>6</v>
      </c>
      <c r="C104" s="16">
        <f>IFERROR(__xludf.DUMMYFUNCTION("""COMPUTED_VALUE"""),60.0)</f>
        <v>60</v>
      </c>
      <c r="D104" s="16"/>
      <c r="E104" s="16" t="str">
        <f>IFERROR(__xludf.DUMMYFUNCTION("""COMPUTED_VALUE"""),"Make a target enemies base Defense 0")</f>
        <v>Make a target enemies base Defense 0</v>
      </c>
      <c r="F104" s="16" t="str">
        <f>IFERROR(__xludf.DUMMYFUNCTION("""COMPUTED_VALUE"""),"Fail/Succeed")</f>
        <v>Fail/Succeed</v>
      </c>
      <c r="G104" s="16"/>
      <c r="H104" s="16" t="str">
        <f>IFERROR(__xludf.DUMMYFUNCTION("""COMPUTED_VALUE"""),"Chaos")</f>
        <v>Chaos</v>
      </c>
      <c r="I104" s="16" t="str">
        <f>IFERROR(__xludf.DUMMYFUNCTION("""COMPUTED_VALUE"""),"Player")</f>
        <v>Player</v>
      </c>
      <c r="J104" s="16" t="b">
        <f>IFERROR(__xludf.DUMMYFUNCTION("""COMPUTED_VALUE"""),FALSE)</f>
        <v>0</v>
      </c>
      <c r="K104" s="16"/>
      <c r="L104" s="16" t="b">
        <f>IFERROR(__xludf.DUMMYFUNCTION("""COMPUTED_VALUE"""),FALSE)</f>
        <v>0</v>
      </c>
      <c r="M104" s="16" t="b">
        <f>IFERROR(__xludf.DUMMYFUNCTION("""COMPUTED_VALUE"""),FALSE)</f>
        <v>0</v>
      </c>
      <c r="N104" s="16"/>
    </row>
    <row r="105">
      <c r="A105" s="16" t="str">
        <f>IFERROR(__xludf.DUMMYFUNCTION("""COMPUTED_VALUE"""),"Souls of Darkness and Chaos")</f>
        <v>Souls of Darkness and Chaos</v>
      </c>
      <c r="B105" s="120">
        <f>IFERROR(__xludf.DUMMYFUNCTION("""COMPUTED_VALUE"""),9.0)</f>
        <v>9</v>
      </c>
      <c r="C105" s="119">
        <f>IFERROR(__xludf.DUMMYFUNCTION("""COMPUTED_VALUE"""),50000.0)</f>
        <v>50000</v>
      </c>
      <c r="D105" s="16"/>
      <c r="E105" s="16" t="str">
        <f>IFERROR(__xludf.DUMMYFUNCTION("""COMPUTED_VALUE"""),"50,000 dark, chaos, and fire damage. X2 additional damage if a enemy has souls.")</f>
        <v>50,000 dark, chaos, and fire damage. X2 additional damage if a enemy has souls.</v>
      </c>
      <c r="F105" s="16" t="str">
        <f>IFERROR(__xludf.DUMMYFUNCTION("""COMPUTED_VALUE"""),"Cannot Avoid")</f>
        <v>Cannot Avoid</v>
      </c>
      <c r="G105" s="16" t="str">
        <f>IFERROR(__xludf.DUMMYFUNCTION("""COMPUTED_VALUE"""),"All")</f>
        <v>All</v>
      </c>
      <c r="H105" s="16" t="str">
        <f>IFERROR(__xludf.DUMMYFUNCTION("""COMPUTED_VALUE"""),"Chaos")</f>
        <v>Chaos</v>
      </c>
      <c r="I105" s="16" t="str">
        <f>IFERROR(__xludf.DUMMYFUNCTION("""COMPUTED_VALUE"""),"Mob")</f>
        <v>Mob</v>
      </c>
      <c r="J105" s="16" t="b">
        <f>IFERROR(__xludf.DUMMYFUNCTION("""COMPUTED_VALUE"""),TRUE)</f>
        <v>1</v>
      </c>
      <c r="K105" s="16" t="str">
        <f>IFERROR(__xludf.DUMMYFUNCTION("""COMPUTED_VALUE"""),"mob spell")</f>
        <v>mob spell</v>
      </c>
      <c r="L105" s="16" t="b">
        <f>IFERROR(__xludf.DUMMYFUNCTION("""COMPUTED_VALUE"""),FALSE)</f>
        <v>0</v>
      </c>
      <c r="M105" s="16" t="b">
        <f>IFERROR(__xludf.DUMMYFUNCTION("""COMPUTED_VALUE"""),FALSE)</f>
        <v>0</v>
      </c>
      <c r="N105" s="16"/>
    </row>
    <row r="106">
      <c r="A106" s="16" t="str">
        <f>IFERROR(__xludf.DUMMYFUNCTION("""COMPUTED_VALUE"""),"Spider War Call")</f>
        <v>Spider War Call</v>
      </c>
      <c r="B106" s="120">
        <f>IFERROR(__xludf.DUMMYFUNCTION("""COMPUTED_VALUE"""),1.0)</f>
        <v>1</v>
      </c>
      <c r="C106" s="16">
        <f>IFERROR(__xludf.DUMMYFUNCTION("""COMPUTED_VALUE"""),0.0)</f>
        <v>0</v>
      </c>
      <c r="D106" s="16"/>
      <c r="E106" s="16" t="str">
        <f>IFERROR(__xludf.DUMMYFUNCTION("""COMPUTED_VALUE"""),"Calls 1 Spider to battle as your ally, 50% chance to call 2 of them. DM/GM determines the Spider summoned and level.")</f>
        <v>Calls 1 Spider to battle as your ally, 50% chance to call 2 of them. DM/GM determines the Spider summoned and level.</v>
      </c>
      <c r="F106" s="16" t="str">
        <f>IFERROR(__xludf.DUMMYFUNCTION("""COMPUTED_VALUE"""),"Natural/Fail Or Succeed")</f>
        <v>Natural/Fail Or Succeed</v>
      </c>
      <c r="G106" s="16" t="str">
        <f>IFERROR(__xludf.DUMMYFUNCTION("""COMPUTED_VALUE"""),"Self")</f>
        <v>Self</v>
      </c>
      <c r="H106" s="16" t="str">
        <f>IFERROR(__xludf.DUMMYFUNCTION("""COMPUTED_VALUE"""),"Chaos")</f>
        <v>Chaos</v>
      </c>
      <c r="I106" s="16" t="str">
        <f>IFERROR(__xludf.DUMMYFUNCTION("""COMPUTED_VALUE"""),"Mob")</f>
        <v>Mob</v>
      </c>
      <c r="J106" s="16" t="b">
        <f>IFERROR(__xludf.DUMMYFUNCTION("""COMPUTED_VALUE"""),TRUE)</f>
        <v>1</v>
      </c>
      <c r="K106" s="16"/>
      <c r="L106" s="16" t="b">
        <f>IFERROR(__xludf.DUMMYFUNCTION("""COMPUTED_VALUE"""),FALSE)</f>
        <v>0</v>
      </c>
      <c r="M106" s="16" t="b">
        <f>IFERROR(__xludf.DUMMYFUNCTION("""COMPUTED_VALUE"""),FALSE)</f>
        <v>0</v>
      </c>
      <c r="N106" s="16"/>
    </row>
    <row r="107">
      <c r="A107" s="16" t="str">
        <f>IFERROR(__xludf.DUMMYFUNCTION("""COMPUTED_VALUE"""),"The Cycle")</f>
        <v>The Cycle</v>
      </c>
      <c r="B107" s="120">
        <f>IFERROR(__xludf.DUMMYFUNCTION("""COMPUTED_VALUE"""),9.0)</f>
        <v>9</v>
      </c>
      <c r="C107" s="16" t="str">
        <f>IFERROR(__xludf.DUMMYFUNCTION("""COMPUTED_VALUE"""),"X")</f>
        <v>X</v>
      </c>
      <c r="D107" s="16"/>
      <c r="E107" s="16" t="str">
        <f>IFERROR(__xludf.DUMMYFUNCTION("""COMPUTED_VALUE"""),"1 damage initially to all enemies, Does X damage each round until all targets escape the cycle, must roll a 20 or higher adding you mobility as a bonus to your roll while attempting to escape each round.")</f>
        <v>1 damage initially to all enemies, Does X damage each round until all targets escape the cycle, must roll a 20 or higher adding you mobility as a bonus to your roll while attempting to escape each round.</v>
      </c>
      <c r="F107" s="16" t="str">
        <f>IFERROR(__xludf.DUMMYFUNCTION("""COMPUTED_VALUE"""),"Fail/Succeed")</f>
        <v>Fail/Succeed</v>
      </c>
      <c r="G107" s="16" t="str">
        <f>IFERROR(__xludf.DUMMYFUNCTION("""COMPUTED_VALUE"""),"All")</f>
        <v>All</v>
      </c>
      <c r="H107" s="16" t="str">
        <f>IFERROR(__xludf.DUMMYFUNCTION("""COMPUTED_VALUE"""),"Chaos")</f>
        <v>Chaos</v>
      </c>
      <c r="I107" s="16" t="str">
        <f>IFERROR(__xludf.DUMMYFUNCTION("""COMPUTED_VALUE"""),"Mob")</f>
        <v>Mob</v>
      </c>
      <c r="J107" s="16" t="b">
        <f>IFERROR(__xludf.DUMMYFUNCTION("""COMPUTED_VALUE"""),TRUE)</f>
        <v>1</v>
      </c>
      <c r="K107" s="16"/>
      <c r="L107" s="16" t="b">
        <f>IFERROR(__xludf.DUMMYFUNCTION("""COMPUTED_VALUE"""),FALSE)</f>
        <v>0</v>
      </c>
      <c r="M107" s="16" t="b">
        <f>IFERROR(__xludf.DUMMYFUNCTION("""COMPUTED_VALUE"""),TRUE)</f>
        <v>1</v>
      </c>
      <c r="N107" s="16"/>
    </row>
    <row r="108">
      <c r="A108" s="16" t="str">
        <f>IFERROR(__xludf.DUMMYFUNCTION("""COMPUTED_VALUE"""),"Web Of Chaotic Shadows")</f>
        <v>Web Of Chaotic Shadows</v>
      </c>
      <c r="B108" s="120">
        <f>IFERROR(__xludf.DUMMYFUNCTION("""COMPUTED_VALUE"""),0.0)</f>
        <v>0</v>
      </c>
      <c r="C108" s="16">
        <f>IFERROR(__xludf.DUMMYFUNCTION("""COMPUTED_VALUE"""),0.0)</f>
        <v>0</v>
      </c>
      <c r="D108" s="16"/>
      <c r="E108" s="16" t="str">
        <f>IFERROR(__xludf.DUMMYFUNCTION("""COMPUTED_VALUE"""),"All targets are bound in chaos energy and are stunned for 3 rounds.")</f>
        <v>All targets are bound in chaos energy and are stunned for 3 rounds.</v>
      </c>
      <c r="F108" s="16" t="str">
        <f>IFERROR(__xludf.DUMMYFUNCTION("""COMPUTED_VALUE"""),"Natural/Fail Or Succeed")</f>
        <v>Natural/Fail Or Succeed</v>
      </c>
      <c r="G108" s="16" t="str">
        <f>IFERROR(__xludf.DUMMYFUNCTION("""COMPUTED_VALUE"""),"All")</f>
        <v>All</v>
      </c>
      <c r="H108" s="16" t="str">
        <f>IFERROR(__xludf.DUMMYFUNCTION("""COMPUTED_VALUE"""),"Chaos")</f>
        <v>Chaos</v>
      </c>
      <c r="I108" s="16" t="str">
        <f>IFERROR(__xludf.DUMMYFUNCTION("""COMPUTED_VALUE"""),"Mob")</f>
        <v>Mob</v>
      </c>
      <c r="J108" s="16" t="b">
        <f>IFERROR(__xludf.DUMMYFUNCTION("""COMPUTED_VALUE"""),TRUE)</f>
        <v>1</v>
      </c>
      <c r="K108" s="16" t="str">
        <f>IFERROR(__xludf.DUMMYFUNCTION("""COMPUTED_VALUE"""),"Cannot be obtained by players")</f>
        <v>Cannot be obtained by players</v>
      </c>
      <c r="L108" s="16" t="b">
        <f>IFERROR(__xludf.DUMMYFUNCTION("""COMPUTED_VALUE"""),FALSE)</f>
        <v>0</v>
      </c>
      <c r="M108" s="16" t="b">
        <f>IFERROR(__xludf.DUMMYFUNCTION("""COMPUTED_VALUE"""),FALSE)</f>
        <v>0</v>
      </c>
      <c r="N108" s="16"/>
    </row>
    <row r="109">
      <c r="A109" s="16" t="str">
        <f>IFERROR(__xludf.DUMMYFUNCTION("""COMPUTED_VALUE"""),"Chaos Beam")</f>
        <v>Chaos Beam</v>
      </c>
      <c r="B109" s="120">
        <f>IFERROR(__xludf.DUMMYFUNCTION("""COMPUTED_VALUE"""),1.0)</f>
        <v>1</v>
      </c>
      <c r="C109" s="16" t="str">
        <f>IFERROR(__xludf.DUMMYFUNCTION("""COMPUTED_VALUE"""),"X")</f>
        <v>X</v>
      </c>
      <c r="D109" s="16"/>
      <c r="E109" s="16" t="str">
        <f>IFERROR(__xludf.DUMMYFUNCTION("""COMPUTED_VALUE"""),"Deals X*100 Chaos damage to a single enemy where X is equal to SP spent.")</f>
        <v>Deals X*100 Chaos damage to a single enemy where X is equal to SP spent.</v>
      </c>
      <c r="F109" s="16" t="str">
        <f>IFERROR(__xludf.DUMMYFUNCTION("""COMPUTED_VALUE"""),"Hit/Miss")</f>
        <v>Hit/Miss</v>
      </c>
      <c r="G109" s="16">
        <f>IFERROR(__xludf.DUMMYFUNCTION("""COMPUTED_VALUE"""),1.0)</f>
        <v>1</v>
      </c>
      <c r="H109" s="16" t="str">
        <f>IFERROR(__xludf.DUMMYFUNCTION("""COMPUTED_VALUE"""),"Chaos")</f>
        <v>Chaos</v>
      </c>
      <c r="I109" s="16" t="str">
        <f>IFERROR(__xludf.DUMMYFUNCTION("""COMPUTED_VALUE"""),"Player")</f>
        <v>Player</v>
      </c>
      <c r="J109" s="16" t="b">
        <f>IFERROR(__xludf.DUMMYFUNCTION("""COMPUTED_VALUE"""),FALSE)</f>
        <v>0</v>
      </c>
      <c r="K109" s="16"/>
      <c r="L109" s="16" t="b">
        <f>IFERROR(__xludf.DUMMYFUNCTION("""COMPUTED_VALUE"""),FALSE)</f>
        <v>0</v>
      </c>
      <c r="M109" s="16" t="b">
        <f>IFERROR(__xludf.DUMMYFUNCTION("""COMPUTED_VALUE"""),FALSE)</f>
        <v>0</v>
      </c>
      <c r="N109" s="16"/>
    </row>
    <row r="110">
      <c r="A110" s="16" t="str">
        <f>IFERROR(__xludf.DUMMYFUNCTION("""COMPUTED_VALUE"""),"Chaotic Collapse")</f>
        <v>Chaotic Collapse</v>
      </c>
      <c r="B110" s="120">
        <f>IFERROR(__xludf.DUMMYFUNCTION("""COMPUTED_VALUE"""),5.0)</f>
        <v>5</v>
      </c>
      <c r="C110" s="16" t="str">
        <f>IFERROR(__xludf.DUMMYFUNCTION("""COMPUTED_VALUE"""),"X")</f>
        <v>X</v>
      </c>
      <c r="D110" s="16"/>
      <c r="E110" s="16" t="str">
        <f>IFERROR(__xludf.DUMMYFUNCTION("""COMPUTED_VALUE"""),"Deals X*50 Chaos damage per round for 3 rounds to a single target where X is equal to SP spent.")</f>
        <v>Deals X*50 Chaos damage per round for 3 rounds to a single target where X is equal to SP spent.</v>
      </c>
      <c r="F110" s="16" t="str">
        <f>IFERROR(__xludf.DUMMYFUNCTION("""COMPUTED_VALUE"""),"Hit/Miss")</f>
        <v>Hit/Miss</v>
      </c>
      <c r="G110" s="16">
        <f>IFERROR(__xludf.DUMMYFUNCTION("""COMPUTED_VALUE"""),1.0)</f>
        <v>1</v>
      </c>
      <c r="H110" s="16" t="str">
        <f>IFERROR(__xludf.DUMMYFUNCTION("""COMPUTED_VALUE"""),"Chaos")</f>
        <v>Chaos</v>
      </c>
      <c r="I110" s="16" t="str">
        <f>IFERROR(__xludf.DUMMYFUNCTION("""COMPUTED_VALUE"""),"Player")</f>
        <v>Player</v>
      </c>
      <c r="J110" s="16" t="b">
        <f>IFERROR(__xludf.DUMMYFUNCTION("""COMPUTED_VALUE"""),FALSE)</f>
        <v>0</v>
      </c>
      <c r="K110" s="16"/>
      <c r="L110" s="16" t="b">
        <f>IFERROR(__xludf.DUMMYFUNCTION("""COMPUTED_VALUE"""),FALSE)</f>
        <v>0</v>
      </c>
      <c r="M110" s="16" t="b">
        <f>IFERROR(__xludf.DUMMYFUNCTION("""COMPUTED_VALUE"""),FALSE)</f>
        <v>0</v>
      </c>
      <c r="N110" s="16"/>
    </row>
    <row r="111">
      <c r="A111" s="16" t="str">
        <f>IFERROR(__xludf.DUMMYFUNCTION("""COMPUTED_VALUE"""),"Chaotic Implosion")</f>
        <v>Chaotic Implosion</v>
      </c>
      <c r="B111" s="120">
        <f>IFERROR(__xludf.DUMMYFUNCTION("""COMPUTED_VALUE"""),5.0)</f>
        <v>5</v>
      </c>
      <c r="C111" s="16" t="str">
        <f>IFERROR(__xludf.DUMMYFUNCTION("""COMPUTED_VALUE"""),"X")</f>
        <v>X</v>
      </c>
      <c r="D111" s="16"/>
      <c r="E111" s="16" t="str">
        <f>IFERROR(__xludf.DUMMYFUNCTION("""COMPUTED_VALUE"""),"Deals X*25 Chaos damage to all enemies where X is equal to SP spent.")</f>
        <v>Deals X*25 Chaos damage to all enemies where X is equal to SP spent.</v>
      </c>
      <c r="F111" s="16" t="str">
        <f>IFERROR(__xludf.DUMMYFUNCTION("""COMPUTED_VALUE"""),"Cannot Avoid")</f>
        <v>Cannot Avoid</v>
      </c>
      <c r="G111" s="16" t="str">
        <f>IFERROR(__xludf.DUMMYFUNCTION("""COMPUTED_VALUE"""),"All")</f>
        <v>All</v>
      </c>
      <c r="H111" s="16" t="str">
        <f>IFERROR(__xludf.DUMMYFUNCTION("""COMPUTED_VALUE"""),"Chaos")</f>
        <v>Chaos</v>
      </c>
      <c r="I111" s="16" t="str">
        <f>IFERROR(__xludf.DUMMYFUNCTION("""COMPUTED_VALUE"""),"Player")</f>
        <v>Player</v>
      </c>
      <c r="J111" s="16" t="b">
        <f>IFERROR(__xludf.DUMMYFUNCTION("""COMPUTED_VALUE"""),FALSE)</f>
        <v>0</v>
      </c>
      <c r="K111" s="16"/>
      <c r="L111" s="16" t="b">
        <f>IFERROR(__xludf.DUMMYFUNCTION("""COMPUTED_VALUE"""),FALSE)</f>
        <v>0</v>
      </c>
      <c r="M111" s="16" t="b">
        <f>IFERROR(__xludf.DUMMYFUNCTION("""COMPUTED_VALUE"""),FALSE)</f>
        <v>0</v>
      </c>
      <c r="N111" s="16"/>
    </row>
    <row r="112">
      <c r="A112" s="16" t="str">
        <f>IFERROR(__xludf.DUMMYFUNCTION("""COMPUTED_VALUE"""),"Mass Chaotic Collapse")</f>
        <v>Mass Chaotic Collapse</v>
      </c>
      <c r="B112" s="120">
        <f>IFERROR(__xludf.DUMMYFUNCTION("""COMPUTED_VALUE"""),6.0)</f>
        <v>6</v>
      </c>
      <c r="C112" s="16" t="str">
        <f>IFERROR(__xludf.DUMMYFUNCTION("""COMPUTED_VALUE"""),"X")</f>
        <v>X</v>
      </c>
      <c r="D112" s="16"/>
      <c r="E112" s="16" t="str">
        <f>IFERROR(__xludf.DUMMYFUNCTION("""COMPUTED_VALUE"""),"Deals X*10 Chaos damage per round to all enemies for 3 rounds where X is equal to SP spent.")</f>
        <v>Deals X*10 Chaos damage per round to all enemies for 3 rounds where X is equal to SP spent.</v>
      </c>
      <c r="F112" s="16" t="str">
        <f>IFERROR(__xludf.DUMMYFUNCTION("""COMPUTED_VALUE"""),"Cannot Avoid")</f>
        <v>Cannot Avoid</v>
      </c>
      <c r="G112" s="16" t="str">
        <f>IFERROR(__xludf.DUMMYFUNCTION("""COMPUTED_VALUE"""),"All")</f>
        <v>All</v>
      </c>
      <c r="H112" s="16" t="str">
        <f>IFERROR(__xludf.DUMMYFUNCTION("""COMPUTED_VALUE"""),"Chaos")</f>
        <v>Chaos</v>
      </c>
      <c r="I112" s="16" t="str">
        <f>IFERROR(__xludf.DUMMYFUNCTION("""COMPUTED_VALUE"""),"Player")</f>
        <v>Player</v>
      </c>
      <c r="J112" s="16" t="b">
        <f>IFERROR(__xludf.DUMMYFUNCTION("""COMPUTED_VALUE"""),FALSE)</f>
        <v>0</v>
      </c>
      <c r="K112" s="16"/>
      <c r="L112" s="16" t="b">
        <f>IFERROR(__xludf.DUMMYFUNCTION("""COMPUTED_VALUE"""),FALSE)</f>
        <v>0</v>
      </c>
      <c r="M112" s="16" t="b">
        <f>IFERROR(__xludf.DUMMYFUNCTION("""COMPUTED_VALUE"""),FALSE)</f>
        <v>0</v>
      </c>
      <c r="N112" s="16"/>
    </row>
    <row r="113">
      <c r="A113" s="16" t="str">
        <f>IFERROR(__xludf.DUMMYFUNCTION("""COMPUTED_VALUE"""),"Draconic Scream")</f>
        <v>Draconic Scream</v>
      </c>
      <c r="B113" s="120">
        <f>IFERROR(__xludf.DUMMYFUNCTION("""COMPUTED_VALUE"""),9.0)</f>
        <v>9</v>
      </c>
      <c r="C113" s="119">
        <f>IFERROR(__xludf.DUMMYFUNCTION("""COMPUTED_VALUE"""),0.0)</f>
        <v>0</v>
      </c>
      <c r="D113" s="16"/>
      <c r="E113" s="16" t="str">
        <f>IFERROR(__xludf.DUMMYFUNCTION("""COMPUTED_VALUE"""),"All base stats are X2 for 3 rounds for the user.")</f>
        <v>All base stats are X2 for 3 rounds for the user.</v>
      </c>
      <c r="F113" s="16" t="str">
        <f>IFERROR(__xludf.DUMMYFUNCTION("""COMPUTED_VALUE"""),"Fail/Succeed")</f>
        <v>Fail/Succeed</v>
      </c>
      <c r="G113" s="16" t="str">
        <f>IFERROR(__xludf.DUMMYFUNCTION("""COMPUTED_VALUE"""),"Self")</f>
        <v>Self</v>
      </c>
      <c r="H113" s="16" t="str">
        <f>IFERROR(__xludf.DUMMYFUNCTION("""COMPUTED_VALUE"""),"Chaos ")</f>
        <v>Chaos </v>
      </c>
      <c r="I113" s="16" t="str">
        <f>IFERROR(__xludf.DUMMYFUNCTION("""COMPUTED_VALUE"""),"Player")</f>
        <v>Player</v>
      </c>
      <c r="J113" s="16" t="b">
        <f>IFERROR(__xludf.DUMMYFUNCTION("""COMPUTED_VALUE"""),TRUE)</f>
        <v>1</v>
      </c>
      <c r="K113" s="16" t="str">
        <f>IFERROR(__xludf.DUMMYFUNCTION("""COMPUTED_VALUE"""),"shop spell")</f>
        <v>shop spell</v>
      </c>
      <c r="L113" s="16" t="b">
        <f>IFERROR(__xludf.DUMMYFUNCTION("""COMPUTED_VALUE"""),FALSE)</f>
        <v>0</v>
      </c>
      <c r="M113" s="16" t="b">
        <f>IFERROR(__xludf.DUMMYFUNCTION("""COMPUTED_VALUE"""),FALSE)</f>
        <v>0</v>
      </c>
      <c r="N113" s="16"/>
    </row>
    <row r="114">
      <c r="A114" s="16" t="str">
        <f>IFERROR(__xludf.DUMMYFUNCTION("""COMPUTED_VALUE"""),"Chains of Shadow")</f>
        <v>Chains of Shadow</v>
      </c>
      <c r="B114" s="120">
        <f>IFERROR(__xludf.DUMMYFUNCTION("""COMPUTED_VALUE"""),4.0)</f>
        <v>4</v>
      </c>
      <c r="C114" s="16">
        <f>IFERROR(__xludf.DUMMYFUNCTION("""COMPUTED_VALUE"""),40.0)</f>
        <v>40</v>
      </c>
      <c r="D114" s="16"/>
      <c r="E114" s="16" t="str">
        <f>IFERROR(__xludf.DUMMYFUNCTION("""COMPUTED_VALUE"""),"Immobilizes 1 target Skipping there turn order for 3 rounds, 60% chance to immobilize another target.")</f>
        <v>Immobilizes 1 target Skipping there turn order for 3 rounds, 60% chance to immobilize another target.</v>
      </c>
      <c r="F114" s="16" t="str">
        <f>IFERROR(__xludf.DUMMYFUNCTION("""COMPUTED_VALUE"""),"Fail/Succeed")</f>
        <v>Fail/Succeed</v>
      </c>
      <c r="G114" s="16"/>
      <c r="H114" s="16" t="str">
        <f>IFERROR(__xludf.DUMMYFUNCTION("""COMPUTED_VALUE"""),"Dark")</f>
        <v>Dark</v>
      </c>
      <c r="I114" s="16" t="str">
        <f>IFERROR(__xludf.DUMMYFUNCTION("""COMPUTED_VALUE"""),"Player")</f>
        <v>Player</v>
      </c>
      <c r="J114" s="16" t="b">
        <f>IFERROR(__xludf.DUMMYFUNCTION("""COMPUTED_VALUE"""),FALSE)</f>
        <v>0</v>
      </c>
      <c r="K114" s="16"/>
      <c r="L114" s="16" t="b">
        <f>IFERROR(__xludf.DUMMYFUNCTION("""COMPUTED_VALUE"""),FALSE)</f>
        <v>0</v>
      </c>
      <c r="M114" s="16" t="b">
        <f>IFERROR(__xludf.DUMMYFUNCTION("""COMPUTED_VALUE"""),FALSE)</f>
        <v>0</v>
      </c>
      <c r="N114" s="16"/>
    </row>
    <row r="115">
      <c r="A115" s="16" t="str">
        <f>IFERROR(__xludf.DUMMYFUNCTION("""COMPUTED_VALUE"""),"Conceal")</f>
        <v>Conceal</v>
      </c>
      <c r="B115" s="120">
        <f>IFERROR(__xludf.DUMMYFUNCTION("""COMPUTED_VALUE"""),9.0)</f>
        <v>9</v>
      </c>
      <c r="C115" s="16">
        <f>IFERROR(__xludf.DUMMYFUNCTION("""COMPUTED_VALUE"""),300.0)</f>
        <v>300</v>
      </c>
      <c r="D115" s="16"/>
      <c r="E115" s="16" t="str">
        <f>IFERROR(__xludf.DUMMYFUNCTION("""COMPUTED_VALUE"""),"You are invisible and silent so long as you don’t attack. You cannot be attacked or affected by spells while invisible.")</f>
        <v>You are invisible and silent so long as you don’t attack. You cannot be attacked or affected by spells while invisible.</v>
      </c>
      <c r="F115" s="16" t="str">
        <f>IFERROR(__xludf.DUMMYFUNCTION("""COMPUTED_VALUE"""),"Fail/Succeed")</f>
        <v>Fail/Succeed</v>
      </c>
      <c r="G115" s="16"/>
      <c r="H115" s="16" t="str">
        <f>IFERROR(__xludf.DUMMYFUNCTION("""COMPUTED_VALUE"""),"Dark")</f>
        <v>Dark</v>
      </c>
      <c r="I115" s="16" t="str">
        <f>IFERROR(__xludf.DUMMYFUNCTION("""COMPUTED_VALUE"""),"Player")</f>
        <v>Player</v>
      </c>
      <c r="J115" s="16" t="b">
        <f>IFERROR(__xludf.DUMMYFUNCTION("""COMPUTED_VALUE"""),FALSE)</f>
        <v>0</v>
      </c>
      <c r="K115" s="16"/>
      <c r="L115" s="16" t="b">
        <f>IFERROR(__xludf.DUMMYFUNCTION("""COMPUTED_VALUE"""),FALSE)</f>
        <v>0</v>
      </c>
      <c r="M115" s="16" t="b">
        <f>IFERROR(__xludf.DUMMYFUNCTION("""COMPUTED_VALUE"""),FALSE)</f>
        <v>0</v>
      </c>
      <c r="N115" s="16"/>
    </row>
    <row r="116">
      <c r="A116" s="16" t="str">
        <f>IFERROR(__xludf.DUMMYFUNCTION("""COMPUTED_VALUE"""),"Corrupt")</f>
        <v>Corrupt</v>
      </c>
      <c r="B116" s="120">
        <f>IFERROR(__xludf.DUMMYFUNCTION("""COMPUTED_VALUE"""),4.0)</f>
        <v>4</v>
      </c>
      <c r="C116" s="16" t="str">
        <f>IFERROR(__xludf.DUMMYFUNCTION("""COMPUTED_VALUE"""),"X")</f>
        <v>X</v>
      </c>
      <c r="D116" s="16"/>
      <c r="E116" s="16" t="str">
        <f>IFERROR(__xludf.DUMMYFUNCTION("""COMPUTED_VALUE"""),"Target gains X*4 Dark damage and X*4 Dark resistance, can’t be used on self")</f>
        <v>Target gains X*4 Dark damage and X*4 Dark resistance, can’t be used on self</v>
      </c>
      <c r="F116" s="16" t="str">
        <f>IFERROR(__xludf.DUMMYFUNCTION("""COMPUTED_VALUE"""),"Will Succeed")</f>
        <v>Will Succeed</v>
      </c>
      <c r="G116" s="16"/>
      <c r="H116" s="16" t="str">
        <f>IFERROR(__xludf.DUMMYFUNCTION("""COMPUTED_VALUE"""),"Dark")</f>
        <v>Dark</v>
      </c>
      <c r="I116" s="16" t="str">
        <f>IFERROR(__xludf.DUMMYFUNCTION("""COMPUTED_VALUE"""),"Player")</f>
        <v>Player</v>
      </c>
      <c r="J116" s="16" t="b">
        <f>IFERROR(__xludf.DUMMYFUNCTION("""COMPUTED_VALUE"""),FALSE)</f>
        <v>0</v>
      </c>
      <c r="K116" s="16"/>
      <c r="L116" s="16" t="b">
        <f>IFERROR(__xludf.DUMMYFUNCTION("""COMPUTED_VALUE"""),FALSE)</f>
        <v>0</v>
      </c>
      <c r="M116" s="16" t="b">
        <f>IFERROR(__xludf.DUMMYFUNCTION("""COMPUTED_VALUE"""),FALSE)</f>
        <v>0</v>
      </c>
      <c r="N116" s="16"/>
    </row>
    <row r="117">
      <c r="A117" s="16" t="str">
        <f>IFERROR(__xludf.DUMMYFUNCTION("""COMPUTED_VALUE"""),"Dark Boost")</f>
        <v>Dark Boost</v>
      </c>
      <c r="B117" s="120">
        <f>IFERROR(__xludf.DUMMYFUNCTION("""COMPUTED_VALUE"""),9.0)</f>
        <v>9</v>
      </c>
      <c r="C117" s="16">
        <f>IFERROR(__xludf.DUMMYFUNCTION("""COMPUTED_VALUE"""),1000.0)</f>
        <v>1000</v>
      </c>
      <c r="D117" s="16"/>
      <c r="E117" s="16" t="str">
        <f>IFERROR(__xludf.DUMMYFUNCTION("""COMPUTED_VALUE"""),"X2 dark damage for caster.")</f>
        <v>X2 dark damage for caster.</v>
      </c>
      <c r="F117" s="16" t="str">
        <f>IFERROR(__xludf.DUMMYFUNCTION("""COMPUTED_VALUE"""),"Will Succeed")</f>
        <v>Will Succeed</v>
      </c>
      <c r="G117" s="16" t="str">
        <f>IFERROR(__xludf.DUMMYFUNCTION("""COMPUTED_VALUE"""),"Self")</f>
        <v>Self</v>
      </c>
      <c r="H117" s="16" t="str">
        <f>IFERROR(__xludf.DUMMYFUNCTION("""COMPUTED_VALUE"""),"Dark")</f>
        <v>Dark</v>
      </c>
      <c r="I117" s="16" t="str">
        <f>IFERROR(__xludf.DUMMYFUNCTION("""COMPUTED_VALUE"""),"Mob")</f>
        <v>Mob</v>
      </c>
      <c r="J117" s="16" t="b">
        <f>IFERROR(__xludf.DUMMYFUNCTION("""COMPUTED_VALUE"""),TRUE)</f>
        <v>1</v>
      </c>
      <c r="K117" s="16"/>
      <c r="L117" s="16" t="b">
        <f>IFERROR(__xludf.DUMMYFUNCTION("""COMPUTED_VALUE"""),FALSE)</f>
        <v>0</v>
      </c>
      <c r="M117" s="16" t="b">
        <f>IFERROR(__xludf.DUMMYFUNCTION("""COMPUTED_VALUE"""),FALSE)</f>
        <v>0</v>
      </c>
      <c r="N117" s="16"/>
    </row>
    <row r="118">
      <c r="A118" s="16" t="str">
        <f>IFERROR(__xludf.DUMMYFUNCTION("""COMPUTED_VALUE"""),"Dark Curse")</f>
        <v>Dark Curse</v>
      </c>
      <c r="B118" s="120">
        <f>IFERROR(__xludf.DUMMYFUNCTION("""COMPUTED_VALUE"""),7.0)</f>
        <v>7</v>
      </c>
      <c r="C118" s="16">
        <f>IFERROR(__xludf.DUMMYFUNCTION("""COMPUTED_VALUE"""),70.0)</f>
        <v>70</v>
      </c>
      <c r="D118" s="16"/>
      <c r="E118" s="16" t="str">
        <f>IFERROR(__xludf.DUMMYFUNCTION("""COMPUTED_VALUE"""),"All targets take 8000 dark damage and skip turn order for 3 rounds and causes the arena to be dark for 3 rounds.")</f>
        <v>All targets take 8000 dark damage and skip turn order for 3 rounds and causes the arena to be dark for 3 rounds.</v>
      </c>
      <c r="F118" s="16" t="str">
        <f>IFERROR(__xludf.DUMMYFUNCTION("""COMPUTED_VALUE"""),"Fail or Succeed")</f>
        <v>Fail or Succeed</v>
      </c>
      <c r="G118" s="16"/>
      <c r="H118" s="16" t="str">
        <f>IFERROR(__xludf.DUMMYFUNCTION("""COMPUTED_VALUE"""),"Dark")</f>
        <v>Dark</v>
      </c>
      <c r="I118" s="16" t="str">
        <f>IFERROR(__xludf.DUMMYFUNCTION("""COMPUTED_VALUE"""),"Player")</f>
        <v>Player</v>
      </c>
      <c r="J118" s="16" t="b">
        <f>IFERROR(__xludf.DUMMYFUNCTION("""COMPUTED_VALUE"""),FALSE)</f>
        <v>0</v>
      </c>
      <c r="K118" s="16"/>
      <c r="L118" s="16" t="b">
        <f>IFERROR(__xludf.DUMMYFUNCTION("""COMPUTED_VALUE"""),FALSE)</f>
        <v>0</v>
      </c>
      <c r="M118" s="16" t="b">
        <f>IFERROR(__xludf.DUMMYFUNCTION("""COMPUTED_VALUE"""),FALSE)</f>
        <v>0</v>
      </c>
      <c r="N118" s="16"/>
    </row>
    <row r="119">
      <c r="A119" s="16" t="str">
        <f>IFERROR(__xludf.DUMMYFUNCTION("""COMPUTED_VALUE"""),"Dark Force")</f>
        <v>Dark Force</v>
      </c>
      <c r="B119" s="120">
        <f>IFERROR(__xludf.DUMMYFUNCTION("""COMPUTED_VALUE"""),9.0)</f>
        <v>9</v>
      </c>
      <c r="C119" s="16">
        <f>IFERROR(__xludf.DUMMYFUNCTION("""COMPUTED_VALUE"""),1000.0)</f>
        <v>1000</v>
      </c>
      <c r="D119" s="16"/>
      <c r="E119" s="16" t="str">
        <f>IFERROR(__xludf.DUMMYFUNCTION("""COMPUTED_VALUE"""),"20,000 damage, and 20,000 dark damage to all enemies and causes the arena to be dark for 3 rounds.")</f>
        <v>20,000 damage, and 20,000 dark damage to all enemies and causes the arena to be dark for 3 rounds.</v>
      </c>
      <c r="F119" s="16" t="str">
        <f>IFERROR(__xludf.DUMMYFUNCTION("""COMPUTED_VALUE"""),"Cannot Avoid")</f>
        <v>Cannot Avoid</v>
      </c>
      <c r="G119" s="16" t="str">
        <f>IFERROR(__xludf.DUMMYFUNCTION("""COMPUTED_VALUE"""),"All")</f>
        <v>All</v>
      </c>
      <c r="H119" s="16" t="str">
        <f>IFERROR(__xludf.DUMMYFUNCTION("""COMPUTED_VALUE"""),"Dark")</f>
        <v>Dark</v>
      </c>
      <c r="I119" s="16" t="str">
        <f>IFERROR(__xludf.DUMMYFUNCTION("""COMPUTED_VALUE"""),"Mob")</f>
        <v>Mob</v>
      </c>
      <c r="J119" s="16" t="b">
        <f>IFERROR(__xludf.DUMMYFUNCTION("""COMPUTED_VALUE"""),TRUE)</f>
        <v>1</v>
      </c>
      <c r="K119" s="16"/>
      <c r="L119" s="16" t="b">
        <f>IFERROR(__xludf.DUMMYFUNCTION("""COMPUTED_VALUE"""),FALSE)</f>
        <v>0</v>
      </c>
      <c r="M119" s="16" t="b">
        <f>IFERROR(__xludf.DUMMYFUNCTION("""COMPUTED_VALUE"""),FALSE)</f>
        <v>0</v>
      </c>
      <c r="N119" s="16"/>
    </row>
    <row r="120">
      <c r="A120" s="16" t="str">
        <f>IFERROR(__xludf.DUMMYFUNCTION("""COMPUTED_VALUE"""),"Dark Sacrifice")</f>
        <v>Dark Sacrifice</v>
      </c>
      <c r="B120" s="120">
        <f>IFERROR(__xludf.DUMMYFUNCTION("""COMPUTED_VALUE"""),6.0)</f>
        <v>6</v>
      </c>
      <c r="C120" s="16">
        <f>IFERROR(__xludf.DUMMYFUNCTION("""COMPUTED_VALUE"""),60.0)</f>
        <v>60</v>
      </c>
      <c r="D120" s="16"/>
      <c r="E120" s="16" t="str">
        <f>IFERROR(__xludf.DUMMYFUNCTION("""COMPUTED_VALUE"""),"Caster takes damage equal to half their hp and selects 1 target to be revived.")</f>
        <v>Caster takes damage equal to half their hp and selects 1 target to be revived.</v>
      </c>
      <c r="F120" s="16" t="str">
        <f>IFERROR(__xludf.DUMMYFUNCTION("""COMPUTED_VALUE"""),"Will Succeed")</f>
        <v>Will Succeed</v>
      </c>
      <c r="G120" s="16"/>
      <c r="H120" s="16" t="str">
        <f>IFERROR(__xludf.DUMMYFUNCTION("""COMPUTED_VALUE"""),"Dark")</f>
        <v>Dark</v>
      </c>
      <c r="I120" s="16" t="str">
        <f>IFERROR(__xludf.DUMMYFUNCTION("""COMPUTED_VALUE"""),"Player")</f>
        <v>Player</v>
      </c>
      <c r="J120" s="16" t="b">
        <f>IFERROR(__xludf.DUMMYFUNCTION("""COMPUTED_VALUE"""),FALSE)</f>
        <v>0</v>
      </c>
      <c r="K120" s="16"/>
      <c r="L120" s="16" t="b">
        <f>IFERROR(__xludf.DUMMYFUNCTION("""COMPUTED_VALUE"""),FALSE)</f>
        <v>0</v>
      </c>
      <c r="M120" s="16" t="b">
        <f>IFERROR(__xludf.DUMMYFUNCTION("""COMPUTED_VALUE"""),FALSE)</f>
        <v>0</v>
      </c>
      <c r="N120" s="16"/>
    </row>
    <row r="121">
      <c r="A121" s="16" t="str">
        <f>IFERROR(__xludf.DUMMYFUNCTION("""COMPUTED_VALUE"""),"Darkest Abyss")</f>
        <v>Darkest Abyss</v>
      </c>
      <c r="B121" s="120">
        <f>IFERROR(__xludf.DUMMYFUNCTION("""COMPUTED_VALUE"""),9.0)</f>
        <v>9</v>
      </c>
      <c r="C121" s="16">
        <f>IFERROR(__xludf.DUMMYFUNCTION("""COMPUTED_VALUE"""),300.0)</f>
        <v>300</v>
      </c>
      <c r="D121" s="16"/>
      <c r="E121" s="16" t="str">
        <f>IFERROR(__xludf.DUMMYFUNCTION("""COMPUTED_VALUE"""),"50,000 dark damage to all enemies. 50% chance of instant death and causes the arena to be dark for 3 rounds..")</f>
        <v>50,000 dark damage to all enemies. 50% chance of instant death and causes the arena to be dark for 3 rounds..</v>
      </c>
      <c r="F121" s="16" t="str">
        <f>IFERROR(__xludf.DUMMYFUNCTION("""COMPUTED_VALUE"""),"Cannot be avoided")</f>
        <v>Cannot be avoided</v>
      </c>
      <c r="G121" s="16">
        <f>IFERROR(__xludf.DUMMYFUNCTION("""COMPUTED_VALUE"""),1.0)</f>
        <v>1</v>
      </c>
      <c r="H121" s="16" t="str">
        <f>IFERROR(__xludf.DUMMYFUNCTION("""COMPUTED_VALUE"""),"Dark")</f>
        <v>Dark</v>
      </c>
      <c r="I121" s="16" t="str">
        <f>IFERROR(__xludf.DUMMYFUNCTION("""COMPUTED_VALUE"""),"Player")</f>
        <v>Player</v>
      </c>
      <c r="J121" s="16" t="b">
        <f>IFERROR(__xludf.DUMMYFUNCTION("""COMPUTED_VALUE"""),FALSE)</f>
        <v>0</v>
      </c>
      <c r="K121" s="16"/>
      <c r="L121" s="16" t="b">
        <f>IFERROR(__xludf.DUMMYFUNCTION("""COMPUTED_VALUE"""),FALSE)</f>
        <v>0</v>
      </c>
      <c r="M121" s="16" t="b">
        <f>IFERROR(__xludf.DUMMYFUNCTION("""COMPUTED_VALUE"""),FALSE)</f>
        <v>0</v>
      </c>
      <c r="N121" s="16"/>
    </row>
    <row r="122">
      <c r="A122" s="16" t="str">
        <f>IFERROR(__xludf.DUMMYFUNCTION("""COMPUTED_VALUE"""),"Darkness Ablaze")</f>
        <v>Darkness Ablaze</v>
      </c>
      <c r="B122" s="120">
        <f>IFERROR(__xludf.DUMMYFUNCTION("""COMPUTED_VALUE"""),9.0)</f>
        <v>9</v>
      </c>
      <c r="C122" s="119">
        <f>IFERROR(__xludf.DUMMYFUNCTION("""COMPUTED_VALUE"""),10000.0)</f>
        <v>10000</v>
      </c>
      <c r="D122" s="16"/>
      <c r="E122" s="16" t="str">
        <f>IFERROR(__xludf.DUMMYFUNCTION("""COMPUTED_VALUE"""),"100,000 Dark and Fire damage to all enemies, +Darkness Void: All enemies attacks will miss this target for the rest of the round and causes the arena to be dark for 3 rounds..")</f>
        <v>100,000 Dark and Fire damage to all enemies, +Darkness Void: All enemies attacks will miss this target for the rest of the round and causes the arena to be dark for 3 rounds..</v>
      </c>
      <c r="F122" s="16" t="str">
        <f>IFERROR(__xludf.DUMMYFUNCTION("""COMPUTED_VALUE"""),"Cannot Avoid")</f>
        <v>Cannot Avoid</v>
      </c>
      <c r="G122" s="16" t="str">
        <f>IFERROR(__xludf.DUMMYFUNCTION("""COMPUTED_VALUE"""),"All")</f>
        <v>All</v>
      </c>
      <c r="H122" s="16" t="str">
        <f>IFERROR(__xludf.DUMMYFUNCTION("""COMPUTED_VALUE"""),"Dark")</f>
        <v>Dark</v>
      </c>
      <c r="I122" s="16" t="str">
        <f>IFERROR(__xludf.DUMMYFUNCTION("""COMPUTED_VALUE"""),"Mob")</f>
        <v>Mob</v>
      </c>
      <c r="J122" s="16" t="b">
        <f>IFERROR(__xludf.DUMMYFUNCTION("""COMPUTED_VALUE"""),TRUE)</f>
        <v>1</v>
      </c>
      <c r="K122" s="16"/>
      <c r="L122" s="16" t="b">
        <f>IFERROR(__xludf.DUMMYFUNCTION("""COMPUTED_VALUE"""),FALSE)</f>
        <v>0</v>
      </c>
      <c r="M122" s="16" t="b">
        <f>IFERROR(__xludf.DUMMYFUNCTION("""COMPUTED_VALUE"""),FALSE)</f>
        <v>0</v>
      </c>
      <c r="N122" s="16"/>
    </row>
    <row r="123">
      <c r="A123" s="16" t="str">
        <f>IFERROR(__xludf.DUMMYFUNCTION("""COMPUTED_VALUE"""),"Devolve")</f>
        <v>Devolve</v>
      </c>
      <c r="B123" s="120">
        <f>IFERROR(__xludf.DUMMYFUNCTION("""COMPUTED_VALUE"""),8.0)</f>
        <v>8</v>
      </c>
      <c r="C123" s="16" t="str">
        <f>IFERROR(__xludf.DUMMYFUNCTION("""COMPUTED_VALUE"""),"X")</f>
        <v>X</v>
      </c>
      <c r="D123" s="16"/>
      <c r="E123" s="16" t="str">
        <f>IFERROR(__xludf.DUMMYFUNCTION("""COMPUTED_VALUE"""),"Decrease a targets base stats by X*100")</f>
        <v>Decrease a targets base stats by X*100</v>
      </c>
      <c r="F123" s="16" t="str">
        <f>IFERROR(__xludf.DUMMYFUNCTION("""COMPUTED_VALUE"""),"Fail/Succeed")</f>
        <v>Fail/Succeed</v>
      </c>
      <c r="G123" s="16"/>
      <c r="H123" s="16" t="str">
        <f>IFERROR(__xludf.DUMMYFUNCTION("""COMPUTED_VALUE"""),"Dark")</f>
        <v>Dark</v>
      </c>
      <c r="I123" s="16" t="str">
        <f>IFERROR(__xludf.DUMMYFUNCTION("""COMPUTED_VALUE"""),"Player")</f>
        <v>Player</v>
      </c>
      <c r="J123" s="16" t="b">
        <f>IFERROR(__xludf.DUMMYFUNCTION("""COMPUTED_VALUE"""),FALSE)</f>
        <v>0</v>
      </c>
      <c r="K123" s="16"/>
      <c r="L123" s="16" t="b">
        <f>IFERROR(__xludf.DUMMYFUNCTION("""COMPUTED_VALUE"""),FALSE)</f>
        <v>0</v>
      </c>
      <c r="M123" s="16" t="b">
        <f>IFERROR(__xludf.DUMMYFUNCTION("""COMPUTED_VALUE"""),FALSE)</f>
        <v>0</v>
      </c>
      <c r="N123" s="16"/>
    </row>
    <row r="124">
      <c r="A124" s="16" t="str">
        <f>IFERROR(__xludf.DUMMYFUNCTION("""COMPUTED_VALUE"""),"Multi Vanish")</f>
        <v>Multi Vanish</v>
      </c>
      <c r="B124" s="120">
        <f>IFERROR(__xludf.DUMMYFUNCTION("""COMPUTED_VALUE"""),9.0)</f>
        <v>9</v>
      </c>
      <c r="C124" s="16">
        <f>IFERROR(__xludf.DUMMYFUNCTION("""COMPUTED_VALUE"""),300.0)</f>
        <v>300</v>
      </c>
      <c r="D124" s="16"/>
      <c r="E124" s="16" t="str">
        <f>IFERROR(__xludf.DUMMYFUNCTION("""COMPUTED_VALUE"""),"Caster and all allies Gain invulnerability for 3 rounds, Caster and allies are unable to inflict any non-magic damage for 3 rounds.")</f>
        <v>Caster and all allies Gain invulnerability for 3 rounds, Caster and allies are unable to inflict any non-magic damage for 3 rounds.</v>
      </c>
      <c r="F124" s="16" t="str">
        <f>IFERROR(__xludf.DUMMYFUNCTION("""COMPUTED_VALUE"""),"Fail/succeed")</f>
        <v>Fail/succeed</v>
      </c>
      <c r="G124" s="16"/>
      <c r="H124" s="16" t="str">
        <f>IFERROR(__xludf.DUMMYFUNCTION("""COMPUTED_VALUE"""),"Dark")</f>
        <v>Dark</v>
      </c>
      <c r="I124" s="16" t="str">
        <f>IFERROR(__xludf.DUMMYFUNCTION("""COMPUTED_VALUE"""),"Player")</f>
        <v>Player</v>
      </c>
      <c r="J124" s="16" t="b">
        <f>IFERROR(__xludf.DUMMYFUNCTION("""COMPUTED_VALUE"""),FALSE)</f>
        <v>0</v>
      </c>
      <c r="K124" s="16"/>
      <c r="L124" s="16" t="b">
        <f>IFERROR(__xludf.DUMMYFUNCTION("""COMPUTED_VALUE"""),FALSE)</f>
        <v>0</v>
      </c>
      <c r="M124" s="16" t="b">
        <f>IFERROR(__xludf.DUMMYFUNCTION("""COMPUTED_VALUE"""),FALSE)</f>
        <v>0</v>
      </c>
      <c r="N124" s="16"/>
    </row>
    <row r="125">
      <c r="A125" s="16" t="str">
        <f>IFERROR(__xludf.DUMMYFUNCTION("""COMPUTED_VALUE"""),"Nightmare")</f>
        <v>Nightmare</v>
      </c>
      <c r="B125" s="120">
        <f>IFERROR(__xludf.DUMMYFUNCTION("""COMPUTED_VALUE"""),9.0)</f>
        <v>9</v>
      </c>
      <c r="C125" s="16">
        <f>IFERROR(__xludf.DUMMYFUNCTION("""COMPUTED_VALUE"""),5000.0)</f>
        <v>5000</v>
      </c>
      <c r="D125" s="16"/>
      <c r="E125" s="16" t="str">
        <f>IFERROR(__xludf.DUMMYFUNCTION("""COMPUTED_VALUE"""),"Puts all enemies to sleep, Those targets take X2 more damage while asleep.")</f>
        <v>Puts all enemies to sleep, Those targets take X2 more damage while asleep.</v>
      </c>
      <c r="F125" s="16" t="str">
        <f>IFERROR(__xludf.DUMMYFUNCTION("""COMPUTED_VALUE"""),"Fail/Succeed")</f>
        <v>Fail/Succeed</v>
      </c>
      <c r="G125" s="16" t="str">
        <f>IFERROR(__xludf.DUMMYFUNCTION("""COMPUTED_VALUE"""),"All")</f>
        <v>All</v>
      </c>
      <c r="H125" s="16" t="str">
        <f>IFERROR(__xludf.DUMMYFUNCTION("""COMPUTED_VALUE"""),"Dark")</f>
        <v>Dark</v>
      </c>
      <c r="I125" s="16" t="str">
        <f>IFERROR(__xludf.DUMMYFUNCTION("""COMPUTED_VALUE"""),"Mob")</f>
        <v>Mob</v>
      </c>
      <c r="J125" s="16" t="b">
        <f>IFERROR(__xludf.DUMMYFUNCTION("""COMPUTED_VALUE"""),TRUE)</f>
        <v>1</v>
      </c>
      <c r="K125" s="16"/>
      <c r="L125" s="16" t="b">
        <f>IFERROR(__xludf.DUMMYFUNCTION("""COMPUTED_VALUE"""),FALSE)</f>
        <v>0</v>
      </c>
      <c r="M125" s="16" t="b">
        <f>IFERROR(__xludf.DUMMYFUNCTION("""COMPUTED_VALUE"""),TRUE)</f>
        <v>1</v>
      </c>
      <c r="N125" s="16"/>
    </row>
    <row r="126">
      <c r="A126" s="16" t="str">
        <f>IFERROR(__xludf.DUMMYFUNCTION("""COMPUTED_VALUE"""),"Pick Pocket")</f>
        <v>Pick Pocket</v>
      </c>
      <c r="B126" s="120">
        <f>IFERROR(__xludf.DUMMYFUNCTION("""COMPUTED_VALUE"""),1.0)</f>
        <v>1</v>
      </c>
      <c r="C126" s="16">
        <f>IFERROR(__xludf.DUMMYFUNCTION("""COMPUTED_VALUE"""),0.0)</f>
        <v>0</v>
      </c>
      <c r="D126" s="16"/>
      <c r="E126" s="16" t="str">
        <f>IFERROR(__xludf.DUMMYFUNCTION("""COMPUTED_VALUE"""),"Take lowest item from targets loot table (if Player take the first item listed in their backpack). Can only take from 1 target per battle.")</f>
        <v>Take lowest item from targets loot table (if Player take the first item listed in their backpack). Can only take from 1 target per battle.</v>
      </c>
      <c r="F126" s="16" t="str">
        <f>IFERROR(__xludf.DUMMYFUNCTION("""COMPUTED_VALUE"""),"Natural/Fail or Succeed")</f>
        <v>Natural/Fail or Succeed</v>
      </c>
      <c r="G126" s="16"/>
      <c r="H126" s="16" t="str">
        <f>IFERROR(__xludf.DUMMYFUNCTION("""COMPUTED_VALUE"""),"Dark")</f>
        <v>Dark</v>
      </c>
      <c r="I126" s="16" t="str">
        <f>IFERROR(__xludf.DUMMYFUNCTION("""COMPUTED_VALUE"""),"Player")</f>
        <v>Player</v>
      </c>
      <c r="J126" s="16" t="b">
        <f>IFERROR(__xludf.DUMMYFUNCTION("""COMPUTED_VALUE"""),FALSE)</f>
        <v>0</v>
      </c>
      <c r="K126" s="16"/>
      <c r="L126" s="16" t="b">
        <f>IFERROR(__xludf.DUMMYFUNCTION("""COMPUTED_VALUE"""),FALSE)</f>
        <v>0</v>
      </c>
      <c r="M126" s="16" t="b">
        <f>IFERROR(__xludf.DUMMYFUNCTION("""COMPUTED_VALUE"""),FALSE)</f>
        <v>0</v>
      </c>
      <c r="N126" s="16"/>
    </row>
    <row r="127">
      <c r="A127" s="16" t="str">
        <f>IFERROR(__xludf.DUMMYFUNCTION("""COMPUTED_VALUE"""),"Raise Dead")</f>
        <v>Raise Dead</v>
      </c>
      <c r="B127" s="120">
        <f>IFERROR(__xludf.DUMMYFUNCTION("""COMPUTED_VALUE"""),9.0)</f>
        <v>9</v>
      </c>
      <c r="C127" s="16">
        <f>IFERROR(__xludf.DUMMYFUNCTION("""COMPUTED_VALUE"""),300.0)</f>
        <v>300</v>
      </c>
      <c r="D127" s="16"/>
      <c r="E127" s="16" t="str">
        <f>IFERROR(__xludf.DUMMYFUNCTION("""COMPUTED_VALUE"""),"Return a target from death with half their HP, must be done before they respawn")</f>
        <v>Return a target from death with half their HP, must be done before they respawn</v>
      </c>
      <c r="F127" s="16" t="str">
        <f>IFERROR(__xludf.DUMMYFUNCTION("""COMPUTED_VALUE"""),"Fail/succeed")</f>
        <v>Fail/succeed</v>
      </c>
      <c r="G127" s="16">
        <f>IFERROR(__xludf.DUMMYFUNCTION("""COMPUTED_VALUE"""),1.0)</f>
        <v>1</v>
      </c>
      <c r="H127" s="16" t="str">
        <f>IFERROR(__xludf.DUMMYFUNCTION("""COMPUTED_VALUE"""),"Dark")</f>
        <v>Dark</v>
      </c>
      <c r="I127" s="16" t="str">
        <f>IFERROR(__xludf.DUMMYFUNCTION("""COMPUTED_VALUE"""),"Player")</f>
        <v>Player</v>
      </c>
      <c r="J127" s="16" t="b">
        <f>IFERROR(__xludf.DUMMYFUNCTION("""COMPUTED_VALUE"""),FALSE)</f>
        <v>0</v>
      </c>
      <c r="K127" s="16"/>
      <c r="L127" s="16" t="b">
        <f>IFERROR(__xludf.DUMMYFUNCTION("""COMPUTED_VALUE"""),FALSE)</f>
        <v>0</v>
      </c>
      <c r="M127" s="16" t="b">
        <f>IFERROR(__xludf.DUMMYFUNCTION("""COMPUTED_VALUE"""),FALSE)</f>
        <v>0</v>
      </c>
      <c r="N127" s="16"/>
    </row>
    <row r="128">
      <c r="A128" s="16" t="str">
        <f>IFERROR(__xludf.DUMMYFUNCTION("""COMPUTED_VALUE"""),"Reapers Cradle")</f>
        <v>Reapers Cradle</v>
      </c>
      <c r="B128" s="120">
        <f>IFERROR(__xludf.DUMMYFUNCTION("""COMPUTED_VALUE"""),0.0)</f>
        <v>0</v>
      </c>
      <c r="C128" s="16">
        <f>IFERROR(__xludf.DUMMYFUNCTION("""COMPUTED_VALUE"""),0.0)</f>
        <v>0</v>
      </c>
      <c r="D128" s="16"/>
      <c r="E128" s="16" t="str">
        <f>IFERROR(__xludf.DUMMYFUNCTION("""COMPUTED_VALUE"""),"Puts all enemies to sleep for 3 rounds skipping their turn order.")</f>
        <v>Puts all enemies to sleep for 3 rounds skipping their turn order.</v>
      </c>
      <c r="F128" s="16" t="str">
        <f>IFERROR(__xludf.DUMMYFUNCTION("""COMPUTED_VALUE"""),"Natural/Fail or Succeed")</f>
        <v>Natural/Fail or Succeed</v>
      </c>
      <c r="G128" s="16" t="str">
        <f>IFERROR(__xludf.DUMMYFUNCTION("""COMPUTED_VALUE"""),"All")</f>
        <v>All</v>
      </c>
      <c r="H128" s="16" t="str">
        <f>IFERROR(__xludf.DUMMYFUNCTION("""COMPUTED_VALUE"""),"Dark")</f>
        <v>Dark</v>
      </c>
      <c r="I128" s="16" t="str">
        <f>IFERROR(__xludf.DUMMYFUNCTION("""COMPUTED_VALUE"""),"Mob")</f>
        <v>Mob</v>
      </c>
      <c r="J128" s="16" t="b">
        <f>IFERROR(__xludf.DUMMYFUNCTION("""COMPUTED_VALUE"""),TRUE)</f>
        <v>1</v>
      </c>
      <c r="K128" s="16" t="str">
        <f>IFERROR(__xludf.DUMMYFUNCTION("""COMPUTED_VALUE"""),"Cannot be obtained by players.")</f>
        <v>Cannot be obtained by players.</v>
      </c>
      <c r="L128" s="16" t="b">
        <f>IFERROR(__xludf.DUMMYFUNCTION("""COMPUTED_VALUE"""),FALSE)</f>
        <v>0</v>
      </c>
      <c r="M128" s="16" t="b">
        <f>IFERROR(__xludf.DUMMYFUNCTION("""COMPUTED_VALUE"""),FALSE)</f>
        <v>0</v>
      </c>
      <c r="N128" s="16"/>
    </row>
    <row r="129">
      <c r="A129" s="16" t="str">
        <f>IFERROR(__xludf.DUMMYFUNCTION("""COMPUTED_VALUE"""),"Regress")</f>
        <v>Regress</v>
      </c>
      <c r="B129" s="120">
        <f>IFERROR(__xludf.DUMMYFUNCTION("""COMPUTED_VALUE"""),3.0)</f>
        <v>3</v>
      </c>
      <c r="C129" s="16" t="str">
        <f>IFERROR(__xludf.DUMMYFUNCTION("""COMPUTED_VALUE"""),"X")</f>
        <v>X</v>
      </c>
      <c r="D129" s="16"/>
      <c r="E129" s="16" t="str">
        <f>IFERROR(__xludf.DUMMYFUNCTION("""COMPUTED_VALUE"""),"All target’s base stats are reduced by X*2 until the end of battle.")</f>
        <v>All target’s base stats are reduced by X*2 until the end of battle.</v>
      </c>
      <c r="F129" s="16" t="str">
        <f>IFERROR(__xludf.DUMMYFUNCTION("""COMPUTED_VALUE"""),"Fail/Succeed")</f>
        <v>Fail/Succeed</v>
      </c>
      <c r="G129" s="16"/>
      <c r="H129" s="16" t="str">
        <f>IFERROR(__xludf.DUMMYFUNCTION("""COMPUTED_VALUE"""),"Dark")</f>
        <v>Dark</v>
      </c>
      <c r="I129" s="16" t="str">
        <f>IFERROR(__xludf.DUMMYFUNCTION("""COMPUTED_VALUE"""),"Player")</f>
        <v>Player</v>
      </c>
      <c r="J129" s="16" t="b">
        <f>IFERROR(__xludf.DUMMYFUNCTION("""COMPUTED_VALUE"""),FALSE)</f>
        <v>0</v>
      </c>
      <c r="K129" s="16"/>
      <c r="L129" s="16" t="b">
        <f>IFERROR(__xludf.DUMMYFUNCTION("""COMPUTED_VALUE"""),FALSE)</f>
        <v>0</v>
      </c>
      <c r="M129" s="16" t="b">
        <f>IFERROR(__xludf.DUMMYFUNCTION("""COMPUTED_VALUE"""),FALSE)</f>
        <v>0</v>
      </c>
      <c r="N129" s="16"/>
    </row>
    <row r="130">
      <c r="A130" s="16"/>
      <c r="B130" s="16"/>
      <c r="C130" s="16"/>
      <c r="D130" s="16"/>
      <c r="E130" s="16"/>
      <c r="F130" s="16"/>
      <c r="G130" s="16"/>
      <c r="H130" s="16"/>
      <c r="I130" s="16"/>
      <c r="J130" s="16" t="b">
        <f>IFERROR(__xludf.DUMMYFUNCTION("""COMPUTED_VALUE"""),FALSE)</f>
        <v>0</v>
      </c>
      <c r="K130" s="16"/>
      <c r="L130" s="16" t="b">
        <f>IFERROR(__xludf.DUMMYFUNCTION("""COMPUTED_VALUE"""),FALSE)</f>
        <v>0</v>
      </c>
      <c r="M130" s="16" t="b">
        <f>IFERROR(__xludf.DUMMYFUNCTION("""COMPUTED_VALUE"""),FALSE)</f>
        <v>0</v>
      </c>
      <c r="N130" s="16"/>
    </row>
    <row r="131">
      <c r="A131" s="16" t="str">
        <f>IFERROR(__xludf.DUMMYFUNCTION("""COMPUTED_VALUE"""),"Shade")</f>
        <v>Shade</v>
      </c>
      <c r="B131" s="120">
        <f>IFERROR(__xludf.DUMMYFUNCTION("""COMPUTED_VALUE"""),1.0)</f>
        <v>1</v>
      </c>
      <c r="C131" s="16">
        <f>IFERROR(__xludf.DUMMYFUNCTION("""COMPUTED_VALUE"""),10.0)</f>
        <v>10</v>
      </c>
      <c r="D131" s="16"/>
      <c r="E131" s="16" t="str">
        <f>IFERROR(__xludf.DUMMYFUNCTION("""COMPUTED_VALUE"""),"1000 dark damage and causes the arena to be dark for 3 rounds.")</f>
        <v>1000 dark damage and causes the arena to be dark for 3 rounds.</v>
      </c>
      <c r="F131" s="16" t="str">
        <f>IFERROR(__xludf.DUMMYFUNCTION("""COMPUTED_VALUE"""),"Hit or Miss")</f>
        <v>Hit or Miss</v>
      </c>
      <c r="G131" s="16">
        <f>IFERROR(__xludf.DUMMYFUNCTION("""COMPUTED_VALUE"""),1.0)</f>
        <v>1</v>
      </c>
      <c r="H131" s="16" t="str">
        <f>IFERROR(__xludf.DUMMYFUNCTION("""COMPUTED_VALUE"""),"Dark")</f>
        <v>Dark</v>
      </c>
      <c r="I131" s="16" t="str">
        <f>IFERROR(__xludf.DUMMYFUNCTION("""COMPUTED_VALUE"""),"Player")</f>
        <v>Player</v>
      </c>
      <c r="J131" s="16" t="b">
        <f>IFERROR(__xludf.DUMMYFUNCTION("""COMPUTED_VALUE"""),FALSE)</f>
        <v>0</v>
      </c>
      <c r="K131" s="16"/>
      <c r="L131" s="16" t="b">
        <f>IFERROR(__xludf.DUMMYFUNCTION("""COMPUTED_VALUE"""),FALSE)</f>
        <v>0</v>
      </c>
      <c r="M131" s="16" t="b">
        <f>IFERROR(__xludf.DUMMYFUNCTION("""COMPUTED_VALUE"""),FALSE)</f>
        <v>0</v>
      </c>
      <c r="N131" s="16"/>
    </row>
    <row r="132">
      <c r="A132" s="16" t="str">
        <f>IFERROR(__xludf.DUMMYFUNCTION("""COMPUTED_VALUE"""),"Shadow")</f>
        <v>Shadow</v>
      </c>
      <c r="B132" s="120">
        <f>IFERROR(__xludf.DUMMYFUNCTION("""COMPUTED_VALUE"""),4.0)</f>
        <v>4</v>
      </c>
      <c r="C132" s="16">
        <f>IFERROR(__xludf.DUMMYFUNCTION("""COMPUTED_VALUE"""),40.0)</f>
        <v>40</v>
      </c>
      <c r="D132" s="16"/>
      <c r="E132" s="16" t="str">
        <f>IFERROR(__xludf.DUMMYFUNCTION("""COMPUTED_VALUE"""),"4000 Dark Damage, Stun 3 and causes the arena to be dark for 3 rounds.")</f>
        <v>4000 Dark Damage, Stun 3 and causes the arena to be dark for 3 rounds.</v>
      </c>
      <c r="F132" s="16" t="str">
        <f>IFERROR(__xludf.DUMMYFUNCTION("""COMPUTED_VALUE"""),"Hit or Miss")</f>
        <v>Hit or Miss</v>
      </c>
      <c r="G132" s="16">
        <f>IFERROR(__xludf.DUMMYFUNCTION("""COMPUTED_VALUE"""),1.0)</f>
        <v>1</v>
      </c>
      <c r="H132" s="16" t="str">
        <f>IFERROR(__xludf.DUMMYFUNCTION("""COMPUTED_VALUE"""),"Dark")</f>
        <v>Dark</v>
      </c>
      <c r="I132" s="16" t="str">
        <f>IFERROR(__xludf.DUMMYFUNCTION("""COMPUTED_VALUE"""),"Player")</f>
        <v>Player</v>
      </c>
      <c r="J132" s="16" t="b">
        <f>IFERROR(__xludf.DUMMYFUNCTION("""COMPUTED_VALUE"""),FALSE)</f>
        <v>0</v>
      </c>
      <c r="K132" s="16"/>
      <c r="L132" s="16" t="b">
        <f>IFERROR(__xludf.DUMMYFUNCTION("""COMPUTED_VALUE"""),FALSE)</f>
        <v>0</v>
      </c>
      <c r="M132" s="16" t="b">
        <f>IFERROR(__xludf.DUMMYFUNCTION("""COMPUTED_VALUE"""),FALSE)</f>
        <v>0</v>
      </c>
      <c r="N132" s="16"/>
    </row>
    <row r="133">
      <c r="A133" s="16" t="str">
        <f>IFERROR(__xludf.DUMMYFUNCTION("""COMPUTED_VALUE"""),"Shadow Curse")</f>
        <v>Shadow Curse</v>
      </c>
      <c r="B133" s="120">
        <f>IFERROR(__xludf.DUMMYFUNCTION("""COMPUTED_VALUE"""),9.0)</f>
        <v>9</v>
      </c>
      <c r="C133" s="16">
        <f>IFERROR(__xludf.DUMMYFUNCTION("""COMPUTED_VALUE"""),1000.0)</f>
        <v>1000</v>
      </c>
      <c r="D133" s="16"/>
      <c r="E133" s="16" t="str">
        <f>IFERROR(__xludf.DUMMYFUNCTION("""COMPUTED_VALUE"""),"A dark curse making the target take x2 dark damage until the curse is lifted.")</f>
        <v>A dark curse making the target take x2 dark damage until the curse is lifted.</v>
      </c>
      <c r="F133" s="16" t="str">
        <f>IFERROR(__xludf.DUMMYFUNCTION("""COMPUTED_VALUE"""),"Fail or Succeed")</f>
        <v>Fail or Succeed</v>
      </c>
      <c r="G133" s="16">
        <f>IFERROR(__xludf.DUMMYFUNCTION("""COMPUTED_VALUE"""),1.0)</f>
        <v>1</v>
      </c>
      <c r="H133" s="16" t="str">
        <f>IFERROR(__xludf.DUMMYFUNCTION("""COMPUTED_VALUE"""),"Dark")</f>
        <v>Dark</v>
      </c>
      <c r="I133" s="16" t="str">
        <f>IFERROR(__xludf.DUMMYFUNCTION("""COMPUTED_VALUE"""),"Mob")</f>
        <v>Mob</v>
      </c>
      <c r="J133" s="16" t="b">
        <f>IFERROR(__xludf.DUMMYFUNCTION("""COMPUTED_VALUE"""),TRUE)</f>
        <v>1</v>
      </c>
      <c r="K133" s="16"/>
      <c r="L133" s="16" t="b">
        <f>IFERROR(__xludf.DUMMYFUNCTION("""COMPUTED_VALUE"""),FALSE)</f>
        <v>0</v>
      </c>
      <c r="M133" s="16" t="b">
        <f>IFERROR(__xludf.DUMMYFUNCTION("""COMPUTED_VALUE"""),FALSE)</f>
        <v>0</v>
      </c>
      <c r="N133" s="16"/>
    </row>
    <row r="134">
      <c r="A134" s="16" t="str">
        <f>IFERROR(__xludf.DUMMYFUNCTION("""COMPUTED_VALUE"""),"Shadow Strike")</f>
        <v>Shadow Strike</v>
      </c>
      <c r="B134" s="120">
        <f>IFERROR(__xludf.DUMMYFUNCTION("""COMPUTED_VALUE"""),9.0)</f>
        <v>9</v>
      </c>
      <c r="C134" s="16">
        <f>IFERROR(__xludf.DUMMYFUNCTION("""COMPUTED_VALUE"""),300.0)</f>
        <v>300</v>
      </c>
      <c r="D134" s="16"/>
      <c r="E134" s="16" t="str">
        <f>IFERROR(__xludf.DUMMYFUNCTION("""COMPUTED_VALUE"""),"You hide away the turn you use this spell, You cannot be attacked or affected by spells while hidden. On your next turn you attack a random enemy dealing 20,000 Dark  damage; this does not count as your next turns action.")</f>
        <v>You hide away the turn you use this spell, You cannot be attacked or affected by spells while hidden. On your next turn you attack a random enemy dealing 20,000 Dark  damage; this does not count as your next turns action.</v>
      </c>
      <c r="F134" s="16" t="str">
        <f>IFERROR(__xludf.DUMMYFUNCTION("""COMPUTED_VALUE"""),"Fail/succeed")</f>
        <v>Fail/succeed</v>
      </c>
      <c r="G134" s="16" t="str">
        <f>IFERROR(__xludf.DUMMYFUNCTION("""COMPUTED_VALUE"""),"Self")</f>
        <v>Self</v>
      </c>
      <c r="H134" s="16" t="str">
        <f>IFERROR(__xludf.DUMMYFUNCTION("""COMPUTED_VALUE"""),"Dark")</f>
        <v>Dark</v>
      </c>
      <c r="I134" s="16" t="str">
        <f>IFERROR(__xludf.DUMMYFUNCTION("""COMPUTED_VALUE"""),"Player")</f>
        <v>Player</v>
      </c>
      <c r="J134" s="16" t="b">
        <f>IFERROR(__xludf.DUMMYFUNCTION("""COMPUTED_VALUE"""),FALSE)</f>
        <v>0</v>
      </c>
      <c r="K134" s="16"/>
      <c r="L134" s="16" t="b">
        <f>IFERROR(__xludf.DUMMYFUNCTION("""COMPUTED_VALUE"""),FALSE)</f>
        <v>0</v>
      </c>
      <c r="M134" s="16" t="b">
        <f>IFERROR(__xludf.DUMMYFUNCTION("""COMPUTED_VALUE"""),FALSE)</f>
        <v>0</v>
      </c>
      <c r="N134" s="16"/>
    </row>
    <row r="135">
      <c r="A135" s="16" t="str">
        <f>IFERROR(__xludf.DUMMYFUNCTION("""COMPUTED_VALUE"""),"Shadow Vanish")</f>
        <v>Shadow Vanish</v>
      </c>
      <c r="B135" s="120">
        <f>IFERROR(__xludf.DUMMYFUNCTION("""COMPUTED_VALUE"""),9.0)</f>
        <v>9</v>
      </c>
      <c r="C135" s="16">
        <f>IFERROR(__xludf.DUMMYFUNCTION("""COMPUTED_VALUE"""),300.0)</f>
        <v>300</v>
      </c>
      <c r="D135" s="16"/>
      <c r="E135" s="16" t="str">
        <f>IFERROR(__xludf.DUMMYFUNCTION("""COMPUTED_VALUE"""),"Gain invulnerability for 3 rounds, you are unable to inflict any non-magic damage for 3 rounds")</f>
        <v>Gain invulnerability for 3 rounds, you are unable to inflict any non-magic damage for 3 rounds</v>
      </c>
      <c r="F135" s="16" t="str">
        <f>IFERROR(__xludf.DUMMYFUNCTION("""COMPUTED_VALUE"""),"Fail/succeed")</f>
        <v>Fail/succeed</v>
      </c>
      <c r="G135" s="16">
        <f>IFERROR(__xludf.DUMMYFUNCTION("""COMPUTED_VALUE"""),1.0)</f>
        <v>1</v>
      </c>
      <c r="H135" s="16" t="str">
        <f>IFERROR(__xludf.DUMMYFUNCTION("""COMPUTED_VALUE"""),"Dark")</f>
        <v>Dark</v>
      </c>
      <c r="I135" s="16" t="str">
        <f>IFERROR(__xludf.DUMMYFUNCTION("""COMPUTED_VALUE"""),"Player")</f>
        <v>Player</v>
      </c>
      <c r="J135" s="16" t="b">
        <f>IFERROR(__xludf.DUMMYFUNCTION("""COMPUTED_VALUE"""),FALSE)</f>
        <v>0</v>
      </c>
      <c r="K135" s="16"/>
      <c r="L135" s="16" t="b">
        <f>IFERROR(__xludf.DUMMYFUNCTION("""COMPUTED_VALUE"""),FALSE)</f>
        <v>0</v>
      </c>
      <c r="M135" s="16" t="b">
        <f>IFERROR(__xludf.DUMMYFUNCTION("""COMPUTED_VALUE"""),FALSE)</f>
        <v>0</v>
      </c>
      <c r="N135" s="16"/>
    </row>
    <row r="136">
      <c r="A136" s="16" t="str">
        <f>IFERROR(__xludf.DUMMYFUNCTION("""COMPUTED_VALUE"""),"Summon Haunted Scarecrow")</f>
        <v>Summon Haunted Scarecrow</v>
      </c>
      <c r="B136" s="120">
        <f>IFERROR(__xludf.DUMMYFUNCTION("""COMPUTED_VALUE"""),9.0)</f>
        <v>9</v>
      </c>
      <c r="C136" s="16">
        <f>IFERROR(__xludf.DUMMYFUNCTION("""COMPUTED_VALUE"""),1000.0)</f>
        <v>1000</v>
      </c>
      <c r="D136" s="16"/>
      <c r="E136" s="16" t="str">
        <f>IFERROR(__xludf.DUMMYFUNCTION("""COMPUTED_VALUE"""),"Summon a haunted scarecrow. 50% chance to summon 2.")</f>
        <v>Summon a haunted scarecrow. 50% chance to summon 2.</v>
      </c>
      <c r="F136" s="16" t="str">
        <f>IFERROR(__xludf.DUMMYFUNCTION("""COMPUTED_VALUE"""),"Fail/Succeed")</f>
        <v>Fail/Succeed</v>
      </c>
      <c r="G136" s="16" t="str">
        <f>IFERROR(__xludf.DUMMYFUNCTION("""COMPUTED_VALUE"""),"Self")</f>
        <v>Self</v>
      </c>
      <c r="H136" s="16" t="str">
        <f>IFERROR(__xludf.DUMMYFUNCTION("""COMPUTED_VALUE"""),"Dark")</f>
        <v>Dark</v>
      </c>
      <c r="I136" s="16" t="str">
        <f>IFERROR(__xludf.DUMMYFUNCTION("""COMPUTED_VALUE"""),"Mob")</f>
        <v>Mob</v>
      </c>
      <c r="J136" s="16" t="b">
        <f>IFERROR(__xludf.DUMMYFUNCTION("""COMPUTED_VALUE"""),TRUE)</f>
        <v>1</v>
      </c>
      <c r="K136" s="16"/>
      <c r="L136" s="16" t="b">
        <f>IFERROR(__xludf.DUMMYFUNCTION("""COMPUTED_VALUE"""),FALSE)</f>
        <v>0</v>
      </c>
      <c r="M136" s="16" t="b">
        <f>IFERROR(__xludf.DUMMYFUNCTION("""COMPUTED_VALUE"""),FALSE)</f>
        <v>0</v>
      </c>
      <c r="N136" s="16"/>
    </row>
    <row r="137">
      <c r="A137" s="16" t="str">
        <f>IFERROR(__xludf.DUMMYFUNCTION("""COMPUTED_VALUE"""),"Undead Bite")</f>
        <v>Undead Bite</v>
      </c>
      <c r="B137" s="120">
        <f>IFERROR(__xludf.DUMMYFUNCTION("""COMPUTED_VALUE"""),1.0)</f>
        <v>1</v>
      </c>
      <c r="C137" s="16">
        <f>IFERROR(__xludf.DUMMYFUNCTION("""COMPUTED_VALUE"""),0.0)</f>
        <v>0</v>
      </c>
      <c r="D137" s="16"/>
      <c r="E137" s="16" t="str">
        <f>IFERROR(__xludf.DUMMYFUNCTION("""COMPUTED_VALUE"""),"X*2 Dark damage to 1 target, 50% chance to turn target ""Undead"" after they die, if they die during battle, 5% chance of becoming non sentient when they turn undead.")</f>
        <v>X*2 Dark damage to 1 target, 50% chance to turn target "Undead" after they die, if they die during battle, 5% chance of becoming non sentient when they turn undead.</v>
      </c>
      <c r="F137" s="16" t="str">
        <f>IFERROR(__xludf.DUMMYFUNCTION("""COMPUTED_VALUE"""),"Natural/Hit or Miss")</f>
        <v>Natural/Hit or Miss</v>
      </c>
      <c r="G137" s="16">
        <f>IFERROR(__xludf.DUMMYFUNCTION("""COMPUTED_VALUE"""),1.0)</f>
        <v>1</v>
      </c>
      <c r="H137" s="16" t="str">
        <f>IFERROR(__xludf.DUMMYFUNCTION("""COMPUTED_VALUE"""),"Dark")</f>
        <v>Dark</v>
      </c>
      <c r="I137" s="16" t="str">
        <f>IFERROR(__xludf.DUMMYFUNCTION("""COMPUTED_VALUE"""),"Mob")</f>
        <v>Mob</v>
      </c>
      <c r="J137" s="16" t="b">
        <f>IFERROR(__xludf.DUMMYFUNCTION("""COMPUTED_VALUE"""),TRUE)</f>
        <v>1</v>
      </c>
      <c r="K137" s="16"/>
      <c r="L137" s="16" t="b">
        <f>IFERROR(__xludf.DUMMYFUNCTION("""COMPUTED_VALUE"""),FALSE)</f>
        <v>0</v>
      </c>
      <c r="M137" s="16" t="b">
        <f>IFERROR(__xludf.DUMMYFUNCTION("""COMPUTED_VALUE"""),FALSE)</f>
        <v>0</v>
      </c>
      <c r="N137" s="16"/>
    </row>
    <row r="138">
      <c r="A138" s="16" t="str">
        <f>IFERROR(__xludf.DUMMYFUNCTION("""COMPUTED_VALUE"""),"Undead Energy")</f>
        <v>Undead Energy</v>
      </c>
      <c r="B138" s="120">
        <f>IFERROR(__xludf.DUMMYFUNCTION("""COMPUTED_VALUE"""),9.0)</f>
        <v>9</v>
      </c>
      <c r="C138" s="16">
        <f>IFERROR(__xludf.DUMMYFUNCTION("""COMPUTED_VALUE"""),5000.0)</f>
        <v>5000</v>
      </c>
      <c r="D138" s="16"/>
      <c r="E138" s="16" t="str">
        <f>IFERROR(__xludf.DUMMYFUNCTION("""COMPUTED_VALUE"""),"all stats are doubled for the rest of battle, excluding constitution.")</f>
        <v>all stats are doubled for the rest of battle, excluding constitution.</v>
      </c>
      <c r="F138" s="16" t="str">
        <f>IFERROR(__xludf.DUMMYFUNCTION("""COMPUTED_VALUE"""),"Fail/succeed")</f>
        <v>Fail/succeed</v>
      </c>
      <c r="G138" s="16" t="str">
        <f>IFERROR(__xludf.DUMMYFUNCTION("""COMPUTED_VALUE"""),"Self")</f>
        <v>Self</v>
      </c>
      <c r="H138" s="16" t="str">
        <f>IFERROR(__xludf.DUMMYFUNCTION("""COMPUTED_VALUE"""),"Dark")</f>
        <v>Dark</v>
      </c>
      <c r="I138" s="16" t="str">
        <f>IFERROR(__xludf.DUMMYFUNCTION("""COMPUTED_VALUE"""),"Mob")</f>
        <v>Mob</v>
      </c>
      <c r="J138" s="16" t="b">
        <f>IFERROR(__xludf.DUMMYFUNCTION("""COMPUTED_VALUE"""),TRUE)</f>
        <v>1</v>
      </c>
      <c r="K138" s="16" t="str">
        <f>IFERROR(__xludf.DUMMYFUNCTION("""COMPUTED_VALUE"""),"Cannot be obtained by players.")</f>
        <v>Cannot be obtained by players.</v>
      </c>
      <c r="L138" s="16" t="b">
        <f>IFERROR(__xludf.DUMMYFUNCTION("""COMPUTED_VALUE"""),FALSE)</f>
        <v>0</v>
      </c>
      <c r="M138" s="16" t="b">
        <f>IFERROR(__xludf.DUMMYFUNCTION("""COMPUTED_VALUE"""),FALSE)</f>
        <v>0</v>
      </c>
      <c r="N138" s="16"/>
    </row>
    <row r="139">
      <c r="A139" s="16" t="str">
        <f>IFERROR(__xludf.DUMMYFUNCTION("""COMPUTED_VALUE"""),"Master Inugima's Shadow Arts I: Throat Slasher")</f>
        <v>Master Inugima's Shadow Arts I: Throat Slasher</v>
      </c>
      <c r="B139" s="120">
        <f>IFERROR(__xludf.DUMMYFUNCTION("""COMPUTED_VALUE"""),9.0)</f>
        <v>9</v>
      </c>
      <c r="C139" s="16">
        <f>IFERROR(__xludf.DUMMYFUNCTION("""COMPUTED_VALUE"""),500.0)</f>
        <v>500</v>
      </c>
      <c r="D139" s="16"/>
      <c r="E139" s="16" t="str">
        <f>IFERROR(__xludf.DUMMYFUNCTION("""COMPUTED_VALUE"""),"Teleport directly behind an enemy and prevent them from casting any spells and dealing 5000 damage until they are healed using any healing spell above 5th rank.")</f>
        <v>Teleport directly behind an enemy and prevent them from casting any spells and dealing 5000 damage until they are healed using any healing spell above 5th rank.</v>
      </c>
      <c r="F139" s="16" t="str">
        <f>IFERROR(__xludf.DUMMYFUNCTION("""COMPUTED_VALUE"""),"Natural/Hit or Miss")</f>
        <v>Natural/Hit or Miss</v>
      </c>
      <c r="G139" s="16">
        <f>IFERROR(__xludf.DUMMYFUNCTION("""COMPUTED_VALUE"""),1.0)</f>
        <v>1</v>
      </c>
      <c r="H139" s="16" t="str">
        <f>IFERROR(__xludf.DUMMYFUNCTION("""COMPUTED_VALUE"""),"Dark")</f>
        <v>Dark</v>
      </c>
      <c r="I139" s="16" t="str">
        <f>IFERROR(__xludf.DUMMYFUNCTION("""COMPUTED_VALUE"""),"Mob")</f>
        <v>Mob</v>
      </c>
      <c r="J139" s="16" t="b">
        <f>IFERROR(__xludf.DUMMYFUNCTION("""COMPUTED_VALUE"""),TRUE)</f>
        <v>1</v>
      </c>
      <c r="K139" s="16" t="str">
        <f>IFERROR(__xludf.DUMMYFUNCTION("""COMPUTED_VALUE"""),"Quest")</f>
        <v>Quest</v>
      </c>
      <c r="L139" s="16" t="b">
        <f>IFERROR(__xludf.DUMMYFUNCTION("""COMPUTED_VALUE"""),FALSE)</f>
        <v>0</v>
      </c>
      <c r="M139" s="16" t="b">
        <f>IFERROR(__xludf.DUMMYFUNCTION("""COMPUTED_VALUE"""),FALSE)</f>
        <v>0</v>
      </c>
      <c r="N139" s="16" t="str">
        <f>IFERROR(__xludf.DUMMYFUNCTION("""COMPUTED_VALUE"""),"Dragonscale Island")</f>
        <v>Dragonscale Island</v>
      </c>
    </row>
    <row r="140">
      <c r="A140" s="16" t="str">
        <f>IFERROR(__xludf.DUMMYFUNCTION("""COMPUTED_VALUE"""),"Master Inugima's Shadow Arts II: Shadow Step")</f>
        <v>Master Inugima's Shadow Arts II: Shadow Step</v>
      </c>
      <c r="B140" s="120">
        <f>IFERROR(__xludf.DUMMYFUNCTION("""COMPUTED_VALUE"""),5.0)</f>
        <v>5</v>
      </c>
      <c r="C140" s="16">
        <f>IFERROR(__xludf.DUMMYFUNCTION("""COMPUTED_VALUE"""),100.0)</f>
        <v>100</v>
      </c>
      <c r="D140" s="16"/>
      <c r="E140" s="16" t="str">
        <f>IFERROR(__xludf.DUMMYFUNCTION("""COMPUTED_VALUE"""),"teleport to any point within 4 tiles (if in a dungeon, if not in a dungeon simply take all effects aside from moving tiles) and become concealed along with gaining Shuttering 3 and Haste 1")</f>
        <v>teleport to any point within 4 tiles (if in a dungeon, if not in a dungeon simply take all effects aside from moving tiles) and become concealed along with gaining Shuttering 3 and Haste 1</v>
      </c>
      <c r="F140" s="16" t="str">
        <f>IFERROR(__xludf.DUMMYFUNCTION("""COMPUTED_VALUE"""),"Natural/Fail or Succeed")</f>
        <v>Natural/Fail or Succeed</v>
      </c>
      <c r="G140" s="16" t="str">
        <f>IFERROR(__xludf.DUMMYFUNCTION("""COMPUTED_VALUE"""),"Self")</f>
        <v>Self</v>
      </c>
      <c r="H140" s="16" t="str">
        <f>IFERROR(__xludf.DUMMYFUNCTION("""COMPUTED_VALUE"""),"Dark")</f>
        <v>Dark</v>
      </c>
      <c r="I140" s="16" t="str">
        <f>IFERROR(__xludf.DUMMYFUNCTION("""COMPUTED_VALUE"""),"Mob")</f>
        <v>Mob</v>
      </c>
      <c r="J140" s="16" t="b">
        <f>IFERROR(__xludf.DUMMYFUNCTION("""COMPUTED_VALUE"""),TRUE)</f>
        <v>1</v>
      </c>
      <c r="K140" s="16" t="str">
        <f>IFERROR(__xludf.DUMMYFUNCTION("""COMPUTED_VALUE"""),"Quest")</f>
        <v>Quest</v>
      </c>
      <c r="L140" s="16" t="b">
        <f>IFERROR(__xludf.DUMMYFUNCTION("""COMPUTED_VALUE"""),FALSE)</f>
        <v>0</v>
      </c>
      <c r="M140" s="16" t="b">
        <f>IFERROR(__xludf.DUMMYFUNCTION("""COMPUTED_VALUE"""),FALSE)</f>
        <v>0</v>
      </c>
      <c r="N140" s="16" t="str">
        <f>IFERROR(__xludf.DUMMYFUNCTION("""COMPUTED_VALUE"""),"Dragonscale Island")</f>
        <v>Dragonscale Island</v>
      </c>
    </row>
    <row r="141">
      <c r="A141" s="16" t="str">
        <f>IFERROR(__xludf.DUMMYFUNCTION("""COMPUTED_VALUE"""),"Master Inugima's Shadow Arts III: Tendon Slash")</f>
        <v>Master Inugima's Shadow Arts III: Tendon Slash</v>
      </c>
      <c r="B141" s="120">
        <f>IFERROR(__xludf.DUMMYFUNCTION("""COMPUTED_VALUE"""),9.0)</f>
        <v>9</v>
      </c>
      <c r="C141" s="16">
        <f>IFERROR(__xludf.DUMMYFUNCTION("""COMPUTED_VALUE"""),300.0)</f>
        <v>300</v>
      </c>
      <c r="D141" s="16"/>
      <c r="E141" s="16" t="str">
        <f>IFERROR(__xludf.DUMMYFUNCTION("""COMPUTED_VALUE"""),"Lash out with your blade cutting an enemies achilles heel inflicting them with slowness and bleed 500 until they are healed using any healing spell above 4th rank.")</f>
        <v>Lash out with your blade cutting an enemies achilles heel inflicting them with slowness and bleed 500 until they are healed using any healing spell above 4th rank.</v>
      </c>
      <c r="F141" s="16" t="str">
        <f>IFERROR(__xludf.DUMMYFUNCTION("""COMPUTED_VALUE"""),"Natural/Hit or Miss")</f>
        <v>Natural/Hit or Miss</v>
      </c>
      <c r="G141" s="16">
        <f>IFERROR(__xludf.DUMMYFUNCTION("""COMPUTED_VALUE"""),1.0)</f>
        <v>1</v>
      </c>
      <c r="H141" s="16" t="str">
        <f>IFERROR(__xludf.DUMMYFUNCTION("""COMPUTED_VALUE"""),"Dark")</f>
        <v>Dark</v>
      </c>
      <c r="I141" s="16" t="str">
        <f>IFERROR(__xludf.DUMMYFUNCTION("""COMPUTED_VALUE"""),"Mob")</f>
        <v>Mob</v>
      </c>
      <c r="J141" s="16" t="b">
        <f>IFERROR(__xludf.DUMMYFUNCTION("""COMPUTED_VALUE"""),TRUE)</f>
        <v>1</v>
      </c>
      <c r="K141" s="16" t="str">
        <f>IFERROR(__xludf.DUMMYFUNCTION("""COMPUTED_VALUE"""),"Quest")</f>
        <v>Quest</v>
      </c>
      <c r="L141" s="16" t="b">
        <f>IFERROR(__xludf.DUMMYFUNCTION("""COMPUTED_VALUE"""),FALSE)</f>
        <v>0</v>
      </c>
      <c r="M141" s="16" t="b">
        <f>IFERROR(__xludf.DUMMYFUNCTION("""COMPUTED_VALUE"""),FALSE)</f>
        <v>0</v>
      </c>
      <c r="N141" s="16" t="str">
        <f>IFERROR(__xludf.DUMMYFUNCTION("""COMPUTED_VALUE"""),"Dragonscale Island")</f>
        <v>Dragonscale Island</v>
      </c>
    </row>
    <row r="142">
      <c r="A142" s="16" t="str">
        <f>IFERROR(__xludf.DUMMYFUNCTION("""COMPUTED_VALUE"""),"Master Inugima's Shadow Arts IV: Chloroform")</f>
        <v>Master Inugima's Shadow Arts IV: Chloroform</v>
      </c>
      <c r="B142" s="120">
        <f>IFERROR(__xludf.DUMMYFUNCTION("""COMPUTED_VALUE"""),7.0)</f>
        <v>7</v>
      </c>
      <c r="C142" s="16">
        <f>IFERROR(__xludf.DUMMYFUNCTION("""COMPUTED_VALUE"""),200.0)</f>
        <v>200</v>
      </c>
      <c r="D142" s="16"/>
      <c r="E142" s="16" t="str">
        <f>IFERROR(__xludf.DUMMYFUNCTION("""COMPUTED_VALUE"""),"Appear behind an enemy and cover their mouth with a chemical soaked cloth inflicting them with sleep 5.")</f>
        <v>Appear behind an enemy and cover their mouth with a chemical soaked cloth inflicting them with sleep 5.</v>
      </c>
      <c r="F142" s="16" t="str">
        <f>IFERROR(__xludf.DUMMYFUNCTION("""COMPUTED_VALUE"""),"Natural/Fail or Succeed")</f>
        <v>Natural/Fail or Succeed</v>
      </c>
      <c r="G142" s="16">
        <f>IFERROR(__xludf.DUMMYFUNCTION("""COMPUTED_VALUE"""),1.0)</f>
        <v>1</v>
      </c>
      <c r="H142" s="16" t="str">
        <f>IFERROR(__xludf.DUMMYFUNCTION("""COMPUTED_VALUE"""),"Dark")</f>
        <v>Dark</v>
      </c>
      <c r="I142" s="16" t="str">
        <f>IFERROR(__xludf.DUMMYFUNCTION("""COMPUTED_VALUE"""),"Mob")</f>
        <v>Mob</v>
      </c>
      <c r="J142" s="16" t="b">
        <f>IFERROR(__xludf.DUMMYFUNCTION("""COMPUTED_VALUE"""),TRUE)</f>
        <v>1</v>
      </c>
      <c r="K142" s="16" t="str">
        <f>IFERROR(__xludf.DUMMYFUNCTION("""COMPUTED_VALUE"""),"Quest")</f>
        <v>Quest</v>
      </c>
      <c r="L142" s="16" t="b">
        <f>IFERROR(__xludf.DUMMYFUNCTION("""COMPUTED_VALUE"""),FALSE)</f>
        <v>0</v>
      </c>
      <c r="M142" s="16" t="b">
        <f>IFERROR(__xludf.DUMMYFUNCTION("""COMPUTED_VALUE"""),FALSE)</f>
        <v>0</v>
      </c>
      <c r="N142" s="16" t="str">
        <f>IFERROR(__xludf.DUMMYFUNCTION("""COMPUTED_VALUE"""),"Dragonscale Island")</f>
        <v>Dragonscale Island</v>
      </c>
    </row>
    <row r="143">
      <c r="A143" s="16" t="str">
        <f>IFERROR(__xludf.DUMMYFUNCTION("""COMPUTED_VALUE"""),"Army of The Dead")</f>
        <v>Army of The Dead</v>
      </c>
      <c r="B143" s="120">
        <f>IFERROR(__xludf.DUMMYFUNCTION("""COMPUTED_VALUE"""),9.0)</f>
        <v>9</v>
      </c>
      <c r="C143" s="16" t="str">
        <f>IFERROR(__xludf.DUMMYFUNCTION("""COMPUTED_VALUE"""),"X*100")</f>
        <v>X*100</v>
      </c>
      <c r="D143" s="16"/>
      <c r="E143" s="16" t="str">
        <f>IFERROR(__xludf.DUMMYFUNCTION("""COMPUTED_VALUE"""),"Revive 1d6 targets, if any of those target's were enemies, 50% chance to recruit them to the casters side. Costs X*100SP where X is equal to your d6 roll.")</f>
        <v>Revive 1d6 targets, if any of those target's were enemies, 50% chance to recruit them to the casters side. Costs X*100SP where X is equal to your d6 roll.</v>
      </c>
      <c r="F143" s="16" t="str">
        <f>IFERROR(__xludf.DUMMYFUNCTION("""COMPUTED_VALUE"""),"Fail/Suceed")</f>
        <v>Fail/Suceed</v>
      </c>
      <c r="G143" s="16" t="str">
        <f>IFERROR(__xludf.DUMMYFUNCTION("""COMPUTED_VALUE"""),"d6")</f>
        <v>d6</v>
      </c>
      <c r="H143" s="16" t="str">
        <f>IFERROR(__xludf.DUMMYFUNCTION("""COMPUTED_VALUE"""),"Dark")</f>
        <v>Dark</v>
      </c>
      <c r="I143" s="16" t="str">
        <f>IFERROR(__xludf.DUMMYFUNCTION("""COMPUTED_VALUE"""),"Player")</f>
        <v>Player</v>
      </c>
      <c r="J143" s="16" t="b">
        <f>IFERROR(__xludf.DUMMYFUNCTION("""COMPUTED_VALUE"""),FALSE)</f>
        <v>0</v>
      </c>
      <c r="K143" s="16"/>
      <c r="L143" s="16" t="b">
        <f>IFERROR(__xludf.DUMMYFUNCTION("""COMPUTED_VALUE"""),FALSE)</f>
        <v>0</v>
      </c>
      <c r="M143" s="16" t="b">
        <f>IFERROR(__xludf.DUMMYFUNCTION("""COMPUTED_VALUE"""),FALSE)</f>
        <v>0</v>
      </c>
      <c r="N143" s="16"/>
    </row>
    <row r="144">
      <c r="A144" s="16" t="str">
        <f>IFERROR(__xludf.DUMMYFUNCTION("""COMPUTED_VALUE"""),"Dark Bolt")</f>
        <v>Dark Bolt</v>
      </c>
      <c r="B144" s="120">
        <f>IFERROR(__xludf.DUMMYFUNCTION("""COMPUTED_VALUE"""),1.0)</f>
        <v>1</v>
      </c>
      <c r="C144" s="16" t="str">
        <f>IFERROR(__xludf.DUMMYFUNCTION("""COMPUTED_VALUE"""),"X")</f>
        <v>X</v>
      </c>
      <c r="D144" s="16"/>
      <c r="E144" s="16" t="str">
        <f>IFERROR(__xludf.DUMMYFUNCTION("""COMPUTED_VALUE"""),"Deals X*100 Dark damage to a single enemy where X is equal to SP spent.")</f>
        <v>Deals X*100 Dark damage to a single enemy where X is equal to SP spent.</v>
      </c>
      <c r="F144" s="16" t="str">
        <f>IFERROR(__xludf.DUMMYFUNCTION("""COMPUTED_VALUE"""),"Hit/Miss")</f>
        <v>Hit/Miss</v>
      </c>
      <c r="G144" s="16">
        <f>IFERROR(__xludf.DUMMYFUNCTION("""COMPUTED_VALUE"""),1.0)</f>
        <v>1</v>
      </c>
      <c r="H144" s="16" t="str">
        <f>IFERROR(__xludf.DUMMYFUNCTION("""COMPUTED_VALUE"""),"Dark")</f>
        <v>Dark</v>
      </c>
      <c r="I144" s="16" t="str">
        <f>IFERROR(__xludf.DUMMYFUNCTION("""COMPUTED_VALUE"""),"Player")</f>
        <v>Player</v>
      </c>
      <c r="J144" s="16" t="b">
        <f>IFERROR(__xludf.DUMMYFUNCTION("""COMPUTED_VALUE"""),FALSE)</f>
        <v>0</v>
      </c>
      <c r="K144" s="16"/>
      <c r="L144" s="16" t="b">
        <f>IFERROR(__xludf.DUMMYFUNCTION("""COMPUTED_VALUE"""),FALSE)</f>
        <v>0</v>
      </c>
      <c r="M144" s="16" t="b">
        <f>IFERROR(__xludf.DUMMYFUNCTION("""COMPUTED_VALUE"""),FALSE)</f>
        <v>0</v>
      </c>
      <c r="N144" s="16"/>
    </row>
    <row r="145">
      <c r="A145" s="16" t="str">
        <f>IFERROR(__xludf.DUMMYFUNCTION("""COMPUTED_VALUE"""),"Curse of Wasting")</f>
        <v>Curse of Wasting</v>
      </c>
      <c r="B145" s="120">
        <f>IFERROR(__xludf.DUMMYFUNCTION("""COMPUTED_VALUE"""),5.0)</f>
        <v>5</v>
      </c>
      <c r="C145" s="16" t="str">
        <f>IFERROR(__xludf.DUMMYFUNCTION("""COMPUTED_VALUE"""),"X")</f>
        <v>X</v>
      </c>
      <c r="D145" s="16"/>
      <c r="E145" s="16" t="str">
        <f>IFERROR(__xludf.DUMMYFUNCTION("""COMPUTED_VALUE"""),"Deals X*50 Dark damage per round for 3 rounds to a single target where X is equal to SP spent.")</f>
        <v>Deals X*50 Dark damage per round for 3 rounds to a single target where X is equal to SP spent.</v>
      </c>
      <c r="F145" s="16" t="str">
        <f>IFERROR(__xludf.DUMMYFUNCTION("""COMPUTED_VALUE"""),"Hit/Miss")</f>
        <v>Hit/Miss</v>
      </c>
      <c r="G145" s="16">
        <f>IFERROR(__xludf.DUMMYFUNCTION("""COMPUTED_VALUE"""),1.0)</f>
        <v>1</v>
      </c>
      <c r="H145" s="16" t="str">
        <f>IFERROR(__xludf.DUMMYFUNCTION("""COMPUTED_VALUE"""),"Dark")</f>
        <v>Dark</v>
      </c>
      <c r="I145" s="16" t="str">
        <f>IFERROR(__xludf.DUMMYFUNCTION("""COMPUTED_VALUE"""),"Player")</f>
        <v>Player</v>
      </c>
      <c r="J145" s="16" t="b">
        <f>IFERROR(__xludf.DUMMYFUNCTION("""COMPUTED_VALUE"""),FALSE)</f>
        <v>0</v>
      </c>
      <c r="K145" s="16"/>
      <c r="L145" s="16" t="b">
        <f>IFERROR(__xludf.DUMMYFUNCTION("""COMPUTED_VALUE"""),FALSE)</f>
        <v>0</v>
      </c>
      <c r="M145" s="16" t="b">
        <f>IFERROR(__xludf.DUMMYFUNCTION("""COMPUTED_VALUE"""),FALSE)</f>
        <v>0</v>
      </c>
      <c r="N145" s="16"/>
    </row>
    <row r="146">
      <c r="A146" s="16" t="str">
        <f>IFERROR(__xludf.DUMMYFUNCTION("""COMPUTED_VALUE"""),"Creeping Darkness")</f>
        <v>Creeping Darkness</v>
      </c>
      <c r="B146" s="120">
        <f>IFERROR(__xludf.DUMMYFUNCTION("""COMPUTED_VALUE"""),5.0)</f>
        <v>5</v>
      </c>
      <c r="C146" s="16" t="str">
        <f>IFERROR(__xludf.DUMMYFUNCTION("""COMPUTED_VALUE"""),"X")</f>
        <v>X</v>
      </c>
      <c r="D146" s="16"/>
      <c r="E146" s="16" t="str">
        <f>IFERROR(__xludf.DUMMYFUNCTION("""COMPUTED_VALUE"""),"Deals X*25 Dark damage to all enemies where X is equal to SP spent.")</f>
        <v>Deals X*25 Dark damage to all enemies where X is equal to SP spent.</v>
      </c>
      <c r="F146" s="16" t="str">
        <f>IFERROR(__xludf.DUMMYFUNCTION("""COMPUTED_VALUE"""),"Cannot Avoid")</f>
        <v>Cannot Avoid</v>
      </c>
      <c r="G146" s="16" t="str">
        <f>IFERROR(__xludf.DUMMYFUNCTION("""COMPUTED_VALUE"""),"All")</f>
        <v>All</v>
      </c>
      <c r="H146" s="16" t="str">
        <f>IFERROR(__xludf.DUMMYFUNCTION("""COMPUTED_VALUE"""),"Dark")</f>
        <v>Dark</v>
      </c>
      <c r="I146" s="16" t="str">
        <f>IFERROR(__xludf.DUMMYFUNCTION("""COMPUTED_VALUE"""),"Player")</f>
        <v>Player</v>
      </c>
      <c r="J146" s="16" t="b">
        <f>IFERROR(__xludf.DUMMYFUNCTION("""COMPUTED_VALUE"""),FALSE)</f>
        <v>0</v>
      </c>
      <c r="K146" s="16"/>
      <c r="L146" s="16" t="b">
        <f>IFERROR(__xludf.DUMMYFUNCTION("""COMPUTED_VALUE"""),FALSE)</f>
        <v>0</v>
      </c>
      <c r="M146" s="16" t="b">
        <f>IFERROR(__xludf.DUMMYFUNCTION("""COMPUTED_VALUE"""),FALSE)</f>
        <v>0</v>
      </c>
      <c r="N146" s="16"/>
    </row>
    <row r="147">
      <c r="A147" s="16" t="str">
        <f>IFERROR(__xludf.DUMMYFUNCTION("""COMPUTED_VALUE"""),"Mass Curse of Wasting")</f>
        <v>Mass Curse of Wasting</v>
      </c>
      <c r="B147" s="120">
        <f>IFERROR(__xludf.DUMMYFUNCTION("""COMPUTED_VALUE"""),6.0)</f>
        <v>6</v>
      </c>
      <c r="C147" s="16" t="str">
        <f>IFERROR(__xludf.DUMMYFUNCTION("""COMPUTED_VALUE"""),"X")</f>
        <v>X</v>
      </c>
      <c r="D147" s="16"/>
      <c r="E147" s="16" t="str">
        <f>IFERROR(__xludf.DUMMYFUNCTION("""COMPUTED_VALUE"""),"Deals X*10 Dark damage per round to all enemies for 3 rounds where X is equal to SP spent.")</f>
        <v>Deals X*10 Dark damage per round to all enemies for 3 rounds where X is equal to SP spent.</v>
      </c>
      <c r="F147" s="16" t="str">
        <f>IFERROR(__xludf.DUMMYFUNCTION("""COMPUTED_VALUE"""),"Cannot Avoid")</f>
        <v>Cannot Avoid</v>
      </c>
      <c r="G147" s="16" t="str">
        <f>IFERROR(__xludf.DUMMYFUNCTION("""COMPUTED_VALUE"""),"All")</f>
        <v>All</v>
      </c>
      <c r="H147" s="16" t="str">
        <f>IFERROR(__xludf.DUMMYFUNCTION("""COMPUTED_VALUE"""),"Dark")</f>
        <v>Dark</v>
      </c>
      <c r="I147" s="16" t="str">
        <f>IFERROR(__xludf.DUMMYFUNCTION("""COMPUTED_VALUE"""),"Player")</f>
        <v>Player</v>
      </c>
      <c r="J147" s="16" t="b">
        <f>IFERROR(__xludf.DUMMYFUNCTION("""COMPUTED_VALUE"""),FALSE)</f>
        <v>0</v>
      </c>
      <c r="K147" s="16"/>
      <c r="L147" s="16" t="b">
        <f>IFERROR(__xludf.DUMMYFUNCTION("""COMPUTED_VALUE"""),FALSE)</f>
        <v>0</v>
      </c>
      <c r="M147" s="16" t="b">
        <f>IFERROR(__xludf.DUMMYFUNCTION("""COMPUTED_VALUE"""),FALSE)</f>
        <v>0</v>
      </c>
      <c r="N147" s="16"/>
    </row>
    <row r="148">
      <c r="A148" s="16" t="str">
        <f>IFERROR(__xludf.DUMMYFUNCTION("""COMPUTED_VALUE"""),"Chaincast")</f>
        <v>Chaincast</v>
      </c>
      <c r="B148" s="120">
        <f>IFERROR(__xludf.DUMMYFUNCTION("""COMPUTED_VALUE"""),9.0)</f>
        <v>9</v>
      </c>
      <c r="C148" s="16">
        <f>IFERROR(__xludf.DUMMYFUNCTION("""COMPUTED_VALUE"""),700.0)</f>
        <v>700</v>
      </c>
      <c r="D148" s="16"/>
      <c r="E148" s="16" t="str">
        <f>IFERROR(__xludf.DUMMYFUNCTION("""COMPUTED_VALUE"""),"Caster can perform two spells per turn for the rest of the battle. All spells cost 2x more than the normal SP cost.")</f>
        <v>Caster can perform two spells per turn for the rest of the battle. All spells cost 2x more than the normal SP cost.</v>
      </c>
      <c r="F148" s="16" t="str">
        <f>IFERROR(__xludf.DUMMYFUNCTION("""COMPUTED_VALUE"""),"Will Succeed")</f>
        <v>Will Succeed</v>
      </c>
      <c r="G148" s="16"/>
      <c r="H148" s="16" t="str">
        <f>IFERROR(__xludf.DUMMYFUNCTION("""COMPUTED_VALUE"""),"Delta")</f>
        <v>Delta</v>
      </c>
      <c r="I148" s="16" t="str">
        <f>IFERROR(__xludf.DUMMYFUNCTION("""COMPUTED_VALUE"""),"Player")</f>
        <v>Player</v>
      </c>
      <c r="J148" s="16" t="b">
        <f>IFERROR(__xludf.DUMMYFUNCTION("""COMPUTED_VALUE"""),FALSE)</f>
        <v>0</v>
      </c>
      <c r="K148" s="16"/>
      <c r="L148" s="16" t="b">
        <f>IFERROR(__xludf.DUMMYFUNCTION("""COMPUTED_VALUE"""),FALSE)</f>
        <v>0</v>
      </c>
      <c r="M148" s="16" t="b">
        <f>IFERROR(__xludf.DUMMYFUNCTION("""COMPUTED_VALUE"""),FALSE)</f>
        <v>0</v>
      </c>
      <c r="N148" s="16"/>
    </row>
    <row r="149">
      <c r="A149" s="16" t="str">
        <f>IFERROR(__xludf.DUMMYFUNCTION("""COMPUTED_VALUE"""),"Delta Ball")</f>
        <v>Delta Ball</v>
      </c>
      <c r="B149" s="120">
        <f>IFERROR(__xludf.DUMMYFUNCTION("""COMPUTED_VALUE"""),4.0)</f>
        <v>4</v>
      </c>
      <c r="C149" s="16">
        <f>IFERROR(__xludf.DUMMYFUNCTION("""COMPUTED_VALUE"""),40.0)</f>
        <v>40</v>
      </c>
      <c r="D149" s="16"/>
      <c r="E149" s="16" t="str">
        <f>IFERROR(__xludf.DUMMYFUNCTION("""COMPUTED_VALUE"""),"Drains 4000 SP from the target.")</f>
        <v>Drains 4000 SP from the target.</v>
      </c>
      <c r="F149" s="16" t="str">
        <f>IFERROR(__xludf.DUMMYFUNCTION("""COMPUTED_VALUE"""),"Hit/Miss")</f>
        <v>Hit/Miss</v>
      </c>
      <c r="G149" s="16">
        <f>IFERROR(__xludf.DUMMYFUNCTION("""COMPUTED_VALUE"""),1.0)</f>
        <v>1</v>
      </c>
      <c r="H149" s="16" t="str">
        <f>IFERROR(__xludf.DUMMYFUNCTION("""COMPUTED_VALUE"""),"Delta")</f>
        <v>Delta</v>
      </c>
      <c r="I149" s="16" t="str">
        <f>IFERROR(__xludf.DUMMYFUNCTION("""COMPUTED_VALUE"""),"Player")</f>
        <v>Player</v>
      </c>
      <c r="J149" s="16" t="b">
        <f>IFERROR(__xludf.DUMMYFUNCTION("""COMPUTED_VALUE"""),FALSE)</f>
        <v>0</v>
      </c>
      <c r="K149" s="16"/>
      <c r="L149" s="16" t="b">
        <f>IFERROR(__xludf.DUMMYFUNCTION("""COMPUTED_VALUE"""),FALSE)</f>
        <v>0</v>
      </c>
      <c r="M149" s="16" t="b">
        <f>IFERROR(__xludf.DUMMYFUNCTION("""COMPUTED_VALUE"""),FALSE)</f>
        <v>0</v>
      </c>
      <c r="N149" s="16"/>
    </row>
    <row r="150">
      <c r="A150" s="16" t="str">
        <f>IFERROR(__xludf.DUMMYFUNCTION("""COMPUTED_VALUE"""),"Delta Beam")</f>
        <v>Delta Beam</v>
      </c>
      <c r="B150" s="120">
        <f>IFERROR(__xludf.DUMMYFUNCTION("""COMPUTED_VALUE"""),6.0)</f>
        <v>6</v>
      </c>
      <c r="C150" s="16">
        <f>IFERROR(__xludf.DUMMYFUNCTION("""COMPUTED_VALUE"""),120.0)</f>
        <v>120</v>
      </c>
      <c r="D150" s="16"/>
      <c r="E150" s="16" t="str">
        <f>IFERROR(__xludf.DUMMYFUNCTION("""COMPUTED_VALUE"""),"Deals 6000 delta damage and drains 6000 sp from the target.")</f>
        <v>Deals 6000 delta damage and drains 6000 sp from the target.</v>
      </c>
      <c r="F150" s="16" t="str">
        <f>IFERROR(__xludf.DUMMYFUNCTION("""COMPUTED_VALUE"""),"Hit/Miss")</f>
        <v>Hit/Miss</v>
      </c>
      <c r="G150" s="16">
        <f>IFERROR(__xludf.DUMMYFUNCTION("""COMPUTED_VALUE"""),1.0)</f>
        <v>1</v>
      </c>
      <c r="H150" s="16" t="str">
        <f>IFERROR(__xludf.DUMMYFUNCTION("""COMPUTED_VALUE"""),"Delta")</f>
        <v>Delta</v>
      </c>
      <c r="I150" s="16" t="str">
        <f>IFERROR(__xludf.DUMMYFUNCTION("""COMPUTED_VALUE"""),"Player")</f>
        <v>Player</v>
      </c>
      <c r="J150" s="16" t="b">
        <f>IFERROR(__xludf.DUMMYFUNCTION("""COMPUTED_VALUE"""),FALSE)</f>
        <v>0</v>
      </c>
      <c r="K150" s="16"/>
      <c r="L150" s="16" t="b">
        <f>IFERROR(__xludf.DUMMYFUNCTION("""COMPUTED_VALUE"""),FALSE)</f>
        <v>0</v>
      </c>
      <c r="M150" s="16" t="b">
        <f>IFERROR(__xludf.DUMMYFUNCTION("""COMPUTED_VALUE"""),FALSE)</f>
        <v>0</v>
      </c>
      <c r="N150" s="16"/>
    </row>
    <row r="151">
      <c r="A151" s="16" t="str">
        <f>IFERROR(__xludf.DUMMYFUNCTION("""COMPUTED_VALUE"""),"Delta Blast")</f>
        <v>Delta Blast</v>
      </c>
      <c r="B151" s="120">
        <f>IFERROR(__xludf.DUMMYFUNCTION("""COMPUTED_VALUE"""),6.0)</f>
        <v>6</v>
      </c>
      <c r="C151" s="16">
        <f>IFERROR(__xludf.DUMMYFUNCTION("""COMPUTED_VALUE"""),240.0)</f>
        <v>240</v>
      </c>
      <c r="D151" s="16"/>
      <c r="E151" s="16" t="str">
        <f>IFERROR(__xludf.DUMMYFUNCTION("""COMPUTED_VALUE"""),"6000 undefendable Delta damage to all enemies, when in a dungeon knocks back enemies 3 spaces.")</f>
        <v>6000 undefendable Delta damage to all enemies, when in a dungeon knocks back enemies 3 spaces.</v>
      </c>
      <c r="F151" s="16" t="str">
        <f>IFERROR(__xludf.DUMMYFUNCTION("""COMPUTED_VALUE"""),"Cannot Avoid")</f>
        <v>Cannot Avoid</v>
      </c>
      <c r="G151" s="16"/>
      <c r="H151" s="16" t="str">
        <f>IFERROR(__xludf.DUMMYFUNCTION("""COMPUTED_VALUE"""),"Delta")</f>
        <v>Delta</v>
      </c>
      <c r="I151" s="16" t="str">
        <f>IFERROR(__xludf.DUMMYFUNCTION("""COMPUTED_VALUE"""),"Player")</f>
        <v>Player</v>
      </c>
      <c r="J151" s="16" t="b">
        <f>IFERROR(__xludf.DUMMYFUNCTION("""COMPUTED_VALUE"""),FALSE)</f>
        <v>0</v>
      </c>
      <c r="K151" s="16"/>
      <c r="L151" s="16" t="b">
        <f>IFERROR(__xludf.DUMMYFUNCTION("""COMPUTED_VALUE"""),FALSE)</f>
        <v>0</v>
      </c>
      <c r="M151" s="16" t="b">
        <f>IFERROR(__xludf.DUMMYFUNCTION("""COMPUTED_VALUE"""),FALSE)</f>
        <v>0</v>
      </c>
      <c r="N151" s="16"/>
    </row>
    <row r="152">
      <c r="A152" s="16" t="str">
        <f>IFERROR(__xludf.DUMMYFUNCTION("""COMPUTED_VALUE"""),"Delta Obelisk")</f>
        <v>Delta Obelisk</v>
      </c>
      <c r="B152" s="120">
        <f>IFERROR(__xludf.DUMMYFUNCTION("""COMPUTED_VALUE"""),8.0)</f>
        <v>8</v>
      </c>
      <c r="C152" s="16">
        <f>IFERROR(__xludf.DUMMYFUNCTION("""COMPUTED_VALUE"""),600.0)</f>
        <v>600</v>
      </c>
      <c r="D152" s="16"/>
      <c r="E152" s="16" t="str">
        <f>IFERROR(__xludf.DUMMYFUNCTION("""COMPUTED_VALUE"""),"Raises an Obelisk from the ground. All delta damage dealt for the next 3 rounds of the battle restores the users SP equal to the damage they cause while this effect is active..")</f>
        <v>Raises an Obelisk from the ground. All delta damage dealt for the next 3 rounds of the battle restores the users SP equal to the damage they cause while this effect is active..</v>
      </c>
      <c r="F152" s="16" t="str">
        <f>IFERROR(__xludf.DUMMYFUNCTION("""COMPUTED_VALUE"""),"Will Succeed")</f>
        <v>Will Succeed</v>
      </c>
      <c r="G152" s="16"/>
      <c r="H152" s="16" t="str">
        <f>IFERROR(__xludf.DUMMYFUNCTION("""COMPUTED_VALUE"""),"Delta")</f>
        <v>Delta</v>
      </c>
      <c r="I152" s="16" t="str">
        <f>IFERROR(__xludf.DUMMYFUNCTION("""COMPUTED_VALUE"""),"Player")</f>
        <v>Player</v>
      </c>
      <c r="J152" s="16" t="b">
        <f>IFERROR(__xludf.DUMMYFUNCTION("""COMPUTED_VALUE"""),FALSE)</f>
        <v>0</v>
      </c>
      <c r="K152" s="16"/>
      <c r="L152" s="16" t="b">
        <f>IFERROR(__xludf.DUMMYFUNCTION("""COMPUTED_VALUE"""),FALSE)</f>
        <v>0</v>
      </c>
      <c r="M152" s="16" t="b">
        <f>IFERROR(__xludf.DUMMYFUNCTION("""COMPUTED_VALUE"""),FALSE)</f>
        <v>0</v>
      </c>
      <c r="N152" s="16"/>
    </row>
    <row r="153">
      <c r="A153" s="16" t="str">
        <f>IFERROR(__xludf.DUMMYFUNCTION("""COMPUTED_VALUE"""),"Delta Rock")</f>
        <v>Delta Rock</v>
      </c>
      <c r="B153" s="120">
        <f>IFERROR(__xludf.DUMMYFUNCTION("""COMPUTED_VALUE"""),7.0)</f>
        <v>7</v>
      </c>
      <c r="C153" s="16">
        <f>IFERROR(__xludf.DUMMYFUNCTION("""COMPUTED_VALUE"""),500.0)</f>
        <v>500</v>
      </c>
      <c r="D153" s="16"/>
      <c r="E153" s="16" t="str">
        <f>IFERROR(__xludf.DUMMYFUNCTION("""COMPUTED_VALUE"""),"Unleashes a wave of sound. No spell can be casted for the rest of the round.")</f>
        <v>Unleashes a wave of sound. No spell can be casted for the rest of the round.</v>
      </c>
      <c r="F153" s="16" t="str">
        <f>IFERROR(__xludf.DUMMYFUNCTION("""COMPUTED_VALUE"""),"Fail/Succeed")</f>
        <v>Fail/Succeed</v>
      </c>
      <c r="G153" s="16"/>
      <c r="H153" s="16" t="str">
        <f>IFERROR(__xludf.DUMMYFUNCTION("""COMPUTED_VALUE"""),"Delta")</f>
        <v>Delta</v>
      </c>
      <c r="I153" s="16" t="str">
        <f>IFERROR(__xludf.DUMMYFUNCTION("""COMPUTED_VALUE"""),"Player")</f>
        <v>Player</v>
      </c>
      <c r="J153" s="16" t="b">
        <f>IFERROR(__xludf.DUMMYFUNCTION("""COMPUTED_VALUE"""),FALSE)</f>
        <v>0</v>
      </c>
      <c r="K153" s="16"/>
      <c r="L153" s="16" t="b">
        <f>IFERROR(__xludf.DUMMYFUNCTION("""COMPUTED_VALUE"""),FALSE)</f>
        <v>0</v>
      </c>
      <c r="M153" s="16" t="b">
        <f>IFERROR(__xludf.DUMMYFUNCTION("""COMPUTED_VALUE"""),FALSE)</f>
        <v>0</v>
      </c>
      <c r="N153" s="16"/>
    </row>
    <row r="154">
      <c r="A154" s="16" t="str">
        <f>IFERROR(__xludf.DUMMYFUNCTION("""COMPUTED_VALUE"""),"Delta Rock &amp; Roll")</f>
        <v>Delta Rock &amp; Roll</v>
      </c>
      <c r="B154" s="120">
        <f>IFERROR(__xludf.DUMMYFUNCTION("""COMPUTED_VALUE"""),8.0)</f>
        <v>8</v>
      </c>
      <c r="C154" s="16" t="str">
        <f>IFERROR(__xludf.DUMMYFUNCTION("""COMPUTED_VALUE"""),"X*600")</f>
        <v>X*600</v>
      </c>
      <c r="D154" s="16"/>
      <c r="E154" s="16" t="str">
        <f>IFERROR(__xludf.DUMMYFUNCTION("""COMPUTED_VALUE"""),"Target enemies are incapable of performing an action for 3 rounds. X=number of enemies.")</f>
        <v>Target enemies are incapable of performing an action for 3 rounds. X=number of enemies.</v>
      </c>
      <c r="F154" s="16" t="str">
        <f>IFERROR(__xludf.DUMMYFUNCTION("""COMPUTED_VALUE"""),"Fail/Succeed")</f>
        <v>Fail/Succeed</v>
      </c>
      <c r="G154" s="16"/>
      <c r="H154" s="16" t="str">
        <f>IFERROR(__xludf.DUMMYFUNCTION("""COMPUTED_VALUE"""),"Delta")</f>
        <v>Delta</v>
      </c>
      <c r="I154" s="16" t="str">
        <f>IFERROR(__xludf.DUMMYFUNCTION("""COMPUTED_VALUE"""),"Player")</f>
        <v>Player</v>
      </c>
      <c r="J154" s="16" t="b">
        <f>IFERROR(__xludf.DUMMYFUNCTION("""COMPUTED_VALUE"""),FALSE)</f>
        <v>0</v>
      </c>
      <c r="K154" s="16"/>
      <c r="L154" s="16" t="b">
        <f>IFERROR(__xludf.DUMMYFUNCTION("""COMPUTED_VALUE"""),FALSE)</f>
        <v>0</v>
      </c>
      <c r="M154" s="16" t="b">
        <f>IFERROR(__xludf.DUMMYFUNCTION("""COMPUTED_VALUE"""),FALSE)</f>
        <v>0</v>
      </c>
      <c r="N154" s="16"/>
    </row>
    <row r="155">
      <c r="A155" s="16" t="str">
        <f>IFERROR(__xludf.DUMMYFUNCTION("""COMPUTED_VALUE"""),"Delta Roll")</f>
        <v>Delta Roll</v>
      </c>
      <c r="B155" s="120">
        <f>IFERROR(__xludf.DUMMYFUNCTION("""COMPUTED_VALUE"""),7.0)</f>
        <v>7</v>
      </c>
      <c r="C155" s="16">
        <f>IFERROR(__xludf.DUMMYFUNCTION("""COMPUTED_VALUE"""),500.0)</f>
        <v>500</v>
      </c>
      <c r="D155" s="16"/>
      <c r="E155" s="16" t="str">
        <f>IFERROR(__xludf.DUMMYFUNCTION("""COMPUTED_VALUE"""),"Makes everyone incapable of attacking for the rest of the round.")</f>
        <v>Makes everyone incapable of attacking for the rest of the round.</v>
      </c>
      <c r="F155" s="16" t="str">
        <f>IFERROR(__xludf.DUMMYFUNCTION("""COMPUTED_VALUE"""),"FailSucceed")</f>
        <v>FailSucceed</v>
      </c>
      <c r="G155" s="16"/>
      <c r="H155" s="16" t="str">
        <f>IFERROR(__xludf.DUMMYFUNCTION("""COMPUTED_VALUE"""),"Delta")</f>
        <v>Delta</v>
      </c>
      <c r="I155" s="16" t="str">
        <f>IFERROR(__xludf.DUMMYFUNCTION("""COMPUTED_VALUE"""),"Player")</f>
        <v>Player</v>
      </c>
      <c r="J155" s="16" t="b">
        <f>IFERROR(__xludf.DUMMYFUNCTION("""COMPUTED_VALUE"""),FALSE)</f>
        <v>0</v>
      </c>
      <c r="K155" s="16"/>
      <c r="L155" s="16" t="b">
        <f>IFERROR(__xludf.DUMMYFUNCTION("""COMPUTED_VALUE"""),FALSE)</f>
        <v>0</v>
      </c>
      <c r="M155" s="16" t="b">
        <f>IFERROR(__xludf.DUMMYFUNCTION("""COMPUTED_VALUE"""),FALSE)</f>
        <v>0</v>
      </c>
      <c r="N155" s="16"/>
    </row>
    <row r="156">
      <c r="A156" s="16" t="str">
        <f>IFERROR(__xludf.DUMMYFUNCTION("""COMPUTED_VALUE"""),"Delta World")</f>
        <v>Delta World</v>
      </c>
      <c r="B156" s="120">
        <f>IFERROR(__xludf.DUMMYFUNCTION("""COMPUTED_VALUE"""),9.0)</f>
        <v>9</v>
      </c>
      <c r="C156" s="16">
        <f>IFERROR(__xludf.DUMMYFUNCTION("""COMPUTED_VALUE"""),1000.0)</f>
        <v>1000</v>
      </c>
      <c r="D156" s="16"/>
      <c r="E156" s="16" t="str">
        <f>IFERROR(__xludf.DUMMYFUNCTION("""COMPUTED_VALUE"""),"All elements except storm and delta are negated until the end of battle. Storm and Delta spells will bypass immunities and resistances for the remainder of the battle. Storm and Delta spells will deal X4 damage until the end of battle.")</f>
        <v>All elements except storm and delta are negated until the end of battle. Storm and Delta spells will bypass immunities and resistances for the remainder of the battle. Storm and Delta spells will deal X4 damage until the end of battle.</v>
      </c>
      <c r="F156" s="16" t="str">
        <f>IFERROR(__xludf.DUMMYFUNCTION("""COMPUTED_VALUE"""),"Fail/Succeed")</f>
        <v>Fail/Succeed</v>
      </c>
      <c r="G156" s="16"/>
      <c r="H156" s="16" t="str">
        <f>IFERROR(__xludf.DUMMYFUNCTION("""COMPUTED_VALUE"""),"Delta")</f>
        <v>Delta</v>
      </c>
      <c r="I156" s="16" t="str">
        <f>IFERROR(__xludf.DUMMYFUNCTION("""COMPUTED_VALUE"""),"Player")</f>
        <v>Player</v>
      </c>
      <c r="J156" s="16" t="b">
        <f>IFERROR(__xludf.DUMMYFUNCTION("""COMPUTED_VALUE"""),FALSE)</f>
        <v>0</v>
      </c>
      <c r="K156" s="16"/>
      <c r="L156" s="16" t="b">
        <f>IFERROR(__xludf.DUMMYFUNCTION("""COMPUTED_VALUE"""),FALSE)</f>
        <v>0</v>
      </c>
      <c r="M156" s="16" t="b">
        <f>IFERROR(__xludf.DUMMYFUNCTION("""COMPUTED_VALUE"""),FALSE)</f>
        <v>0</v>
      </c>
      <c r="N156" s="16"/>
    </row>
    <row r="157">
      <c r="A157" s="16" t="str">
        <f>IFERROR(__xludf.DUMMYFUNCTION("""COMPUTED_VALUE"""),"False Tower")</f>
        <v>False Tower</v>
      </c>
      <c r="B157" s="120">
        <f>IFERROR(__xludf.DUMMYFUNCTION("""COMPUTED_VALUE"""),8.0)</f>
        <v>8</v>
      </c>
      <c r="C157" s="16">
        <f>IFERROR(__xludf.DUMMYFUNCTION("""COMPUTED_VALUE"""),600.0)</f>
        <v>600</v>
      </c>
      <c r="D157" s="16"/>
      <c r="E157" s="16" t="str">
        <f>IFERROR(__xludf.DUMMYFUNCTION("""COMPUTED_VALUE"""),"A false tower appears as a mirage to everyone. Reduces all enemies' sp by half and inflicting them with 5 insanity.")</f>
        <v>A false tower appears as a mirage to everyone. Reduces all enemies' sp by half and inflicting them with 5 insanity.</v>
      </c>
      <c r="F157" s="16" t="str">
        <f>IFERROR(__xludf.DUMMYFUNCTION("""COMPUTED_VALUE"""),"Fail/Succeed")</f>
        <v>Fail/Succeed</v>
      </c>
      <c r="G157" s="16" t="str">
        <f>IFERROR(__xludf.DUMMYFUNCTION("""COMPUTED_VALUE"""),"All")</f>
        <v>All</v>
      </c>
      <c r="H157" s="16" t="str">
        <f>IFERROR(__xludf.DUMMYFUNCTION("""COMPUTED_VALUE"""),"Delta")</f>
        <v>Delta</v>
      </c>
      <c r="I157" s="16" t="str">
        <f>IFERROR(__xludf.DUMMYFUNCTION("""COMPUTED_VALUE"""),"Player")</f>
        <v>Player</v>
      </c>
      <c r="J157" s="16" t="b">
        <f>IFERROR(__xludf.DUMMYFUNCTION("""COMPUTED_VALUE"""),FALSE)</f>
        <v>0</v>
      </c>
      <c r="K157" s="16"/>
      <c r="L157" s="16" t="b">
        <f>IFERROR(__xludf.DUMMYFUNCTION("""COMPUTED_VALUE"""),FALSE)</f>
        <v>0</v>
      </c>
      <c r="M157" s="16" t="b">
        <f>IFERROR(__xludf.DUMMYFUNCTION("""COMPUTED_VALUE"""),FALSE)</f>
        <v>0</v>
      </c>
      <c r="N157" s="16"/>
    </row>
    <row r="158">
      <c r="A158" s="16" t="str">
        <f>IFERROR(__xludf.DUMMYFUNCTION("""COMPUTED_VALUE"""),"Magic Barrier")</f>
        <v>Magic Barrier</v>
      </c>
      <c r="B158" s="120">
        <f>IFERROR(__xludf.DUMMYFUNCTION("""COMPUTED_VALUE"""),9.0)</f>
        <v>9</v>
      </c>
      <c r="C158" s="119">
        <f>IFERROR(__xludf.DUMMYFUNCTION("""COMPUTED_VALUE"""),10000.0)</f>
        <v>10000</v>
      </c>
      <c r="D158" s="16"/>
      <c r="E158" s="16" t="str">
        <f>IFERROR(__xludf.DUMMYFUNCTION("""COMPUTED_VALUE"""),"All Enemies cannot use magic for the rest of battle")</f>
        <v>All Enemies cannot use magic for the rest of battle</v>
      </c>
      <c r="F158" s="16" t="str">
        <f>IFERROR(__xludf.DUMMYFUNCTION("""COMPUTED_VALUE"""),"Fail/Succeed")</f>
        <v>Fail/Succeed</v>
      </c>
      <c r="G158" s="16" t="str">
        <f>IFERROR(__xludf.DUMMYFUNCTION("""COMPUTED_VALUE"""),"All")</f>
        <v>All</v>
      </c>
      <c r="H158" s="16" t="str">
        <f>IFERROR(__xludf.DUMMYFUNCTION("""COMPUTED_VALUE"""),"Delta")</f>
        <v>Delta</v>
      </c>
      <c r="I158" s="16" t="str">
        <f>IFERROR(__xludf.DUMMYFUNCTION("""COMPUTED_VALUE"""),"Mob")</f>
        <v>Mob</v>
      </c>
      <c r="J158" s="16" t="b">
        <f>IFERROR(__xludf.DUMMYFUNCTION("""COMPUTED_VALUE"""),TRUE)</f>
        <v>1</v>
      </c>
      <c r="K158" s="16"/>
      <c r="L158" s="16" t="b">
        <f>IFERROR(__xludf.DUMMYFUNCTION("""COMPUTED_VALUE"""),FALSE)</f>
        <v>0</v>
      </c>
      <c r="M158" s="16" t="b">
        <f>IFERROR(__xludf.DUMMYFUNCTION("""COMPUTED_VALUE"""),FALSE)</f>
        <v>0</v>
      </c>
      <c r="N158" s="16"/>
    </row>
    <row r="159">
      <c r="A159" s="16" t="str">
        <f>IFERROR(__xludf.DUMMYFUNCTION("""COMPUTED_VALUE"""),"Magic Break")</f>
        <v>Magic Break</v>
      </c>
      <c r="B159" s="120">
        <f>IFERROR(__xludf.DUMMYFUNCTION("""COMPUTED_VALUE"""),2.0)</f>
        <v>2</v>
      </c>
      <c r="C159" s="16">
        <f>IFERROR(__xludf.DUMMYFUNCTION("""COMPUTED_VALUE"""),20.0)</f>
        <v>20</v>
      </c>
      <c r="D159" s="16"/>
      <c r="E159" s="16" t="str">
        <f>IFERROR(__xludf.DUMMYFUNCTION("""COMPUTED_VALUE"""),"2000 Delta damage, 25% chance to cancel an ongoing spell effect the target has casted upon themself.")</f>
        <v>2000 Delta damage, 25% chance to cancel an ongoing spell effect the target has casted upon themself.</v>
      </c>
      <c r="F159" s="16" t="str">
        <f>IFERROR(__xludf.DUMMYFUNCTION("""COMPUTED_VALUE"""),"Hit/Miss")</f>
        <v>Hit/Miss</v>
      </c>
      <c r="G159" s="16">
        <f>IFERROR(__xludf.DUMMYFUNCTION("""COMPUTED_VALUE"""),1.0)</f>
        <v>1</v>
      </c>
      <c r="H159" s="16" t="str">
        <f>IFERROR(__xludf.DUMMYFUNCTION("""COMPUTED_VALUE"""),"Delta")</f>
        <v>Delta</v>
      </c>
      <c r="I159" s="16" t="str">
        <f>IFERROR(__xludf.DUMMYFUNCTION("""COMPUTED_VALUE"""),"Player")</f>
        <v>Player</v>
      </c>
      <c r="J159" s="16" t="b">
        <f>IFERROR(__xludf.DUMMYFUNCTION("""COMPUTED_VALUE"""),FALSE)</f>
        <v>0</v>
      </c>
      <c r="K159" s="16"/>
      <c r="L159" s="16" t="b">
        <f>IFERROR(__xludf.DUMMYFUNCTION("""COMPUTED_VALUE"""),FALSE)</f>
        <v>0</v>
      </c>
      <c r="M159" s="16" t="b">
        <f>IFERROR(__xludf.DUMMYFUNCTION("""COMPUTED_VALUE"""),FALSE)</f>
        <v>0</v>
      </c>
      <c r="N159" s="16"/>
    </row>
    <row r="160">
      <c r="A160" s="16" t="str">
        <f>IFERROR(__xludf.DUMMYFUNCTION("""COMPUTED_VALUE"""),"Mind Blast")</f>
        <v>Mind Blast</v>
      </c>
      <c r="B160" s="120">
        <f>IFERROR(__xludf.DUMMYFUNCTION("""COMPUTED_VALUE"""),1.0)</f>
        <v>1</v>
      </c>
      <c r="C160" s="16">
        <f>IFERROR(__xludf.DUMMYFUNCTION("""COMPUTED_VALUE"""),100.0)</f>
        <v>100</v>
      </c>
      <c r="D160" s="16"/>
      <c r="E160" s="16" t="str">
        <f>IFERROR(__xludf.DUMMYFUNCTION("""COMPUTED_VALUE"""),"Deals 1000 dmg and pacifies an enemy for 3 rounds.")</f>
        <v>Deals 1000 dmg and pacifies an enemy for 3 rounds.</v>
      </c>
      <c r="F160" s="16" t="str">
        <f>IFERROR(__xludf.DUMMYFUNCTION("""COMPUTED_VALUE"""),"Hit/Miss")</f>
        <v>Hit/Miss</v>
      </c>
      <c r="G160" s="16">
        <f>IFERROR(__xludf.DUMMYFUNCTION("""COMPUTED_VALUE"""),1.0)</f>
        <v>1</v>
      </c>
      <c r="H160" s="16" t="str">
        <f>IFERROR(__xludf.DUMMYFUNCTION("""COMPUTED_VALUE"""),"Delta")</f>
        <v>Delta</v>
      </c>
      <c r="I160" s="16" t="str">
        <f>IFERROR(__xludf.DUMMYFUNCTION("""COMPUTED_VALUE"""),"Player")</f>
        <v>Player</v>
      </c>
      <c r="J160" s="16" t="b">
        <f>IFERROR(__xludf.DUMMYFUNCTION("""COMPUTED_VALUE"""),FALSE)</f>
        <v>0</v>
      </c>
      <c r="K160" s="16"/>
      <c r="L160" s="16" t="b">
        <f>IFERROR(__xludf.DUMMYFUNCTION("""COMPUTED_VALUE"""),FALSE)</f>
        <v>0</v>
      </c>
      <c r="M160" s="16" t="b">
        <f>IFERROR(__xludf.DUMMYFUNCTION("""COMPUTED_VALUE"""),FALSE)</f>
        <v>0</v>
      </c>
      <c r="N160" s="16"/>
    </row>
    <row r="161">
      <c r="A161" s="16" t="str">
        <f>IFERROR(__xludf.DUMMYFUNCTION("""COMPUTED_VALUE"""),"Rapid Delta Punch")</f>
        <v>Rapid Delta Punch</v>
      </c>
      <c r="B161" s="120">
        <f>IFERROR(__xludf.DUMMYFUNCTION("""COMPUTED_VALUE"""),9.0)</f>
        <v>9</v>
      </c>
      <c r="C161" s="16" t="str">
        <f>IFERROR(__xludf.DUMMYFUNCTION("""COMPUTED_VALUE"""),"X*420")</f>
        <v>X*420</v>
      </c>
      <c r="D161" s="16"/>
      <c r="E161" s="16" t="str">
        <f>IFERROR(__xludf.DUMMYFUNCTION("""COMPUTED_VALUE"""),"Drain 42,000 sp per Punch, X is equal to the amount of punches. X is equal to your attack roll.")</f>
        <v>Drain 42,000 sp per Punch, X is equal to the amount of punches. X is equal to your attack roll.</v>
      </c>
      <c r="F161" s="16" t="str">
        <f>IFERROR(__xludf.DUMMYFUNCTION("""COMPUTED_VALUE"""),"Hit/Miss")</f>
        <v>Hit/Miss</v>
      </c>
      <c r="G161" s="16">
        <f>IFERROR(__xludf.DUMMYFUNCTION("""COMPUTED_VALUE"""),1.0)</f>
        <v>1</v>
      </c>
      <c r="H161" s="16" t="str">
        <f>IFERROR(__xludf.DUMMYFUNCTION("""COMPUTED_VALUE"""),"Delta")</f>
        <v>Delta</v>
      </c>
      <c r="I161" s="16" t="str">
        <f>IFERROR(__xludf.DUMMYFUNCTION("""COMPUTED_VALUE"""),"Player")</f>
        <v>Player</v>
      </c>
      <c r="J161" s="16" t="b">
        <f>IFERROR(__xludf.DUMMYFUNCTION("""COMPUTED_VALUE"""),FALSE)</f>
        <v>0</v>
      </c>
      <c r="K161" s="16"/>
      <c r="L161" s="16" t="b">
        <f>IFERROR(__xludf.DUMMYFUNCTION("""COMPUTED_VALUE"""),FALSE)</f>
        <v>0</v>
      </c>
      <c r="M161" s="16" t="b">
        <f>IFERROR(__xludf.DUMMYFUNCTION("""COMPUTED_VALUE"""),FALSE)</f>
        <v>0</v>
      </c>
      <c r="N161" s="16"/>
    </row>
    <row r="162">
      <c r="A162" s="16" t="str">
        <f>IFERROR(__xludf.DUMMYFUNCTION("""COMPUTED_VALUE"""),"Beast In Black")</f>
        <v>Beast In Black</v>
      </c>
      <c r="B162" s="120">
        <f>IFERROR(__xludf.DUMMYFUNCTION("""COMPUTED_VALUE"""),9.0)</f>
        <v>9</v>
      </c>
      <c r="C162" s="16">
        <f>IFERROR(__xludf.DUMMYFUNCTION("""COMPUTED_VALUE"""),500.0)</f>
        <v>500</v>
      </c>
      <c r="D162" s="16"/>
      <c r="E162" s="16" t="str">
        <f>IFERROR(__xludf.DUMMYFUNCTION("""COMPUTED_VALUE"""),"Summon a single arm of Bahamut from a portal to the void to strike your foes dealing 25,000 Delta damage to all foes.")</f>
        <v>Summon a single arm of Bahamut from a portal to the void to strike your foes dealing 25,000 Delta damage to all foes.</v>
      </c>
      <c r="F162" s="16" t="str">
        <f>IFERROR(__xludf.DUMMYFUNCTION("""COMPUTED_VALUE"""),"Fail/Succeed")</f>
        <v>Fail/Succeed</v>
      </c>
      <c r="G162" s="16" t="str">
        <f>IFERROR(__xludf.DUMMYFUNCTION("""COMPUTED_VALUE"""),"All")</f>
        <v>All</v>
      </c>
      <c r="H162" s="16" t="str">
        <f>IFERROR(__xludf.DUMMYFUNCTION("""COMPUTED_VALUE"""),"Delta")</f>
        <v>Delta</v>
      </c>
      <c r="I162" s="16" t="str">
        <f>IFERROR(__xludf.DUMMYFUNCTION("""COMPUTED_VALUE"""),"Mob")</f>
        <v>Mob</v>
      </c>
      <c r="J162" s="16" t="b">
        <f>IFERROR(__xludf.DUMMYFUNCTION("""COMPUTED_VALUE"""),TRUE)</f>
        <v>1</v>
      </c>
      <c r="K162" s="16" t="str">
        <f>IFERROR(__xludf.DUMMYFUNCTION("""COMPUTED_VALUE"""),"Mob Spell")</f>
        <v>Mob Spell</v>
      </c>
      <c r="L162" s="16" t="b">
        <f>IFERROR(__xludf.DUMMYFUNCTION("""COMPUTED_VALUE"""),FALSE)</f>
        <v>0</v>
      </c>
      <c r="M162" s="16" t="b">
        <f>IFERROR(__xludf.DUMMYFUNCTION("""COMPUTED_VALUE"""),FALSE)</f>
        <v>0</v>
      </c>
      <c r="N162" s="16"/>
    </row>
    <row r="163">
      <c r="A163" s="16" t="str">
        <f>IFERROR(__xludf.DUMMYFUNCTION("""COMPUTED_VALUE"""),"Domain Expansion")</f>
        <v>Domain Expansion</v>
      </c>
      <c r="B163" s="120">
        <f>IFERROR(__xludf.DUMMYFUNCTION("""COMPUTED_VALUE"""),9.0)</f>
        <v>9</v>
      </c>
      <c r="C163" s="16">
        <f>IFERROR(__xludf.DUMMYFUNCTION("""COMPUTED_VALUE"""),1000.0)</f>
        <v>1000</v>
      </c>
      <c r="D163" s="16"/>
      <c r="E163" s="16" t="str">
        <f>IFERROR(__xludf.DUMMYFUNCTION("""COMPUTED_VALUE"""),"Split open reality creating a small void around you (Dungeon:20x20 square) which no one can enter or exit. Within the void Delta attacks deal X5 damage, Environmental and Day/Night Effects are entirely negated, and it is impossible to flee from battle via"&amp;" normal or magical means, The effects of this spell continue until the caster of the spell is removed from battle, killed, the caster of the spell decides to end it manually, or cancel is cast.")</f>
        <v>Split open reality creating a small void around you (Dungeon:20x20 square) which no one can enter or exit. Within the void Delta attacks deal X5 damage, Environmental and Day/Night Effects are entirely negated, and it is impossible to flee from battle via normal or magical means, The effects of this spell continue until the caster of the spell is removed from battle, killed, the caster of the spell decides to end it manually, or cancel is cast.</v>
      </c>
      <c r="F163" s="16" t="str">
        <f>IFERROR(__xludf.DUMMYFUNCTION("""COMPUTED_VALUE"""),"Will Succeed")</f>
        <v>Will Succeed</v>
      </c>
      <c r="G163" s="16" t="str">
        <f>IFERROR(__xludf.DUMMYFUNCTION("""COMPUTED_VALUE"""),"All")</f>
        <v>All</v>
      </c>
      <c r="H163" s="16" t="str">
        <f>IFERROR(__xludf.DUMMYFUNCTION("""COMPUTED_VALUE"""),"Delta")</f>
        <v>Delta</v>
      </c>
      <c r="I163" s="16" t="str">
        <f>IFERROR(__xludf.DUMMYFUNCTION("""COMPUTED_VALUE"""),"Mob")</f>
        <v>Mob</v>
      </c>
      <c r="J163" s="16" t="b">
        <f>IFERROR(__xludf.DUMMYFUNCTION("""COMPUTED_VALUE"""),TRUE)</f>
        <v>1</v>
      </c>
      <c r="K163" s="16" t="str">
        <f>IFERROR(__xludf.DUMMYFUNCTION("""COMPUTED_VALUE"""),"Mob Spell")</f>
        <v>Mob Spell</v>
      </c>
      <c r="L163" s="16" t="b">
        <f>IFERROR(__xludf.DUMMYFUNCTION("""COMPUTED_VALUE"""),FALSE)</f>
        <v>0</v>
      </c>
      <c r="M163" s="16" t="b">
        <f>IFERROR(__xludf.DUMMYFUNCTION("""COMPUTED_VALUE"""),FALSE)</f>
        <v>0</v>
      </c>
      <c r="N163" s="16"/>
    </row>
    <row r="164">
      <c r="A164" s="16" t="str">
        <f>IFERROR(__xludf.DUMMYFUNCTION("""COMPUTED_VALUE"""),"Delta Strike")</f>
        <v>Delta Strike</v>
      </c>
      <c r="B164" s="120">
        <f>IFERROR(__xludf.DUMMYFUNCTION("""COMPUTED_VALUE"""),1.0)</f>
        <v>1</v>
      </c>
      <c r="C164" s="16" t="str">
        <f>IFERROR(__xludf.DUMMYFUNCTION("""COMPUTED_VALUE"""),"X")</f>
        <v>X</v>
      </c>
      <c r="D164" s="16"/>
      <c r="E164" s="16" t="str">
        <f>IFERROR(__xludf.DUMMYFUNCTION("""COMPUTED_VALUE"""),"Deals X*100 Delta damage to a single enemy where X is equal to SP spent.")</f>
        <v>Deals X*100 Delta damage to a single enemy where X is equal to SP spent.</v>
      </c>
      <c r="F164" s="16" t="str">
        <f>IFERROR(__xludf.DUMMYFUNCTION("""COMPUTED_VALUE"""),"Hit/Miss")</f>
        <v>Hit/Miss</v>
      </c>
      <c r="G164" s="16">
        <f>IFERROR(__xludf.DUMMYFUNCTION("""COMPUTED_VALUE"""),1.0)</f>
        <v>1</v>
      </c>
      <c r="H164" s="16" t="str">
        <f>IFERROR(__xludf.DUMMYFUNCTION("""COMPUTED_VALUE"""),"Delta")</f>
        <v>Delta</v>
      </c>
      <c r="I164" s="16" t="str">
        <f>IFERROR(__xludf.DUMMYFUNCTION("""COMPUTED_VALUE"""),"Player")</f>
        <v>Player</v>
      </c>
      <c r="J164" s="16" t="b">
        <f>IFERROR(__xludf.DUMMYFUNCTION("""COMPUTED_VALUE"""),FALSE)</f>
        <v>0</v>
      </c>
      <c r="K164" s="16"/>
      <c r="L164" s="16" t="b">
        <f>IFERROR(__xludf.DUMMYFUNCTION("""COMPUTED_VALUE"""),FALSE)</f>
        <v>0</v>
      </c>
      <c r="M164" s="16" t="b">
        <f>IFERROR(__xludf.DUMMYFUNCTION("""COMPUTED_VALUE"""),FALSE)</f>
        <v>0</v>
      </c>
      <c r="N164" s="16"/>
    </row>
    <row r="165">
      <c r="A165" s="16" t="str">
        <f>IFERROR(__xludf.DUMMYFUNCTION("""COMPUTED_VALUE"""),"Magic Surge")</f>
        <v>Magic Surge</v>
      </c>
      <c r="B165" s="120">
        <f>IFERROR(__xludf.DUMMYFUNCTION("""COMPUTED_VALUE"""),5.0)</f>
        <v>5</v>
      </c>
      <c r="C165" s="16" t="str">
        <f>IFERROR(__xludf.DUMMYFUNCTION("""COMPUTED_VALUE"""),"X")</f>
        <v>X</v>
      </c>
      <c r="D165" s="16"/>
      <c r="E165" s="16" t="str">
        <f>IFERROR(__xludf.DUMMYFUNCTION("""COMPUTED_VALUE"""),"Deals X*50 Delta damage per round for 3 rounds to a single target where X is equal to SP spent.")</f>
        <v>Deals X*50 Delta damage per round for 3 rounds to a single target where X is equal to SP spent.</v>
      </c>
      <c r="F165" s="16" t="str">
        <f>IFERROR(__xludf.DUMMYFUNCTION("""COMPUTED_VALUE"""),"Hit/Miss")</f>
        <v>Hit/Miss</v>
      </c>
      <c r="G165" s="16">
        <f>IFERROR(__xludf.DUMMYFUNCTION("""COMPUTED_VALUE"""),1.0)</f>
        <v>1</v>
      </c>
      <c r="H165" s="16" t="str">
        <f>IFERROR(__xludf.DUMMYFUNCTION("""COMPUTED_VALUE"""),"Delta")</f>
        <v>Delta</v>
      </c>
      <c r="I165" s="16" t="str">
        <f>IFERROR(__xludf.DUMMYFUNCTION("""COMPUTED_VALUE"""),"Player")</f>
        <v>Player</v>
      </c>
      <c r="J165" s="16" t="b">
        <f>IFERROR(__xludf.DUMMYFUNCTION("""COMPUTED_VALUE"""),FALSE)</f>
        <v>0</v>
      </c>
      <c r="K165" s="16"/>
      <c r="L165" s="16" t="b">
        <f>IFERROR(__xludf.DUMMYFUNCTION("""COMPUTED_VALUE"""),FALSE)</f>
        <v>0</v>
      </c>
      <c r="M165" s="16" t="b">
        <f>IFERROR(__xludf.DUMMYFUNCTION("""COMPUTED_VALUE"""),FALSE)</f>
        <v>0</v>
      </c>
      <c r="N165" s="16"/>
    </row>
    <row r="166">
      <c r="A166" s="16" t="str">
        <f>IFERROR(__xludf.DUMMYFUNCTION("""COMPUTED_VALUE"""),"Delta Pulse")</f>
        <v>Delta Pulse</v>
      </c>
      <c r="B166" s="120">
        <f>IFERROR(__xludf.DUMMYFUNCTION("""COMPUTED_VALUE"""),5.0)</f>
        <v>5</v>
      </c>
      <c r="C166" s="16" t="str">
        <f>IFERROR(__xludf.DUMMYFUNCTION("""COMPUTED_VALUE"""),"X")</f>
        <v>X</v>
      </c>
      <c r="D166" s="16"/>
      <c r="E166" s="16" t="str">
        <f>IFERROR(__xludf.DUMMYFUNCTION("""COMPUTED_VALUE"""),"Deals X*25 Delta damage to all enemies where X is equal to SP spent.")</f>
        <v>Deals X*25 Delta damage to all enemies where X is equal to SP spent.</v>
      </c>
      <c r="F166" s="16" t="str">
        <f>IFERROR(__xludf.DUMMYFUNCTION("""COMPUTED_VALUE"""),"Cannot Avoid")</f>
        <v>Cannot Avoid</v>
      </c>
      <c r="G166" s="16" t="str">
        <f>IFERROR(__xludf.DUMMYFUNCTION("""COMPUTED_VALUE"""),"All")</f>
        <v>All</v>
      </c>
      <c r="H166" s="16" t="str">
        <f>IFERROR(__xludf.DUMMYFUNCTION("""COMPUTED_VALUE"""),"Delta")</f>
        <v>Delta</v>
      </c>
      <c r="I166" s="16" t="str">
        <f>IFERROR(__xludf.DUMMYFUNCTION("""COMPUTED_VALUE"""),"Player")</f>
        <v>Player</v>
      </c>
      <c r="J166" s="16" t="b">
        <f>IFERROR(__xludf.DUMMYFUNCTION("""COMPUTED_VALUE"""),FALSE)</f>
        <v>0</v>
      </c>
      <c r="K166" s="16"/>
      <c r="L166" s="16" t="b">
        <f>IFERROR(__xludf.DUMMYFUNCTION("""COMPUTED_VALUE"""),FALSE)</f>
        <v>0</v>
      </c>
      <c r="M166" s="16" t="b">
        <f>IFERROR(__xludf.DUMMYFUNCTION("""COMPUTED_VALUE"""),FALSE)</f>
        <v>0</v>
      </c>
      <c r="N166" s="16"/>
    </row>
    <row r="167">
      <c r="A167" s="16" t="str">
        <f>IFERROR(__xludf.DUMMYFUNCTION("""COMPUTED_VALUE"""),"Mass Magic Surge")</f>
        <v>Mass Magic Surge</v>
      </c>
      <c r="B167" s="120">
        <f>IFERROR(__xludf.DUMMYFUNCTION("""COMPUTED_VALUE"""),6.0)</f>
        <v>6</v>
      </c>
      <c r="C167" s="16" t="str">
        <f>IFERROR(__xludf.DUMMYFUNCTION("""COMPUTED_VALUE"""),"X")</f>
        <v>X</v>
      </c>
      <c r="D167" s="16"/>
      <c r="E167" s="16" t="str">
        <f>IFERROR(__xludf.DUMMYFUNCTION("""COMPUTED_VALUE"""),"Deals X*10 Delta damage per round to all enemies for 3 rounds where X is equal to SP spent.")</f>
        <v>Deals X*10 Delta damage per round to all enemies for 3 rounds where X is equal to SP spent.</v>
      </c>
      <c r="F167" s="16" t="str">
        <f>IFERROR(__xludf.DUMMYFUNCTION("""COMPUTED_VALUE"""),"Cannot Avoid")</f>
        <v>Cannot Avoid</v>
      </c>
      <c r="G167" s="16" t="str">
        <f>IFERROR(__xludf.DUMMYFUNCTION("""COMPUTED_VALUE"""),"All")</f>
        <v>All</v>
      </c>
      <c r="H167" s="16" t="str">
        <f>IFERROR(__xludf.DUMMYFUNCTION("""COMPUTED_VALUE"""),"Delta")</f>
        <v>Delta</v>
      </c>
      <c r="I167" s="16" t="str">
        <f>IFERROR(__xludf.DUMMYFUNCTION("""COMPUTED_VALUE"""),"Player")</f>
        <v>Player</v>
      </c>
      <c r="J167" s="16" t="b">
        <f>IFERROR(__xludf.DUMMYFUNCTION("""COMPUTED_VALUE"""),FALSE)</f>
        <v>0</v>
      </c>
      <c r="K167" s="16"/>
      <c r="L167" s="16" t="b">
        <f>IFERROR(__xludf.DUMMYFUNCTION("""COMPUTED_VALUE"""),FALSE)</f>
        <v>0</v>
      </c>
      <c r="M167" s="16" t="b">
        <f>IFERROR(__xludf.DUMMYFUNCTION("""COMPUTED_VALUE"""),FALSE)</f>
        <v>0</v>
      </c>
      <c r="N167" s="16"/>
    </row>
    <row r="168">
      <c r="A168" s="16" t="str">
        <f>IFERROR(__xludf.DUMMYFUNCTION("""COMPUTED_VALUE"""),"Ancient Monolith Of Earth")</f>
        <v>Ancient Monolith Of Earth</v>
      </c>
      <c r="B168" s="120">
        <f>IFERROR(__xludf.DUMMYFUNCTION("""COMPUTED_VALUE"""),9.0)</f>
        <v>9</v>
      </c>
      <c r="C168" s="16">
        <f>IFERROR(__xludf.DUMMYFUNCTION("""COMPUTED_VALUE"""),300.0)</f>
        <v>300</v>
      </c>
      <c r="D168" s="16"/>
      <c r="E168" s="16" t="str">
        <f>IFERROR(__xludf.DUMMYFUNCTION("""COMPUTED_VALUE"""),"X4 additional earth damage for caster and allies. Fire Immunity for caster only.")</f>
        <v>X4 additional earth damage for caster and allies. Fire Immunity for caster only.</v>
      </c>
      <c r="F168" s="16" t="str">
        <f>IFERROR(__xludf.DUMMYFUNCTION("""COMPUTED_VALUE"""),"Fail/Succeed")</f>
        <v>Fail/Succeed</v>
      </c>
      <c r="G168" s="16"/>
      <c r="H168" s="16" t="str">
        <f>IFERROR(__xludf.DUMMYFUNCTION("""COMPUTED_VALUE"""),"Earth")</f>
        <v>Earth</v>
      </c>
      <c r="I168" s="16" t="str">
        <f>IFERROR(__xludf.DUMMYFUNCTION("""COMPUTED_VALUE"""),"Player")</f>
        <v>Player</v>
      </c>
      <c r="J168" s="16" t="b">
        <f>IFERROR(__xludf.DUMMYFUNCTION("""COMPUTED_VALUE"""),FALSE)</f>
        <v>0</v>
      </c>
      <c r="K168" s="16"/>
      <c r="L168" s="16" t="b">
        <f>IFERROR(__xludf.DUMMYFUNCTION("""COMPUTED_VALUE"""),FALSE)</f>
        <v>0</v>
      </c>
      <c r="M168" s="16" t="b">
        <f>IFERROR(__xludf.DUMMYFUNCTION("""COMPUTED_VALUE"""),FALSE)</f>
        <v>0</v>
      </c>
      <c r="N168" s="16"/>
    </row>
    <row r="169">
      <c r="A169" s="16" t="str">
        <f>IFERROR(__xludf.DUMMYFUNCTION("""COMPUTED_VALUE"""),"Boulder Toss")</f>
        <v>Boulder Toss</v>
      </c>
      <c r="B169" s="120">
        <f>IFERROR(__xludf.DUMMYFUNCTION("""COMPUTED_VALUE"""),2.0)</f>
        <v>2</v>
      </c>
      <c r="C169" s="16">
        <f>IFERROR(__xludf.DUMMYFUNCTION("""COMPUTED_VALUE"""),20.0)</f>
        <v>20</v>
      </c>
      <c r="D169" s="16"/>
      <c r="E169" s="16" t="str">
        <f>IFERROR(__xludf.DUMMYFUNCTION("""COMPUTED_VALUE"""),"X Earth damage where X is equal to the users accuracy, and -2000 defense for the rest of battle.")</f>
        <v>X Earth damage where X is equal to the users accuracy, and -2000 defense for the rest of battle.</v>
      </c>
      <c r="F169" s="16" t="str">
        <f>IFERROR(__xludf.DUMMYFUNCTION("""COMPUTED_VALUE"""),"Hit/Miss")</f>
        <v>Hit/Miss</v>
      </c>
      <c r="G169" s="16">
        <f>IFERROR(__xludf.DUMMYFUNCTION("""COMPUTED_VALUE"""),1.0)</f>
        <v>1</v>
      </c>
      <c r="H169" s="16" t="str">
        <f>IFERROR(__xludf.DUMMYFUNCTION("""COMPUTED_VALUE"""),"Earth")</f>
        <v>Earth</v>
      </c>
      <c r="I169" s="16" t="str">
        <f>IFERROR(__xludf.DUMMYFUNCTION("""COMPUTED_VALUE"""),"Player")</f>
        <v>Player</v>
      </c>
      <c r="J169" s="16" t="b">
        <f>IFERROR(__xludf.DUMMYFUNCTION("""COMPUTED_VALUE"""),FALSE)</f>
        <v>0</v>
      </c>
      <c r="K169" s="16"/>
      <c r="L169" s="16" t="b">
        <f>IFERROR(__xludf.DUMMYFUNCTION("""COMPUTED_VALUE"""),FALSE)</f>
        <v>0</v>
      </c>
      <c r="M169" s="16" t="b">
        <f>IFERROR(__xludf.DUMMYFUNCTION("""COMPUTED_VALUE"""),FALSE)</f>
        <v>0</v>
      </c>
      <c r="N169" s="16"/>
    </row>
    <row r="170">
      <c r="A170" s="16" t="str">
        <f>IFERROR(__xludf.DUMMYFUNCTION("""COMPUTED_VALUE"""),"Calcife")</f>
        <v>Calcife</v>
      </c>
      <c r="B170" s="120">
        <f>IFERROR(__xludf.DUMMYFUNCTION("""COMPUTED_VALUE"""),4.0)</f>
        <v>4</v>
      </c>
      <c r="C170" s="16" t="str">
        <f>IFERROR(__xludf.DUMMYFUNCTION("""COMPUTED_VALUE"""),"X")</f>
        <v>X</v>
      </c>
      <c r="D170" s="16"/>
      <c r="E170" s="16" t="str">
        <f>IFERROR(__xludf.DUMMYFUNCTION("""COMPUTED_VALUE"""),"Target gains X*100 Earth damage and X*100 Earth resistance, can’t be used on self")</f>
        <v>Target gains X*100 Earth damage and X*100 Earth resistance, can’t be used on self</v>
      </c>
      <c r="F170" s="16" t="str">
        <f>IFERROR(__xludf.DUMMYFUNCTION("""COMPUTED_VALUE"""),"Fail/Succeed")</f>
        <v>Fail/Succeed</v>
      </c>
      <c r="G170" s="16"/>
      <c r="H170" s="16" t="str">
        <f>IFERROR(__xludf.DUMMYFUNCTION("""COMPUTED_VALUE"""),"Earth")</f>
        <v>Earth</v>
      </c>
      <c r="I170" s="16" t="str">
        <f>IFERROR(__xludf.DUMMYFUNCTION("""COMPUTED_VALUE"""),"Player")</f>
        <v>Player</v>
      </c>
      <c r="J170" s="16" t="b">
        <f>IFERROR(__xludf.DUMMYFUNCTION("""COMPUTED_VALUE"""),FALSE)</f>
        <v>0</v>
      </c>
      <c r="K170" s="16"/>
      <c r="L170" s="16" t="b">
        <f>IFERROR(__xludf.DUMMYFUNCTION("""COMPUTED_VALUE"""),FALSE)</f>
        <v>0</v>
      </c>
      <c r="M170" s="16" t="b">
        <f>IFERROR(__xludf.DUMMYFUNCTION("""COMPUTED_VALUE"""),FALSE)</f>
        <v>0</v>
      </c>
      <c r="N170" s="16"/>
    </row>
    <row r="171">
      <c r="A171" s="16" t="str">
        <f>IFERROR(__xludf.DUMMYFUNCTION("""COMPUTED_VALUE"""),"Calm Earth")</f>
        <v>Calm Earth</v>
      </c>
      <c r="B171" s="120">
        <f>IFERROR(__xludf.DUMMYFUNCTION("""COMPUTED_VALUE"""),7.0)</f>
        <v>7</v>
      </c>
      <c r="C171" s="16" t="str">
        <f>IFERROR(__xludf.DUMMYFUNCTION("""COMPUTED_VALUE"""),"X")</f>
        <v>X</v>
      </c>
      <c r="D171" s="16"/>
      <c r="E171" s="16" t="str">
        <f>IFERROR(__xludf.DUMMYFUNCTION("""COMPUTED_VALUE"""),"Makes an Earth enemy Non-Hostile. If all Earth enemies become Non-Hostile during the current battle, the battle ends.")</f>
        <v>Makes an Earth enemy Non-Hostile. If all Earth enemies become Non-Hostile during the current battle, the battle ends.</v>
      </c>
      <c r="F171" s="16" t="str">
        <f>IFERROR(__xludf.DUMMYFUNCTION("""COMPUTED_VALUE"""),"Fail/Succeed")</f>
        <v>Fail/Succeed</v>
      </c>
      <c r="G171" s="16"/>
      <c r="H171" s="16" t="str">
        <f>IFERROR(__xludf.DUMMYFUNCTION("""COMPUTED_VALUE"""),"Earth")</f>
        <v>Earth</v>
      </c>
      <c r="I171" s="16" t="str">
        <f>IFERROR(__xludf.DUMMYFUNCTION("""COMPUTED_VALUE"""),"Player")</f>
        <v>Player</v>
      </c>
      <c r="J171" s="16" t="b">
        <f>IFERROR(__xludf.DUMMYFUNCTION("""COMPUTED_VALUE"""),FALSE)</f>
        <v>0</v>
      </c>
      <c r="K171" s="16"/>
      <c r="L171" s="16" t="b">
        <f>IFERROR(__xludf.DUMMYFUNCTION("""COMPUTED_VALUE"""),FALSE)</f>
        <v>0</v>
      </c>
      <c r="M171" s="16" t="b">
        <f>IFERROR(__xludf.DUMMYFUNCTION("""COMPUTED_VALUE"""),FALSE)</f>
        <v>0</v>
      </c>
      <c r="N171" s="16"/>
    </row>
    <row r="172">
      <c r="A172" s="16" t="str">
        <f>IFERROR(__xludf.DUMMYFUNCTION("""COMPUTED_VALUE"""),"Dawn of Diamonds")</f>
        <v>Dawn of Diamonds</v>
      </c>
      <c r="B172" s="120">
        <f>IFERROR(__xludf.DUMMYFUNCTION("""COMPUTED_VALUE"""),1.0)</f>
        <v>1</v>
      </c>
      <c r="C172" s="16">
        <f>IFERROR(__xludf.DUMMYFUNCTION("""COMPUTED_VALUE"""),0.0)</f>
        <v>0</v>
      </c>
      <c r="D172" s="16"/>
      <c r="E172" s="16" t="str">
        <f>IFERROR(__xludf.DUMMYFUNCTION("""COMPUTED_VALUE"""),"X Earth, X Light, and X Dark damage to all enemies, where X is equal to the users accuracy. 50% chance to Half the damage of Dark and Light Spells to those targets.")</f>
        <v>X Earth, X Light, and X Dark damage to all enemies, where X is equal to the users accuracy. 50% chance to Half the damage of Dark and Light Spells to those targets.</v>
      </c>
      <c r="F172" s="16" t="str">
        <f>IFERROR(__xludf.DUMMYFUNCTION("""COMPUTED_VALUE"""),"Natural/Cannot Avoid")</f>
        <v>Natural/Cannot Avoid</v>
      </c>
      <c r="G172" s="16" t="str">
        <f>IFERROR(__xludf.DUMMYFUNCTION("""COMPUTED_VALUE"""),"All")</f>
        <v>All</v>
      </c>
      <c r="H172" s="16" t="str">
        <f>IFERROR(__xludf.DUMMYFUNCTION("""COMPUTED_VALUE"""),"Earth")</f>
        <v>Earth</v>
      </c>
      <c r="I172" s="16" t="str">
        <f>IFERROR(__xludf.DUMMYFUNCTION("""COMPUTED_VALUE"""),"Mob")</f>
        <v>Mob</v>
      </c>
      <c r="J172" s="16" t="b">
        <f>IFERROR(__xludf.DUMMYFUNCTION("""COMPUTED_VALUE"""),TRUE)</f>
        <v>1</v>
      </c>
      <c r="K172" s="16"/>
      <c r="L172" s="16" t="b">
        <f>IFERROR(__xludf.DUMMYFUNCTION("""COMPUTED_VALUE"""),FALSE)</f>
        <v>0</v>
      </c>
      <c r="M172" s="16" t="b">
        <f>IFERROR(__xludf.DUMMYFUNCTION("""COMPUTED_VALUE"""),FALSE)</f>
        <v>0</v>
      </c>
      <c r="N172" s="16"/>
    </row>
    <row r="173">
      <c r="A173" s="16" t="str">
        <f>IFERROR(__xludf.DUMMYFUNCTION("""COMPUTED_VALUE"""),"Dusk of Diamonds")</f>
        <v>Dusk of Diamonds</v>
      </c>
      <c r="B173" s="120">
        <f>IFERROR(__xludf.DUMMYFUNCTION("""COMPUTED_VALUE"""),1.0)</f>
        <v>1</v>
      </c>
      <c r="C173" s="16">
        <f>IFERROR(__xludf.DUMMYFUNCTION("""COMPUTED_VALUE"""),0.0)</f>
        <v>0</v>
      </c>
      <c r="D173" s="16"/>
      <c r="E173" s="16" t="str">
        <f>IFERROR(__xludf.DUMMYFUNCTION("""COMPUTED_VALUE"""),"10,000 Earth and 10,000 Dark damage to all enemies. 50% chance of Blidness 3, 50% Slowness 3")</f>
        <v>10,000 Earth and 10,000 Dark damage to all enemies. 50% chance of Blidness 3, 50% Slowness 3</v>
      </c>
      <c r="F173" s="16" t="str">
        <f>IFERROR(__xludf.DUMMYFUNCTION("""COMPUTED_VALUE"""),"Natural/Cannot Avoid")</f>
        <v>Natural/Cannot Avoid</v>
      </c>
      <c r="G173" s="16" t="str">
        <f>IFERROR(__xludf.DUMMYFUNCTION("""COMPUTED_VALUE"""),"All")</f>
        <v>All</v>
      </c>
      <c r="H173" s="16" t="str">
        <f>IFERROR(__xludf.DUMMYFUNCTION("""COMPUTED_VALUE"""),"Earth")</f>
        <v>Earth</v>
      </c>
      <c r="I173" s="16" t="str">
        <f>IFERROR(__xludf.DUMMYFUNCTION("""COMPUTED_VALUE"""),"Mob")</f>
        <v>Mob</v>
      </c>
      <c r="J173" s="16" t="b">
        <f>IFERROR(__xludf.DUMMYFUNCTION("""COMPUTED_VALUE"""),TRUE)</f>
        <v>1</v>
      </c>
      <c r="K173" s="16"/>
      <c r="L173" s="16" t="b">
        <f>IFERROR(__xludf.DUMMYFUNCTION("""COMPUTED_VALUE"""),FALSE)</f>
        <v>0</v>
      </c>
      <c r="M173" s="16" t="b">
        <f>IFERROR(__xludf.DUMMYFUNCTION("""COMPUTED_VALUE"""),FALSE)</f>
        <v>0</v>
      </c>
      <c r="N173" s="16"/>
    </row>
    <row r="174">
      <c r="A174" s="16" t="str">
        <f>IFERROR(__xludf.DUMMYFUNCTION("""COMPUTED_VALUE"""),"Earth Punch")</f>
        <v>Earth Punch</v>
      </c>
      <c r="B174" s="120">
        <f>IFERROR(__xludf.DUMMYFUNCTION("""COMPUTED_VALUE"""),1.0)</f>
        <v>1</v>
      </c>
      <c r="C174" s="16">
        <f>IFERROR(__xludf.DUMMYFUNCTION("""COMPUTED_VALUE"""),0.0)</f>
        <v>0</v>
      </c>
      <c r="D174" s="16"/>
      <c r="E174" s="16" t="str">
        <f>IFERROR(__xludf.DUMMYFUNCTION("""COMPUTED_VALUE"""),"X*4 Earth damage where X is equal to the users attack, 25% chance this attack hits again.")</f>
        <v>X*4 Earth damage where X is equal to the users attack, 25% chance this attack hits again.</v>
      </c>
      <c r="F174" s="16" t="str">
        <f>IFERROR(__xludf.DUMMYFUNCTION("""COMPUTED_VALUE"""),"Natural/Hit or Miss")</f>
        <v>Natural/Hit or Miss</v>
      </c>
      <c r="G174" s="16">
        <f>IFERROR(__xludf.DUMMYFUNCTION("""COMPUTED_VALUE"""),1.0)</f>
        <v>1</v>
      </c>
      <c r="H174" s="16" t="str">
        <f>IFERROR(__xludf.DUMMYFUNCTION("""COMPUTED_VALUE"""),"Earth")</f>
        <v>Earth</v>
      </c>
      <c r="I174" s="16" t="str">
        <f>IFERROR(__xludf.DUMMYFUNCTION("""COMPUTED_VALUE"""),"Mob")</f>
        <v>Mob</v>
      </c>
      <c r="J174" s="16" t="b">
        <f>IFERROR(__xludf.DUMMYFUNCTION("""COMPUTED_VALUE"""),TRUE)</f>
        <v>1</v>
      </c>
      <c r="K174" s="16"/>
      <c r="L174" s="16" t="b">
        <f>IFERROR(__xludf.DUMMYFUNCTION("""COMPUTED_VALUE"""),FALSE)</f>
        <v>0</v>
      </c>
      <c r="M174" s="16" t="b">
        <f>IFERROR(__xludf.DUMMYFUNCTION("""COMPUTED_VALUE"""),FALSE)</f>
        <v>0</v>
      </c>
      <c r="N174" s="16"/>
    </row>
    <row r="175">
      <c r="A175" s="16" t="str">
        <f>IFERROR(__xludf.DUMMYFUNCTION("""COMPUTED_VALUE"""),"Energizing Emerald Pulse")</f>
        <v>Energizing Emerald Pulse</v>
      </c>
      <c r="B175" s="120">
        <f>IFERROR(__xludf.DUMMYFUNCTION("""COMPUTED_VALUE"""),1.0)</f>
        <v>1</v>
      </c>
      <c r="C175" s="16">
        <f>IFERROR(__xludf.DUMMYFUNCTION("""COMPUTED_VALUE"""),0.0)</f>
        <v>0</v>
      </c>
      <c r="D175" s="16"/>
      <c r="E175" s="16" t="str">
        <f>IFERROR(__xludf.DUMMYFUNCTION("""COMPUTED_VALUE"""),"10,000 Earth and 10,000 Nature damage to all enemies. Poison 5,000. 50% to heal the caster equal to half its max hp.")</f>
        <v>10,000 Earth and 10,000 Nature damage to all enemies. Poison 5,000. 50% to heal the caster equal to half its max hp.</v>
      </c>
      <c r="F175" s="16" t="str">
        <f>IFERROR(__xludf.DUMMYFUNCTION("""COMPUTED_VALUE"""),"Natural/Cannot Avoid")</f>
        <v>Natural/Cannot Avoid</v>
      </c>
      <c r="G175" s="16" t="str">
        <f>IFERROR(__xludf.DUMMYFUNCTION("""COMPUTED_VALUE"""),"All")</f>
        <v>All</v>
      </c>
      <c r="H175" s="16" t="str">
        <f>IFERROR(__xludf.DUMMYFUNCTION("""COMPUTED_VALUE"""),"Earth")</f>
        <v>Earth</v>
      </c>
      <c r="I175" s="16" t="str">
        <f>IFERROR(__xludf.DUMMYFUNCTION("""COMPUTED_VALUE"""),"Mob")</f>
        <v>Mob</v>
      </c>
      <c r="J175" s="16" t="b">
        <f>IFERROR(__xludf.DUMMYFUNCTION("""COMPUTED_VALUE"""),TRUE)</f>
        <v>1</v>
      </c>
      <c r="K175" s="16"/>
      <c r="L175" s="16" t="b">
        <f>IFERROR(__xludf.DUMMYFUNCTION("""COMPUTED_VALUE"""),FALSE)</f>
        <v>0</v>
      </c>
      <c r="M175" s="16" t="b">
        <f>IFERROR(__xludf.DUMMYFUNCTION("""COMPUTED_VALUE"""),FALSE)</f>
        <v>0</v>
      </c>
      <c r="N175" s="16"/>
    </row>
    <row r="176">
      <c r="A176" s="16" t="str">
        <f>IFERROR(__xludf.DUMMYFUNCTION("""COMPUTED_VALUE"""),"Landslide")</f>
        <v>Landslide</v>
      </c>
      <c r="B176" s="120">
        <f>IFERROR(__xludf.DUMMYFUNCTION("""COMPUTED_VALUE"""),9.0)</f>
        <v>9</v>
      </c>
      <c r="C176" s="16">
        <f>IFERROR(__xludf.DUMMYFUNCTION("""COMPUTED_VALUE"""),1500.0)</f>
        <v>1500</v>
      </c>
      <c r="D176" s="16"/>
      <c r="E176" s="16" t="str">
        <f>IFERROR(__xludf.DUMMYFUNCTION("""COMPUTED_VALUE"""),"20,000 Undefendable Earth damage. 50% chance of instant death.")</f>
        <v>20,000 Undefendable Earth damage. 50% chance of instant death.</v>
      </c>
      <c r="F176" s="16" t="str">
        <f>IFERROR(__xludf.DUMMYFUNCTION("""COMPUTED_VALUE"""),"Cannot Avoid")</f>
        <v>Cannot Avoid</v>
      </c>
      <c r="G176" s="16">
        <f>IFERROR(__xludf.DUMMYFUNCTION("""COMPUTED_VALUE"""),1.0)</f>
        <v>1</v>
      </c>
      <c r="H176" s="16" t="str">
        <f>IFERROR(__xludf.DUMMYFUNCTION("""COMPUTED_VALUE"""),"Earth")</f>
        <v>Earth</v>
      </c>
      <c r="I176" s="16" t="str">
        <f>IFERROR(__xludf.DUMMYFUNCTION("""COMPUTED_VALUE"""),"Player")</f>
        <v>Player</v>
      </c>
      <c r="J176" s="16" t="b">
        <f>IFERROR(__xludf.DUMMYFUNCTION("""COMPUTED_VALUE"""),FALSE)</f>
        <v>0</v>
      </c>
      <c r="K176" s="16"/>
      <c r="L176" s="16" t="b">
        <f>IFERROR(__xludf.DUMMYFUNCTION("""COMPUTED_VALUE"""),FALSE)</f>
        <v>0</v>
      </c>
      <c r="M176" s="16" t="b">
        <f>IFERROR(__xludf.DUMMYFUNCTION("""COMPUTED_VALUE"""),FALSE)</f>
        <v>0</v>
      </c>
      <c r="N176" s="16"/>
    </row>
    <row r="177">
      <c r="A177" s="16" t="str">
        <f>IFERROR(__xludf.DUMMYFUNCTION("""COMPUTED_VALUE"""),"Molten Bolder Toss")</f>
        <v>Molten Bolder Toss</v>
      </c>
      <c r="B177" s="120">
        <f>IFERROR(__xludf.DUMMYFUNCTION("""COMPUTED_VALUE"""),1.0)</f>
        <v>1</v>
      </c>
      <c r="C177" s="16">
        <f>IFERROR(__xludf.DUMMYFUNCTION("""COMPUTED_VALUE"""),0.0)</f>
        <v>0</v>
      </c>
      <c r="D177" s="16"/>
      <c r="E177" s="16" t="str">
        <f>IFERROR(__xludf.DUMMYFUNCTION("""COMPUTED_VALUE"""),"20,000 Earth and 20,000 Fire damage. Ignores Defense. Lowers an enemy's defense by half.")</f>
        <v>20,000 Earth and 20,000 Fire damage. Ignores Defense. Lowers an enemy's defense by half.</v>
      </c>
      <c r="F177" s="16" t="str">
        <f>IFERROR(__xludf.DUMMYFUNCTION("""COMPUTED_VALUE"""),"Natural/Hit or Miss")</f>
        <v>Natural/Hit or Miss</v>
      </c>
      <c r="G177" s="16">
        <f>IFERROR(__xludf.DUMMYFUNCTION("""COMPUTED_VALUE"""),1.0)</f>
        <v>1</v>
      </c>
      <c r="H177" s="16" t="str">
        <f>IFERROR(__xludf.DUMMYFUNCTION("""COMPUTED_VALUE"""),"Earth")</f>
        <v>Earth</v>
      </c>
      <c r="I177" s="16" t="str">
        <f>IFERROR(__xludf.DUMMYFUNCTION("""COMPUTED_VALUE"""),"Mob")</f>
        <v>Mob</v>
      </c>
      <c r="J177" s="16" t="b">
        <f>IFERROR(__xludf.DUMMYFUNCTION("""COMPUTED_VALUE"""),TRUE)</f>
        <v>1</v>
      </c>
      <c r="K177" s="16"/>
      <c r="L177" s="16" t="b">
        <f>IFERROR(__xludf.DUMMYFUNCTION("""COMPUTED_VALUE"""),FALSE)</f>
        <v>0</v>
      </c>
      <c r="M177" s="16" t="b">
        <f>IFERROR(__xludf.DUMMYFUNCTION("""COMPUTED_VALUE"""),FALSE)</f>
        <v>0</v>
      </c>
      <c r="N177" s="16"/>
    </row>
    <row r="178">
      <c r="A178" s="16" t="str">
        <f>IFERROR(__xludf.DUMMYFUNCTION("""COMPUTED_VALUE"""),"Molten Ruby Spikes")</f>
        <v>Molten Ruby Spikes</v>
      </c>
      <c r="B178" s="120">
        <f>IFERROR(__xludf.DUMMYFUNCTION("""COMPUTED_VALUE"""),1.0)</f>
        <v>1</v>
      </c>
      <c r="C178" s="16">
        <f>IFERROR(__xludf.DUMMYFUNCTION("""COMPUTED_VALUE"""),0.0)</f>
        <v>0</v>
      </c>
      <c r="D178" s="16"/>
      <c r="E178" s="16" t="str">
        <f>IFERROR(__xludf.DUMMYFUNCTION("""COMPUTED_VALUE"""),"10,000 Earth and 10,000 Fire damage to all enemies. 5,000 Fire damage p/r to those targets.")</f>
        <v>10,000 Earth and 10,000 Fire damage to all enemies. 5,000 Fire damage p/r to those targets.</v>
      </c>
      <c r="F178" s="16" t="str">
        <f>IFERROR(__xludf.DUMMYFUNCTION("""COMPUTED_VALUE"""),"Natural/Cannot Avoid")</f>
        <v>Natural/Cannot Avoid</v>
      </c>
      <c r="G178" s="16" t="str">
        <f>IFERROR(__xludf.DUMMYFUNCTION("""COMPUTED_VALUE"""),"All")</f>
        <v>All</v>
      </c>
      <c r="H178" s="16" t="str">
        <f>IFERROR(__xludf.DUMMYFUNCTION("""COMPUTED_VALUE"""),"Earth")</f>
        <v>Earth</v>
      </c>
      <c r="I178" s="16" t="str">
        <f>IFERROR(__xludf.DUMMYFUNCTION("""COMPUTED_VALUE"""),"Mob")</f>
        <v>Mob</v>
      </c>
      <c r="J178" s="16" t="b">
        <f>IFERROR(__xludf.DUMMYFUNCTION("""COMPUTED_VALUE"""),TRUE)</f>
        <v>1</v>
      </c>
      <c r="K178" s="16"/>
      <c r="L178" s="16" t="b">
        <f>IFERROR(__xludf.DUMMYFUNCTION("""COMPUTED_VALUE"""),FALSE)</f>
        <v>0</v>
      </c>
      <c r="M178" s="16" t="b">
        <f>IFERROR(__xludf.DUMMYFUNCTION("""COMPUTED_VALUE"""),FALSE)</f>
        <v>0</v>
      </c>
      <c r="N178" s="16"/>
    </row>
    <row r="179">
      <c r="A179" s="16" t="str">
        <f>IFERROR(__xludf.DUMMYFUNCTION("""COMPUTED_VALUE"""),"Mountain Formation")</f>
        <v>Mountain Formation</v>
      </c>
      <c r="B179" s="120">
        <f>IFERROR(__xludf.DUMMYFUNCTION("""COMPUTED_VALUE"""),5.0)</f>
        <v>5</v>
      </c>
      <c r="C179" s="16">
        <f>IFERROR(__xludf.DUMMYFUNCTION("""COMPUTED_VALUE"""),50.0)</f>
        <v>50</v>
      </c>
      <c r="D179" s="16"/>
      <c r="E179" s="16" t="str">
        <f>IFERROR(__xludf.DUMMYFUNCTION("""COMPUTED_VALUE"""),"X2 additional earth damage and X4 defense for self and allies.")</f>
        <v>X2 additional earth damage and X4 defense for self and allies.</v>
      </c>
      <c r="F179" s="16" t="str">
        <f>IFERROR(__xludf.DUMMYFUNCTION("""COMPUTED_VALUE"""),"Will Succeed")</f>
        <v>Will Succeed</v>
      </c>
      <c r="G179" s="16"/>
      <c r="H179" s="16" t="str">
        <f>IFERROR(__xludf.DUMMYFUNCTION("""COMPUTED_VALUE"""),"Earth")</f>
        <v>Earth</v>
      </c>
      <c r="I179" s="16" t="str">
        <f>IFERROR(__xludf.DUMMYFUNCTION("""COMPUTED_VALUE"""),"Player")</f>
        <v>Player</v>
      </c>
      <c r="J179" s="16" t="b">
        <f>IFERROR(__xludf.DUMMYFUNCTION("""COMPUTED_VALUE"""),FALSE)</f>
        <v>0</v>
      </c>
      <c r="K179" s="16"/>
      <c r="L179" s="16" t="b">
        <f>IFERROR(__xludf.DUMMYFUNCTION("""COMPUTED_VALUE"""),FALSE)</f>
        <v>0</v>
      </c>
      <c r="M179" s="16" t="b">
        <f>IFERROR(__xludf.DUMMYFUNCTION("""COMPUTED_VALUE"""),FALSE)</f>
        <v>0</v>
      </c>
      <c r="N179" s="16"/>
    </row>
    <row r="180">
      <c r="A180" s="16" t="str">
        <f>IFERROR(__xludf.DUMMYFUNCTION("""COMPUTED_VALUE"""),"Mud Sling")</f>
        <v>Mud Sling</v>
      </c>
      <c r="B180" s="120">
        <f>IFERROR(__xludf.DUMMYFUNCTION("""COMPUTED_VALUE"""),1.0)</f>
        <v>1</v>
      </c>
      <c r="C180" s="16">
        <f>IFERROR(__xludf.DUMMYFUNCTION("""COMPUTED_VALUE"""),10.0)</f>
        <v>10</v>
      </c>
      <c r="D180" s="16"/>
      <c r="E180" s="16" t="str">
        <f>IFERROR(__xludf.DUMMYFUNCTION("""COMPUTED_VALUE"""),"50% chance target skips next turn and inflicts them with slowness 3.")</f>
        <v>50% chance target skips next turn and inflicts them with slowness 3.</v>
      </c>
      <c r="F180" s="16" t="str">
        <f>IFERROR(__xludf.DUMMYFUNCTION("""COMPUTED_VALUE"""),"Fail/Succeed")</f>
        <v>Fail/Succeed</v>
      </c>
      <c r="G180" s="16"/>
      <c r="H180" s="16" t="str">
        <f>IFERROR(__xludf.DUMMYFUNCTION("""COMPUTED_VALUE"""),"Earth")</f>
        <v>Earth</v>
      </c>
      <c r="I180" s="16" t="str">
        <f>IFERROR(__xludf.DUMMYFUNCTION("""COMPUTED_VALUE"""),"Player")</f>
        <v>Player</v>
      </c>
      <c r="J180" s="16" t="b">
        <f>IFERROR(__xludf.DUMMYFUNCTION("""COMPUTED_VALUE"""),FALSE)</f>
        <v>0</v>
      </c>
      <c r="K180" s="16"/>
      <c r="L180" s="16" t="b">
        <f>IFERROR(__xludf.DUMMYFUNCTION("""COMPUTED_VALUE"""),FALSE)</f>
        <v>0</v>
      </c>
      <c r="M180" s="16" t="b">
        <f>IFERROR(__xludf.DUMMYFUNCTION("""COMPUTED_VALUE"""),FALSE)</f>
        <v>0</v>
      </c>
      <c r="N180" s="16"/>
    </row>
    <row r="181">
      <c r="A181" s="16" t="str">
        <f>IFERROR(__xludf.DUMMYFUNCTION("""COMPUTED_VALUE"""),"Mud Wave")</f>
        <v>Mud Wave</v>
      </c>
      <c r="B181" s="120">
        <f>IFERROR(__xludf.DUMMYFUNCTION("""COMPUTED_VALUE"""),9.0)</f>
        <v>9</v>
      </c>
      <c r="C181" s="16">
        <f>IFERROR(__xludf.DUMMYFUNCTION("""COMPUTED_VALUE"""),400.0)</f>
        <v>400</v>
      </c>
      <c r="D181" s="16"/>
      <c r="E181" s="16" t="str">
        <f>IFERROR(__xludf.DUMMYFUNCTION("""COMPUTED_VALUE"""),"A wave of mud that washes over all enemies. All enemies will skip their next turn and be inflicted with slowness 3.")</f>
        <v>A wave of mud that washes over all enemies. All enemies will skip their next turn and be inflicted with slowness 3.</v>
      </c>
      <c r="F181" s="16" t="str">
        <f>IFERROR(__xludf.DUMMYFUNCTION("""COMPUTED_VALUE"""),"Fail/Succeed")</f>
        <v>Fail/Succeed</v>
      </c>
      <c r="G181" s="16" t="str">
        <f>IFERROR(__xludf.DUMMYFUNCTION("""COMPUTED_VALUE"""),"All")</f>
        <v>All</v>
      </c>
      <c r="H181" s="16" t="str">
        <f>IFERROR(__xludf.DUMMYFUNCTION("""COMPUTED_VALUE"""),"Earth")</f>
        <v>Earth</v>
      </c>
      <c r="I181" s="16" t="str">
        <f>IFERROR(__xludf.DUMMYFUNCTION("""COMPUTED_VALUE"""),"Player")</f>
        <v>Player</v>
      </c>
      <c r="J181" s="16" t="b">
        <f>IFERROR(__xludf.DUMMYFUNCTION("""COMPUTED_VALUE"""),FALSE)</f>
        <v>0</v>
      </c>
      <c r="K181" s="16"/>
      <c r="L181" s="16" t="b">
        <f>IFERROR(__xludf.DUMMYFUNCTION("""COMPUTED_VALUE"""),FALSE)</f>
        <v>0</v>
      </c>
      <c r="M181" s="16" t="b">
        <f>IFERROR(__xludf.DUMMYFUNCTION("""COMPUTED_VALUE"""),FALSE)</f>
        <v>0</v>
      </c>
      <c r="N181" s="16"/>
    </row>
    <row r="182">
      <c r="A182" s="16" t="str">
        <f>IFERROR(__xludf.DUMMYFUNCTION("""COMPUTED_VALUE"""),"Quicksand")</f>
        <v>Quicksand</v>
      </c>
      <c r="B182" s="120">
        <f>IFERROR(__xludf.DUMMYFUNCTION("""COMPUTED_VALUE"""),8.0)</f>
        <v>8</v>
      </c>
      <c r="C182" s="16" t="str">
        <f>IFERROR(__xludf.DUMMYFUNCTION("""COMPUTED_VALUE"""),"X*10")</f>
        <v>X*10</v>
      </c>
      <c r="D182" s="16"/>
      <c r="E182" s="16" t="str">
        <f>IFERROR(__xludf.DUMMYFUNCTION("""COMPUTED_VALUE"""),"Instantly kills all enemies. The % chance of instant death is XSP.")</f>
        <v>Instantly kills all enemies. The % chance of instant death is XSP.</v>
      </c>
      <c r="F182" s="16" t="str">
        <f>IFERROR(__xludf.DUMMYFUNCTION("""COMPUTED_VALUE"""),"Fail/Succeed")</f>
        <v>Fail/Succeed</v>
      </c>
      <c r="G182" s="16"/>
      <c r="H182" s="16" t="str">
        <f>IFERROR(__xludf.DUMMYFUNCTION("""COMPUTED_VALUE"""),"Earth")</f>
        <v>Earth</v>
      </c>
      <c r="I182" s="16" t="str">
        <f>IFERROR(__xludf.DUMMYFUNCTION("""COMPUTED_VALUE"""),"Player")</f>
        <v>Player</v>
      </c>
      <c r="J182" s="16" t="b">
        <f>IFERROR(__xludf.DUMMYFUNCTION("""COMPUTED_VALUE"""),FALSE)</f>
        <v>0</v>
      </c>
      <c r="K182" s="16"/>
      <c r="L182" s="16" t="b">
        <f>IFERROR(__xludf.DUMMYFUNCTION("""COMPUTED_VALUE"""),FALSE)</f>
        <v>0</v>
      </c>
      <c r="M182" s="16" t="b">
        <f>IFERROR(__xludf.DUMMYFUNCTION("""COMPUTED_VALUE"""),FALSE)</f>
        <v>0</v>
      </c>
      <c r="N182" s="16"/>
    </row>
    <row r="183">
      <c r="A183" s="16" t="str">
        <f>IFERROR(__xludf.DUMMYFUNCTION("""COMPUTED_VALUE"""),"Rock Cycle")</f>
        <v>Rock Cycle</v>
      </c>
      <c r="B183" s="120">
        <f>IFERROR(__xludf.DUMMYFUNCTION("""COMPUTED_VALUE"""),9.0)</f>
        <v>9</v>
      </c>
      <c r="C183" s="16">
        <f>IFERROR(__xludf.DUMMYFUNCTION("""COMPUTED_VALUE"""),300.0)</f>
        <v>300</v>
      </c>
      <c r="D183" s="16"/>
      <c r="E183" s="16" t="str">
        <f>IFERROR(__xludf.DUMMYFUNCTION("""COMPUTED_VALUE"""),"Become unaffected by status effects, spells and weapons for 3 rounds.")</f>
        <v>Become unaffected by status effects, spells and weapons for 3 rounds.</v>
      </c>
      <c r="F183" s="16" t="str">
        <f>IFERROR(__xludf.DUMMYFUNCTION("""COMPUTED_VALUE"""),"Fail/Succeed")</f>
        <v>Fail/Succeed</v>
      </c>
      <c r="G183" s="16"/>
      <c r="H183" s="16" t="str">
        <f>IFERROR(__xludf.DUMMYFUNCTION("""COMPUTED_VALUE"""),"Earth")</f>
        <v>Earth</v>
      </c>
      <c r="I183" s="16" t="str">
        <f>IFERROR(__xludf.DUMMYFUNCTION("""COMPUTED_VALUE"""),"Player")</f>
        <v>Player</v>
      </c>
      <c r="J183" s="16" t="b">
        <f>IFERROR(__xludf.DUMMYFUNCTION("""COMPUTED_VALUE"""),FALSE)</f>
        <v>0</v>
      </c>
      <c r="K183" s="16"/>
      <c r="L183" s="16" t="b">
        <f>IFERROR(__xludf.DUMMYFUNCTION("""COMPUTED_VALUE"""),FALSE)</f>
        <v>0</v>
      </c>
      <c r="M183" s="16" t="b">
        <f>IFERROR(__xludf.DUMMYFUNCTION("""COMPUTED_VALUE"""),FALSE)</f>
        <v>0</v>
      </c>
      <c r="N183" s="16"/>
    </row>
    <row r="184">
      <c r="A184" s="16" t="str">
        <f>IFERROR(__xludf.DUMMYFUNCTION("""COMPUTED_VALUE"""),"Rock Missiles")</f>
        <v>Rock Missiles</v>
      </c>
      <c r="B184" s="120">
        <f>IFERROR(__xludf.DUMMYFUNCTION("""COMPUTED_VALUE"""),9.0)</f>
        <v>9</v>
      </c>
      <c r="C184" s="16">
        <f>IFERROR(__xludf.DUMMYFUNCTION("""COMPUTED_VALUE"""),5000.0)</f>
        <v>5000</v>
      </c>
      <c r="D184" s="16"/>
      <c r="E184" s="16" t="str">
        <f>IFERROR(__xludf.DUMMYFUNCTION("""COMPUTED_VALUE"""),"10,000 earth damage to all enemies lowering their defense by 50,000.")</f>
        <v>10,000 earth damage to all enemies lowering their defense by 50,000.</v>
      </c>
      <c r="F184" s="16" t="str">
        <f>IFERROR(__xludf.DUMMYFUNCTION("""COMPUTED_VALUE"""),"Cannot Avoid")</f>
        <v>Cannot Avoid</v>
      </c>
      <c r="G184" s="16" t="str">
        <f>IFERROR(__xludf.DUMMYFUNCTION("""COMPUTED_VALUE"""),"All")</f>
        <v>All</v>
      </c>
      <c r="H184" s="16" t="str">
        <f>IFERROR(__xludf.DUMMYFUNCTION("""COMPUTED_VALUE"""),"Earth")</f>
        <v>Earth</v>
      </c>
      <c r="I184" s="16" t="str">
        <f>IFERROR(__xludf.DUMMYFUNCTION("""COMPUTED_VALUE"""),"Mob")</f>
        <v>Mob</v>
      </c>
      <c r="J184" s="16" t="b">
        <f>IFERROR(__xludf.DUMMYFUNCTION("""COMPUTED_VALUE"""),TRUE)</f>
        <v>1</v>
      </c>
      <c r="K184" s="16"/>
      <c r="L184" s="16" t="b">
        <f>IFERROR(__xludf.DUMMYFUNCTION("""COMPUTED_VALUE"""),FALSE)</f>
        <v>0</v>
      </c>
      <c r="M184" s="16" t="b">
        <f>IFERROR(__xludf.DUMMYFUNCTION("""COMPUTED_VALUE"""),FALSE)</f>
        <v>0</v>
      </c>
      <c r="N184" s="16"/>
    </row>
    <row r="185">
      <c r="A185" s="16" t="str">
        <f>IFERROR(__xludf.DUMMYFUNCTION("""COMPUTED_VALUE"""),"Sand Hole")</f>
        <v>Sand Hole</v>
      </c>
      <c r="B185" s="120">
        <f>IFERROR(__xludf.DUMMYFUNCTION("""COMPUTED_VALUE"""),7.0)</f>
        <v>7</v>
      </c>
      <c r="C185" s="16">
        <f>IFERROR(__xludf.DUMMYFUNCTION("""COMPUTED_VALUE"""),5000.0)</f>
        <v>5000</v>
      </c>
      <c r="D185" s="16"/>
      <c r="E185" s="16" t="str">
        <f>IFERROR(__xludf.DUMMYFUNCTION("""COMPUTED_VALUE"""),"50% chance of instant death to all enemies.")</f>
        <v>50% chance of instant death to all enemies.</v>
      </c>
      <c r="F185" s="16" t="str">
        <f>IFERROR(__xludf.DUMMYFUNCTION("""COMPUTED_VALUE"""),"Fail/Succeed")</f>
        <v>Fail/Succeed</v>
      </c>
      <c r="G185" s="16" t="str">
        <f>IFERROR(__xludf.DUMMYFUNCTION("""COMPUTED_VALUE"""),"All")</f>
        <v>All</v>
      </c>
      <c r="H185" s="16" t="str">
        <f>IFERROR(__xludf.DUMMYFUNCTION("""COMPUTED_VALUE"""),"Earth")</f>
        <v>Earth</v>
      </c>
      <c r="I185" s="16" t="str">
        <f>IFERROR(__xludf.DUMMYFUNCTION("""COMPUTED_VALUE"""),"Mob")</f>
        <v>Mob</v>
      </c>
      <c r="J185" s="16" t="b">
        <f>IFERROR(__xludf.DUMMYFUNCTION("""COMPUTED_VALUE"""),TRUE)</f>
        <v>1</v>
      </c>
      <c r="K185" s="16"/>
      <c r="L185" s="16" t="b">
        <f>IFERROR(__xludf.DUMMYFUNCTION("""COMPUTED_VALUE"""),FALSE)</f>
        <v>0</v>
      </c>
      <c r="M185" s="16" t="b">
        <f>IFERROR(__xludf.DUMMYFUNCTION("""COMPUTED_VALUE"""),FALSE)</f>
        <v>0</v>
      </c>
      <c r="N185" s="16"/>
    </row>
    <row r="186">
      <c r="A186" s="16" t="str">
        <f>IFERROR(__xludf.DUMMYFUNCTION("""COMPUTED_VALUE"""),"Sandstorm")</f>
        <v>Sandstorm</v>
      </c>
      <c r="B186" s="120">
        <f>IFERROR(__xludf.DUMMYFUNCTION("""COMPUTED_VALUE"""),9.0)</f>
        <v>9</v>
      </c>
      <c r="C186" s="16">
        <f>IFERROR(__xludf.DUMMYFUNCTION("""COMPUTED_VALUE"""),300.0)</f>
        <v>300</v>
      </c>
      <c r="D186" s="16"/>
      <c r="E186" s="16" t="str">
        <f>IFERROR(__xludf.DUMMYFUNCTION("""COMPUTED_VALUE"""),"20,000 Earth damage to all enemies, 25% chance of Blindness 3, and Slowness 3.")</f>
        <v>20,000 Earth damage to all enemies, 25% chance of Blindness 3, and Slowness 3.</v>
      </c>
      <c r="F186" s="16" t="str">
        <f>IFERROR(__xludf.DUMMYFUNCTION("""COMPUTED_VALUE"""),"Cannot Avoid")</f>
        <v>Cannot Avoid</v>
      </c>
      <c r="G186" s="16" t="str">
        <f>IFERROR(__xludf.DUMMYFUNCTION("""COMPUTED_VALUE"""),"All")</f>
        <v>All</v>
      </c>
      <c r="H186" s="16" t="str">
        <f>IFERROR(__xludf.DUMMYFUNCTION("""COMPUTED_VALUE"""),"Earth")</f>
        <v>Earth</v>
      </c>
      <c r="I186" s="16" t="str">
        <f>IFERROR(__xludf.DUMMYFUNCTION("""COMPUTED_VALUE"""),"Player")</f>
        <v>Player</v>
      </c>
      <c r="J186" s="16" t="b">
        <f>IFERROR(__xludf.DUMMYFUNCTION("""COMPUTED_VALUE"""),FALSE)</f>
        <v>0</v>
      </c>
      <c r="K186" s="16"/>
      <c r="L186" s="16" t="b">
        <f>IFERROR(__xludf.DUMMYFUNCTION("""COMPUTED_VALUE"""),FALSE)</f>
        <v>0</v>
      </c>
      <c r="M186" s="16" t="b">
        <f>IFERROR(__xludf.DUMMYFUNCTION("""COMPUTED_VALUE"""),FALSE)</f>
        <v>0</v>
      </c>
      <c r="N186" s="16"/>
    </row>
    <row r="187">
      <c r="A187" s="16" t="str">
        <f>IFERROR(__xludf.DUMMYFUNCTION("""COMPUTED_VALUE"""),"Searing Saphire Strike")</f>
        <v>Searing Saphire Strike</v>
      </c>
      <c r="B187" s="120">
        <f>IFERROR(__xludf.DUMMYFUNCTION("""COMPUTED_VALUE"""),0.0)</f>
        <v>0</v>
      </c>
      <c r="C187" s="16">
        <f>IFERROR(__xludf.DUMMYFUNCTION("""COMPUTED_VALUE"""),0.0)</f>
        <v>0</v>
      </c>
      <c r="D187" s="16"/>
      <c r="E187" s="16" t="str">
        <f>IFERROR(__xludf.DUMMYFUNCTION("""COMPUTED_VALUE"""),"10,000 Earth and 10,000 Water damage to all enemies, 50% to freeze those targets. 50% chance to negate the next incoming spell effect.")</f>
        <v>10,000 Earth and 10,000 Water damage to all enemies, 50% to freeze those targets. 50% chance to negate the next incoming spell effect.</v>
      </c>
      <c r="F187" s="16" t="str">
        <f>IFERROR(__xludf.DUMMYFUNCTION("""COMPUTED_VALUE"""),"Natural/Cannot Avoid")</f>
        <v>Natural/Cannot Avoid</v>
      </c>
      <c r="G187" s="16" t="str">
        <f>IFERROR(__xludf.DUMMYFUNCTION("""COMPUTED_VALUE"""),"All")</f>
        <v>All</v>
      </c>
      <c r="H187" s="16" t="str">
        <f>IFERROR(__xludf.DUMMYFUNCTION("""COMPUTED_VALUE"""),"Earth")</f>
        <v>Earth</v>
      </c>
      <c r="I187" s="16" t="str">
        <f>IFERROR(__xludf.DUMMYFUNCTION("""COMPUTED_VALUE"""),"Mob")</f>
        <v>Mob</v>
      </c>
      <c r="J187" s="16" t="b">
        <f>IFERROR(__xludf.DUMMYFUNCTION("""COMPUTED_VALUE"""),TRUE)</f>
        <v>1</v>
      </c>
      <c r="K187" s="16"/>
      <c r="L187" s="16" t="b">
        <f>IFERROR(__xludf.DUMMYFUNCTION("""COMPUTED_VALUE"""),FALSE)</f>
        <v>0</v>
      </c>
      <c r="M187" s="16" t="b">
        <f>IFERROR(__xludf.DUMMYFUNCTION("""COMPUTED_VALUE"""),FALSE)</f>
        <v>0</v>
      </c>
      <c r="N187" s="16"/>
    </row>
    <row r="188">
      <c r="A188" s="16" t="str">
        <f>IFERROR(__xludf.DUMMYFUNCTION("""COMPUTED_VALUE"""),"Sling Stone")</f>
        <v>Sling Stone</v>
      </c>
      <c r="B188" s="120">
        <f>IFERROR(__xludf.DUMMYFUNCTION("""COMPUTED_VALUE"""),0.0)</f>
        <v>0</v>
      </c>
      <c r="C188" s="16">
        <f>IFERROR(__xludf.DUMMYFUNCTION("""COMPUTED_VALUE"""),0.0)</f>
        <v>0</v>
      </c>
      <c r="D188" s="16"/>
      <c r="E188" s="16" t="str">
        <f>IFERROR(__xludf.DUMMYFUNCTION("""COMPUTED_VALUE"""),"6000 earth damage. Stun 3.")</f>
        <v>6000 earth damage. Stun 3.</v>
      </c>
      <c r="F188" s="16" t="str">
        <f>IFERROR(__xludf.DUMMYFUNCTION("""COMPUTED_VALUE"""),"Natural/Hit Or Miss")</f>
        <v>Natural/Hit Or Miss</v>
      </c>
      <c r="G188" s="16">
        <f>IFERROR(__xludf.DUMMYFUNCTION("""COMPUTED_VALUE"""),1.0)</f>
        <v>1</v>
      </c>
      <c r="H188" s="16" t="str">
        <f>IFERROR(__xludf.DUMMYFUNCTION("""COMPUTED_VALUE"""),"Earth")</f>
        <v>Earth</v>
      </c>
      <c r="I188" s="16" t="str">
        <f>IFERROR(__xludf.DUMMYFUNCTION("""COMPUTED_VALUE"""),"Mob")</f>
        <v>Mob</v>
      </c>
      <c r="J188" s="16" t="b">
        <f>IFERROR(__xludf.DUMMYFUNCTION("""COMPUTED_VALUE"""),TRUE)</f>
        <v>1</v>
      </c>
      <c r="K188" s="16" t="str">
        <f>IFERROR(__xludf.DUMMYFUNCTION("""COMPUTED_VALUE"""),"Event Power")</f>
        <v>Event Power</v>
      </c>
      <c r="L188" s="16" t="b">
        <f>IFERROR(__xludf.DUMMYFUNCTION("""COMPUTED_VALUE"""),TRUE)</f>
        <v>1</v>
      </c>
      <c r="M188" s="16" t="b">
        <f>IFERROR(__xludf.DUMMYFUNCTION("""COMPUTED_VALUE"""),TRUE)</f>
        <v>1</v>
      </c>
      <c r="N188" s="16"/>
    </row>
    <row r="189">
      <c r="A189" s="16" t="str">
        <f>IFERROR(__xludf.DUMMYFUNCTION("""COMPUTED_VALUE"""),"Tremor")</f>
        <v>Tremor</v>
      </c>
      <c r="B189" s="120">
        <f>IFERROR(__xludf.DUMMYFUNCTION("""COMPUTED_VALUE"""),3.0)</f>
        <v>3</v>
      </c>
      <c r="C189" s="16" t="str">
        <f>IFERROR(__xludf.DUMMYFUNCTION("""COMPUTED_VALUE"""),"d12*20")</f>
        <v>d12*20</v>
      </c>
      <c r="D189" s="16"/>
      <c r="E189" s="16" t="str">
        <f>IFERROR(__xludf.DUMMYFUNCTION("""COMPUTED_VALUE"""),"The d12 roll times 500 is equal to the amount of Earth damage this spell does to all enemies, X2 defense for self and allies for 3 rounds.")</f>
        <v>The d12 roll times 500 is equal to the amount of Earth damage this spell does to all enemies, X2 defense for self and allies for 3 rounds.</v>
      </c>
      <c r="F189" s="16" t="str">
        <f>IFERROR(__xludf.DUMMYFUNCTION("""COMPUTED_VALUE"""),"Cannot Avoid")</f>
        <v>Cannot Avoid</v>
      </c>
      <c r="G189" s="16"/>
      <c r="H189" s="16" t="str">
        <f>IFERROR(__xludf.DUMMYFUNCTION("""COMPUTED_VALUE"""),"Earth")</f>
        <v>Earth</v>
      </c>
      <c r="I189" s="16" t="str">
        <f>IFERROR(__xludf.DUMMYFUNCTION("""COMPUTED_VALUE"""),"Player")</f>
        <v>Player</v>
      </c>
      <c r="J189" s="16" t="b">
        <f>IFERROR(__xludf.DUMMYFUNCTION("""COMPUTED_VALUE"""),FALSE)</f>
        <v>0</v>
      </c>
      <c r="K189" s="16"/>
      <c r="L189" s="16" t="b">
        <f>IFERROR(__xludf.DUMMYFUNCTION("""COMPUTED_VALUE"""),FALSE)</f>
        <v>0</v>
      </c>
      <c r="M189" s="16" t="b">
        <f>IFERROR(__xludf.DUMMYFUNCTION("""COMPUTED_VALUE"""),FALSE)</f>
        <v>0</v>
      </c>
      <c r="N189" s="16"/>
    </row>
    <row r="190">
      <c r="A190" s="16" t="str">
        <f>IFERROR(__xludf.DUMMYFUNCTION("""COMPUTED_VALUE"""),"Call of Gaia")</f>
        <v>Call of Gaia</v>
      </c>
      <c r="B190" s="120">
        <f>IFERROR(__xludf.DUMMYFUNCTION("""COMPUTED_VALUE"""),1.0)</f>
        <v>1</v>
      </c>
      <c r="C190" s="16">
        <f>IFERROR(__xludf.DUMMYFUNCTION("""COMPUTED_VALUE"""),0.0)</f>
        <v>0</v>
      </c>
      <c r="D190" s="16"/>
      <c r="E190" s="16" t="str">
        <f>IFERROR(__xludf.DUMMYFUNCTION("""COMPUTED_VALUE"""),"Summon a d4 of Gaia's Paladins.")</f>
        <v>Summon a d4 of Gaia's Paladins.</v>
      </c>
      <c r="F190" s="16" t="str">
        <f>IFERROR(__xludf.DUMMYFUNCTION("""COMPUTED_VALUE"""),"Natural/Fail or Succeed")</f>
        <v>Natural/Fail or Succeed</v>
      </c>
      <c r="G190" s="16" t="str">
        <f>IFERROR(__xludf.DUMMYFUNCTION("""COMPUTED_VALUE"""),"Self")</f>
        <v>Self</v>
      </c>
      <c r="H190" s="16" t="str">
        <f>IFERROR(__xludf.DUMMYFUNCTION("""COMPUTED_VALUE"""),"Earth")</f>
        <v>Earth</v>
      </c>
      <c r="I190" s="16" t="str">
        <f>IFERROR(__xludf.DUMMYFUNCTION("""COMPUTED_VALUE"""),"Mob")</f>
        <v>Mob</v>
      </c>
      <c r="J190" s="16" t="b">
        <f>IFERROR(__xludf.DUMMYFUNCTION("""COMPUTED_VALUE"""),TRUE)</f>
        <v>1</v>
      </c>
      <c r="K190" s="16" t="str">
        <f>IFERROR(__xludf.DUMMYFUNCTION("""COMPUTED_VALUE"""),"mob power")</f>
        <v>mob power</v>
      </c>
      <c r="L190" s="16" t="b">
        <f>IFERROR(__xludf.DUMMYFUNCTION("""COMPUTED_VALUE"""),FALSE)</f>
        <v>0</v>
      </c>
      <c r="M190" s="16" t="b">
        <f>IFERROR(__xludf.DUMMYFUNCTION("""COMPUTED_VALUE"""),FALSE)</f>
        <v>0</v>
      </c>
      <c r="N190" s="16"/>
    </row>
    <row r="191">
      <c r="A191" s="16" t="str">
        <f>IFERROR(__xludf.DUMMYFUNCTION("""COMPUTED_VALUE"""),"Rock Shot")</f>
        <v>Rock Shot</v>
      </c>
      <c r="B191" s="120">
        <f>IFERROR(__xludf.DUMMYFUNCTION("""COMPUTED_VALUE"""),1.0)</f>
        <v>1</v>
      </c>
      <c r="C191" s="16" t="str">
        <f>IFERROR(__xludf.DUMMYFUNCTION("""COMPUTED_VALUE"""),"X")</f>
        <v>X</v>
      </c>
      <c r="D191" s="16"/>
      <c r="E191" s="16" t="str">
        <f>IFERROR(__xludf.DUMMYFUNCTION("""COMPUTED_VALUE"""),"Deals X*100 Earth damage to a single enemy where X is equal to SP spent.")</f>
        <v>Deals X*100 Earth damage to a single enemy where X is equal to SP spent.</v>
      </c>
      <c r="F191" s="16" t="str">
        <f>IFERROR(__xludf.DUMMYFUNCTION("""COMPUTED_VALUE"""),"Hit/Miss")</f>
        <v>Hit/Miss</v>
      </c>
      <c r="G191" s="16">
        <f>IFERROR(__xludf.DUMMYFUNCTION("""COMPUTED_VALUE"""),1.0)</f>
        <v>1</v>
      </c>
      <c r="H191" s="16" t="str">
        <f>IFERROR(__xludf.DUMMYFUNCTION("""COMPUTED_VALUE"""),"Earth")</f>
        <v>Earth</v>
      </c>
      <c r="I191" s="16" t="str">
        <f>IFERROR(__xludf.DUMMYFUNCTION("""COMPUTED_VALUE"""),"Player")</f>
        <v>Player</v>
      </c>
      <c r="J191" s="16" t="b">
        <f>IFERROR(__xludf.DUMMYFUNCTION("""COMPUTED_VALUE"""),FALSE)</f>
        <v>0</v>
      </c>
      <c r="K191" s="16"/>
      <c r="L191" s="16" t="b">
        <f>IFERROR(__xludf.DUMMYFUNCTION("""COMPUTED_VALUE"""),FALSE)</f>
        <v>0</v>
      </c>
      <c r="M191" s="16" t="b">
        <f>IFERROR(__xludf.DUMMYFUNCTION("""COMPUTED_VALUE"""),FALSE)</f>
        <v>0</v>
      </c>
      <c r="N191" s="16"/>
    </row>
    <row r="192">
      <c r="A192" s="16" t="str">
        <f>IFERROR(__xludf.DUMMYFUNCTION("""COMPUTED_VALUE"""),"Petrification")</f>
        <v>Petrification</v>
      </c>
      <c r="B192" s="120">
        <f>IFERROR(__xludf.DUMMYFUNCTION("""COMPUTED_VALUE"""),5.0)</f>
        <v>5</v>
      </c>
      <c r="C192" s="16" t="str">
        <f>IFERROR(__xludf.DUMMYFUNCTION("""COMPUTED_VALUE"""),"X")</f>
        <v>X</v>
      </c>
      <c r="D192" s="16"/>
      <c r="E192" s="16" t="str">
        <f>IFERROR(__xludf.DUMMYFUNCTION("""COMPUTED_VALUE"""),"Deals X*50 Earth damage per round for 3 rounds to a single target where X is equal to SP spent.")</f>
        <v>Deals X*50 Earth damage per round for 3 rounds to a single target where X is equal to SP spent.</v>
      </c>
      <c r="F192" s="16" t="str">
        <f>IFERROR(__xludf.DUMMYFUNCTION("""COMPUTED_VALUE"""),"Hit/Miss")</f>
        <v>Hit/Miss</v>
      </c>
      <c r="G192" s="16">
        <f>IFERROR(__xludf.DUMMYFUNCTION("""COMPUTED_VALUE"""),1.0)</f>
        <v>1</v>
      </c>
      <c r="H192" s="16" t="str">
        <f>IFERROR(__xludf.DUMMYFUNCTION("""COMPUTED_VALUE"""),"Earth")</f>
        <v>Earth</v>
      </c>
      <c r="I192" s="16" t="str">
        <f>IFERROR(__xludf.DUMMYFUNCTION("""COMPUTED_VALUE"""),"Player")</f>
        <v>Player</v>
      </c>
      <c r="J192" s="16" t="b">
        <f>IFERROR(__xludf.DUMMYFUNCTION("""COMPUTED_VALUE"""),FALSE)</f>
        <v>0</v>
      </c>
      <c r="K192" s="16"/>
      <c r="L192" s="16" t="b">
        <f>IFERROR(__xludf.DUMMYFUNCTION("""COMPUTED_VALUE"""),FALSE)</f>
        <v>0</v>
      </c>
      <c r="M192" s="16" t="b">
        <f>IFERROR(__xludf.DUMMYFUNCTION("""COMPUTED_VALUE"""),FALSE)</f>
        <v>0</v>
      </c>
      <c r="N192" s="16"/>
    </row>
    <row r="193">
      <c r="A193" s="16" t="str">
        <f>IFERROR(__xludf.DUMMYFUNCTION("""COMPUTED_VALUE"""),"Earthquake")</f>
        <v>Earthquake</v>
      </c>
      <c r="B193" s="120">
        <f>IFERROR(__xludf.DUMMYFUNCTION("""COMPUTED_VALUE"""),5.0)</f>
        <v>5</v>
      </c>
      <c r="C193" s="16" t="str">
        <f>IFERROR(__xludf.DUMMYFUNCTION("""COMPUTED_VALUE"""),"d20*40")</f>
        <v>d20*40</v>
      </c>
      <c r="D193" s="16"/>
      <c r="E193" s="16" t="str">
        <f>IFERROR(__xludf.DUMMYFUNCTION("""COMPUTED_VALUE"""),"The d20 roll times 1000 is equal to the amount of Earth damage this spell does to all enemies, X4 defense for self and allies for 3 rounds.")</f>
        <v>The d20 roll times 1000 is equal to the amount of Earth damage this spell does to all enemies, X4 defense for self and allies for 3 rounds.</v>
      </c>
      <c r="F193" s="16" t="str">
        <f>IFERROR(__xludf.DUMMYFUNCTION("""COMPUTED_VALUE"""),"Cannot Avoid")</f>
        <v>Cannot Avoid</v>
      </c>
      <c r="G193" s="16" t="str">
        <f>IFERROR(__xludf.DUMMYFUNCTION("""COMPUTED_VALUE"""),"All")</f>
        <v>All</v>
      </c>
      <c r="H193" s="16" t="str">
        <f>IFERROR(__xludf.DUMMYFUNCTION("""COMPUTED_VALUE"""),"Earth")</f>
        <v>Earth</v>
      </c>
      <c r="I193" s="16" t="str">
        <f>IFERROR(__xludf.DUMMYFUNCTION("""COMPUTED_VALUE"""),"Player")</f>
        <v>Player</v>
      </c>
      <c r="J193" s="16" t="b">
        <f>IFERROR(__xludf.DUMMYFUNCTION("""COMPUTED_VALUE"""),FALSE)</f>
        <v>0</v>
      </c>
      <c r="K193" s="16"/>
      <c r="L193" s="16" t="b">
        <f>IFERROR(__xludf.DUMMYFUNCTION("""COMPUTED_VALUE"""),FALSE)</f>
        <v>0</v>
      </c>
      <c r="M193" s="16" t="b">
        <f>IFERROR(__xludf.DUMMYFUNCTION("""COMPUTED_VALUE"""),FALSE)</f>
        <v>0</v>
      </c>
      <c r="N193" s="16"/>
    </row>
    <row r="194">
      <c r="A194" s="16" t="str">
        <f>IFERROR(__xludf.DUMMYFUNCTION("""COMPUTED_VALUE"""),"Mass Petrification")</f>
        <v>Mass Petrification</v>
      </c>
      <c r="B194" s="120">
        <f>IFERROR(__xludf.DUMMYFUNCTION("""COMPUTED_VALUE"""),6.0)</f>
        <v>6</v>
      </c>
      <c r="C194" s="16" t="str">
        <f>IFERROR(__xludf.DUMMYFUNCTION("""COMPUTED_VALUE"""),"X")</f>
        <v>X</v>
      </c>
      <c r="D194" s="16"/>
      <c r="E194" s="16" t="str">
        <f>IFERROR(__xludf.DUMMYFUNCTION("""COMPUTED_VALUE"""),"Deals X*10 Earth damage per round to all enemies for 3 rounds where X is equal to SP spent.")</f>
        <v>Deals X*10 Earth damage per round to all enemies for 3 rounds where X is equal to SP spent.</v>
      </c>
      <c r="F194" s="16" t="str">
        <f>IFERROR(__xludf.DUMMYFUNCTION("""COMPUTED_VALUE"""),"Cannot Avoid")</f>
        <v>Cannot Avoid</v>
      </c>
      <c r="G194" s="16" t="str">
        <f>IFERROR(__xludf.DUMMYFUNCTION("""COMPUTED_VALUE"""),"All")</f>
        <v>All</v>
      </c>
      <c r="H194" s="16" t="str">
        <f>IFERROR(__xludf.DUMMYFUNCTION("""COMPUTED_VALUE"""),"Earth")</f>
        <v>Earth</v>
      </c>
      <c r="I194" s="16" t="str">
        <f>IFERROR(__xludf.DUMMYFUNCTION("""COMPUTED_VALUE"""),"Player")</f>
        <v>Player</v>
      </c>
      <c r="J194" s="16" t="b">
        <f>IFERROR(__xludf.DUMMYFUNCTION("""COMPUTED_VALUE"""),FALSE)</f>
        <v>0</v>
      </c>
      <c r="K194" s="16"/>
      <c r="L194" s="16" t="b">
        <f>IFERROR(__xludf.DUMMYFUNCTION("""COMPUTED_VALUE"""),FALSE)</f>
        <v>0</v>
      </c>
      <c r="M194" s="16" t="b">
        <f>IFERROR(__xludf.DUMMYFUNCTION("""COMPUTED_VALUE"""),FALSE)</f>
        <v>0</v>
      </c>
      <c r="N194" s="16"/>
    </row>
    <row r="195">
      <c r="A195" s="16" t="str">
        <f>IFERROR(__xludf.DUMMYFUNCTION("""COMPUTED_VALUE"""),"Breaking Earth")</f>
        <v>Breaking Earth</v>
      </c>
      <c r="B195" s="120">
        <f>IFERROR(__xludf.DUMMYFUNCTION("""COMPUTED_VALUE"""),6.0)</f>
        <v>6</v>
      </c>
      <c r="C195" s="16" t="str">
        <f>IFERROR(__xludf.DUMMYFUNCTION("""COMPUTED_VALUE"""),"X")</f>
        <v>X</v>
      </c>
      <c r="D195" s="16"/>
      <c r="E195" s="16" t="str">
        <f>IFERROR(__xludf.DUMMYFUNCTION("""COMPUTED_VALUE"""),"Deals X*25 Earth damage to all enemies where X is equal to SP spent.")</f>
        <v>Deals X*25 Earth damage to all enemies where X is equal to SP spent.</v>
      </c>
      <c r="F195" s="16" t="str">
        <f>IFERROR(__xludf.DUMMYFUNCTION("""COMPUTED_VALUE"""),"Cannot Avoid")</f>
        <v>Cannot Avoid</v>
      </c>
      <c r="G195" s="16" t="str">
        <f>IFERROR(__xludf.DUMMYFUNCTION("""COMPUTED_VALUE"""),"All")</f>
        <v>All</v>
      </c>
      <c r="H195" s="16" t="str">
        <f>IFERROR(__xludf.DUMMYFUNCTION("""COMPUTED_VALUE"""),"Earth")</f>
        <v>Earth</v>
      </c>
      <c r="I195" s="16" t="str">
        <f>IFERROR(__xludf.DUMMYFUNCTION("""COMPUTED_VALUE"""),"Player")</f>
        <v>Player</v>
      </c>
      <c r="J195" s="16" t="b">
        <f>IFERROR(__xludf.DUMMYFUNCTION("""COMPUTED_VALUE"""),FALSE)</f>
        <v>0</v>
      </c>
      <c r="K195" s="16"/>
      <c r="L195" s="16" t="b">
        <f>IFERROR(__xludf.DUMMYFUNCTION("""COMPUTED_VALUE"""),FALSE)</f>
        <v>0</v>
      </c>
      <c r="M195" s="16" t="b">
        <f>IFERROR(__xludf.DUMMYFUNCTION("""COMPUTED_VALUE"""),FALSE)</f>
        <v>0</v>
      </c>
      <c r="N195" s="16"/>
    </row>
    <row r="196">
      <c r="A196" s="16" t="str">
        <f>IFERROR(__xludf.DUMMYFUNCTION("""COMPUTED_VALUE"""),"Blazing Scratch")</f>
        <v>Blazing Scratch</v>
      </c>
      <c r="B196" s="120">
        <f>IFERROR(__xludf.DUMMYFUNCTION("""COMPUTED_VALUE"""),0.0)</f>
        <v>0</v>
      </c>
      <c r="C196" s="119">
        <f>IFERROR(__xludf.DUMMYFUNCTION("""COMPUTED_VALUE"""),0.0)</f>
        <v>0</v>
      </c>
      <c r="D196" s="16"/>
      <c r="E196" s="16" t="str">
        <f>IFERROR(__xludf.DUMMYFUNCTION("""COMPUTED_VALUE"""),"5000 fire damage to all enemies, -5 evasion to all enemies for 3 rounds.")</f>
        <v>5000 fire damage to all enemies, -5 evasion to all enemies for 3 rounds.</v>
      </c>
      <c r="F196" s="16" t="str">
        <f>IFERROR(__xludf.DUMMYFUNCTION("""COMPUTED_VALUE"""),"Natural/Cannot Avoid")</f>
        <v>Natural/Cannot Avoid</v>
      </c>
      <c r="G196" s="16" t="str">
        <f>IFERROR(__xludf.DUMMYFUNCTION("""COMPUTED_VALUE"""),"All")</f>
        <v>All</v>
      </c>
      <c r="H196" s="16" t="str">
        <f>IFERROR(__xludf.DUMMYFUNCTION("""COMPUTED_VALUE"""),"Fire")</f>
        <v>Fire</v>
      </c>
      <c r="I196" s="16" t="str">
        <f>IFERROR(__xludf.DUMMYFUNCTION("""COMPUTED_VALUE"""),"Mob")</f>
        <v>Mob</v>
      </c>
      <c r="J196" s="16" t="b">
        <f>IFERROR(__xludf.DUMMYFUNCTION("""COMPUTED_VALUE"""),TRUE)</f>
        <v>1</v>
      </c>
      <c r="K196" s="16"/>
      <c r="L196" s="16" t="b">
        <f>IFERROR(__xludf.DUMMYFUNCTION("""COMPUTED_VALUE"""),FALSE)</f>
        <v>0</v>
      </c>
      <c r="M196" s="16" t="b">
        <f>IFERROR(__xludf.DUMMYFUNCTION("""COMPUTED_VALUE"""),FALSE)</f>
        <v>0</v>
      </c>
      <c r="N196" s="16"/>
    </row>
    <row r="197">
      <c r="A197" s="16" t="str">
        <f>IFERROR(__xludf.DUMMYFUNCTION("""COMPUTED_VALUE"""),"Calm Fire")</f>
        <v>Calm Fire</v>
      </c>
      <c r="B197" s="120">
        <f>IFERROR(__xludf.DUMMYFUNCTION("""COMPUTED_VALUE"""),7.0)</f>
        <v>7</v>
      </c>
      <c r="C197" s="16">
        <f>IFERROR(__xludf.DUMMYFUNCTION("""COMPUTED_VALUE"""),100.0)</f>
        <v>100</v>
      </c>
      <c r="D197" s="16"/>
      <c r="E197" s="16" t="str">
        <f>IFERROR(__xludf.DUMMYFUNCTION("""COMPUTED_VALUE"""),"Negate X points of fire damage")</f>
        <v>Negate X points of fire damage</v>
      </c>
      <c r="F197" s="16" t="str">
        <f>IFERROR(__xludf.DUMMYFUNCTION("""COMPUTED_VALUE"""),"Fail/Succeed")</f>
        <v>Fail/Succeed</v>
      </c>
      <c r="G197" s="16"/>
      <c r="H197" s="16" t="str">
        <f>IFERROR(__xludf.DUMMYFUNCTION("""COMPUTED_VALUE"""),"Fire")</f>
        <v>Fire</v>
      </c>
      <c r="I197" s="16" t="str">
        <f>IFERROR(__xludf.DUMMYFUNCTION("""COMPUTED_VALUE"""),"Player")</f>
        <v>Player</v>
      </c>
      <c r="J197" s="16" t="b">
        <f>IFERROR(__xludf.DUMMYFUNCTION("""COMPUTED_VALUE"""),FALSE)</f>
        <v>0</v>
      </c>
      <c r="K197" s="16"/>
      <c r="L197" s="16" t="b">
        <f>IFERROR(__xludf.DUMMYFUNCTION("""COMPUTED_VALUE"""),FALSE)</f>
        <v>0</v>
      </c>
      <c r="M197" s="16" t="b">
        <f>IFERROR(__xludf.DUMMYFUNCTION("""COMPUTED_VALUE"""),FALSE)</f>
        <v>0</v>
      </c>
      <c r="N197" s="16"/>
    </row>
    <row r="198">
      <c r="A198" s="16" t="str">
        <f>IFERROR(__xludf.DUMMYFUNCTION("""COMPUTED_VALUE"""),"Curse Of Heatmore")</f>
        <v>Curse Of Heatmore</v>
      </c>
      <c r="B198" s="120">
        <f>IFERROR(__xludf.DUMMYFUNCTION("""COMPUTED_VALUE"""),0.0)</f>
        <v>0</v>
      </c>
      <c r="C198" s="119">
        <f>IFERROR(__xludf.DUMMYFUNCTION("""COMPUTED_VALUE"""),0.0)</f>
        <v>0</v>
      </c>
      <c r="D198" s="16"/>
      <c r="E198" s="16" t="str">
        <f>IFERROR(__xludf.DUMMYFUNCTION("""COMPUTED_VALUE"""),"Curses one target. Players affected by this curse will take 500 Burn every battle they are in. ignores immunities and resistances.")</f>
        <v>Curses one target. Players affected by this curse will take 500 Burn every battle they are in. ignores immunities and resistances.</v>
      </c>
      <c r="F198" s="16" t="str">
        <f>IFERROR(__xludf.DUMMYFUNCTION("""COMPUTED_VALUE"""),"Fail or Succeed")</f>
        <v>Fail or Succeed</v>
      </c>
      <c r="G198" s="16">
        <f>IFERROR(__xludf.DUMMYFUNCTION("""COMPUTED_VALUE"""),1.0)</f>
        <v>1</v>
      </c>
      <c r="H198" s="16" t="str">
        <f>IFERROR(__xludf.DUMMYFUNCTION("""COMPUTED_VALUE"""),"Fire")</f>
        <v>Fire</v>
      </c>
      <c r="I198" s="16" t="str">
        <f>IFERROR(__xludf.DUMMYFUNCTION("""COMPUTED_VALUE"""),"Mob")</f>
        <v>Mob</v>
      </c>
      <c r="J198" s="16" t="b">
        <f>IFERROR(__xludf.DUMMYFUNCTION("""COMPUTED_VALUE"""),TRUE)</f>
        <v>1</v>
      </c>
      <c r="K198" s="16"/>
      <c r="L198" s="16" t="b">
        <f>IFERROR(__xludf.DUMMYFUNCTION("""COMPUTED_VALUE"""),FALSE)</f>
        <v>0</v>
      </c>
      <c r="M198" s="16" t="b">
        <f>IFERROR(__xludf.DUMMYFUNCTION("""COMPUTED_VALUE"""),FALSE)</f>
        <v>0</v>
      </c>
      <c r="N198" s="16"/>
    </row>
    <row r="199">
      <c r="A199" s="16" t="str">
        <f>IFERROR(__xludf.DUMMYFUNCTION("""COMPUTED_VALUE"""),"Divine Flame Cloak")</f>
        <v>Divine Flame Cloak</v>
      </c>
      <c r="B199" s="120">
        <f>IFERROR(__xludf.DUMMYFUNCTION("""COMPUTED_VALUE"""),9.0)</f>
        <v>9</v>
      </c>
      <c r="C199" s="119">
        <f>IFERROR(__xludf.DUMMYFUNCTION("""COMPUTED_VALUE"""),10000.0)</f>
        <v>10000</v>
      </c>
      <c r="D199" s="16"/>
      <c r="E199" s="16" t="str">
        <f>IFERROR(__xludf.DUMMYFUNCTION("""COMPUTED_VALUE"""),"Caster is protected from all spells for 3 rounds.")</f>
        <v>Caster is protected from all spells for 3 rounds.</v>
      </c>
      <c r="F199" s="16" t="str">
        <f>IFERROR(__xludf.DUMMYFUNCTION("""COMPUTED_VALUE"""),"Fail/Succeed")</f>
        <v>Fail/Succeed</v>
      </c>
      <c r="G199" s="16" t="str">
        <f>IFERROR(__xludf.DUMMYFUNCTION("""COMPUTED_VALUE"""),"Self")</f>
        <v>Self</v>
      </c>
      <c r="H199" s="16" t="str">
        <f>IFERROR(__xludf.DUMMYFUNCTION("""COMPUTED_VALUE"""),"Fire")</f>
        <v>Fire</v>
      </c>
      <c r="I199" s="16" t="str">
        <f>IFERROR(__xludf.DUMMYFUNCTION("""COMPUTED_VALUE"""),"Mob")</f>
        <v>Mob</v>
      </c>
      <c r="J199" s="16" t="b">
        <f>IFERROR(__xludf.DUMMYFUNCTION("""COMPUTED_VALUE"""),TRUE)</f>
        <v>1</v>
      </c>
      <c r="K199" s="16"/>
      <c r="L199" s="16" t="b">
        <f>IFERROR(__xludf.DUMMYFUNCTION("""COMPUTED_VALUE"""),FALSE)</f>
        <v>0</v>
      </c>
      <c r="M199" s="16" t="b">
        <f>IFERROR(__xludf.DUMMYFUNCTION("""COMPUTED_VALUE"""),FALSE)</f>
        <v>0</v>
      </c>
      <c r="N199" s="16"/>
    </row>
    <row r="200">
      <c r="A200" s="16" t="str">
        <f>IFERROR(__xludf.DUMMYFUNCTION("""COMPUTED_VALUE"""),"Fiery Acidic Spit")</f>
        <v>Fiery Acidic Spit</v>
      </c>
      <c r="B200" s="120">
        <f>IFERROR(__xludf.DUMMYFUNCTION("""COMPUTED_VALUE"""),1.0)</f>
        <v>1</v>
      </c>
      <c r="C200" s="119">
        <f>IFERROR(__xludf.DUMMYFUNCTION("""COMPUTED_VALUE"""),0.0)</f>
        <v>0</v>
      </c>
      <c r="D200" s="16"/>
      <c r="E200" s="16" t="str">
        <f>IFERROR(__xludf.DUMMYFUNCTION("""COMPUTED_VALUE"""),"20,000 Fire damage to all enemies, Poison and Burn 10,000 for 3 rounds to all enemies.")</f>
        <v>20,000 Fire damage to all enemies, Poison and Burn 10,000 for 3 rounds to all enemies.</v>
      </c>
      <c r="F200" s="16" t="str">
        <f>IFERROR(__xludf.DUMMYFUNCTION("""COMPUTED_VALUE"""),"Natural/Cannot Avoid")</f>
        <v>Natural/Cannot Avoid</v>
      </c>
      <c r="G200" s="16" t="str">
        <f>IFERROR(__xludf.DUMMYFUNCTION("""COMPUTED_VALUE"""),"All")</f>
        <v>All</v>
      </c>
      <c r="H200" s="16" t="str">
        <f>IFERROR(__xludf.DUMMYFUNCTION("""COMPUTED_VALUE"""),"Fire")</f>
        <v>Fire</v>
      </c>
      <c r="I200" s="16" t="str">
        <f>IFERROR(__xludf.DUMMYFUNCTION("""COMPUTED_VALUE"""),"Mob")</f>
        <v>Mob</v>
      </c>
      <c r="J200" s="16" t="b">
        <f>IFERROR(__xludf.DUMMYFUNCTION("""COMPUTED_VALUE"""),TRUE)</f>
        <v>1</v>
      </c>
      <c r="K200" s="16"/>
      <c r="L200" s="16" t="b">
        <f>IFERROR(__xludf.DUMMYFUNCTION("""COMPUTED_VALUE"""),FALSE)</f>
        <v>0</v>
      </c>
      <c r="M200" s="16" t="b">
        <f>IFERROR(__xludf.DUMMYFUNCTION("""COMPUTED_VALUE"""),FALSE)</f>
        <v>0</v>
      </c>
      <c r="N200" s="16"/>
    </row>
    <row r="201">
      <c r="A201" s="16" t="str">
        <f>IFERROR(__xludf.DUMMYFUNCTION("""COMPUTED_VALUE"""),"Flame Sanctuary")</f>
        <v>Flame Sanctuary</v>
      </c>
      <c r="B201" s="120">
        <f>IFERROR(__xludf.DUMMYFUNCTION("""COMPUTED_VALUE"""),9.0)</f>
        <v>9</v>
      </c>
      <c r="C201" s="16">
        <f>IFERROR(__xludf.DUMMYFUNCTION("""COMPUTED_VALUE"""),300.0)</f>
        <v>300</v>
      </c>
      <c r="D201" s="16"/>
      <c r="E201" s="16" t="str">
        <f>IFERROR(__xludf.DUMMYFUNCTION("""COMPUTED_VALUE"""),"Absorb all damage you take until your next turn then add that damage you would have taken to your next attack as additional fire damage.")</f>
        <v>Absorb all damage you take until your next turn then add that damage you would have taken to your next attack as additional fire damage.</v>
      </c>
      <c r="F201" s="16" t="str">
        <f>IFERROR(__xludf.DUMMYFUNCTION("""COMPUTED_VALUE"""),"Fail/Succeed")</f>
        <v>Fail/Succeed</v>
      </c>
      <c r="G201" s="16"/>
      <c r="H201" s="16" t="str">
        <f>IFERROR(__xludf.DUMMYFUNCTION("""COMPUTED_VALUE"""),"Fire")</f>
        <v>Fire</v>
      </c>
      <c r="I201" s="16" t="str">
        <f>IFERROR(__xludf.DUMMYFUNCTION("""COMPUTED_VALUE"""),"Player")</f>
        <v>Player</v>
      </c>
      <c r="J201" s="16" t="b">
        <f>IFERROR(__xludf.DUMMYFUNCTION("""COMPUTED_VALUE"""),FALSE)</f>
        <v>0</v>
      </c>
      <c r="K201" s="16"/>
      <c r="L201" s="16" t="b">
        <f>IFERROR(__xludf.DUMMYFUNCTION("""COMPUTED_VALUE"""),FALSE)</f>
        <v>0</v>
      </c>
      <c r="M201" s="16" t="b">
        <f>IFERROR(__xludf.DUMMYFUNCTION("""COMPUTED_VALUE"""),FALSE)</f>
        <v>0</v>
      </c>
      <c r="N201" s="16"/>
    </row>
    <row r="202">
      <c r="A202" s="16" t="str">
        <f>IFERROR(__xludf.DUMMYFUNCTION("""COMPUTED_VALUE"""),"Flaming Bite")</f>
        <v>Flaming Bite</v>
      </c>
      <c r="B202" s="120">
        <f>IFERROR(__xludf.DUMMYFUNCTION("""COMPUTED_VALUE"""),1.0)</f>
        <v>1</v>
      </c>
      <c r="C202" s="16">
        <f>IFERROR(__xludf.DUMMYFUNCTION("""COMPUTED_VALUE"""),0.0)</f>
        <v>0</v>
      </c>
      <c r="D202" s="16"/>
      <c r="E202" s="16" t="str">
        <f>IFERROR(__xludf.DUMMYFUNCTION("""COMPUTED_VALUE"""),"Deal X*2 fire damage equal to the users attack, 50% chance to hit twice.")</f>
        <v>Deal X*2 fire damage equal to the users attack, 50% chance to hit twice.</v>
      </c>
      <c r="F202" s="16" t="str">
        <f>IFERROR(__xludf.DUMMYFUNCTION("""COMPUTED_VALUE"""),"Natural/Hit Or Miss")</f>
        <v>Natural/Hit Or Miss</v>
      </c>
      <c r="G202" s="16">
        <f>IFERROR(__xludf.DUMMYFUNCTION("""COMPUTED_VALUE"""),1.0)</f>
        <v>1</v>
      </c>
      <c r="H202" s="16" t="str">
        <f>IFERROR(__xludf.DUMMYFUNCTION("""COMPUTED_VALUE"""),"Fire")</f>
        <v>Fire</v>
      </c>
      <c r="I202" s="16" t="str">
        <f>IFERROR(__xludf.DUMMYFUNCTION("""COMPUTED_VALUE"""),"Mob")</f>
        <v>Mob</v>
      </c>
      <c r="J202" s="16" t="b">
        <f>IFERROR(__xludf.DUMMYFUNCTION("""COMPUTED_VALUE"""),TRUE)</f>
        <v>1</v>
      </c>
      <c r="K202" s="16"/>
      <c r="L202" s="16" t="b">
        <f>IFERROR(__xludf.DUMMYFUNCTION("""COMPUTED_VALUE"""),FALSE)</f>
        <v>0</v>
      </c>
      <c r="M202" s="16" t="b">
        <f>IFERROR(__xludf.DUMMYFUNCTION("""COMPUTED_VALUE"""),FALSE)</f>
        <v>0</v>
      </c>
      <c r="N202" s="16"/>
    </row>
    <row r="203">
      <c r="A203" s="16" t="str">
        <f>IFERROR(__xludf.DUMMYFUNCTION("""COMPUTED_VALUE"""),"Flaming Golem Smash")</f>
        <v>Flaming Golem Smash</v>
      </c>
      <c r="B203" s="120">
        <f>IFERROR(__xludf.DUMMYFUNCTION("""COMPUTED_VALUE"""),1.0)</f>
        <v>1</v>
      </c>
      <c r="C203" s="16">
        <f>IFERROR(__xludf.DUMMYFUNCTION("""COMPUTED_VALUE"""),0.0)</f>
        <v>0</v>
      </c>
      <c r="D203" s="16"/>
      <c r="E203" s="16" t="str">
        <f>IFERROR(__xludf.DUMMYFUNCTION("""COMPUTED_VALUE"""),"All enemies take 10000 damage and 10000 fire damage, 50% chance to hit twice.")</f>
        <v>All enemies take 10000 damage and 10000 fire damage, 50% chance to hit twice.</v>
      </c>
      <c r="F203" s="16" t="str">
        <f>IFERROR(__xludf.DUMMYFUNCTION("""COMPUTED_VALUE"""),"Natural/Cannot Avoid")</f>
        <v>Natural/Cannot Avoid</v>
      </c>
      <c r="G203" s="16" t="str">
        <f>IFERROR(__xludf.DUMMYFUNCTION("""COMPUTED_VALUE"""),"All")</f>
        <v>All</v>
      </c>
      <c r="H203" s="16" t="str">
        <f>IFERROR(__xludf.DUMMYFUNCTION("""COMPUTED_VALUE"""),"Fire")</f>
        <v>Fire</v>
      </c>
      <c r="I203" s="16" t="str">
        <f>IFERROR(__xludf.DUMMYFUNCTION("""COMPUTED_VALUE"""),"Mob")</f>
        <v>Mob</v>
      </c>
      <c r="J203" s="16" t="b">
        <f>IFERROR(__xludf.DUMMYFUNCTION("""COMPUTED_VALUE"""),TRUE)</f>
        <v>1</v>
      </c>
      <c r="K203" s="16"/>
      <c r="L203" s="16" t="b">
        <f>IFERROR(__xludf.DUMMYFUNCTION("""COMPUTED_VALUE"""),FALSE)</f>
        <v>0</v>
      </c>
      <c r="M203" s="16" t="b">
        <f>IFERROR(__xludf.DUMMYFUNCTION("""COMPUTED_VALUE"""),FALSE)</f>
        <v>0</v>
      </c>
      <c r="N203" s="16"/>
    </row>
    <row r="204">
      <c r="A204" s="16" t="str">
        <f>IFERROR(__xludf.DUMMYFUNCTION("""COMPUTED_VALUE"""),"Flaming Horns")</f>
        <v>Flaming Horns</v>
      </c>
      <c r="B204" s="120">
        <f>IFERROR(__xludf.DUMMYFUNCTION("""COMPUTED_VALUE"""),1.0)</f>
        <v>1</v>
      </c>
      <c r="C204" s="119">
        <f>IFERROR(__xludf.DUMMYFUNCTION("""COMPUTED_VALUE"""),0.0)</f>
        <v>0</v>
      </c>
      <c r="D204" s="16"/>
      <c r="E204" s="16" t="str">
        <f>IFERROR(__xludf.DUMMYFUNCTION("""COMPUTED_VALUE"""),"X damage and X Fire damage to 2 targets, where X is equal to the users attack.")</f>
        <v>X damage and X Fire damage to 2 targets, where X is equal to the users attack.</v>
      </c>
      <c r="F204" s="16" t="str">
        <f>IFERROR(__xludf.DUMMYFUNCTION("""COMPUTED_VALUE"""),"Natural/Hit or Miss")</f>
        <v>Natural/Hit or Miss</v>
      </c>
      <c r="G204" s="16">
        <f>IFERROR(__xludf.DUMMYFUNCTION("""COMPUTED_VALUE"""),2.0)</f>
        <v>2</v>
      </c>
      <c r="H204" s="16" t="str">
        <f>IFERROR(__xludf.DUMMYFUNCTION("""COMPUTED_VALUE"""),"Fire")</f>
        <v>Fire</v>
      </c>
      <c r="I204" s="16" t="str">
        <f>IFERROR(__xludf.DUMMYFUNCTION("""COMPUTED_VALUE"""),"Mob")</f>
        <v>Mob</v>
      </c>
      <c r="J204" s="16" t="b">
        <f>IFERROR(__xludf.DUMMYFUNCTION("""COMPUTED_VALUE"""),TRUE)</f>
        <v>1</v>
      </c>
      <c r="K204" s="16" t="str">
        <f>IFERROR(__xludf.DUMMYFUNCTION("""COMPUTED_VALUE"""),"Mob power")</f>
        <v>Mob power</v>
      </c>
      <c r="L204" s="16" t="b">
        <f>IFERROR(__xludf.DUMMYFUNCTION("""COMPUTED_VALUE"""),FALSE)</f>
        <v>0</v>
      </c>
      <c r="M204" s="16" t="b">
        <f>IFERROR(__xludf.DUMMYFUNCTION("""COMPUTED_VALUE"""),FALSE)</f>
        <v>0</v>
      </c>
      <c r="N204" s="16"/>
    </row>
    <row r="205">
      <c r="A205" s="16" t="str">
        <f>IFERROR(__xludf.DUMMYFUNCTION("""COMPUTED_VALUE"""),"Flaming Spider Senses")</f>
        <v>Flaming Spider Senses</v>
      </c>
      <c r="B205" s="120">
        <f>IFERROR(__xludf.DUMMYFUNCTION("""COMPUTED_VALUE"""),1.0)</f>
        <v>1</v>
      </c>
      <c r="C205" s="119">
        <f>IFERROR(__xludf.DUMMYFUNCTION("""COMPUTED_VALUE"""),0.0)</f>
        <v>0</v>
      </c>
      <c r="D205" s="16"/>
      <c r="E205" s="16" t="str">
        <f>IFERROR(__xludf.DUMMYFUNCTION("""COMPUTED_VALUE"""),"Doubles the users next attack roll. Doubles fire damage for user.")</f>
        <v>Doubles the users next attack roll. Doubles fire damage for user.</v>
      </c>
      <c r="F205" s="16" t="str">
        <f>IFERROR(__xludf.DUMMYFUNCTION("""COMPUTED_VALUE"""),"Natural/Fail Or Succeed")</f>
        <v>Natural/Fail Or Succeed</v>
      </c>
      <c r="G205" s="16" t="str">
        <f>IFERROR(__xludf.DUMMYFUNCTION("""COMPUTED_VALUE"""),"Self")</f>
        <v>Self</v>
      </c>
      <c r="H205" s="16" t="str">
        <f>IFERROR(__xludf.DUMMYFUNCTION("""COMPUTED_VALUE"""),"Fire")</f>
        <v>Fire</v>
      </c>
      <c r="I205" s="16" t="str">
        <f>IFERROR(__xludf.DUMMYFUNCTION("""COMPUTED_VALUE"""),"Mob")</f>
        <v>Mob</v>
      </c>
      <c r="J205" s="16" t="b">
        <f>IFERROR(__xludf.DUMMYFUNCTION("""COMPUTED_VALUE"""),TRUE)</f>
        <v>1</v>
      </c>
      <c r="K205" s="16"/>
      <c r="L205" s="16" t="b">
        <f>IFERROR(__xludf.DUMMYFUNCTION("""COMPUTED_VALUE"""),FALSE)</f>
        <v>0</v>
      </c>
      <c r="M205" s="16" t="b">
        <f>IFERROR(__xludf.DUMMYFUNCTION("""COMPUTED_VALUE"""),FALSE)</f>
        <v>0</v>
      </c>
      <c r="N205" s="16"/>
    </row>
    <row r="206">
      <c r="A206" s="16" t="str">
        <f>IFERROR(__xludf.DUMMYFUNCTION("""COMPUTED_VALUE"""),"Flaming Tail Smash")</f>
        <v>Flaming Tail Smash</v>
      </c>
      <c r="B206" s="120">
        <f>IFERROR(__xludf.DUMMYFUNCTION("""COMPUTED_VALUE"""),1.0)</f>
        <v>1</v>
      </c>
      <c r="C206" s="119">
        <f>IFERROR(__xludf.DUMMYFUNCTION("""COMPUTED_VALUE"""),0.0)</f>
        <v>0</v>
      </c>
      <c r="D206" s="16"/>
      <c r="E206" s="16" t="str">
        <f>IFERROR(__xludf.DUMMYFUNCTION("""COMPUTED_VALUE"""),"10,000 fire damage to one target, 75% chance to deal 20,000 more fire damage to another target.")</f>
        <v>10,000 fire damage to one target, 75% chance to deal 20,000 more fire damage to another target.</v>
      </c>
      <c r="F206" s="16" t="str">
        <f>IFERROR(__xludf.DUMMYFUNCTION("""COMPUTED_VALUE"""),"Natural/Hit or Miss")</f>
        <v>Natural/Hit or Miss</v>
      </c>
      <c r="G206" s="16" t="str">
        <f>IFERROR(__xludf.DUMMYFUNCTION("""COMPUTED_VALUE"""),"1 or 2")</f>
        <v>1 or 2</v>
      </c>
      <c r="H206" s="16" t="str">
        <f>IFERROR(__xludf.DUMMYFUNCTION("""COMPUTED_VALUE"""),"Fire")</f>
        <v>Fire</v>
      </c>
      <c r="I206" s="16" t="str">
        <f>IFERROR(__xludf.DUMMYFUNCTION("""COMPUTED_VALUE"""),"Mob")</f>
        <v>Mob</v>
      </c>
      <c r="J206" s="16" t="b">
        <f>IFERROR(__xludf.DUMMYFUNCTION("""COMPUTED_VALUE"""),TRUE)</f>
        <v>1</v>
      </c>
      <c r="K206" s="16"/>
      <c r="L206" s="16" t="b">
        <f>IFERROR(__xludf.DUMMYFUNCTION("""COMPUTED_VALUE"""),FALSE)</f>
        <v>0</v>
      </c>
      <c r="M206" s="16" t="b">
        <f>IFERROR(__xludf.DUMMYFUNCTION("""COMPUTED_VALUE"""),FALSE)</f>
        <v>0</v>
      </c>
      <c r="N206" s="16"/>
    </row>
    <row r="207">
      <c r="A207" s="16" t="str">
        <f>IFERROR(__xludf.DUMMYFUNCTION("""COMPUTED_VALUE"""),"Forgotten Fire")</f>
        <v>Forgotten Fire</v>
      </c>
      <c r="B207" s="120">
        <f>IFERROR(__xludf.DUMMYFUNCTION("""COMPUTED_VALUE"""),8.0)</f>
        <v>8</v>
      </c>
      <c r="C207" s="16">
        <f>IFERROR(__xludf.DUMMYFUNCTION("""COMPUTED_VALUE"""),200.0)</f>
        <v>200</v>
      </c>
      <c r="D207" s="16"/>
      <c r="E207" s="16" t="str">
        <f>IFERROR(__xludf.DUMMYFUNCTION("""COMPUTED_VALUE"""),"Any damage you take from the next attack is doubled. Any fire damage you deal from your next attack is X4.")</f>
        <v>Any damage you take from the next attack is doubled. Any fire damage you deal from your next attack is X4.</v>
      </c>
      <c r="F207" s="16" t="str">
        <f>IFERROR(__xludf.DUMMYFUNCTION("""COMPUTED_VALUE"""),"Will Succeed")</f>
        <v>Will Succeed</v>
      </c>
      <c r="G207" s="16"/>
      <c r="H207" s="16" t="str">
        <f>IFERROR(__xludf.DUMMYFUNCTION("""COMPUTED_VALUE"""),"Fire")</f>
        <v>Fire</v>
      </c>
      <c r="I207" s="16" t="str">
        <f>IFERROR(__xludf.DUMMYFUNCTION("""COMPUTED_VALUE"""),"Player")</f>
        <v>Player</v>
      </c>
      <c r="J207" s="16" t="b">
        <f>IFERROR(__xludf.DUMMYFUNCTION("""COMPUTED_VALUE"""),FALSE)</f>
        <v>0</v>
      </c>
      <c r="K207" s="16"/>
      <c r="L207" s="16" t="b">
        <f>IFERROR(__xludf.DUMMYFUNCTION("""COMPUTED_VALUE"""),FALSE)</f>
        <v>0</v>
      </c>
      <c r="M207" s="16" t="b">
        <f>IFERROR(__xludf.DUMMYFUNCTION("""COMPUTED_VALUE"""),FALSE)</f>
        <v>0</v>
      </c>
      <c r="N207" s="16"/>
    </row>
    <row r="208">
      <c r="A208" s="16" t="str">
        <f>IFERROR(__xludf.DUMMYFUNCTION("""COMPUTED_VALUE"""),"Ignite")</f>
        <v>Ignite</v>
      </c>
      <c r="B208" s="120">
        <f>IFERROR(__xludf.DUMMYFUNCTION("""COMPUTED_VALUE"""),4.0)</f>
        <v>4</v>
      </c>
      <c r="C208" s="16" t="str">
        <f>IFERROR(__xludf.DUMMYFUNCTION("""COMPUTED_VALUE"""),"X")</f>
        <v>X</v>
      </c>
      <c r="D208" s="16"/>
      <c r="E208" s="16" t="str">
        <f>IFERROR(__xludf.DUMMYFUNCTION("""COMPUTED_VALUE"""),"Target gains X*4 Fire damage and X*4 Fire resistance, can’t be used on self")</f>
        <v>Target gains X*4 Fire damage and X*4 Fire resistance, can’t be used on self</v>
      </c>
      <c r="F208" s="16" t="str">
        <f>IFERROR(__xludf.DUMMYFUNCTION("""COMPUTED_VALUE"""),"Will Succeed")</f>
        <v>Will Succeed</v>
      </c>
      <c r="G208" s="16"/>
      <c r="H208" s="16" t="str">
        <f>IFERROR(__xludf.DUMMYFUNCTION("""COMPUTED_VALUE"""),"Fire")</f>
        <v>Fire</v>
      </c>
      <c r="I208" s="16" t="str">
        <f>IFERROR(__xludf.DUMMYFUNCTION("""COMPUTED_VALUE"""),"Player")</f>
        <v>Player</v>
      </c>
      <c r="J208" s="16" t="b">
        <f>IFERROR(__xludf.DUMMYFUNCTION("""COMPUTED_VALUE"""),FALSE)</f>
        <v>0</v>
      </c>
      <c r="K208" s="16"/>
      <c r="L208" s="16" t="b">
        <f>IFERROR(__xludf.DUMMYFUNCTION("""COMPUTED_VALUE"""),FALSE)</f>
        <v>0</v>
      </c>
      <c r="M208" s="16" t="b">
        <f>IFERROR(__xludf.DUMMYFUNCTION("""COMPUTED_VALUE"""),FALSE)</f>
        <v>0</v>
      </c>
      <c r="N208" s="16"/>
    </row>
    <row r="209">
      <c r="A209" s="16" t="str">
        <f>IFERROR(__xludf.DUMMYFUNCTION("""COMPUTED_VALUE"""),"Last Resort")</f>
        <v>Last Resort</v>
      </c>
      <c r="B209" s="120">
        <f>IFERROR(__xludf.DUMMYFUNCTION("""COMPUTED_VALUE"""),8.0)</f>
        <v>8</v>
      </c>
      <c r="C209" s="16"/>
      <c r="D209" s="16" t="str">
        <f>IFERROR(__xludf.DUMMYFUNCTION("""COMPUTED_VALUE"""),"X")</f>
        <v>X</v>
      </c>
      <c r="E209" s="16" t="str">
        <f>IFERROR(__xludf.DUMMYFUNCTION("""COMPUTED_VALUE"""),"You die and every enemy takes X*4 Fire Damage. X is equal to your current HP.")</f>
        <v>You die and every enemy takes X*4 Fire Damage. X is equal to your current HP.</v>
      </c>
      <c r="F209" s="16" t="str">
        <f>IFERROR(__xludf.DUMMYFUNCTION("""COMPUTED_VALUE"""),"Will Succeed")</f>
        <v>Will Succeed</v>
      </c>
      <c r="G209" s="16"/>
      <c r="H209" s="16" t="str">
        <f>IFERROR(__xludf.DUMMYFUNCTION("""COMPUTED_VALUE"""),"Fire")</f>
        <v>Fire</v>
      </c>
      <c r="I209" s="16" t="str">
        <f>IFERROR(__xludf.DUMMYFUNCTION("""COMPUTED_VALUE"""),"Player")</f>
        <v>Player</v>
      </c>
      <c r="J209" s="16" t="b">
        <f>IFERROR(__xludf.DUMMYFUNCTION("""COMPUTED_VALUE"""),FALSE)</f>
        <v>0</v>
      </c>
      <c r="K209" s="16"/>
      <c r="L209" s="16" t="b">
        <f>IFERROR(__xludf.DUMMYFUNCTION("""COMPUTED_VALUE"""),FALSE)</f>
        <v>0</v>
      </c>
      <c r="M209" s="16" t="b">
        <f>IFERROR(__xludf.DUMMYFUNCTION("""COMPUTED_VALUE"""),FALSE)</f>
        <v>0</v>
      </c>
      <c r="N209" s="16"/>
    </row>
    <row r="210">
      <c r="A210" s="16" t="str">
        <f>IFERROR(__xludf.DUMMYFUNCTION("""COMPUTED_VALUE"""),"Lesser Nova")</f>
        <v>Lesser Nova</v>
      </c>
      <c r="B210" s="120">
        <f>IFERROR(__xludf.DUMMYFUNCTION("""COMPUTED_VALUE"""),3.0)</f>
        <v>3</v>
      </c>
      <c r="C210" s="16" t="str">
        <f>IFERROR(__xludf.DUMMYFUNCTION("""COMPUTED_VALUE"""),"X")</f>
        <v>X</v>
      </c>
      <c r="D210" s="16"/>
      <c r="E210" s="16" t="str">
        <f>IFERROR(__xludf.DUMMYFUNCTION("""COMPUTED_VALUE"""),"X*25 Fire damage where X equals sp spent.")</f>
        <v>X*25 Fire damage where X equals sp spent.</v>
      </c>
      <c r="F210" s="16" t="str">
        <f>IFERROR(__xludf.DUMMYFUNCTION("""COMPUTED_VALUE"""),"Fail/Succeed")</f>
        <v>Fail/Succeed</v>
      </c>
      <c r="G210" s="16"/>
      <c r="H210" s="16" t="str">
        <f>IFERROR(__xludf.DUMMYFUNCTION("""COMPUTED_VALUE"""),"Fire")</f>
        <v>Fire</v>
      </c>
      <c r="I210" s="16" t="str">
        <f>IFERROR(__xludf.DUMMYFUNCTION("""COMPUTED_VALUE"""),"Player")</f>
        <v>Player</v>
      </c>
      <c r="J210" s="16" t="b">
        <f>IFERROR(__xludf.DUMMYFUNCTION("""COMPUTED_VALUE"""),FALSE)</f>
        <v>0</v>
      </c>
      <c r="K210" s="16"/>
      <c r="L210" s="16" t="b">
        <f>IFERROR(__xludf.DUMMYFUNCTION("""COMPUTED_VALUE"""),FALSE)</f>
        <v>0</v>
      </c>
      <c r="M210" s="16" t="b">
        <f>IFERROR(__xludf.DUMMYFUNCTION("""COMPUTED_VALUE"""),FALSE)</f>
        <v>0</v>
      </c>
      <c r="N210" s="16"/>
    </row>
    <row r="211">
      <c r="A211" s="16" t="str">
        <f>IFERROR(__xludf.DUMMYFUNCTION("""COMPUTED_VALUE"""),"Roar Of Heatmore")</f>
        <v>Roar Of Heatmore</v>
      </c>
      <c r="B211" s="120">
        <f>IFERROR(__xludf.DUMMYFUNCTION("""COMPUTED_VALUE"""),1.0)</f>
        <v>1</v>
      </c>
      <c r="C211" s="119">
        <f>IFERROR(__xludf.DUMMYFUNCTION("""COMPUTED_VALUE"""),0.0)</f>
        <v>0</v>
      </c>
      <c r="D211" s="16"/>
      <c r="E211" s="16" t="str">
        <f>IFERROR(__xludf.DUMMYFUNCTION("""COMPUTED_VALUE"""),"Lowers all enemies' evasion and mobility by 5, and causes Stun 3.")</f>
        <v>Lowers all enemies' evasion and mobility by 5, and causes Stun 3.</v>
      </c>
      <c r="F211" s="16" t="str">
        <f>IFERROR(__xludf.DUMMYFUNCTION("""COMPUTED_VALUE"""),"Natural/Fail Or Succeed")</f>
        <v>Natural/Fail Or Succeed</v>
      </c>
      <c r="G211" s="16" t="str">
        <f>IFERROR(__xludf.DUMMYFUNCTION("""COMPUTED_VALUE"""),"All")</f>
        <v>All</v>
      </c>
      <c r="H211" s="16" t="str">
        <f>IFERROR(__xludf.DUMMYFUNCTION("""COMPUTED_VALUE"""),"Fire")</f>
        <v>Fire</v>
      </c>
      <c r="I211" s="16" t="str">
        <f>IFERROR(__xludf.DUMMYFUNCTION("""COMPUTED_VALUE"""),"Mob")</f>
        <v>Mob</v>
      </c>
      <c r="J211" s="16" t="b">
        <f>IFERROR(__xludf.DUMMYFUNCTION("""COMPUTED_VALUE"""),TRUE)</f>
        <v>1</v>
      </c>
      <c r="K211" s="16" t="str">
        <f>IFERROR(__xludf.DUMMYFUNCTION("""COMPUTED_VALUE"""),"Cannot be obtained by players.")</f>
        <v>Cannot be obtained by players.</v>
      </c>
      <c r="L211" s="16" t="b">
        <f>IFERROR(__xludf.DUMMYFUNCTION("""COMPUTED_VALUE"""),FALSE)</f>
        <v>0</v>
      </c>
      <c r="M211" s="16" t="b">
        <f>IFERROR(__xludf.DUMMYFUNCTION("""COMPUTED_VALUE"""),FALSE)</f>
        <v>0</v>
      </c>
      <c r="N211" s="16"/>
    </row>
    <row r="212">
      <c r="A212" s="16" t="str">
        <f>IFERROR(__xludf.DUMMYFUNCTION("""COMPUTED_VALUE"""),"Royal Golem Flamequake")</f>
        <v>Royal Golem Flamequake</v>
      </c>
      <c r="B212" s="120">
        <f>IFERROR(__xludf.DUMMYFUNCTION("""COMPUTED_VALUE"""),9.0)</f>
        <v>9</v>
      </c>
      <c r="C212" s="119">
        <f>IFERROR(__xludf.DUMMYFUNCTION("""COMPUTED_VALUE"""),10000.0)</f>
        <v>10000</v>
      </c>
      <c r="D212" s="16"/>
      <c r="E212" s="16" t="str">
        <f>IFERROR(__xludf.DUMMYFUNCTION("""COMPUTED_VALUE"""),"20,000 fire damage to all enemies. X4 defense for self until the end of your next turn.")</f>
        <v>20,000 fire damage to all enemies. X4 defense for self until the end of your next turn.</v>
      </c>
      <c r="F212" s="16" t="str">
        <f>IFERROR(__xludf.DUMMYFUNCTION("""COMPUTED_VALUE"""),"Cannot Avoid")</f>
        <v>Cannot Avoid</v>
      </c>
      <c r="G212" s="16" t="str">
        <f>IFERROR(__xludf.DUMMYFUNCTION("""COMPUTED_VALUE"""),"All")</f>
        <v>All</v>
      </c>
      <c r="H212" s="16" t="str">
        <f>IFERROR(__xludf.DUMMYFUNCTION("""COMPUTED_VALUE"""),"Fire")</f>
        <v>Fire</v>
      </c>
      <c r="I212" s="16" t="str">
        <f>IFERROR(__xludf.DUMMYFUNCTION("""COMPUTED_VALUE"""),"Mob")</f>
        <v>Mob</v>
      </c>
      <c r="J212" s="16" t="b">
        <f>IFERROR(__xludf.DUMMYFUNCTION("""COMPUTED_VALUE"""),TRUE)</f>
        <v>1</v>
      </c>
      <c r="K212" s="16"/>
      <c r="L212" s="16" t="b">
        <f>IFERROR(__xludf.DUMMYFUNCTION("""COMPUTED_VALUE"""),FALSE)</f>
        <v>0</v>
      </c>
      <c r="M212" s="16" t="b">
        <f>IFERROR(__xludf.DUMMYFUNCTION("""COMPUTED_VALUE"""),FALSE)</f>
        <v>0</v>
      </c>
      <c r="N212" s="16"/>
    </row>
    <row r="213">
      <c r="A213" s="16" t="str">
        <f>IFERROR(__xludf.DUMMYFUNCTION("""COMPUTED_VALUE"""),"Sacred Flame Peck")</f>
        <v>Sacred Flame Peck</v>
      </c>
      <c r="B213" s="120">
        <f>IFERROR(__xludf.DUMMYFUNCTION("""COMPUTED_VALUE"""),1.0)</f>
        <v>1</v>
      </c>
      <c r="C213" s="119">
        <f>IFERROR(__xludf.DUMMYFUNCTION("""COMPUTED_VALUE"""),0.0)</f>
        <v>0</v>
      </c>
      <c r="D213" s="16"/>
      <c r="E213" s="16" t="str">
        <f>IFERROR(__xludf.DUMMYFUNCTION("""COMPUTED_VALUE"""),"10000 damage +10000 fire damage.")</f>
        <v>10000 damage +10000 fire damage.</v>
      </c>
      <c r="F213" s="16" t="str">
        <f>IFERROR(__xludf.DUMMYFUNCTION("""COMPUTED_VALUE"""),"Natural/Hit Or Miss")</f>
        <v>Natural/Hit Or Miss</v>
      </c>
      <c r="G213" s="16">
        <f>IFERROR(__xludf.DUMMYFUNCTION("""COMPUTED_VALUE"""),1.0)</f>
        <v>1</v>
      </c>
      <c r="H213" s="16" t="str">
        <f>IFERROR(__xludf.DUMMYFUNCTION("""COMPUTED_VALUE"""),"Fire")</f>
        <v>Fire</v>
      </c>
      <c r="I213" s="16" t="str">
        <f>IFERROR(__xludf.DUMMYFUNCTION("""COMPUTED_VALUE"""),"Mob")</f>
        <v>Mob</v>
      </c>
      <c r="J213" s="16" t="b">
        <f>IFERROR(__xludf.DUMMYFUNCTION("""COMPUTED_VALUE"""),TRUE)</f>
        <v>1</v>
      </c>
      <c r="K213" s="16"/>
      <c r="L213" s="16" t="b">
        <f>IFERROR(__xludf.DUMMYFUNCTION("""COMPUTED_VALUE"""),FALSE)</f>
        <v>0</v>
      </c>
      <c r="M213" s="16" t="b">
        <f>IFERROR(__xludf.DUMMYFUNCTION("""COMPUTED_VALUE"""),FALSE)</f>
        <v>0</v>
      </c>
      <c r="N213" s="16"/>
    </row>
    <row r="214">
      <c r="A214" s="16" t="str">
        <f>IFERROR(__xludf.DUMMYFUNCTION("""COMPUTED_VALUE"""),"Screech of the Ostrich")</f>
        <v>Screech of the Ostrich</v>
      </c>
      <c r="B214" s="120">
        <f>IFERROR(__xludf.DUMMYFUNCTION("""COMPUTED_VALUE"""),1.0)</f>
        <v>1</v>
      </c>
      <c r="C214" s="119">
        <f>IFERROR(__xludf.DUMMYFUNCTION("""COMPUTED_VALUE"""),0.0)</f>
        <v>0</v>
      </c>
      <c r="D214" s="16"/>
      <c r="E214" s="16" t="str">
        <f>IFERROR(__xludf.DUMMYFUNCTION("""COMPUTED_VALUE"""),"Calls 1 Ancient Flame Ostrich to battle. Has a 50% Chance to call 2 of them.")</f>
        <v>Calls 1 Ancient Flame Ostrich to battle. Has a 50% Chance to call 2 of them.</v>
      </c>
      <c r="F214" s="16" t="str">
        <f>IFERROR(__xludf.DUMMYFUNCTION("""COMPUTED_VALUE"""),"Natural/Fail Or Succeed")</f>
        <v>Natural/Fail Or Succeed</v>
      </c>
      <c r="G214" s="16" t="str">
        <f>IFERROR(__xludf.DUMMYFUNCTION("""COMPUTED_VALUE"""),"Self")</f>
        <v>Self</v>
      </c>
      <c r="H214" s="16" t="str">
        <f>IFERROR(__xludf.DUMMYFUNCTION("""COMPUTED_VALUE"""),"Fire")</f>
        <v>Fire</v>
      </c>
      <c r="I214" s="16" t="str">
        <f>IFERROR(__xludf.DUMMYFUNCTION("""COMPUTED_VALUE"""),"Mob")</f>
        <v>Mob</v>
      </c>
      <c r="J214" s="16" t="b">
        <f>IFERROR(__xludf.DUMMYFUNCTION("""COMPUTED_VALUE"""),TRUE)</f>
        <v>1</v>
      </c>
      <c r="K214" s="16"/>
      <c r="L214" s="16" t="b">
        <f>IFERROR(__xludf.DUMMYFUNCTION("""COMPUTED_VALUE"""),FALSE)</f>
        <v>0</v>
      </c>
      <c r="M214" s="16" t="b">
        <f>IFERROR(__xludf.DUMMYFUNCTION("""COMPUTED_VALUE"""),FALSE)</f>
        <v>0</v>
      </c>
      <c r="N214" s="16"/>
    </row>
    <row r="215">
      <c r="A215" s="16" t="str">
        <f>IFERROR(__xludf.DUMMYFUNCTION("""COMPUTED_VALUE"""),"Solar Storm")</f>
        <v>Solar Storm</v>
      </c>
      <c r="B215" s="120">
        <f>IFERROR(__xludf.DUMMYFUNCTION("""COMPUTED_VALUE"""),9.0)</f>
        <v>9</v>
      </c>
      <c r="C215" s="16">
        <f>IFERROR(__xludf.DUMMYFUNCTION("""COMPUTED_VALUE"""),2000.0)</f>
        <v>2000</v>
      </c>
      <c r="D215" s="16"/>
      <c r="E215" s="16" t="str">
        <f>IFERROR(__xludf.DUMMYFUNCTION("""COMPUTED_VALUE"""),"20,000 burn to all enemies for 3 rounds. X2 fire damage for self and allies for 3 rounds.")</f>
        <v>20,000 burn to all enemies for 3 rounds. X2 fire damage for self and allies for 3 rounds.</v>
      </c>
      <c r="F215" s="16" t="str">
        <f>IFERROR(__xludf.DUMMYFUNCTION("""COMPUTED_VALUE"""),"Cannot Avoid")</f>
        <v>Cannot Avoid</v>
      </c>
      <c r="G215" s="16"/>
      <c r="H215" s="16" t="str">
        <f>IFERROR(__xludf.DUMMYFUNCTION("""COMPUTED_VALUE"""),"Fire")</f>
        <v>Fire</v>
      </c>
      <c r="I215" s="16" t="str">
        <f>IFERROR(__xludf.DUMMYFUNCTION("""COMPUTED_VALUE"""),"Player")</f>
        <v>Player</v>
      </c>
      <c r="J215" s="16" t="b">
        <f>IFERROR(__xludf.DUMMYFUNCTION("""COMPUTED_VALUE"""),FALSE)</f>
        <v>0</v>
      </c>
      <c r="K215" s="16"/>
      <c r="L215" s="16" t="b">
        <f>IFERROR(__xludf.DUMMYFUNCTION("""COMPUTED_VALUE"""),FALSE)</f>
        <v>0</v>
      </c>
      <c r="M215" s="16" t="b">
        <f>IFERROR(__xludf.DUMMYFUNCTION("""COMPUTED_VALUE"""),FALSE)</f>
        <v>0</v>
      </c>
      <c r="N215" s="16"/>
    </row>
    <row r="216">
      <c r="A216" s="16" t="str">
        <f>IFERROR(__xludf.DUMMYFUNCTION("""COMPUTED_VALUE"""),"Underling Stampede")</f>
        <v>Underling Stampede</v>
      </c>
      <c r="B216" s="120">
        <f>IFERROR(__xludf.DUMMYFUNCTION("""COMPUTED_VALUE"""),1.0)</f>
        <v>1</v>
      </c>
      <c r="C216" s="119">
        <f>IFERROR(__xludf.DUMMYFUNCTION("""COMPUTED_VALUE"""),0.0)</f>
        <v>0</v>
      </c>
      <c r="D216" s="16"/>
      <c r="E216" s="16" t="str">
        <f>IFERROR(__xludf.DUMMYFUNCTION("""COMPUTED_VALUE"""),"50% chance to call in 1 Heatmore Underling to battle.")</f>
        <v>50% chance to call in 1 Heatmore Underling to battle.</v>
      </c>
      <c r="F216" s="16" t="str">
        <f>IFERROR(__xludf.DUMMYFUNCTION("""COMPUTED_VALUE"""),"Natural/Fail Or Succeed")</f>
        <v>Natural/Fail Or Succeed</v>
      </c>
      <c r="G216" s="16" t="str">
        <f>IFERROR(__xludf.DUMMYFUNCTION("""COMPUTED_VALUE"""),"Self")</f>
        <v>Self</v>
      </c>
      <c r="H216" s="16" t="str">
        <f>IFERROR(__xludf.DUMMYFUNCTION("""COMPUTED_VALUE"""),"Fire")</f>
        <v>Fire</v>
      </c>
      <c r="I216" s="16" t="str">
        <f>IFERROR(__xludf.DUMMYFUNCTION("""COMPUTED_VALUE"""),"Mob")</f>
        <v>Mob</v>
      </c>
      <c r="J216" s="16" t="b">
        <f>IFERROR(__xludf.DUMMYFUNCTION("""COMPUTED_VALUE"""),TRUE)</f>
        <v>1</v>
      </c>
      <c r="K216" s="16"/>
      <c r="L216" s="16" t="b">
        <f>IFERROR(__xludf.DUMMYFUNCTION("""COMPUTED_VALUE"""),FALSE)</f>
        <v>0</v>
      </c>
      <c r="M216" s="16" t="b">
        <f>IFERROR(__xludf.DUMMYFUNCTION("""COMPUTED_VALUE"""),FALSE)</f>
        <v>0</v>
      </c>
      <c r="N216" s="16"/>
    </row>
    <row r="217">
      <c r="A217" s="16" t="str">
        <f>IFERROR(__xludf.DUMMYFUNCTION("""COMPUTED_VALUE"""),"Volcanic Claws")</f>
        <v>Volcanic Claws</v>
      </c>
      <c r="B217" s="120">
        <f>IFERROR(__xludf.DUMMYFUNCTION("""COMPUTED_VALUE"""),1.0)</f>
        <v>1</v>
      </c>
      <c r="C217" s="119">
        <f>IFERROR(__xludf.DUMMYFUNCTION("""COMPUTED_VALUE"""),0.0)</f>
        <v>0</v>
      </c>
      <c r="D217" s="16"/>
      <c r="E217" s="16" t="str">
        <f>IFERROR(__xludf.DUMMYFUNCTION("""COMPUTED_VALUE"""),"10,000 fire damage, Burn 5,000. cannot resist or be immune to.")</f>
        <v>10,000 fire damage, Burn 5,000. cannot resist or be immune to.</v>
      </c>
      <c r="F217" s="16" t="str">
        <f>IFERROR(__xludf.DUMMYFUNCTION("""COMPUTED_VALUE"""),"Natural/Hit Or Miss")</f>
        <v>Natural/Hit Or Miss</v>
      </c>
      <c r="G217" s="16">
        <f>IFERROR(__xludf.DUMMYFUNCTION("""COMPUTED_VALUE"""),1.0)</f>
        <v>1</v>
      </c>
      <c r="H217" s="16" t="str">
        <f>IFERROR(__xludf.DUMMYFUNCTION("""COMPUTED_VALUE"""),"Fire")</f>
        <v>Fire</v>
      </c>
      <c r="I217" s="16" t="str">
        <f>IFERROR(__xludf.DUMMYFUNCTION("""COMPUTED_VALUE"""),"Mob")</f>
        <v>Mob</v>
      </c>
      <c r="J217" s="16" t="b">
        <f>IFERROR(__xludf.DUMMYFUNCTION("""COMPUTED_VALUE"""),TRUE)</f>
        <v>1</v>
      </c>
      <c r="K217" s="16"/>
      <c r="L217" s="16" t="b">
        <f>IFERROR(__xludf.DUMMYFUNCTION("""COMPUTED_VALUE"""),FALSE)</f>
        <v>0</v>
      </c>
      <c r="M217" s="16" t="b">
        <f>IFERROR(__xludf.DUMMYFUNCTION("""COMPUTED_VALUE"""),FALSE)</f>
        <v>0</v>
      </c>
      <c r="N217" s="16"/>
    </row>
    <row r="218">
      <c r="A218" s="16" t="str">
        <f>IFERROR(__xludf.DUMMYFUNCTION("""COMPUTED_VALUE"""),"Volcanic Rain")</f>
        <v>Volcanic Rain</v>
      </c>
      <c r="B218" s="120">
        <f>IFERROR(__xludf.DUMMYFUNCTION("""COMPUTED_VALUE"""),9.0)</f>
        <v>9</v>
      </c>
      <c r="C218" s="119">
        <f>IFERROR(__xludf.DUMMYFUNCTION("""COMPUTED_VALUE"""),25000.0)</f>
        <v>25000</v>
      </c>
      <c r="D218" s="16"/>
      <c r="E218" s="16" t="str">
        <f>IFERROR(__xludf.DUMMYFUNCTION("""COMPUTED_VALUE"""),"Summons a rainstorm of lava dealing 25,000 undefendable Fire damage for 3 rounds to all enemies, Fire spell damage is increased by X2 damage for 3 rounds.")</f>
        <v>Summons a rainstorm of lava dealing 25,000 undefendable Fire damage for 3 rounds to all enemies, Fire spell damage is increased by X2 damage for 3 rounds.</v>
      </c>
      <c r="F218" s="16" t="str">
        <f>IFERROR(__xludf.DUMMYFUNCTION("""COMPUTED_VALUE"""),"Cannot Avoid")</f>
        <v>Cannot Avoid</v>
      </c>
      <c r="G218" s="16"/>
      <c r="H218" s="16" t="str">
        <f>IFERROR(__xludf.DUMMYFUNCTION("""COMPUTED_VALUE"""),"Fire")</f>
        <v>Fire</v>
      </c>
      <c r="I218" s="16" t="str">
        <f>IFERROR(__xludf.DUMMYFUNCTION("""COMPUTED_VALUE"""),"Player")</f>
        <v>Player</v>
      </c>
      <c r="J218" s="16" t="b">
        <f>IFERROR(__xludf.DUMMYFUNCTION("""COMPUTED_VALUE"""),FALSE)</f>
        <v>0</v>
      </c>
      <c r="K218" s="16"/>
      <c r="L218" s="16" t="b">
        <f>IFERROR(__xludf.DUMMYFUNCTION("""COMPUTED_VALUE"""),TRUE)</f>
        <v>1</v>
      </c>
      <c r="M218" s="16" t="b">
        <f>IFERROR(__xludf.DUMMYFUNCTION("""COMPUTED_VALUE"""),FALSE)</f>
        <v>0</v>
      </c>
      <c r="N218" s="16"/>
    </row>
    <row r="219">
      <c r="A219" s="16" t="str">
        <f>IFERROR(__xludf.DUMMYFUNCTION("""COMPUTED_VALUE"""),"Volcanic Wall")</f>
        <v>Volcanic Wall</v>
      </c>
      <c r="B219" s="120">
        <f>IFERROR(__xludf.DUMMYFUNCTION("""COMPUTED_VALUE"""),9.0)</f>
        <v>9</v>
      </c>
      <c r="C219" s="16">
        <f>IFERROR(__xludf.DUMMYFUNCTION("""COMPUTED_VALUE"""),300.0)</f>
        <v>300</v>
      </c>
      <c r="D219" s="16"/>
      <c r="E219"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219" s="16" t="str">
        <f>IFERROR(__xludf.DUMMYFUNCTION("""COMPUTED_VALUE"""),"Fail/Succeed")</f>
        <v>Fail/Succeed</v>
      </c>
      <c r="G219" s="16"/>
      <c r="H219" s="16" t="str">
        <f>IFERROR(__xludf.DUMMYFUNCTION("""COMPUTED_VALUE"""),"Fire")</f>
        <v>Fire</v>
      </c>
      <c r="I219" s="16" t="str">
        <f>IFERROR(__xludf.DUMMYFUNCTION("""COMPUTED_VALUE"""),"Player")</f>
        <v>Player</v>
      </c>
      <c r="J219" s="16" t="b">
        <f>IFERROR(__xludf.DUMMYFUNCTION("""COMPUTED_VALUE"""),FALSE)</f>
        <v>0</v>
      </c>
      <c r="K219" s="16"/>
      <c r="L219" s="16" t="b">
        <f>IFERROR(__xludf.DUMMYFUNCTION("""COMPUTED_VALUE"""),FALSE)</f>
        <v>0</v>
      </c>
      <c r="M219" s="16" t="b">
        <f>IFERROR(__xludf.DUMMYFUNCTION("""COMPUTED_VALUE"""),FALSE)</f>
        <v>0</v>
      </c>
      <c r="N219" s="16"/>
    </row>
    <row r="220">
      <c r="A220" s="16" t="str">
        <f>IFERROR(__xludf.DUMMYFUNCTION("""COMPUTED_VALUE"""),"Webs Of Inferno")</f>
        <v>Webs Of Inferno</v>
      </c>
      <c r="B220" s="120">
        <f>IFERROR(__xludf.DUMMYFUNCTION("""COMPUTED_VALUE"""),1.0)</f>
        <v>1</v>
      </c>
      <c r="C220" s="119">
        <f>IFERROR(__xludf.DUMMYFUNCTION("""COMPUTED_VALUE"""),0.0)</f>
        <v>0</v>
      </c>
      <c r="D220" s="16"/>
      <c r="E220" s="16" t="str">
        <f>IFERROR(__xludf.DUMMYFUNCTION("""COMPUTED_VALUE"""),"All targets are bound in flaming webs causing Stun 3, and dealing 500 fire damage p/r for 3 rounds.")</f>
        <v>All targets are bound in flaming webs causing Stun 3, and dealing 500 fire damage p/r for 3 rounds.</v>
      </c>
      <c r="F220" s="16" t="str">
        <f>IFERROR(__xludf.DUMMYFUNCTION("""COMPUTED_VALUE"""),"Natural/Fail Or Succeed")</f>
        <v>Natural/Fail Or Succeed</v>
      </c>
      <c r="G220" s="16" t="str">
        <f>IFERROR(__xludf.DUMMYFUNCTION("""COMPUTED_VALUE"""),"All")</f>
        <v>All</v>
      </c>
      <c r="H220" s="16" t="str">
        <f>IFERROR(__xludf.DUMMYFUNCTION("""COMPUTED_VALUE"""),"Fire")</f>
        <v>Fire</v>
      </c>
      <c r="I220" s="16" t="str">
        <f>IFERROR(__xludf.DUMMYFUNCTION("""COMPUTED_VALUE"""),"Mob")</f>
        <v>Mob</v>
      </c>
      <c r="J220" s="16" t="b">
        <f>IFERROR(__xludf.DUMMYFUNCTION("""COMPUTED_VALUE"""),TRUE)</f>
        <v>1</v>
      </c>
      <c r="K220" s="16" t="str">
        <f>IFERROR(__xludf.DUMMYFUNCTION("""COMPUTED_VALUE"""),"Cannot be obtained by players.")</f>
        <v>Cannot be obtained by players.</v>
      </c>
      <c r="L220" s="16" t="b">
        <f>IFERROR(__xludf.DUMMYFUNCTION("""COMPUTED_VALUE"""),FALSE)</f>
        <v>0</v>
      </c>
      <c r="M220" s="16" t="b">
        <f>IFERROR(__xludf.DUMMYFUNCTION("""COMPUTED_VALUE"""),FALSE)</f>
        <v>0</v>
      </c>
      <c r="N220" s="16"/>
    </row>
    <row r="221">
      <c r="A221" s="16" t="str">
        <f>IFERROR(__xludf.DUMMYFUNCTION("""COMPUTED_VALUE"""),"Wrath of Heatmore")</f>
        <v>Wrath of Heatmore</v>
      </c>
      <c r="B221" s="120">
        <f>IFERROR(__xludf.DUMMYFUNCTION("""COMPUTED_VALUE"""),9.0)</f>
        <v>9</v>
      </c>
      <c r="C221" s="119">
        <f>IFERROR(__xludf.DUMMYFUNCTION("""COMPUTED_VALUE"""),10000.0)</f>
        <v>10000</v>
      </c>
      <c r="D221" s="16"/>
      <c r="E221" s="16" t="str">
        <f>IFERROR(__xludf.DUMMYFUNCTION("""COMPUTED_VALUE"""),"100,000 fire damage to all enemies. Cannot resist or be immune to.")</f>
        <v>100,000 fire damage to all enemies. Cannot resist or be immune to.</v>
      </c>
      <c r="F221" s="16" t="str">
        <f>IFERROR(__xludf.DUMMYFUNCTION("""COMPUTED_VALUE"""),"Cannot Avoid")</f>
        <v>Cannot Avoid</v>
      </c>
      <c r="G221" s="16" t="str">
        <f>IFERROR(__xludf.DUMMYFUNCTION("""COMPUTED_VALUE"""),"All")</f>
        <v>All</v>
      </c>
      <c r="H221" s="16" t="str">
        <f>IFERROR(__xludf.DUMMYFUNCTION("""COMPUTED_VALUE"""),"Fire")</f>
        <v>Fire</v>
      </c>
      <c r="I221" s="16" t="str">
        <f>IFERROR(__xludf.DUMMYFUNCTION("""COMPUTED_VALUE"""),"Mob")</f>
        <v>Mob</v>
      </c>
      <c r="J221" s="16" t="b">
        <f>IFERROR(__xludf.DUMMYFUNCTION("""COMPUTED_VALUE"""),TRUE)</f>
        <v>1</v>
      </c>
      <c r="K221" s="16"/>
      <c r="L221" s="16" t="b">
        <f>IFERROR(__xludf.DUMMYFUNCTION("""COMPUTED_VALUE"""),FALSE)</f>
        <v>0</v>
      </c>
      <c r="M221" s="16" t="b">
        <f>IFERROR(__xludf.DUMMYFUNCTION("""COMPUTED_VALUE"""),FALSE)</f>
        <v>0</v>
      </c>
      <c r="N221" s="16"/>
    </row>
    <row r="222">
      <c r="A222" s="16" t="str">
        <f>IFERROR(__xludf.DUMMYFUNCTION("""COMPUTED_VALUE"""),"Wrath Of The Fire Dragon")</f>
        <v>Wrath Of The Fire Dragon</v>
      </c>
      <c r="B222" s="120">
        <f>IFERROR(__xludf.DUMMYFUNCTION("""COMPUTED_VALUE"""),1.0)</f>
        <v>1</v>
      </c>
      <c r="C222" s="119">
        <f>IFERROR(__xludf.DUMMYFUNCTION("""COMPUTED_VALUE"""),0.0)</f>
        <v>0</v>
      </c>
      <c r="D222" s="16"/>
      <c r="E222" s="16" t="str">
        <f>IFERROR(__xludf.DUMMYFUNCTION("""COMPUTED_VALUE"""),"10,000 fire damage to all enemies. Cannot resist or be immune to.")</f>
        <v>10,000 fire damage to all enemies. Cannot resist or be immune to.</v>
      </c>
      <c r="F222" s="16" t="str">
        <f>IFERROR(__xludf.DUMMYFUNCTION("""COMPUTED_VALUE"""),"Natural/Cannot Avoid")</f>
        <v>Natural/Cannot Avoid</v>
      </c>
      <c r="G222" s="16" t="str">
        <f>IFERROR(__xludf.DUMMYFUNCTION("""COMPUTED_VALUE"""),"All")</f>
        <v>All</v>
      </c>
      <c r="H222" s="16" t="str">
        <f>IFERROR(__xludf.DUMMYFUNCTION("""COMPUTED_VALUE"""),"Fire")</f>
        <v>Fire</v>
      </c>
      <c r="I222" s="16" t="str">
        <f>IFERROR(__xludf.DUMMYFUNCTION("""COMPUTED_VALUE"""),"Mob")</f>
        <v>Mob</v>
      </c>
      <c r="J222" s="16" t="b">
        <f>IFERROR(__xludf.DUMMYFUNCTION("""COMPUTED_VALUE"""),TRUE)</f>
        <v>1</v>
      </c>
      <c r="K222" s="16"/>
      <c r="L222" s="16" t="b">
        <f>IFERROR(__xludf.DUMMYFUNCTION("""COMPUTED_VALUE"""),FALSE)</f>
        <v>0</v>
      </c>
      <c r="M222" s="16" t="b">
        <f>IFERROR(__xludf.DUMMYFUNCTION("""COMPUTED_VALUE"""),FALSE)</f>
        <v>0</v>
      </c>
      <c r="N222" s="16"/>
    </row>
    <row r="223">
      <c r="A223" s="16" t="str">
        <f>IFERROR(__xludf.DUMMYFUNCTION("""COMPUTED_VALUE"""),"Forged in Fire")</f>
        <v>Forged in Fire</v>
      </c>
      <c r="B223" s="120">
        <f>IFERROR(__xludf.DUMMYFUNCTION("""COMPUTED_VALUE"""),9.0)</f>
        <v>9</v>
      </c>
      <c r="C223" s="16" t="str">
        <f>IFERROR(__xludf.DUMMYFUNCTION("""COMPUTED_VALUE"""),"X")</f>
        <v>X</v>
      </c>
      <c r="D223" s="16"/>
      <c r="E223" s="16" t="str">
        <f>IFERROR(__xludf.DUMMYFUNCTION("""COMPUTED_VALUE"""),"Take X Fire damage but any enemy that deals weapon damage to you takes X*2 Burn for 3 rounds.")</f>
        <v>Take X Fire damage but any enemy that deals weapon damage to you takes X*2 Burn for 3 rounds.</v>
      </c>
      <c r="F223" s="16" t="str">
        <f>IFERROR(__xludf.DUMMYFUNCTION("""COMPUTED_VALUE"""),"Fail/Succeed")</f>
        <v>Fail/Succeed</v>
      </c>
      <c r="G223" s="16" t="str">
        <f>IFERROR(__xludf.DUMMYFUNCTION("""COMPUTED_VALUE"""),"Self")</f>
        <v>Self</v>
      </c>
      <c r="H223" s="16" t="str">
        <f>IFERROR(__xludf.DUMMYFUNCTION("""COMPUTED_VALUE"""),"Fire")</f>
        <v>Fire</v>
      </c>
      <c r="I223" s="16" t="str">
        <f>IFERROR(__xludf.DUMMYFUNCTION("""COMPUTED_VALUE"""),"Mob")</f>
        <v>Mob</v>
      </c>
      <c r="J223" s="16" t="b">
        <f>IFERROR(__xludf.DUMMYFUNCTION("""COMPUTED_VALUE"""),TRUE)</f>
        <v>1</v>
      </c>
      <c r="K223" s="16"/>
      <c r="L223" s="16" t="b">
        <f>IFERROR(__xludf.DUMMYFUNCTION("""COMPUTED_VALUE"""),FALSE)</f>
        <v>0</v>
      </c>
      <c r="M223" s="16" t="b">
        <f>IFERROR(__xludf.DUMMYFUNCTION("""COMPUTED_VALUE"""),FALSE)</f>
        <v>0</v>
      </c>
      <c r="N223" s="16"/>
    </row>
    <row r="224">
      <c r="A224" s="16" t="str">
        <f>IFERROR(__xludf.DUMMYFUNCTION("""COMPUTED_VALUE"""),"Overcharge")</f>
        <v>Overcharge</v>
      </c>
      <c r="B224" s="120">
        <f>IFERROR(__xludf.DUMMYFUNCTION("""COMPUTED_VALUE"""),5.0)</f>
        <v>5</v>
      </c>
      <c r="C224" s="16">
        <f>IFERROR(__xludf.DUMMYFUNCTION("""COMPUTED_VALUE"""),0.0)</f>
        <v>0</v>
      </c>
      <c r="D224" s="16"/>
      <c r="E224" s="16" t="str">
        <f>IFERROR(__xludf.DUMMYFUNCTION("""COMPUTED_VALUE"""),"If you are a construct Take 5,000 fire damage (cannot resist or be immune to) but deal X4 damage with your next attack.")</f>
        <v>If you are a construct Take 5,000 fire damage (cannot resist or be immune to) but deal X4 damage with your next attack.</v>
      </c>
      <c r="F224" s="16" t="str">
        <f>IFERROR(__xludf.DUMMYFUNCTION("""COMPUTED_VALUE"""),"Natural/Fail or Succeed")</f>
        <v>Natural/Fail or Succeed</v>
      </c>
      <c r="G224" s="16" t="str">
        <f>IFERROR(__xludf.DUMMYFUNCTION("""COMPUTED_VALUE"""),"Self")</f>
        <v>Self</v>
      </c>
      <c r="H224" s="16" t="str">
        <f>IFERROR(__xludf.DUMMYFUNCTION("""COMPUTED_VALUE"""),"Fire")</f>
        <v>Fire</v>
      </c>
      <c r="I224" s="16" t="str">
        <f>IFERROR(__xludf.DUMMYFUNCTION("""COMPUTED_VALUE"""),"Player")</f>
        <v>Player</v>
      </c>
      <c r="J224" s="16" t="b">
        <f>IFERROR(__xludf.DUMMYFUNCTION("""COMPUTED_VALUE"""),TRUE)</f>
        <v>1</v>
      </c>
      <c r="K224" s="16" t="str">
        <f>IFERROR(__xludf.DUMMYFUNCTION("""COMPUTED_VALUE"""),"Mekanian")</f>
        <v>Mekanian</v>
      </c>
      <c r="L224" s="16" t="b">
        <f>IFERROR(__xludf.DUMMYFUNCTION("""COMPUTED_VALUE"""),FALSE)</f>
        <v>0</v>
      </c>
      <c r="M224" s="16" t="b">
        <f>IFERROR(__xludf.DUMMYFUNCTION("""COMPUTED_VALUE"""),FALSE)</f>
        <v>0</v>
      </c>
      <c r="N224" s="16"/>
    </row>
    <row r="225">
      <c r="A225" s="16" t="str">
        <f>IFERROR(__xludf.DUMMYFUNCTION("""COMPUTED_VALUE"""),"Cooldown")</f>
        <v>Cooldown</v>
      </c>
      <c r="B225" s="120">
        <f>IFERROR(__xludf.DUMMYFUNCTION("""COMPUTED_VALUE"""),3.0)</f>
        <v>3</v>
      </c>
      <c r="C225" s="16">
        <f>IFERROR(__xludf.DUMMYFUNCTION("""COMPUTED_VALUE"""),0.0)</f>
        <v>0</v>
      </c>
      <c r="D225" s="16"/>
      <c r="E225" s="16" t="str">
        <f>IFERROR(__xludf.DUMMYFUNCTION("""COMPUTED_VALUE"""),"If you are a construct or mechanical in nature take half the damage dealt to you from the next attack that hits you, but deal 1/4 fire damage on your next attack.")</f>
        <v>If you are a construct or mechanical in nature take half the damage dealt to you from the next attack that hits you, but deal 1/4 fire damage on your next attack.</v>
      </c>
      <c r="F225" s="16" t="str">
        <f>IFERROR(__xludf.DUMMYFUNCTION("""COMPUTED_VALUE"""),"Natural/Fail or Succeed")</f>
        <v>Natural/Fail or Succeed</v>
      </c>
      <c r="G225" s="16" t="str">
        <f>IFERROR(__xludf.DUMMYFUNCTION("""COMPUTED_VALUE"""),"Self")</f>
        <v>Self</v>
      </c>
      <c r="H225" s="16" t="str">
        <f>IFERROR(__xludf.DUMMYFUNCTION("""COMPUTED_VALUE"""),"Fire")</f>
        <v>Fire</v>
      </c>
      <c r="I225" s="16" t="str">
        <f>IFERROR(__xludf.DUMMYFUNCTION("""COMPUTED_VALUE"""),"Player")</f>
        <v>Player</v>
      </c>
      <c r="J225" s="16" t="b">
        <f>IFERROR(__xludf.DUMMYFUNCTION("""COMPUTED_VALUE"""),TRUE)</f>
        <v>1</v>
      </c>
      <c r="K225" s="16" t="str">
        <f>IFERROR(__xludf.DUMMYFUNCTION("""COMPUTED_VALUE"""),"Mekanian")</f>
        <v>Mekanian</v>
      </c>
      <c r="L225" s="16" t="b">
        <f>IFERROR(__xludf.DUMMYFUNCTION("""COMPUTED_VALUE"""),FALSE)</f>
        <v>0</v>
      </c>
      <c r="M225" s="16" t="b">
        <f>IFERROR(__xludf.DUMMYFUNCTION("""COMPUTED_VALUE"""),FALSE)</f>
        <v>0</v>
      </c>
      <c r="N225" s="16"/>
    </row>
    <row r="226">
      <c r="A226" s="16" t="str">
        <f>IFERROR(__xludf.DUMMYFUNCTION("""COMPUTED_VALUE"""),"Recharge")</f>
        <v>Recharge</v>
      </c>
      <c r="B226" s="120">
        <f>IFERROR(__xludf.DUMMYFUNCTION("""COMPUTED_VALUE"""),9.0)</f>
        <v>9</v>
      </c>
      <c r="C226" s="16">
        <f>IFERROR(__xludf.DUMMYFUNCTION("""COMPUTED_VALUE"""),0.0)</f>
        <v>0</v>
      </c>
      <c r="D226" s="16"/>
      <c r="E226" s="16" t="str">
        <f>IFERROR(__xludf.DUMMYFUNCTION("""COMPUTED_VALUE"""),"If you are a construct heal 500 hp and gain the effects of Invigorated 3 and Haste 2.")</f>
        <v>If you are a construct heal 500 hp and gain the effects of Invigorated 3 and Haste 2.</v>
      </c>
      <c r="F226" s="16" t="str">
        <f>IFERROR(__xludf.DUMMYFUNCTION("""COMPUTED_VALUE"""),"Natural/Fail or Succeed")</f>
        <v>Natural/Fail or Succeed</v>
      </c>
      <c r="G226" s="16" t="str">
        <f>IFERROR(__xludf.DUMMYFUNCTION("""COMPUTED_VALUE"""),"Self")</f>
        <v>Self</v>
      </c>
      <c r="H226" s="16" t="str">
        <f>IFERROR(__xludf.DUMMYFUNCTION("""COMPUTED_VALUE"""),"Fire")</f>
        <v>Fire</v>
      </c>
      <c r="I226" s="16" t="str">
        <f>IFERROR(__xludf.DUMMYFUNCTION("""COMPUTED_VALUE"""),"Player")</f>
        <v>Player</v>
      </c>
      <c r="J226" s="16" t="b">
        <f>IFERROR(__xludf.DUMMYFUNCTION("""COMPUTED_VALUE"""),TRUE)</f>
        <v>1</v>
      </c>
      <c r="K226" s="16" t="str">
        <f>IFERROR(__xludf.DUMMYFUNCTION("""COMPUTED_VALUE"""),"Mekanian")</f>
        <v>Mekanian</v>
      </c>
      <c r="L226" s="16" t="b">
        <f>IFERROR(__xludf.DUMMYFUNCTION("""COMPUTED_VALUE"""),FALSE)</f>
        <v>0</v>
      </c>
      <c r="M226" s="16" t="b">
        <f>IFERROR(__xludf.DUMMYFUNCTION("""COMPUTED_VALUE"""),FALSE)</f>
        <v>0</v>
      </c>
      <c r="N226" s="16"/>
    </row>
    <row r="227">
      <c r="A227" s="16" t="str">
        <f>IFERROR(__xludf.DUMMYFUNCTION("""COMPUTED_VALUE"""),"Fire Bolt")</f>
        <v>Fire Bolt</v>
      </c>
      <c r="B227" s="120">
        <f>IFERROR(__xludf.DUMMYFUNCTION("""COMPUTED_VALUE"""),1.0)</f>
        <v>1</v>
      </c>
      <c r="C227" s="16" t="str">
        <f>IFERROR(__xludf.DUMMYFUNCTION("""COMPUTED_VALUE"""),"X")</f>
        <v>X</v>
      </c>
      <c r="D227" s="16"/>
      <c r="E227" s="16" t="str">
        <f>IFERROR(__xludf.DUMMYFUNCTION("""COMPUTED_VALUE"""),"Deals X*100 Fire damage to a single enemy where X is equal to SP spent.")</f>
        <v>Deals X*100 Fire damage to a single enemy where X is equal to SP spent.</v>
      </c>
      <c r="F227" s="16" t="str">
        <f>IFERROR(__xludf.DUMMYFUNCTION("""COMPUTED_VALUE"""),"Hit/Miss")</f>
        <v>Hit/Miss</v>
      </c>
      <c r="G227" s="16">
        <f>IFERROR(__xludf.DUMMYFUNCTION("""COMPUTED_VALUE"""),1.0)</f>
        <v>1</v>
      </c>
      <c r="H227" s="16" t="str">
        <f>IFERROR(__xludf.DUMMYFUNCTION("""COMPUTED_VALUE"""),"Fire")</f>
        <v>Fire</v>
      </c>
      <c r="I227" s="16" t="str">
        <f>IFERROR(__xludf.DUMMYFUNCTION("""COMPUTED_VALUE"""),"Player")</f>
        <v>Player</v>
      </c>
      <c r="J227" s="16" t="b">
        <f>IFERROR(__xludf.DUMMYFUNCTION("""COMPUTED_VALUE"""),FALSE)</f>
        <v>0</v>
      </c>
      <c r="K227" s="16"/>
      <c r="L227" s="16" t="b">
        <f>IFERROR(__xludf.DUMMYFUNCTION("""COMPUTED_VALUE"""),FALSE)</f>
        <v>0</v>
      </c>
      <c r="M227" s="16" t="b">
        <f>IFERROR(__xludf.DUMMYFUNCTION("""COMPUTED_VALUE"""),FALSE)</f>
        <v>0</v>
      </c>
      <c r="N227" s="16"/>
    </row>
    <row r="228">
      <c r="A228" s="16" t="str">
        <f>IFERROR(__xludf.DUMMYFUNCTION("""COMPUTED_VALUE"""),"Flame Thrower")</f>
        <v>Flame Thrower</v>
      </c>
      <c r="B228" s="120">
        <f>IFERROR(__xludf.DUMMYFUNCTION("""COMPUTED_VALUE"""),5.0)</f>
        <v>5</v>
      </c>
      <c r="C228" s="16" t="str">
        <f>IFERROR(__xludf.DUMMYFUNCTION("""COMPUTED_VALUE"""),"X")</f>
        <v>X</v>
      </c>
      <c r="D228" s="16"/>
      <c r="E228" s="16" t="str">
        <f>IFERROR(__xludf.DUMMYFUNCTION("""COMPUTED_VALUE"""),"Deals X*50 Burn for 3 rounds to a single target where X is equal to SP spent.")</f>
        <v>Deals X*50 Burn for 3 rounds to a single target where X is equal to SP spent.</v>
      </c>
      <c r="F228" s="16" t="str">
        <f>IFERROR(__xludf.DUMMYFUNCTION("""COMPUTED_VALUE"""),"Hit/Miss")</f>
        <v>Hit/Miss</v>
      </c>
      <c r="G228" s="16">
        <f>IFERROR(__xludf.DUMMYFUNCTION("""COMPUTED_VALUE"""),1.0)</f>
        <v>1</v>
      </c>
      <c r="H228" s="16" t="str">
        <f>IFERROR(__xludf.DUMMYFUNCTION("""COMPUTED_VALUE"""),"Fire")</f>
        <v>Fire</v>
      </c>
      <c r="I228" s="16" t="str">
        <f>IFERROR(__xludf.DUMMYFUNCTION("""COMPUTED_VALUE"""),"Player")</f>
        <v>Player</v>
      </c>
      <c r="J228" s="16" t="b">
        <f>IFERROR(__xludf.DUMMYFUNCTION("""COMPUTED_VALUE"""),FALSE)</f>
        <v>0</v>
      </c>
      <c r="K228" s="16"/>
      <c r="L228" s="16" t="b">
        <f>IFERROR(__xludf.DUMMYFUNCTION("""COMPUTED_VALUE"""),FALSE)</f>
        <v>0</v>
      </c>
      <c r="M228" s="16" t="b">
        <f>IFERROR(__xludf.DUMMYFUNCTION("""COMPUTED_VALUE"""),FALSE)</f>
        <v>0</v>
      </c>
      <c r="N228" s="16"/>
    </row>
    <row r="229">
      <c r="A229" s="16" t="str">
        <f>IFERROR(__xludf.DUMMYFUNCTION("""COMPUTED_VALUE"""),"Meteor Shower")</f>
        <v>Meteor Shower</v>
      </c>
      <c r="B229" s="120">
        <f>IFERROR(__xludf.DUMMYFUNCTION("""COMPUTED_VALUE"""),5.0)</f>
        <v>5</v>
      </c>
      <c r="C229" s="16" t="str">
        <f>IFERROR(__xludf.DUMMYFUNCTION("""COMPUTED_VALUE"""),"X")</f>
        <v>X</v>
      </c>
      <c r="D229" s="16"/>
      <c r="E229" s="16" t="str">
        <f>IFERROR(__xludf.DUMMYFUNCTION("""COMPUTED_VALUE"""),"Deals X*25 Fire damage to all enemies where X is equal to SP spent.")</f>
        <v>Deals X*25 Fire damage to all enemies where X is equal to SP spent.</v>
      </c>
      <c r="F229" s="16" t="str">
        <f>IFERROR(__xludf.DUMMYFUNCTION("""COMPUTED_VALUE"""),"Cannot Avoid")</f>
        <v>Cannot Avoid</v>
      </c>
      <c r="G229" s="16" t="str">
        <f>IFERROR(__xludf.DUMMYFUNCTION("""COMPUTED_VALUE"""),"All")</f>
        <v>All</v>
      </c>
      <c r="H229" s="16" t="str">
        <f>IFERROR(__xludf.DUMMYFUNCTION("""COMPUTED_VALUE"""),"Fire")</f>
        <v>Fire</v>
      </c>
      <c r="I229" s="16" t="str">
        <f>IFERROR(__xludf.DUMMYFUNCTION("""COMPUTED_VALUE"""),"Player")</f>
        <v>Player</v>
      </c>
      <c r="J229" s="16" t="b">
        <f>IFERROR(__xludf.DUMMYFUNCTION("""COMPUTED_VALUE"""),FALSE)</f>
        <v>0</v>
      </c>
      <c r="K229" s="16"/>
      <c r="L229" s="16" t="b">
        <f>IFERROR(__xludf.DUMMYFUNCTION("""COMPUTED_VALUE"""),FALSE)</f>
        <v>0</v>
      </c>
      <c r="M229" s="16" t="b">
        <f>IFERROR(__xludf.DUMMYFUNCTION("""COMPUTED_VALUE"""),FALSE)</f>
        <v>0</v>
      </c>
      <c r="N229" s="16"/>
    </row>
    <row r="230">
      <c r="A230" s="16" t="str">
        <f>IFERROR(__xludf.DUMMYFUNCTION("""COMPUTED_VALUE"""),"Mass Ignition")</f>
        <v>Mass Ignition</v>
      </c>
      <c r="B230" s="120">
        <f>IFERROR(__xludf.DUMMYFUNCTION("""COMPUTED_VALUE"""),6.0)</f>
        <v>6</v>
      </c>
      <c r="C230" s="16" t="str">
        <f>IFERROR(__xludf.DUMMYFUNCTION("""COMPUTED_VALUE"""),"X")</f>
        <v>X</v>
      </c>
      <c r="D230" s="16"/>
      <c r="E230" s="16" t="str">
        <f>IFERROR(__xludf.DUMMYFUNCTION("""COMPUTED_VALUE"""),"Deals X*10 Burn to all enemies for 3 rounds where X is equal to SP spent.")</f>
        <v>Deals X*10 Burn to all enemies for 3 rounds where X is equal to SP spent.</v>
      </c>
      <c r="F230" s="16" t="str">
        <f>IFERROR(__xludf.DUMMYFUNCTION("""COMPUTED_VALUE"""),"Cannot Avoid")</f>
        <v>Cannot Avoid</v>
      </c>
      <c r="G230" s="16" t="str">
        <f>IFERROR(__xludf.DUMMYFUNCTION("""COMPUTED_VALUE"""),"All")</f>
        <v>All</v>
      </c>
      <c r="H230" s="16" t="str">
        <f>IFERROR(__xludf.DUMMYFUNCTION("""COMPUTED_VALUE"""),"Fire")</f>
        <v>Fire</v>
      </c>
      <c r="I230" s="16" t="str">
        <f>IFERROR(__xludf.DUMMYFUNCTION("""COMPUTED_VALUE"""),"Player")</f>
        <v>Player</v>
      </c>
      <c r="J230" s="16" t="b">
        <f>IFERROR(__xludf.DUMMYFUNCTION("""COMPUTED_VALUE"""),FALSE)</f>
        <v>0</v>
      </c>
      <c r="K230" s="16"/>
      <c r="L230" s="16" t="b">
        <f>IFERROR(__xludf.DUMMYFUNCTION("""COMPUTED_VALUE"""),FALSE)</f>
        <v>0</v>
      </c>
      <c r="M230" s="16" t="b">
        <f>IFERROR(__xludf.DUMMYFUNCTION("""COMPUTED_VALUE"""),FALSE)</f>
        <v>0</v>
      </c>
      <c r="N230" s="16"/>
    </row>
    <row r="231">
      <c r="A231" s="16" t="str">
        <f>IFERROR(__xludf.DUMMYFUNCTION("""COMPUTED_VALUE"""),"Wall of Flames")</f>
        <v>Wall of Flames</v>
      </c>
      <c r="B231" s="120">
        <f>IFERROR(__xludf.DUMMYFUNCTION("""COMPUTED_VALUE"""),9.0)</f>
        <v>9</v>
      </c>
      <c r="C231" s="16">
        <f>IFERROR(__xludf.DUMMYFUNCTION("""COMPUTED_VALUE"""),2000.0)</f>
        <v>2000</v>
      </c>
      <c r="D231" s="16"/>
      <c r="E231" s="16" t="str">
        <f>IFERROR(__xludf.DUMMYFUNCTION("""COMPUTED_VALUE"""),"Deals 20,000 fire damage per round to all enemies that doubles each round for 3 rounds.")</f>
        <v>Deals 20,000 fire damage per round to all enemies that doubles each round for 3 rounds.</v>
      </c>
      <c r="F231" s="16" t="str">
        <f>IFERROR(__xludf.DUMMYFUNCTION("""COMPUTED_VALUE"""),"Fail/Succeed")</f>
        <v>Fail/Succeed</v>
      </c>
      <c r="G231" s="16" t="str">
        <f>IFERROR(__xludf.DUMMYFUNCTION("""COMPUTED_VALUE"""),"All")</f>
        <v>All</v>
      </c>
      <c r="H231" s="16" t="str">
        <f>IFERROR(__xludf.DUMMYFUNCTION("""COMPUTED_VALUE"""),"Fire")</f>
        <v>Fire</v>
      </c>
      <c r="I231" s="16" t="str">
        <f>IFERROR(__xludf.DUMMYFUNCTION("""COMPUTED_VALUE"""),"Player")</f>
        <v>Player</v>
      </c>
      <c r="J231" s="16" t="b">
        <f>IFERROR(__xludf.DUMMYFUNCTION("""COMPUTED_VALUE"""),FALSE)</f>
        <v>0</v>
      </c>
      <c r="K231" s="16"/>
      <c r="L231" s="16" t="b">
        <f>IFERROR(__xludf.DUMMYFUNCTION("""COMPUTED_VALUE"""),FALSE)</f>
        <v>0</v>
      </c>
      <c r="M231" s="16" t="b">
        <f>IFERROR(__xludf.DUMMYFUNCTION("""COMPUTED_VALUE"""),FALSE)</f>
        <v>0</v>
      </c>
      <c r="N231" s="16"/>
    </row>
    <row r="232">
      <c r="A232" s="16" t="str">
        <f>IFERROR(__xludf.DUMMYFUNCTION("""COMPUTED_VALUE"""),"Meltdown")</f>
        <v>Meltdown</v>
      </c>
      <c r="B232" s="120">
        <f>IFERROR(__xludf.DUMMYFUNCTION("""COMPUTED_VALUE"""),9.0)</f>
        <v>9</v>
      </c>
      <c r="C232" s="16"/>
      <c r="D232" s="16" t="str">
        <f>IFERROR(__xludf.DUMMYFUNCTION("""COMPUTED_VALUE"""),"X")</f>
        <v>X</v>
      </c>
      <c r="E232" s="16" t="str">
        <f>IFERROR(__xludf.DUMMYFUNCTION("""COMPUTED_VALUE"""),"This spell takes 3 rounds to activate after being cast, upon the start of the third round since casting this spell does X*100 fire damage to all enemies where X is equal to the health of the caster upon the third round since casting.")</f>
        <v>This spell takes 3 rounds to activate after being cast, upon the start of the third round since casting this spell does X*100 fire damage to all enemies where X is equal to the health of the caster upon the third round since casting.</v>
      </c>
      <c r="F232" s="16" t="str">
        <f>IFERROR(__xludf.DUMMYFUNCTION("""COMPUTED_VALUE"""),"Fail/Succeed")</f>
        <v>Fail/Succeed</v>
      </c>
      <c r="G232" s="16" t="str">
        <f>IFERROR(__xludf.DUMMYFUNCTION("""COMPUTED_VALUE"""),"All")</f>
        <v>All</v>
      </c>
      <c r="H232" s="16" t="str">
        <f>IFERROR(__xludf.DUMMYFUNCTION("""COMPUTED_VALUE"""),"Fire")</f>
        <v>Fire</v>
      </c>
      <c r="I232" s="16" t="str">
        <f>IFERROR(__xludf.DUMMYFUNCTION("""COMPUTED_VALUE"""),"Player")</f>
        <v>Player</v>
      </c>
      <c r="J232" s="16" t="b">
        <f>IFERROR(__xludf.DUMMYFUNCTION("""COMPUTED_VALUE"""),TRUE)</f>
        <v>1</v>
      </c>
      <c r="K232" s="16"/>
      <c r="L232" s="16" t="b">
        <f>IFERROR(__xludf.DUMMYFUNCTION("""COMPUTED_VALUE"""),FALSE)</f>
        <v>0</v>
      </c>
      <c r="M232" s="16" t="b">
        <f>IFERROR(__xludf.DUMMYFUNCTION("""COMPUTED_VALUE"""),FALSE)</f>
        <v>0</v>
      </c>
      <c r="N232" s="16"/>
    </row>
    <row r="233">
      <c r="A233" s="16" t="str">
        <f>IFERROR(__xludf.DUMMYFUNCTION("""COMPUTED_VALUE"""),"Radiant Aura")</f>
        <v>Radiant Aura</v>
      </c>
      <c r="B233" s="120">
        <f>IFERROR(__xludf.DUMMYFUNCTION("""COMPUTED_VALUE"""),7.0)</f>
        <v>7</v>
      </c>
      <c r="C233" s="16" t="str">
        <f>IFERROR(__xludf.DUMMYFUNCTION("""COMPUTED_VALUE"""),"X")</f>
        <v>X</v>
      </c>
      <c r="D233" s="16"/>
      <c r="E233" s="16" t="str">
        <f>IFERROR(__xludf.DUMMYFUNCTION("""COMPUTED_VALUE"""),"X*10 Light damage per round for 3 rounds to all enemies where X is equal to SP spent.")</f>
        <v>X*10 Light damage per round for 3 rounds to all enemies where X is equal to SP spent.</v>
      </c>
      <c r="F233" s="16" t="str">
        <f>IFERROR(__xludf.DUMMYFUNCTION("""COMPUTED_VALUE"""),"Cannot Avoid")</f>
        <v>Cannot Avoid</v>
      </c>
      <c r="G233" s="16"/>
      <c r="H233" s="16" t="str">
        <f>IFERROR(__xludf.DUMMYFUNCTION("""COMPUTED_VALUE"""),"Light")</f>
        <v>Light</v>
      </c>
      <c r="I233" s="16" t="str">
        <f>IFERROR(__xludf.DUMMYFUNCTION("""COMPUTED_VALUE"""),"Player")</f>
        <v>Player</v>
      </c>
      <c r="J233" s="16" t="b">
        <f>IFERROR(__xludf.DUMMYFUNCTION("""COMPUTED_VALUE"""),TRUE)</f>
        <v>1</v>
      </c>
      <c r="K233" s="16"/>
      <c r="L233" s="16" t="b">
        <f>IFERROR(__xludf.DUMMYFUNCTION("""COMPUTED_VALUE"""),FALSE)</f>
        <v>0</v>
      </c>
      <c r="M233" s="16" t="b">
        <f>IFERROR(__xludf.DUMMYFUNCTION("""COMPUTED_VALUE"""),FALSE)</f>
        <v>0</v>
      </c>
      <c r="N233" s="16"/>
    </row>
    <row r="234">
      <c r="A234" s="16" t="str">
        <f>IFERROR(__xludf.DUMMYFUNCTION("""COMPUTED_VALUE"""),"Baptize")</f>
        <v>Baptize</v>
      </c>
      <c r="B234" s="120">
        <f>IFERROR(__xludf.DUMMYFUNCTION("""COMPUTED_VALUE"""),4.0)</f>
        <v>4</v>
      </c>
      <c r="C234" s="16">
        <f>IFERROR(__xludf.DUMMYFUNCTION("""COMPUTED_VALUE"""),40.0)</f>
        <v>40</v>
      </c>
      <c r="D234" s="16"/>
      <c r="E234" s="16" t="str">
        <f>IFERROR(__xludf.DUMMYFUNCTION("""COMPUTED_VALUE"""),"Target becomes immune to light and dark until the end of Battle. Cannot be casted on self.")</f>
        <v>Target becomes immune to light and dark until the end of Battle. Cannot be casted on self.</v>
      </c>
      <c r="F234" s="16" t="str">
        <f>IFERROR(__xludf.DUMMYFUNCTION("""COMPUTED_VALUE"""),"Fail/Succeed")</f>
        <v>Fail/Succeed</v>
      </c>
      <c r="G234" s="16"/>
      <c r="H234" s="16" t="str">
        <f>IFERROR(__xludf.DUMMYFUNCTION("""COMPUTED_VALUE"""),"Light")</f>
        <v>Light</v>
      </c>
      <c r="I234" s="16" t="str">
        <f>IFERROR(__xludf.DUMMYFUNCTION("""COMPUTED_VALUE"""),"Player")</f>
        <v>Player</v>
      </c>
      <c r="J234" s="16" t="b">
        <f>IFERROR(__xludf.DUMMYFUNCTION("""COMPUTED_VALUE"""),FALSE)</f>
        <v>0</v>
      </c>
      <c r="K234" s="16"/>
      <c r="L234" s="16" t="b">
        <f>IFERROR(__xludf.DUMMYFUNCTION("""COMPUTED_VALUE"""),FALSE)</f>
        <v>0</v>
      </c>
      <c r="M234" s="16" t="b">
        <f>IFERROR(__xludf.DUMMYFUNCTION("""COMPUTED_VALUE"""),FALSE)</f>
        <v>0</v>
      </c>
      <c r="N234" s="16"/>
    </row>
    <row r="235">
      <c r="A235" s="16" t="str">
        <f>IFERROR(__xludf.DUMMYFUNCTION("""COMPUTED_VALUE"""),"Bless")</f>
        <v>Bless</v>
      </c>
      <c r="B235" s="120">
        <f>IFERROR(__xludf.DUMMYFUNCTION("""COMPUTED_VALUE"""),4.0)</f>
        <v>4</v>
      </c>
      <c r="C235" s="16" t="str">
        <f>IFERROR(__xludf.DUMMYFUNCTION("""COMPUTED_VALUE"""),"X")</f>
        <v>X</v>
      </c>
      <c r="D235" s="16"/>
      <c r="E235" s="16" t="str">
        <f>IFERROR(__xludf.DUMMYFUNCTION("""COMPUTED_VALUE"""),"Target gains X*4 Light damage and X*4 Light resistance, can’t be used on self")</f>
        <v>Target gains X*4 Light damage and X*4 Light resistance, can’t be used on self</v>
      </c>
      <c r="F235" s="16" t="str">
        <f>IFERROR(__xludf.DUMMYFUNCTION("""COMPUTED_VALUE"""),"Will Succeed")</f>
        <v>Will Succeed</v>
      </c>
      <c r="G235" s="16"/>
      <c r="H235" s="16" t="str">
        <f>IFERROR(__xludf.DUMMYFUNCTION("""COMPUTED_VALUE"""),"Light")</f>
        <v>Light</v>
      </c>
      <c r="I235" s="16" t="str">
        <f>IFERROR(__xludf.DUMMYFUNCTION("""COMPUTED_VALUE"""),"Player")</f>
        <v>Player</v>
      </c>
      <c r="J235" s="16" t="b">
        <f>IFERROR(__xludf.DUMMYFUNCTION("""COMPUTED_VALUE"""),FALSE)</f>
        <v>0</v>
      </c>
      <c r="K235" s="16"/>
      <c r="L235" s="16" t="b">
        <f>IFERROR(__xludf.DUMMYFUNCTION("""COMPUTED_VALUE"""),FALSE)</f>
        <v>0</v>
      </c>
      <c r="M235" s="16" t="b">
        <f>IFERROR(__xludf.DUMMYFUNCTION("""COMPUTED_VALUE"""),FALSE)</f>
        <v>0</v>
      </c>
      <c r="N235" s="16"/>
    </row>
    <row r="236">
      <c r="A236" s="16" t="str">
        <f>IFERROR(__xludf.DUMMYFUNCTION("""COMPUTED_VALUE"""),"Bright Light")</f>
        <v>Bright Light</v>
      </c>
      <c r="B236" s="120">
        <f>IFERROR(__xludf.DUMMYFUNCTION("""COMPUTED_VALUE"""),2.0)</f>
        <v>2</v>
      </c>
      <c r="C236" s="16" t="str">
        <f>IFERROR(__xludf.DUMMYFUNCTION("""COMPUTED_VALUE"""),"X")</f>
        <v>X</v>
      </c>
      <c r="D236" s="16"/>
      <c r="E236" s="16" t="str">
        <f>IFERROR(__xludf.DUMMYFUNCTION("""COMPUTED_VALUE"""),"X*25 Light damage to all enemies where X is equal to the users SP spent, sheds light for 3 rounds.")</f>
        <v>X*25 Light damage to all enemies where X is equal to the users SP spent, sheds light for 3 rounds.</v>
      </c>
      <c r="F236" s="16" t="str">
        <f>IFERROR(__xludf.DUMMYFUNCTION("""COMPUTED_VALUE"""),"Cannot Avoid")</f>
        <v>Cannot Avoid</v>
      </c>
      <c r="G236" s="16" t="str">
        <f>IFERROR(__xludf.DUMMYFUNCTION("""COMPUTED_VALUE"""),"All")</f>
        <v>All</v>
      </c>
      <c r="H236" s="16" t="str">
        <f>IFERROR(__xludf.DUMMYFUNCTION("""COMPUTED_VALUE"""),"Light")</f>
        <v>Light</v>
      </c>
      <c r="I236" s="16" t="str">
        <f>IFERROR(__xludf.DUMMYFUNCTION("""COMPUTED_VALUE"""),"Player")</f>
        <v>Player</v>
      </c>
      <c r="J236" s="16" t="b">
        <f>IFERROR(__xludf.DUMMYFUNCTION("""COMPUTED_VALUE"""),FALSE)</f>
        <v>0</v>
      </c>
      <c r="K236" s="16"/>
      <c r="L236" s="16" t="b">
        <f>IFERROR(__xludf.DUMMYFUNCTION("""COMPUTED_VALUE"""),FALSE)</f>
        <v>0</v>
      </c>
      <c r="M236" s="16" t="b">
        <f>IFERROR(__xludf.DUMMYFUNCTION("""COMPUTED_VALUE"""),FALSE)</f>
        <v>0</v>
      </c>
      <c r="N236" s="16"/>
    </row>
    <row r="237">
      <c r="A237" s="16" t="str">
        <f>IFERROR(__xludf.DUMMYFUNCTION("""COMPUTED_VALUE"""),"Disease Control")</f>
        <v>Disease Control</v>
      </c>
      <c r="B237" s="120">
        <f>IFERROR(__xludf.DUMMYFUNCTION("""COMPUTED_VALUE"""),9.0)</f>
        <v>9</v>
      </c>
      <c r="C237" s="16">
        <f>IFERROR(__xludf.DUMMYFUNCTION("""COMPUTED_VALUE"""),300.0)</f>
        <v>300</v>
      </c>
      <c r="D237" s="16"/>
      <c r="E237" s="16" t="str">
        <f>IFERROR(__xludf.DUMMYFUNCTION("""COMPUTED_VALUE"""),"Cures 1 target of 1 Non-permanent diseases and/or status effects. Can only be used once per character per session.")</f>
        <v>Cures 1 target of 1 Non-permanent diseases and/or status effects. Can only be used once per character per session.</v>
      </c>
      <c r="F237" s="16" t="str">
        <f>IFERROR(__xludf.DUMMYFUNCTION("""COMPUTED_VALUE"""),"Fail/succeed")</f>
        <v>Fail/succeed</v>
      </c>
      <c r="G237" s="16">
        <f>IFERROR(__xludf.DUMMYFUNCTION("""COMPUTED_VALUE"""),1.0)</f>
        <v>1</v>
      </c>
      <c r="H237" s="16" t="str">
        <f>IFERROR(__xludf.DUMMYFUNCTION("""COMPUTED_VALUE"""),"Light")</f>
        <v>Light</v>
      </c>
      <c r="I237" s="16" t="str">
        <f>IFERROR(__xludf.DUMMYFUNCTION("""COMPUTED_VALUE"""),"Player")</f>
        <v>Player</v>
      </c>
      <c r="J237" s="16" t="b">
        <f>IFERROR(__xludf.DUMMYFUNCTION("""COMPUTED_VALUE"""),FALSE)</f>
        <v>0</v>
      </c>
      <c r="K237" s="16"/>
      <c r="L237" s="16" t="b">
        <f>IFERROR(__xludf.DUMMYFUNCTION("""COMPUTED_VALUE"""),FALSE)</f>
        <v>0</v>
      </c>
      <c r="M237" s="16" t="b">
        <f>IFERROR(__xludf.DUMMYFUNCTION("""COMPUTED_VALUE"""),FALSE)</f>
        <v>0</v>
      </c>
      <c r="N237" s="16"/>
    </row>
    <row r="238">
      <c r="A238" s="16" t="str">
        <f>IFERROR(__xludf.DUMMYFUNCTION("""COMPUTED_VALUE"""),"Flare")</f>
        <v>Flare</v>
      </c>
      <c r="B238" s="120">
        <f>IFERROR(__xludf.DUMMYFUNCTION("""COMPUTED_VALUE"""),1.0)</f>
        <v>1</v>
      </c>
      <c r="C238" s="16" t="str">
        <f>IFERROR(__xludf.DUMMYFUNCTION("""COMPUTED_VALUE"""),"X")</f>
        <v>X</v>
      </c>
      <c r="D238" s="16"/>
      <c r="E238" s="16" t="str">
        <f>IFERROR(__xludf.DUMMYFUNCTION("""COMPUTED_VALUE"""),"X*100 Light damage to one target where X is equal to sp spent, sheds light for 3 rounds")</f>
        <v>X*100 Light damage to one target where X is equal to sp spent, sheds light for 3 rounds</v>
      </c>
      <c r="F238" s="16" t="str">
        <f>IFERROR(__xludf.DUMMYFUNCTION("""COMPUTED_VALUE"""),"Hit/Miss")</f>
        <v>Hit/Miss</v>
      </c>
      <c r="G238" s="16">
        <f>IFERROR(__xludf.DUMMYFUNCTION("""COMPUTED_VALUE"""),1.0)</f>
        <v>1</v>
      </c>
      <c r="H238" s="16" t="str">
        <f>IFERROR(__xludf.DUMMYFUNCTION("""COMPUTED_VALUE"""),"Light")</f>
        <v>Light</v>
      </c>
      <c r="I238" s="16" t="str">
        <f>IFERROR(__xludf.DUMMYFUNCTION("""COMPUTED_VALUE"""),"Player")</f>
        <v>Player</v>
      </c>
      <c r="J238" s="16" t="b">
        <f>IFERROR(__xludf.DUMMYFUNCTION("""COMPUTED_VALUE"""),FALSE)</f>
        <v>0</v>
      </c>
      <c r="K238" s="16"/>
      <c r="L238" s="16" t="b">
        <f>IFERROR(__xludf.DUMMYFUNCTION("""COMPUTED_VALUE"""),FALSE)</f>
        <v>0</v>
      </c>
      <c r="M238" s="16" t="b">
        <f>IFERROR(__xludf.DUMMYFUNCTION("""COMPUTED_VALUE"""),FALSE)</f>
        <v>0</v>
      </c>
      <c r="N238" s="16"/>
    </row>
    <row r="239">
      <c r="A239" s="16" t="str">
        <f>IFERROR(__xludf.DUMMYFUNCTION("""COMPUTED_VALUE"""),"Focused Light")</f>
        <v>Focused Light</v>
      </c>
      <c r="B239" s="120">
        <f>IFERROR(__xludf.DUMMYFUNCTION("""COMPUTED_VALUE"""),5.0)</f>
        <v>5</v>
      </c>
      <c r="C239" s="16" t="str">
        <f>IFERROR(__xludf.DUMMYFUNCTION("""COMPUTED_VALUE"""),"X")</f>
        <v>X</v>
      </c>
      <c r="D239" s="16"/>
      <c r="E239" s="16" t="str">
        <f>IFERROR(__xludf.DUMMYFUNCTION("""COMPUTED_VALUE"""),"X*50 Light damage and X*50 Fire damage to one target where X is equal to Sp spent. Sheds light for 3 rounds.")</f>
        <v>X*50 Light damage and X*50 Fire damage to one target where X is equal to Sp spent. Sheds light for 3 rounds.</v>
      </c>
      <c r="F239" s="16" t="str">
        <f>IFERROR(__xludf.DUMMYFUNCTION("""COMPUTED_VALUE"""),"Hit/Miss")</f>
        <v>Hit/Miss</v>
      </c>
      <c r="G239" s="16">
        <f>IFERROR(__xludf.DUMMYFUNCTION("""COMPUTED_VALUE"""),1.0)</f>
        <v>1</v>
      </c>
      <c r="H239" s="16" t="str">
        <f>IFERROR(__xludf.DUMMYFUNCTION("""COMPUTED_VALUE"""),"Light")</f>
        <v>Light</v>
      </c>
      <c r="I239" s="16" t="str">
        <f>IFERROR(__xludf.DUMMYFUNCTION("""COMPUTED_VALUE"""),"Player")</f>
        <v>Player</v>
      </c>
      <c r="J239" s="16" t="b">
        <f>IFERROR(__xludf.DUMMYFUNCTION("""COMPUTED_VALUE"""),FALSE)</f>
        <v>0</v>
      </c>
      <c r="K239" s="16"/>
      <c r="L239" s="16" t="b">
        <f>IFERROR(__xludf.DUMMYFUNCTION("""COMPUTED_VALUE"""),FALSE)</f>
        <v>0</v>
      </c>
      <c r="M239" s="16" t="b">
        <f>IFERROR(__xludf.DUMMYFUNCTION("""COMPUTED_VALUE"""),FALSE)</f>
        <v>0</v>
      </c>
      <c r="N239" s="16"/>
    </row>
    <row r="240">
      <c r="A240" s="16" t="str">
        <f>IFERROR(__xludf.DUMMYFUNCTION("""COMPUTED_VALUE"""),"Full Revive")</f>
        <v>Full Revive</v>
      </c>
      <c r="B240" s="120">
        <f>IFERROR(__xludf.DUMMYFUNCTION("""COMPUTED_VALUE"""),9.0)</f>
        <v>9</v>
      </c>
      <c r="C240" s="16">
        <f>IFERROR(__xludf.DUMMYFUNCTION("""COMPUTED_VALUE"""),300.0)</f>
        <v>300</v>
      </c>
      <c r="D240" s="16"/>
      <c r="E240" s="16" t="str">
        <f>IFERROR(__xludf.DUMMYFUNCTION("""COMPUTED_VALUE"""),"Return all allies from death with full HP, must be done before they respawn.")</f>
        <v>Return all allies from death with full HP, must be done before they respawn.</v>
      </c>
      <c r="F240" s="16" t="str">
        <f>IFERROR(__xludf.DUMMYFUNCTION("""COMPUTED_VALUE"""),"Fail/succeed")</f>
        <v>Fail/succeed</v>
      </c>
      <c r="G240" s="16"/>
      <c r="H240" s="16" t="str">
        <f>IFERROR(__xludf.DUMMYFUNCTION("""COMPUTED_VALUE"""),"Light")</f>
        <v>Light</v>
      </c>
      <c r="I240" s="16" t="str">
        <f>IFERROR(__xludf.DUMMYFUNCTION("""COMPUTED_VALUE"""),"Player")</f>
        <v>Player</v>
      </c>
      <c r="J240" s="16" t="b">
        <f>IFERROR(__xludf.DUMMYFUNCTION("""COMPUTED_VALUE"""),FALSE)</f>
        <v>0</v>
      </c>
      <c r="K240" s="16"/>
      <c r="L240" s="16" t="b">
        <f>IFERROR(__xludf.DUMMYFUNCTION("""COMPUTED_VALUE"""),FALSE)</f>
        <v>0</v>
      </c>
      <c r="M240" s="16" t="b">
        <f>IFERROR(__xludf.DUMMYFUNCTION("""COMPUTED_VALUE"""),FALSE)</f>
        <v>0</v>
      </c>
      <c r="N240" s="16"/>
    </row>
    <row r="241">
      <c r="A241" s="16" t="str">
        <f>IFERROR(__xludf.DUMMYFUNCTION("""COMPUTED_VALUE"""),"Heal")</f>
        <v>Heal</v>
      </c>
      <c r="B241" s="120">
        <f>IFERROR(__xludf.DUMMYFUNCTION("""COMPUTED_VALUE"""),1.0)</f>
        <v>1</v>
      </c>
      <c r="C241" s="16" t="str">
        <f>IFERROR(__xludf.DUMMYFUNCTION("""COMPUTED_VALUE"""),"X")</f>
        <v>X</v>
      </c>
      <c r="D241" s="16"/>
      <c r="E241" s="16" t="str">
        <f>IFERROR(__xludf.DUMMYFUNCTION("""COMPUTED_VALUE"""),"+x*100 HP healed to all allies where X is equal to SP spent.")</f>
        <v>+x*100 HP healed to all allies where X is equal to SP spent.</v>
      </c>
      <c r="F241" s="16" t="str">
        <f>IFERROR(__xludf.DUMMYFUNCTION("""COMPUTED_VALUE"""),"Will Succeed")</f>
        <v>Will Succeed</v>
      </c>
      <c r="G241" s="16">
        <f>IFERROR(__xludf.DUMMYFUNCTION("""COMPUTED_VALUE"""),1.0)</f>
        <v>1</v>
      </c>
      <c r="H241" s="16" t="str">
        <f>IFERROR(__xludf.DUMMYFUNCTION("""COMPUTED_VALUE"""),"Light")</f>
        <v>Light</v>
      </c>
      <c r="I241" s="16" t="str">
        <f>IFERROR(__xludf.DUMMYFUNCTION("""COMPUTED_VALUE"""),"Player")</f>
        <v>Player</v>
      </c>
      <c r="J241" s="16" t="b">
        <f>IFERROR(__xludf.DUMMYFUNCTION("""COMPUTED_VALUE"""),FALSE)</f>
        <v>0</v>
      </c>
      <c r="K241" s="16"/>
      <c r="L241" s="16" t="b">
        <f>IFERROR(__xludf.DUMMYFUNCTION("""COMPUTED_VALUE"""),FALSE)</f>
        <v>0</v>
      </c>
      <c r="M241" s="16" t="b">
        <f>IFERROR(__xludf.DUMMYFUNCTION("""COMPUTED_VALUE"""),FALSE)</f>
        <v>0</v>
      </c>
      <c r="N241" s="16"/>
    </row>
    <row r="242">
      <c r="A242" s="16" t="str">
        <f>IFERROR(__xludf.DUMMYFUNCTION("""COMPUTED_VALUE"""),"Healing Alliance")</f>
        <v>Healing Alliance</v>
      </c>
      <c r="B242" s="120">
        <f>IFERROR(__xludf.DUMMYFUNCTION("""COMPUTED_VALUE"""),5.0)</f>
        <v>5</v>
      </c>
      <c r="C242" s="16" t="str">
        <f>IFERROR(__xludf.DUMMYFUNCTION("""COMPUTED_VALUE"""),"X")</f>
        <v>X</v>
      </c>
      <c r="D242" s="16"/>
      <c r="E242" s="16" t="str">
        <f>IFERROR(__xludf.DUMMYFUNCTION("""COMPUTED_VALUE"""),"+X*25 HP healed to all allies where X is equal to SP spent.")</f>
        <v>+X*25 HP healed to all allies where X is equal to SP spent.</v>
      </c>
      <c r="F242" s="16" t="str">
        <f>IFERROR(__xludf.DUMMYFUNCTION("""COMPUTED_VALUE"""),"Will Succeed")</f>
        <v>Will Succeed</v>
      </c>
      <c r="G242" s="16"/>
      <c r="H242" s="16" t="str">
        <f>IFERROR(__xludf.DUMMYFUNCTION("""COMPUTED_VALUE"""),"Light")</f>
        <v>Light</v>
      </c>
      <c r="I242" s="16" t="str">
        <f>IFERROR(__xludf.DUMMYFUNCTION("""COMPUTED_VALUE"""),"Player")</f>
        <v>Player</v>
      </c>
      <c r="J242" s="16" t="b">
        <f>IFERROR(__xludf.DUMMYFUNCTION("""COMPUTED_VALUE"""),FALSE)</f>
        <v>0</v>
      </c>
      <c r="K242" s="16"/>
      <c r="L242" s="16" t="b">
        <f>IFERROR(__xludf.DUMMYFUNCTION("""COMPUTED_VALUE"""),FALSE)</f>
        <v>0</v>
      </c>
      <c r="M242" s="16" t="b">
        <f>IFERROR(__xludf.DUMMYFUNCTION("""COMPUTED_VALUE"""),FALSE)</f>
        <v>0</v>
      </c>
      <c r="N242" s="16"/>
    </row>
    <row r="243">
      <c r="A243" s="16" t="str">
        <f>IFERROR(__xludf.DUMMYFUNCTION("""COMPUTED_VALUE"""),"Hygiene")</f>
        <v>Hygiene</v>
      </c>
      <c r="B243" s="120">
        <f>IFERROR(__xludf.DUMMYFUNCTION("""COMPUTED_VALUE"""),7.0)</f>
        <v>7</v>
      </c>
      <c r="C243" s="16">
        <f>IFERROR(__xludf.DUMMYFUNCTION("""COMPUTED_VALUE"""),100.0)</f>
        <v>100</v>
      </c>
      <c r="D243" s="16"/>
      <c r="E243" s="16" t="str">
        <f>IFERROR(__xludf.DUMMYFUNCTION("""COMPUTED_VALUE"""),"Caster becomes immune to all status effects.")</f>
        <v>Caster becomes immune to all status effects.</v>
      </c>
      <c r="F243" s="16" t="str">
        <f>IFERROR(__xludf.DUMMYFUNCTION("""COMPUTED_VALUE"""),"Will Succeed")</f>
        <v>Will Succeed</v>
      </c>
      <c r="G243" s="16"/>
      <c r="H243" s="16" t="str">
        <f>IFERROR(__xludf.DUMMYFUNCTION("""COMPUTED_VALUE"""),"Light")</f>
        <v>Light</v>
      </c>
      <c r="I243" s="16" t="str">
        <f>IFERROR(__xludf.DUMMYFUNCTION("""COMPUTED_VALUE"""),"Player")</f>
        <v>Player</v>
      </c>
      <c r="J243" s="16" t="b">
        <f>IFERROR(__xludf.DUMMYFUNCTION("""COMPUTED_VALUE"""),FALSE)</f>
        <v>0</v>
      </c>
      <c r="K243" s="16"/>
      <c r="L243" s="16" t="b">
        <f>IFERROR(__xludf.DUMMYFUNCTION("""COMPUTED_VALUE"""),FALSE)</f>
        <v>0</v>
      </c>
      <c r="M243" s="16" t="b">
        <f>IFERROR(__xludf.DUMMYFUNCTION("""COMPUTED_VALUE"""),FALSE)</f>
        <v>0</v>
      </c>
      <c r="N243" s="16"/>
    </row>
    <row r="244">
      <c r="A244" s="16" t="str">
        <f>IFERROR(__xludf.DUMMYFUNCTION("""COMPUTED_VALUE"""),"Instant Regeneration")</f>
        <v>Instant Regeneration</v>
      </c>
      <c r="B244" s="120">
        <f>IFERROR(__xludf.DUMMYFUNCTION("""COMPUTED_VALUE"""),8.0)</f>
        <v>8</v>
      </c>
      <c r="C244" s="16">
        <f>IFERROR(__xludf.DUMMYFUNCTION("""COMPUTED_VALUE"""),200.0)</f>
        <v>200</v>
      </c>
      <c r="D244" s="16"/>
      <c r="E244" s="16" t="str">
        <f>IFERROR(__xludf.DUMMYFUNCTION("""COMPUTED_VALUE"""),"Self and allies will revive with full HP and SP, this spell must be used before you and your allies die for the effect to be applied. Can only be used once per battle.")</f>
        <v>Self and allies will revive with full HP and SP, this spell must be used before you and your allies die for the effect to be applied. Can only be used once per battle.</v>
      </c>
      <c r="F244" s="16" t="str">
        <f>IFERROR(__xludf.DUMMYFUNCTION("""COMPUTED_VALUE"""),"Fail/succeed")</f>
        <v>Fail/succeed</v>
      </c>
      <c r="G244" s="16"/>
      <c r="H244" s="16" t="str">
        <f>IFERROR(__xludf.DUMMYFUNCTION("""COMPUTED_VALUE"""),"Light")</f>
        <v>Light</v>
      </c>
      <c r="I244" s="16" t="str">
        <f>IFERROR(__xludf.DUMMYFUNCTION("""COMPUTED_VALUE"""),"Player")</f>
        <v>Player</v>
      </c>
      <c r="J244" s="16" t="b">
        <f>IFERROR(__xludf.DUMMYFUNCTION("""COMPUTED_VALUE"""),FALSE)</f>
        <v>0</v>
      </c>
      <c r="K244" s="16"/>
      <c r="L244" s="16" t="b">
        <f>IFERROR(__xludf.DUMMYFUNCTION("""COMPUTED_VALUE"""),FALSE)</f>
        <v>0</v>
      </c>
      <c r="M244" s="16" t="b">
        <f>IFERROR(__xludf.DUMMYFUNCTION("""COMPUTED_VALUE"""),FALSE)</f>
        <v>0</v>
      </c>
      <c r="N244" s="16"/>
    </row>
    <row r="245">
      <c r="A245" s="16" t="str">
        <f>IFERROR(__xludf.DUMMYFUNCTION("""COMPUTED_VALUE"""),"Light Ray")</f>
        <v>Light Ray</v>
      </c>
      <c r="B245" s="120">
        <f>IFERROR(__xludf.DUMMYFUNCTION("""COMPUTED_VALUE"""),2.0)</f>
        <v>2</v>
      </c>
      <c r="C245" s="16">
        <f>IFERROR(__xludf.DUMMYFUNCTION("""COMPUTED_VALUE"""),20.0)</f>
        <v>20</v>
      </c>
      <c r="D245" s="16"/>
      <c r="E245" s="16" t="str">
        <f>IFERROR(__xludf.DUMMYFUNCTION("""COMPUTED_VALUE"""),"Blindness 3 to a single target and sheds light for 3 rounds.")</f>
        <v>Blindness 3 to a single target and sheds light for 3 rounds.</v>
      </c>
      <c r="F245" s="16" t="str">
        <f>IFERROR(__xludf.DUMMYFUNCTION("""COMPUTED_VALUE"""),"Hit/Miss")</f>
        <v>Hit/Miss</v>
      </c>
      <c r="G245" s="16">
        <f>IFERROR(__xludf.DUMMYFUNCTION("""COMPUTED_VALUE"""),1.0)</f>
        <v>1</v>
      </c>
      <c r="H245" s="16" t="str">
        <f>IFERROR(__xludf.DUMMYFUNCTION("""COMPUTED_VALUE"""),"Light")</f>
        <v>Light</v>
      </c>
      <c r="I245" s="16" t="str">
        <f>IFERROR(__xludf.DUMMYFUNCTION("""COMPUTED_VALUE"""),"Player")</f>
        <v>Player</v>
      </c>
      <c r="J245" s="16" t="b">
        <f>IFERROR(__xludf.DUMMYFUNCTION("""COMPUTED_VALUE"""),FALSE)</f>
        <v>0</v>
      </c>
      <c r="K245" s="16"/>
      <c r="L245" s="16" t="b">
        <f>IFERROR(__xludf.DUMMYFUNCTION("""COMPUTED_VALUE"""),FALSE)</f>
        <v>0</v>
      </c>
      <c r="M245" s="16" t="b">
        <f>IFERROR(__xludf.DUMMYFUNCTION("""COMPUTED_VALUE"""),FALSE)</f>
        <v>0</v>
      </c>
      <c r="N245" s="16"/>
    </row>
    <row r="246">
      <c r="A246" s="16" t="str">
        <f>IFERROR(__xludf.DUMMYFUNCTION("""COMPUTED_VALUE"""),"Obliterating Light of Blindness")</f>
        <v>Obliterating Light of Blindness</v>
      </c>
      <c r="B246" s="120">
        <f>IFERROR(__xludf.DUMMYFUNCTION("""COMPUTED_VALUE"""),9.0)</f>
        <v>9</v>
      </c>
      <c r="C246" s="121" t="str">
        <f>IFERROR(__xludf.DUMMYFUNCTION("""COMPUTED_VALUE"""),"300")</f>
        <v>300</v>
      </c>
      <c r="D246" s="16"/>
      <c r="E246" s="16" t="str">
        <f>IFERROR(__xludf.DUMMYFUNCTION("""COMPUTED_VALUE"""),"20,000 Light damage to all enemies, 25% chance of Blidness 3. and sheds light for 3 rounds.")</f>
        <v>20,000 Light damage to all enemies, 25% chance of Blidness 3. and sheds light for 3 rounds.</v>
      </c>
      <c r="F246" s="16" t="str">
        <f>IFERROR(__xludf.DUMMYFUNCTION("""COMPUTED_VALUE"""),"Cannot Avoid")</f>
        <v>Cannot Avoid</v>
      </c>
      <c r="G246" s="16" t="str">
        <f>IFERROR(__xludf.DUMMYFUNCTION("""COMPUTED_VALUE"""),"All")</f>
        <v>All</v>
      </c>
      <c r="H246" s="16" t="str">
        <f>IFERROR(__xludf.DUMMYFUNCTION("""COMPUTED_VALUE"""),"Light")</f>
        <v>Light</v>
      </c>
      <c r="I246" s="16" t="str">
        <f>IFERROR(__xludf.DUMMYFUNCTION("""COMPUTED_VALUE"""),"Player")</f>
        <v>Player</v>
      </c>
      <c r="J246" s="16" t="b">
        <f>IFERROR(__xludf.DUMMYFUNCTION("""COMPUTED_VALUE"""),FALSE)</f>
        <v>0</v>
      </c>
      <c r="K246" s="16"/>
      <c r="L246" s="16" t="b">
        <f>IFERROR(__xludf.DUMMYFUNCTION("""COMPUTED_VALUE"""),FALSE)</f>
        <v>0</v>
      </c>
      <c r="M246" s="16" t="b">
        <f>IFERROR(__xludf.DUMMYFUNCTION("""COMPUTED_VALUE"""),FALSE)</f>
        <v>0</v>
      </c>
      <c r="N246" s="16"/>
    </row>
    <row r="247">
      <c r="A247" s="16" t="str">
        <f>IFERROR(__xludf.DUMMYFUNCTION("""COMPUTED_VALUE"""),"Regeneration")</f>
        <v>Regeneration</v>
      </c>
      <c r="B247" s="120">
        <f>IFERROR(__xludf.DUMMYFUNCTION("""COMPUTED_VALUE"""),6.0)</f>
        <v>6</v>
      </c>
      <c r="C247" s="16" t="str">
        <f>IFERROR(__xludf.DUMMYFUNCTION("""COMPUTED_VALUE"""),"X")</f>
        <v>X</v>
      </c>
      <c r="D247" s="16"/>
      <c r="E247" s="16" t="str">
        <f>IFERROR(__xludf.DUMMYFUNCTION("""COMPUTED_VALUE"""),"+X*50 HP healed per round for 3 rounds to a single ally.")</f>
        <v>+X*50 HP healed per round for 3 rounds to a single ally.</v>
      </c>
      <c r="F247" s="16" t="str">
        <f>IFERROR(__xludf.DUMMYFUNCTION("""COMPUTED_VALUE"""),"Fail/Succeed")</f>
        <v>Fail/Succeed</v>
      </c>
      <c r="G247" s="16"/>
      <c r="H247" s="16" t="str">
        <f>IFERROR(__xludf.DUMMYFUNCTION("""COMPUTED_VALUE"""),"Light")</f>
        <v>Light</v>
      </c>
      <c r="I247" s="16" t="str">
        <f>IFERROR(__xludf.DUMMYFUNCTION("""COMPUTED_VALUE"""),"Player")</f>
        <v>Player</v>
      </c>
      <c r="J247" s="16" t="b">
        <f>IFERROR(__xludf.DUMMYFUNCTION("""COMPUTED_VALUE"""),FALSE)</f>
        <v>0</v>
      </c>
      <c r="K247" s="16"/>
      <c r="L247" s="16" t="b">
        <f>IFERROR(__xludf.DUMMYFUNCTION("""COMPUTED_VALUE"""),FALSE)</f>
        <v>0</v>
      </c>
      <c r="M247" s="16" t="b">
        <f>IFERROR(__xludf.DUMMYFUNCTION("""COMPUTED_VALUE"""),FALSE)</f>
        <v>0</v>
      </c>
      <c r="N247" s="16"/>
    </row>
    <row r="248">
      <c r="A248" s="16" t="str">
        <f>IFERROR(__xludf.DUMMYFUNCTION("""COMPUTED_VALUE"""),"Revive")</f>
        <v>Revive</v>
      </c>
      <c r="B248" s="120">
        <f>IFERROR(__xludf.DUMMYFUNCTION("""COMPUTED_VALUE"""),6.0)</f>
        <v>6</v>
      </c>
      <c r="C248" s="16">
        <f>IFERROR(__xludf.DUMMYFUNCTION("""COMPUTED_VALUE"""),60.0)</f>
        <v>60</v>
      </c>
      <c r="D248" s="16"/>
      <c r="E248" s="16" t="str">
        <f>IFERROR(__xludf.DUMMYFUNCTION("""COMPUTED_VALUE"""),"Return a target from death with half their max HP, must be done before they respawn")</f>
        <v>Return a target from death with half their max HP, must be done before they respawn</v>
      </c>
      <c r="F248" s="16" t="str">
        <f>IFERROR(__xludf.DUMMYFUNCTION("""COMPUTED_VALUE"""),"Fail/Succeed")</f>
        <v>Fail/Succeed</v>
      </c>
      <c r="G248" s="16">
        <f>IFERROR(__xludf.DUMMYFUNCTION("""COMPUTED_VALUE"""),1.0)</f>
        <v>1</v>
      </c>
      <c r="H248" s="16" t="str">
        <f>IFERROR(__xludf.DUMMYFUNCTION("""COMPUTED_VALUE"""),"Light")</f>
        <v>Light</v>
      </c>
      <c r="I248" s="16" t="str">
        <f>IFERROR(__xludf.DUMMYFUNCTION("""COMPUTED_VALUE"""),"Player")</f>
        <v>Player</v>
      </c>
      <c r="J248" s="16" t="b">
        <f>IFERROR(__xludf.DUMMYFUNCTION("""COMPUTED_VALUE"""),FALSE)</f>
        <v>0</v>
      </c>
      <c r="K248" s="16"/>
      <c r="L248" s="16" t="b">
        <f>IFERROR(__xludf.DUMMYFUNCTION("""COMPUTED_VALUE"""),FALSE)</f>
        <v>0</v>
      </c>
      <c r="M248" s="16" t="b">
        <f>IFERROR(__xludf.DUMMYFUNCTION("""COMPUTED_VALUE"""),FALSE)</f>
        <v>0</v>
      </c>
      <c r="N248" s="16"/>
    </row>
    <row r="249">
      <c r="A249" s="16" t="str">
        <f>IFERROR(__xludf.DUMMYFUNCTION("""COMPUTED_VALUE"""),"Teleport")</f>
        <v>Teleport</v>
      </c>
      <c r="B249" s="120">
        <f>IFERROR(__xludf.DUMMYFUNCTION("""COMPUTED_VALUE"""),9.0)</f>
        <v>9</v>
      </c>
      <c r="C249" s="16">
        <f>IFERROR(__xludf.DUMMYFUNCTION("""COMPUTED_VALUE"""),300.0)</f>
        <v>300</v>
      </c>
      <c r="D249" s="16"/>
      <c r="E249" s="16" t="str">
        <f>IFERROR(__xludf.DUMMYFUNCTION("""COMPUTED_VALUE"""),"Immediately teleport to a region (RP/Battle), Prevents the caster from being attacked from the next attack. (Battle).")</f>
        <v>Immediately teleport to a region (RP/Battle), Prevents the caster from being attacked from the next attack. (Battle).</v>
      </c>
      <c r="F249" s="16" t="str">
        <f>IFERROR(__xludf.DUMMYFUNCTION("""COMPUTED_VALUE"""),"Fail/succeed")</f>
        <v>Fail/succeed</v>
      </c>
      <c r="G249" s="16"/>
      <c r="H249" s="16" t="str">
        <f>IFERROR(__xludf.DUMMYFUNCTION("""COMPUTED_VALUE"""),"Light")</f>
        <v>Light</v>
      </c>
      <c r="I249" s="16" t="str">
        <f>IFERROR(__xludf.DUMMYFUNCTION("""COMPUTED_VALUE"""),"Player")</f>
        <v>Player</v>
      </c>
      <c r="J249" s="16" t="b">
        <f>IFERROR(__xludf.DUMMYFUNCTION("""COMPUTED_VALUE"""),FALSE)</f>
        <v>0</v>
      </c>
      <c r="K249" s="16"/>
      <c r="L249" s="16" t="b">
        <f>IFERROR(__xludf.DUMMYFUNCTION("""COMPUTED_VALUE"""),FALSE)</f>
        <v>0</v>
      </c>
      <c r="M249" s="16" t="b">
        <f>IFERROR(__xludf.DUMMYFUNCTION("""COMPUTED_VALUE"""),FALSE)</f>
        <v>0</v>
      </c>
      <c r="N249" s="16"/>
    </row>
    <row r="250">
      <c r="A250" s="16" t="str">
        <f>IFERROR(__xludf.DUMMYFUNCTION("""COMPUTED_VALUE"""),"Continuous Light")</f>
        <v>Continuous Light</v>
      </c>
      <c r="B250" s="120">
        <f>IFERROR(__xludf.DUMMYFUNCTION("""COMPUTED_VALUE"""),3.0)</f>
        <v>3</v>
      </c>
      <c r="C250" s="16" t="str">
        <f>IFERROR(__xludf.DUMMYFUNCTION("""COMPUTED_VALUE"""),"X")</f>
        <v>X</v>
      </c>
      <c r="D250" s="16"/>
      <c r="E250" s="16" t="str">
        <f>IFERROR(__xludf.DUMMYFUNCTION("""COMPUTED_VALUE"""),"X*50 Light damage per round for 3 rounds to a single target where X is equal to SP spent.")</f>
        <v>X*50 Light damage per round for 3 rounds to a single target where X is equal to SP spent.</v>
      </c>
      <c r="F250" s="16" t="str">
        <f>IFERROR(__xludf.DUMMYFUNCTION("""COMPUTED_VALUE"""),"Hit/Miss")</f>
        <v>Hit/Miss</v>
      </c>
      <c r="G250" s="16"/>
      <c r="H250" s="16" t="str">
        <f>IFERROR(__xludf.DUMMYFUNCTION("""COMPUTED_VALUE"""),"Light")</f>
        <v>Light</v>
      </c>
      <c r="I250" s="16" t="str">
        <f>IFERROR(__xludf.DUMMYFUNCTION("""COMPUTED_VALUE"""),"Player")</f>
        <v>Player</v>
      </c>
      <c r="J250" s="16" t="b">
        <f>IFERROR(__xludf.DUMMYFUNCTION("""COMPUTED_VALUE"""),FALSE)</f>
        <v>0</v>
      </c>
      <c r="K250" s="16"/>
      <c r="L250" s="16" t="b">
        <f>IFERROR(__xludf.DUMMYFUNCTION("""COMPUTED_VALUE"""),FALSE)</f>
        <v>0</v>
      </c>
      <c r="M250" s="16" t="b">
        <f>IFERROR(__xludf.DUMMYFUNCTION("""COMPUTED_VALUE"""),FALSE)</f>
        <v>0</v>
      </c>
      <c r="N250" s="16"/>
    </row>
    <row r="251">
      <c r="A251" s="16" t="str">
        <f>IFERROR(__xludf.DUMMYFUNCTION("""COMPUTED_VALUE"""),"[Element] Swing")</f>
        <v>[Element] Swing</v>
      </c>
      <c r="B251" s="120">
        <f>IFERROR(__xludf.DUMMYFUNCTION("""COMPUTED_VALUE"""),4.0)</f>
        <v>4</v>
      </c>
      <c r="C251" s="16">
        <f>IFERROR(__xludf.DUMMYFUNCTION("""COMPUTED_VALUE"""),40.0)</f>
        <v>40</v>
      </c>
      <c r="D251" s="16"/>
      <c r="E251" s="16" t="str">
        <f>IFERROR(__xludf.DUMMYFUNCTION("""COMPUTED_VALUE"""),"Select an equipped non-ranged weapon and apply additional [Element] damage to it equal to your attack. (Cannot choose celestial unless level 200 or higher).")</f>
        <v>Select an equipped non-ranged weapon and apply additional [Element] damage to it equal to your attack. (Cannot choose celestial unless level 200 or higher).</v>
      </c>
      <c r="F251" s="16" t="str">
        <f>IFERROR(__xludf.DUMMYFUNCTION("""COMPUTED_VALUE"""),"Fail/Succeed")</f>
        <v>Fail/Succeed</v>
      </c>
      <c r="G251" s="16"/>
      <c r="H251" s="16" t="str">
        <f>IFERROR(__xludf.DUMMYFUNCTION("""COMPUTED_VALUE"""),"Melee")</f>
        <v>Melee</v>
      </c>
      <c r="I251" s="16" t="str">
        <f>IFERROR(__xludf.DUMMYFUNCTION("""COMPUTED_VALUE"""),"Player")</f>
        <v>Player</v>
      </c>
      <c r="J251" s="16" t="b">
        <f>IFERROR(__xludf.DUMMYFUNCTION("""COMPUTED_VALUE"""),FALSE)</f>
        <v>0</v>
      </c>
      <c r="K251" s="16"/>
      <c r="L251" s="16" t="b">
        <f>IFERROR(__xludf.DUMMYFUNCTION("""COMPUTED_VALUE"""),FALSE)</f>
        <v>0</v>
      </c>
      <c r="M251" s="16" t="b">
        <f>IFERROR(__xludf.DUMMYFUNCTION("""COMPUTED_VALUE"""),TRUE)</f>
        <v>1</v>
      </c>
      <c r="N251" s="16"/>
    </row>
    <row r="252">
      <c r="A252" s="16" t="str">
        <f>IFERROR(__xludf.DUMMYFUNCTION("""COMPUTED_VALUE"""),"Berserk")</f>
        <v>Berserk</v>
      </c>
      <c r="B252" s="120">
        <f>IFERROR(__xludf.DUMMYFUNCTION("""COMPUTED_VALUE"""),8.0)</f>
        <v>8</v>
      </c>
      <c r="C252" s="16">
        <f>IFERROR(__xludf.DUMMYFUNCTION("""COMPUTED_VALUE"""),200.0)</f>
        <v>200</v>
      </c>
      <c r="D252" s="16"/>
      <c r="E252" s="16" t="str">
        <f>IFERROR(__xludf.DUMMYFUNCTION("""COMPUTED_VALUE"""),"Double your attack roll and damage dealt during your next attack.")</f>
        <v>Double your attack roll and damage dealt during your next attack.</v>
      </c>
      <c r="F252" s="16" t="str">
        <f>IFERROR(__xludf.DUMMYFUNCTION("""COMPUTED_VALUE"""),"Will Succeed")</f>
        <v>Will Succeed</v>
      </c>
      <c r="G252" s="16"/>
      <c r="H252" s="16" t="str">
        <f>IFERROR(__xludf.DUMMYFUNCTION("""COMPUTED_VALUE"""),"Melee")</f>
        <v>Melee</v>
      </c>
      <c r="I252" s="16" t="str">
        <f>IFERROR(__xludf.DUMMYFUNCTION("""COMPUTED_VALUE"""),"Player")</f>
        <v>Player</v>
      </c>
      <c r="J252" s="16" t="b">
        <f>IFERROR(__xludf.DUMMYFUNCTION("""COMPUTED_VALUE"""),FALSE)</f>
        <v>0</v>
      </c>
      <c r="K252" s="16"/>
      <c r="L252" s="16" t="b">
        <f>IFERROR(__xludf.DUMMYFUNCTION("""COMPUTED_VALUE"""),FALSE)</f>
        <v>0</v>
      </c>
      <c r="M252" s="16" t="b">
        <f>IFERROR(__xludf.DUMMYFUNCTION("""COMPUTED_VALUE"""),TRUE)</f>
        <v>1</v>
      </c>
      <c r="N252" s="16"/>
    </row>
    <row r="253">
      <c r="A253" s="16" t="str">
        <f>IFERROR(__xludf.DUMMYFUNCTION("""COMPUTED_VALUE"""),"Blade Barrier")</f>
        <v>Blade Barrier</v>
      </c>
      <c r="B253" s="120">
        <f>IFERROR(__xludf.DUMMYFUNCTION("""COMPUTED_VALUE"""),6.0)</f>
        <v>6</v>
      </c>
      <c r="C253" s="16">
        <f>IFERROR(__xludf.DUMMYFUNCTION("""COMPUTED_VALUE"""),60.0)</f>
        <v>60</v>
      </c>
      <c r="D253" s="16"/>
      <c r="E253" s="16" t="str">
        <f>IFERROR(__xludf.DUMMYFUNCTION("""COMPUTED_VALUE"""),"Raise your defense by your attack, if your defense is higher than the damage of an attacking enemy they take the difference as damage")</f>
        <v>Raise your defense by your attack, if your defense is higher than the damage of an attacking enemy they take the difference as damage</v>
      </c>
      <c r="F253" s="16" t="str">
        <f>IFERROR(__xludf.DUMMYFUNCTION("""COMPUTED_VALUE"""),"Fail/Succeed")</f>
        <v>Fail/Succeed</v>
      </c>
      <c r="G253" s="16"/>
      <c r="H253" s="16" t="str">
        <f>IFERROR(__xludf.DUMMYFUNCTION("""COMPUTED_VALUE"""),"Melee")</f>
        <v>Melee</v>
      </c>
      <c r="I253" s="16" t="str">
        <f>IFERROR(__xludf.DUMMYFUNCTION("""COMPUTED_VALUE"""),"Player")</f>
        <v>Player</v>
      </c>
      <c r="J253" s="16" t="b">
        <f>IFERROR(__xludf.DUMMYFUNCTION("""COMPUTED_VALUE"""),FALSE)</f>
        <v>0</v>
      </c>
      <c r="K253" s="16"/>
      <c r="L253" s="16" t="b">
        <f>IFERROR(__xludf.DUMMYFUNCTION("""COMPUTED_VALUE"""),FALSE)</f>
        <v>0</v>
      </c>
      <c r="M253" s="16" t="b">
        <f>IFERROR(__xludf.DUMMYFUNCTION("""COMPUTED_VALUE"""),TRUE)</f>
        <v>1</v>
      </c>
      <c r="N253" s="16"/>
    </row>
    <row r="254">
      <c r="A254" s="16" t="str">
        <f>IFERROR(__xludf.DUMMYFUNCTION("""COMPUTED_VALUE"""),"Double Strike")</f>
        <v>Double Strike</v>
      </c>
      <c r="B254" s="120">
        <f>IFERROR(__xludf.DUMMYFUNCTION("""COMPUTED_VALUE"""),9.0)</f>
        <v>9</v>
      </c>
      <c r="C254" s="16">
        <f>IFERROR(__xludf.DUMMYFUNCTION("""COMPUTED_VALUE"""),300.0)</f>
        <v>300</v>
      </c>
      <c r="D254" s="16"/>
      <c r="E254" s="16" t="str">
        <f>IFERROR(__xludf.DUMMYFUNCTION("""COMPUTED_VALUE"""),"Allows you to attack an additional time during your next attack with a weapon or natural attack.")</f>
        <v>Allows you to attack an additional time during your next attack with a weapon or natural attack.</v>
      </c>
      <c r="F254" s="16" t="str">
        <f>IFERROR(__xludf.DUMMYFUNCTION("""COMPUTED_VALUE"""),"Will Succeed")</f>
        <v>Will Succeed</v>
      </c>
      <c r="G254" s="16" t="str">
        <f>IFERROR(__xludf.DUMMYFUNCTION("""COMPUTED_VALUE"""),"Self")</f>
        <v>Self</v>
      </c>
      <c r="H254" s="16" t="str">
        <f>IFERROR(__xludf.DUMMYFUNCTION("""COMPUTED_VALUE"""),"Melee")</f>
        <v>Melee</v>
      </c>
      <c r="I254" s="16" t="str">
        <f>IFERROR(__xludf.DUMMYFUNCTION("""COMPUTED_VALUE"""),"Player")</f>
        <v>Player</v>
      </c>
      <c r="J254" s="16" t="b">
        <f>IFERROR(__xludf.DUMMYFUNCTION("""COMPUTED_VALUE"""),FALSE)</f>
        <v>0</v>
      </c>
      <c r="K254" s="16"/>
      <c r="L254" s="16" t="b">
        <f>IFERROR(__xludf.DUMMYFUNCTION("""COMPUTED_VALUE"""),FALSE)</f>
        <v>0</v>
      </c>
      <c r="M254" s="16" t="b">
        <f>IFERROR(__xludf.DUMMYFUNCTION("""COMPUTED_VALUE"""),TRUE)</f>
        <v>1</v>
      </c>
      <c r="N254" s="16"/>
    </row>
    <row r="255">
      <c r="A255" s="16" t="str">
        <f>IFERROR(__xludf.DUMMYFUNCTION("""COMPUTED_VALUE"""),"Energy Charge")</f>
        <v>Energy Charge</v>
      </c>
      <c r="B255" s="120">
        <f>IFERROR(__xludf.DUMMYFUNCTION("""COMPUTED_VALUE"""),7.0)</f>
        <v>7</v>
      </c>
      <c r="C255" s="16" t="str">
        <f>IFERROR(__xludf.DUMMYFUNCTION("""COMPUTED_VALUE"""),"X")</f>
        <v>X</v>
      </c>
      <c r="D255" s="16"/>
      <c r="E255" s="16" t="str">
        <f>IFERROR(__xludf.DUMMYFUNCTION("""COMPUTED_VALUE"""),"Raises attack and accuracy by X*2 SP")</f>
        <v>Raises attack and accuracy by X*2 SP</v>
      </c>
      <c r="F255" s="16" t="str">
        <f>IFERROR(__xludf.DUMMYFUNCTION("""COMPUTED_VALUE"""),"Will Succeed")</f>
        <v>Will Succeed</v>
      </c>
      <c r="G255" s="16"/>
      <c r="H255" s="16" t="str">
        <f>IFERROR(__xludf.DUMMYFUNCTION("""COMPUTED_VALUE"""),"Melee")</f>
        <v>Melee</v>
      </c>
      <c r="I255" s="16" t="str">
        <f>IFERROR(__xludf.DUMMYFUNCTION("""COMPUTED_VALUE"""),"Player")</f>
        <v>Player</v>
      </c>
      <c r="J255" s="16" t="b">
        <f>IFERROR(__xludf.DUMMYFUNCTION("""COMPUTED_VALUE"""),FALSE)</f>
        <v>0</v>
      </c>
      <c r="K255" s="16"/>
      <c r="L255" s="16" t="b">
        <f>IFERROR(__xludf.DUMMYFUNCTION("""COMPUTED_VALUE"""),FALSE)</f>
        <v>0</v>
      </c>
      <c r="M255" s="16" t="b">
        <f>IFERROR(__xludf.DUMMYFUNCTION("""COMPUTED_VALUE"""),TRUE)</f>
        <v>1</v>
      </c>
      <c r="N255" s="16"/>
    </row>
    <row r="256">
      <c r="A256" s="16" t="str">
        <f>IFERROR(__xludf.DUMMYFUNCTION("""COMPUTED_VALUE"""),"Go For The Vitals")</f>
        <v>Go For The Vitals</v>
      </c>
      <c r="B256" s="120">
        <f>IFERROR(__xludf.DUMMYFUNCTION("""COMPUTED_VALUE"""),2.0)</f>
        <v>2</v>
      </c>
      <c r="C256" s="16">
        <f>IFERROR(__xludf.DUMMYFUNCTION("""COMPUTED_VALUE"""),20.0)</f>
        <v>20</v>
      </c>
      <c r="D256" s="16"/>
      <c r="E256" s="16" t="str">
        <f>IFERROR(__xludf.DUMMYFUNCTION("""COMPUTED_VALUE"""),"Treat your next attack roll as double.")</f>
        <v>Treat your next attack roll as double.</v>
      </c>
      <c r="F256" s="16" t="str">
        <f>IFERROR(__xludf.DUMMYFUNCTION("""COMPUTED_VALUE"""),"Fail/Succeed")</f>
        <v>Fail/Succeed</v>
      </c>
      <c r="G256" s="16"/>
      <c r="H256" s="16" t="str">
        <f>IFERROR(__xludf.DUMMYFUNCTION("""COMPUTED_VALUE"""),"Melee")</f>
        <v>Melee</v>
      </c>
      <c r="I256" s="16" t="str">
        <f>IFERROR(__xludf.DUMMYFUNCTION("""COMPUTED_VALUE"""),"Player")</f>
        <v>Player</v>
      </c>
      <c r="J256" s="16" t="b">
        <f>IFERROR(__xludf.DUMMYFUNCTION("""COMPUTED_VALUE"""),FALSE)</f>
        <v>0</v>
      </c>
      <c r="K256" s="16"/>
      <c r="L256" s="16" t="b">
        <f>IFERROR(__xludf.DUMMYFUNCTION("""COMPUTED_VALUE"""),FALSE)</f>
        <v>0</v>
      </c>
      <c r="M256" s="16" t="b">
        <f>IFERROR(__xludf.DUMMYFUNCTION("""COMPUTED_VALUE"""),TRUE)</f>
        <v>1</v>
      </c>
      <c r="N256" s="16"/>
    </row>
    <row r="257">
      <c r="A257" s="16" t="str">
        <f>IFERROR(__xludf.DUMMYFUNCTION("""COMPUTED_VALUE"""),"Hard swing")</f>
        <v>Hard swing</v>
      </c>
      <c r="B257" s="120">
        <f>IFERROR(__xludf.DUMMYFUNCTION("""COMPUTED_VALUE"""),1.0)</f>
        <v>1</v>
      </c>
      <c r="C257" s="16">
        <f>IFERROR(__xludf.DUMMYFUNCTION("""COMPUTED_VALUE"""),10.0)</f>
        <v>10</v>
      </c>
      <c r="D257" s="16"/>
      <c r="E257" s="16" t="str">
        <f>IFERROR(__xludf.DUMMYFUNCTION("""COMPUTED_VALUE"""),"During your next attack while attacking with a weapon; Roll for the attack twice and take the higher number.")</f>
        <v>During your next attack while attacking with a weapon; Roll for the attack twice and take the higher number.</v>
      </c>
      <c r="F257" s="16" t="str">
        <f>IFERROR(__xludf.DUMMYFUNCTION("""COMPUTED_VALUE"""),"Fail/Succeed")</f>
        <v>Fail/Succeed</v>
      </c>
      <c r="G257" s="16"/>
      <c r="H257" s="16" t="str">
        <f>IFERROR(__xludf.DUMMYFUNCTION("""COMPUTED_VALUE"""),"Melee")</f>
        <v>Melee</v>
      </c>
      <c r="I257" s="16" t="str">
        <f>IFERROR(__xludf.DUMMYFUNCTION("""COMPUTED_VALUE"""),"Player")</f>
        <v>Player</v>
      </c>
      <c r="J257" s="16" t="b">
        <f>IFERROR(__xludf.DUMMYFUNCTION("""COMPUTED_VALUE"""),FALSE)</f>
        <v>0</v>
      </c>
      <c r="K257" s="16"/>
      <c r="L257" s="16" t="b">
        <f>IFERROR(__xludf.DUMMYFUNCTION("""COMPUTED_VALUE"""),FALSE)</f>
        <v>0</v>
      </c>
      <c r="M257" s="16" t="b">
        <f>IFERROR(__xludf.DUMMYFUNCTION("""COMPUTED_VALUE"""),TRUE)</f>
        <v>1</v>
      </c>
      <c r="N257" s="16"/>
    </row>
    <row r="258">
      <c r="A258" s="16" t="str">
        <f>IFERROR(__xludf.DUMMYFUNCTION("""COMPUTED_VALUE"""),"Melee Barrier")</f>
        <v>Melee Barrier</v>
      </c>
      <c r="B258" s="120">
        <f>IFERROR(__xludf.DUMMYFUNCTION("""COMPUTED_VALUE"""),3.0)</f>
        <v>3</v>
      </c>
      <c r="C258" s="16">
        <f>IFERROR(__xludf.DUMMYFUNCTION("""COMPUTED_VALUE"""),30.0)</f>
        <v>30</v>
      </c>
      <c r="D258" s="16"/>
      <c r="E258" s="16" t="str">
        <f>IFERROR(__xludf.DUMMYFUNCTION("""COMPUTED_VALUE"""),"Take half damage from the next attack.")</f>
        <v>Take half damage from the next attack.</v>
      </c>
      <c r="F258" s="16" t="str">
        <f>IFERROR(__xludf.DUMMYFUNCTION("""COMPUTED_VALUE"""),"Fail/Succeed")</f>
        <v>Fail/Succeed</v>
      </c>
      <c r="G258" s="16"/>
      <c r="H258" s="16" t="str">
        <f>IFERROR(__xludf.DUMMYFUNCTION("""COMPUTED_VALUE"""),"Melee")</f>
        <v>Melee</v>
      </c>
      <c r="I258" s="16" t="str">
        <f>IFERROR(__xludf.DUMMYFUNCTION("""COMPUTED_VALUE"""),"Player")</f>
        <v>Player</v>
      </c>
      <c r="J258" s="16" t="b">
        <f>IFERROR(__xludf.DUMMYFUNCTION("""COMPUTED_VALUE"""),FALSE)</f>
        <v>0</v>
      </c>
      <c r="K258" s="16"/>
      <c r="L258" s="16" t="b">
        <f>IFERROR(__xludf.DUMMYFUNCTION("""COMPUTED_VALUE"""),FALSE)</f>
        <v>0</v>
      </c>
      <c r="M258" s="16" t="b">
        <f>IFERROR(__xludf.DUMMYFUNCTION("""COMPUTED_VALUE"""),TRUE)</f>
        <v>1</v>
      </c>
      <c r="N258" s="16"/>
    </row>
    <row r="259">
      <c r="A259" s="16" t="str">
        <f>IFERROR(__xludf.DUMMYFUNCTION("""COMPUTED_VALUE"""),"Melee Boost")</f>
        <v>Melee Boost</v>
      </c>
      <c r="B259" s="120">
        <f>IFERROR(__xludf.DUMMYFUNCTION("""COMPUTED_VALUE"""),8.0)</f>
        <v>8</v>
      </c>
      <c r="C259" s="16">
        <f>IFERROR(__xludf.DUMMYFUNCTION("""COMPUTED_VALUE"""),200.0)</f>
        <v>200</v>
      </c>
      <c r="D259" s="16"/>
      <c r="E259" s="16" t="str">
        <f>IFERROR(__xludf.DUMMYFUNCTION("""COMPUTED_VALUE"""),"X2 attack for caster only.")</f>
        <v>X2 attack for caster only.</v>
      </c>
      <c r="F259" s="16" t="str">
        <f>IFERROR(__xludf.DUMMYFUNCTION("""COMPUTED_VALUE"""),"Will Succeed")</f>
        <v>Will Succeed</v>
      </c>
      <c r="G259" s="16"/>
      <c r="H259" s="16" t="str">
        <f>IFERROR(__xludf.DUMMYFUNCTION("""COMPUTED_VALUE"""),"Melee")</f>
        <v>Melee</v>
      </c>
      <c r="I259" s="16" t="str">
        <f>IFERROR(__xludf.DUMMYFUNCTION("""COMPUTED_VALUE"""),"Player")</f>
        <v>Player</v>
      </c>
      <c r="J259" s="16" t="b">
        <f>IFERROR(__xludf.DUMMYFUNCTION("""COMPUTED_VALUE"""),FALSE)</f>
        <v>0</v>
      </c>
      <c r="K259" s="16"/>
      <c r="L259" s="16" t="b">
        <f>IFERROR(__xludf.DUMMYFUNCTION("""COMPUTED_VALUE"""),FALSE)</f>
        <v>0</v>
      </c>
      <c r="M259" s="16" t="b">
        <f>IFERROR(__xludf.DUMMYFUNCTION("""COMPUTED_VALUE"""),TRUE)</f>
        <v>1</v>
      </c>
      <c r="N259" s="16"/>
    </row>
    <row r="260">
      <c r="A260" s="16" t="str">
        <f>IFERROR(__xludf.DUMMYFUNCTION("""COMPUTED_VALUE"""),"Melee Shield")</f>
        <v>Melee Shield</v>
      </c>
      <c r="B260" s="120">
        <f>IFERROR(__xludf.DUMMYFUNCTION("""COMPUTED_VALUE"""),5.0)</f>
        <v>5</v>
      </c>
      <c r="C260" s="16">
        <f>IFERROR(__xludf.DUMMYFUNCTION("""COMPUTED_VALUE"""),50.0)</f>
        <v>50</v>
      </c>
      <c r="D260" s="16"/>
      <c r="E260" s="16" t="str">
        <f>IFERROR(__xludf.DUMMYFUNCTION("""COMPUTED_VALUE"""),"You take no damage from the next weapon attack targeting you.")</f>
        <v>You take no damage from the next weapon attack targeting you.</v>
      </c>
      <c r="F260" s="16" t="str">
        <f>IFERROR(__xludf.DUMMYFUNCTION("""COMPUTED_VALUE"""),"Fail/Succeed")</f>
        <v>Fail/Succeed</v>
      </c>
      <c r="G260" s="16"/>
      <c r="H260" s="16" t="str">
        <f>IFERROR(__xludf.DUMMYFUNCTION("""COMPUTED_VALUE"""),"Melee")</f>
        <v>Melee</v>
      </c>
      <c r="I260" s="16" t="str">
        <f>IFERROR(__xludf.DUMMYFUNCTION("""COMPUTED_VALUE"""),"Player")</f>
        <v>Player</v>
      </c>
      <c r="J260" s="16" t="b">
        <f>IFERROR(__xludf.DUMMYFUNCTION("""COMPUTED_VALUE"""),FALSE)</f>
        <v>0</v>
      </c>
      <c r="K260" s="16"/>
      <c r="L260" s="16" t="b">
        <f>IFERROR(__xludf.DUMMYFUNCTION("""COMPUTED_VALUE"""),FALSE)</f>
        <v>0</v>
      </c>
      <c r="M260" s="16" t="b">
        <f>IFERROR(__xludf.DUMMYFUNCTION("""COMPUTED_VALUE"""),TRUE)</f>
        <v>1</v>
      </c>
      <c r="N260" s="16"/>
    </row>
    <row r="261">
      <c r="A261" s="16" t="str">
        <f>IFERROR(__xludf.DUMMYFUNCTION("""COMPUTED_VALUE"""),"Tower Of Balance II")</f>
        <v>Tower Of Balance II</v>
      </c>
      <c r="B261" s="120">
        <f>IFERROR(__xludf.DUMMYFUNCTION("""COMPUTED_VALUE"""),8.0)</f>
        <v>8</v>
      </c>
      <c r="C261" s="16">
        <f>IFERROR(__xludf.DUMMYFUNCTION("""COMPUTED_VALUE"""),200.0)</f>
        <v>200</v>
      </c>
      <c r="D261" s="16"/>
      <c r="E261" s="16" t="str">
        <f>IFERROR(__xludf.DUMMYFUNCTION("""COMPUTED_VALUE"""),"Forms a tower that rises from beneath the ground that shoots multiple beams of melee energy that doubles the attack of the caster and allies.")</f>
        <v>Forms a tower that rises from beneath the ground that shoots multiple beams of melee energy that doubles the attack of the caster and allies.</v>
      </c>
      <c r="F261" s="16" t="str">
        <f>IFERROR(__xludf.DUMMYFUNCTION("""COMPUTED_VALUE"""),"Will Succeed")</f>
        <v>Will Succeed</v>
      </c>
      <c r="G261" s="16"/>
      <c r="H261" s="16" t="str">
        <f>IFERROR(__xludf.DUMMYFUNCTION("""COMPUTED_VALUE"""),"Melee")</f>
        <v>Melee</v>
      </c>
      <c r="I261" s="16" t="str">
        <f>IFERROR(__xludf.DUMMYFUNCTION("""COMPUTED_VALUE"""),"Player")</f>
        <v>Player</v>
      </c>
      <c r="J261" s="16" t="b">
        <f>IFERROR(__xludf.DUMMYFUNCTION("""COMPUTED_VALUE"""),FALSE)</f>
        <v>0</v>
      </c>
      <c r="K261" s="16"/>
      <c r="L261" s="16" t="b">
        <f>IFERROR(__xludf.DUMMYFUNCTION("""COMPUTED_VALUE"""),FALSE)</f>
        <v>0</v>
      </c>
      <c r="M261" s="16" t="b">
        <f>IFERROR(__xludf.DUMMYFUNCTION("""COMPUTED_VALUE"""),TRUE)</f>
        <v>1</v>
      </c>
      <c r="N261" s="16"/>
    </row>
    <row r="262">
      <c r="A262" s="16" t="str">
        <f>IFERROR(__xludf.DUMMYFUNCTION("""COMPUTED_VALUE"""),"Ancient Forest Colossus form")</f>
        <v>Ancient Forest Colossus form</v>
      </c>
      <c r="B262" s="120">
        <f>IFERROR(__xludf.DUMMYFUNCTION("""COMPUTED_VALUE"""),9.0)</f>
        <v>9</v>
      </c>
      <c r="C262" s="16">
        <f>IFERROR(__xludf.DUMMYFUNCTION("""COMPUTED_VALUE"""),300.0)</f>
        <v>300</v>
      </c>
      <c r="D262" s="16"/>
      <c r="E262" s="16" t="str">
        <f>IFERROR(__xludf.DUMMYFUNCTION("""COMPUTED_VALUE"""),"Transform into the ancient forest colossus for the rest of battle. You gain all of its spells, base stats, resistances, immunities, and vulnerabilities. Level determined by DM.")</f>
        <v>Transform into the ancient forest colossus for the rest of battle. You gain all of its spells, base stats, resistances, immunities, and vulnerabilities. Level determined by DM.</v>
      </c>
      <c r="F262" s="16" t="str">
        <f>IFERROR(__xludf.DUMMYFUNCTION("""COMPUTED_VALUE"""),"Fail/succeed")</f>
        <v>Fail/succeed</v>
      </c>
      <c r="G262" s="16"/>
      <c r="H262" s="16" t="str">
        <f>IFERROR(__xludf.DUMMYFUNCTION("""COMPUTED_VALUE"""),"Nature")</f>
        <v>Nature</v>
      </c>
      <c r="I262" s="16" t="str">
        <f>IFERROR(__xludf.DUMMYFUNCTION("""COMPUTED_VALUE"""),"Player")</f>
        <v>Player</v>
      </c>
      <c r="J262" s="16" t="b">
        <f>IFERROR(__xludf.DUMMYFUNCTION("""COMPUTED_VALUE"""),FALSE)</f>
        <v>0</v>
      </c>
      <c r="K262" s="16"/>
      <c r="L262" s="16" t="b">
        <f>IFERROR(__xludf.DUMMYFUNCTION("""COMPUTED_VALUE"""),FALSE)</f>
        <v>0</v>
      </c>
      <c r="M262" s="16" t="b">
        <f>IFERROR(__xludf.DUMMYFUNCTION("""COMPUTED_VALUE"""),FALSE)</f>
        <v>0</v>
      </c>
      <c r="N262" s="16"/>
    </row>
    <row r="263">
      <c r="A263" s="16" t="str">
        <f>IFERROR(__xludf.DUMMYFUNCTION("""COMPUTED_VALUE"""),"Beast Form")</f>
        <v>Beast Form</v>
      </c>
      <c r="B263" s="120">
        <f>IFERROR(__xludf.DUMMYFUNCTION("""COMPUTED_VALUE"""),5.0)</f>
        <v>5</v>
      </c>
      <c r="C263" s="16">
        <f>IFERROR(__xludf.DUMMYFUNCTION("""COMPUTED_VALUE"""),50.0)</f>
        <v>50</v>
      </c>
      <c r="D263" s="16"/>
      <c r="E263" s="16" t="str">
        <f>IFERROR(__xludf.DUMMYFUNCTION("""COMPUTED_VALUE"""),"You become a beast that is equal or lower level than you.")</f>
        <v>You become a beast that is equal or lower level than you.</v>
      </c>
      <c r="F263" s="16" t="str">
        <f>IFERROR(__xludf.DUMMYFUNCTION("""COMPUTED_VALUE"""),"Fail/succeed")</f>
        <v>Fail/succeed</v>
      </c>
      <c r="G263" s="16"/>
      <c r="H263" s="16" t="str">
        <f>IFERROR(__xludf.DUMMYFUNCTION("""COMPUTED_VALUE"""),"Nature")</f>
        <v>Nature</v>
      </c>
      <c r="I263" s="16" t="str">
        <f>IFERROR(__xludf.DUMMYFUNCTION("""COMPUTED_VALUE"""),"Player")</f>
        <v>Player</v>
      </c>
      <c r="J263" s="16" t="b">
        <f>IFERROR(__xludf.DUMMYFUNCTION("""COMPUTED_VALUE"""),FALSE)</f>
        <v>0</v>
      </c>
      <c r="K263" s="16"/>
      <c r="L263" s="16" t="b">
        <f>IFERROR(__xludf.DUMMYFUNCTION("""COMPUTED_VALUE"""),FALSE)</f>
        <v>0</v>
      </c>
      <c r="M263" s="16" t="b">
        <f>IFERROR(__xludf.DUMMYFUNCTION("""COMPUTED_VALUE"""),FALSE)</f>
        <v>0</v>
      </c>
      <c r="N263" s="16"/>
    </row>
    <row r="264">
      <c r="A264" s="16" t="str">
        <f>IFERROR(__xludf.DUMMYFUNCTION("""COMPUTED_VALUE"""),"Call of the Ancient Forest")</f>
        <v>Call of the Ancient Forest</v>
      </c>
      <c r="B264" s="120">
        <f>IFERROR(__xludf.DUMMYFUNCTION("""COMPUTED_VALUE"""),9.0)</f>
        <v>9</v>
      </c>
      <c r="C264" s="119">
        <f>IFERROR(__xludf.DUMMYFUNCTION("""COMPUTED_VALUE"""),5000.0)</f>
        <v>5000</v>
      </c>
      <c r="D264" s="16"/>
      <c r="E264" s="16" t="str">
        <f>IFERROR(__xludf.DUMMYFUNCTION("""COMPUTED_VALUE"""),"(1 use): Summons a Ancient Forest Colossus")</f>
        <v>(1 use): Summons a Ancient Forest Colossus</v>
      </c>
      <c r="F264" s="16" t="str">
        <f>IFERROR(__xludf.DUMMYFUNCTION("""COMPUTED_VALUE"""),"Fail/Succeed")</f>
        <v>Fail/Succeed</v>
      </c>
      <c r="G264" s="16" t="str">
        <f>IFERROR(__xludf.DUMMYFUNCTION("""COMPUTED_VALUE"""),"Self")</f>
        <v>Self</v>
      </c>
      <c r="H264" s="16" t="str">
        <f>IFERROR(__xludf.DUMMYFUNCTION("""COMPUTED_VALUE"""),"Nature")</f>
        <v>Nature</v>
      </c>
      <c r="I264" s="16" t="str">
        <f>IFERROR(__xludf.DUMMYFUNCTION("""COMPUTED_VALUE"""),"Mob")</f>
        <v>Mob</v>
      </c>
      <c r="J264" s="16" t="b">
        <f>IFERROR(__xludf.DUMMYFUNCTION("""COMPUTED_VALUE"""),TRUE)</f>
        <v>1</v>
      </c>
      <c r="K264" s="16"/>
      <c r="L264" s="16" t="b">
        <f>IFERROR(__xludf.DUMMYFUNCTION("""COMPUTED_VALUE"""),FALSE)</f>
        <v>0</v>
      </c>
      <c r="M264" s="16" t="b">
        <f>IFERROR(__xludf.DUMMYFUNCTION("""COMPUTED_VALUE"""),FALSE)</f>
        <v>0</v>
      </c>
      <c r="N264" s="16"/>
    </row>
    <row r="265">
      <c r="A265" s="16" t="str">
        <f>IFERROR(__xludf.DUMMYFUNCTION("""COMPUTED_VALUE"""),"Class 3 Poison")</f>
        <v>Class 3 Poison</v>
      </c>
      <c r="B265" s="120">
        <f>IFERROR(__xludf.DUMMYFUNCTION("""COMPUTED_VALUE"""),9.0)</f>
        <v>9</v>
      </c>
      <c r="C265" s="119">
        <f>IFERROR(__xludf.DUMMYFUNCTION("""COMPUTED_VALUE"""),5000.0)</f>
        <v>5000</v>
      </c>
      <c r="D265" s="16"/>
      <c r="E265" s="16" t="str">
        <f>IFERROR(__xludf.DUMMYFUNCTION("""COMPUTED_VALUE"""),"When attacked, the attacker will take Poison 10,000 for 3 rounds.")</f>
        <v>When attacked, the attacker will take Poison 10,000 for 3 rounds.</v>
      </c>
      <c r="F265" s="16" t="str">
        <f>IFERROR(__xludf.DUMMYFUNCTION("""COMPUTED_VALUE"""),"Fail/Succeed")</f>
        <v>Fail/Succeed</v>
      </c>
      <c r="G265" s="16" t="str">
        <f>IFERROR(__xludf.DUMMYFUNCTION("""COMPUTED_VALUE"""),"Self")</f>
        <v>Self</v>
      </c>
      <c r="H265" s="16" t="str">
        <f>IFERROR(__xludf.DUMMYFUNCTION("""COMPUTED_VALUE"""),"Nature")</f>
        <v>Nature</v>
      </c>
      <c r="I265" s="16" t="str">
        <f>IFERROR(__xludf.DUMMYFUNCTION("""COMPUTED_VALUE"""),"Mob")</f>
        <v>Mob</v>
      </c>
      <c r="J265" s="16" t="b">
        <f>IFERROR(__xludf.DUMMYFUNCTION("""COMPUTED_VALUE"""),TRUE)</f>
        <v>1</v>
      </c>
      <c r="K265" s="16"/>
      <c r="L265" s="16" t="b">
        <f>IFERROR(__xludf.DUMMYFUNCTION("""COMPUTED_VALUE"""),FALSE)</f>
        <v>0</v>
      </c>
      <c r="M265" s="16" t="b">
        <f>IFERROR(__xludf.DUMMYFUNCTION("""COMPUTED_VALUE"""),FALSE)</f>
        <v>0</v>
      </c>
      <c r="N265" s="16"/>
    </row>
    <row r="266">
      <c r="A266" s="16" t="str">
        <f>IFERROR(__xludf.DUMMYFUNCTION("""COMPUTED_VALUE"""),"Creature Control")</f>
        <v>Creature Control</v>
      </c>
      <c r="B266" s="120">
        <f>IFERROR(__xludf.DUMMYFUNCTION("""COMPUTED_VALUE"""),3.0)</f>
        <v>3</v>
      </c>
      <c r="C266" s="16">
        <f>IFERROR(__xludf.DUMMYFUNCTION("""COMPUTED_VALUE"""),30.0)</f>
        <v>30</v>
      </c>
      <c r="D266" s="16"/>
      <c r="E266" s="16" t="str">
        <f>IFERROR(__xludf.DUMMYFUNCTION("""COMPUTED_VALUE"""),"Turn one non-sentient creature into a companion, and can only have one creature under this power's effect at a time.")</f>
        <v>Turn one non-sentient creature into a companion, and can only have one creature under this power's effect at a time.</v>
      </c>
      <c r="F266" s="16" t="str">
        <f>IFERROR(__xludf.DUMMYFUNCTION("""COMPUTED_VALUE"""),"Fail/succeed")</f>
        <v>Fail/succeed</v>
      </c>
      <c r="G266" s="16"/>
      <c r="H266" s="16" t="str">
        <f>IFERROR(__xludf.DUMMYFUNCTION("""COMPUTED_VALUE"""),"Nature")</f>
        <v>Nature</v>
      </c>
      <c r="I266" s="16" t="str">
        <f>IFERROR(__xludf.DUMMYFUNCTION("""COMPUTED_VALUE"""),"Player")</f>
        <v>Player</v>
      </c>
      <c r="J266" s="16" t="b">
        <f>IFERROR(__xludf.DUMMYFUNCTION("""COMPUTED_VALUE"""),FALSE)</f>
        <v>0</v>
      </c>
      <c r="K266" s="16"/>
      <c r="L266" s="16" t="b">
        <f>IFERROR(__xludf.DUMMYFUNCTION("""COMPUTED_VALUE"""),FALSE)</f>
        <v>0</v>
      </c>
      <c r="M266" s="16" t="b">
        <f>IFERROR(__xludf.DUMMYFUNCTION("""COMPUTED_VALUE"""),FALSE)</f>
        <v>0</v>
      </c>
      <c r="N266" s="16"/>
    </row>
    <row r="267">
      <c r="A267" s="16" t="str">
        <f>IFERROR(__xludf.DUMMYFUNCTION("""COMPUTED_VALUE"""),"Grounds")</f>
        <v>Grounds</v>
      </c>
      <c r="B267" s="120">
        <f>IFERROR(__xludf.DUMMYFUNCTION("""COMPUTED_VALUE"""),9.0)</f>
        <v>9</v>
      </c>
      <c r="C267" s="16" t="str">
        <f>IFERROR(__xludf.DUMMYFUNCTION("""COMPUTED_VALUE"""),"X")</f>
        <v>X</v>
      </c>
      <c r="D267" s="16"/>
      <c r="E267" s="16" t="str">
        <f>IFERROR(__xludf.DUMMYFUNCTION("""COMPUTED_VALUE"""),"Creates an area of healing for you and your allies equal to the amount of SP you spend, they regain XHP each round they are in the area for the rest of battle. (Within dungeons with a map Creates a 3x3 around you) (1 use)")</f>
        <v>Creates an area of healing for you and your allies equal to the amount of SP you spend, they regain XHP each round they are in the area for the rest of battle. (Within dungeons with a map Creates a 3x3 around you) (1 use)</v>
      </c>
      <c r="F267" s="16" t="str">
        <f>IFERROR(__xludf.DUMMYFUNCTION("""COMPUTED_VALUE"""),"Will Succeed")</f>
        <v>Will Succeed</v>
      </c>
      <c r="G267" s="16"/>
      <c r="H267" s="16" t="str">
        <f>IFERROR(__xludf.DUMMYFUNCTION("""COMPUTED_VALUE"""),"Nature")</f>
        <v>Nature</v>
      </c>
      <c r="I267" s="16" t="str">
        <f>IFERROR(__xludf.DUMMYFUNCTION("""COMPUTED_VALUE"""),"Player")</f>
        <v>Player</v>
      </c>
      <c r="J267" s="16" t="b">
        <f>IFERROR(__xludf.DUMMYFUNCTION("""COMPUTED_VALUE"""),FALSE)</f>
        <v>0</v>
      </c>
      <c r="K267" s="16"/>
      <c r="L267" s="16" t="b">
        <f>IFERROR(__xludf.DUMMYFUNCTION("""COMPUTED_VALUE"""),FALSE)</f>
        <v>0</v>
      </c>
      <c r="M267" s="16" t="b">
        <f>IFERROR(__xludf.DUMMYFUNCTION("""COMPUTED_VALUE"""),FALSE)</f>
        <v>0</v>
      </c>
      <c r="N267" s="16"/>
    </row>
    <row r="268">
      <c r="A268" s="16" t="str">
        <f>IFERROR(__xludf.DUMMYFUNCTION("""COMPUTED_VALUE"""),"Nature Ward")</f>
        <v>Nature Ward</v>
      </c>
      <c r="B268" s="120">
        <f>IFERROR(__xludf.DUMMYFUNCTION("""COMPUTED_VALUE"""),9.0)</f>
        <v>9</v>
      </c>
      <c r="C268" s="16">
        <f>IFERROR(__xludf.DUMMYFUNCTION("""COMPUTED_VALUE"""),300.0)</f>
        <v>300</v>
      </c>
      <c r="D268" s="16"/>
      <c r="E268"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268" s="16" t="str">
        <f>IFERROR(__xludf.DUMMYFUNCTION("""COMPUTED_VALUE"""),"Fail/Succeed")</f>
        <v>Fail/Succeed</v>
      </c>
      <c r="G268" s="16">
        <f>IFERROR(__xludf.DUMMYFUNCTION("""COMPUTED_VALUE"""),1.0)</f>
        <v>1</v>
      </c>
      <c r="H268" s="16" t="str">
        <f>IFERROR(__xludf.DUMMYFUNCTION("""COMPUTED_VALUE"""),"Nature")</f>
        <v>Nature</v>
      </c>
      <c r="I268" s="16" t="str">
        <f>IFERROR(__xludf.DUMMYFUNCTION("""COMPUTED_VALUE"""),"Player")</f>
        <v>Player</v>
      </c>
      <c r="J268" s="16" t="b">
        <f>IFERROR(__xludf.DUMMYFUNCTION("""COMPUTED_VALUE"""),FALSE)</f>
        <v>0</v>
      </c>
      <c r="K268" s="16"/>
      <c r="L268" s="16" t="b">
        <f>IFERROR(__xludf.DUMMYFUNCTION("""COMPUTED_VALUE"""),FALSE)</f>
        <v>0</v>
      </c>
      <c r="M268" s="16" t="b">
        <f>IFERROR(__xludf.DUMMYFUNCTION("""COMPUTED_VALUE"""),FALSE)</f>
        <v>0</v>
      </c>
      <c r="N268" s="16"/>
    </row>
    <row r="269">
      <c r="A269" s="16" t="str">
        <f>IFERROR(__xludf.DUMMYFUNCTION("""COMPUTED_VALUE"""),"Poison Fang")</f>
        <v>Poison Fang</v>
      </c>
      <c r="B269" s="120">
        <f>IFERROR(__xludf.DUMMYFUNCTION("""COMPUTED_VALUE"""),1.0)</f>
        <v>1</v>
      </c>
      <c r="C269" s="16">
        <f>IFERROR(__xludf.DUMMYFUNCTION("""COMPUTED_VALUE"""),0.0)</f>
        <v>0</v>
      </c>
      <c r="D269" s="16"/>
      <c r="E269" s="16" t="str">
        <f>IFERROR(__xludf.DUMMYFUNCTION("""COMPUTED_VALUE"""),"Poison 1000")</f>
        <v>Poison 1000</v>
      </c>
      <c r="F269" s="16" t="str">
        <f>IFERROR(__xludf.DUMMYFUNCTION("""COMPUTED_VALUE"""),"Natural/Hit or Miss")</f>
        <v>Natural/Hit or Miss</v>
      </c>
      <c r="G269" s="16">
        <f>IFERROR(__xludf.DUMMYFUNCTION("""COMPUTED_VALUE"""),1.0)</f>
        <v>1</v>
      </c>
      <c r="H269" s="16" t="str">
        <f>IFERROR(__xludf.DUMMYFUNCTION("""COMPUTED_VALUE"""),"Nature")</f>
        <v>Nature</v>
      </c>
      <c r="I269" s="16" t="str">
        <f>IFERROR(__xludf.DUMMYFUNCTION("""COMPUTED_VALUE"""),"Mob")</f>
        <v>Mob</v>
      </c>
      <c r="J269" s="16" t="b">
        <f>IFERROR(__xludf.DUMMYFUNCTION("""COMPUTED_VALUE"""),TRUE)</f>
        <v>1</v>
      </c>
      <c r="K269" s="16"/>
      <c r="L269" s="16" t="b">
        <f>IFERROR(__xludf.DUMMYFUNCTION("""COMPUTED_VALUE"""),FALSE)</f>
        <v>0</v>
      </c>
      <c r="M269" s="16" t="b">
        <f>IFERROR(__xludf.DUMMYFUNCTION("""COMPUTED_VALUE"""),FALSE)</f>
        <v>0</v>
      </c>
      <c r="N269" s="16"/>
    </row>
    <row r="270">
      <c r="A270" s="16"/>
      <c r="B270" s="16"/>
      <c r="C270" s="16"/>
      <c r="D270" s="16"/>
      <c r="E270" s="16"/>
      <c r="F270" s="16"/>
      <c r="G270" s="16"/>
      <c r="H270" s="16"/>
      <c r="I270" s="16"/>
      <c r="J270" s="16" t="b">
        <f>IFERROR(__xludf.DUMMYFUNCTION("""COMPUTED_VALUE"""),FALSE)</f>
        <v>0</v>
      </c>
      <c r="K270" s="16"/>
      <c r="L270" s="16" t="b">
        <f>IFERROR(__xludf.DUMMYFUNCTION("""COMPUTED_VALUE"""),FALSE)</f>
        <v>0</v>
      </c>
      <c r="M270" s="16" t="b">
        <f>IFERROR(__xludf.DUMMYFUNCTION("""COMPUTED_VALUE"""),FALSE)</f>
        <v>0</v>
      </c>
      <c r="N270" s="16"/>
    </row>
    <row r="271">
      <c r="A271" s="16" t="str">
        <f>IFERROR(__xludf.DUMMYFUNCTION("""COMPUTED_VALUE"""),"Poison Stomp")</f>
        <v>Poison Stomp</v>
      </c>
      <c r="B271" s="120">
        <f>IFERROR(__xludf.DUMMYFUNCTION("""COMPUTED_VALUE"""),1.0)</f>
        <v>1</v>
      </c>
      <c r="C271" s="16">
        <f>IFERROR(__xludf.DUMMYFUNCTION("""COMPUTED_VALUE"""),0.0)</f>
        <v>0</v>
      </c>
      <c r="D271" s="16"/>
      <c r="E271" s="16" t="str">
        <f>IFERROR(__xludf.DUMMYFUNCTION("""COMPUTED_VALUE"""),"1000 damage, poison 500 for 3 rounds.")</f>
        <v>1000 damage, poison 500 for 3 rounds.</v>
      </c>
      <c r="F271" s="16" t="str">
        <f>IFERROR(__xludf.DUMMYFUNCTION("""COMPUTED_VALUE"""),"Natural/Hit or Miss")</f>
        <v>Natural/Hit or Miss</v>
      </c>
      <c r="G271" s="16">
        <f>IFERROR(__xludf.DUMMYFUNCTION("""COMPUTED_VALUE"""),1.0)</f>
        <v>1</v>
      </c>
      <c r="H271" s="16" t="str">
        <f>IFERROR(__xludf.DUMMYFUNCTION("""COMPUTED_VALUE"""),"Nature")</f>
        <v>Nature</v>
      </c>
      <c r="I271" s="16" t="str">
        <f>IFERROR(__xludf.DUMMYFUNCTION("""COMPUTED_VALUE"""),"Mob")</f>
        <v>Mob</v>
      </c>
      <c r="J271" s="16" t="b">
        <f>IFERROR(__xludf.DUMMYFUNCTION("""COMPUTED_VALUE"""),TRUE)</f>
        <v>1</v>
      </c>
      <c r="K271" s="16"/>
      <c r="L271" s="16" t="b">
        <f>IFERROR(__xludf.DUMMYFUNCTION("""COMPUTED_VALUE"""),FALSE)</f>
        <v>0</v>
      </c>
      <c r="M271" s="16" t="b">
        <f>IFERROR(__xludf.DUMMYFUNCTION("""COMPUTED_VALUE"""),FALSE)</f>
        <v>0</v>
      </c>
      <c r="N271" s="16"/>
    </row>
    <row r="272">
      <c r="A272" s="16" t="str">
        <f>IFERROR(__xludf.DUMMYFUNCTION("""COMPUTED_VALUE"""),"Cocoon")</f>
        <v>Cocoon</v>
      </c>
      <c r="B272" s="120">
        <f>IFERROR(__xludf.DUMMYFUNCTION("""COMPUTED_VALUE"""),9.0)</f>
        <v>9</v>
      </c>
      <c r="C272" s="119">
        <f>IFERROR(__xludf.DUMMYFUNCTION("""COMPUTED_VALUE"""),1000.0)</f>
        <v>1000</v>
      </c>
      <c r="D272" s="16"/>
      <c r="E272" s="16" t="str">
        <f>IFERROR(__xludf.DUMMYFUNCTION("""COMPUTED_VALUE"""),"Absorb all damage you take until your next turn then add that damage you would have taken to your next attack as additional nature damage.")</f>
        <v>Absorb all damage you take until your next turn then add that damage you would have taken to your next attack as additional nature damage.</v>
      </c>
      <c r="F272" s="16" t="str">
        <f>IFERROR(__xludf.DUMMYFUNCTION("""COMPUTED_VALUE"""),"Fail/Succeed")</f>
        <v>Fail/Succeed</v>
      </c>
      <c r="G272" s="16" t="str">
        <f>IFERROR(__xludf.DUMMYFUNCTION("""COMPUTED_VALUE"""),"Self")</f>
        <v>Self</v>
      </c>
      <c r="H272" s="16" t="str">
        <f>IFERROR(__xludf.DUMMYFUNCTION("""COMPUTED_VALUE"""),"Nature")</f>
        <v>Nature</v>
      </c>
      <c r="I272" s="16" t="str">
        <f>IFERROR(__xludf.DUMMYFUNCTION("""COMPUTED_VALUE"""),"Mob")</f>
        <v>Mob</v>
      </c>
      <c r="J272" s="16" t="b">
        <f>IFERROR(__xludf.DUMMYFUNCTION("""COMPUTED_VALUE"""),TRUE)</f>
        <v>1</v>
      </c>
      <c r="K272" s="16"/>
      <c r="L272" s="16" t="b">
        <f>IFERROR(__xludf.DUMMYFUNCTION("""COMPUTED_VALUE"""),FALSE)</f>
        <v>0</v>
      </c>
      <c r="M272" s="16" t="b">
        <f>IFERROR(__xludf.DUMMYFUNCTION("""COMPUTED_VALUE"""),FALSE)</f>
        <v>0</v>
      </c>
      <c r="N272" s="16"/>
    </row>
    <row r="273">
      <c r="A273" s="16" t="str">
        <f>IFERROR(__xludf.DUMMYFUNCTION("""COMPUTED_VALUE"""),"Poisonous Fumes")</f>
        <v>Poisonous Fumes</v>
      </c>
      <c r="B273" s="120">
        <f>IFERROR(__xludf.DUMMYFUNCTION("""COMPUTED_VALUE"""),8.0)</f>
        <v>8</v>
      </c>
      <c r="C273" s="16">
        <f>IFERROR(__xludf.DUMMYFUNCTION("""COMPUTED_VALUE"""),1400.0)</f>
        <v>1400</v>
      </c>
      <c r="D273" s="16"/>
      <c r="E273" s="16" t="str">
        <f>IFERROR(__xludf.DUMMYFUNCTION("""COMPUTED_VALUE"""),"Poison 14000 to all enemies for 3 rounds, 50% chance to deal an additional Poison 14,000 to all enemies for 3 more rounds.")</f>
        <v>Poison 14000 to all enemies for 3 rounds, 50% chance to deal an additional Poison 14,000 to all enemies for 3 more rounds.</v>
      </c>
      <c r="F273" s="16" t="str">
        <f>IFERROR(__xludf.DUMMYFUNCTION("""COMPUTED_VALUE"""),"Fail/Succeed")</f>
        <v>Fail/Succeed</v>
      </c>
      <c r="G273" s="16"/>
      <c r="H273" s="16" t="str">
        <f>IFERROR(__xludf.DUMMYFUNCTION("""COMPUTED_VALUE"""),"Nature")</f>
        <v>Nature</v>
      </c>
      <c r="I273" s="16" t="str">
        <f>IFERROR(__xludf.DUMMYFUNCTION("""COMPUTED_VALUE"""),"Player")</f>
        <v>Player</v>
      </c>
      <c r="J273" s="16" t="b">
        <f>IFERROR(__xludf.DUMMYFUNCTION("""COMPUTED_VALUE"""),FALSE)</f>
        <v>0</v>
      </c>
      <c r="K273" s="16"/>
      <c r="L273" s="16" t="b">
        <f>IFERROR(__xludf.DUMMYFUNCTION("""COMPUTED_VALUE"""),FALSE)</f>
        <v>0</v>
      </c>
      <c r="M273" s="16" t="b">
        <f>IFERROR(__xludf.DUMMYFUNCTION("""COMPUTED_VALUE"""),FALSE)</f>
        <v>0</v>
      </c>
      <c r="N273" s="16"/>
    </row>
    <row r="274">
      <c r="A274" s="16" t="str">
        <f>IFERROR(__xludf.DUMMYFUNCTION("""COMPUTED_VALUE"""),"The World Tree")</f>
        <v>The World Tree</v>
      </c>
      <c r="B274" s="120">
        <f>IFERROR(__xludf.DUMMYFUNCTION("""COMPUTED_VALUE"""),9.0)</f>
        <v>9</v>
      </c>
      <c r="C274" s="16">
        <f>IFERROR(__xludf.DUMMYFUNCTION("""COMPUTED_VALUE"""),500.0)</f>
        <v>500</v>
      </c>
      <c r="D274" s="16"/>
      <c r="E274" s="16" t="str">
        <f>IFERROR(__xludf.DUMMYFUNCTION("""COMPUTED_VALUE"""),"Fully revives all dead party members and fully restores their sp. This spell can only be casted when one or more party member(s) are dead.")</f>
        <v>Fully revives all dead party members and fully restores their sp. This spell can only be casted when one or more party member(s) are dead.</v>
      </c>
      <c r="F274" s="16" t="str">
        <f>IFERROR(__xludf.DUMMYFUNCTION("""COMPUTED_VALUE"""),"Fail/Succeed")</f>
        <v>Fail/Succeed</v>
      </c>
      <c r="G274" s="16"/>
      <c r="H274" s="16" t="str">
        <f>IFERROR(__xludf.DUMMYFUNCTION("""COMPUTED_VALUE"""),"Nature")</f>
        <v>Nature</v>
      </c>
      <c r="I274" s="16" t="str">
        <f>IFERROR(__xludf.DUMMYFUNCTION("""COMPUTED_VALUE"""),"Player")</f>
        <v>Player</v>
      </c>
      <c r="J274" s="16" t="b">
        <f>IFERROR(__xludf.DUMMYFUNCTION("""COMPUTED_VALUE"""),FALSE)</f>
        <v>0</v>
      </c>
      <c r="K274" s="16"/>
      <c r="L274" s="16" t="b">
        <f>IFERROR(__xludf.DUMMYFUNCTION("""COMPUTED_VALUE"""),FALSE)</f>
        <v>0</v>
      </c>
      <c r="M274" s="16" t="b">
        <f>IFERROR(__xludf.DUMMYFUNCTION("""COMPUTED_VALUE"""),FALSE)</f>
        <v>0</v>
      </c>
      <c r="N274" s="16"/>
    </row>
    <row r="275">
      <c r="A275" s="16" t="str">
        <f>IFERROR(__xludf.DUMMYFUNCTION("""COMPUTED_VALUE"""),"Tower Of The Forest")</f>
        <v>Tower Of The Forest</v>
      </c>
      <c r="B275" s="120">
        <f>IFERROR(__xludf.DUMMYFUNCTION("""COMPUTED_VALUE"""),8.0)</f>
        <v>8</v>
      </c>
      <c r="C275" s="16">
        <f>IFERROR(__xludf.DUMMYFUNCTION("""COMPUTED_VALUE"""),200.0)</f>
        <v>200</v>
      </c>
      <c r="D275" s="16"/>
      <c r="E275" s="16" t="str">
        <f>IFERROR(__xludf.DUMMYFUNCTION("""COMPUTED_VALUE"""),"Forms a tower that rises from beneath the ground and shoots a giant beam of nature energy from the towers eye - 14,000 nature damage and revives 1 dead party member.")</f>
        <v>Forms a tower that rises from beneath the ground and shoots a giant beam of nature energy from the towers eye - 14,000 nature damage and revives 1 dead party member.</v>
      </c>
      <c r="F275" s="16" t="str">
        <f>IFERROR(__xludf.DUMMYFUNCTION("""COMPUTED_VALUE"""),"Fail/Succeed")</f>
        <v>Fail/Succeed</v>
      </c>
      <c r="G275" s="16">
        <f>IFERROR(__xludf.DUMMYFUNCTION("""COMPUTED_VALUE"""),1.0)</f>
        <v>1</v>
      </c>
      <c r="H275" s="16" t="str">
        <f>IFERROR(__xludf.DUMMYFUNCTION("""COMPUTED_VALUE"""),"Nature")</f>
        <v>Nature</v>
      </c>
      <c r="I275" s="16" t="str">
        <f>IFERROR(__xludf.DUMMYFUNCTION("""COMPUTED_VALUE"""),"Player")</f>
        <v>Player</v>
      </c>
      <c r="J275" s="16" t="b">
        <f>IFERROR(__xludf.DUMMYFUNCTION("""COMPUTED_VALUE"""),FALSE)</f>
        <v>0</v>
      </c>
      <c r="K275" s="16"/>
      <c r="L275" s="16" t="b">
        <f>IFERROR(__xludf.DUMMYFUNCTION("""COMPUTED_VALUE"""),FALSE)</f>
        <v>0</v>
      </c>
      <c r="M275" s="16" t="b">
        <f>IFERROR(__xludf.DUMMYFUNCTION("""COMPUTED_VALUE"""),FALSE)</f>
        <v>0</v>
      </c>
      <c r="N275" s="16"/>
    </row>
    <row r="276">
      <c r="A276" s="16" t="str">
        <f>IFERROR(__xludf.DUMMYFUNCTION("""COMPUTED_VALUE"""),"Tree Stance")</f>
        <v>Tree Stance</v>
      </c>
      <c r="B276" s="120">
        <f>IFERROR(__xludf.DUMMYFUNCTION("""COMPUTED_VALUE"""),9.0)</f>
        <v>9</v>
      </c>
      <c r="C276" s="16">
        <f>IFERROR(__xludf.DUMMYFUNCTION("""COMPUTED_VALUE"""),300.0)</f>
        <v>300</v>
      </c>
      <c r="D276" s="16"/>
      <c r="E276" s="16" t="str">
        <f>IFERROR(__xludf.DUMMYFUNCTION("""COMPUTED_VALUE"""),"The caster becomes tree-like, restoring self and allies by 10,000hp and 10,000sp and giving them X2 def each round until the end of the battle. (Caster skips their next turn)")</f>
        <v>The caster becomes tree-like, restoring self and allies by 10,000hp and 10,000sp and giving them X2 def each round until the end of the battle. (Caster skips their next turn)</v>
      </c>
      <c r="F276" s="16" t="str">
        <f>IFERROR(__xludf.DUMMYFUNCTION("""COMPUTED_VALUE"""),"Will Succeed")</f>
        <v>Will Succeed</v>
      </c>
      <c r="G276" s="16" t="str">
        <f>IFERROR(__xludf.DUMMYFUNCTION("""COMPUTED_VALUE"""),"Self ")</f>
        <v>Self </v>
      </c>
      <c r="H276" s="16" t="str">
        <f>IFERROR(__xludf.DUMMYFUNCTION("""COMPUTED_VALUE"""),"Nature")</f>
        <v>Nature</v>
      </c>
      <c r="I276" s="16" t="str">
        <f>IFERROR(__xludf.DUMMYFUNCTION("""COMPUTED_VALUE"""),"Player")</f>
        <v>Player</v>
      </c>
      <c r="J276" s="16" t="b">
        <f>IFERROR(__xludf.DUMMYFUNCTION("""COMPUTED_VALUE"""),TRUE)</f>
        <v>1</v>
      </c>
      <c r="K276" s="16" t="str">
        <f>IFERROR(__xludf.DUMMYFUNCTION("""COMPUTED_VALUE"""),"shop spell")</f>
        <v>shop spell</v>
      </c>
      <c r="L276" s="16" t="b">
        <f>IFERROR(__xludf.DUMMYFUNCTION("""COMPUTED_VALUE"""),FALSE)</f>
        <v>0</v>
      </c>
      <c r="M276" s="16" t="b">
        <f>IFERROR(__xludf.DUMMYFUNCTION("""COMPUTED_VALUE"""),FALSE)</f>
        <v>0</v>
      </c>
      <c r="N276" s="16"/>
    </row>
    <row r="277">
      <c r="A277" s="16" t="str">
        <f>IFERROR(__xludf.DUMMYFUNCTION("""COMPUTED_VALUE"""),"Tree Throw")</f>
        <v>Tree Throw</v>
      </c>
      <c r="B277" s="120">
        <f>IFERROR(__xludf.DUMMYFUNCTION("""COMPUTED_VALUE"""),1.0)</f>
        <v>1</v>
      </c>
      <c r="C277" s="119">
        <f>IFERROR(__xludf.DUMMYFUNCTION("""COMPUTED_VALUE"""),0.0)</f>
        <v>0</v>
      </c>
      <c r="D277" s="16"/>
      <c r="E277" s="16" t="str">
        <f>IFERROR(__xludf.DUMMYFUNCTION("""COMPUTED_VALUE"""),"10,000 nature damage.")</f>
        <v>10,000 nature damage.</v>
      </c>
      <c r="F277" s="16" t="str">
        <f>IFERROR(__xludf.DUMMYFUNCTION("""COMPUTED_VALUE"""),"Hit/Miss")</f>
        <v>Hit/Miss</v>
      </c>
      <c r="G277" s="16">
        <f>IFERROR(__xludf.DUMMYFUNCTION("""COMPUTED_VALUE"""),1.0)</f>
        <v>1</v>
      </c>
      <c r="H277" s="16" t="str">
        <f>IFERROR(__xludf.DUMMYFUNCTION("""COMPUTED_VALUE"""),"Nature")</f>
        <v>Nature</v>
      </c>
      <c r="I277" s="16" t="str">
        <f>IFERROR(__xludf.DUMMYFUNCTION("""COMPUTED_VALUE"""),"Mob")</f>
        <v>Mob</v>
      </c>
      <c r="J277" s="16" t="b">
        <f>IFERROR(__xludf.DUMMYFUNCTION("""COMPUTED_VALUE"""),TRUE)</f>
        <v>1</v>
      </c>
      <c r="K277" s="16"/>
      <c r="L277" s="16" t="b">
        <f>IFERROR(__xludf.DUMMYFUNCTION("""COMPUTED_VALUE"""),FALSE)</f>
        <v>0</v>
      </c>
      <c r="M277" s="16" t="b">
        <f>IFERROR(__xludf.DUMMYFUNCTION("""COMPUTED_VALUE"""),FALSE)</f>
        <v>0</v>
      </c>
      <c r="N277" s="16"/>
    </row>
    <row r="278">
      <c r="A278" s="16" t="str">
        <f>IFERROR(__xludf.DUMMYFUNCTION("""COMPUTED_VALUE"""),"Vine Hold")</f>
        <v>Vine Hold</v>
      </c>
      <c r="B278" s="120">
        <f>IFERROR(__xludf.DUMMYFUNCTION("""COMPUTED_VALUE"""),6.0)</f>
        <v>6</v>
      </c>
      <c r="C278" s="16">
        <f>IFERROR(__xludf.DUMMYFUNCTION("""COMPUTED_VALUE"""),60.0)</f>
        <v>60</v>
      </c>
      <c r="D278" s="16"/>
      <c r="E278" s="16" t="str">
        <f>IFERROR(__xludf.DUMMYFUNCTION("""COMPUTED_VALUE"""),"6000 poison for 3 rounds, Stun 3")</f>
        <v>6000 poison for 3 rounds, Stun 3</v>
      </c>
      <c r="F278" s="16" t="str">
        <f>IFERROR(__xludf.DUMMYFUNCTION("""COMPUTED_VALUE"""),"Fail/succeed")</f>
        <v>Fail/succeed</v>
      </c>
      <c r="G278" s="16"/>
      <c r="H278" s="16" t="str">
        <f>IFERROR(__xludf.DUMMYFUNCTION("""COMPUTED_VALUE"""),"Nature")</f>
        <v>Nature</v>
      </c>
      <c r="I278" s="16" t="str">
        <f>IFERROR(__xludf.DUMMYFUNCTION("""COMPUTED_VALUE"""),"Player")</f>
        <v>Player</v>
      </c>
      <c r="J278" s="16" t="b">
        <f>IFERROR(__xludf.DUMMYFUNCTION("""COMPUTED_VALUE"""),FALSE)</f>
        <v>0</v>
      </c>
      <c r="K278" s="16"/>
      <c r="L278" s="16" t="b">
        <f>IFERROR(__xludf.DUMMYFUNCTION("""COMPUTED_VALUE"""),FALSE)</f>
        <v>0</v>
      </c>
      <c r="M278" s="16" t="b">
        <f>IFERROR(__xludf.DUMMYFUNCTION("""COMPUTED_VALUE"""),FALSE)</f>
        <v>0</v>
      </c>
      <c r="N278" s="16"/>
    </row>
    <row r="279">
      <c r="A279" s="16" t="str">
        <f>IFERROR(__xludf.DUMMYFUNCTION("""COMPUTED_VALUE"""),"Grace of the Forest")</f>
        <v>Grace of the Forest</v>
      </c>
      <c r="B279" s="120">
        <f>IFERROR(__xludf.DUMMYFUNCTION("""COMPUTED_VALUE"""),9.0)</f>
        <v>9</v>
      </c>
      <c r="C279" s="16">
        <f>IFERROR(__xludf.DUMMYFUNCTION("""COMPUTED_VALUE"""),5000.0)</f>
        <v>5000</v>
      </c>
      <c r="D279" s="16"/>
      <c r="E279" s="16" t="str">
        <f>IFERROR(__xludf.DUMMYFUNCTION("""COMPUTED_VALUE"""),"Grants Haste 3 and Truesight 3 to self and all allies.")</f>
        <v>Grants Haste 3 and Truesight 3 to self and all allies.</v>
      </c>
      <c r="F279" s="16" t="str">
        <f>IFERROR(__xludf.DUMMYFUNCTION("""COMPUTED_VALUE"""),"Fail/Succeed")</f>
        <v>Fail/Succeed</v>
      </c>
      <c r="G279" s="16" t="str">
        <f>IFERROR(__xludf.DUMMYFUNCTION("""COMPUTED_VALUE"""),"All")</f>
        <v>All</v>
      </c>
      <c r="H279" s="16" t="str">
        <f>IFERROR(__xludf.DUMMYFUNCTION("""COMPUTED_VALUE"""),"Nature")</f>
        <v>Nature</v>
      </c>
      <c r="I279" s="16" t="str">
        <f>IFERROR(__xludf.DUMMYFUNCTION("""COMPUTED_VALUE"""),"Mob")</f>
        <v>Mob</v>
      </c>
      <c r="J279" s="16" t="b">
        <f>IFERROR(__xludf.DUMMYFUNCTION("""COMPUTED_VALUE"""),TRUE)</f>
        <v>1</v>
      </c>
      <c r="K279" s="16"/>
      <c r="L279" s="16" t="b">
        <f>IFERROR(__xludf.DUMMYFUNCTION("""COMPUTED_VALUE"""),FALSE)</f>
        <v>0</v>
      </c>
      <c r="M279" s="16" t="b">
        <f>IFERROR(__xludf.DUMMYFUNCTION("""COMPUTED_VALUE"""),FALSE)</f>
        <v>0</v>
      </c>
      <c r="N279" s="16"/>
    </row>
    <row r="280">
      <c r="A280" s="16" t="str">
        <f>IFERROR(__xludf.DUMMYFUNCTION("""COMPUTED_VALUE"""),"Nature's Light")</f>
        <v>Nature's Light</v>
      </c>
      <c r="B280" s="120">
        <f>IFERROR(__xludf.DUMMYFUNCTION("""COMPUTED_VALUE"""),9.0)</f>
        <v>9</v>
      </c>
      <c r="C280" s="16" t="str">
        <f>IFERROR(__xludf.DUMMYFUNCTION("""COMPUTED_VALUE"""),"X")</f>
        <v>X</v>
      </c>
      <c r="D280" s="16"/>
      <c r="E280" s="16" t="str">
        <f>IFERROR(__xludf.DUMMYFUNCTION("""COMPUTED_VALUE"""),"A gentle glow emanates from the caster healing all allies by X HP every round and dealing X2 Nature damage.")</f>
        <v>A gentle glow emanates from the caster healing all allies by X HP every round and dealing X2 Nature damage.</v>
      </c>
      <c r="F280" s="16" t="str">
        <f>IFERROR(__xludf.DUMMYFUNCTION("""COMPUTED_VALUE"""),"Fail/Succeed")</f>
        <v>Fail/Succeed</v>
      </c>
      <c r="G280" s="16" t="str">
        <f>IFERROR(__xludf.DUMMYFUNCTION("""COMPUTED_VALUE"""),"All")</f>
        <v>All</v>
      </c>
      <c r="H280" s="16" t="str">
        <f>IFERROR(__xludf.DUMMYFUNCTION("""COMPUTED_VALUE"""),"Nature")</f>
        <v>Nature</v>
      </c>
      <c r="I280" s="16" t="str">
        <f>IFERROR(__xludf.DUMMYFUNCTION("""COMPUTED_VALUE"""),"Player")</f>
        <v>Player</v>
      </c>
      <c r="J280" s="16" t="b">
        <f>IFERROR(__xludf.DUMMYFUNCTION("""COMPUTED_VALUE"""),FALSE)</f>
        <v>0</v>
      </c>
      <c r="K280" s="16"/>
      <c r="L280" s="16" t="b">
        <f>IFERROR(__xludf.DUMMYFUNCTION("""COMPUTED_VALUE"""),FALSE)</f>
        <v>0</v>
      </c>
      <c r="M280" s="16" t="b">
        <f>IFERROR(__xludf.DUMMYFUNCTION("""COMPUTED_VALUE"""),FALSE)</f>
        <v>0</v>
      </c>
      <c r="N280" s="16"/>
    </row>
    <row r="281">
      <c r="A281" s="16" t="str">
        <f>IFERROR(__xludf.DUMMYFUNCTION("""COMPUTED_VALUE"""),"Nature's Embrace")</f>
        <v>Nature's Embrace</v>
      </c>
      <c r="B281" s="120">
        <f>IFERROR(__xludf.DUMMYFUNCTION("""COMPUTED_VALUE"""),7.0)</f>
        <v>7</v>
      </c>
      <c r="C281" s="16">
        <f>IFERROR(__xludf.DUMMYFUNCTION("""COMPUTED_VALUE"""),200.0)</f>
        <v>200</v>
      </c>
      <c r="D281" s="16"/>
      <c r="E281" s="16" t="str">
        <f>IFERROR(__xludf.DUMMYFUNCTION("""COMPUTED_VALUE"""),"Has a 40% chance to inflict Pacified 3 on a single target. (once per battle)")</f>
        <v>Has a 40% chance to inflict Pacified 3 on a single target. (once per battle)</v>
      </c>
      <c r="F281" s="16" t="str">
        <f>IFERROR(__xludf.DUMMYFUNCTION("""COMPUTED_VALUE"""),"Fail/Succeed")</f>
        <v>Fail/Succeed</v>
      </c>
      <c r="G281" s="16">
        <f>IFERROR(__xludf.DUMMYFUNCTION("""COMPUTED_VALUE"""),1.0)</f>
        <v>1</v>
      </c>
      <c r="H281" s="16" t="str">
        <f>IFERROR(__xludf.DUMMYFUNCTION("""COMPUTED_VALUE"""),"Nature")</f>
        <v>Nature</v>
      </c>
      <c r="I281" s="16" t="str">
        <f>IFERROR(__xludf.DUMMYFUNCTION("""COMPUTED_VALUE"""),"Player")</f>
        <v>Player</v>
      </c>
      <c r="J281" s="16" t="b">
        <f>IFERROR(__xludf.DUMMYFUNCTION("""COMPUTED_VALUE"""),FALSE)</f>
        <v>0</v>
      </c>
      <c r="K281" s="16"/>
      <c r="L281" s="16" t="b">
        <f>IFERROR(__xludf.DUMMYFUNCTION("""COMPUTED_VALUE"""),FALSE)</f>
        <v>0</v>
      </c>
      <c r="M281" s="16" t="b">
        <f>IFERROR(__xludf.DUMMYFUNCTION("""COMPUTED_VALUE"""),FALSE)</f>
        <v>0</v>
      </c>
      <c r="N281" s="16"/>
    </row>
    <row r="282">
      <c r="A282" s="16" t="str">
        <f>IFERROR(__xludf.DUMMYFUNCTION("""COMPUTED_VALUE"""),"Nature's Wrath")</f>
        <v>Nature's Wrath</v>
      </c>
      <c r="B282" s="120">
        <f>IFERROR(__xludf.DUMMYFUNCTION("""COMPUTED_VALUE"""),9.0)</f>
        <v>9</v>
      </c>
      <c r="C282" s="16">
        <f>IFERROR(__xludf.DUMMYFUNCTION("""COMPUTED_VALUE"""),4000.0)</f>
        <v>4000</v>
      </c>
      <c r="D282" s="16"/>
      <c r="E282" s="16" t="str">
        <f>IFERROR(__xludf.DUMMYFUNCTION("""COMPUTED_VALUE"""),"Deals 20,000 undefendable damage to all enemies with a 5% chance to inflict the effect of entagle.")</f>
        <v>Deals 20,000 undefendable damage to all enemies with a 5% chance to inflict the effect of entagle.</v>
      </c>
      <c r="F282" s="16" t="str">
        <f>IFERROR(__xludf.DUMMYFUNCTION("""COMPUTED_VALUE"""),"Cannot Avoid")</f>
        <v>Cannot Avoid</v>
      </c>
      <c r="G282" s="16" t="str">
        <f>IFERROR(__xludf.DUMMYFUNCTION("""COMPUTED_VALUE"""),"All")</f>
        <v>All</v>
      </c>
      <c r="H282" s="16" t="str">
        <f>IFERROR(__xludf.DUMMYFUNCTION("""COMPUTED_VALUE"""),"Nature")</f>
        <v>Nature</v>
      </c>
      <c r="I282" s="16" t="str">
        <f>IFERROR(__xludf.DUMMYFUNCTION("""COMPUTED_VALUE"""),"Player")</f>
        <v>Player</v>
      </c>
      <c r="J282" s="16" t="b">
        <f>IFERROR(__xludf.DUMMYFUNCTION("""COMPUTED_VALUE"""),FALSE)</f>
        <v>0</v>
      </c>
      <c r="K282" s="16"/>
      <c r="L282" s="16" t="b">
        <f>IFERROR(__xludf.DUMMYFUNCTION("""COMPUTED_VALUE"""),FALSE)</f>
        <v>0</v>
      </c>
      <c r="M282" s="16" t="b">
        <f>IFERROR(__xludf.DUMMYFUNCTION("""COMPUTED_VALUE"""),FALSE)</f>
        <v>0</v>
      </c>
      <c r="N282" s="16"/>
    </row>
    <row r="283">
      <c r="A283" s="16" t="str">
        <f>IFERROR(__xludf.DUMMYFUNCTION("""COMPUTED_VALUE"""),"Entangle")</f>
        <v>Entangle</v>
      </c>
      <c r="B283" s="120">
        <f>IFERROR(__xludf.DUMMYFUNCTION("""COMPUTED_VALUE"""),9.0)</f>
        <v>9</v>
      </c>
      <c r="C283" s="16">
        <f>IFERROR(__xludf.DUMMYFUNCTION("""COMPUTED_VALUE"""),2000.0)</f>
        <v>2000</v>
      </c>
      <c r="D283" s="16"/>
      <c r="E283" s="16" t="str">
        <f>IFERROR(__xludf.DUMMYFUNCTION("""COMPUTED_VALUE"""),"Covers an area in sharp thorns and binding vines that deal 10,000 damage per round for 3 rounds and Stun 3 to all enemies. Cannot resist or be immune to")</f>
        <v>Covers an area in sharp thorns and binding vines that deal 10,000 damage per round for 3 rounds and Stun 3 to all enemies. Cannot resist or be immune to</v>
      </c>
      <c r="F283" s="16" t="str">
        <f>IFERROR(__xludf.DUMMYFUNCTION("""COMPUTED_VALUE"""),"Fail/Succeed")</f>
        <v>Fail/Succeed</v>
      </c>
      <c r="G283" s="16" t="str">
        <f>IFERROR(__xludf.DUMMYFUNCTION("""COMPUTED_VALUE"""),"All")</f>
        <v>All</v>
      </c>
      <c r="H283" s="16" t="str">
        <f>IFERROR(__xludf.DUMMYFUNCTION("""COMPUTED_VALUE"""),"Nature")</f>
        <v>Nature</v>
      </c>
      <c r="I283" s="16" t="str">
        <f>IFERROR(__xludf.DUMMYFUNCTION("""COMPUTED_VALUE"""),"Player")</f>
        <v>Player</v>
      </c>
      <c r="J283" s="16" t="b">
        <f>IFERROR(__xludf.DUMMYFUNCTION("""COMPUTED_VALUE"""),TRUE)</f>
        <v>1</v>
      </c>
      <c r="K283" s="16" t="str">
        <f>IFERROR(__xludf.DUMMYFUNCTION("""COMPUTED_VALUE"""),"Quest Spell")</f>
        <v>Quest Spell</v>
      </c>
      <c r="L283" s="16" t="b">
        <f>IFERROR(__xludf.DUMMYFUNCTION("""COMPUTED_VALUE"""),FALSE)</f>
        <v>0</v>
      </c>
      <c r="M283" s="16" t="b">
        <f>IFERROR(__xludf.DUMMYFUNCTION("""COMPUTED_VALUE"""),FALSE)</f>
        <v>0</v>
      </c>
      <c r="N283" s="16"/>
    </row>
    <row r="284">
      <c r="A284" s="16" t="str">
        <f>IFERROR(__xludf.DUMMYFUNCTION("""COMPUTED_VALUE"""),"Barkskin")</f>
        <v>Barkskin</v>
      </c>
      <c r="B284" s="120">
        <f>IFERROR(__xludf.DUMMYFUNCTION("""COMPUTED_VALUE"""),3.0)</f>
        <v>3</v>
      </c>
      <c r="C284" s="16">
        <f>IFERROR(__xludf.DUMMYFUNCTION("""COMPUTED_VALUE"""),30.0)</f>
        <v>30</v>
      </c>
      <c r="D284" s="16"/>
      <c r="E284" s="16" t="str">
        <f>IFERROR(__xludf.DUMMYFUNCTION("""COMPUTED_VALUE"""),"X2 defense for target.")</f>
        <v>X2 defense for target.</v>
      </c>
      <c r="F284" s="16" t="str">
        <f>IFERROR(__xludf.DUMMYFUNCTION("""COMPUTED_VALUE"""),"Fail/Succeed")</f>
        <v>Fail/Succeed</v>
      </c>
      <c r="G284" s="16">
        <f>IFERROR(__xludf.DUMMYFUNCTION("""COMPUTED_VALUE"""),1.0)</f>
        <v>1</v>
      </c>
      <c r="H284" s="16" t="str">
        <f>IFERROR(__xludf.DUMMYFUNCTION("""COMPUTED_VALUE"""),"Nature")</f>
        <v>Nature</v>
      </c>
      <c r="I284" s="16" t="str">
        <f>IFERROR(__xludf.DUMMYFUNCTION("""COMPUTED_VALUE"""),"Player")</f>
        <v>Player</v>
      </c>
      <c r="J284" s="16" t="b">
        <f>IFERROR(__xludf.DUMMYFUNCTION("""COMPUTED_VALUE"""),FALSE)</f>
        <v>0</v>
      </c>
      <c r="K284" s="16"/>
      <c r="L284" s="16" t="b">
        <f>IFERROR(__xludf.DUMMYFUNCTION("""COMPUTED_VALUE"""),FALSE)</f>
        <v>0</v>
      </c>
      <c r="M284" s="16" t="b">
        <f>IFERROR(__xludf.DUMMYFUNCTION("""COMPUTED_VALUE"""),FALSE)</f>
        <v>0</v>
      </c>
      <c r="N284" s="16"/>
    </row>
    <row r="285">
      <c r="A285" s="16" t="str">
        <f>IFERROR(__xludf.DUMMYFUNCTION("""COMPUTED_VALUE"""),"Regrowth")</f>
        <v>Regrowth</v>
      </c>
      <c r="B285" s="120">
        <f>IFERROR(__xludf.DUMMYFUNCTION("""COMPUTED_VALUE"""),6.0)</f>
        <v>6</v>
      </c>
      <c r="C285" s="16">
        <f>IFERROR(__xludf.DUMMYFUNCTION("""COMPUTED_VALUE"""),75.0)</f>
        <v>75</v>
      </c>
      <c r="D285" s="16"/>
      <c r="E285" s="16" t="str">
        <f>IFERROR(__xludf.DUMMYFUNCTION("""COMPUTED_VALUE"""),"Heals target by 5000 and grants them Invigorated 5.")</f>
        <v>Heals target by 5000 and grants them Invigorated 5.</v>
      </c>
      <c r="F285" s="16" t="str">
        <f>IFERROR(__xludf.DUMMYFUNCTION("""COMPUTED_VALUE"""),"Fail/Succeed")</f>
        <v>Fail/Succeed</v>
      </c>
      <c r="G285" s="16">
        <f>IFERROR(__xludf.DUMMYFUNCTION("""COMPUTED_VALUE"""),1.0)</f>
        <v>1</v>
      </c>
      <c r="H285" s="16" t="str">
        <f>IFERROR(__xludf.DUMMYFUNCTION("""COMPUTED_VALUE"""),"Nature")</f>
        <v>Nature</v>
      </c>
      <c r="I285" s="16" t="str">
        <f>IFERROR(__xludf.DUMMYFUNCTION("""COMPUTED_VALUE"""),"Player")</f>
        <v>Player</v>
      </c>
      <c r="J285" s="16" t="b">
        <f>IFERROR(__xludf.DUMMYFUNCTION("""COMPUTED_VALUE"""),FALSE)</f>
        <v>0</v>
      </c>
      <c r="K285" s="16"/>
      <c r="L285" s="16" t="b">
        <f>IFERROR(__xludf.DUMMYFUNCTION("""COMPUTED_VALUE"""),FALSE)</f>
        <v>0</v>
      </c>
      <c r="M285" s="16" t="b">
        <f>IFERROR(__xludf.DUMMYFUNCTION("""COMPUTED_VALUE"""),FALSE)</f>
        <v>0</v>
      </c>
      <c r="N285" s="16"/>
    </row>
    <row r="286">
      <c r="A286" s="16" t="str">
        <f>IFERROR(__xludf.DUMMYFUNCTION("""COMPUTED_VALUE"""),"The Orb of Life")</f>
        <v>The Orb of Life</v>
      </c>
      <c r="B286" s="120">
        <f>IFERROR(__xludf.DUMMYFUNCTION("""COMPUTED_VALUE"""),9.0)</f>
        <v>9</v>
      </c>
      <c r="C286" s="16">
        <f>IFERROR(__xludf.DUMMYFUNCTION("""COMPUTED_VALUE"""),300.0)</f>
        <v>300</v>
      </c>
      <c r="D286" s="16"/>
      <c r="E286" s="16" t="str">
        <f>IFERROR(__xludf.DUMMYFUNCTION("""COMPUTED_VALUE"""),"Summons a life orb that revives 1 target.")</f>
        <v>Summons a life orb that revives 1 target.</v>
      </c>
      <c r="F286" s="16" t="str">
        <f>IFERROR(__xludf.DUMMYFUNCTION("""COMPUTED_VALUE"""),"Fail/Succeed")</f>
        <v>Fail/Succeed</v>
      </c>
      <c r="G286" s="16">
        <f>IFERROR(__xludf.DUMMYFUNCTION("""COMPUTED_VALUE"""),1.0)</f>
        <v>1</v>
      </c>
      <c r="H286" s="16" t="str">
        <f>IFERROR(__xludf.DUMMYFUNCTION("""COMPUTED_VALUE"""),"Nature")</f>
        <v>Nature</v>
      </c>
      <c r="I286" s="16" t="str">
        <f>IFERROR(__xludf.DUMMYFUNCTION("""COMPUTED_VALUE"""),"Player")</f>
        <v>Player</v>
      </c>
      <c r="J286" s="16" t="b">
        <f>IFERROR(__xludf.DUMMYFUNCTION("""COMPUTED_VALUE"""),FALSE)</f>
        <v>0</v>
      </c>
      <c r="K286" s="16"/>
      <c r="L286" s="16" t="b">
        <f>IFERROR(__xludf.DUMMYFUNCTION("""COMPUTED_VALUE"""),FALSE)</f>
        <v>0</v>
      </c>
      <c r="M286" s="16" t="b">
        <f>IFERROR(__xludf.DUMMYFUNCTION("""COMPUTED_VALUE"""),FALSE)</f>
        <v>0</v>
      </c>
      <c r="N286" s="16"/>
    </row>
    <row r="287">
      <c r="A287" s="16" t="str">
        <f>IFERROR(__xludf.DUMMYFUNCTION("""COMPUTED_VALUE"""),"Artemis' Wave")</f>
        <v>Artemis' Wave</v>
      </c>
      <c r="B287" s="120">
        <f>IFERROR(__xludf.DUMMYFUNCTION("""COMPUTED_VALUE"""),9.0)</f>
        <v>9</v>
      </c>
      <c r="C287" s="16">
        <f>IFERROR(__xludf.DUMMYFUNCTION("""COMPUTED_VALUE"""),8000.0)</f>
        <v>8000</v>
      </c>
      <c r="D287" s="16"/>
      <c r="E287" s="16" t="str">
        <f>IFERROR(__xludf.DUMMYFUNCTION("""COMPUTED_VALUE"""),"Creates a vibrant blast that deals 20,000 Nature damage to all enemies; Cannot resist or be Immune to.")</f>
        <v>Creates a vibrant blast that deals 20,000 Nature damage to all enemies; Cannot resist or be Immune to.</v>
      </c>
      <c r="F287" s="16" t="str">
        <f>IFERROR(__xludf.DUMMYFUNCTION("""COMPUTED_VALUE"""),"Cannot Avoid")</f>
        <v>Cannot Avoid</v>
      </c>
      <c r="G287" s="16" t="str">
        <f>IFERROR(__xludf.DUMMYFUNCTION("""COMPUTED_VALUE"""),"All")</f>
        <v>All</v>
      </c>
      <c r="H287" s="16" t="str">
        <f>IFERROR(__xludf.DUMMYFUNCTION("""COMPUTED_VALUE"""),"Nature")</f>
        <v>Nature</v>
      </c>
      <c r="I287" s="16" t="str">
        <f>IFERROR(__xludf.DUMMYFUNCTION("""COMPUTED_VALUE"""),"Mob")</f>
        <v>Mob</v>
      </c>
      <c r="J287" s="16" t="b">
        <f>IFERROR(__xludf.DUMMYFUNCTION("""COMPUTED_VALUE"""),TRUE)</f>
        <v>1</v>
      </c>
      <c r="K287" s="16" t="str">
        <f>IFERROR(__xludf.DUMMYFUNCTION("""COMPUTED_VALUE"""),"Artemis")</f>
        <v>Artemis</v>
      </c>
      <c r="L287" s="16" t="b">
        <f>IFERROR(__xludf.DUMMYFUNCTION("""COMPUTED_VALUE"""),FALSE)</f>
        <v>0</v>
      </c>
      <c r="M287" s="16" t="b">
        <f>IFERROR(__xludf.DUMMYFUNCTION("""COMPUTED_VALUE"""),TRUE)</f>
        <v>1</v>
      </c>
      <c r="N287" s="16"/>
    </row>
    <row r="288">
      <c r="A288" s="16" t="str">
        <f>IFERROR(__xludf.DUMMYFUNCTION("""COMPUTED_VALUE"""),"Artemis' Godly Grace")</f>
        <v>Artemis' Godly Grace</v>
      </c>
      <c r="B288" s="120">
        <f>IFERROR(__xludf.DUMMYFUNCTION("""COMPUTED_VALUE"""),9.0)</f>
        <v>9</v>
      </c>
      <c r="C288" s="16">
        <f>IFERROR(__xludf.DUMMYFUNCTION("""COMPUTED_VALUE"""),10000.0)</f>
        <v>10000</v>
      </c>
      <c r="D288" s="16"/>
      <c r="E288" s="16" t="str">
        <f>IFERROR(__xludf.DUMMYFUNCTION("""COMPUTED_VALUE"""),"Grants all allies Invigorated 5, Haste 3, Truesight 3, and 4X defense and Nature Damage (can only be cast once per combat)")</f>
        <v>Grants all allies Invigorated 5, Haste 3, Truesight 3, and 4X defense and Nature Damage (can only be cast once per combat)</v>
      </c>
      <c r="F288" s="16" t="str">
        <f>IFERROR(__xludf.DUMMYFUNCTION("""COMPUTED_VALUE"""),"Will Succeed")</f>
        <v>Will Succeed</v>
      </c>
      <c r="G288" s="16" t="str">
        <f>IFERROR(__xludf.DUMMYFUNCTION("""COMPUTED_VALUE"""),"All")</f>
        <v>All</v>
      </c>
      <c r="H288" s="16" t="str">
        <f>IFERROR(__xludf.DUMMYFUNCTION("""COMPUTED_VALUE"""),"Nature")</f>
        <v>Nature</v>
      </c>
      <c r="I288" s="16" t="str">
        <f>IFERROR(__xludf.DUMMYFUNCTION("""COMPUTED_VALUE"""),"Mob")</f>
        <v>Mob</v>
      </c>
      <c r="J288" s="16" t="b">
        <f>IFERROR(__xludf.DUMMYFUNCTION("""COMPUTED_VALUE"""),TRUE)</f>
        <v>1</v>
      </c>
      <c r="K288" s="16" t="str">
        <f>IFERROR(__xludf.DUMMYFUNCTION("""COMPUTED_VALUE"""),"Artemis")</f>
        <v>Artemis</v>
      </c>
      <c r="L288" s="16" t="b">
        <f>IFERROR(__xludf.DUMMYFUNCTION("""COMPUTED_VALUE"""),FALSE)</f>
        <v>0</v>
      </c>
      <c r="M288" s="16" t="b">
        <f>IFERROR(__xludf.DUMMYFUNCTION("""COMPUTED_VALUE"""),FALSE)</f>
        <v>0</v>
      </c>
      <c r="N288" s="16"/>
    </row>
    <row r="289">
      <c r="A289" s="16" t="str">
        <f>IFERROR(__xludf.DUMMYFUNCTION("""COMPUTED_VALUE"""),"Artemis'  Force of Nature")</f>
        <v>Artemis'  Force of Nature</v>
      </c>
      <c r="B289" s="120">
        <f>IFERROR(__xludf.DUMMYFUNCTION("""COMPUTED_VALUE"""),1.0)</f>
        <v>1</v>
      </c>
      <c r="C289" s="119">
        <f>IFERROR(__xludf.DUMMYFUNCTION("""COMPUTED_VALUE"""),40000.0)</f>
        <v>40000</v>
      </c>
      <c r="D289" s="16"/>
      <c r="E289" s="16" t="str">
        <f>IFERROR(__xludf.DUMMYFUNCTION("""COMPUTED_VALUE"""),"Strikes the field dealing 100,000 damage to all allies and enemies indiscriminately. Cannot resist or be immune to. (can only be cast once per combat)")</f>
        <v>Strikes the field dealing 100,000 damage to all allies and enemies indiscriminately. Cannot resist or be immune to. (can only be cast once per combat)</v>
      </c>
      <c r="F289" s="16" t="str">
        <f>IFERROR(__xludf.DUMMYFUNCTION("""COMPUTED_VALUE"""),"Cannot Avoid")</f>
        <v>Cannot Avoid</v>
      </c>
      <c r="G289" s="16" t="str">
        <f>IFERROR(__xludf.DUMMYFUNCTION("""COMPUTED_VALUE"""),"All")</f>
        <v>All</v>
      </c>
      <c r="H289" s="16" t="str">
        <f>IFERROR(__xludf.DUMMYFUNCTION("""COMPUTED_VALUE"""),"Nature")</f>
        <v>Nature</v>
      </c>
      <c r="I289" s="16" t="str">
        <f>IFERROR(__xludf.DUMMYFUNCTION("""COMPUTED_VALUE"""),"Mob")</f>
        <v>Mob</v>
      </c>
      <c r="J289" s="16" t="b">
        <f>IFERROR(__xludf.DUMMYFUNCTION("""COMPUTED_VALUE"""),TRUE)</f>
        <v>1</v>
      </c>
      <c r="K289" s="16" t="str">
        <f>IFERROR(__xludf.DUMMYFUNCTION("""COMPUTED_VALUE"""),"Artemis")</f>
        <v>Artemis</v>
      </c>
      <c r="L289" s="16" t="b">
        <f>IFERROR(__xludf.DUMMYFUNCTION("""COMPUTED_VALUE"""),FALSE)</f>
        <v>0</v>
      </c>
      <c r="M289" s="16" t="b">
        <f>IFERROR(__xludf.DUMMYFUNCTION("""COMPUTED_VALUE"""),TRUE)</f>
        <v>1</v>
      </c>
      <c r="N289" s="16"/>
    </row>
    <row r="290">
      <c r="A290" s="16" t="str">
        <f>IFERROR(__xludf.DUMMYFUNCTION("""COMPUTED_VALUE"""),"World Tree's Unbridled Rage")</f>
        <v>World Tree's Unbridled Rage</v>
      </c>
      <c r="B290" s="120">
        <f>IFERROR(__xludf.DUMMYFUNCTION("""COMPUTED_VALUE"""),9.0)</f>
        <v>9</v>
      </c>
      <c r="C290" s="119">
        <f>IFERROR(__xludf.DUMMYFUNCTION("""COMPUTED_VALUE"""),80000.0)</f>
        <v>80000</v>
      </c>
      <c r="D290" s="16"/>
      <c r="E290" s="16" t="str">
        <f>IFERROR(__xludf.DUMMYFUNCTION("""COMPUTED_VALUE"""),"A spectral form of the World Tree appears behind Artemis bathing all enemies in its searing light attempting to erase them from this realm. Deals 100,000 Light and 100,000 Nature damage, Cannot Resist or be immune to. (can only be used once per battle)")</f>
        <v>A spectral form of the World Tree appears behind Artemis bathing all enemies in its searing light attempting to erase them from this realm. Deals 100,000 Light and 100,000 Nature damage, Cannot Resist or be immune to. (can only be used once per battle)</v>
      </c>
      <c r="F290" s="16" t="str">
        <f>IFERROR(__xludf.DUMMYFUNCTION("""COMPUTED_VALUE"""),"Cannot Avoid")</f>
        <v>Cannot Avoid</v>
      </c>
      <c r="G290" s="16" t="str">
        <f>IFERROR(__xludf.DUMMYFUNCTION("""COMPUTED_VALUE"""),"All")</f>
        <v>All</v>
      </c>
      <c r="H290" s="16" t="str">
        <f>IFERROR(__xludf.DUMMYFUNCTION("""COMPUTED_VALUE"""),"Nature")</f>
        <v>Nature</v>
      </c>
      <c r="I290" s="16" t="str">
        <f>IFERROR(__xludf.DUMMYFUNCTION("""COMPUTED_VALUE"""),"Mob")</f>
        <v>Mob</v>
      </c>
      <c r="J290" s="16" t="b">
        <f>IFERROR(__xludf.DUMMYFUNCTION("""COMPUTED_VALUE"""),TRUE)</f>
        <v>1</v>
      </c>
      <c r="K290" s="16" t="str">
        <f>IFERROR(__xludf.DUMMYFUNCTION("""COMPUTED_VALUE"""),"Artemis")</f>
        <v>Artemis</v>
      </c>
      <c r="L290" s="16" t="b">
        <f>IFERROR(__xludf.DUMMYFUNCTION("""COMPUTED_VALUE"""),FALSE)</f>
        <v>0</v>
      </c>
      <c r="M290" s="16" t="b">
        <f>IFERROR(__xludf.DUMMYFUNCTION("""COMPUTED_VALUE"""),TRUE)</f>
        <v>1</v>
      </c>
      <c r="N290" s="16"/>
    </row>
    <row r="291">
      <c r="A291" s="16" t="str">
        <f>IFERROR(__xludf.DUMMYFUNCTION("""COMPUTED_VALUE"""),"Oberon's Birthright")</f>
        <v>Oberon's Birthright</v>
      </c>
      <c r="B291" s="120">
        <f>IFERROR(__xludf.DUMMYFUNCTION("""COMPUTED_VALUE"""),1.0)</f>
        <v>1</v>
      </c>
      <c r="C291" s="16">
        <f>IFERROR(__xludf.DUMMYFUNCTION("""COMPUTED_VALUE"""),0.0)</f>
        <v>0</v>
      </c>
      <c r="D291" s="16"/>
      <c r="E291" s="16" t="str">
        <f>IFERROR(__xludf.DUMMYFUNCTION("""COMPUTED_VALUE"""),"Transform into Oberon The Faery King.")</f>
        <v>Transform into Oberon The Faery King.</v>
      </c>
      <c r="F291" s="16" t="str">
        <f>IFERROR(__xludf.DUMMYFUNCTION("""COMPUTED_VALUE"""),"Natural/Fail or Succeed")</f>
        <v>Natural/Fail or Succeed</v>
      </c>
      <c r="G291" s="16" t="str">
        <f>IFERROR(__xludf.DUMMYFUNCTION("""COMPUTED_VALUE"""),"Self")</f>
        <v>Self</v>
      </c>
      <c r="H291" s="16" t="str">
        <f>IFERROR(__xludf.DUMMYFUNCTION("""COMPUTED_VALUE"""),"Nature")</f>
        <v>Nature</v>
      </c>
      <c r="I291" s="16" t="str">
        <f>IFERROR(__xludf.DUMMYFUNCTION("""COMPUTED_VALUE"""),"Mob")</f>
        <v>Mob</v>
      </c>
      <c r="J291" s="16" t="b">
        <f>IFERROR(__xludf.DUMMYFUNCTION("""COMPUTED_VALUE"""),TRUE)</f>
        <v>1</v>
      </c>
      <c r="K291" s="16" t="str">
        <f>IFERROR(__xludf.DUMMYFUNCTION("""COMPUTED_VALUE"""),"Event Mob Only")</f>
        <v>Event Mob Only</v>
      </c>
      <c r="L291" s="16" t="b">
        <f>IFERROR(__xludf.DUMMYFUNCTION("""COMPUTED_VALUE"""),FALSE)</f>
        <v>0</v>
      </c>
      <c r="M291" s="16" t="b">
        <f>IFERROR(__xludf.DUMMYFUNCTION("""COMPUTED_VALUE"""),FALSE)</f>
        <v>0</v>
      </c>
      <c r="N291" s="16" t="str">
        <f>IFERROR(__xludf.DUMMYFUNCTION("""COMPUTED_VALUE"""),"Event Hub")</f>
        <v>Event Hub</v>
      </c>
    </row>
    <row r="292">
      <c r="A292" s="16" t="str">
        <f>IFERROR(__xludf.DUMMYFUNCTION("""COMPUTED_VALUE"""),"Vine Whip")</f>
        <v>Vine Whip</v>
      </c>
      <c r="B292" s="120">
        <f>IFERROR(__xludf.DUMMYFUNCTION("""COMPUTED_VALUE"""),1.0)</f>
        <v>1</v>
      </c>
      <c r="C292" s="16" t="str">
        <f>IFERROR(__xludf.DUMMYFUNCTION("""COMPUTED_VALUE"""),"X")</f>
        <v>X</v>
      </c>
      <c r="D292" s="16"/>
      <c r="E292" s="16" t="str">
        <f>IFERROR(__xludf.DUMMYFUNCTION("""COMPUTED_VALUE"""),"Deals X*100 Nature damage to a single enemy where X is equal to SP spent.")</f>
        <v>Deals X*100 Nature damage to a single enemy where X is equal to SP spent.</v>
      </c>
      <c r="F292" s="16" t="str">
        <f>IFERROR(__xludf.DUMMYFUNCTION("""COMPUTED_VALUE"""),"Hit/Miss")</f>
        <v>Hit/Miss</v>
      </c>
      <c r="G292" s="16">
        <f>IFERROR(__xludf.DUMMYFUNCTION("""COMPUTED_VALUE"""),1.0)</f>
        <v>1</v>
      </c>
      <c r="H292" s="16" t="str">
        <f>IFERROR(__xludf.DUMMYFUNCTION("""COMPUTED_VALUE"""),"Nature")</f>
        <v>Nature</v>
      </c>
      <c r="I292" s="16" t="str">
        <f>IFERROR(__xludf.DUMMYFUNCTION("""COMPUTED_VALUE"""),"Player")</f>
        <v>Player</v>
      </c>
      <c r="J292" s="16" t="b">
        <f>IFERROR(__xludf.DUMMYFUNCTION("""COMPUTED_VALUE"""),FALSE)</f>
        <v>0</v>
      </c>
      <c r="K292" s="16"/>
      <c r="L292" s="16" t="b">
        <f>IFERROR(__xludf.DUMMYFUNCTION("""COMPUTED_VALUE"""),FALSE)</f>
        <v>0</v>
      </c>
      <c r="M292" s="16" t="b">
        <f>IFERROR(__xludf.DUMMYFUNCTION("""COMPUTED_VALUE"""),FALSE)</f>
        <v>0</v>
      </c>
      <c r="N292" s="16"/>
    </row>
    <row r="293">
      <c r="A293" s="16" t="str">
        <f>IFERROR(__xludf.DUMMYFUNCTION("""COMPUTED_VALUE"""),"Poison Ivy")</f>
        <v>Poison Ivy</v>
      </c>
      <c r="B293" s="120">
        <f>IFERROR(__xludf.DUMMYFUNCTION("""COMPUTED_VALUE"""),5.0)</f>
        <v>5</v>
      </c>
      <c r="C293" s="16" t="str">
        <f>IFERROR(__xludf.DUMMYFUNCTION("""COMPUTED_VALUE"""),"X")</f>
        <v>X</v>
      </c>
      <c r="D293" s="16"/>
      <c r="E293" s="16" t="str">
        <f>IFERROR(__xludf.DUMMYFUNCTION("""COMPUTED_VALUE"""),"Deals X*50 Poison for 3 rounds to a single target where X is equal to SP spent.")</f>
        <v>Deals X*50 Poison for 3 rounds to a single target where X is equal to SP spent.</v>
      </c>
      <c r="F293" s="16" t="str">
        <f>IFERROR(__xludf.DUMMYFUNCTION("""COMPUTED_VALUE"""),"Hit/Miss")</f>
        <v>Hit/Miss</v>
      </c>
      <c r="G293" s="16">
        <f>IFERROR(__xludf.DUMMYFUNCTION("""COMPUTED_VALUE"""),1.0)</f>
        <v>1</v>
      </c>
      <c r="H293" s="16" t="str">
        <f>IFERROR(__xludf.DUMMYFUNCTION("""COMPUTED_VALUE"""),"Nature")</f>
        <v>Nature</v>
      </c>
      <c r="I293" s="16" t="str">
        <f>IFERROR(__xludf.DUMMYFUNCTION("""COMPUTED_VALUE"""),"Player")</f>
        <v>Player</v>
      </c>
      <c r="J293" s="16" t="b">
        <f>IFERROR(__xludf.DUMMYFUNCTION("""COMPUTED_VALUE"""),FALSE)</f>
        <v>0</v>
      </c>
      <c r="K293" s="16"/>
      <c r="L293" s="16" t="b">
        <f>IFERROR(__xludf.DUMMYFUNCTION("""COMPUTED_VALUE"""),FALSE)</f>
        <v>0</v>
      </c>
      <c r="M293" s="16" t="b">
        <f>IFERROR(__xludf.DUMMYFUNCTION("""COMPUTED_VALUE"""),FALSE)</f>
        <v>0</v>
      </c>
      <c r="N293" s="16"/>
    </row>
    <row r="294">
      <c r="A294" s="16" t="str">
        <f>IFERROR(__xludf.DUMMYFUNCTION("""COMPUTED_VALUE"""),"Razor Leaves")</f>
        <v>Razor Leaves</v>
      </c>
      <c r="B294" s="120">
        <f>IFERROR(__xludf.DUMMYFUNCTION("""COMPUTED_VALUE"""),5.0)</f>
        <v>5</v>
      </c>
      <c r="C294" s="16" t="str">
        <f>IFERROR(__xludf.DUMMYFUNCTION("""COMPUTED_VALUE"""),"X")</f>
        <v>X</v>
      </c>
      <c r="D294" s="16"/>
      <c r="E294" s="16" t="str">
        <f>IFERROR(__xludf.DUMMYFUNCTION("""COMPUTED_VALUE"""),"Deals X*25 Nature damage to all enemies where X is equal to SP spent.")</f>
        <v>Deals X*25 Nature damage to all enemies where X is equal to SP spent.</v>
      </c>
      <c r="F294" s="16" t="str">
        <f>IFERROR(__xludf.DUMMYFUNCTION("""COMPUTED_VALUE"""),"Cannot Avoid")</f>
        <v>Cannot Avoid</v>
      </c>
      <c r="G294" s="16" t="str">
        <f>IFERROR(__xludf.DUMMYFUNCTION("""COMPUTED_VALUE"""),"All")</f>
        <v>All</v>
      </c>
      <c r="H294" s="16" t="str">
        <f>IFERROR(__xludf.DUMMYFUNCTION("""COMPUTED_VALUE"""),"Nature")</f>
        <v>Nature</v>
      </c>
      <c r="I294" s="16" t="str">
        <f>IFERROR(__xludf.DUMMYFUNCTION("""COMPUTED_VALUE"""),"Player")</f>
        <v>Player</v>
      </c>
      <c r="J294" s="16" t="b">
        <f>IFERROR(__xludf.DUMMYFUNCTION("""COMPUTED_VALUE"""),FALSE)</f>
        <v>0</v>
      </c>
      <c r="K294" s="16"/>
      <c r="L294" s="16" t="b">
        <f>IFERROR(__xludf.DUMMYFUNCTION("""COMPUTED_VALUE"""),FALSE)</f>
        <v>0</v>
      </c>
      <c r="M294" s="16" t="b">
        <f>IFERROR(__xludf.DUMMYFUNCTION("""COMPUTED_VALUE"""),FALSE)</f>
        <v>0</v>
      </c>
      <c r="N294" s="16"/>
    </row>
    <row r="295">
      <c r="A295" s="16" t="str">
        <f>IFERROR(__xludf.DUMMYFUNCTION("""COMPUTED_VALUE"""),"Thorn Bush")</f>
        <v>Thorn Bush</v>
      </c>
      <c r="B295" s="120">
        <f>IFERROR(__xludf.DUMMYFUNCTION("""COMPUTED_VALUE"""),6.0)</f>
        <v>6</v>
      </c>
      <c r="C295" s="16" t="str">
        <f>IFERROR(__xludf.DUMMYFUNCTION("""COMPUTED_VALUE"""),"X")</f>
        <v>X</v>
      </c>
      <c r="D295" s="16"/>
      <c r="E295" s="16" t="str">
        <f>IFERROR(__xludf.DUMMYFUNCTION("""COMPUTED_VALUE"""),"Deals X*10 Poison to all enemies for 3 rounds where X is equal to SP spent.")</f>
        <v>Deals X*10 Poison to all enemies for 3 rounds where X is equal to SP spent.</v>
      </c>
      <c r="F295" s="16" t="str">
        <f>IFERROR(__xludf.DUMMYFUNCTION("""COMPUTED_VALUE"""),"Cannot Avoid")</f>
        <v>Cannot Avoid</v>
      </c>
      <c r="G295" s="16" t="str">
        <f>IFERROR(__xludf.DUMMYFUNCTION("""COMPUTED_VALUE"""),"All")</f>
        <v>All</v>
      </c>
      <c r="H295" s="16" t="str">
        <f>IFERROR(__xludf.DUMMYFUNCTION("""COMPUTED_VALUE"""),"Nature")</f>
        <v>Nature</v>
      </c>
      <c r="I295" s="16" t="str">
        <f>IFERROR(__xludf.DUMMYFUNCTION("""COMPUTED_VALUE"""),"Player")</f>
        <v>Player</v>
      </c>
      <c r="J295" s="16" t="b">
        <f>IFERROR(__xludf.DUMMYFUNCTION("""COMPUTED_VALUE"""),FALSE)</f>
        <v>0</v>
      </c>
      <c r="K295" s="16"/>
      <c r="L295" s="16" t="b">
        <f>IFERROR(__xludf.DUMMYFUNCTION("""COMPUTED_VALUE"""),FALSE)</f>
        <v>0</v>
      </c>
      <c r="M295" s="16" t="b">
        <f>IFERROR(__xludf.DUMMYFUNCTION("""COMPUTED_VALUE"""),FALSE)</f>
        <v>0</v>
      </c>
      <c r="N295" s="16"/>
    </row>
    <row r="296">
      <c r="A296" s="16" t="str">
        <f>IFERROR(__xludf.DUMMYFUNCTION("""COMPUTED_VALUE"""),"Call of the Paladin")</f>
        <v>Call of the Paladin</v>
      </c>
      <c r="B296" s="120">
        <f>IFERROR(__xludf.DUMMYFUNCTION("""COMPUTED_VALUE"""),1.0)</f>
        <v>1</v>
      </c>
      <c r="C296" s="16">
        <f>IFERROR(__xludf.DUMMYFUNCTION("""COMPUTED_VALUE"""),0.0)</f>
        <v>0</v>
      </c>
      <c r="D296" s="16"/>
      <c r="E296" s="16" t="str">
        <f>IFERROR(__xludf.DUMMYFUNCTION("""COMPUTED_VALUE"""),"Summons 1d4 paladins of the summoner's order.")</f>
        <v>Summons 1d4 paladins of the summoner's order.</v>
      </c>
      <c r="F296" s="16" t="str">
        <f>IFERROR(__xludf.DUMMYFUNCTION("""COMPUTED_VALUE"""),"Natural/Fail or Succeed")</f>
        <v>Natural/Fail or Succeed</v>
      </c>
      <c r="G296" s="16" t="str">
        <f>IFERROR(__xludf.DUMMYFUNCTION("""COMPUTED_VALUE"""),"Self")</f>
        <v>Self</v>
      </c>
      <c r="H296" s="16" t="str">
        <f>IFERROR(__xludf.DUMMYFUNCTION("""COMPUTED_VALUE"""),"Order")</f>
        <v>Order</v>
      </c>
      <c r="I296" s="16" t="str">
        <f>IFERROR(__xludf.DUMMYFUNCTION("""COMPUTED_VALUE"""),"Mob")</f>
        <v>Mob</v>
      </c>
      <c r="J296" s="16" t="b">
        <f>IFERROR(__xludf.DUMMYFUNCTION("""COMPUTED_VALUE"""),TRUE)</f>
        <v>1</v>
      </c>
      <c r="K296" s="16" t="str">
        <f>IFERROR(__xludf.DUMMYFUNCTION("""COMPUTED_VALUE"""),"mob exclusive")</f>
        <v>mob exclusive</v>
      </c>
      <c r="L296" s="16" t="b">
        <f>IFERROR(__xludf.DUMMYFUNCTION("""COMPUTED_VALUE"""),FALSE)</f>
        <v>0</v>
      </c>
      <c r="M296" s="16" t="b">
        <f>IFERROR(__xludf.DUMMYFUNCTION("""COMPUTED_VALUE"""),FALSE)</f>
        <v>0</v>
      </c>
      <c r="N296" s="16"/>
    </row>
    <row r="297">
      <c r="A297" s="16" t="str">
        <f>IFERROR(__xludf.DUMMYFUNCTION("""COMPUTED_VALUE"""),"Alliance Guard")</f>
        <v>Alliance Guard</v>
      </c>
      <c r="B297" s="120">
        <f>IFERROR(__xludf.DUMMYFUNCTION("""COMPUTED_VALUE"""),8.0)</f>
        <v>8</v>
      </c>
      <c r="C297" s="16">
        <f>IFERROR(__xludf.DUMMYFUNCTION("""COMPUTED_VALUE"""),80.0)</f>
        <v>80</v>
      </c>
      <c r="D297" s="16"/>
      <c r="E297" s="16" t="str">
        <f>IFERROR(__xludf.DUMMYFUNCTION("""COMPUTED_VALUE"""),"X4 defense to self and all allies until end of battle. 
(1 use)")</f>
        <v>X4 defense to self and all allies until end of battle. 
(1 use)</v>
      </c>
      <c r="F297" s="16" t="str">
        <f>IFERROR(__xludf.DUMMYFUNCTION("""COMPUTED_VALUE"""),"Will succeed")</f>
        <v>Will succeed</v>
      </c>
      <c r="G297" s="16"/>
      <c r="H297" s="16" t="str">
        <f>IFERROR(__xludf.DUMMYFUNCTION("""COMPUTED_VALUE"""),"Order")</f>
        <v>Order</v>
      </c>
      <c r="I297" s="16" t="str">
        <f>IFERROR(__xludf.DUMMYFUNCTION("""COMPUTED_VALUE"""),"Player")</f>
        <v>Player</v>
      </c>
      <c r="J297" s="16" t="b">
        <f>IFERROR(__xludf.DUMMYFUNCTION("""COMPUTED_VALUE"""),FALSE)</f>
        <v>0</v>
      </c>
      <c r="K297" s="16"/>
      <c r="L297" s="16" t="b">
        <f>IFERROR(__xludf.DUMMYFUNCTION("""COMPUTED_VALUE"""),FALSE)</f>
        <v>0</v>
      </c>
      <c r="M297" s="16" t="b">
        <f>IFERROR(__xludf.DUMMYFUNCTION("""COMPUTED_VALUE"""),FALSE)</f>
        <v>0</v>
      </c>
      <c r="N297" s="16"/>
    </row>
    <row r="298">
      <c r="A298" s="16" t="str">
        <f>IFERROR(__xludf.DUMMYFUNCTION("""COMPUTED_VALUE"""),"Cancel")</f>
        <v>Cancel</v>
      </c>
      <c r="B298" s="120">
        <f>IFERROR(__xludf.DUMMYFUNCTION("""COMPUTED_VALUE"""),9.0)</f>
        <v>9</v>
      </c>
      <c r="C298" s="16" t="str">
        <f>IFERROR(__xludf.DUMMYFUNCTION("""COMPUTED_VALUE"""),"X*1000")</f>
        <v>X*1000</v>
      </c>
      <c r="D298" s="16"/>
      <c r="E298" s="16" t="str">
        <f>IFERROR(__xludf.DUMMYFUNCTION("""COMPUTED_VALUE"""),"Choose an X amount of target's, those target's Ongoing Spell Effects immediately end.")</f>
        <v>Choose an X amount of target's, those target's Ongoing Spell Effects immediately end.</v>
      </c>
      <c r="F298" s="16" t="str">
        <f>IFERROR(__xludf.DUMMYFUNCTION("""COMPUTED_VALUE"""),"Fail/Succeed")</f>
        <v>Fail/Succeed</v>
      </c>
      <c r="G298" s="16" t="str">
        <f>IFERROR(__xludf.DUMMYFUNCTION("""COMPUTED_VALUE"""),"X")</f>
        <v>X</v>
      </c>
      <c r="H298" s="16" t="str">
        <f>IFERROR(__xludf.DUMMYFUNCTION("""COMPUTED_VALUE"""),"Order")</f>
        <v>Order</v>
      </c>
      <c r="I298" s="16" t="str">
        <f>IFERROR(__xludf.DUMMYFUNCTION("""COMPUTED_VALUE"""),"Player")</f>
        <v>Player</v>
      </c>
      <c r="J298" s="16" t="b">
        <f>IFERROR(__xludf.DUMMYFUNCTION("""COMPUTED_VALUE"""),FALSE)</f>
        <v>0</v>
      </c>
      <c r="K298" s="16"/>
      <c r="L298" s="16" t="b">
        <f>IFERROR(__xludf.DUMMYFUNCTION("""COMPUTED_VALUE"""),FALSE)</f>
        <v>0</v>
      </c>
      <c r="M298" s="16" t="b">
        <f>IFERROR(__xludf.DUMMYFUNCTION("""COMPUTED_VALUE"""),FALSE)</f>
        <v>0</v>
      </c>
      <c r="N298" s="16"/>
    </row>
    <row r="299">
      <c r="A299" s="16" t="str">
        <f>IFERROR(__xludf.DUMMYFUNCTION("""COMPUTED_VALUE"""),"Continue")</f>
        <v>Continue</v>
      </c>
      <c r="B299" s="120">
        <f>IFERROR(__xludf.DUMMYFUNCTION("""COMPUTED_VALUE"""),5.0)</f>
        <v>5</v>
      </c>
      <c r="C299" s="16">
        <f>IFERROR(__xludf.DUMMYFUNCTION("""COMPUTED_VALUE"""),50.0)</f>
        <v>50</v>
      </c>
      <c r="D299" s="16"/>
      <c r="E299" s="16" t="str">
        <f>IFERROR(__xludf.DUMMYFUNCTION("""COMPUTED_VALUE"""),"Any ongoing spell effects cannot be canceled including this effect until the end of battle. (Any ongoing spells will still run out of time)")</f>
        <v>Any ongoing spell effects cannot be canceled including this effect until the end of battle. (Any ongoing spells will still run out of time)</v>
      </c>
      <c r="F299" s="16" t="str">
        <f>IFERROR(__xludf.DUMMYFUNCTION("""COMPUTED_VALUE"""),"Fail/Succeed")</f>
        <v>Fail/Succeed</v>
      </c>
      <c r="G299" s="16"/>
      <c r="H299" s="16" t="str">
        <f>IFERROR(__xludf.DUMMYFUNCTION("""COMPUTED_VALUE"""),"Order")</f>
        <v>Order</v>
      </c>
      <c r="I299" s="16" t="str">
        <f>IFERROR(__xludf.DUMMYFUNCTION("""COMPUTED_VALUE"""),"Player")</f>
        <v>Player</v>
      </c>
      <c r="J299" s="16" t="b">
        <f>IFERROR(__xludf.DUMMYFUNCTION("""COMPUTED_VALUE"""),FALSE)</f>
        <v>0</v>
      </c>
      <c r="K299" s="16"/>
      <c r="L299" s="16" t="b">
        <f>IFERROR(__xludf.DUMMYFUNCTION("""COMPUTED_VALUE"""),FALSE)</f>
        <v>0</v>
      </c>
      <c r="M299" s="16" t="b">
        <f>IFERROR(__xludf.DUMMYFUNCTION("""COMPUTED_VALUE"""),FALSE)</f>
        <v>0</v>
      </c>
      <c r="N299" s="16"/>
    </row>
    <row r="300">
      <c r="A300" s="16" t="str">
        <f>IFERROR(__xludf.DUMMYFUNCTION("""COMPUTED_VALUE"""),"Deflect")</f>
        <v>Deflect</v>
      </c>
      <c r="B300" s="120">
        <f>IFERROR(__xludf.DUMMYFUNCTION("""COMPUTED_VALUE"""),4.0)</f>
        <v>4</v>
      </c>
      <c r="C300" s="119">
        <f>IFERROR(__xludf.DUMMYFUNCTION("""COMPUTED_VALUE"""),40.0)</f>
        <v>40</v>
      </c>
      <c r="D300" s="16"/>
      <c r="E300" s="16" t="str">
        <f>IFERROR(__xludf.DUMMYFUNCTION("""COMPUTED_VALUE"""),"The next incoming natural attack is deflected back at the target that used it.")</f>
        <v>The next incoming natural attack is deflected back at the target that used it.</v>
      </c>
      <c r="F300" s="16" t="str">
        <f>IFERROR(__xludf.DUMMYFUNCTION("""COMPUTED_VALUE"""),"Fail/Succeed")</f>
        <v>Fail/Succeed</v>
      </c>
      <c r="G300" s="16" t="str">
        <f>IFERROR(__xludf.DUMMYFUNCTION("""COMPUTED_VALUE"""),"All")</f>
        <v>All</v>
      </c>
      <c r="H300" s="16" t="str">
        <f>IFERROR(__xludf.DUMMYFUNCTION("""COMPUTED_VALUE"""),"Order")</f>
        <v>Order</v>
      </c>
      <c r="I300" s="16" t="str">
        <f>IFERROR(__xludf.DUMMYFUNCTION("""COMPUTED_VALUE"""),"Player")</f>
        <v>Player</v>
      </c>
      <c r="J300" s="16" t="b">
        <f>IFERROR(__xludf.DUMMYFUNCTION("""COMPUTED_VALUE"""),TRUE)</f>
        <v>1</v>
      </c>
      <c r="K300" s="16" t="str">
        <f>IFERROR(__xludf.DUMMYFUNCTION("""COMPUTED_VALUE"""),"shop spell")</f>
        <v>shop spell</v>
      </c>
      <c r="L300" s="16" t="b">
        <f>IFERROR(__xludf.DUMMYFUNCTION("""COMPUTED_VALUE"""),FALSE)</f>
        <v>0</v>
      </c>
      <c r="M300" s="16" t="b">
        <f>IFERROR(__xludf.DUMMYFUNCTION("""COMPUTED_VALUE"""),FALSE)</f>
        <v>0</v>
      </c>
      <c r="N300" s="16"/>
    </row>
    <row r="301">
      <c r="A301" s="16" t="str">
        <f>IFERROR(__xludf.DUMMYFUNCTION("""COMPUTED_VALUE"""),"Downgrade")</f>
        <v>Downgrade</v>
      </c>
      <c r="B301" s="120">
        <f>IFERROR(__xludf.DUMMYFUNCTION("""COMPUTED_VALUE"""),6.0)</f>
        <v>6</v>
      </c>
      <c r="C301" s="16">
        <f>IFERROR(__xludf.DUMMYFUNCTION("""COMPUTED_VALUE"""),60.0)</f>
        <v>60</v>
      </c>
      <c r="D301" s="16"/>
      <c r="E301" s="16" t="str">
        <f>IFERROR(__xludf.DUMMYFUNCTION("""COMPUTED_VALUE"""),"Decrease an ongoing spell's round/and or turn count by 2.")</f>
        <v>Decrease an ongoing spell's round/and or turn count by 2.</v>
      </c>
      <c r="F301" s="16" t="str">
        <f>IFERROR(__xludf.DUMMYFUNCTION("""COMPUTED_VALUE"""),"Fail/Succeed")</f>
        <v>Fail/Succeed</v>
      </c>
      <c r="G301" s="16"/>
      <c r="H301" s="16" t="str">
        <f>IFERROR(__xludf.DUMMYFUNCTION("""COMPUTED_VALUE"""),"Order")</f>
        <v>Order</v>
      </c>
      <c r="I301" s="16" t="str">
        <f>IFERROR(__xludf.DUMMYFUNCTION("""COMPUTED_VALUE"""),"Player")</f>
        <v>Player</v>
      </c>
      <c r="J301" s="16" t="b">
        <f>IFERROR(__xludf.DUMMYFUNCTION("""COMPUTED_VALUE"""),FALSE)</f>
        <v>0</v>
      </c>
      <c r="K301" s="16"/>
      <c r="L301" s="16" t="b">
        <f>IFERROR(__xludf.DUMMYFUNCTION("""COMPUTED_VALUE"""),FALSE)</f>
        <v>0</v>
      </c>
      <c r="M301" s="16" t="b">
        <f>IFERROR(__xludf.DUMMYFUNCTION("""COMPUTED_VALUE"""),FALSE)</f>
        <v>0</v>
      </c>
      <c r="N301" s="16"/>
    </row>
    <row r="302">
      <c r="A302" s="16" t="str">
        <f>IFERROR(__xludf.DUMMYFUNCTION("""COMPUTED_VALUE"""),"Medium Ward")</f>
        <v>Medium Ward</v>
      </c>
      <c r="B302" s="120">
        <f>IFERROR(__xludf.DUMMYFUNCTION("""COMPUTED_VALUE"""),6.0)</f>
        <v>6</v>
      </c>
      <c r="C302" s="16">
        <f>IFERROR(__xludf.DUMMYFUNCTION("""COMPUTED_VALUE"""),60.0)</f>
        <v>60</v>
      </c>
      <c r="D302" s="16"/>
      <c r="E302" s="16" t="str">
        <f>IFERROR(__xludf.DUMMYFUNCTION("""COMPUTED_VALUE"""),"Target is unaffected by enemy spells of rank 6 or lower for 3 rounds. Ward ends when stopping a spell that bypasses immunities/resistances.")</f>
        <v>Target is unaffected by enemy spells of rank 6 or lower for 3 rounds. Ward ends when stopping a spell that bypasses immunities/resistances.</v>
      </c>
      <c r="F302" s="16" t="str">
        <f>IFERROR(__xludf.DUMMYFUNCTION("""COMPUTED_VALUE"""),"Fail/succeed")</f>
        <v>Fail/succeed</v>
      </c>
      <c r="G302" s="16"/>
      <c r="H302" s="16" t="str">
        <f>IFERROR(__xludf.DUMMYFUNCTION("""COMPUTED_VALUE"""),"Order")</f>
        <v>Order</v>
      </c>
      <c r="I302" s="16" t="str">
        <f>IFERROR(__xludf.DUMMYFUNCTION("""COMPUTED_VALUE"""),"Player")</f>
        <v>Player</v>
      </c>
      <c r="J302" s="16" t="b">
        <f>IFERROR(__xludf.DUMMYFUNCTION("""COMPUTED_VALUE"""),FALSE)</f>
        <v>0</v>
      </c>
      <c r="K302" s="16"/>
      <c r="L302" s="16" t="b">
        <f>IFERROR(__xludf.DUMMYFUNCTION("""COMPUTED_VALUE"""),FALSE)</f>
        <v>0</v>
      </c>
      <c r="M302" s="16" t="b">
        <f>IFERROR(__xludf.DUMMYFUNCTION("""COMPUTED_VALUE"""),FALSE)</f>
        <v>0</v>
      </c>
      <c r="N302" s="16"/>
    </row>
    <row r="303">
      <c r="A303" s="16" t="str">
        <f>IFERROR(__xludf.DUMMYFUNCTION("""COMPUTED_VALUE"""),"Multi Ward")</f>
        <v>Multi Ward</v>
      </c>
      <c r="B303" s="120">
        <f>IFERROR(__xludf.DUMMYFUNCTION("""COMPUTED_VALUE"""),9.0)</f>
        <v>9</v>
      </c>
      <c r="C303" s="16">
        <f>IFERROR(__xludf.DUMMYFUNCTION("""COMPUTED_VALUE"""),300.0)</f>
        <v>300</v>
      </c>
      <c r="D303" s="16"/>
      <c r="E303" s="16" t="str">
        <f>IFERROR(__xludf.DUMMYFUNCTION("""COMPUTED_VALUE"""),"All allies are unaffected by enemy spells of rank 9 or lower for 3 rounds. Ward ends when stopping a spell that bypasses immunities/resistances.")</f>
        <v>All allies are unaffected by enemy spells of rank 9 or lower for 3 rounds. Ward ends when stopping a spell that bypasses immunities/resistances.</v>
      </c>
      <c r="F303" s="16" t="str">
        <f>IFERROR(__xludf.DUMMYFUNCTION("""COMPUTED_VALUE"""),"Fail/Succeed")</f>
        <v>Fail/Succeed</v>
      </c>
      <c r="G303" s="16"/>
      <c r="H303" s="16" t="str">
        <f>IFERROR(__xludf.DUMMYFUNCTION("""COMPUTED_VALUE"""),"Order")</f>
        <v>Order</v>
      </c>
      <c r="I303" s="16" t="str">
        <f>IFERROR(__xludf.DUMMYFUNCTION("""COMPUTED_VALUE"""),"Player")</f>
        <v>Player</v>
      </c>
      <c r="J303" s="16" t="b">
        <f>IFERROR(__xludf.DUMMYFUNCTION("""COMPUTED_VALUE"""),FALSE)</f>
        <v>0</v>
      </c>
      <c r="K303" s="16"/>
      <c r="L303" s="16" t="b">
        <f>IFERROR(__xludf.DUMMYFUNCTION("""COMPUTED_VALUE"""),FALSE)</f>
        <v>0</v>
      </c>
      <c r="M303" s="16" t="b">
        <f>IFERROR(__xludf.DUMMYFUNCTION("""COMPUTED_VALUE"""),FALSE)</f>
        <v>0</v>
      </c>
      <c r="N303" s="16"/>
    </row>
    <row r="304">
      <c r="A304" s="16" t="str">
        <f>IFERROR(__xludf.DUMMYFUNCTION("""COMPUTED_VALUE"""),"Neutralize")</f>
        <v>Neutralize</v>
      </c>
      <c r="B304" s="120">
        <f>IFERROR(__xludf.DUMMYFUNCTION("""COMPUTED_VALUE"""),9.0)</f>
        <v>9</v>
      </c>
      <c r="C304" s="16">
        <f>IFERROR(__xludf.DUMMYFUNCTION("""COMPUTED_VALUE"""),300.0)</f>
        <v>300</v>
      </c>
      <c r="D304" s="16"/>
      <c r="E304" s="16" t="str">
        <f>IFERROR(__xludf.DUMMYFUNCTION("""COMPUTED_VALUE"""),"Select a target, any powers of a selected element may not be casted by that target for 3 rounds. (once per battle)")</f>
        <v>Select a target, any powers of a selected element may not be casted by that target for 3 rounds. (once per battle)</v>
      </c>
      <c r="F304" s="16" t="str">
        <f>IFERROR(__xludf.DUMMYFUNCTION("""COMPUTED_VALUE"""),"Fail/Succeed")</f>
        <v>Fail/Succeed</v>
      </c>
      <c r="G304" s="16"/>
      <c r="H304" s="16" t="str">
        <f>IFERROR(__xludf.DUMMYFUNCTION("""COMPUTED_VALUE"""),"Order")</f>
        <v>Order</v>
      </c>
      <c r="I304" s="16" t="str">
        <f>IFERROR(__xludf.DUMMYFUNCTION("""COMPUTED_VALUE"""),"Player")</f>
        <v>Player</v>
      </c>
      <c r="J304" s="16" t="b">
        <f>IFERROR(__xludf.DUMMYFUNCTION("""COMPUTED_VALUE"""),FALSE)</f>
        <v>0</v>
      </c>
      <c r="K304" s="16"/>
      <c r="L304" s="16" t="b">
        <f>IFERROR(__xludf.DUMMYFUNCTION("""COMPUTED_VALUE"""),FALSE)</f>
        <v>0</v>
      </c>
      <c r="M304" s="16" t="b">
        <f>IFERROR(__xludf.DUMMYFUNCTION("""COMPUTED_VALUE"""),FALSE)</f>
        <v>0</v>
      </c>
      <c r="N304" s="16"/>
    </row>
    <row r="305">
      <c r="A305" s="16" t="str">
        <f>IFERROR(__xludf.DUMMYFUNCTION("""COMPUTED_VALUE"""),"Protection")</f>
        <v>Protection</v>
      </c>
      <c r="B305" s="120">
        <f>IFERROR(__xludf.DUMMYFUNCTION("""COMPUTED_VALUE"""),2.0)</f>
        <v>2</v>
      </c>
      <c r="C305" s="16">
        <f>IFERROR(__xludf.DUMMYFUNCTION("""COMPUTED_VALUE"""),20.0)</f>
        <v>20</v>
      </c>
      <c r="D305" s="16"/>
      <c r="E305" s="16" t="str">
        <f>IFERROR(__xludf.DUMMYFUNCTION("""COMPUTED_VALUE"""),"X2 Defense to self and allies.")</f>
        <v>X2 Defense to self and allies.</v>
      </c>
      <c r="F305" s="16" t="str">
        <f>IFERROR(__xludf.DUMMYFUNCTION("""COMPUTED_VALUE"""),"Will Succeed")</f>
        <v>Will Succeed</v>
      </c>
      <c r="G305" s="16"/>
      <c r="H305" s="16" t="str">
        <f>IFERROR(__xludf.DUMMYFUNCTION("""COMPUTED_VALUE"""),"Order")</f>
        <v>Order</v>
      </c>
      <c r="I305" s="16" t="str">
        <f>IFERROR(__xludf.DUMMYFUNCTION("""COMPUTED_VALUE"""),"Player")</f>
        <v>Player</v>
      </c>
      <c r="J305" s="16" t="b">
        <f>IFERROR(__xludf.DUMMYFUNCTION("""COMPUTED_VALUE"""),FALSE)</f>
        <v>0</v>
      </c>
      <c r="K305" s="16"/>
      <c r="L305" s="16" t="b">
        <f>IFERROR(__xludf.DUMMYFUNCTION("""COMPUTED_VALUE"""),FALSE)</f>
        <v>0</v>
      </c>
      <c r="M305" s="16" t="b">
        <f>IFERROR(__xludf.DUMMYFUNCTION("""COMPUTED_VALUE"""),FALSE)</f>
        <v>0</v>
      </c>
      <c r="N305" s="16"/>
    </row>
    <row r="306">
      <c r="A306" s="16" t="str">
        <f>IFERROR(__xludf.DUMMYFUNCTION("""COMPUTED_VALUE"""),"Reflect")</f>
        <v>Reflect</v>
      </c>
      <c r="B306" s="120">
        <f>IFERROR(__xludf.DUMMYFUNCTION("""COMPUTED_VALUE"""),2.0)</f>
        <v>2</v>
      </c>
      <c r="C306" s="16">
        <f>IFERROR(__xludf.DUMMYFUNCTION("""COMPUTED_VALUE"""),20.0)</f>
        <v>20</v>
      </c>
      <c r="D306" s="16"/>
      <c r="E306" s="16" t="str">
        <f>IFERROR(__xludf.DUMMYFUNCTION("""COMPUTED_VALUE"""),"Inflict Half the damage you take from the next attack on the attacker")</f>
        <v>Inflict Half the damage you take from the next attack on the attacker</v>
      </c>
      <c r="F306" s="16" t="str">
        <f>IFERROR(__xludf.DUMMYFUNCTION("""COMPUTED_VALUE"""),"Fail/succeed")</f>
        <v>Fail/succeed</v>
      </c>
      <c r="G306" s="16"/>
      <c r="H306" s="16" t="str">
        <f>IFERROR(__xludf.DUMMYFUNCTION("""COMPUTED_VALUE"""),"Order")</f>
        <v>Order</v>
      </c>
      <c r="I306" s="16" t="str">
        <f>IFERROR(__xludf.DUMMYFUNCTION("""COMPUTED_VALUE"""),"Player")</f>
        <v>Player</v>
      </c>
      <c r="J306" s="16" t="b">
        <f>IFERROR(__xludf.DUMMYFUNCTION("""COMPUTED_VALUE"""),FALSE)</f>
        <v>0</v>
      </c>
      <c r="K306" s="16"/>
      <c r="L306" s="16" t="b">
        <f>IFERROR(__xludf.DUMMYFUNCTION("""COMPUTED_VALUE"""),FALSE)</f>
        <v>0</v>
      </c>
      <c r="M306" s="16" t="b">
        <f>IFERROR(__xludf.DUMMYFUNCTION("""COMPUTED_VALUE"""),FALSE)</f>
        <v>0</v>
      </c>
      <c r="N306" s="16"/>
    </row>
    <row r="307">
      <c r="A307" s="16" t="str">
        <f>IFERROR(__xludf.DUMMYFUNCTION("""COMPUTED_VALUE"""),"Stat Swap")</f>
        <v>Stat Swap</v>
      </c>
      <c r="B307" s="120">
        <f>IFERROR(__xludf.DUMMYFUNCTION("""COMPUTED_VALUE"""),9.0)</f>
        <v>9</v>
      </c>
      <c r="C307" s="119">
        <f>IFERROR(__xludf.DUMMYFUNCTION("""COMPUTED_VALUE"""),300.0)</f>
        <v>300</v>
      </c>
      <c r="D307" s="16"/>
      <c r="E307" s="16" t="str">
        <f>IFERROR(__xludf.DUMMYFUNCTION("""COMPUTED_VALUE"""),"Swap your attack and defense with 1 other targets attack and defense.")</f>
        <v>Swap your attack and defense with 1 other targets attack and defense.</v>
      </c>
      <c r="F307" s="16" t="str">
        <f>IFERROR(__xludf.DUMMYFUNCTION("""COMPUTED_VALUE"""),"Fail/Succeed")</f>
        <v>Fail/Succeed</v>
      </c>
      <c r="G307" s="16">
        <f>IFERROR(__xludf.DUMMYFUNCTION("""COMPUTED_VALUE"""),1.0)</f>
        <v>1</v>
      </c>
      <c r="H307" s="16" t="str">
        <f>IFERROR(__xludf.DUMMYFUNCTION("""COMPUTED_VALUE"""),"Order")</f>
        <v>Order</v>
      </c>
      <c r="I307" s="16" t="str">
        <f>IFERROR(__xludf.DUMMYFUNCTION("""COMPUTED_VALUE"""),"Player")</f>
        <v>Player</v>
      </c>
      <c r="J307" s="16" t="b">
        <f>IFERROR(__xludf.DUMMYFUNCTION("""COMPUTED_VALUE"""),TRUE)</f>
        <v>1</v>
      </c>
      <c r="K307" s="16" t="str">
        <f>IFERROR(__xludf.DUMMYFUNCTION("""COMPUTED_VALUE"""),"shop spell")</f>
        <v>shop spell</v>
      </c>
      <c r="L307" s="16" t="b">
        <f>IFERROR(__xludf.DUMMYFUNCTION("""COMPUTED_VALUE"""),FALSE)</f>
        <v>0</v>
      </c>
      <c r="M307" s="16" t="b">
        <f>IFERROR(__xludf.DUMMYFUNCTION("""COMPUTED_VALUE"""),FALSE)</f>
        <v>0</v>
      </c>
      <c r="N307" s="16"/>
    </row>
    <row r="308">
      <c r="A308" s="16" t="str">
        <f>IFERROR(__xludf.DUMMYFUNCTION("""COMPUTED_VALUE"""),"Strong Ward")</f>
        <v>Strong Ward</v>
      </c>
      <c r="B308" s="120">
        <f>IFERROR(__xludf.DUMMYFUNCTION("""COMPUTED_VALUE"""),9.0)</f>
        <v>9</v>
      </c>
      <c r="C308" s="16">
        <f>IFERROR(__xludf.DUMMYFUNCTION("""COMPUTED_VALUE"""),300.0)</f>
        <v>300</v>
      </c>
      <c r="D308" s="16"/>
      <c r="E308" s="16" t="str">
        <f>IFERROR(__xludf.DUMMYFUNCTION("""COMPUTED_VALUE"""),"Target is unaffected by enemy spells of rank 9 or lower for 3 rounds. Ward ends when stopping a spell that bypasses immunities/resistances.")</f>
        <v>Target is unaffected by enemy spells of rank 9 or lower for 3 rounds. Ward ends when stopping a spell that bypasses immunities/resistances.</v>
      </c>
      <c r="F308" s="16" t="str">
        <f>IFERROR(__xludf.DUMMYFUNCTION("""COMPUTED_VALUE"""),"Fail/succeed")</f>
        <v>Fail/succeed</v>
      </c>
      <c r="G308" s="16"/>
      <c r="H308" s="16" t="str">
        <f>IFERROR(__xludf.DUMMYFUNCTION("""COMPUTED_VALUE"""),"Order")</f>
        <v>Order</v>
      </c>
      <c r="I308" s="16" t="str">
        <f>IFERROR(__xludf.DUMMYFUNCTION("""COMPUTED_VALUE"""),"Player")</f>
        <v>Player</v>
      </c>
      <c r="J308" s="16" t="b">
        <f>IFERROR(__xludf.DUMMYFUNCTION("""COMPUTED_VALUE"""),FALSE)</f>
        <v>0</v>
      </c>
      <c r="K308" s="16"/>
      <c r="L308" s="16" t="b">
        <f>IFERROR(__xludf.DUMMYFUNCTION("""COMPUTED_VALUE"""),FALSE)</f>
        <v>0</v>
      </c>
      <c r="M308" s="16" t="b">
        <f>IFERROR(__xludf.DUMMYFUNCTION("""COMPUTED_VALUE"""),FALSE)</f>
        <v>0</v>
      </c>
      <c r="N308" s="16"/>
    </row>
    <row r="309">
      <c r="A309" s="16" t="str">
        <f>IFERROR(__xludf.DUMMYFUNCTION("""COMPUTED_VALUE"""),"Tower Of Truth")</f>
        <v>Tower Of Truth</v>
      </c>
      <c r="B309" s="120">
        <f>IFERROR(__xludf.DUMMYFUNCTION("""COMPUTED_VALUE"""),8.0)</f>
        <v>8</v>
      </c>
      <c r="C309" s="16">
        <f>IFERROR(__xludf.DUMMYFUNCTION("""COMPUTED_VALUE"""),200.0)</f>
        <v>200</v>
      </c>
      <c r="D309" s="16"/>
      <c r="E309" s="16" t="str">
        <f>IFERROR(__xludf.DUMMYFUNCTION("""COMPUTED_VALUE"""),"Forms a tower that appears in the sky and shoots a giant beam of order energy from the towers eye- 12000 Order damage. Casts a strong ward on self")</f>
        <v>Forms a tower that appears in the sky and shoots a giant beam of order energy from the towers eye- 12000 Order damage. Casts a strong ward on self</v>
      </c>
      <c r="F309" s="16" t="str">
        <f>IFERROR(__xludf.DUMMYFUNCTION("""COMPUTED_VALUE"""),"Fail/succeed")</f>
        <v>Fail/succeed</v>
      </c>
      <c r="G309" s="16">
        <f>IFERROR(__xludf.DUMMYFUNCTION("""COMPUTED_VALUE"""),1.0)</f>
        <v>1</v>
      </c>
      <c r="H309" s="16" t="str">
        <f>IFERROR(__xludf.DUMMYFUNCTION("""COMPUTED_VALUE"""),"Order")</f>
        <v>Order</v>
      </c>
      <c r="I309" s="16" t="str">
        <f>IFERROR(__xludf.DUMMYFUNCTION("""COMPUTED_VALUE"""),"Player")</f>
        <v>Player</v>
      </c>
      <c r="J309" s="16" t="b">
        <f>IFERROR(__xludf.DUMMYFUNCTION("""COMPUTED_VALUE"""),FALSE)</f>
        <v>0</v>
      </c>
      <c r="K309" s="16"/>
      <c r="L309" s="16" t="b">
        <f>IFERROR(__xludf.DUMMYFUNCTION("""COMPUTED_VALUE"""),FALSE)</f>
        <v>0</v>
      </c>
      <c r="M309" s="16" t="b">
        <f>IFERROR(__xludf.DUMMYFUNCTION("""COMPUTED_VALUE"""),FALSE)</f>
        <v>0</v>
      </c>
      <c r="N309" s="16"/>
    </row>
    <row r="310">
      <c r="A310" s="16" t="str">
        <f>IFERROR(__xludf.DUMMYFUNCTION("""COMPUTED_VALUE"""),"Ward")</f>
        <v>Ward</v>
      </c>
      <c r="B310" s="120">
        <f>IFERROR(__xludf.DUMMYFUNCTION("""COMPUTED_VALUE"""),6.0)</f>
        <v>6</v>
      </c>
      <c r="C310" s="16">
        <f>IFERROR(__xludf.DUMMYFUNCTION("""COMPUTED_VALUE"""),60.0)</f>
        <v>60</v>
      </c>
      <c r="D310" s="16"/>
      <c r="E310" s="16" t="str">
        <f>IFERROR(__xludf.DUMMYFUNCTION("""COMPUTED_VALUE"""),"Target is unaffected by enemy spells of rank 3 or lower for 3 rounds. Ward ends when stopping a spell that bypasses immunities/resistances.")</f>
        <v>Target is unaffected by enemy spells of rank 3 or lower for 3 rounds. Ward ends when stopping a spell that bypasses immunities/resistances.</v>
      </c>
      <c r="F310" s="16" t="str">
        <f>IFERROR(__xludf.DUMMYFUNCTION("""COMPUTED_VALUE"""),"Fail/succeed")</f>
        <v>Fail/succeed</v>
      </c>
      <c r="G310" s="16"/>
      <c r="H310" s="16" t="str">
        <f>IFERROR(__xludf.DUMMYFUNCTION("""COMPUTED_VALUE"""),"Order")</f>
        <v>Order</v>
      </c>
      <c r="I310" s="16" t="str">
        <f>IFERROR(__xludf.DUMMYFUNCTION("""COMPUTED_VALUE"""),"Player")</f>
        <v>Player</v>
      </c>
      <c r="J310" s="16" t="b">
        <f>IFERROR(__xludf.DUMMYFUNCTION("""COMPUTED_VALUE"""),FALSE)</f>
        <v>0</v>
      </c>
      <c r="K310" s="16"/>
      <c r="L310" s="16" t="b">
        <f>IFERROR(__xludf.DUMMYFUNCTION("""COMPUTED_VALUE"""),FALSE)</f>
        <v>0</v>
      </c>
      <c r="M310" s="16" t="b">
        <f>IFERROR(__xludf.DUMMYFUNCTION("""COMPUTED_VALUE"""),FALSE)</f>
        <v>0</v>
      </c>
      <c r="N310" s="16"/>
    </row>
    <row r="311">
      <c r="A311" s="16" t="str">
        <f>IFERROR(__xludf.DUMMYFUNCTION("""COMPUTED_VALUE"""),"Call of the Paladin (Player)")</f>
        <v>Call of the Paladin (Player)</v>
      </c>
      <c r="B311" s="120">
        <f>IFERROR(__xludf.DUMMYFUNCTION("""COMPUTED_VALUE"""),1.0)</f>
        <v>1</v>
      </c>
      <c r="C311" s="16">
        <f>IFERROR(__xludf.DUMMYFUNCTION("""COMPUTED_VALUE"""),0.0)</f>
        <v>0</v>
      </c>
      <c r="D311" s="16"/>
      <c r="E311" s="16" t="str">
        <f>IFERROR(__xludf.DUMMYFUNCTION("""COMPUTED_VALUE"""),"Summons a single paladin from the same order as you who's level is the same as yours.")</f>
        <v>Summons a single paladin from the same order as you who's level is the same as yours.</v>
      </c>
      <c r="F311" s="16" t="str">
        <f>IFERROR(__xludf.DUMMYFUNCTION("""COMPUTED_VALUE"""),"Natural/Fail or Succeed")</f>
        <v>Natural/Fail or Succeed</v>
      </c>
      <c r="G311" s="16" t="str">
        <f>IFERROR(__xludf.DUMMYFUNCTION("""COMPUTED_VALUE"""),"Self")</f>
        <v>Self</v>
      </c>
      <c r="H311" s="16" t="str">
        <f>IFERROR(__xludf.DUMMYFUNCTION("""COMPUTED_VALUE"""),"Order")</f>
        <v>Order</v>
      </c>
      <c r="I311" s="16" t="str">
        <f>IFERROR(__xludf.DUMMYFUNCTION("""COMPUTED_VALUE"""),"Player")</f>
        <v>Player</v>
      </c>
      <c r="J311" s="16" t="b">
        <f>IFERROR(__xludf.DUMMYFUNCTION("""COMPUTED_VALUE"""),TRUE)</f>
        <v>1</v>
      </c>
      <c r="K311" s="16" t="str">
        <f>IFERROR(__xludf.DUMMYFUNCTION("""COMPUTED_VALUE"""),"Paladin exclusive")</f>
        <v>Paladin exclusive</v>
      </c>
      <c r="L311" s="16" t="b">
        <f>IFERROR(__xludf.DUMMYFUNCTION("""COMPUTED_VALUE"""),FALSE)</f>
        <v>0</v>
      </c>
      <c r="M311" s="16" t="b">
        <f>IFERROR(__xludf.DUMMYFUNCTION("""COMPUTED_VALUE"""),FALSE)</f>
        <v>0</v>
      </c>
      <c r="N311" s="16"/>
    </row>
    <row r="312">
      <c r="A312" s="16" t="str">
        <f>IFERROR(__xludf.DUMMYFUNCTION("""COMPUTED_VALUE"""),"Aura Shot")</f>
        <v>Aura Shot</v>
      </c>
      <c r="B312" s="120">
        <f>IFERROR(__xludf.DUMMYFUNCTION("""COMPUTED_VALUE"""),1.0)</f>
        <v>1</v>
      </c>
      <c r="C312" s="16" t="str">
        <f>IFERROR(__xludf.DUMMYFUNCTION("""COMPUTED_VALUE"""),"X")</f>
        <v>X</v>
      </c>
      <c r="D312" s="16"/>
      <c r="E312" s="16" t="str">
        <f>IFERROR(__xludf.DUMMYFUNCTION("""COMPUTED_VALUE"""),"Deals X*100 Order damage to a single enemy where X is equal to SP spent.")</f>
        <v>Deals X*100 Order damage to a single enemy where X is equal to SP spent.</v>
      </c>
      <c r="F312" s="16" t="str">
        <f>IFERROR(__xludf.DUMMYFUNCTION("""COMPUTED_VALUE"""),"Hit/Miss")</f>
        <v>Hit/Miss</v>
      </c>
      <c r="G312" s="16">
        <f>IFERROR(__xludf.DUMMYFUNCTION("""COMPUTED_VALUE"""),1.0)</f>
        <v>1</v>
      </c>
      <c r="H312" s="16" t="str">
        <f>IFERROR(__xludf.DUMMYFUNCTION("""COMPUTED_VALUE"""),"Order")</f>
        <v>Order</v>
      </c>
      <c r="I312" s="16" t="str">
        <f>IFERROR(__xludf.DUMMYFUNCTION("""COMPUTED_VALUE"""),"Player")</f>
        <v>Player</v>
      </c>
      <c r="J312" s="16" t="b">
        <f>IFERROR(__xludf.DUMMYFUNCTION("""COMPUTED_VALUE"""),FALSE)</f>
        <v>0</v>
      </c>
      <c r="K312" s="16"/>
      <c r="L312" s="16" t="b">
        <f>IFERROR(__xludf.DUMMYFUNCTION("""COMPUTED_VALUE"""),FALSE)</f>
        <v>0</v>
      </c>
      <c r="M312" s="16" t="b">
        <f>IFERROR(__xludf.DUMMYFUNCTION("""COMPUTED_VALUE"""),FALSE)</f>
        <v>0</v>
      </c>
      <c r="N312" s="16"/>
    </row>
    <row r="313">
      <c r="A313" s="16" t="str">
        <f>IFERROR(__xludf.DUMMYFUNCTION("""COMPUTED_VALUE"""),"Judgement")</f>
        <v>Judgement</v>
      </c>
      <c r="B313" s="120">
        <f>IFERROR(__xludf.DUMMYFUNCTION("""COMPUTED_VALUE"""),5.0)</f>
        <v>5</v>
      </c>
      <c r="C313" s="16" t="str">
        <f>IFERROR(__xludf.DUMMYFUNCTION("""COMPUTED_VALUE"""),"X")</f>
        <v>X</v>
      </c>
      <c r="D313" s="16"/>
      <c r="E313" s="16" t="str">
        <f>IFERROR(__xludf.DUMMYFUNCTION("""COMPUTED_VALUE"""),"Deals X*50 Order damage per round for 3 rounds to a single target where X is equal to SP spent.")</f>
        <v>Deals X*50 Order damage per round for 3 rounds to a single target where X is equal to SP spent.</v>
      </c>
      <c r="F313" s="16" t="str">
        <f>IFERROR(__xludf.DUMMYFUNCTION("""COMPUTED_VALUE"""),"Hit/Miss")</f>
        <v>Hit/Miss</v>
      </c>
      <c r="G313" s="16">
        <f>IFERROR(__xludf.DUMMYFUNCTION("""COMPUTED_VALUE"""),1.0)</f>
        <v>1</v>
      </c>
      <c r="H313" s="16" t="str">
        <f>IFERROR(__xludf.DUMMYFUNCTION("""COMPUTED_VALUE"""),"Order")</f>
        <v>Order</v>
      </c>
      <c r="I313" s="16" t="str">
        <f>IFERROR(__xludf.DUMMYFUNCTION("""COMPUTED_VALUE"""),"Player")</f>
        <v>Player</v>
      </c>
      <c r="J313" s="16" t="b">
        <f>IFERROR(__xludf.DUMMYFUNCTION("""COMPUTED_VALUE"""),FALSE)</f>
        <v>0</v>
      </c>
      <c r="K313" s="16"/>
      <c r="L313" s="16" t="b">
        <f>IFERROR(__xludf.DUMMYFUNCTION("""COMPUTED_VALUE"""),FALSE)</f>
        <v>0</v>
      </c>
      <c r="M313" s="16" t="b">
        <f>IFERROR(__xludf.DUMMYFUNCTION("""COMPUTED_VALUE"""),FALSE)</f>
        <v>0</v>
      </c>
      <c r="N313" s="16"/>
    </row>
    <row r="314">
      <c r="A314" s="16" t="str">
        <f>IFERROR(__xludf.DUMMYFUNCTION("""COMPUTED_VALUE"""),"Aura of Order")</f>
        <v>Aura of Order</v>
      </c>
      <c r="B314" s="120">
        <f>IFERROR(__xludf.DUMMYFUNCTION("""COMPUTED_VALUE"""),5.0)</f>
        <v>5</v>
      </c>
      <c r="C314" s="16" t="str">
        <f>IFERROR(__xludf.DUMMYFUNCTION("""COMPUTED_VALUE"""),"X")</f>
        <v>X</v>
      </c>
      <c r="D314" s="16"/>
      <c r="E314" s="16" t="str">
        <f>IFERROR(__xludf.DUMMYFUNCTION("""COMPUTED_VALUE"""),"Deals X*25 Order damage to all enemies where X is equal to SP spent.")</f>
        <v>Deals X*25 Order damage to all enemies where X is equal to SP spent.</v>
      </c>
      <c r="F314" s="16" t="str">
        <f>IFERROR(__xludf.DUMMYFUNCTION("""COMPUTED_VALUE"""),"Cannot Avoid")</f>
        <v>Cannot Avoid</v>
      </c>
      <c r="G314" s="16" t="str">
        <f>IFERROR(__xludf.DUMMYFUNCTION("""COMPUTED_VALUE"""),"All")</f>
        <v>All</v>
      </c>
      <c r="H314" s="16" t="str">
        <f>IFERROR(__xludf.DUMMYFUNCTION("""COMPUTED_VALUE"""),"Order")</f>
        <v>Order</v>
      </c>
      <c r="I314" s="16" t="str">
        <f>IFERROR(__xludf.DUMMYFUNCTION("""COMPUTED_VALUE"""),"Player")</f>
        <v>Player</v>
      </c>
      <c r="J314" s="16" t="b">
        <f>IFERROR(__xludf.DUMMYFUNCTION("""COMPUTED_VALUE"""),FALSE)</f>
        <v>0</v>
      </c>
      <c r="K314" s="16"/>
      <c r="L314" s="16" t="b">
        <f>IFERROR(__xludf.DUMMYFUNCTION("""COMPUTED_VALUE"""),FALSE)</f>
        <v>0</v>
      </c>
      <c r="M314" s="16" t="b">
        <f>IFERROR(__xludf.DUMMYFUNCTION("""COMPUTED_VALUE"""),FALSE)</f>
        <v>0</v>
      </c>
      <c r="N314" s="16"/>
    </row>
    <row r="315">
      <c r="A315" s="16" t="str">
        <f>IFERROR(__xludf.DUMMYFUNCTION("""COMPUTED_VALUE"""),"Mass Judgement")</f>
        <v>Mass Judgement</v>
      </c>
      <c r="B315" s="120">
        <f>IFERROR(__xludf.DUMMYFUNCTION("""COMPUTED_VALUE"""),6.0)</f>
        <v>6</v>
      </c>
      <c r="C315" s="16" t="str">
        <f>IFERROR(__xludf.DUMMYFUNCTION("""COMPUTED_VALUE"""),"X")</f>
        <v>X</v>
      </c>
      <c r="D315" s="16"/>
      <c r="E315" s="16" t="str">
        <f>IFERROR(__xludf.DUMMYFUNCTION("""COMPUTED_VALUE"""),"Deals X*10 Order damage per round to all enemies for 3 rounds where X is equal to SP spent.")</f>
        <v>Deals X*10 Order damage per round to all enemies for 3 rounds where X is equal to SP spent.</v>
      </c>
      <c r="F315" s="16" t="str">
        <f>IFERROR(__xludf.DUMMYFUNCTION("""COMPUTED_VALUE"""),"Cannot Avoid")</f>
        <v>Cannot Avoid</v>
      </c>
      <c r="G315" s="16" t="str">
        <f>IFERROR(__xludf.DUMMYFUNCTION("""COMPUTED_VALUE"""),"All")</f>
        <v>All</v>
      </c>
      <c r="H315" s="16" t="str">
        <f>IFERROR(__xludf.DUMMYFUNCTION("""COMPUTED_VALUE"""),"Order")</f>
        <v>Order</v>
      </c>
      <c r="I315" s="16" t="str">
        <f>IFERROR(__xludf.DUMMYFUNCTION("""COMPUTED_VALUE"""),"Player")</f>
        <v>Player</v>
      </c>
      <c r="J315" s="16" t="b">
        <f>IFERROR(__xludf.DUMMYFUNCTION("""COMPUTED_VALUE"""),FALSE)</f>
        <v>0</v>
      </c>
      <c r="K315" s="16"/>
      <c r="L315" s="16" t="b">
        <f>IFERROR(__xludf.DUMMYFUNCTION("""COMPUTED_VALUE"""),FALSE)</f>
        <v>0</v>
      </c>
      <c r="M315" s="16" t="b">
        <f>IFERROR(__xludf.DUMMYFUNCTION("""COMPUTED_VALUE"""),FALSE)</f>
        <v>0</v>
      </c>
      <c r="N315" s="16"/>
    </row>
    <row r="316">
      <c r="A316" s="16" t="str">
        <f>IFERROR(__xludf.DUMMYFUNCTION("""COMPUTED_VALUE"""),"[Element] Strike")</f>
        <v>[Element] Strike</v>
      </c>
      <c r="B316" s="120">
        <f>IFERROR(__xludf.DUMMYFUNCTION("""COMPUTED_VALUE"""),4.0)</f>
        <v>4</v>
      </c>
      <c r="C316" s="16">
        <f>IFERROR(__xludf.DUMMYFUNCTION("""COMPUTED_VALUE"""),40.0)</f>
        <v>40</v>
      </c>
      <c r="D316" s="16"/>
      <c r="E316" s="16" t="str">
        <f>IFERROR(__xludf.DUMMYFUNCTION("""COMPUTED_VALUE"""),"Select an equipped natural attack and apply additional [Element] damage to it equal to your defense. (Cannot choose celestial unless level 200 or higher).")</f>
        <v>Select an equipped natural attack and apply additional [Element] damage to it equal to your defense. (Cannot choose celestial unless level 200 or higher).</v>
      </c>
      <c r="F316" s="16" t="str">
        <f>IFERROR(__xludf.DUMMYFUNCTION("""COMPUTED_VALUE"""),"Fail/succeed")</f>
        <v>Fail/succeed</v>
      </c>
      <c r="G316" s="16"/>
      <c r="H316" s="16" t="str">
        <f>IFERROR(__xludf.DUMMYFUNCTION("""COMPUTED_VALUE"""),"Physical")</f>
        <v>Physical</v>
      </c>
      <c r="I316" s="16" t="str">
        <f>IFERROR(__xludf.DUMMYFUNCTION("""COMPUTED_VALUE"""),"Player")</f>
        <v>Player</v>
      </c>
      <c r="J316" s="16" t="b">
        <f>IFERROR(__xludf.DUMMYFUNCTION("""COMPUTED_VALUE"""),FALSE)</f>
        <v>0</v>
      </c>
      <c r="K316" s="16"/>
      <c r="L316" s="16" t="b">
        <f>IFERROR(__xludf.DUMMYFUNCTION("""COMPUTED_VALUE"""),FALSE)</f>
        <v>0</v>
      </c>
      <c r="M316" s="16" t="b">
        <f>IFERROR(__xludf.DUMMYFUNCTION("""COMPUTED_VALUE"""),TRUE)</f>
        <v>1</v>
      </c>
      <c r="N316" s="16"/>
    </row>
    <row r="317">
      <c r="A317" s="16" t="str">
        <f>IFERROR(__xludf.DUMMYFUNCTION("""COMPUTED_VALUE"""),"Absorb")</f>
        <v>Absorb</v>
      </c>
      <c r="B317" s="120">
        <f>IFERROR(__xludf.DUMMYFUNCTION("""COMPUTED_VALUE"""),1.0)</f>
        <v>1</v>
      </c>
      <c r="C317" s="119">
        <f>IFERROR(__xludf.DUMMYFUNCTION("""COMPUTED_VALUE"""),0.0)</f>
        <v>0</v>
      </c>
      <c r="D317" s="16"/>
      <c r="E317" s="16" t="str">
        <f>IFERROR(__xludf.DUMMYFUNCTION("""COMPUTED_VALUE"""),"Absorb an item of choice.")</f>
        <v>Absorb an item of choice.</v>
      </c>
      <c r="F317" s="16" t="str">
        <f>IFERROR(__xludf.DUMMYFUNCTION("""COMPUTED_VALUE"""),"Natural/Fail or Succeed")</f>
        <v>Natural/Fail or Succeed</v>
      </c>
      <c r="G317" s="16">
        <f>IFERROR(__xludf.DUMMYFUNCTION("""COMPUTED_VALUE"""),1.0)</f>
        <v>1</v>
      </c>
      <c r="H317" s="16" t="str">
        <f>IFERROR(__xludf.DUMMYFUNCTION("""COMPUTED_VALUE"""),"Physical")</f>
        <v>Physical</v>
      </c>
      <c r="I317" s="16" t="str">
        <f>IFERROR(__xludf.DUMMYFUNCTION("""COMPUTED_VALUE"""),"Mob")</f>
        <v>Mob</v>
      </c>
      <c r="J317" s="16" t="b">
        <f>IFERROR(__xludf.DUMMYFUNCTION("""COMPUTED_VALUE"""),TRUE)</f>
        <v>1</v>
      </c>
      <c r="K317" s="16"/>
      <c r="L317" s="16" t="b">
        <f>IFERROR(__xludf.DUMMYFUNCTION("""COMPUTED_VALUE"""),FALSE)</f>
        <v>0</v>
      </c>
      <c r="M317" s="16" t="b">
        <f>IFERROR(__xludf.DUMMYFUNCTION("""COMPUTED_VALUE"""),FALSE)</f>
        <v>0</v>
      </c>
      <c r="N317" s="16"/>
    </row>
    <row r="318">
      <c r="A318" s="16" t="str">
        <f>IFERROR(__xludf.DUMMYFUNCTION("""COMPUTED_VALUE"""),"Absorb Enemy ")</f>
        <v>Absorb Enemy </v>
      </c>
      <c r="B318" s="120">
        <f>IFERROR(__xludf.DUMMYFUNCTION("""COMPUTED_VALUE"""),1.0)</f>
        <v>1</v>
      </c>
      <c r="C318" s="119">
        <f>IFERROR(__xludf.DUMMYFUNCTION("""COMPUTED_VALUE"""),0.0)</f>
        <v>0</v>
      </c>
      <c r="D318" s="16"/>
      <c r="E318" s="16" t="str">
        <f>IFERROR(__xludf.DUMMYFUNCTION("""COMPUTED_VALUE"""),"Absorb a targeted enemy of choice, The target cannot perform its turn orders while absorbed.")</f>
        <v>Absorb a targeted enemy of choice, The target cannot perform its turn orders while absorbed.</v>
      </c>
      <c r="F318" s="16" t="str">
        <f>IFERROR(__xludf.DUMMYFUNCTION("""COMPUTED_VALUE"""),"Natural/Hit or Miss")</f>
        <v>Natural/Hit or Miss</v>
      </c>
      <c r="G318" s="16">
        <f>IFERROR(__xludf.DUMMYFUNCTION("""COMPUTED_VALUE"""),1.0)</f>
        <v>1</v>
      </c>
      <c r="H318" s="16" t="str">
        <f>IFERROR(__xludf.DUMMYFUNCTION("""COMPUTED_VALUE"""),"Physical")</f>
        <v>Physical</v>
      </c>
      <c r="I318" s="16" t="str">
        <f>IFERROR(__xludf.DUMMYFUNCTION("""COMPUTED_VALUE"""),"Mob")</f>
        <v>Mob</v>
      </c>
      <c r="J318" s="16" t="b">
        <f>IFERROR(__xludf.DUMMYFUNCTION("""COMPUTED_VALUE"""),TRUE)</f>
        <v>1</v>
      </c>
      <c r="K318" s="16"/>
      <c r="L318" s="16" t="b">
        <f>IFERROR(__xludf.DUMMYFUNCTION("""COMPUTED_VALUE"""),FALSE)</f>
        <v>0</v>
      </c>
      <c r="M318" s="16" t="b">
        <f>IFERROR(__xludf.DUMMYFUNCTION("""COMPUTED_VALUE"""),FALSE)</f>
        <v>0</v>
      </c>
      <c r="N318" s="16"/>
    </row>
    <row r="319">
      <c r="A319" s="16" t="str">
        <f>IFERROR(__xludf.DUMMYFUNCTION("""COMPUTED_VALUE"""),"Aggressive Chomp")</f>
        <v>Aggressive Chomp</v>
      </c>
      <c r="B319" s="120">
        <f>IFERROR(__xludf.DUMMYFUNCTION("""COMPUTED_VALUE"""),1.0)</f>
        <v>1</v>
      </c>
      <c r="C319" s="119">
        <f>IFERROR(__xludf.DUMMYFUNCTION("""COMPUTED_VALUE"""),0.0)</f>
        <v>0</v>
      </c>
      <c r="D319" s="16"/>
      <c r="E319" s="16" t="str">
        <f>IFERROR(__xludf.DUMMYFUNCTION("""COMPUTED_VALUE"""),"20000 damage, 20000 water damage to all enemies")</f>
        <v>20000 damage, 20000 water damage to all enemies</v>
      </c>
      <c r="F319" s="16" t="str">
        <f>IFERROR(__xludf.DUMMYFUNCTION("""COMPUTED_VALUE"""),"Natural/Cannot Avoid")</f>
        <v>Natural/Cannot Avoid</v>
      </c>
      <c r="G319" s="16">
        <f>IFERROR(__xludf.DUMMYFUNCTION("""COMPUTED_VALUE"""),1.0)</f>
        <v>1</v>
      </c>
      <c r="H319" s="16" t="str">
        <f>IFERROR(__xludf.DUMMYFUNCTION("""COMPUTED_VALUE"""),"Physical")</f>
        <v>Physical</v>
      </c>
      <c r="I319" s="16" t="str">
        <f>IFERROR(__xludf.DUMMYFUNCTION("""COMPUTED_VALUE"""),"Mob")</f>
        <v>Mob</v>
      </c>
      <c r="J319" s="16" t="b">
        <f>IFERROR(__xludf.DUMMYFUNCTION("""COMPUTED_VALUE"""),TRUE)</f>
        <v>1</v>
      </c>
      <c r="K319" s="16"/>
      <c r="L319" s="16" t="b">
        <f>IFERROR(__xludf.DUMMYFUNCTION("""COMPUTED_VALUE"""),FALSE)</f>
        <v>0</v>
      </c>
      <c r="M319" s="16" t="b">
        <f>IFERROR(__xludf.DUMMYFUNCTION("""COMPUTED_VALUE"""),FALSE)</f>
        <v>0</v>
      </c>
      <c r="N319" s="16"/>
    </row>
    <row r="320">
      <c r="A320" s="16" t="str">
        <f>IFERROR(__xludf.DUMMYFUNCTION("""COMPUTED_VALUE"""),"Arrest")</f>
        <v>Arrest</v>
      </c>
      <c r="B320" s="120">
        <f>IFERROR(__xludf.DUMMYFUNCTION("""COMPUTED_VALUE"""),1.0)</f>
        <v>1</v>
      </c>
      <c r="C320" s="119">
        <f>IFERROR(__xludf.DUMMYFUNCTION("""COMPUTED_VALUE"""),0.0)</f>
        <v>0</v>
      </c>
      <c r="D320" s="16"/>
      <c r="E320" s="16" t="str">
        <f>IFERROR(__xludf.DUMMYFUNCTION("""COMPUTED_VALUE"""),"Arrest a player or npc Using your mobility bonus, they cannot perform their turn order while arrested and they are removed from the battle. ")</f>
        <v>Arrest a player or npc Using your mobility bonus, they cannot perform their turn order while arrested and they are removed from the battle. </v>
      </c>
      <c r="F320" s="16" t="str">
        <f>IFERROR(__xludf.DUMMYFUNCTION("""COMPUTED_VALUE"""),"Natural/Hit or Miss.")</f>
        <v>Natural/Hit or Miss.</v>
      </c>
      <c r="G320" s="16">
        <f>IFERROR(__xludf.DUMMYFUNCTION("""COMPUTED_VALUE"""),1.0)</f>
        <v>1</v>
      </c>
      <c r="H320" s="16" t="str">
        <f>IFERROR(__xludf.DUMMYFUNCTION("""COMPUTED_VALUE"""),"Physical")</f>
        <v>Physical</v>
      </c>
      <c r="I320" s="16" t="str">
        <f>IFERROR(__xludf.DUMMYFUNCTION("""COMPUTED_VALUE"""),"Mob")</f>
        <v>Mob</v>
      </c>
      <c r="J320" s="16" t="b">
        <f>IFERROR(__xludf.DUMMYFUNCTION("""COMPUTED_VALUE"""),TRUE)</f>
        <v>1</v>
      </c>
      <c r="K320" s="16" t="str">
        <f>IFERROR(__xludf.DUMMYFUNCTION("""COMPUTED_VALUE"""),"Can only be optained by the Spira Guard ability")</f>
        <v>Can only be optained by the Spira Guard ability</v>
      </c>
      <c r="L320" s="16" t="b">
        <f>IFERROR(__xludf.DUMMYFUNCTION("""COMPUTED_VALUE"""),TRUE)</f>
        <v>1</v>
      </c>
      <c r="M320" s="16" t="b">
        <f>IFERROR(__xludf.DUMMYFUNCTION("""COMPUTED_VALUE"""),TRUE)</f>
        <v>1</v>
      </c>
      <c r="N320" s="16"/>
    </row>
    <row r="321">
      <c r="A321" s="16" t="str">
        <f>IFERROR(__xludf.DUMMYFUNCTION("""COMPUTED_VALUE"""),"Bite")</f>
        <v>Bite</v>
      </c>
      <c r="B321" s="120">
        <f>IFERROR(__xludf.DUMMYFUNCTION("""COMPUTED_VALUE"""),1.0)</f>
        <v>1</v>
      </c>
      <c r="C321" s="16">
        <f>IFERROR(__xludf.DUMMYFUNCTION("""COMPUTED_VALUE"""),0.0)</f>
        <v>0</v>
      </c>
      <c r="D321" s="16"/>
      <c r="E321" s="16" t="str">
        <f>IFERROR(__xludf.DUMMYFUNCTION("""COMPUTED_VALUE"""),"X*2 damage of your primary element where X is equal to your attack. 50% chance to hit twice")</f>
        <v>X*2 damage of your primary element where X is equal to your attack. 50% chance to hit twice</v>
      </c>
      <c r="F321" s="16" t="str">
        <f>IFERROR(__xludf.DUMMYFUNCTION("""COMPUTED_VALUE"""),"Natural/Hit or Miss")</f>
        <v>Natural/Hit or Miss</v>
      </c>
      <c r="G321" s="16">
        <f>IFERROR(__xludf.DUMMYFUNCTION("""COMPUTED_VALUE"""),1.0)</f>
        <v>1</v>
      </c>
      <c r="H321" s="16" t="str">
        <f>IFERROR(__xludf.DUMMYFUNCTION("""COMPUTED_VALUE"""),"Physical")</f>
        <v>Physical</v>
      </c>
      <c r="I321" s="16" t="str">
        <f>IFERROR(__xludf.DUMMYFUNCTION("""COMPUTED_VALUE"""),"Player")</f>
        <v>Player</v>
      </c>
      <c r="J321" s="16" t="b">
        <f>IFERROR(__xludf.DUMMYFUNCTION("""COMPUTED_VALUE"""),FALSE)</f>
        <v>0</v>
      </c>
      <c r="K321" s="16"/>
      <c r="L321" s="16" t="b">
        <f>IFERROR(__xludf.DUMMYFUNCTION("""COMPUTED_VALUE"""),FALSE)</f>
        <v>0</v>
      </c>
      <c r="M321" s="16" t="b">
        <f>IFERROR(__xludf.DUMMYFUNCTION("""COMPUTED_VALUE"""),FALSE)</f>
        <v>0</v>
      </c>
      <c r="N321" s="16"/>
    </row>
    <row r="322">
      <c r="A322" s="16" t="str">
        <f>IFERROR(__xludf.DUMMYFUNCTION("""COMPUTED_VALUE"""),"Body armor")</f>
        <v>Body armor</v>
      </c>
      <c r="B322" s="120">
        <f>IFERROR(__xludf.DUMMYFUNCTION("""COMPUTED_VALUE"""),1.0)</f>
        <v>1</v>
      </c>
      <c r="C322" s="16">
        <f>IFERROR(__xludf.DUMMYFUNCTION("""COMPUTED_VALUE"""),10.0)</f>
        <v>10</v>
      </c>
      <c r="D322" s="16"/>
      <c r="E322" s="16" t="str">
        <f>IFERROR(__xludf.DUMMYFUNCTION("""COMPUTED_VALUE"""),"100 defense until the end of the round")</f>
        <v>100 defense until the end of the round</v>
      </c>
      <c r="F322" s="16" t="str">
        <f>IFERROR(__xludf.DUMMYFUNCTION("""COMPUTED_VALUE"""),"Will Succeed")</f>
        <v>Will Succeed</v>
      </c>
      <c r="G322" s="16"/>
      <c r="H322" s="16" t="str">
        <f>IFERROR(__xludf.DUMMYFUNCTION("""COMPUTED_VALUE"""),"Physical")</f>
        <v>Physical</v>
      </c>
      <c r="I322" s="16" t="str">
        <f>IFERROR(__xludf.DUMMYFUNCTION("""COMPUTED_VALUE"""),"Player")</f>
        <v>Player</v>
      </c>
      <c r="J322" s="16" t="b">
        <f>IFERROR(__xludf.DUMMYFUNCTION("""COMPUTED_VALUE"""),FALSE)</f>
        <v>0</v>
      </c>
      <c r="K322" s="16"/>
      <c r="L322" s="16" t="b">
        <f>IFERROR(__xludf.DUMMYFUNCTION("""COMPUTED_VALUE"""),FALSE)</f>
        <v>0</v>
      </c>
      <c r="M322" s="16" t="b">
        <f>IFERROR(__xludf.DUMMYFUNCTION("""COMPUTED_VALUE"""),TRUE)</f>
        <v>1</v>
      </c>
      <c r="N322" s="16"/>
    </row>
    <row r="323">
      <c r="A323" s="16" t="str">
        <f>IFERROR(__xludf.DUMMYFUNCTION("""COMPUTED_VALUE"""),"Call of The Sharks")</f>
        <v>Call of The Sharks</v>
      </c>
      <c r="B323" s="120">
        <f>IFERROR(__xludf.DUMMYFUNCTION("""COMPUTED_VALUE"""),1.0)</f>
        <v>1</v>
      </c>
      <c r="C323" s="119">
        <f>IFERROR(__xludf.DUMMYFUNCTION("""COMPUTED_VALUE"""),0.0)</f>
        <v>0</v>
      </c>
      <c r="D323" s="16"/>
      <c r="E323" s="16" t="str">
        <f>IFERROR(__xludf.DUMMYFUNCTION("""COMPUTED_VALUE"""),"85% chance to call 2  sharks to battle")</f>
        <v>85% chance to call 2  sharks to battle</v>
      </c>
      <c r="F323" s="16" t="str">
        <f>IFERROR(__xludf.DUMMYFUNCTION("""COMPUTED_VALUE"""),"Natural/Fail Or Succeed")</f>
        <v>Natural/Fail Or Succeed</v>
      </c>
      <c r="G323" s="16" t="str">
        <f>IFERROR(__xludf.DUMMYFUNCTION("""COMPUTED_VALUE"""),"Self")</f>
        <v>Self</v>
      </c>
      <c r="H323" s="16" t="str">
        <f>IFERROR(__xludf.DUMMYFUNCTION("""COMPUTED_VALUE"""),"Physical")</f>
        <v>Physical</v>
      </c>
      <c r="I323" s="16" t="str">
        <f>IFERROR(__xludf.DUMMYFUNCTION("""COMPUTED_VALUE"""),"Mob")</f>
        <v>Mob</v>
      </c>
      <c r="J323" s="16" t="b">
        <f>IFERROR(__xludf.DUMMYFUNCTION("""COMPUTED_VALUE"""),TRUE)</f>
        <v>1</v>
      </c>
      <c r="K323" s="16"/>
      <c r="L323" s="16" t="b">
        <f>IFERROR(__xludf.DUMMYFUNCTION("""COMPUTED_VALUE"""),FALSE)</f>
        <v>0</v>
      </c>
      <c r="M323" s="16" t="b">
        <f>IFERROR(__xludf.DUMMYFUNCTION("""COMPUTED_VALUE"""),FALSE)</f>
        <v>0</v>
      </c>
      <c r="N323" s="16"/>
    </row>
    <row r="324">
      <c r="A324" s="16" t="str">
        <f>IFERROR(__xludf.DUMMYFUNCTION("""COMPUTED_VALUE"""),"Charge")</f>
        <v>Charge</v>
      </c>
      <c r="B324" s="120">
        <f>IFERROR(__xludf.DUMMYFUNCTION("""COMPUTED_VALUE"""),2.0)</f>
        <v>2</v>
      </c>
      <c r="C324" s="16">
        <f>IFERROR(__xludf.DUMMYFUNCTION("""COMPUTED_VALUE"""),20.0)</f>
        <v>20</v>
      </c>
      <c r="D324" s="16"/>
      <c r="E324" s="16" t="str">
        <f>IFERROR(__xludf.DUMMYFUNCTION("""COMPUTED_VALUE"""),"X2 additional damage for the Caster for 3 rounds.")</f>
        <v>X2 additional damage for the Caster for 3 rounds.</v>
      </c>
      <c r="F324" s="16" t="str">
        <f>IFERROR(__xludf.DUMMYFUNCTION("""COMPUTED_VALUE"""),"Will Succeed")</f>
        <v>Will Succeed</v>
      </c>
      <c r="G324" s="16"/>
      <c r="H324" s="16" t="str">
        <f>IFERROR(__xludf.DUMMYFUNCTION("""COMPUTED_VALUE"""),"Physical")</f>
        <v>Physical</v>
      </c>
      <c r="I324" s="16" t="str">
        <f>IFERROR(__xludf.DUMMYFUNCTION("""COMPUTED_VALUE"""),"Player")</f>
        <v>Player</v>
      </c>
      <c r="J324" s="16" t="b">
        <f>IFERROR(__xludf.DUMMYFUNCTION("""COMPUTED_VALUE"""),FALSE)</f>
        <v>0</v>
      </c>
      <c r="K324" s="16"/>
      <c r="L324" s="16" t="b">
        <f>IFERROR(__xludf.DUMMYFUNCTION("""COMPUTED_VALUE"""),FALSE)</f>
        <v>0</v>
      </c>
      <c r="M324" s="16" t="b">
        <f>IFERROR(__xludf.DUMMYFUNCTION("""COMPUTED_VALUE"""),TRUE)</f>
        <v>1</v>
      </c>
      <c r="N324" s="16"/>
    </row>
    <row r="325">
      <c r="A325" s="16" t="str">
        <f>IFERROR(__xludf.DUMMYFUNCTION("""COMPUTED_VALUE"""),"Claws")</f>
        <v>Claws</v>
      </c>
      <c r="B325" s="120">
        <f>IFERROR(__xludf.DUMMYFUNCTION("""COMPUTED_VALUE"""),1.0)</f>
        <v>1</v>
      </c>
      <c r="C325" s="16">
        <f>IFERROR(__xludf.DUMMYFUNCTION("""COMPUTED_VALUE"""),0.0)</f>
        <v>0</v>
      </c>
      <c r="D325" s="16"/>
      <c r="E325" s="16" t="str">
        <f>IFERROR(__xludf.DUMMYFUNCTION("""COMPUTED_VALUE"""),"X*2 damage of your primary element where X is equal to your attack. 50% chance to remove the target from battle.")</f>
        <v>X*2 damage of your primary element where X is equal to your attack. 50% chance to remove the target from battle.</v>
      </c>
      <c r="F325" s="16" t="str">
        <f>IFERROR(__xludf.DUMMYFUNCTION("""COMPUTED_VALUE"""),"Natural/Hit or Miss")</f>
        <v>Natural/Hit or Miss</v>
      </c>
      <c r="G325" s="16">
        <f>IFERROR(__xludf.DUMMYFUNCTION("""COMPUTED_VALUE"""),1.0)</f>
        <v>1</v>
      </c>
      <c r="H325" s="16" t="str">
        <f>IFERROR(__xludf.DUMMYFUNCTION("""COMPUTED_VALUE"""),"Physical")</f>
        <v>Physical</v>
      </c>
      <c r="I325" s="16" t="str">
        <f>IFERROR(__xludf.DUMMYFUNCTION("""COMPUTED_VALUE"""),"Mob")</f>
        <v>Mob</v>
      </c>
      <c r="J325" s="16" t="b">
        <f>IFERROR(__xludf.DUMMYFUNCTION("""COMPUTED_VALUE"""),TRUE)</f>
        <v>1</v>
      </c>
      <c r="K325" s="16"/>
      <c r="L325" s="16" t="b">
        <f>IFERROR(__xludf.DUMMYFUNCTION("""COMPUTED_VALUE"""),FALSE)</f>
        <v>0</v>
      </c>
      <c r="M325" s="16" t="b">
        <f>IFERROR(__xludf.DUMMYFUNCTION("""COMPUTED_VALUE"""),FALSE)</f>
        <v>0</v>
      </c>
      <c r="N325" s="16"/>
    </row>
    <row r="326">
      <c r="A326" s="16" t="str">
        <f>IFERROR(__xludf.DUMMYFUNCTION("""COMPUTED_VALUE"""),"Confiscate")</f>
        <v>Confiscate</v>
      </c>
      <c r="B326" s="120">
        <f>IFERROR(__xludf.DUMMYFUNCTION("""COMPUTED_VALUE"""),1.0)</f>
        <v>1</v>
      </c>
      <c r="C326" s="16">
        <f>IFERROR(__xludf.DUMMYFUNCTION("""COMPUTED_VALUE"""),0.0)</f>
        <v>0</v>
      </c>
      <c r="D326" s="16"/>
      <c r="E326" s="16" t="str">
        <f>IFERROR(__xludf.DUMMYFUNCTION("""COMPUTED_VALUE"""),"Take a target’s item in their equipment slot, loot table or backpack.  The item is the caster's choice. Can only take from 1 target per battle.")</f>
        <v>Take a target’s item in their equipment slot, loot table or backpack.  The item is the caster's choice. Can only take from 1 target per battle.</v>
      </c>
      <c r="F326" s="16" t="str">
        <f>IFERROR(__xludf.DUMMYFUNCTION("""COMPUTED_VALUE"""),"Natural/Fail or Succeed")</f>
        <v>Natural/Fail or Succeed</v>
      </c>
      <c r="G326" s="16">
        <f>IFERROR(__xludf.DUMMYFUNCTION("""COMPUTED_VALUE"""),1.0)</f>
        <v>1</v>
      </c>
      <c r="H326" s="16" t="str">
        <f>IFERROR(__xludf.DUMMYFUNCTION("""COMPUTED_VALUE"""),"Physical")</f>
        <v>Physical</v>
      </c>
      <c r="I326" s="16" t="str">
        <f>IFERROR(__xludf.DUMMYFUNCTION("""COMPUTED_VALUE"""),"Player")</f>
        <v>Player</v>
      </c>
      <c r="J326" s="16" t="b">
        <f>IFERROR(__xludf.DUMMYFUNCTION("""COMPUTED_VALUE"""),FALSE)</f>
        <v>0</v>
      </c>
      <c r="K326" s="16"/>
      <c r="L326" s="16" t="b">
        <f>IFERROR(__xludf.DUMMYFUNCTION("""COMPUTED_VALUE"""),FALSE)</f>
        <v>0</v>
      </c>
      <c r="M326" s="16" t="b">
        <f>IFERROR(__xludf.DUMMYFUNCTION("""COMPUTED_VALUE"""),TRUE)</f>
        <v>1</v>
      </c>
      <c r="N326" s="16"/>
    </row>
    <row r="327">
      <c r="A327" s="16" t="str">
        <f>IFERROR(__xludf.DUMMYFUNCTION("""COMPUTED_VALUE"""),"Confiscate (Enhanced)")</f>
        <v>Confiscate (Enhanced)</v>
      </c>
      <c r="B327" s="120">
        <f>IFERROR(__xludf.DUMMYFUNCTION("""COMPUTED_VALUE"""),1.0)</f>
        <v>1</v>
      </c>
      <c r="C327" s="119">
        <f>IFERROR(__xludf.DUMMYFUNCTION("""COMPUTED_VALUE"""),0.0)</f>
        <v>0</v>
      </c>
      <c r="D327" s="16"/>
      <c r="E327" s="16" t="str">
        <f>IFERROR(__xludf.DUMMYFUNCTION("""COMPUTED_VALUE"""),"Take 2 target’s items in their equipment slot, loot table or backpack.  The item is the caster's choice.")</f>
        <v>Take 2 target’s items in their equipment slot, loot table or backpack.  The item is the caster's choice.</v>
      </c>
      <c r="F327" s="16" t="str">
        <f>IFERROR(__xludf.DUMMYFUNCTION("""COMPUTED_VALUE"""),"Natural/Fail or Succeed")</f>
        <v>Natural/Fail or Succeed</v>
      </c>
      <c r="G327" s="16">
        <f>IFERROR(__xludf.DUMMYFUNCTION("""COMPUTED_VALUE"""),2.0)</f>
        <v>2</v>
      </c>
      <c r="H327" s="16" t="str">
        <f>IFERROR(__xludf.DUMMYFUNCTION("""COMPUTED_VALUE"""),"Physical")</f>
        <v>Physical</v>
      </c>
      <c r="I327" s="16" t="str">
        <f>IFERROR(__xludf.DUMMYFUNCTION("""COMPUTED_VALUE"""),"Mob")</f>
        <v>Mob</v>
      </c>
      <c r="J327" s="16" t="b">
        <f>IFERROR(__xludf.DUMMYFUNCTION("""COMPUTED_VALUE"""),TRUE)</f>
        <v>1</v>
      </c>
      <c r="K327" s="16"/>
      <c r="L327" s="16" t="b">
        <f>IFERROR(__xludf.DUMMYFUNCTION("""COMPUTED_VALUE"""),FALSE)</f>
        <v>0</v>
      </c>
      <c r="M327" s="16" t="b">
        <f>IFERROR(__xludf.DUMMYFUNCTION("""COMPUTED_VALUE"""),FALSE)</f>
        <v>0</v>
      </c>
      <c r="N327" s="16"/>
    </row>
    <row r="328">
      <c r="A328" s="16" t="str">
        <f>IFERROR(__xludf.DUMMYFUNCTION("""COMPUTED_VALUE"""),"Decrease")</f>
        <v>Decrease</v>
      </c>
      <c r="B328" s="120">
        <f>IFERROR(__xludf.DUMMYFUNCTION("""COMPUTED_VALUE"""),7.0)</f>
        <v>7</v>
      </c>
      <c r="C328" s="16">
        <f>IFERROR(__xludf.DUMMYFUNCTION("""COMPUTED_VALUE"""),100.0)</f>
        <v>100</v>
      </c>
      <c r="D328" s="16"/>
      <c r="E328" s="16" t="str">
        <f>IFERROR(__xludf.DUMMYFUNCTION("""COMPUTED_VALUE"""),"Decrease targets attack, defense, and accuracy permanently by 7000.")</f>
        <v>Decrease targets attack, defense, and accuracy permanently by 7000.</v>
      </c>
      <c r="F328" s="16" t="str">
        <f>IFERROR(__xludf.DUMMYFUNCTION("""COMPUTED_VALUE"""),"Fail/succeed")</f>
        <v>Fail/succeed</v>
      </c>
      <c r="G328" s="16"/>
      <c r="H328" s="16" t="str">
        <f>IFERROR(__xludf.DUMMYFUNCTION("""COMPUTED_VALUE"""),"Physical")</f>
        <v>Physical</v>
      </c>
      <c r="I328" s="16" t="str">
        <f>IFERROR(__xludf.DUMMYFUNCTION("""COMPUTED_VALUE"""),"Player")</f>
        <v>Player</v>
      </c>
      <c r="J328" s="16" t="b">
        <f>IFERROR(__xludf.DUMMYFUNCTION("""COMPUTED_VALUE"""),FALSE)</f>
        <v>0</v>
      </c>
      <c r="K328" s="16"/>
      <c r="L328" s="16" t="b">
        <f>IFERROR(__xludf.DUMMYFUNCTION("""COMPUTED_VALUE"""),FALSE)</f>
        <v>0</v>
      </c>
      <c r="M328" s="16" t="b">
        <f>IFERROR(__xludf.DUMMYFUNCTION("""COMPUTED_VALUE"""),TRUE)</f>
        <v>1</v>
      </c>
      <c r="N328" s="16"/>
    </row>
    <row r="329">
      <c r="A329" s="16" t="str">
        <f>IFERROR(__xludf.DUMMYFUNCTION("""COMPUTED_VALUE"""),"Enrage")</f>
        <v>Enrage</v>
      </c>
      <c r="B329" s="120">
        <f>IFERROR(__xludf.DUMMYFUNCTION("""COMPUTED_VALUE"""),1.0)</f>
        <v>1</v>
      </c>
      <c r="C329" s="119">
        <f>IFERROR(__xludf.DUMMYFUNCTION("""COMPUTED_VALUE"""),0.0)</f>
        <v>0</v>
      </c>
      <c r="D329" s="16"/>
      <c r="E329" s="16" t="str">
        <f>IFERROR(__xludf.DUMMYFUNCTION("""COMPUTED_VALUE"""),"Target is forced to attack the enemy this turn. Cannot be used on self.")</f>
        <v>Target is forced to attack the enemy this turn. Cannot be used on self.</v>
      </c>
      <c r="F329" s="16" t="str">
        <f>IFERROR(__xludf.DUMMYFUNCTION("""COMPUTED_VALUE"""),"Natural/Fail or Succeed")</f>
        <v>Natural/Fail or Succeed</v>
      </c>
      <c r="G329" s="16">
        <f>IFERROR(__xludf.DUMMYFUNCTION("""COMPUTED_VALUE"""),1.0)</f>
        <v>1</v>
      </c>
      <c r="H329" s="16" t="str">
        <f>IFERROR(__xludf.DUMMYFUNCTION("""COMPUTED_VALUE"""),"Physical")</f>
        <v>Physical</v>
      </c>
      <c r="I329" s="16" t="str">
        <f>IFERROR(__xludf.DUMMYFUNCTION("""COMPUTED_VALUE"""),"Mob")</f>
        <v>Mob</v>
      </c>
      <c r="J329" s="16" t="b">
        <f>IFERROR(__xludf.DUMMYFUNCTION("""COMPUTED_VALUE"""),TRUE)</f>
        <v>1</v>
      </c>
      <c r="K329" s="16" t="str">
        <f>IFERROR(__xludf.DUMMYFUNCTION("""COMPUTED_VALUE"""),"Mob Power")</f>
        <v>Mob Power</v>
      </c>
      <c r="L329" s="16" t="b">
        <f>IFERROR(__xludf.DUMMYFUNCTION("""COMPUTED_VALUE"""),FALSE)</f>
        <v>0</v>
      </c>
      <c r="M329" s="16" t="b">
        <f>IFERROR(__xludf.DUMMYFUNCTION("""COMPUTED_VALUE"""),FALSE)</f>
        <v>0</v>
      </c>
      <c r="N329" s="16"/>
    </row>
    <row r="330">
      <c r="A330" s="16" t="str">
        <f>IFERROR(__xludf.DUMMYFUNCTION("""COMPUTED_VALUE"""),"Evil touch")</f>
        <v>Evil touch</v>
      </c>
      <c r="B330" s="120">
        <f>IFERROR(__xludf.DUMMYFUNCTION("""COMPUTED_VALUE"""),1.0)</f>
        <v>1</v>
      </c>
      <c r="C330" s="16">
        <f>IFERROR(__xludf.DUMMYFUNCTION("""COMPUTED_VALUE"""),10.0)</f>
        <v>10</v>
      </c>
      <c r="D330" s="16"/>
      <c r="E330" s="16" t="str">
        <f>IFERROR(__xludf.DUMMYFUNCTION("""COMPUTED_VALUE"""),"50% chance of poison 100")</f>
        <v>50% chance of poison 100</v>
      </c>
      <c r="F330" s="16" t="str">
        <f>IFERROR(__xludf.DUMMYFUNCTION("""COMPUTED_VALUE"""),"Will Succeed")</f>
        <v>Will Succeed</v>
      </c>
      <c r="G330" s="16"/>
      <c r="H330" s="16" t="str">
        <f>IFERROR(__xludf.DUMMYFUNCTION("""COMPUTED_VALUE"""),"Physical")</f>
        <v>Physical</v>
      </c>
      <c r="I330" s="16" t="str">
        <f>IFERROR(__xludf.DUMMYFUNCTION("""COMPUTED_VALUE"""),"Player")</f>
        <v>Player</v>
      </c>
      <c r="J330" s="16" t="b">
        <f>IFERROR(__xludf.DUMMYFUNCTION("""COMPUTED_VALUE"""),FALSE)</f>
        <v>0</v>
      </c>
      <c r="K330" s="16"/>
      <c r="L330" s="16" t="b">
        <f>IFERROR(__xludf.DUMMYFUNCTION("""COMPUTED_VALUE"""),FALSE)</f>
        <v>0</v>
      </c>
      <c r="M330" s="16" t="b">
        <f>IFERROR(__xludf.DUMMYFUNCTION("""COMPUTED_VALUE"""),TRUE)</f>
        <v>1</v>
      </c>
      <c r="N330" s="16"/>
    </row>
    <row r="331">
      <c r="A331" s="16" t="str">
        <f>IFERROR(__xludf.DUMMYFUNCTION("""COMPUTED_VALUE"""),"Full Impact")</f>
        <v>Full Impact</v>
      </c>
      <c r="B331" s="120">
        <f>IFERROR(__xludf.DUMMYFUNCTION("""COMPUTED_VALUE"""),1.0)</f>
        <v>1</v>
      </c>
      <c r="C331" s="119">
        <f>IFERROR(__xludf.DUMMYFUNCTION("""COMPUTED_VALUE"""),0.0)</f>
        <v>0</v>
      </c>
      <c r="D331" s="16"/>
      <c r="E331" s="16" t="str">
        <f>IFERROR(__xludf.DUMMYFUNCTION("""COMPUTED_VALUE"""),"Smashes into the targets by using its weight. 10,000 damage to all enemies, 70% chance to deal another 10,000 damage to all enemies, Cannot resist or be immune to.")</f>
        <v>Smashes into the targets by using its weight. 10,000 damage to all enemies, 70% chance to deal another 10,000 damage to all enemies, Cannot resist or be immune to.</v>
      </c>
      <c r="F331" s="16" t="str">
        <f>IFERROR(__xludf.DUMMYFUNCTION("""COMPUTED_VALUE"""),"Natural/Cannot Avoid")</f>
        <v>Natural/Cannot Avoid</v>
      </c>
      <c r="G331" s="16" t="str">
        <f>IFERROR(__xludf.DUMMYFUNCTION("""COMPUTED_VALUE"""),"All")</f>
        <v>All</v>
      </c>
      <c r="H331" s="16" t="str">
        <f>IFERROR(__xludf.DUMMYFUNCTION("""COMPUTED_VALUE"""),"Physical")</f>
        <v>Physical</v>
      </c>
      <c r="I331" s="16" t="str">
        <f>IFERROR(__xludf.DUMMYFUNCTION("""COMPUTED_VALUE"""),"Mob")</f>
        <v>Mob</v>
      </c>
      <c r="J331" s="16" t="b">
        <f>IFERROR(__xludf.DUMMYFUNCTION("""COMPUTED_VALUE"""),TRUE)</f>
        <v>1</v>
      </c>
      <c r="K331" s="16"/>
      <c r="L331" s="16" t="b">
        <f>IFERROR(__xludf.DUMMYFUNCTION("""COMPUTED_VALUE"""),FALSE)</f>
        <v>0</v>
      </c>
      <c r="M331" s="16" t="b">
        <f>IFERROR(__xludf.DUMMYFUNCTION("""COMPUTED_VALUE"""),FALSE)</f>
        <v>0</v>
      </c>
      <c r="N331" s="16"/>
    </row>
    <row r="332">
      <c r="A332" s="16" t="str">
        <f>IFERROR(__xludf.DUMMYFUNCTION("""COMPUTED_VALUE"""),"Guard Call (Player)")</f>
        <v>Guard Call (Player)</v>
      </c>
      <c r="B332" s="120">
        <f>IFERROR(__xludf.DUMMYFUNCTION("""COMPUTED_VALUE"""),1.0)</f>
        <v>1</v>
      </c>
      <c r="C332" s="119">
        <f>IFERROR(__xludf.DUMMYFUNCTION("""COMPUTED_VALUE"""),0.0)</f>
        <v>0</v>
      </c>
      <c r="D332" s="16"/>
      <c r="E332" s="16" t="str">
        <f>IFERROR(__xludf.DUMMYFUNCTION("""COMPUTED_VALUE"""),"Call 1 guard to battle. The guard is 1 rank lower then you. Can only be used once per battle.")</f>
        <v>Call 1 guard to battle. The guard is 1 rank lower then you. Can only be used once per battle.</v>
      </c>
      <c r="F332" s="16" t="str">
        <f>IFERROR(__xludf.DUMMYFUNCTION("""COMPUTED_VALUE"""),"Natural/Fail or Succeed")</f>
        <v>Natural/Fail or Succeed</v>
      </c>
      <c r="G332" s="16" t="str">
        <f>IFERROR(__xludf.DUMMYFUNCTION("""COMPUTED_VALUE"""),"Self")</f>
        <v>Self</v>
      </c>
      <c r="H332" s="16" t="str">
        <f>IFERROR(__xludf.DUMMYFUNCTION("""COMPUTED_VALUE"""),"Physical")</f>
        <v>Physical</v>
      </c>
      <c r="I332" s="16" t="str">
        <f>IFERROR(__xludf.DUMMYFUNCTION("""COMPUTED_VALUE"""),"Player")</f>
        <v>Player</v>
      </c>
      <c r="J332" s="16" t="b">
        <f>IFERROR(__xludf.DUMMYFUNCTION("""COMPUTED_VALUE"""),TRUE)</f>
        <v>1</v>
      </c>
      <c r="K332" s="16" t="str">
        <f>IFERROR(__xludf.DUMMYFUNCTION("""COMPUTED_VALUE"""),"Can only be optained by the Spira Guard ability")</f>
        <v>Can only be optained by the Spira Guard ability</v>
      </c>
      <c r="L332" s="16" t="b">
        <f>IFERROR(__xludf.DUMMYFUNCTION("""COMPUTED_VALUE"""),FALSE)</f>
        <v>0</v>
      </c>
      <c r="M332" s="16" t="b">
        <f>IFERROR(__xludf.DUMMYFUNCTION("""COMPUTED_VALUE"""),FALSE)</f>
        <v>0</v>
      </c>
      <c r="N332" s="16"/>
    </row>
    <row r="333">
      <c r="A333" s="16" t="str">
        <f>IFERROR(__xludf.DUMMYFUNCTION("""COMPUTED_VALUE"""),"Hard Punch")</f>
        <v>Hard Punch</v>
      </c>
      <c r="B333" s="120">
        <f>IFERROR(__xludf.DUMMYFUNCTION("""COMPUTED_VALUE"""),1.0)</f>
        <v>1</v>
      </c>
      <c r="C333" s="16">
        <f>IFERROR(__xludf.DUMMYFUNCTION("""COMPUTED_VALUE"""),10.0)</f>
        <v>10</v>
      </c>
      <c r="D333" s="16"/>
      <c r="E333" s="16" t="str">
        <f>IFERROR(__xludf.DUMMYFUNCTION("""COMPUTED_VALUE"""),"Roll for an attack twice and take the higher number.")</f>
        <v>Roll for an attack twice and take the higher number.</v>
      </c>
      <c r="F333" s="16" t="str">
        <f>IFERROR(__xludf.DUMMYFUNCTION("""COMPUTED_VALUE"""),"Will Succeed")</f>
        <v>Will Succeed</v>
      </c>
      <c r="G333" s="16"/>
      <c r="H333" s="16" t="str">
        <f>IFERROR(__xludf.DUMMYFUNCTION("""COMPUTED_VALUE"""),"Physical")</f>
        <v>Physical</v>
      </c>
      <c r="I333" s="16" t="str">
        <f>IFERROR(__xludf.DUMMYFUNCTION("""COMPUTED_VALUE"""),"Player")</f>
        <v>Player</v>
      </c>
      <c r="J333" s="16" t="b">
        <f>IFERROR(__xludf.DUMMYFUNCTION("""COMPUTED_VALUE"""),FALSE)</f>
        <v>0</v>
      </c>
      <c r="K333" s="16"/>
      <c r="L333" s="16" t="b">
        <f>IFERROR(__xludf.DUMMYFUNCTION("""COMPUTED_VALUE"""),FALSE)</f>
        <v>0</v>
      </c>
      <c r="M333" s="16" t="b">
        <f>IFERROR(__xludf.DUMMYFUNCTION("""COMPUTED_VALUE"""),TRUE)</f>
        <v>1</v>
      </c>
      <c r="N333" s="16"/>
    </row>
    <row r="334">
      <c r="A334" s="16" t="str">
        <f>IFERROR(__xludf.DUMMYFUNCTION("""COMPUTED_VALUE"""),"Heighten Reflexes")</f>
        <v>Heighten Reflexes</v>
      </c>
      <c r="B334" s="120">
        <f>IFERROR(__xludf.DUMMYFUNCTION("""COMPUTED_VALUE"""),3.0)</f>
        <v>3</v>
      </c>
      <c r="C334" s="16">
        <f>IFERROR(__xludf.DUMMYFUNCTION("""COMPUTED_VALUE"""),30.0)</f>
        <v>30</v>
      </c>
      <c r="D334" s="16"/>
      <c r="E334" s="16" t="str">
        <f>IFERROR(__xludf.DUMMYFUNCTION("""COMPUTED_VALUE"""),"Double your own evasion until the end of your next turn.")</f>
        <v>Double your own evasion until the end of your next turn.</v>
      </c>
      <c r="F334" s="16" t="str">
        <f>IFERROR(__xludf.DUMMYFUNCTION("""COMPUTED_VALUE"""),"Will Succeed")</f>
        <v>Will Succeed</v>
      </c>
      <c r="G334" s="16"/>
      <c r="H334" s="16" t="str">
        <f>IFERROR(__xludf.DUMMYFUNCTION("""COMPUTED_VALUE"""),"Physical")</f>
        <v>Physical</v>
      </c>
      <c r="I334" s="16" t="str">
        <f>IFERROR(__xludf.DUMMYFUNCTION("""COMPUTED_VALUE"""),"Player")</f>
        <v>Player</v>
      </c>
      <c r="J334" s="16" t="b">
        <f>IFERROR(__xludf.DUMMYFUNCTION("""COMPUTED_VALUE"""),FALSE)</f>
        <v>0</v>
      </c>
      <c r="K334" s="16"/>
      <c r="L334" s="16" t="b">
        <f>IFERROR(__xludf.DUMMYFUNCTION("""COMPUTED_VALUE"""),FALSE)</f>
        <v>0</v>
      </c>
      <c r="M334" s="16" t="b">
        <f>IFERROR(__xludf.DUMMYFUNCTION("""COMPUTED_VALUE"""),TRUE)</f>
        <v>1</v>
      </c>
      <c r="N334" s="16"/>
    </row>
    <row r="335">
      <c r="A335" s="16" t="str">
        <f>IFERROR(__xludf.DUMMYFUNCTION("""COMPUTED_VALUE"""),"Honk")</f>
        <v>Honk</v>
      </c>
      <c r="B335" s="120">
        <f>IFERROR(__xludf.DUMMYFUNCTION("""COMPUTED_VALUE"""),1.0)</f>
        <v>1</v>
      </c>
      <c r="C335" s="119">
        <f>IFERROR(__xludf.DUMMYFUNCTION("""COMPUTED_VALUE"""),0.0)</f>
        <v>0</v>
      </c>
      <c r="D335" s="16"/>
      <c r="E335" s="16" t="str">
        <f>IFERROR(__xludf.DUMMYFUNCTION("""COMPUTED_VALUE"""),"Reduces target's defense by half and stuns them for 3 rounds")</f>
        <v>Reduces target's defense by half and stuns them for 3 rounds</v>
      </c>
      <c r="F335" s="16" t="str">
        <f>IFERROR(__xludf.DUMMYFUNCTION("""COMPUTED_VALUE"""),"Natural/Fail Or Succeed")</f>
        <v>Natural/Fail Or Succeed</v>
      </c>
      <c r="G335" s="16">
        <f>IFERROR(__xludf.DUMMYFUNCTION("""COMPUTED_VALUE"""),1.0)</f>
        <v>1</v>
      </c>
      <c r="H335" s="16" t="str">
        <f>IFERROR(__xludf.DUMMYFUNCTION("""COMPUTED_VALUE"""),"Physical")</f>
        <v>Physical</v>
      </c>
      <c r="I335" s="16" t="str">
        <f>IFERROR(__xludf.DUMMYFUNCTION("""COMPUTED_VALUE"""),"Mob")</f>
        <v>Mob</v>
      </c>
      <c r="J335" s="16" t="b">
        <f>IFERROR(__xludf.DUMMYFUNCTION("""COMPUTED_VALUE"""),TRUE)</f>
        <v>1</v>
      </c>
      <c r="K335" s="16"/>
      <c r="L335" s="16" t="b">
        <f>IFERROR(__xludf.DUMMYFUNCTION("""COMPUTED_VALUE"""),FALSE)</f>
        <v>0</v>
      </c>
      <c r="M335" s="16" t="b">
        <f>IFERROR(__xludf.DUMMYFUNCTION("""COMPUTED_VALUE"""),FALSE)</f>
        <v>0</v>
      </c>
      <c r="N335" s="16"/>
    </row>
    <row r="336">
      <c r="A336" s="16" t="str">
        <f>IFERROR(__xludf.DUMMYFUNCTION("""COMPUTED_VALUE"""),"Horns")</f>
        <v>Horns</v>
      </c>
      <c r="B336" s="120">
        <f>IFERROR(__xludf.DUMMYFUNCTION("""COMPUTED_VALUE"""),1.0)</f>
        <v>1</v>
      </c>
      <c r="C336" s="16">
        <f>IFERROR(__xludf.DUMMYFUNCTION("""COMPUTED_VALUE"""),0.0)</f>
        <v>0</v>
      </c>
      <c r="D336" s="16"/>
      <c r="E336" s="16" t="str">
        <f>IFERROR(__xludf.DUMMYFUNCTION("""COMPUTED_VALUE"""),"10,000 damage to 2 targets. Add mobility to your roll.")</f>
        <v>10,000 damage to 2 targets. Add mobility to your roll.</v>
      </c>
      <c r="F336" s="16" t="str">
        <f>IFERROR(__xludf.DUMMYFUNCTION("""COMPUTED_VALUE"""),"Natural/Hit or Miss")</f>
        <v>Natural/Hit or Miss</v>
      </c>
      <c r="G336" s="16">
        <f>IFERROR(__xludf.DUMMYFUNCTION("""COMPUTED_VALUE"""),2.0)</f>
        <v>2</v>
      </c>
      <c r="H336" s="16" t="str">
        <f>IFERROR(__xludf.DUMMYFUNCTION("""COMPUTED_VALUE"""),"Physical")</f>
        <v>Physical</v>
      </c>
      <c r="I336" s="16" t="str">
        <f>IFERROR(__xludf.DUMMYFUNCTION("""COMPUTED_VALUE"""),"Mob")</f>
        <v>Mob</v>
      </c>
      <c r="J336" s="16" t="b">
        <f>IFERROR(__xludf.DUMMYFUNCTION("""COMPUTED_VALUE"""),TRUE)</f>
        <v>1</v>
      </c>
      <c r="K336" s="16"/>
      <c r="L336" s="16" t="b">
        <f>IFERROR(__xludf.DUMMYFUNCTION("""COMPUTED_VALUE"""),FALSE)</f>
        <v>0</v>
      </c>
      <c r="M336" s="16" t="b">
        <f>IFERROR(__xludf.DUMMYFUNCTION("""COMPUTED_VALUE"""),FALSE)</f>
        <v>0</v>
      </c>
      <c r="N336" s="16"/>
    </row>
    <row r="337">
      <c r="A337" s="16" t="str">
        <f>IFERROR(__xludf.DUMMYFUNCTION("""COMPUTED_VALUE"""),"Increase")</f>
        <v>Increase</v>
      </c>
      <c r="B337" s="120">
        <f>IFERROR(__xludf.DUMMYFUNCTION("""COMPUTED_VALUE"""),5.0)</f>
        <v>5</v>
      </c>
      <c r="C337" s="16">
        <f>IFERROR(__xludf.DUMMYFUNCTION("""COMPUTED_VALUE"""),50.0)</f>
        <v>50</v>
      </c>
      <c r="D337" s="16"/>
      <c r="E337" s="16" t="str">
        <f>IFERROR(__xludf.DUMMYFUNCTION("""COMPUTED_VALUE"""),"X4 additional damage for the Caster for 3 rounds.")</f>
        <v>X4 additional damage for the Caster for 3 rounds.</v>
      </c>
      <c r="F337" s="16" t="str">
        <f>IFERROR(__xludf.DUMMYFUNCTION("""COMPUTED_VALUE"""),"Will Succeed")</f>
        <v>Will Succeed</v>
      </c>
      <c r="G337" s="16"/>
      <c r="H337" s="16" t="str">
        <f>IFERROR(__xludf.DUMMYFUNCTION("""COMPUTED_VALUE"""),"Physical")</f>
        <v>Physical</v>
      </c>
      <c r="I337" s="16" t="str">
        <f>IFERROR(__xludf.DUMMYFUNCTION("""COMPUTED_VALUE"""),"Player")</f>
        <v>Player</v>
      </c>
      <c r="J337" s="16" t="b">
        <f>IFERROR(__xludf.DUMMYFUNCTION("""COMPUTED_VALUE"""),FALSE)</f>
        <v>0</v>
      </c>
      <c r="K337" s="16"/>
      <c r="L337" s="16" t="b">
        <f>IFERROR(__xludf.DUMMYFUNCTION("""COMPUTED_VALUE"""),FALSE)</f>
        <v>0</v>
      </c>
      <c r="M337" s="16" t="b">
        <f>IFERROR(__xludf.DUMMYFUNCTION("""COMPUTED_VALUE"""),TRUE)</f>
        <v>1</v>
      </c>
      <c r="N337" s="16"/>
    </row>
    <row r="338">
      <c r="A338" s="16" t="str">
        <f>IFERROR(__xludf.DUMMYFUNCTION("""COMPUTED_VALUE"""),"Ink Shot ")</f>
        <v>Ink Shot </v>
      </c>
      <c r="B338" s="120">
        <f>IFERROR(__xludf.DUMMYFUNCTION("""COMPUTED_VALUE"""),1.0)</f>
        <v>1</v>
      </c>
      <c r="C338" s="119">
        <f>IFERROR(__xludf.DUMMYFUNCTION("""COMPUTED_VALUE"""),0.0)</f>
        <v>0</v>
      </c>
      <c r="D338" s="16"/>
      <c r="E338" s="16" t="str">
        <f>IFERROR(__xludf.DUMMYFUNCTION("""COMPUTED_VALUE"""),"Blindness 6")</f>
        <v>Blindness 6</v>
      </c>
      <c r="F338" s="16" t="str">
        <f>IFERROR(__xludf.DUMMYFUNCTION("""COMPUTED_VALUE"""),"Hit/Miss")</f>
        <v>Hit/Miss</v>
      </c>
      <c r="G338" s="16">
        <f>IFERROR(__xludf.DUMMYFUNCTION("""COMPUTED_VALUE"""),1.0)</f>
        <v>1</v>
      </c>
      <c r="H338" s="16" t="str">
        <f>IFERROR(__xludf.DUMMYFUNCTION("""COMPUTED_VALUE"""),"Physical")</f>
        <v>Physical</v>
      </c>
      <c r="I338" s="16" t="str">
        <f>IFERROR(__xludf.DUMMYFUNCTION("""COMPUTED_VALUE"""),"Mob")</f>
        <v>Mob</v>
      </c>
      <c r="J338" s="16" t="b">
        <f>IFERROR(__xludf.DUMMYFUNCTION("""COMPUTED_VALUE"""),TRUE)</f>
        <v>1</v>
      </c>
      <c r="K338" s="16"/>
      <c r="L338" s="16" t="b">
        <f>IFERROR(__xludf.DUMMYFUNCTION("""COMPUTED_VALUE"""),FALSE)</f>
        <v>0</v>
      </c>
      <c r="M338" s="16" t="b">
        <f>IFERROR(__xludf.DUMMYFUNCTION("""COMPUTED_VALUE"""),FALSE)</f>
        <v>0</v>
      </c>
      <c r="N338" s="16"/>
    </row>
    <row r="339">
      <c r="A339" s="16" t="str">
        <f>IFERROR(__xludf.DUMMYFUNCTION("""COMPUTED_VALUE"""),"Kraken Smarts")</f>
        <v>Kraken Smarts</v>
      </c>
      <c r="B339" s="120">
        <f>IFERROR(__xludf.DUMMYFUNCTION("""COMPUTED_VALUE"""),1.0)</f>
        <v>1</v>
      </c>
      <c r="C339" s="16">
        <f>IFERROR(__xludf.DUMMYFUNCTION("""COMPUTED_VALUE"""),0.0)</f>
        <v>0</v>
      </c>
      <c r="D339" s="16"/>
      <c r="E339" s="16" t="str">
        <f>IFERROR(__xludf.DUMMYFUNCTION("""COMPUTED_VALUE"""),"doubles accuracy, defense and attack.")</f>
        <v>doubles accuracy, defense and attack.</v>
      </c>
      <c r="F339" s="16" t="str">
        <f>IFERROR(__xludf.DUMMYFUNCTION("""COMPUTED_VALUE"""),"Natural/Will Succeed")</f>
        <v>Natural/Will Succeed</v>
      </c>
      <c r="G339" s="16" t="str">
        <f>IFERROR(__xludf.DUMMYFUNCTION("""COMPUTED_VALUE"""),"Self")</f>
        <v>Self</v>
      </c>
      <c r="H339" s="16" t="str">
        <f>IFERROR(__xludf.DUMMYFUNCTION("""COMPUTED_VALUE"""),"Physical")</f>
        <v>Physical</v>
      </c>
      <c r="I339" s="16" t="str">
        <f>IFERROR(__xludf.DUMMYFUNCTION("""COMPUTED_VALUE"""),"Mob")</f>
        <v>Mob</v>
      </c>
      <c r="J339" s="16" t="b">
        <f>IFERROR(__xludf.DUMMYFUNCTION("""COMPUTED_VALUE"""),TRUE)</f>
        <v>1</v>
      </c>
      <c r="K339" s="16"/>
      <c r="L339" s="16" t="b">
        <f>IFERROR(__xludf.DUMMYFUNCTION("""COMPUTED_VALUE"""),FALSE)</f>
        <v>0</v>
      </c>
      <c r="M339" s="16" t="b">
        <f>IFERROR(__xludf.DUMMYFUNCTION("""COMPUTED_VALUE"""),FALSE)</f>
        <v>0</v>
      </c>
      <c r="N339" s="16"/>
    </row>
    <row r="340">
      <c r="A340" s="16" t="str">
        <f>IFERROR(__xludf.DUMMYFUNCTION("""COMPUTED_VALUE"""),"Krakens Roar")</f>
        <v>Krakens Roar</v>
      </c>
      <c r="B340" s="120">
        <f>IFERROR(__xludf.DUMMYFUNCTION("""COMPUTED_VALUE"""),1.0)</f>
        <v>1</v>
      </c>
      <c r="C340" s="16">
        <f>IFERROR(__xludf.DUMMYFUNCTION("""COMPUTED_VALUE"""),0.0)</f>
        <v>0</v>
      </c>
      <c r="D340" s="16"/>
      <c r="E340" s="16" t="str">
        <f>IFERROR(__xludf.DUMMYFUNCTION("""COMPUTED_VALUE"""),"Stun 3 to all enemies.")</f>
        <v>Stun 3 to all enemies.</v>
      </c>
      <c r="F340" s="16" t="str">
        <f>IFERROR(__xludf.DUMMYFUNCTION("""COMPUTED_VALUE"""),"Natural/Fail Or Succeed")</f>
        <v>Natural/Fail Or Succeed</v>
      </c>
      <c r="G340" s="16" t="str">
        <f>IFERROR(__xludf.DUMMYFUNCTION("""COMPUTED_VALUE"""),"All")</f>
        <v>All</v>
      </c>
      <c r="H340" s="16" t="str">
        <f>IFERROR(__xludf.DUMMYFUNCTION("""COMPUTED_VALUE"""),"Physical")</f>
        <v>Physical</v>
      </c>
      <c r="I340" s="16" t="str">
        <f>IFERROR(__xludf.DUMMYFUNCTION("""COMPUTED_VALUE"""),"Mob")</f>
        <v>Mob</v>
      </c>
      <c r="J340" s="16" t="b">
        <f>IFERROR(__xludf.DUMMYFUNCTION("""COMPUTED_VALUE"""),TRUE)</f>
        <v>1</v>
      </c>
      <c r="K340" s="16"/>
      <c r="L340" s="16" t="b">
        <f>IFERROR(__xludf.DUMMYFUNCTION("""COMPUTED_VALUE"""),FALSE)</f>
        <v>0</v>
      </c>
      <c r="M340" s="16" t="b">
        <f>IFERROR(__xludf.DUMMYFUNCTION("""COMPUTED_VALUE"""),FALSE)</f>
        <v>0</v>
      </c>
      <c r="N340" s="16"/>
    </row>
    <row r="341">
      <c r="A341" s="16" t="str">
        <f>IFERROR(__xludf.DUMMYFUNCTION("""COMPUTED_VALUE"""),"Krakoken")</f>
        <v>Krakoken</v>
      </c>
      <c r="B341" s="120">
        <f>IFERROR(__xludf.DUMMYFUNCTION("""COMPUTED_VALUE"""),1.0)</f>
        <v>1</v>
      </c>
      <c r="C341" s="119">
        <f>IFERROR(__xludf.DUMMYFUNCTION("""COMPUTED_VALUE"""),0.0)</f>
        <v>0</v>
      </c>
      <c r="D341" s="16"/>
      <c r="E341" s="16" t="str">
        <f>IFERROR(__xludf.DUMMYFUNCTION("""COMPUTED_VALUE"""),"X8 attack, defense, and accuracy.")</f>
        <v>X8 attack, defense, and accuracy.</v>
      </c>
      <c r="F341" s="16" t="str">
        <f>IFERROR(__xludf.DUMMYFUNCTION("""COMPUTED_VALUE"""),"Natural/Will Succeed")</f>
        <v>Natural/Will Succeed</v>
      </c>
      <c r="G341" s="16" t="str">
        <f>IFERROR(__xludf.DUMMYFUNCTION("""COMPUTED_VALUE"""),"Self")</f>
        <v>Self</v>
      </c>
      <c r="H341" s="16" t="str">
        <f>IFERROR(__xludf.DUMMYFUNCTION("""COMPUTED_VALUE"""),"Physical")</f>
        <v>Physical</v>
      </c>
      <c r="I341" s="16" t="str">
        <f>IFERROR(__xludf.DUMMYFUNCTION("""COMPUTED_VALUE"""),"Mob")</f>
        <v>Mob</v>
      </c>
      <c r="J341" s="16" t="b">
        <f>IFERROR(__xludf.DUMMYFUNCTION("""COMPUTED_VALUE"""),TRUE)</f>
        <v>1</v>
      </c>
      <c r="K341" s="16"/>
      <c r="L341" s="16" t="b">
        <f>IFERROR(__xludf.DUMMYFUNCTION("""COMPUTED_VALUE"""),FALSE)</f>
        <v>0</v>
      </c>
      <c r="M341" s="16" t="b">
        <f>IFERROR(__xludf.DUMMYFUNCTION("""COMPUTED_VALUE"""),FALSE)</f>
        <v>0</v>
      </c>
      <c r="N341" s="16"/>
    </row>
    <row r="342">
      <c r="A342" s="16" t="str">
        <f>IFERROR(__xludf.DUMMYFUNCTION("""COMPUTED_VALUE"""),"Latch on")</f>
        <v>Latch on</v>
      </c>
      <c r="B342" s="120">
        <f>IFERROR(__xludf.DUMMYFUNCTION("""COMPUTED_VALUE"""),1.0)</f>
        <v>1</v>
      </c>
      <c r="C342" s="119">
        <f>IFERROR(__xludf.DUMMYFUNCTION("""COMPUTED_VALUE"""),0.0)</f>
        <v>0</v>
      </c>
      <c r="D342" s="16"/>
      <c r="E342" s="16" t="str">
        <f>IFERROR(__xludf.DUMMYFUNCTION("""COMPUTED_VALUE"""),"the target is grappled, target must attack this enemy only. They cannot flee from battle.")</f>
        <v>the target is grappled, target must attack this enemy only. They cannot flee from battle.</v>
      </c>
      <c r="F342" s="16" t="str">
        <f>IFERROR(__xludf.DUMMYFUNCTION("""COMPUTED_VALUE"""),"Natural/Hit or Miss")</f>
        <v>Natural/Hit or Miss</v>
      </c>
      <c r="G342" s="16">
        <f>IFERROR(__xludf.DUMMYFUNCTION("""COMPUTED_VALUE"""),1.0)</f>
        <v>1</v>
      </c>
      <c r="H342" s="16" t="str">
        <f>IFERROR(__xludf.DUMMYFUNCTION("""COMPUTED_VALUE"""),"Physical")</f>
        <v>Physical</v>
      </c>
      <c r="I342" s="16" t="str">
        <f>IFERROR(__xludf.DUMMYFUNCTION("""COMPUTED_VALUE"""),"Mob")</f>
        <v>Mob</v>
      </c>
      <c r="J342" s="16" t="b">
        <f>IFERROR(__xludf.DUMMYFUNCTION("""COMPUTED_VALUE"""),TRUE)</f>
        <v>1</v>
      </c>
      <c r="K342" s="16"/>
      <c r="L342" s="16" t="b">
        <f>IFERROR(__xludf.DUMMYFUNCTION("""COMPUTED_VALUE"""),FALSE)</f>
        <v>0</v>
      </c>
      <c r="M342" s="16" t="b">
        <f>IFERROR(__xludf.DUMMYFUNCTION("""COMPUTED_VALUE"""),FALSE)</f>
        <v>0</v>
      </c>
      <c r="N342" s="16"/>
    </row>
    <row r="343">
      <c r="A343" s="16" t="str">
        <f>IFERROR(__xludf.DUMMYFUNCTION("""COMPUTED_VALUE"""),"Lunge")</f>
        <v>Lunge</v>
      </c>
      <c r="B343" s="120">
        <f>IFERROR(__xludf.DUMMYFUNCTION("""COMPUTED_VALUE"""),1.0)</f>
        <v>1</v>
      </c>
      <c r="C343" s="119">
        <f>IFERROR(__xludf.DUMMYFUNCTION("""COMPUTED_VALUE"""),0.0)</f>
        <v>0</v>
      </c>
      <c r="D343" s="16"/>
      <c r="E343" s="16" t="str">
        <f>IFERROR(__xludf.DUMMYFUNCTION("""COMPUTED_VALUE"""),"Evade the next incoming Hit or Miss attack without fail.")</f>
        <v>Evade the next incoming Hit or Miss attack without fail.</v>
      </c>
      <c r="F343" s="16" t="str">
        <f>IFERROR(__xludf.DUMMYFUNCTION("""COMPUTED_VALUE"""),"Natural/Fail Or Succeed")</f>
        <v>Natural/Fail Or Succeed</v>
      </c>
      <c r="G343" s="16"/>
      <c r="H343" s="16" t="str">
        <f>IFERROR(__xludf.DUMMYFUNCTION("""COMPUTED_VALUE"""),"Physical")</f>
        <v>Physical</v>
      </c>
      <c r="I343" s="16" t="str">
        <f>IFERROR(__xludf.DUMMYFUNCTION("""COMPUTED_VALUE"""),"Mob")</f>
        <v>Mob</v>
      </c>
      <c r="J343" s="16" t="b">
        <f>IFERROR(__xludf.DUMMYFUNCTION("""COMPUTED_VALUE"""),TRUE)</f>
        <v>1</v>
      </c>
      <c r="K343" s="16"/>
      <c r="L343" s="16" t="b">
        <f>IFERROR(__xludf.DUMMYFUNCTION("""COMPUTED_VALUE"""),FALSE)</f>
        <v>0</v>
      </c>
      <c r="M343" s="16" t="b">
        <f>IFERROR(__xludf.DUMMYFUNCTION("""COMPUTED_VALUE"""),FALSE)</f>
        <v>0</v>
      </c>
      <c r="N343" s="16"/>
    </row>
    <row r="344">
      <c r="A344" s="16" t="str">
        <f>IFERROR(__xludf.DUMMYFUNCTION("""COMPUTED_VALUE"""),"Meditate")</f>
        <v>Meditate</v>
      </c>
      <c r="B344" s="120">
        <f>IFERROR(__xludf.DUMMYFUNCTION("""COMPUTED_VALUE"""),6.0)</f>
        <v>6</v>
      </c>
      <c r="C344" s="16" t="str">
        <f>IFERROR(__xludf.DUMMYFUNCTION("""COMPUTED_VALUE"""),"X")</f>
        <v>X</v>
      </c>
      <c r="D344" s="16"/>
      <c r="E344" s="16" t="str">
        <f>IFERROR(__xludf.DUMMYFUNCTION("""COMPUTED_VALUE"""),"Regain X*100 HP")</f>
        <v>Regain X*100 HP</v>
      </c>
      <c r="F344" s="16" t="str">
        <f>IFERROR(__xludf.DUMMYFUNCTION("""COMPUTED_VALUE"""),"Will succeed")</f>
        <v>Will succeed</v>
      </c>
      <c r="G344" s="16"/>
      <c r="H344" s="16" t="str">
        <f>IFERROR(__xludf.DUMMYFUNCTION("""COMPUTED_VALUE"""),"Physical")</f>
        <v>Physical</v>
      </c>
      <c r="I344" s="16" t="str">
        <f>IFERROR(__xludf.DUMMYFUNCTION("""COMPUTED_VALUE"""),"Player")</f>
        <v>Player</v>
      </c>
      <c r="J344" s="16" t="b">
        <f>IFERROR(__xludf.DUMMYFUNCTION("""COMPUTED_VALUE"""),FALSE)</f>
        <v>0</v>
      </c>
      <c r="K344" s="16"/>
      <c r="L344" s="16" t="b">
        <f>IFERROR(__xludf.DUMMYFUNCTION("""COMPUTED_VALUE"""),FALSE)</f>
        <v>0</v>
      </c>
      <c r="M344" s="16" t="b">
        <f>IFERROR(__xludf.DUMMYFUNCTION("""COMPUTED_VALUE"""),TRUE)</f>
        <v>1</v>
      </c>
      <c r="N344" s="16"/>
    </row>
    <row r="345">
      <c r="A345" s="16" t="str">
        <f>IFERROR(__xludf.DUMMYFUNCTION("""COMPUTED_VALUE"""),"Pay Back")</f>
        <v>Pay Back</v>
      </c>
      <c r="B345" s="120">
        <f>IFERROR(__xludf.DUMMYFUNCTION("""COMPUTED_VALUE"""),9.0)</f>
        <v>9</v>
      </c>
      <c r="C345" s="119">
        <f>IFERROR(__xludf.DUMMYFUNCTION("""COMPUTED_VALUE"""),300.0)</f>
        <v>300</v>
      </c>
      <c r="D345" s="16"/>
      <c r="E345" s="16" t="str">
        <f>IFERROR(__xludf.DUMMYFUNCTION("""COMPUTED_VALUE"""),"Choose an item in your backpack or equipment slot and equip it to a target's valid equipment slot. If their equipment slot is occupied replace their current item with the item you are equipping to them.")</f>
        <v>Choose an item in your backpack or equipment slot and equip it to a target's valid equipment slot. If their equipment slot is occupied replace their current item with the item you are equipping to them.</v>
      </c>
      <c r="F345" s="16" t="str">
        <f>IFERROR(__xludf.DUMMYFUNCTION("""COMPUTED_VALUE"""),"Fail/Succeed")</f>
        <v>Fail/Succeed</v>
      </c>
      <c r="G345" s="16">
        <f>IFERROR(__xludf.DUMMYFUNCTION("""COMPUTED_VALUE"""),1.0)</f>
        <v>1</v>
      </c>
      <c r="H345" s="16" t="str">
        <f>IFERROR(__xludf.DUMMYFUNCTION("""COMPUTED_VALUE"""),"Physical")</f>
        <v>Physical</v>
      </c>
      <c r="I345" s="16" t="str">
        <f>IFERROR(__xludf.DUMMYFUNCTION("""COMPUTED_VALUE"""),"Player")</f>
        <v>Player</v>
      </c>
      <c r="J345" s="16" t="b">
        <f>IFERROR(__xludf.DUMMYFUNCTION("""COMPUTED_VALUE"""),FALSE)</f>
        <v>0</v>
      </c>
      <c r="K345" s="16"/>
      <c r="L345" s="16" t="b">
        <f>IFERROR(__xludf.DUMMYFUNCTION("""COMPUTED_VALUE"""),FALSE)</f>
        <v>0</v>
      </c>
      <c r="M345" s="16" t="b">
        <f>IFERROR(__xludf.DUMMYFUNCTION("""COMPUTED_VALUE"""),FALSE)</f>
        <v>0</v>
      </c>
      <c r="N345" s="16"/>
    </row>
    <row r="346">
      <c r="A346" s="16" t="str">
        <f>IFERROR(__xludf.DUMMYFUNCTION("""COMPUTED_VALUE"""),"Power Increase")</f>
        <v>Power Increase</v>
      </c>
      <c r="B346" s="120">
        <f>IFERROR(__xludf.DUMMYFUNCTION("""COMPUTED_VALUE"""),9.0)</f>
        <v>9</v>
      </c>
      <c r="C346" s="16">
        <f>IFERROR(__xludf.DUMMYFUNCTION("""COMPUTED_VALUE"""),300.0)</f>
        <v>300</v>
      </c>
      <c r="D346" s="16"/>
      <c r="E346" s="16" t="str">
        <f>IFERROR(__xludf.DUMMYFUNCTION("""COMPUTED_VALUE"""),"Gain 20000 attack and accuracy for 3 rounds.")</f>
        <v>Gain 20000 attack and accuracy for 3 rounds.</v>
      </c>
      <c r="F346" s="16" t="str">
        <f>IFERROR(__xludf.DUMMYFUNCTION("""COMPUTED_VALUE"""),"Will Succeed")</f>
        <v>Will Succeed</v>
      </c>
      <c r="G346" s="16"/>
      <c r="H346" s="16" t="str">
        <f>IFERROR(__xludf.DUMMYFUNCTION("""COMPUTED_VALUE"""),"Physical")</f>
        <v>Physical</v>
      </c>
      <c r="I346" s="16" t="str">
        <f>IFERROR(__xludf.DUMMYFUNCTION("""COMPUTED_VALUE"""),"Player")</f>
        <v>Player</v>
      </c>
      <c r="J346" s="16" t="b">
        <f>IFERROR(__xludf.DUMMYFUNCTION("""COMPUTED_VALUE"""),FALSE)</f>
        <v>0</v>
      </c>
      <c r="K346" s="16"/>
      <c r="L346" s="16" t="b">
        <f>IFERROR(__xludf.DUMMYFUNCTION("""COMPUTED_VALUE"""),FALSE)</f>
        <v>0</v>
      </c>
      <c r="M346" s="16" t="b">
        <f>IFERROR(__xludf.DUMMYFUNCTION("""COMPUTED_VALUE"""),TRUE)</f>
        <v>1</v>
      </c>
      <c r="N346" s="16"/>
    </row>
    <row r="347">
      <c r="A347" s="16" t="str">
        <f>IFERROR(__xludf.DUMMYFUNCTION("""COMPUTED_VALUE"""),"Punch")</f>
        <v>Punch</v>
      </c>
      <c r="B347" s="120">
        <f>IFERROR(__xludf.DUMMYFUNCTION("""COMPUTED_VALUE"""),1.0)</f>
        <v>1</v>
      </c>
      <c r="C347" s="16">
        <f>IFERROR(__xludf.DUMMYFUNCTION("""COMPUTED_VALUE"""),0.0)</f>
        <v>0</v>
      </c>
      <c r="D347" s="16"/>
      <c r="E347" s="16" t="str">
        <f>IFERROR(__xludf.DUMMYFUNCTION("""COMPUTED_VALUE"""),"X*2 Damage of your primary element Where X is equal to your attack.")</f>
        <v>X*2 Damage of your primary element Where X is equal to your attack.</v>
      </c>
      <c r="F347" s="16" t="str">
        <f>IFERROR(__xludf.DUMMYFUNCTION("""COMPUTED_VALUE"""),"Natural/Hit or Miss")</f>
        <v>Natural/Hit or Miss</v>
      </c>
      <c r="G347" s="16">
        <f>IFERROR(__xludf.DUMMYFUNCTION("""COMPUTED_VALUE"""),1.0)</f>
        <v>1</v>
      </c>
      <c r="H347" s="16" t="str">
        <f>IFERROR(__xludf.DUMMYFUNCTION("""COMPUTED_VALUE"""),"Physical")</f>
        <v>Physical</v>
      </c>
      <c r="I347" s="16" t="str">
        <f>IFERROR(__xludf.DUMMYFUNCTION("""COMPUTED_VALUE"""),"Player")</f>
        <v>Player</v>
      </c>
      <c r="J347" s="16" t="b">
        <f>IFERROR(__xludf.DUMMYFUNCTION("""COMPUTED_VALUE"""),FALSE)</f>
        <v>0</v>
      </c>
      <c r="K347" s="16"/>
      <c r="L347" s="16" t="b">
        <f>IFERROR(__xludf.DUMMYFUNCTION("""COMPUTED_VALUE"""),FALSE)</f>
        <v>0</v>
      </c>
      <c r="M347" s="16" t="b">
        <f>IFERROR(__xludf.DUMMYFUNCTION("""COMPUTED_VALUE"""),FALSE)</f>
        <v>0</v>
      </c>
      <c r="N347" s="16"/>
    </row>
    <row r="348">
      <c r="A348" s="16" t="str">
        <f>IFERROR(__xludf.DUMMYFUNCTION("""COMPUTED_VALUE"""),"Shark Bite")</f>
        <v>Shark Bite</v>
      </c>
      <c r="B348" s="120">
        <f>IFERROR(__xludf.DUMMYFUNCTION("""COMPUTED_VALUE"""),1.0)</f>
        <v>1</v>
      </c>
      <c r="C348" s="119">
        <f>IFERROR(__xludf.DUMMYFUNCTION("""COMPUTED_VALUE"""),0.0)</f>
        <v>0</v>
      </c>
      <c r="D348" s="16"/>
      <c r="E348" s="16" t="str">
        <f>IFERROR(__xludf.DUMMYFUNCTION("""COMPUTED_VALUE"""),"1500 damage +1000 bleeding damage p/r for 3 rounds.")</f>
        <v>1500 damage +1000 bleeding damage p/r for 3 rounds.</v>
      </c>
      <c r="F348" s="16" t="str">
        <f>IFERROR(__xludf.DUMMYFUNCTION("""COMPUTED_VALUE"""),"Natural/ Hit Or Miss")</f>
        <v>Natural/ Hit Or Miss</v>
      </c>
      <c r="G348" s="16">
        <f>IFERROR(__xludf.DUMMYFUNCTION("""COMPUTED_VALUE"""),1.0)</f>
        <v>1</v>
      </c>
      <c r="H348" s="16" t="str">
        <f>IFERROR(__xludf.DUMMYFUNCTION("""COMPUTED_VALUE"""),"Physical")</f>
        <v>Physical</v>
      </c>
      <c r="I348" s="16" t="str">
        <f>IFERROR(__xludf.DUMMYFUNCTION("""COMPUTED_VALUE"""),"Mob")</f>
        <v>Mob</v>
      </c>
      <c r="J348" s="16" t="b">
        <f>IFERROR(__xludf.DUMMYFUNCTION("""COMPUTED_VALUE"""),TRUE)</f>
        <v>1</v>
      </c>
      <c r="K348" s="16"/>
      <c r="L348" s="16" t="b">
        <f>IFERROR(__xludf.DUMMYFUNCTION("""COMPUTED_VALUE"""),FALSE)</f>
        <v>0</v>
      </c>
      <c r="M348" s="16" t="b">
        <f>IFERROR(__xludf.DUMMYFUNCTION("""COMPUTED_VALUE"""),FALSE)</f>
        <v>0</v>
      </c>
      <c r="N348" s="16"/>
    </row>
    <row r="349">
      <c r="A349" s="16" t="str">
        <f>IFERROR(__xludf.DUMMYFUNCTION("""COMPUTED_VALUE"""),"Stinger ")</f>
        <v>Stinger </v>
      </c>
      <c r="B349" s="120">
        <f>IFERROR(__xludf.DUMMYFUNCTION("""COMPUTED_VALUE"""),1.0)</f>
        <v>1</v>
      </c>
      <c r="C349" s="119">
        <f>IFERROR(__xludf.DUMMYFUNCTION("""COMPUTED_VALUE"""),0.0)</f>
        <v>0</v>
      </c>
      <c r="D349" s="16"/>
      <c r="E349" s="16" t="str">
        <f>IFERROR(__xludf.DUMMYFUNCTION("""COMPUTED_VALUE"""),"Stun 3")</f>
        <v>Stun 3</v>
      </c>
      <c r="F349" s="16" t="str">
        <f>IFERROR(__xludf.DUMMYFUNCTION("""COMPUTED_VALUE"""),"Natural/Hit or Miss.")</f>
        <v>Natural/Hit or Miss.</v>
      </c>
      <c r="G349" s="16">
        <f>IFERROR(__xludf.DUMMYFUNCTION("""COMPUTED_VALUE"""),1.0)</f>
        <v>1</v>
      </c>
      <c r="H349" s="16" t="str">
        <f>IFERROR(__xludf.DUMMYFUNCTION("""COMPUTED_VALUE"""),"Physical")</f>
        <v>Physical</v>
      </c>
      <c r="I349" s="16" t="str">
        <f>IFERROR(__xludf.DUMMYFUNCTION("""COMPUTED_VALUE"""),"Mob")</f>
        <v>Mob</v>
      </c>
      <c r="J349" s="16" t="b">
        <f>IFERROR(__xludf.DUMMYFUNCTION("""COMPUTED_VALUE"""),TRUE)</f>
        <v>1</v>
      </c>
      <c r="K349" s="16"/>
      <c r="L349" s="16" t="b">
        <f>IFERROR(__xludf.DUMMYFUNCTION("""COMPUTED_VALUE"""),FALSE)</f>
        <v>0</v>
      </c>
      <c r="M349" s="16" t="b">
        <f>IFERROR(__xludf.DUMMYFUNCTION("""COMPUTED_VALUE"""),FALSE)</f>
        <v>0</v>
      </c>
      <c r="N349" s="16"/>
    </row>
    <row r="350">
      <c r="A350" s="16" t="str">
        <f>IFERROR(__xludf.DUMMYFUNCTION("""COMPUTED_VALUE"""),"Stinger (Bee)")</f>
        <v>Stinger (Bee)</v>
      </c>
      <c r="B350" s="120">
        <f>IFERROR(__xludf.DUMMYFUNCTION("""COMPUTED_VALUE"""),1.0)</f>
        <v>1</v>
      </c>
      <c r="C350" s="119">
        <f>IFERROR(__xludf.DUMMYFUNCTION("""COMPUTED_VALUE"""),0.0)</f>
        <v>0</v>
      </c>
      <c r="D350" s="16"/>
      <c r="E350" s="16" t="str">
        <f>IFERROR(__xludf.DUMMYFUNCTION("""COMPUTED_VALUE"""),"X*4 damage where X is equal to attack, poison 100")</f>
        <v>X*4 damage where X is equal to attack, poison 100</v>
      </c>
      <c r="F350" s="16" t="str">
        <f>IFERROR(__xludf.DUMMYFUNCTION("""COMPUTED_VALUE"""),"Natural/Hit Or Miss")</f>
        <v>Natural/Hit Or Miss</v>
      </c>
      <c r="G350" s="16">
        <f>IFERROR(__xludf.DUMMYFUNCTION("""COMPUTED_VALUE"""),1.0)</f>
        <v>1</v>
      </c>
      <c r="H350" s="16" t="str">
        <f>IFERROR(__xludf.DUMMYFUNCTION("""COMPUTED_VALUE"""),"Physical")</f>
        <v>Physical</v>
      </c>
      <c r="I350" s="16" t="str">
        <f>IFERROR(__xludf.DUMMYFUNCTION("""COMPUTED_VALUE"""),"Mob")</f>
        <v>Mob</v>
      </c>
      <c r="J350" s="16" t="b">
        <f>IFERROR(__xludf.DUMMYFUNCTION("""COMPUTED_VALUE"""),TRUE)</f>
        <v>1</v>
      </c>
      <c r="K350" s="16"/>
      <c r="L350" s="16" t="b">
        <f>IFERROR(__xludf.DUMMYFUNCTION("""COMPUTED_VALUE"""),FALSE)</f>
        <v>0</v>
      </c>
      <c r="M350" s="16" t="b">
        <f>IFERROR(__xludf.DUMMYFUNCTION("""COMPUTED_VALUE"""),FALSE)</f>
        <v>0</v>
      </c>
      <c r="N350" s="16"/>
    </row>
    <row r="351">
      <c r="A351" s="16" t="str">
        <f>IFERROR(__xludf.DUMMYFUNCTION("""COMPUTED_VALUE"""),"Strangle")</f>
        <v>Strangle</v>
      </c>
      <c r="B351" s="120">
        <f>IFERROR(__xludf.DUMMYFUNCTION("""COMPUTED_VALUE"""),1.0)</f>
        <v>1</v>
      </c>
      <c r="C351" s="119">
        <f>IFERROR(__xludf.DUMMYFUNCTION("""COMPUTED_VALUE"""),0.0)</f>
        <v>0</v>
      </c>
      <c r="D351" s="16"/>
      <c r="E351" s="16" t="str">
        <f>IFERROR(__xludf.DUMMYFUNCTION("""COMPUTED_VALUE"""),"Grabs all enemies, targets are unable to perform there turn order for 3 rounds")</f>
        <v>Grabs all enemies, targets are unable to perform there turn order for 3 rounds</v>
      </c>
      <c r="F351" s="16" t="str">
        <f>IFERROR(__xludf.DUMMYFUNCTION("""COMPUTED_VALUE"""),"Natural/Hit or Miss")</f>
        <v>Natural/Hit or Miss</v>
      </c>
      <c r="G351" s="16" t="str">
        <f>IFERROR(__xludf.DUMMYFUNCTION("""COMPUTED_VALUE"""),"All")</f>
        <v>All</v>
      </c>
      <c r="H351" s="16" t="str">
        <f>IFERROR(__xludf.DUMMYFUNCTION("""COMPUTED_VALUE"""),"Physical")</f>
        <v>Physical</v>
      </c>
      <c r="I351" s="16" t="str">
        <f>IFERROR(__xludf.DUMMYFUNCTION("""COMPUTED_VALUE"""),"Mob")</f>
        <v>Mob</v>
      </c>
      <c r="J351" s="16" t="b">
        <f>IFERROR(__xludf.DUMMYFUNCTION("""COMPUTED_VALUE"""),TRUE)</f>
        <v>1</v>
      </c>
      <c r="K351" s="16"/>
      <c r="L351" s="16" t="b">
        <f>IFERROR(__xludf.DUMMYFUNCTION("""COMPUTED_VALUE"""),FALSE)</f>
        <v>0</v>
      </c>
      <c r="M351" s="16" t="b">
        <f>IFERROR(__xludf.DUMMYFUNCTION("""COMPUTED_VALUE"""),FALSE)</f>
        <v>0</v>
      </c>
      <c r="N351" s="16"/>
    </row>
    <row r="352">
      <c r="A352" s="16" t="str">
        <f>IFERROR(__xludf.DUMMYFUNCTION("""COMPUTED_VALUE"""),"Swarm")</f>
        <v>Swarm</v>
      </c>
      <c r="B352" s="120">
        <f>IFERROR(__xludf.DUMMYFUNCTION("""COMPUTED_VALUE"""),1.0)</f>
        <v>1</v>
      </c>
      <c r="C352" s="119">
        <f>IFERROR(__xludf.DUMMYFUNCTION("""COMPUTED_VALUE"""),0.0)</f>
        <v>0</v>
      </c>
      <c r="D352" s="16"/>
      <c r="E352" s="16" t="str">
        <f>IFERROR(__xludf.DUMMYFUNCTION("""COMPUTED_VALUE"""),"Self and each ally in the party can deal X Undefendable damage to 1 target, where X is equal to the users attack.")</f>
        <v>Self and each ally in the party can deal X Undefendable damage to 1 target, where X is equal to the users attack.</v>
      </c>
      <c r="F352" s="16" t="str">
        <f>IFERROR(__xludf.DUMMYFUNCTION("""COMPUTED_VALUE"""),"Natural/Fail Or Succeed")</f>
        <v>Natural/Fail Or Succeed</v>
      </c>
      <c r="G352" s="16">
        <f>IFERROR(__xludf.DUMMYFUNCTION("""COMPUTED_VALUE"""),1.0)</f>
        <v>1</v>
      </c>
      <c r="H352" s="16" t="str">
        <f>IFERROR(__xludf.DUMMYFUNCTION("""COMPUTED_VALUE"""),"Physical")</f>
        <v>Physical</v>
      </c>
      <c r="I352" s="16" t="str">
        <f>IFERROR(__xludf.DUMMYFUNCTION("""COMPUTED_VALUE"""),"Mob")</f>
        <v>Mob</v>
      </c>
      <c r="J352" s="16" t="b">
        <f>IFERROR(__xludf.DUMMYFUNCTION("""COMPUTED_VALUE"""),TRUE)</f>
        <v>1</v>
      </c>
      <c r="K352" s="16"/>
      <c r="L352" s="16" t="b">
        <f>IFERROR(__xludf.DUMMYFUNCTION("""COMPUTED_VALUE"""),FALSE)</f>
        <v>0</v>
      </c>
      <c r="M352" s="16" t="b">
        <f>IFERROR(__xludf.DUMMYFUNCTION("""COMPUTED_VALUE"""),FALSE)</f>
        <v>0</v>
      </c>
      <c r="N352" s="16"/>
    </row>
    <row r="353">
      <c r="A353" s="16" t="str">
        <f>IFERROR(__xludf.DUMMYFUNCTION("""COMPUTED_VALUE"""),"Tail Smash")</f>
        <v>Tail Smash</v>
      </c>
      <c r="B353" s="120">
        <f>IFERROR(__xludf.DUMMYFUNCTION("""COMPUTED_VALUE"""),1.0)</f>
        <v>1</v>
      </c>
      <c r="C353" s="119">
        <f>IFERROR(__xludf.DUMMYFUNCTION("""COMPUTED_VALUE"""),0.0)</f>
        <v>0</v>
      </c>
      <c r="D353" s="16"/>
      <c r="E353" s="16" t="str">
        <f>IFERROR(__xludf.DUMMYFUNCTION("""COMPUTED_VALUE"""),"10,000 damage to one target, 50% chance to deal another 10,000 damage to another target.")</f>
        <v>10,000 damage to one target, 50% chance to deal another 10,000 damage to another target.</v>
      </c>
      <c r="F353" s="16" t="str">
        <f>IFERROR(__xludf.DUMMYFUNCTION("""COMPUTED_VALUE"""),"Natural/Hit or Miss.")</f>
        <v>Natural/Hit or Miss.</v>
      </c>
      <c r="G353" s="16" t="str">
        <f>IFERROR(__xludf.DUMMYFUNCTION("""COMPUTED_VALUE"""),"1 or 2")</f>
        <v>1 or 2</v>
      </c>
      <c r="H353" s="16" t="str">
        <f>IFERROR(__xludf.DUMMYFUNCTION("""COMPUTED_VALUE"""),"Physical")</f>
        <v>Physical</v>
      </c>
      <c r="I353" s="16" t="str">
        <f>IFERROR(__xludf.DUMMYFUNCTION("""COMPUTED_VALUE"""),"Mob")</f>
        <v>Mob</v>
      </c>
      <c r="J353" s="16" t="b">
        <f>IFERROR(__xludf.DUMMYFUNCTION("""COMPUTED_VALUE"""),TRUE)</f>
        <v>1</v>
      </c>
      <c r="K353" s="16"/>
      <c r="L353" s="16" t="b">
        <f>IFERROR(__xludf.DUMMYFUNCTION("""COMPUTED_VALUE"""),FALSE)</f>
        <v>0</v>
      </c>
      <c r="M353" s="16" t="b">
        <f>IFERROR(__xludf.DUMMYFUNCTION("""COMPUTED_VALUE"""),FALSE)</f>
        <v>0</v>
      </c>
      <c r="N353" s="16"/>
    </row>
    <row r="354">
      <c r="A354" s="16" t="str">
        <f>IFERROR(__xludf.DUMMYFUNCTION("""COMPUTED_VALUE"""),"Take")</f>
        <v>Take</v>
      </c>
      <c r="B354" s="120">
        <f>IFERROR(__xludf.DUMMYFUNCTION("""COMPUTED_VALUE"""),1.0)</f>
        <v>1</v>
      </c>
      <c r="C354" s="16">
        <f>IFERROR(__xludf.DUMMYFUNCTION("""COMPUTED_VALUE"""),0.0)</f>
        <v>0</v>
      </c>
      <c r="D354" s="16"/>
      <c r="E354" s="16" t="str">
        <f>IFERROR(__xludf.DUMMYFUNCTION("""COMPUTED_VALUE"""),"Takes a target’s item in their equipment slot. The slot is the caster's choice. Can only take from 1 target per battle.")</f>
        <v>Takes a target’s item in their equipment slot. The slot is the caster's choice. Can only take from 1 target per battle.</v>
      </c>
      <c r="F354" s="16" t="str">
        <f>IFERROR(__xludf.DUMMYFUNCTION("""COMPUTED_VALUE"""),"Natural/Fail or Succeed")</f>
        <v>Natural/Fail or Succeed</v>
      </c>
      <c r="G354" s="16">
        <f>IFERROR(__xludf.DUMMYFUNCTION("""COMPUTED_VALUE"""),1.0)</f>
        <v>1</v>
      </c>
      <c r="H354" s="16" t="str">
        <f>IFERROR(__xludf.DUMMYFUNCTION("""COMPUTED_VALUE"""),"Physical")</f>
        <v>Physical</v>
      </c>
      <c r="I354" s="16" t="str">
        <f>IFERROR(__xludf.DUMMYFUNCTION("""COMPUTED_VALUE"""),"Player")</f>
        <v>Player</v>
      </c>
      <c r="J354" s="16" t="b">
        <f>IFERROR(__xludf.DUMMYFUNCTION("""COMPUTED_VALUE"""),FALSE)</f>
        <v>0</v>
      </c>
      <c r="K354" s="16"/>
      <c r="L354" s="16" t="b">
        <f>IFERROR(__xludf.DUMMYFUNCTION("""COMPUTED_VALUE"""),FALSE)</f>
        <v>0</v>
      </c>
      <c r="M354" s="16" t="b">
        <f>IFERROR(__xludf.DUMMYFUNCTION("""COMPUTED_VALUE"""),TRUE)</f>
        <v>1</v>
      </c>
      <c r="N354" s="16"/>
    </row>
    <row r="355">
      <c r="A355" s="16" t="str">
        <f>IFERROR(__xludf.DUMMYFUNCTION("""COMPUTED_VALUE"""),"Tentacle Wack ")</f>
        <v>Tentacle Wack </v>
      </c>
      <c r="B355" s="120">
        <f>IFERROR(__xludf.DUMMYFUNCTION("""COMPUTED_VALUE"""),1.0)</f>
        <v>1</v>
      </c>
      <c r="C355" s="119">
        <f>IFERROR(__xludf.DUMMYFUNCTION("""COMPUTED_VALUE"""),0.0)</f>
        <v>0</v>
      </c>
      <c r="D355" s="16"/>
      <c r="E355" s="16" t="str">
        <f>IFERROR(__xludf.DUMMYFUNCTION("""COMPUTED_VALUE"""),"The damage of this attack is equal to the users attack bonus.")</f>
        <v>The damage of this attack is equal to the users attack bonus.</v>
      </c>
      <c r="F355" s="16" t="str">
        <f>IFERROR(__xludf.DUMMYFUNCTION("""COMPUTED_VALUE"""),"Hit/Miss")</f>
        <v>Hit/Miss</v>
      </c>
      <c r="G355" s="16">
        <f>IFERROR(__xludf.DUMMYFUNCTION("""COMPUTED_VALUE"""),2.0)</f>
        <v>2</v>
      </c>
      <c r="H355" s="16" t="str">
        <f>IFERROR(__xludf.DUMMYFUNCTION("""COMPUTED_VALUE"""),"Physical")</f>
        <v>Physical</v>
      </c>
      <c r="I355" s="16" t="str">
        <f>IFERROR(__xludf.DUMMYFUNCTION("""COMPUTED_VALUE"""),"Mob")</f>
        <v>Mob</v>
      </c>
      <c r="J355" s="16" t="b">
        <f>IFERROR(__xludf.DUMMYFUNCTION("""COMPUTED_VALUE"""),TRUE)</f>
        <v>1</v>
      </c>
      <c r="K355" s="16"/>
      <c r="L355" s="16" t="b">
        <f>IFERROR(__xludf.DUMMYFUNCTION("""COMPUTED_VALUE"""),FALSE)</f>
        <v>0</v>
      </c>
      <c r="M355" s="16" t="b">
        <f>IFERROR(__xludf.DUMMYFUNCTION("""COMPUTED_VALUE"""),FALSE)</f>
        <v>0</v>
      </c>
      <c r="N355" s="16"/>
    </row>
    <row r="356">
      <c r="A356" s="16" t="str">
        <f>IFERROR(__xludf.DUMMYFUNCTION("""COMPUTED_VALUE"""),"Tower Of Balance I")</f>
        <v>Tower Of Balance I</v>
      </c>
      <c r="B356" s="120">
        <f>IFERROR(__xludf.DUMMYFUNCTION("""COMPUTED_VALUE"""),8.0)</f>
        <v>8</v>
      </c>
      <c r="C356" s="16">
        <f>IFERROR(__xludf.DUMMYFUNCTION("""COMPUTED_VALUE"""),200.0)</f>
        <v>200</v>
      </c>
      <c r="D356" s="16"/>
      <c r="E356" s="16" t="str">
        <f>IFERROR(__xludf.DUMMYFUNCTION("""COMPUTED_VALUE"""),"Forms a tower that rises from beneath the ground that shoots multiple beams of physical energy that multiplys the casters weapon damage by 4.")</f>
        <v>Forms a tower that rises from beneath the ground that shoots multiple beams of physical energy that multiplys the casters weapon damage by 4.</v>
      </c>
      <c r="F356" s="16" t="str">
        <f>IFERROR(__xludf.DUMMYFUNCTION("""COMPUTED_VALUE"""),"Fail/Succeed")</f>
        <v>Fail/Succeed</v>
      </c>
      <c r="G356" s="16"/>
      <c r="H356" s="16" t="str">
        <f>IFERROR(__xludf.DUMMYFUNCTION("""COMPUTED_VALUE"""),"Physical")</f>
        <v>Physical</v>
      </c>
      <c r="I356" s="16" t="str">
        <f>IFERROR(__xludf.DUMMYFUNCTION("""COMPUTED_VALUE"""),"Player")</f>
        <v>Player</v>
      </c>
      <c r="J356" s="16" t="b">
        <f>IFERROR(__xludf.DUMMYFUNCTION("""COMPUTED_VALUE"""),FALSE)</f>
        <v>0</v>
      </c>
      <c r="K356" s="16"/>
      <c r="L356" s="16" t="b">
        <f>IFERROR(__xludf.DUMMYFUNCTION("""COMPUTED_VALUE"""),FALSE)</f>
        <v>0</v>
      </c>
      <c r="M356" s="16" t="b">
        <f>IFERROR(__xludf.DUMMYFUNCTION("""COMPUTED_VALUE"""),TRUE)</f>
        <v>1</v>
      </c>
      <c r="N356" s="16"/>
    </row>
    <row r="357">
      <c r="A357" s="16" t="str">
        <f>IFERROR(__xludf.DUMMYFUNCTION("""COMPUTED_VALUE"""),"Werewolf Bite")</f>
        <v>Werewolf Bite</v>
      </c>
      <c r="B357" s="120">
        <f>IFERROR(__xludf.DUMMYFUNCTION("""COMPUTED_VALUE"""),1.0)</f>
        <v>1</v>
      </c>
      <c r="C357" s="119">
        <f>IFERROR(__xludf.DUMMYFUNCTION("""COMPUTED_VALUE"""),0.0)</f>
        <v>0</v>
      </c>
      <c r="D357" s="16"/>
      <c r="E357" s="16" t="str">
        <f>IFERROR(__xludf.DUMMYFUNCTION("""COMPUTED_VALUE"""),"1000 damage, 50% chance to turn the bit player into a werewolf.")</f>
        <v>1000 damage, 50% chance to turn the bit player into a werewolf.</v>
      </c>
      <c r="F357" s="16" t="str">
        <f>IFERROR(__xludf.DUMMYFUNCTION("""COMPUTED_VALUE"""),"Hit/Miss")</f>
        <v>Hit/Miss</v>
      </c>
      <c r="G357" s="16">
        <f>IFERROR(__xludf.DUMMYFUNCTION("""COMPUTED_VALUE"""),1.0)</f>
        <v>1</v>
      </c>
      <c r="H357" s="16" t="str">
        <f>IFERROR(__xludf.DUMMYFUNCTION("""COMPUTED_VALUE"""),"Physical")</f>
        <v>Physical</v>
      </c>
      <c r="I357" s="16" t="str">
        <f>IFERROR(__xludf.DUMMYFUNCTION("""COMPUTED_VALUE"""),"Mob")</f>
        <v>Mob</v>
      </c>
      <c r="J357" s="16" t="b">
        <f>IFERROR(__xludf.DUMMYFUNCTION("""COMPUTED_VALUE"""),TRUE)</f>
        <v>1</v>
      </c>
      <c r="K357" s="16"/>
      <c r="L357" s="16" t="b">
        <f>IFERROR(__xludf.DUMMYFUNCTION("""COMPUTED_VALUE"""),FALSE)</f>
        <v>0</v>
      </c>
      <c r="M357" s="16" t="b">
        <f>IFERROR(__xludf.DUMMYFUNCTION("""COMPUTED_VALUE"""),FALSE)</f>
        <v>0</v>
      </c>
      <c r="N357" s="16"/>
    </row>
    <row r="358">
      <c r="A358" s="16" t="str">
        <f>IFERROR(__xludf.DUMMYFUNCTION("""COMPUTED_VALUE"""),"Reckless Chomp ")</f>
        <v>Reckless Chomp </v>
      </c>
      <c r="B358" s="120">
        <f>IFERROR(__xludf.DUMMYFUNCTION("""COMPUTED_VALUE"""),1.0)</f>
        <v>1</v>
      </c>
      <c r="C358" s="119">
        <f>IFERROR(__xludf.DUMMYFUNCTION("""COMPUTED_VALUE"""),0.0)</f>
        <v>0</v>
      </c>
      <c r="D358" s="16"/>
      <c r="E358" s="16" t="str">
        <f>IFERROR(__xludf.DUMMYFUNCTION("""COMPUTED_VALUE"""),"10,000 damage to all enemies, 50% chance to deal another 20,000 to all enemies.")</f>
        <v>10,000 damage to all enemies, 50% chance to deal another 20,000 to all enemies.</v>
      </c>
      <c r="F358" s="16" t="str">
        <f>IFERROR(__xludf.DUMMYFUNCTION("""COMPUTED_VALUE"""),"Natural/Cannot Avoid")</f>
        <v>Natural/Cannot Avoid</v>
      </c>
      <c r="G358" s="16" t="str">
        <f>IFERROR(__xludf.DUMMYFUNCTION("""COMPUTED_VALUE"""),"All")</f>
        <v>All</v>
      </c>
      <c r="H358" s="16" t="str">
        <f>IFERROR(__xludf.DUMMYFUNCTION("""COMPUTED_VALUE"""),"Physical")</f>
        <v>Physical</v>
      </c>
      <c r="I358" s="16" t="str">
        <f>IFERROR(__xludf.DUMMYFUNCTION("""COMPUTED_VALUE"""),"Mob")</f>
        <v>Mob</v>
      </c>
      <c r="J358" s="16" t="b">
        <f>IFERROR(__xludf.DUMMYFUNCTION("""COMPUTED_VALUE"""),TRUE)</f>
        <v>1</v>
      </c>
      <c r="K358" s="16"/>
      <c r="L358" s="16" t="b">
        <f>IFERROR(__xludf.DUMMYFUNCTION("""COMPUTED_VALUE"""),FALSE)</f>
        <v>0</v>
      </c>
      <c r="M358" s="16" t="b">
        <f>IFERROR(__xludf.DUMMYFUNCTION("""COMPUTED_VALUE"""),FALSE)</f>
        <v>0</v>
      </c>
      <c r="N358" s="16"/>
    </row>
    <row r="359">
      <c r="A359" s="16" t="str">
        <f>IFERROR(__xludf.DUMMYFUNCTION("""COMPUTED_VALUE"""),"Guard Call (Mob)")</f>
        <v>Guard Call (Mob)</v>
      </c>
      <c r="B359" s="120">
        <f>IFERROR(__xludf.DUMMYFUNCTION("""COMPUTED_VALUE"""),1.0)</f>
        <v>1</v>
      </c>
      <c r="C359" s="16">
        <f>IFERROR(__xludf.DUMMYFUNCTION("""COMPUTED_VALUE"""),0.0)</f>
        <v>0</v>
      </c>
      <c r="D359" s="16"/>
      <c r="E359" s="16" t="str">
        <f>IFERROR(__xludf.DUMMYFUNCTION("""COMPUTED_VALUE"""),"Call a d4 of guards to battle. Roll a d3 for the type of guard.")</f>
        <v>Call a d4 of guards to battle. Roll a d3 for the type of guard.</v>
      </c>
      <c r="F359" s="16" t="str">
        <f>IFERROR(__xludf.DUMMYFUNCTION("""COMPUTED_VALUE"""),"Natural/Fail or Succeed")</f>
        <v>Natural/Fail or Succeed</v>
      </c>
      <c r="G359" s="16" t="str">
        <f>IFERROR(__xludf.DUMMYFUNCTION("""COMPUTED_VALUE"""),"Self")</f>
        <v>Self</v>
      </c>
      <c r="H359" s="16" t="str">
        <f>IFERROR(__xludf.DUMMYFUNCTION("""COMPUTED_VALUE"""),"Physical")</f>
        <v>Physical</v>
      </c>
      <c r="I359" s="16" t="str">
        <f>IFERROR(__xludf.DUMMYFUNCTION("""COMPUTED_VALUE"""),"Mob")</f>
        <v>Mob</v>
      </c>
      <c r="J359" s="16" t="b">
        <f>IFERROR(__xludf.DUMMYFUNCTION("""COMPUTED_VALUE"""),TRUE)</f>
        <v>1</v>
      </c>
      <c r="K359" s="16" t="str">
        <f>IFERROR(__xludf.DUMMYFUNCTION("""COMPUTED_VALUE"""),"Cannot be obtained by players.")</f>
        <v>Cannot be obtained by players.</v>
      </c>
      <c r="L359" s="16" t="b">
        <f>IFERROR(__xludf.DUMMYFUNCTION("""COMPUTED_VALUE"""),FALSE)</f>
        <v>0</v>
      </c>
      <c r="M359" s="16" t="b">
        <f>IFERROR(__xludf.DUMMYFUNCTION("""COMPUTED_VALUE"""),FALSE)</f>
        <v>0</v>
      </c>
      <c r="N359" s="16"/>
    </row>
    <row r="360">
      <c r="A360" s="16" t="str">
        <f>IFERROR(__xludf.DUMMYFUNCTION("""COMPUTED_VALUE"""),"Arrest II")</f>
        <v>Arrest II</v>
      </c>
      <c r="B360" s="120">
        <f>IFERROR(__xludf.DUMMYFUNCTION("""COMPUTED_VALUE"""),1.0)</f>
        <v>1</v>
      </c>
      <c r="C360" s="16">
        <f>IFERROR(__xludf.DUMMYFUNCTION("""COMPUTED_VALUE"""),0.0)</f>
        <v>0</v>
      </c>
      <c r="D360" s="16"/>
      <c r="E360" s="16" t="str">
        <f>IFERROR(__xludf.DUMMYFUNCTION("""COMPUTED_VALUE"""),"Arrest up to 2 players or npc's Using your mobility bonus, roll a d2 to determine the amount, they cannot perform their turn order while arrested and they are removed from the battle. ")</f>
        <v>Arrest up to 2 players or npc's Using your mobility bonus, roll a d2 to determine the amount, they cannot perform their turn order while arrested and they are removed from the battle. </v>
      </c>
      <c r="F360" s="16" t="str">
        <f>IFERROR(__xludf.DUMMYFUNCTION("""COMPUTED_VALUE"""),"Natural/Hit or Miss")</f>
        <v>Natural/Hit or Miss</v>
      </c>
      <c r="G360" s="16" t="str">
        <f>IFERROR(__xludf.DUMMYFUNCTION("""COMPUTED_VALUE"""),"1 or 2")</f>
        <v>1 or 2</v>
      </c>
      <c r="H360" s="16" t="str">
        <f>IFERROR(__xludf.DUMMYFUNCTION("""COMPUTED_VALUE"""),"Physical")</f>
        <v>Physical</v>
      </c>
      <c r="I360" s="16" t="str">
        <f>IFERROR(__xludf.DUMMYFUNCTION("""COMPUTED_VALUE"""),"Mob")</f>
        <v>Mob</v>
      </c>
      <c r="J360" s="16" t="b">
        <f>IFERROR(__xludf.DUMMYFUNCTION("""COMPUTED_VALUE"""),TRUE)</f>
        <v>1</v>
      </c>
      <c r="K360" s="16" t="str">
        <f>IFERROR(__xludf.DUMMYFUNCTION("""COMPUTED_VALUE"""),"Mob Power")</f>
        <v>Mob Power</v>
      </c>
      <c r="L360" s="16" t="b">
        <f>IFERROR(__xludf.DUMMYFUNCTION("""COMPUTED_VALUE"""),FALSE)</f>
        <v>0</v>
      </c>
      <c r="M360" s="16" t="b">
        <f>IFERROR(__xludf.DUMMYFUNCTION("""COMPUTED_VALUE"""),FALSE)</f>
        <v>0</v>
      </c>
      <c r="N360" s="16" t="str">
        <f>IFERROR(__xludf.DUMMYFUNCTION("""COMPUTED_VALUE"""),"Abstara")</f>
        <v>Abstara</v>
      </c>
    </row>
    <row r="361">
      <c r="A361" s="16" t="str">
        <f>IFERROR(__xludf.DUMMYFUNCTION("""COMPUTED_VALUE"""),"Hit and Run")</f>
        <v>Hit and Run</v>
      </c>
      <c r="B361" s="120">
        <f>IFERROR(__xludf.DUMMYFUNCTION("""COMPUTED_VALUE"""),1.0)</f>
        <v>1</v>
      </c>
      <c r="C361" s="119">
        <f>IFERROR(__xludf.DUMMYFUNCTION("""COMPUTED_VALUE"""),0.0)</f>
        <v>0</v>
      </c>
      <c r="D361" s="16"/>
      <c r="E361" s="16" t="str">
        <f>IFERROR(__xludf.DUMMYFUNCTION("""COMPUTED_VALUE"""),"Ram or drive over a target. X damage, X= Vehicles attack stat.")</f>
        <v>Ram or drive over a target. X damage, X= Vehicles attack stat.</v>
      </c>
      <c r="F361" s="16" t="str">
        <f>IFERROR(__xludf.DUMMYFUNCTION("""COMPUTED_VALUE"""),"Natural/Hit or Miss")</f>
        <v>Natural/Hit or Miss</v>
      </c>
      <c r="G361" s="16">
        <f>IFERROR(__xludf.DUMMYFUNCTION("""COMPUTED_VALUE"""),1.0)</f>
        <v>1</v>
      </c>
      <c r="H361" s="16" t="str">
        <f>IFERROR(__xludf.DUMMYFUNCTION("""COMPUTED_VALUE"""),"Physical")</f>
        <v>Physical</v>
      </c>
      <c r="I361" s="16" t="str">
        <f>IFERROR(__xludf.DUMMYFUNCTION("""COMPUTED_VALUE"""),"Mob")</f>
        <v>Mob</v>
      </c>
      <c r="J361" s="16" t="b">
        <f>IFERROR(__xludf.DUMMYFUNCTION("""COMPUTED_VALUE"""),TRUE)</f>
        <v>1</v>
      </c>
      <c r="K361" s="16" t="str">
        <f>IFERROR(__xludf.DUMMYFUNCTION("""COMPUTED_VALUE"""),"Vehicle Power")</f>
        <v>Vehicle Power</v>
      </c>
      <c r="L361" s="16" t="b">
        <f>IFERROR(__xludf.DUMMYFUNCTION("""COMPUTED_VALUE"""),FALSE)</f>
        <v>0</v>
      </c>
      <c r="M361" s="16" t="b">
        <f>IFERROR(__xludf.DUMMYFUNCTION("""COMPUTED_VALUE"""),FALSE)</f>
        <v>0</v>
      </c>
      <c r="N361" s="16"/>
    </row>
    <row r="362">
      <c r="A362" s="16" t="str">
        <f>IFERROR(__xludf.DUMMYFUNCTION("""COMPUTED_VALUE"""),"Radar")</f>
        <v>Radar</v>
      </c>
      <c r="B362" s="120">
        <f>IFERROR(__xludf.DUMMYFUNCTION("""COMPUTED_VALUE"""),1.0)</f>
        <v>1</v>
      </c>
      <c r="C362" s="119">
        <f>IFERROR(__xludf.DUMMYFUNCTION("""COMPUTED_VALUE"""),0.0)</f>
        <v>0</v>
      </c>
      <c r="D362" s="16"/>
      <c r="E362" s="16" t="str">
        <f>IFERROR(__xludf.DUMMYFUNCTION("""COMPUTED_VALUE"""),"Allows you to see hidden vehicles above the ocean or on land.")</f>
        <v>Allows you to see hidden vehicles above the ocean or on land.</v>
      </c>
      <c r="F362" s="16" t="str">
        <f>IFERROR(__xludf.DUMMYFUNCTION("""COMPUTED_VALUE"""),"Natural/Fail or Succeed")</f>
        <v>Natural/Fail or Succeed</v>
      </c>
      <c r="G362" s="16" t="str">
        <f>IFERROR(__xludf.DUMMYFUNCTION("""COMPUTED_VALUE"""),"Self")</f>
        <v>Self</v>
      </c>
      <c r="H362" s="16" t="str">
        <f>IFERROR(__xludf.DUMMYFUNCTION("""COMPUTED_VALUE"""),"Physical")</f>
        <v>Physical</v>
      </c>
      <c r="I362" s="16" t="str">
        <f>IFERROR(__xludf.DUMMYFUNCTION("""COMPUTED_VALUE"""),"Mob")</f>
        <v>Mob</v>
      </c>
      <c r="J362" s="16" t="b">
        <f>IFERROR(__xludf.DUMMYFUNCTION("""COMPUTED_VALUE"""),TRUE)</f>
        <v>1</v>
      </c>
      <c r="K362" s="16" t="str">
        <f>IFERROR(__xludf.DUMMYFUNCTION("""COMPUTED_VALUE"""),"Vehicle Power")</f>
        <v>Vehicle Power</v>
      </c>
      <c r="L362" s="16" t="b">
        <f>IFERROR(__xludf.DUMMYFUNCTION("""COMPUTED_VALUE"""),FALSE)</f>
        <v>0</v>
      </c>
      <c r="M362" s="16" t="b">
        <f>IFERROR(__xludf.DUMMYFUNCTION("""COMPUTED_VALUE"""),FALSE)</f>
        <v>0</v>
      </c>
      <c r="N362" s="16"/>
    </row>
    <row r="363">
      <c r="A363" s="16" t="str">
        <f>IFERROR(__xludf.DUMMYFUNCTION("""COMPUTED_VALUE"""),"Sonar")</f>
        <v>Sonar</v>
      </c>
      <c r="B363" s="120">
        <f>IFERROR(__xludf.DUMMYFUNCTION("""COMPUTED_VALUE"""),1.0)</f>
        <v>1</v>
      </c>
      <c r="C363" s="119">
        <f>IFERROR(__xludf.DUMMYFUNCTION("""COMPUTED_VALUE"""),0.0)</f>
        <v>0</v>
      </c>
      <c r="D363" s="16"/>
      <c r="E363" s="16" t="str">
        <f>IFERROR(__xludf.DUMMYFUNCTION("""COMPUTED_VALUE"""),"Allows you to see hidden vehicles below land or below the ocean. Also allows you to see hidden items under the ocean or under ground.")</f>
        <v>Allows you to see hidden vehicles below land or below the ocean. Also allows you to see hidden items under the ocean or under ground.</v>
      </c>
      <c r="F363" s="16" t="str">
        <f>IFERROR(__xludf.DUMMYFUNCTION("""COMPUTED_VALUE"""),"Natural/Fail or Succeed")</f>
        <v>Natural/Fail or Succeed</v>
      </c>
      <c r="G363" s="16" t="str">
        <f>IFERROR(__xludf.DUMMYFUNCTION("""COMPUTED_VALUE"""),"Self")</f>
        <v>Self</v>
      </c>
      <c r="H363" s="16" t="str">
        <f>IFERROR(__xludf.DUMMYFUNCTION("""COMPUTED_VALUE"""),"Physical")</f>
        <v>Physical</v>
      </c>
      <c r="I363" s="16" t="str">
        <f>IFERROR(__xludf.DUMMYFUNCTION("""COMPUTED_VALUE"""),"Mob")</f>
        <v>Mob</v>
      </c>
      <c r="J363" s="16" t="b">
        <f>IFERROR(__xludf.DUMMYFUNCTION("""COMPUTED_VALUE"""),TRUE)</f>
        <v>1</v>
      </c>
      <c r="K363" s="16" t="str">
        <f>IFERROR(__xludf.DUMMYFUNCTION("""COMPUTED_VALUE"""),"Vehicle Power")</f>
        <v>Vehicle Power</v>
      </c>
      <c r="L363" s="16" t="b">
        <f>IFERROR(__xludf.DUMMYFUNCTION("""COMPUTED_VALUE"""),FALSE)</f>
        <v>0</v>
      </c>
      <c r="M363" s="16" t="b">
        <f>IFERROR(__xludf.DUMMYFUNCTION("""COMPUTED_VALUE"""),FALSE)</f>
        <v>0</v>
      </c>
      <c r="N363" s="16"/>
    </row>
    <row r="364">
      <c r="A364" s="16" t="str">
        <f>IFERROR(__xludf.DUMMYFUNCTION("""COMPUTED_VALUE"""),"Vehicular Cloak")</f>
        <v>Vehicular Cloak</v>
      </c>
      <c r="B364" s="120">
        <f>IFERROR(__xludf.DUMMYFUNCTION("""COMPUTED_VALUE"""),9.0)</f>
        <v>9</v>
      </c>
      <c r="C364" s="119">
        <f>IFERROR(__xludf.DUMMYFUNCTION("""COMPUTED_VALUE"""),10000.0)</f>
        <v>10000</v>
      </c>
      <c r="D364" s="16"/>
      <c r="E364" s="16" t="str">
        <f>IFERROR(__xludf.DUMMYFUNCTION("""COMPUTED_VALUE"""),"Invisible from other vehicles, players, and mobs not in the vehicle.")</f>
        <v>Invisible from other vehicles, players, and mobs not in the vehicle.</v>
      </c>
      <c r="F364" s="16" t="str">
        <f>IFERROR(__xludf.DUMMYFUNCTION("""COMPUTED_VALUE"""),"Natural/Fail or Succeed")</f>
        <v>Natural/Fail or Succeed</v>
      </c>
      <c r="G364" s="16" t="str">
        <f>IFERROR(__xludf.DUMMYFUNCTION("""COMPUTED_VALUE"""),"Self")</f>
        <v>Self</v>
      </c>
      <c r="H364" s="16" t="str">
        <f>IFERROR(__xludf.DUMMYFUNCTION("""COMPUTED_VALUE"""),"Physical")</f>
        <v>Physical</v>
      </c>
      <c r="I364" s="16" t="str">
        <f>IFERROR(__xludf.DUMMYFUNCTION("""COMPUTED_VALUE"""),"Mob")</f>
        <v>Mob</v>
      </c>
      <c r="J364" s="16" t="b">
        <f>IFERROR(__xludf.DUMMYFUNCTION("""COMPUTED_VALUE"""),TRUE)</f>
        <v>1</v>
      </c>
      <c r="K364" s="16" t="str">
        <f>IFERROR(__xludf.DUMMYFUNCTION("""COMPUTED_VALUE"""),"Vehicle Power")</f>
        <v>Vehicle Power</v>
      </c>
      <c r="L364" s="16" t="b">
        <f>IFERROR(__xludf.DUMMYFUNCTION("""COMPUTED_VALUE"""),FALSE)</f>
        <v>0</v>
      </c>
      <c r="M364" s="16" t="b">
        <f>IFERROR(__xludf.DUMMYFUNCTION("""COMPUTED_VALUE"""),FALSE)</f>
        <v>0</v>
      </c>
      <c r="N364" s="16"/>
    </row>
    <row r="365">
      <c r="A365" s="16" t="str">
        <f>IFERROR(__xludf.DUMMYFUNCTION("""COMPUTED_VALUE"""),"Vehicular Ward")</f>
        <v>Vehicular Ward</v>
      </c>
      <c r="B365" s="120">
        <f>IFERROR(__xludf.DUMMYFUNCTION("""COMPUTED_VALUE"""),9.0)</f>
        <v>9</v>
      </c>
      <c r="C365" s="119">
        <f>IFERROR(__xludf.DUMMYFUNCTION("""COMPUTED_VALUE"""),10000.0)</f>
        <v>10000</v>
      </c>
      <c r="D365" s="16"/>
      <c r="E365" s="16" t="str">
        <f>IFERROR(__xludf.DUMMYFUNCTION("""COMPUTED_VALUE"""),"Protected from spells of rank 9 or lower for 3 rounds. Ward ends when stopping a spell that bypasses immunities/resistances.")</f>
        <v>Protected from spells of rank 9 or lower for 3 rounds. Ward ends when stopping a spell that bypasses immunities/resistances.</v>
      </c>
      <c r="F365" s="16" t="str">
        <f>IFERROR(__xludf.DUMMYFUNCTION("""COMPUTED_VALUE"""),"Natural/Fail or Succeed")</f>
        <v>Natural/Fail or Succeed</v>
      </c>
      <c r="G365" s="16" t="str">
        <f>IFERROR(__xludf.DUMMYFUNCTION("""COMPUTED_VALUE"""),"Self")</f>
        <v>Self</v>
      </c>
      <c r="H365" s="16" t="str">
        <f>IFERROR(__xludf.DUMMYFUNCTION("""COMPUTED_VALUE"""),"Physical")</f>
        <v>Physical</v>
      </c>
      <c r="I365" s="16" t="str">
        <f>IFERROR(__xludf.DUMMYFUNCTION("""COMPUTED_VALUE"""),"Mob")</f>
        <v>Mob</v>
      </c>
      <c r="J365" s="16" t="b">
        <f>IFERROR(__xludf.DUMMYFUNCTION("""COMPUTED_VALUE"""),TRUE)</f>
        <v>1</v>
      </c>
      <c r="K365" s="16" t="str">
        <f>IFERROR(__xludf.DUMMYFUNCTION("""COMPUTED_VALUE"""),"Vehicle Power")</f>
        <v>Vehicle Power</v>
      </c>
      <c r="L365" s="16" t="b">
        <f>IFERROR(__xludf.DUMMYFUNCTION("""COMPUTED_VALUE"""),FALSE)</f>
        <v>0</v>
      </c>
      <c r="M365" s="16" t="b">
        <f>IFERROR(__xludf.DUMMYFUNCTION("""COMPUTED_VALUE"""),FALSE)</f>
        <v>0</v>
      </c>
      <c r="N365" s="16"/>
    </row>
    <row r="366">
      <c r="A366" s="16" t="str">
        <f>IFERROR(__xludf.DUMMYFUNCTION("""COMPUTED_VALUE"""),"Dragon's Breath")</f>
        <v>Dragon's Breath</v>
      </c>
      <c r="B366" s="120">
        <f>IFERROR(__xludf.DUMMYFUNCTION("""COMPUTED_VALUE"""),1.0)</f>
        <v>1</v>
      </c>
      <c r="C366" s="16">
        <f>IFERROR(__xludf.DUMMYFUNCTION("""COMPUTED_VALUE"""),0.0)</f>
        <v>0</v>
      </c>
      <c r="D366" s="16"/>
      <c r="E366" s="16" t="str">
        <f>IFERROR(__xludf.DUMMYFUNCTION("""COMPUTED_VALUE"""),"Deals X [Element] damage, X is equal to the casters accuracy. The Element is equal to the type of main elements the caster uses (Main element refers to whatever element you have the most spells of equipped)")</f>
        <v>Deals X [Element] damage, X is equal to the casters accuracy. The Element is equal to the type of main elements the caster uses (Main element refers to whatever element you have the most spells of equipped)</v>
      </c>
      <c r="F366" s="16" t="str">
        <f>IFERROR(__xludf.DUMMYFUNCTION("""COMPUTED_VALUE"""),"Natural/Cannot Avoid")</f>
        <v>Natural/Cannot Avoid</v>
      </c>
      <c r="G366" s="16" t="str">
        <f>IFERROR(__xludf.DUMMYFUNCTION("""COMPUTED_VALUE"""),"All")</f>
        <v>All</v>
      </c>
      <c r="H366" s="16" t="str">
        <f>IFERROR(__xludf.DUMMYFUNCTION("""COMPUTED_VALUE"""),"Physical")</f>
        <v>Physical</v>
      </c>
      <c r="I366" s="16" t="str">
        <f>IFERROR(__xludf.DUMMYFUNCTION("""COMPUTED_VALUE"""),"Mob")</f>
        <v>Mob</v>
      </c>
      <c r="J366" s="16" t="b">
        <f>IFERROR(__xludf.DUMMYFUNCTION("""COMPUTED_VALUE"""),TRUE)</f>
        <v>1</v>
      </c>
      <c r="K366" s="16" t="str">
        <f>IFERROR(__xludf.DUMMYFUNCTION("""COMPUTED_VALUE"""),"mob power")</f>
        <v>mob power</v>
      </c>
      <c r="L366" s="16" t="b">
        <f>IFERROR(__xludf.DUMMYFUNCTION("""COMPUTED_VALUE"""),FALSE)</f>
        <v>0</v>
      </c>
      <c r="M366" s="16" t="b">
        <f>IFERROR(__xludf.DUMMYFUNCTION("""COMPUTED_VALUE"""),FALSE)</f>
        <v>0</v>
      </c>
      <c r="N366" s="16"/>
    </row>
    <row r="367">
      <c r="A367" s="16" t="str">
        <f>IFERROR(__xludf.DUMMYFUNCTION("""COMPUTED_VALUE"""),"Tackle")</f>
        <v>Tackle</v>
      </c>
      <c r="B367" s="120">
        <f>IFERROR(__xludf.DUMMYFUNCTION("""COMPUTED_VALUE"""),1.0)</f>
        <v>1</v>
      </c>
      <c r="C367" s="16">
        <f>IFERROR(__xludf.DUMMYFUNCTION("""COMPUTED_VALUE"""),0.0)</f>
        <v>0</v>
      </c>
      <c r="D367" s="16"/>
      <c r="E367" s="16" t="str">
        <f>IFERROR(__xludf.DUMMYFUNCTION("""COMPUTED_VALUE"""),"Stuns yourself and a single target for 1d4 rounds")</f>
        <v>Stuns yourself and a single target for 1d4 rounds</v>
      </c>
      <c r="F367" s="16" t="str">
        <f>IFERROR(__xludf.DUMMYFUNCTION("""COMPUTED_VALUE"""),"Natural/Hit or Miss")</f>
        <v>Natural/Hit or Miss</v>
      </c>
      <c r="G367" s="16">
        <f>IFERROR(__xludf.DUMMYFUNCTION("""COMPUTED_VALUE"""),1.0)</f>
        <v>1</v>
      </c>
      <c r="H367" s="16" t="str">
        <f>IFERROR(__xludf.DUMMYFUNCTION("""COMPUTED_VALUE"""),"Physical")</f>
        <v>Physical</v>
      </c>
      <c r="I367" s="16" t="str">
        <f>IFERROR(__xludf.DUMMYFUNCTION("""COMPUTED_VALUE"""),"Mob")</f>
        <v>Mob</v>
      </c>
      <c r="J367" s="16" t="b">
        <f>IFERROR(__xludf.DUMMYFUNCTION("""COMPUTED_VALUE"""),TRUE)</f>
        <v>1</v>
      </c>
      <c r="K367" s="16" t="str">
        <f>IFERROR(__xludf.DUMMYFUNCTION("""COMPUTED_VALUE"""),"mob power")</f>
        <v>mob power</v>
      </c>
      <c r="L367" s="16" t="b">
        <f>IFERROR(__xludf.DUMMYFUNCTION("""COMPUTED_VALUE"""),FALSE)</f>
        <v>0</v>
      </c>
      <c r="M367" s="16" t="b">
        <f>IFERROR(__xludf.DUMMYFUNCTION("""COMPUTED_VALUE"""),FALSE)</f>
        <v>0</v>
      </c>
      <c r="N367" s="16"/>
    </row>
    <row r="368">
      <c r="A368" s="16" t="str">
        <f>IFERROR(__xludf.DUMMYFUNCTION("""COMPUTED_VALUE"""),"Guard")</f>
        <v>Guard</v>
      </c>
      <c r="B368" s="120">
        <f>IFERROR(__xludf.DUMMYFUNCTION("""COMPUTED_VALUE"""),1.0)</f>
        <v>1</v>
      </c>
      <c r="C368" s="16">
        <f>IFERROR(__xludf.DUMMYFUNCTION("""COMPUTED_VALUE"""),0.0)</f>
        <v>0</v>
      </c>
      <c r="D368" s="16"/>
      <c r="E368" s="16" t="str">
        <f>IFERROR(__xludf.DUMMYFUNCTION("""COMPUTED_VALUE"""),"X2 defense for the user only.")</f>
        <v>X2 defense for the user only.</v>
      </c>
      <c r="F368" s="16" t="str">
        <f>IFERROR(__xludf.DUMMYFUNCTION("""COMPUTED_VALUE"""),"Natural/Fail or Succeed")</f>
        <v>Natural/Fail or Succeed</v>
      </c>
      <c r="G368" s="16" t="str">
        <f>IFERROR(__xludf.DUMMYFUNCTION("""COMPUTED_VALUE"""),"Self")</f>
        <v>Self</v>
      </c>
      <c r="H368" s="16" t="str">
        <f>IFERROR(__xludf.DUMMYFUNCTION("""COMPUTED_VALUE"""),"Physical")</f>
        <v>Physical</v>
      </c>
      <c r="I368" s="16" t="str">
        <f>IFERROR(__xludf.DUMMYFUNCTION("""COMPUTED_VALUE"""),"Player")</f>
        <v>Player</v>
      </c>
      <c r="J368" s="16" t="b">
        <f>IFERROR(__xludf.DUMMYFUNCTION("""COMPUTED_VALUE"""),FALSE)</f>
        <v>0</v>
      </c>
      <c r="K368" s="16"/>
      <c r="L368" s="16" t="b">
        <f>IFERROR(__xludf.DUMMYFUNCTION("""COMPUTED_VALUE"""),FALSE)</f>
        <v>0</v>
      </c>
      <c r="M368" s="16" t="b">
        <f>IFERROR(__xludf.DUMMYFUNCTION("""COMPUTED_VALUE"""),FALSE)</f>
        <v>0</v>
      </c>
      <c r="N368" s="16"/>
    </row>
    <row r="369">
      <c r="A369" s="16" t="str">
        <f>IFERROR(__xludf.DUMMYFUNCTION("""COMPUTED_VALUE"""),"Aggresive Tear")</f>
        <v>Aggresive Tear</v>
      </c>
      <c r="B369" s="120">
        <f>IFERROR(__xludf.DUMMYFUNCTION("""COMPUTED_VALUE"""),1.0)</f>
        <v>1</v>
      </c>
      <c r="C369" s="16">
        <f>IFERROR(__xludf.DUMMYFUNCTION("""COMPUTED_VALUE"""),0.0)</f>
        <v>0</v>
      </c>
      <c r="D369" s="16"/>
      <c r="E369" s="16" t="str">
        <f>IFERROR(__xludf.DUMMYFUNCTION("""COMPUTED_VALUE"""),"15% chance to lower a targets defense by half")</f>
        <v>15% chance to lower a targets defense by half</v>
      </c>
      <c r="F369" s="16" t="str">
        <f>IFERROR(__xludf.DUMMYFUNCTION("""COMPUTED_VALUE"""),"Natural/Fail or Succeed")</f>
        <v>Natural/Fail or Succeed</v>
      </c>
      <c r="G369" s="16">
        <f>IFERROR(__xludf.DUMMYFUNCTION("""COMPUTED_VALUE"""),1.0)</f>
        <v>1</v>
      </c>
      <c r="H369" s="16" t="str">
        <f>IFERROR(__xludf.DUMMYFUNCTION("""COMPUTED_VALUE"""),"Physical")</f>
        <v>Physical</v>
      </c>
      <c r="I369" s="16" t="str">
        <f>IFERROR(__xludf.DUMMYFUNCTION("""COMPUTED_VALUE"""),"Player")</f>
        <v>Player</v>
      </c>
      <c r="J369" s="16" t="b">
        <f>IFERROR(__xludf.DUMMYFUNCTION("""COMPUTED_VALUE"""),TRUE)</f>
        <v>1</v>
      </c>
      <c r="K369" s="16" t="str">
        <f>IFERROR(__xludf.DUMMYFUNCTION("""COMPUTED_VALUE"""),"mob power")</f>
        <v>mob power</v>
      </c>
      <c r="L369" s="16" t="b">
        <f>IFERROR(__xludf.DUMMYFUNCTION("""COMPUTED_VALUE"""),FALSE)</f>
        <v>0</v>
      </c>
      <c r="M369" s="16" t="b">
        <f>IFERROR(__xludf.DUMMYFUNCTION("""COMPUTED_VALUE"""),FALSE)</f>
        <v>0</v>
      </c>
      <c r="N369" s="16"/>
    </row>
    <row r="370">
      <c r="A370" s="16" t="str">
        <f>IFERROR(__xludf.DUMMYFUNCTION("""COMPUTED_VALUE"""),"Taunt (Mob)")</f>
        <v>Taunt (Mob)</v>
      </c>
      <c r="B370" s="120">
        <f>IFERROR(__xludf.DUMMYFUNCTION("""COMPUTED_VALUE"""),1.0)</f>
        <v>1</v>
      </c>
      <c r="C370" s="16">
        <f>IFERROR(__xludf.DUMMYFUNCTION("""COMPUTED_VALUE"""),0.0)</f>
        <v>0</v>
      </c>
      <c r="D370" s="16"/>
      <c r="E370" s="16" t="str">
        <f>IFERROR(__xludf.DUMMYFUNCTION("""COMPUTED_VALUE"""),"Forces all enemies to attack or use a spell effect on the user and forces all attacks, spells, and natural abilites to only hit the caster for 1 round, The caster takes X2 damage for that round. If another party member uses Taunt the same round as the fir"&amp;"st caster it will fail.")</f>
        <v>Forces all enemies to attack or use a spell effect on the user and forces all attacks, spells, and natural abilites to only hit the caster for 1 round, The caster takes X2 damage for that round. If another party member uses Taunt the same round as the first caster it will fail.</v>
      </c>
      <c r="F370" s="16" t="str">
        <f>IFERROR(__xludf.DUMMYFUNCTION("""COMPUTED_VALUE"""),"Natural/Fail or Succeed")</f>
        <v>Natural/Fail or Succeed</v>
      </c>
      <c r="G370" s="16" t="str">
        <f>IFERROR(__xludf.DUMMYFUNCTION("""COMPUTED_VALUE"""),"All")</f>
        <v>All</v>
      </c>
      <c r="H370" s="16" t="str">
        <f>IFERROR(__xludf.DUMMYFUNCTION("""COMPUTED_VALUE"""),"Physical")</f>
        <v>Physical</v>
      </c>
      <c r="I370" s="16" t="str">
        <f>IFERROR(__xludf.DUMMYFUNCTION("""COMPUTED_VALUE"""),"Mob")</f>
        <v>Mob</v>
      </c>
      <c r="J370" s="16" t="b">
        <f>IFERROR(__xludf.DUMMYFUNCTION("""COMPUTED_VALUE"""),TRUE)</f>
        <v>1</v>
      </c>
      <c r="K370" s="16"/>
      <c r="L370" s="16" t="b">
        <f>IFERROR(__xludf.DUMMYFUNCTION("""COMPUTED_VALUE"""),FALSE)</f>
        <v>0</v>
      </c>
      <c r="M370" s="16" t="b">
        <f>IFERROR(__xludf.DUMMYFUNCTION("""COMPUTED_VALUE"""),FALSE)</f>
        <v>0</v>
      </c>
      <c r="N370" s="16"/>
    </row>
    <row r="371">
      <c r="A371" s="16" t="str">
        <f>IFERROR(__xludf.DUMMYFUNCTION("""COMPUTED_VALUE"""),"Distracting Blow")</f>
        <v>Distracting Blow</v>
      </c>
      <c r="B371" s="120">
        <f>IFERROR(__xludf.DUMMYFUNCTION("""COMPUTED_VALUE"""),1.0)</f>
        <v>1</v>
      </c>
      <c r="C371" s="16">
        <f>IFERROR(__xludf.DUMMYFUNCTION("""COMPUTED_VALUE"""),0.0)</f>
        <v>0</v>
      </c>
      <c r="D371" s="16"/>
      <c r="E371" s="16" t="str">
        <f>IFERROR(__xludf.DUMMYFUNCTION("""COMPUTED_VALUE"""),"deals 5000 unblockable damage, if you attack with a natural attack this round you can use this attack right after.")</f>
        <v>deals 5000 unblockable damage, if you attack with a natural attack this round you can use this attack right after.</v>
      </c>
      <c r="F371" s="16" t="str">
        <f>IFERROR(__xludf.DUMMYFUNCTION("""COMPUTED_VALUE"""),"Natural/Hit or Miss")</f>
        <v>Natural/Hit or Miss</v>
      </c>
      <c r="G371" s="16">
        <f>IFERROR(__xludf.DUMMYFUNCTION("""COMPUTED_VALUE"""),1.0)</f>
        <v>1</v>
      </c>
      <c r="H371" s="16" t="str">
        <f>IFERROR(__xludf.DUMMYFUNCTION("""COMPUTED_VALUE"""),"Physical")</f>
        <v>Physical</v>
      </c>
      <c r="I371" s="16" t="str">
        <f>IFERROR(__xludf.DUMMYFUNCTION("""COMPUTED_VALUE"""),"Mob")</f>
        <v>Mob</v>
      </c>
      <c r="J371" s="16" t="b">
        <f>IFERROR(__xludf.DUMMYFUNCTION("""COMPUTED_VALUE"""),TRUE)</f>
        <v>1</v>
      </c>
      <c r="K371" s="16" t="str">
        <f>IFERROR(__xludf.DUMMYFUNCTION("""COMPUTED_VALUE"""),"mob power")</f>
        <v>mob power</v>
      </c>
      <c r="L371" s="16" t="b">
        <f>IFERROR(__xludf.DUMMYFUNCTION("""COMPUTED_VALUE"""),TRUE)</f>
        <v>1</v>
      </c>
      <c r="M371" s="16" t="b">
        <f>IFERROR(__xludf.DUMMYFUNCTION("""COMPUTED_VALUE"""),TRUE)</f>
        <v>1</v>
      </c>
      <c r="N371" s="16"/>
    </row>
    <row r="372">
      <c r="A372" s="16" t="str">
        <f>IFERROR(__xludf.DUMMYFUNCTION("""COMPUTED_VALUE"""),"Gore")</f>
        <v>Gore</v>
      </c>
      <c r="B372" s="120">
        <f>IFERROR(__xludf.DUMMYFUNCTION("""COMPUTED_VALUE"""),1.0)</f>
        <v>1</v>
      </c>
      <c r="C372" s="16">
        <f>IFERROR(__xludf.DUMMYFUNCTION("""COMPUTED_VALUE"""),0.0)</f>
        <v>0</v>
      </c>
      <c r="D372" s="16"/>
      <c r="E372" s="16" t="str">
        <f>IFERROR(__xludf.DUMMYFUNCTION("""COMPUTED_VALUE"""),"Deal X4 your attack bonus as damage to each enemy, 25% chance to use this action again in the same turn.")</f>
        <v>Deal X4 your attack bonus as damage to each enemy, 25% chance to use this action again in the same turn.</v>
      </c>
      <c r="F372" s="16" t="str">
        <f>IFERROR(__xludf.DUMMYFUNCTION("""COMPUTED_VALUE"""),"Natural/Cannot Avoid")</f>
        <v>Natural/Cannot Avoid</v>
      </c>
      <c r="G372" s="16" t="str">
        <f>IFERROR(__xludf.DUMMYFUNCTION("""COMPUTED_VALUE"""),"All")</f>
        <v>All</v>
      </c>
      <c r="H372" s="16" t="str">
        <f>IFERROR(__xludf.DUMMYFUNCTION("""COMPUTED_VALUE"""),"Physical")</f>
        <v>Physical</v>
      </c>
      <c r="I372" s="16" t="str">
        <f>IFERROR(__xludf.DUMMYFUNCTION("""COMPUTED_VALUE"""),"Mob")</f>
        <v>Mob</v>
      </c>
      <c r="J372" s="16" t="b">
        <f>IFERROR(__xludf.DUMMYFUNCTION("""COMPUTED_VALUE"""),TRUE)</f>
        <v>1</v>
      </c>
      <c r="K372" s="16" t="str">
        <f>IFERROR(__xludf.DUMMYFUNCTION("""COMPUTED_VALUE"""),"mob power")</f>
        <v>mob power</v>
      </c>
      <c r="L372" s="16" t="b">
        <f>IFERROR(__xludf.DUMMYFUNCTION("""COMPUTED_VALUE"""),FALSE)</f>
        <v>0</v>
      </c>
      <c r="M372" s="16" t="b">
        <f>IFERROR(__xludf.DUMMYFUNCTION("""COMPUTED_VALUE"""),FALSE)</f>
        <v>0</v>
      </c>
      <c r="N372" s="16"/>
    </row>
    <row r="373">
      <c r="A373" s="16" t="str">
        <f>IFERROR(__xludf.DUMMYFUNCTION("""COMPUTED_VALUE"""),"Parry")</f>
        <v>Parry</v>
      </c>
      <c r="B373" s="120">
        <f>IFERROR(__xludf.DUMMYFUNCTION("""COMPUTED_VALUE"""),1.0)</f>
        <v>1</v>
      </c>
      <c r="C373" s="16">
        <f>IFERROR(__xludf.DUMMYFUNCTION("""COMPUTED_VALUE"""),0.0)</f>
        <v>0</v>
      </c>
      <c r="D373" s="16"/>
      <c r="E373" s="16" t="str">
        <f>IFERROR(__xludf.DUMMYFUNCTION("""COMPUTED_VALUE"""),"(requires a weapon be equipped) parry the next weapon attack as per the handbook ability: Parry")</f>
        <v>(requires a weapon be equipped) parry the next weapon attack as per the handbook ability: Parry</v>
      </c>
      <c r="F373" s="16" t="str">
        <f>IFERROR(__xludf.DUMMYFUNCTION("""COMPUTED_VALUE"""),"Natural/Fail or Succeed")</f>
        <v>Natural/Fail or Succeed</v>
      </c>
      <c r="G373" s="16" t="str">
        <f>IFERROR(__xludf.DUMMYFUNCTION("""COMPUTED_VALUE"""),"Self")</f>
        <v>Self</v>
      </c>
      <c r="H373" s="16" t="str">
        <f>IFERROR(__xludf.DUMMYFUNCTION("""COMPUTED_VALUE"""),"Physical")</f>
        <v>Physical</v>
      </c>
      <c r="I373" s="16" t="str">
        <f>IFERROR(__xludf.DUMMYFUNCTION("""COMPUTED_VALUE"""),"Player")</f>
        <v>Player</v>
      </c>
      <c r="J373" s="16" t="b">
        <f>IFERROR(__xludf.DUMMYFUNCTION("""COMPUTED_VALUE"""),FALSE)</f>
        <v>0</v>
      </c>
      <c r="K373" s="16"/>
      <c r="L373" s="16" t="b">
        <f>IFERROR(__xludf.DUMMYFUNCTION("""COMPUTED_VALUE"""),FALSE)</f>
        <v>0</v>
      </c>
      <c r="M373" s="16" t="b">
        <f>IFERROR(__xludf.DUMMYFUNCTION("""COMPUTED_VALUE"""),FALSE)</f>
        <v>0</v>
      </c>
      <c r="N373" s="16"/>
    </row>
    <row r="374">
      <c r="A374" s="16" t="str">
        <f>IFERROR(__xludf.DUMMYFUNCTION("""COMPUTED_VALUE"""),"Dive Bomb")</f>
        <v>Dive Bomb</v>
      </c>
      <c r="B374" s="120">
        <f>IFERROR(__xludf.DUMMYFUNCTION("""COMPUTED_VALUE"""),9.0)</f>
        <v>9</v>
      </c>
      <c r="C374" s="16"/>
      <c r="D374" s="16" t="str">
        <f>IFERROR(__xludf.DUMMYFUNCTION("""COMPUTED_VALUE"""),"X")</f>
        <v>X</v>
      </c>
      <c r="E374" s="16" t="str">
        <f>IFERROR(__xludf.DUMMYFUNCTION("""COMPUTED_VALUE"""),"Fly up into the air spending one round unable to be attacked, then smash down into the ground your next turn dealing X*10 damage to all enemies")</f>
        <v>Fly up into the air spending one round unable to be attacked, then smash down into the ground your next turn dealing X*10 damage to all enemies</v>
      </c>
      <c r="F374" s="16" t="str">
        <f>IFERROR(__xludf.DUMMYFUNCTION("""COMPUTED_VALUE"""),"Cannot Avoid")</f>
        <v>Cannot Avoid</v>
      </c>
      <c r="G374" s="16" t="str">
        <f>IFERROR(__xludf.DUMMYFUNCTION("""COMPUTED_VALUE"""),"All")</f>
        <v>All</v>
      </c>
      <c r="H374" s="16" t="str">
        <f>IFERROR(__xludf.DUMMYFUNCTION("""COMPUTED_VALUE"""),"Physical")</f>
        <v>Physical</v>
      </c>
      <c r="I374" s="16" t="str">
        <f>IFERROR(__xludf.DUMMYFUNCTION("""COMPUTED_VALUE"""),"Mob")</f>
        <v>Mob</v>
      </c>
      <c r="J374" s="16" t="b">
        <f>IFERROR(__xludf.DUMMYFUNCTION("""COMPUTED_VALUE"""),TRUE)</f>
        <v>1</v>
      </c>
      <c r="K374" s="16" t="str">
        <f>IFERROR(__xludf.DUMMYFUNCTION("""COMPUTED_VALUE"""),"mob power")</f>
        <v>mob power</v>
      </c>
      <c r="L374" s="16" t="b">
        <f>IFERROR(__xludf.DUMMYFUNCTION("""COMPUTED_VALUE"""),FALSE)</f>
        <v>0</v>
      </c>
      <c r="M374" s="16" t="b">
        <f>IFERROR(__xludf.DUMMYFUNCTION("""COMPUTED_VALUE"""),FALSE)</f>
        <v>0</v>
      </c>
      <c r="N374" s="16"/>
    </row>
    <row r="375">
      <c r="A375" s="16" t="str">
        <f>IFERROR(__xludf.DUMMYFUNCTION("""COMPUTED_VALUE"""),"Taunt")</f>
        <v>Taunt</v>
      </c>
      <c r="B375" s="120">
        <f>IFERROR(__xludf.DUMMYFUNCTION("""COMPUTED_VALUE"""),1.0)</f>
        <v>1</v>
      </c>
      <c r="C375" s="16">
        <f>IFERROR(__xludf.DUMMYFUNCTION("""COMPUTED_VALUE"""),0.0)</f>
        <v>0</v>
      </c>
      <c r="D375" s="16"/>
      <c r="E375" s="16" t="str">
        <f>IFERROR(__xludf.DUMMYFUNCTION("""COMPUTED_VALUE"""),"Forces 1 target to attack or use a spell effect on the user and forces all attacks, spells, and natural abilites to only hit the caster for 1 round If another party member uses Taunt the same round as the first caster it will fail.")</f>
        <v>Forces 1 target to attack or use a spell effect on the user and forces all attacks, spells, and natural abilites to only hit the caster for 1 round If another party member uses Taunt the same round as the first caster it will fail.</v>
      </c>
      <c r="F375" s="16" t="str">
        <f>IFERROR(__xludf.DUMMYFUNCTION("""COMPUTED_VALUE"""),"Natural/Fail or succeed")</f>
        <v>Natural/Fail or succeed</v>
      </c>
      <c r="G375" s="16">
        <f>IFERROR(__xludf.DUMMYFUNCTION("""COMPUTED_VALUE"""),1.0)</f>
        <v>1</v>
      </c>
      <c r="H375" s="16" t="str">
        <f>IFERROR(__xludf.DUMMYFUNCTION("""COMPUTED_VALUE"""),"Physical")</f>
        <v>Physical</v>
      </c>
      <c r="I375" s="16" t="str">
        <f>IFERROR(__xludf.DUMMYFUNCTION("""COMPUTED_VALUE"""),"Player")</f>
        <v>Player</v>
      </c>
      <c r="J375" s="16" t="b">
        <f>IFERROR(__xludf.DUMMYFUNCTION("""COMPUTED_VALUE"""),FALSE)</f>
        <v>0</v>
      </c>
      <c r="K375" s="16"/>
      <c r="L375" s="16" t="b">
        <f>IFERROR(__xludf.DUMMYFUNCTION("""COMPUTED_VALUE"""),FALSE)</f>
        <v>0</v>
      </c>
      <c r="M375" s="16" t="b">
        <f>IFERROR(__xludf.DUMMYFUNCTION("""COMPUTED_VALUE"""),FALSE)</f>
        <v>0</v>
      </c>
      <c r="N375" s="16"/>
    </row>
    <row r="376">
      <c r="A376" s="16" t="str">
        <f>IFERROR(__xludf.DUMMYFUNCTION("""COMPUTED_VALUE"""),"Lasso")</f>
        <v>Lasso</v>
      </c>
      <c r="B376" s="120">
        <f>IFERROR(__xludf.DUMMYFUNCTION("""COMPUTED_VALUE"""),1.0)</f>
        <v>1</v>
      </c>
      <c r="C376" s="16">
        <f>IFERROR(__xludf.DUMMYFUNCTION("""COMPUTED_VALUE"""),0.0)</f>
        <v>0</v>
      </c>
      <c r="D376" s="16"/>
      <c r="E376" s="16" t="str">
        <f>IFERROR(__xludf.DUMMYFUNCTION("""COMPUTED_VALUE"""),"Remove a player or npc from battle Using your mobility bonus, they cannot perform their turn order while removed from the battle. ")</f>
        <v>Remove a player or npc from battle Using your mobility bonus, they cannot perform their turn order while removed from the battle. </v>
      </c>
      <c r="F376" s="16" t="str">
        <f>IFERROR(__xludf.DUMMYFUNCTION("""COMPUTED_VALUE"""),"Natural/Hit or Miss")</f>
        <v>Natural/Hit or Miss</v>
      </c>
      <c r="G376" s="16">
        <f>IFERROR(__xludf.DUMMYFUNCTION("""COMPUTED_VALUE"""),1.0)</f>
        <v>1</v>
      </c>
      <c r="H376" s="16" t="str">
        <f>IFERROR(__xludf.DUMMYFUNCTION("""COMPUTED_VALUE"""),"Physical")</f>
        <v>Physical</v>
      </c>
      <c r="I376" s="16" t="str">
        <f>IFERROR(__xludf.DUMMYFUNCTION("""COMPUTED_VALUE"""),"Player")</f>
        <v>Player</v>
      </c>
      <c r="J376" s="16" t="b">
        <f>IFERROR(__xludf.DUMMYFUNCTION("""COMPUTED_VALUE"""),TRUE)</f>
        <v>1</v>
      </c>
      <c r="K376" s="16" t="str">
        <f>IFERROR(__xludf.DUMMYFUNCTION("""COMPUTED_VALUE"""),"mob and class exclusive.")</f>
        <v>mob and class exclusive.</v>
      </c>
      <c r="L376" s="16" t="b">
        <f>IFERROR(__xludf.DUMMYFUNCTION("""COMPUTED_VALUE"""),TRUE)</f>
        <v>1</v>
      </c>
      <c r="M376" s="16" t="b">
        <f>IFERROR(__xludf.DUMMYFUNCTION("""COMPUTED_VALUE"""),FALSE)</f>
        <v>0</v>
      </c>
      <c r="N376" s="16"/>
    </row>
    <row r="377">
      <c r="A377" s="16" t="str">
        <f>IFERROR(__xludf.DUMMYFUNCTION("""COMPUTED_VALUE"""),"Captivating Wobble")</f>
        <v>Captivating Wobble</v>
      </c>
      <c r="B377" s="120">
        <f>IFERROR(__xludf.DUMMYFUNCTION("""COMPUTED_VALUE"""),9.0)</f>
        <v>9</v>
      </c>
      <c r="C377" s="119">
        <f>IFERROR(__xludf.DUMMYFUNCTION("""COMPUTED_VALUE"""),50000.0)</f>
        <v>50000</v>
      </c>
      <c r="D377" s="16"/>
      <c r="E377" s="16" t="str">
        <f>IFERROR(__xludf.DUMMYFUNCTION("""COMPUTED_VALUE"""),"Stun all enemies for three rounds.")</f>
        <v>Stun all enemies for three rounds.</v>
      </c>
      <c r="F377" s="16" t="str">
        <f>IFERROR(__xludf.DUMMYFUNCTION("""COMPUTED_VALUE"""),"Fail/Succeed")</f>
        <v>Fail/Succeed</v>
      </c>
      <c r="G377" s="16" t="str">
        <f>IFERROR(__xludf.DUMMYFUNCTION("""COMPUTED_VALUE"""),"All")</f>
        <v>All</v>
      </c>
      <c r="H377" s="16" t="str">
        <f>IFERROR(__xludf.DUMMYFUNCTION("""COMPUTED_VALUE"""),"Physical")</f>
        <v>Physical</v>
      </c>
      <c r="I377" s="16" t="str">
        <f>IFERROR(__xludf.DUMMYFUNCTION("""COMPUTED_VALUE"""),"Mob")</f>
        <v>Mob</v>
      </c>
      <c r="J377" s="16" t="b">
        <f>IFERROR(__xludf.DUMMYFUNCTION("""COMPUTED_VALUE"""),TRUE)</f>
        <v>1</v>
      </c>
      <c r="K377" s="16" t="str">
        <f>IFERROR(__xludf.DUMMYFUNCTION("""COMPUTED_VALUE"""),"Event ")</f>
        <v>Event </v>
      </c>
      <c r="L377" s="16" t="b">
        <f>IFERROR(__xludf.DUMMYFUNCTION("""COMPUTED_VALUE"""),FALSE)</f>
        <v>0</v>
      </c>
      <c r="M377" s="16" t="b">
        <f>IFERROR(__xludf.DUMMYFUNCTION("""COMPUTED_VALUE"""),FALSE)</f>
        <v>0</v>
      </c>
      <c r="N377" s="16" t="str">
        <f>IFERROR(__xludf.DUMMYFUNCTION("""COMPUTED_VALUE"""),"Event Hub")</f>
        <v>Event Hub</v>
      </c>
    </row>
    <row r="378">
      <c r="A378" s="16" t="str">
        <f>IFERROR(__xludf.DUMMYFUNCTION("""COMPUTED_VALUE"""),"Grash's Smashing Success")</f>
        <v>Grash's Smashing Success</v>
      </c>
      <c r="B378" s="120">
        <f>IFERROR(__xludf.DUMMYFUNCTION("""COMPUTED_VALUE"""),1.0)</f>
        <v>1</v>
      </c>
      <c r="C378" s="16">
        <f>IFERROR(__xludf.DUMMYFUNCTION("""COMPUTED_VALUE"""),0.0)</f>
        <v>0</v>
      </c>
      <c r="D378" s="16"/>
      <c r="E378" s="16" t="str">
        <f>IFERROR(__xludf.DUMMYFUNCTION("""COMPUTED_VALUE"""),"Slam your weapon into the Ground disarming you and all opponents for 3 rounds.")</f>
        <v>Slam your weapon into the Ground disarming you and all opponents for 3 rounds.</v>
      </c>
      <c r="F378" s="16" t="str">
        <f>IFERROR(__xludf.DUMMYFUNCTION("""COMPUTED_VALUE"""),"Natural/Fail or Succeed")</f>
        <v>Natural/Fail or Succeed</v>
      </c>
      <c r="G378" s="16" t="str">
        <f>IFERROR(__xludf.DUMMYFUNCTION("""COMPUTED_VALUE"""),"All")</f>
        <v>All</v>
      </c>
      <c r="H378" s="16" t="str">
        <f>IFERROR(__xludf.DUMMYFUNCTION("""COMPUTED_VALUE"""),"Physical")</f>
        <v>Physical</v>
      </c>
      <c r="I378" s="16" t="str">
        <f>IFERROR(__xludf.DUMMYFUNCTION("""COMPUTED_VALUE"""),"Mob")</f>
        <v>Mob</v>
      </c>
      <c r="J378" s="16" t="b">
        <f>IFERROR(__xludf.DUMMYFUNCTION("""COMPUTED_VALUE"""),TRUE)</f>
        <v>1</v>
      </c>
      <c r="K378" s="16"/>
      <c r="L378" s="16" t="b">
        <f>IFERROR(__xludf.DUMMYFUNCTION("""COMPUTED_VALUE"""),FALSE)</f>
        <v>0</v>
      </c>
      <c r="M378" s="16" t="b">
        <f>IFERROR(__xludf.DUMMYFUNCTION("""COMPUTED_VALUE"""),FALSE)</f>
        <v>0</v>
      </c>
      <c r="N378" s="16"/>
    </row>
    <row r="379">
      <c r="A379" s="16" t="str">
        <f>IFERROR(__xludf.DUMMYFUNCTION("""COMPUTED_VALUE"""),"Greater Dragon's Breath")</f>
        <v>Greater Dragon's Breath</v>
      </c>
      <c r="B379" s="120">
        <f>IFERROR(__xludf.DUMMYFUNCTION("""COMPUTED_VALUE"""),9.0)</f>
        <v>9</v>
      </c>
      <c r="C379" s="16">
        <f>IFERROR(__xludf.DUMMYFUNCTION("""COMPUTED_VALUE"""),0.0)</f>
        <v>0</v>
      </c>
      <c r="D379" s="16"/>
      <c r="E379" s="16" t="str">
        <f>IFERROR(__xludf.DUMMYFUNCTION("""COMPUTED_VALUE"""),"Deals X*2 [Element] damage, X is equal to the casters accuracy. The Element is equal to the type of main elements the caster uses. Also has a 75% chance to inflict an effect befitting the element used.")</f>
        <v>Deals X*2 [Element] damage, X is equal to the casters accuracy. The Element is equal to the type of main elements the caster uses. Also has a 75% chance to inflict an effect befitting the element used.</v>
      </c>
      <c r="F379" s="16" t="str">
        <f>IFERROR(__xludf.DUMMYFUNCTION("""COMPUTED_VALUE"""),"Natural/Cannot Avoid")</f>
        <v>Natural/Cannot Avoid</v>
      </c>
      <c r="G379" s="16" t="str">
        <f>IFERROR(__xludf.DUMMYFUNCTION("""COMPUTED_VALUE"""),"All")</f>
        <v>All</v>
      </c>
      <c r="H379" s="16" t="str">
        <f>IFERROR(__xludf.DUMMYFUNCTION("""COMPUTED_VALUE"""),"Physical")</f>
        <v>Physical</v>
      </c>
      <c r="I379" s="16" t="str">
        <f>IFERROR(__xludf.DUMMYFUNCTION("""COMPUTED_VALUE"""),"Mob")</f>
        <v>Mob</v>
      </c>
      <c r="J379" s="16" t="b">
        <f>IFERROR(__xludf.DUMMYFUNCTION("""COMPUTED_VALUE"""),TRUE)</f>
        <v>1</v>
      </c>
      <c r="K379" s="16"/>
      <c r="L379" s="16" t="b">
        <f>IFERROR(__xludf.DUMMYFUNCTION("""COMPUTED_VALUE"""),FALSE)</f>
        <v>0</v>
      </c>
      <c r="M379" s="16" t="b">
        <f>IFERROR(__xludf.DUMMYFUNCTION("""COMPUTED_VALUE"""),FALSE)</f>
        <v>0</v>
      </c>
      <c r="N379" s="16"/>
    </row>
    <row r="380">
      <c r="A380" s="16" t="str">
        <f>IFERROR(__xludf.DUMMYFUNCTION("""COMPUTED_VALUE"""),"Divine Dragon's Breath")</f>
        <v>Divine Dragon's Breath</v>
      </c>
      <c r="B380" s="120">
        <f>IFERROR(__xludf.DUMMYFUNCTION("""COMPUTED_VALUE"""),9.0)</f>
        <v>9</v>
      </c>
      <c r="C380" s="16">
        <f>IFERROR(__xludf.DUMMYFUNCTION("""COMPUTED_VALUE"""),0.0)</f>
        <v>0</v>
      </c>
      <c r="D380" s="16"/>
      <c r="E380" s="16" t="str">
        <f>IFERROR(__xludf.DUMMYFUNCTION("""COMPUTED_VALUE"""),"Deals X*6 [Element] damage, X is equal to the casters accuracy. The Element is equal to the type of main elements the caster uses. Also has a 100% chance to inflict an effect befitting the element used.")</f>
        <v>Deals X*6 [Element] damage, X is equal to the casters accuracy. The Element is equal to the type of main elements the caster uses. Also has a 100% chance to inflict an effect befitting the element used.</v>
      </c>
      <c r="F380" s="16" t="str">
        <f>IFERROR(__xludf.DUMMYFUNCTION("""COMPUTED_VALUE"""),"Natural/Cannot Avoid")</f>
        <v>Natural/Cannot Avoid</v>
      </c>
      <c r="G380" s="16" t="str">
        <f>IFERROR(__xludf.DUMMYFUNCTION("""COMPUTED_VALUE"""),"All")</f>
        <v>All</v>
      </c>
      <c r="H380" s="16" t="str">
        <f>IFERROR(__xludf.DUMMYFUNCTION("""COMPUTED_VALUE"""),"Physical")</f>
        <v>Physical</v>
      </c>
      <c r="I380" s="16" t="str">
        <f>IFERROR(__xludf.DUMMYFUNCTION("""COMPUTED_VALUE"""),"Mob")</f>
        <v>Mob</v>
      </c>
      <c r="J380" s="16" t="b">
        <f>IFERROR(__xludf.DUMMYFUNCTION("""COMPUTED_VALUE"""),TRUE)</f>
        <v>1</v>
      </c>
      <c r="K380" s="16"/>
      <c r="L380" s="16" t="b">
        <f>IFERROR(__xludf.DUMMYFUNCTION("""COMPUTED_VALUE"""),FALSE)</f>
        <v>0</v>
      </c>
      <c r="M380" s="16" t="b">
        <f>IFERROR(__xludf.DUMMYFUNCTION("""COMPUTED_VALUE"""),FALSE)</f>
        <v>0</v>
      </c>
      <c r="N380" s="16"/>
    </row>
    <row r="381">
      <c r="A381" s="16" t="str">
        <f>IFERROR(__xludf.DUMMYFUNCTION("""COMPUTED_VALUE"""),"Trample")</f>
        <v>Trample</v>
      </c>
      <c r="B381" s="120">
        <f>IFERROR(__xludf.DUMMYFUNCTION("""COMPUTED_VALUE"""),1.0)</f>
        <v>1</v>
      </c>
      <c r="C381" s="16">
        <f>IFERROR(__xludf.DUMMYFUNCTION("""COMPUTED_VALUE"""),0.0)</f>
        <v>0</v>
      </c>
      <c r="D381" s="16"/>
      <c r="E381" s="16" t="str">
        <f>IFERROR(__xludf.DUMMYFUNCTION("""COMPUTED_VALUE"""),"Deal damage equal to your attack.")</f>
        <v>Deal damage equal to your attack.</v>
      </c>
      <c r="F381" s="16" t="str">
        <f>IFERROR(__xludf.DUMMYFUNCTION("""COMPUTED_VALUE"""),"Natural/Hit or Miss")</f>
        <v>Natural/Hit or Miss</v>
      </c>
      <c r="G381" s="16">
        <f>IFERROR(__xludf.DUMMYFUNCTION("""COMPUTED_VALUE"""),1.0)</f>
        <v>1</v>
      </c>
      <c r="H381" s="16" t="str">
        <f>IFERROR(__xludf.DUMMYFUNCTION("""COMPUTED_VALUE"""),"Physical")</f>
        <v>Physical</v>
      </c>
      <c r="I381" s="16" t="str">
        <f>IFERROR(__xludf.DUMMYFUNCTION("""COMPUTED_VALUE"""),"Mob")</f>
        <v>Mob</v>
      </c>
      <c r="J381" s="16" t="b">
        <f>IFERROR(__xludf.DUMMYFUNCTION("""COMPUTED_VALUE"""),TRUE)</f>
        <v>1</v>
      </c>
      <c r="K381" s="16"/>
      <c r="L381" s="16" t="b">
        <f>IFERROR(__xludf.DUMMYFUNCTION("""COMPUTED_VALUE"""),FALSE)</f>
        <v>0</v>
      </c>
      <c r="M381" s="16" t="b">
        <f>IFERROR(__xludf.DUMMYFUNCTION("""COMPUTED_VALUE"""),FALSE)</f>
        <v>0</v>
      </c>
      <c r="N381" s="16"/>
    </row>
    <row r="382">
      <c r="A382" s="16" t="str">
        <f>IFERROR(__xludf.DUMMYFUNCTION("""COMPUTED_VALUE"""),"Antler Stab")</f>
        <v>Antler Stab</v>
      </c>
      <c r="B382" s="120">
        <f>IFERROR(__xludf.DUMMYFUNCTION("""COMPUTED_VALUE"""),1.0)</f>
        <v>1</v>
      </c>
      <c r="C382" s="16">
        <f>IFERROR(__xludf.DUMMYFUNCTION("""COMPUTED_VALUE"""),0.0)</f>
        <v>0</v>
      </c>
      <c r="D382" s="16"/>
      <c r="E382" s="16" t="str">
        <f>IFERROR(__xludf.DUMMYFUNCTION("""COMPUTED_VALUE"""),"Deal damage equal to your attack.")</f>
        <v>Deal damage equal to your attack.</v>
      </c>
      <c r="F382" s="16" t="str">
        <f>IFERROR(__xludf.DUMMYFUNCTION("""COMPUTED_VALUE"""),"Natural/Hit or Miss")</f>
        <v>Natural/Hit or Miss</v>
      </c>
      <c r="G382" s="16">
        <f>IFERROR(__xludf.DUMMYFUNCTION("""COMPUTED_VALUE"""),1.0)</f>
        <v>1</v>
      </c>
      <c r="H382" s="16" t="str">
        <f>IFERROR(__xludf.DUMMYFUNCTION("""COMPUTED_VALUE"""),"Physical")</f>
        <v>Physical</v>
      </c>
      <c r="I382" s="16" t="str">
        <f>IFERROR(__xludf.DUMMYFUNCTION("""COMPUTED_VALUE"""),"Mob")</f>
        <v>Mob</v>
      </c>
      <c r="J382" s="16" t="b">
        <f>IFERROR(__xludf.DUMMYFUNCTION("""COMPUTED_VALUE"""),TRUE)</f>
        <v>1</v>
      </c>
      <c r="K382" s="16"/>
      <c r="L382" s="16" t="b">
        <f>IFERROR(__xludf.DUMMYFUNCTION("""COMPUTED_VALUE"""),FALSE)</f>
        <v>0</v>
      </c>
      <c r="M382" s="16" t="b">
        <f>IFERROR(__xludf.DUMMYFUNCTION("""COMPUTED_VALUE"""),FALSE)</f>
        <v>0</v>
      </c>
      <c r="N382" s="16"/>
    </row>
    <row r="383">
      <c r="A383" s="16" t="str">
        <f>IFERROR(__xludf.DUMMYFUNCTION("""COMPUTED_VALUE"""),"Acidic Claws")</f>
        <v>Acidic Claws</v>
      </c>
      <c r="B383" s="120">
        <f>IFERROR(__xludf.DUMMYFUNCTION("""COMPUTED_VALUE"""),1.0)</f>
        <v>1</v>
      </c>
      <c r="C383" s="16">
        <f>IFERROR(__xludf.DUMMYFUNCTION("""COMPUTED_VALUE"""),0.0)</f>
        <v>0</v>
      </c>
      <c r="D383" s="16"/>
      <c r="E383" s="16" t="str">
        <f>IFERROR(__xludf.DUMMYFUNCTION("""COMPUTED_VALUE"""),"Poison X and Bleed X per round to 1 target, where X is equal to your attack.")</f>
        <v>Poison X and Bleed X per round to 1 target, where X is equal to your attack.</v>
      </c>
      <c r="F383" s="16" t="str">
        <f>IFERROR(__xludf.DUMMYFUNCTION("""COMPUTED_VALUE"""),"Natural/Hit or Miss")</f>
        <v>Natural/Hit or Miss</v>
      </c>
      <c r="G383" s="16">
        <f>IFERROR(__xludf.DUMMYFUNCTION("""COMPUTED_VALUE"""),1.0)</f>
        <v>1</v>
      </c>
      <c r="H383" s="16" t="str">
        <f>IFERROR(__xludf.DUMMYFUNCTION("""COMPUTED_VALUE"""),"Physical")</f>
        <v>Physical</v>
      </c>
      <c r="I383" s="16" t="str">
        <f>IFERROR(__xludf.DUMMYFUNCTION("""COMPUTED_VALUE"""),"Mob")</f>
        <v>Mob</v>
      </c>
      <c r="J383" s="16" t="b">
        <f>IFERROR(__xludf.DUMMYFUNCTION("""COMPUTED_VALUE"""),TRUE)</f>
        <v>1</v>
      </c>
      <c r="K383" s="16"/>
      <c r="L383" s="16" t="b">
        <f>IFERROR(__xludf.DUMMYFUNCTION("""COMPUTED_VALUE"""),FALSE)</f>
        <v>0</v>
      </c>
      <c r="M383" s="16" t="b">
        <f>IFERROR(__xludf.DUMMYFUNCTION("""COMPUTED_VALUE"""),FALSE)</f>
        <v>0</v>
      </c>
      <c r="N383" s="16"/>
    </row>
    <row r="384">
      <c r="A384" s="16" t="str">
        <f>IFERROR(__xludf.DUMMYFUNCTION("""COMPUTED_VALUE"""),"Acidic Jaws")</f>
        <v>Acidic Jaws</v>
      </c>
      <c r="B384" s="120">
        <f>IFERROR(__xludf.DUMMYFUNCTION("""COMPUTED_VALUE"""),1.0)</f>
        <v>1</v>
      </c>
      <c r="C384" s="16">
        <f>IFERROR(__xludf.DUMMYFUNCTION("""COMPUTED_VALUE"""),0.0)</f>
        <v>0</v>
      </c>
      <c r="D384" s="16"/>
      <c r="E384" s="16" t="str">
        <f>IFERROR(__xludf.DUMMYFUNCTION("""COMPUTED_VALUE"""),"Poison X*2 per round to 1 target, where X is equal to your attack. 25% chance this action activates again.")</f>
        <v>Poison X*2 per round to 1 target, where X is equal to your attack. 25% chance this action activates again.</v>
      </c>
      <c r="F384" s="16" t="str">
        <f>IFERROR(__xludf.DUMMYFUNCTION("""COMPUTED_VALUE"""),"Natural/Hit or Miss")</f>
        <v>Natural/Hit or Miss</v>
      </c>
      <c r="G384" s="16">
        <f>IFERROR(__xludf.DUMMYFUNCTION("""COMPUTED_VALUE"""),1.0)</f>
        <v>1</v>
      </c>
      <c r="H384" s="16" t="str">
        <f>IFERROR(__xludf.DUMMYFUNCTION("""COMPUTED_VALUE"""),"Physical")</f>
        <v>Physical</v>
      </c>
      <c r="I384" s="16" t="str">
        <f>IFERROR(__xludf.DUMMYFUNCTION("""COMPUTED_VALUE"""),"Mob")</f>
        <v>Mob</v>
      </c>
      <c r="J384" s="16" t="b">
        <f>IFERROR(__xludf.DUMMYFUNCTION("""COMPUTED_VALUE"""),TRUE)</f>
        <v>1</v>
      </c>
      <c r="K384" s="16"/>
      <c r="L384" s="16" t="b">
        <f>IFERROR(__xludf.DUMMYFUNCTION("""COMPUTED_VALUE"""),FALSE)</f>
        <v>0</v>
      </c>
      <c r="M384" s="16" t="b">
        <f>IFERROR(__xludf.DUMMYFUNCTION("""COMPUTED_VALUE"""),FALSE)</f>
        <v>0</v>
      </c>
      <c r="N384" s="16"/>
    </row>
    <row r="385">
      <c r="A385" s="16" t="str">
        <f>IFERROR(__xludf.DUMMYFUNCTION("""COMPUTED_VALUE"""),"Camouflage")</f>
        <v>Camouflage</v>
      </c>
      <c r="B385" s="120">
        <f>IFERROR(__xludf.DUMMYFUNCTION("""COMPUTED_VALUE"""),1.0)</f>
        <v>1</v>
      </c>
      <c r="C385" s="16">
        <f>IFERROR(__xludf.DUMMYFUNCTION("""COMPUTED_VALUE"""),0.0)</f>
        <v>0</v>
      </c>
      <c r="D385" s="16"/>
      <c r="E385" s="16" t="str">
        <f>IFERROR(__xludf.DUMMYFUNCTION("""COMPUTED_VALUE"""),"Blend in with your surroundings concealing yourself, You are concealed as long as you don’t attack. You cannot be attacked or affected by spells while invisible.")</f>
        <v>Blend in with your surroundings concealing yourself, You are concealed as long as you don’t attack. You cannot be attacked or affected by spells while invisible.</v>
      </c>
      <c r="F385" s="16" t="str">
        <f>IFERROR(__xludf.DUMMYFUNCTION("""COMPUTED_VALUE"""),"Natural/Fail or Succeed")</f>
        <v>Natural/Fail or Succeed</v>
      </c>
      <c r="G385" s="16" t="str">
        <f>IFERROR(__xludf.DUMMYFUNCTION("""COMPUTED_VALUE"""),"Self")</f>
        <v>Self</v>
      </c>
      <c r="H385" s="16" t="str">
        <f>IFERROR(__xludf.DUMMYFUNCTION("""COMPUTED_VALUE"""),"Physical")</f>
        <v>Physical</v>
      </c>
      <c r="I385" s="16" t="str">
        <f>IFERROR(__xludf.DUMMYFUNCTION("""COMPUTED_VALUE"""),"Mob")</f>
        <v>Mob</v>
      </c>
      <c r="J385" s="16" t="b">
        <f>IFERROR(__xludf.DUMMYFUNCTION("""COMPUTED_VALUE"""),TRUE)</f>
        <v>1</v>
      </c>
      <c r="K385" s="16"/>
      <c r="L385" s="16" t="b">
        <f>IFERROR(__xludf.DUMMYFUNCTION("""COMPUTED_VALUE"""),FALSE)</f>
        <v>0</v>
      </c>
      <c r="M385" s="16" t="b">
        <f>IFERROR(__xludf.DUMMYFUNCTION("""COMPUTED_VALUE"""),FALSE)</f>
        <v>0</v>
      </c>
      <c r="N385" s="16"/>
    </row>
    <row r="386">
      <c r="A386" s="16" t="str">
        <f>IFERROR(__xludf.DUMMYFUNCTION("""COMPUTED_VALUE"""),"[Element] Shot")</f>
        <v>[Element] Shot</v>
      </c>
      <c r="B386" s="120">
        <f>IFERROR(__xludf.DUMMYFUNCTION("""COMPUTED_VALUE"""),4.0)</f>
        <v>4</v>
      </c>
      <c r="C386" s="16">
        <f>IFERROR(__xludf.DUMMYFUNCTION("""COMPUTED_VALUE"""),40.0)</f>
        <v>40</v>
      </c>
      <c r="D386" s="16"/>
      <c r="E386" s="16" t="str">
        <f>IFERROR(__xludf.DUMMYFUNCTION("""COMPUTED_VALUE"""),"Select an equipped ranged weapon and apply additional [Element] damage to it equal to your accuracy. (Cannot choose celestial unless level 200 or higher).")</f>
        <v>Select an equipped ranged weapon and apply additional [Element] damage to it equal to your accuracy. (Cannot choose celestial unless level 200 or higher).</v>
      </c>
      <c r="F386" s="16" t="str">
        <f>IFERROR(__xludf.DUMMYFUNCTION("""COMPUTED_VALUE"""),"Fail/succeed")</f>
        <v>Fail/succeed</v>
      </c>
      <c r="G386" s="16"/>
      <c r="H386" s="16" t="str">
        <f>IFERROR(__xludf.DUMMYFUNCTION("""COMPUTED_VALUE"""),"Ranged")</f>
        <v>Ranged</v>
      </c>
      <c r="I386" s="16" t="str">
        <f>IFERROR(__xludf.DUMMYFUNCTION("""COMPUTED_VALUE"""),"Player")</f>
        <v>Player</v>
      </c>
      <c r="J386" s="16" t="b">
        <f>IFERROR(__xludf.DUMMYFUNCTION("""COMPUTED_VALUE"""),FALSE)</f>
        <v>0</v>
      </c>
      <c r="K386" s="16"/>
      <c r="L386" s="16" t="b">
        <f>IFERROR(__xludf.DUMMYFUNCTION("""COMPUTED_VALUE"""),FALSE)</f>
        <v>0</v>
      </c>
      <c r="M386" s="16" t="b">
        <f>IFERROR(__xludf.DUMMYFUNCTION("""COMPUTED_VALUE"""),TRUE)</f>
        <v>1</v>
      </c>
      <c r="N386" s="16"/>
    </row>
    <row r="387">
      <c r="A387" s="16" t="str">
        <f>IFERROR(__xludf.DUMMYFUNCTION("""COMPUTED_VALUE"""),"Accuracy Boost")</f>
        <v>Accuracy Boost</v>
      </c>
      <c r="B387" s="120">
        <f>IFERROR(__xludf.DUMMYFUNCTION("""COMPUTED_VALUE"""),6.0)</f>
        <v>6</v>
      </c>
      <c r="C387" s="16">
        <f>IFERROR(__xludf.DUMMYFUNCTION("""COMPUTED_VALUE"""),60.0)</f>
        <v>60</v>
      </c>
      <c r="D387" s="16"/>
      <c r="E387" s="16" t="str">
        <f>IFERROR(__xludf.DUMMYFUNCTION("""COMPUTED_VALUE"""),"Raise accuracy by X2 for 3 rounds (1 use)")</f>
        <v>Raise accuracy by X2 for 3 rounds (1 use)</v>
      </c>
      <c r="F387" s="16" t="str">
        <f>IFERROR(__xludf.DUMMYFUNCTION("""COMPUTED_VALUE"""),"Will Succeed")</f>
        <v>Will Succeed</v>
      </c>
      <c r="G387" s="16"/>
      <c r="H387" s="16" t="str">
        <f>IFERROR(__xludf.DUMMYFUNCTION("""COMPUTED_VALUE"""),"Ranged")</f>
        <v>Ranged</v>
      </c>
      <c r="I387" s="16" t="str">
        <f>IFERROR(__xludf.DUMMYFUNCTION("""COMPUTED_VALUE"""),"Player")</f>
        <v>Player</v>
      </c>
      <c r="J387" s="16" t="b">
        <f>IFERROR(__xludf.DUMMYFUNCTION("""COMPUTED_VALUE"""),FALSE)</f>
        <v>0</v>
      </c>
      <c r="K387" s="16"/>
      <c r="L387" s="16" t="b">
        <f>IFERROR(__xludf.DUMMYFUNCTION("""COMPUTED_VALUE"""),FALSE)</f>
        <v>0</v>
      </c>
      <c r="M387" s="16" t="b">
        <f>IFERROR(__xludf.DUMMYFUNCTION("""COMPUTED_VALUE"""),TRUE)</f>
        <v>1</v>
      </c>
      <c r="N387" s="16"/>
    </row>
    <row r="388">
      <c r="A388" s="16" t="str">
        <f>IFERROR(__xludf.DUMMYFUNCTION("""COMPUTED_VALUE"""),"Archer’s Wrath")</f>
        <v>Archer’s Wrath</v>
      </c>
      <c r="B388" s="120">
        <f>IFERROR(__xludf.DUMMYFUNCTION("""COMPUTED_VALUE"""),5.0)</f>
        <v>5</v>
      </c>
      <c r="C388" s="16" t="str">
        <f>IFERROR(__xludf.DUMMYFUNCTION("""COMPUTED_VALUE"""),"X")</f>
        <v>X</v>
      </c>
      <c r="D388" s="16"/>
      <c r="E388" s="16" t="str">
        <f>IFERROR(__xludf.DUMMYFUNCTION("""COMPUTED_VALUE"""),"Roll a D20 for additional accuracy, times it by the amount of mana you pay.")</f>
        <v>Roll a D20 for additional accuracy, times it by the amount of mana you pay.</v>
      </c>
      <c r="F388" s="16" t="str">
        <f>IFERROR(__xludf.DUMMYFUNCTION("""COMPUTED_VALUE"""),"Will Succeed")</f>
        <v>Will Succeed</v>
      </c>
      <c r="G388" s="16"/>
      <c r="H388" s="16" t="str">
        <f>IFERROR(__xludf.DUMMYFUNCTION("""COMPUTED_VALUE"""),"Ranged")</f>
        <v>Ranged</v>
      </c>
      <c r="I388" s="16" t="str">
        <f>IFERROR(__xludf.DUMMYFUNCTION("""COMPUTED_VALUE"""),"Player")</f>
        <v>Player</v>
      </c>
      <c r="J388" s="16" t="b">
        <f>IFERROR(__xludf.DUMMYFUNCTION("""COMPUTED_VALUE"""),FALSE)</f>
        <v>0</v>
      </c>
      <c r="K388" s="16"/>
      <c r="L388" s="16" t="b">
        <f>IFERROR(__xludf.DUMMYFUNCTION("""COMPUTED_VALUE"""),FALSE)</f>
        <v>0</v>
      </c>
      <c r="M388" s="16" t="b">
        <f>IFERROR(__xludf.DUMMYFUNCTION("""COMPUTED_VALUE"""),TRUE)</f>
        <v>1</v>
      </c>
      <c r="N388" s="16"/>
    </row>
    <row r="389">
      <c r="A389" s="16" t="str">
        <f>IFERROR(__xludf.DUMMYFUNCTION("""COMPUTED_VALUE"""),"Bullseye")</f>
        <v>Bullseye</v>
      </c>
      <c r="B389" s="120">
        <f>IFERROR(__xludf.DUMMYFUNCTION("""COMPUTED_VALUE"""),9.0)</f>
        <v>9</v>
      </c>
      <c r="C389" s="16">
        <f>IFERROR(__xludf.DUMMYFUNCTION("""COMPUTED_VALUE"""),300.0)</f>
        <v>300</v>
      </c>
      <c r="D389" s="16"/>
      <c r="E389" s="16" t="str">
        <f>IFERROR(__xludf.DUMMYFUNCTION("""COMPUTED_VALUE"""),"Caster will hit the target during their next attack even when the target has a higher evade roll, 90% chance to instantly kill the target.")</f>
        <v>Caster will hit the target during their next attack even when the target has a higher evade roll, 90% chance to instantly kill the target.</v>
      </c>
      <c r="F389" s="16" t="str">
        <f>IFERROR(__xludf.DUMMYFUNCTION("""COMPUTED_VALUE"""),"Fail/succeed")</f>
        <v>Fail/succeed</v>
      </c>
      <c r="G389" s="16"/>
      <c r="H389" s="16" t="str">
        <f>IFERROR(__xludf.DUMMYFUNCTION("""COMPUTED_VALUE"""),"Ranged")</f>
        <v>Ranged</v>
      </c>
      <c r="I389" s="16" t="str">
        <f>IFERROR(__xludf.DUMMYFUNCTION("""COMPUTED_VALUE"""),"Player")</f>
        <v>Player</v>
      </c>
      <c r="J389" s="16" t="b">
        <f>IFERROR(__xludf.DUMMYFUNCTION("""COMPUTED_VALUE"""),FALSE)</f>
        <v>0</v>
      </c>
      <c r="K389" s="16"/>
      <c r="L389" s="16" t="b">
        <f>IFERROR(__xludf.DUMMYFUNCTION("""COMPUTED_VALUE"""),FALSE)</f>
        <v>0</v>
      </c>
      <c r="M389" s="16" t="b">
        <f>IFERROR(__xludf.DUMMYFUNCTION("""COMPUTED_VALUE"""),TRUE)</f>
        <v>1</v>
      </c>
      <c r="N389" s="16"/>
    </row>
    <row r="390">
      <c r="A390" s="16" t="str">
        <f>IFERROR(__xludf.DUMMYFUNCTION("""COMPUTED_VALUE"""),"Good shot")</f>
        <v>Good shot</v>
      </c>
      <c r="B390" s="120">
        <f>IFERROR(__xludf.DUMMYFUNCTION("""COMPUTED_VALUE"""),1.0)</f>
        <v>1</v>
      </c>
      <c r="C390" s="16">
        <f>IFERROR(__xludf.DUMMYFUNCTION("""COMPUTED_VALUE"""),10.0)</f>
        <v>10</v>
      </c>
      <c r="D390" s="16"/>
      <c r="E390" s="16" t="str">
        <f>IFERROR(__xludf.DUMMYFUNCTION("""COMPUTED_VALUE"""),"Roll for a ranged attack twice take the higher")</f>
        <v>Roll for a ranged attack twice take the higher</v>
      </c>
      <c r="F390" s="16" t="str">
        <f>IFERROR(__xludf.DUMMYFUNCTION("""COMPUTED_VALUE"""),"Will Succeed")</f>
        <v>Will Succeed</v>
      </c>
      <c r="G390" s="16" t="str">
        <f>IFERROR(__xludf.DUMMYFUNCTION("""COMPUTED_VALUE"""),"Self")</f>
        <v>Self</v>
      </c>
      <c r="H390" s="16" t="str">
        <f>IFERROR(__xludf.DUMMYFUNCTION("""COMPUTED_VALUE"""),"Ranged")</f>
        <v>Ranged</v>
      </c>
      <c r="I390" s="16" t="str">
        <f>IFERROR(__xludf.DUMMYFUNCTION("""COMPUTED_VALUE"""),"Player")</f>
        <v>Player</v>
      </c>
      <c r="J390" s="16" t="b">
        <f>IFERROR(__xludf.DUMMYFUNCTION("""COMPUTED_VALUE"""),FALSE)</f>
        <v>0</v>
      </c>
      <c r="K390" s="16"/>
      <c r="L390" s="16" t="b">
        <f>IFERROR(__xludf.DUMMYFUNCTION("""COMPUTED_VALUE"""),FALSE)</f>
        <v>0</v>
      </c>
      <c r="M390" s="16" t="b">
        <f>IFERROR(__xludf.DUMMYFUNCTION("""COMPUTED_VALUE"""),TRUE)</f>
        <v>1</v>
      </c>
      <c r="N390" s="16"/>
    </row>
    <row r="391">
      <c r="A391" s="16" t="str">
        <f>IFERROR(__xludf.DUMMYFUNCTION("""COMPUTED_VALUE"""),"Lock On")</f>
        <v>Lock On</v>
      </c>
      <c r="B391" s="120">
        <f>IFERROR(__xludf.DUMMYFUNCTION("""COMPUTED_VALUE"""),7.0)</f>
        <v>7</v>
      </c>
      <c r="C391" s="16">
        <f>IFERROR(__xludf.DUMMYFUNCTION("""COMPUTED_VALUE"""),100.0)</f>
        <v>100</v>
      </c>
      <c r="D391" s="16"/>
      <c r="E391" s="16" t="str">
        <f>IFERROR(__xludf.DUMMYFUNCTION("""COMPUTED_VALUE"""),"Target cannot evade for 3 rounds.")</f>
        <v>Target cannot evade for 3 rounds.</v>
      </c>
      <c r="F391" s="16" t="str">
        <f>IFERROR(__xludf.DUMMYFUNCTION("""COMPUTED_VALUE"""),"Fail/succeed")</f>
        <v>Fail/succeed</v>
      </c>
      <c r="G391" s="16"/>
      <c r="H391" s="16" t="str">
        <f>IFERROR(__xludf.DUMMYFUNCTION("""COMPUTED_VALUE"""),"Ranged")</f>
        <v>Ranged</v>
      </c>
      <c r="I391" s="16" t="str">
        <f>IFERROR(__xludf.DUMMYFUNCTION("""COMPUTED_VALUE"""),"Player")</f>
        <v>Player</v>
      </c>
      <c r="J391" s="16" t="b">
        <f>IFERROR(__xludf.DUMMYFUNCTION("""COMPUTED_VALUE"""),FALSE)</f>
        <v>0</v>
      </c>
      <c r="K391" s="16"/>
      <c r="L391" s="16" t="b">
        <f>IFERROR(__xludf.DUMMYFUNCTION("""COMPUTED_VALUE"""),FALSE)</f>
        <v>0</v>
      </c>
      <c r="M391" s="16" t="b">
        <f>IFERROR(__xludf.DUMMYFUNCTION("""COMPUTED_VALUE"""),TRUE)</f>
        <v>1</v>
      </c>
      <c r="N391" s="16"/>
    </row>
    <row r="392">
      <c r="A392" s="16" t="str">
        <f>IFERROR(__xludf.DUMMYFUNCTION("""COMPUTED_VALUE"""),"Multishot")</f>
        <v>Multishot</v>
      </c>
      <c r="B392" s="120">
        <f>IFERROR(__xludf.DUMMYFUNCTION("""COMPUTED_VALUE"""),9.0)</f>
        <v>9</v>
      </c>
      <c r="C392" s="16" t="str">
        <f>IFERROR(__xludf.DUMMYFUNCTION("""COMPUTED_VALUE"""),"X*300")</f>
        <v>X*300</v>
      </c>
      <c r="D392" s="16"/>
      <c r="E392" s="16" t="str">
        <f>IFERROR(__xludf.DUMMYFUNCTION("""COMPUTED_VALUE"""),"Multiples the damage of the next attack by X. X= SP you pay for X Cost.")</f>
        <v>Multiples the damage of the next attack by X. X= SP you pay for X Cost.</v>
      </c>
      <c r="F392" s="16" t="str">
        <f>IFERROR(__xludf.DUMMYFUNCTION("""COMPUTED_VALUE"""),"Fail/succeed")</f>
        <v>Fail/succeed</v>
      </c>
      <c r="G392" s="16"/>
      <c r="H392" s="16" t="str">
        <f>IFERROR(__xludf.DUMMYFUNCTION("""COMPUTED_VALUE"""),"Ranged")</f>
        <v>Ranged</v>
      </c>
      <c r="I392" s="16" t="str">
        <f>IFERROR(__xludf.DUMMYFUNCTION("""COMPUTED_VALUE"""),"Player")</f>
        <v>Player</v>
      </c>
      <c r="J392" s="16" t="b">
        <f>IFERROR(__xludf.DUMMYFUNCTION("""COMPUTED_VALUE"""),FALSE)</f>
        <v>0</v>
      </c>
      <c r="K392" s="16"/>
      <c r="L392" s="16" t="b">
        <f>IFERROR(__xludf.DUMMYFUNCTION("""COMPUTED_VALUE"""),FALSE)</f>
        <v>0</v>
      </c>
      <c r="M392" s="16" t="b">
        <f>IFERROR(__xludf.DUMMYFUNCTION("""COMPUTED_VALUE"""),TRUE)</f>
        <v>1</v>
      </c>
      <c r="N392" s="16"/>
    </row>
    <row r="393">
      <c r="A393" s="16" t="str">
        <f>IFERROR(__xludf.DUMMYFUNCTION("""COMPUTED_VALUE"""),"Pinning shot")</f>
        <v>Pinning shot</v>
      </c>
      <c r="B393" s="120">
        <f>IFERROR(__xludf.DUMMYFUNCTION("""COMPUTED_VALUE"""),3.0)</f>
        <v>3</v>
      </c>
      <c r="C393" s="16">
        <f>IFERROR(__xludf.DUMMYFUNCTION("""COMPUTED_VALUE"""),30.0)</f>
        <v>30</v>
      </c>
      <c r="D393" s="16"/>
      <c r="E393" s="16" t="str">
        <f>IFERROR(__xludf.DUMMYFUNCTION("""COMPUTED_VALUE"""),"The target is immobilized until the end of its next turn.")</f>
        <v>The target is immobilized until the end of its next turn.</v>
      </c>
      <c r="F393" s="16" t="str">
        <f>IFERROR(__xludf.DUMMYFUNCTION("""COMPUTED_VALUE"""),"Fail/succeed")</f>
        <v>Fail/succeed</v>
      </c>
      <c r="G393" s="16"/>
      <c r="H393" s="16" t="str">
        <f>IFERROR(__xludf.DUMMYFUNCTION("""COMPUTED_VALUE"""),"Ranged")</f>
        <v>Ranged</v>
      </c>
      <c r="I393" s="16" t="str">
        <f>IFERROR(__xludf.DUMMYFUNCTION("""COMPUTED_VALUE"""),"Player")</f>
        <v>Player</v>
      </c>
      <c r="J393" s="16" t="b">
        <f>IFERROR(__xludf.DUMMYFUNCTION("""COMPUTED_VALUE"""),FALSE)</f>
        <v>0</v>
      </c>
      <c r="K393" s="16"/>
      <c r="L393" s="16" t="b">
        <f>IFERROR(__xludf.DUMMYFUNCTION("""COMPUTED_VALUE"""),FALSE)</f>
        <v>0</v>
      </c>
      <c r="M393" s="16" t="b">
        <f>IFERROR(__xludf.DUMMYFUNCTION("""COMPUTED_VALUE"""),TRUE)</f>
        <v>1</v>
      </c>
      <c r="N393" s="16"/>
    </row>
    <row r="394">
      <c r="A394" s="16" t="str">
        <f>IFERROR(__xludf.DUMMYFUNCTION("""COMPUTED_VALUE"""),"Rapid Swoop")</f>
        <v>Rapid Swoop</v>
      </c>
      <c r="B394" s="120">
        <f>IFERROR(__xludf.DUMMYFUNCTION("""COMPUTED_VALUE"""),1.0)</f>
        <v>1</v>
      </c>
      <c r="C394" s="16">
        <f>IFERROR(__xludf.DUMMYFUNCTION("""COMPUTED_VALUE"""),0.0)</f>
        <v>0</v>
      </c>
      <c r="D394" s="16"/>
      <c r="E394" s="16" t="str">
        <f>IFERROR(__xludf.DUMMYFUNCTION("""COMPUTED_VALUE"""),"D20x1000 damage.")</f>
        <v>D20x1000 damage.</v>
      </c>
      <c r="F394" s="16" t="str">
        <f>IFERROR(__xludf.DUMMYFUNCTION("""COMPUTED_VALUE"""),"Natural/Hit or Miss")</f>
        <v>Natural/Hit or Miss</v>
      </c>
      <c r="G394" s="16">
        <f>IFERROR(__xludf.DUMMYFUNCTION("""COMPUTED_VALUE"""),1.0)</f>
        <v>1</v>
      </c>
      <c r="H394" s="16" t="str">
        <f>IFERROR(__xludf.DUMMYFUNCTION("""COMPUTED_VALUE"""),"Ranged")</f>
        <v>Ranged</v>
      </c>
      <c r="I394" s="16" t="str">
        <f>IFERROR(__xludf.DUMMYFUNCTION("""COMPUTED_VALUE"""),"Mob")</f>
        <v>Mob</v>
      </c>
      <c r="J394" s="16" t="b">
        <f>IFERROR(__xludf.DUMMYFUNCTION("""COMPUTED_VALUE"""),TRUE)</f>
        <v>1</v>
      </c>
      <c r="K394" s="16"/>
      <c r="L394" s="16" t="b">
        <f>IFERROR(__xludf.DUMMYFUNCTION("""COMPUTED_VALUE"""),FALSE)</f>
        <v>0</v>
      </c>
      <c r="M394" s="16" t="b">
        <f>IFERROR(__xludf.DUMMYFUNCTION("""COMPUTED_VALUE"""),TRUE)</f>
        <v>1</v>
      </c>
      <c r="N394" s="16"/>
    </row>
    <row r="395">
      <c r="A395" s="16" t="str">
        <f>IFERROR(__xludf.DUMMYFUNCTION("""COMPUTED_VALUE"""),"Skydive")</f>
        <v>Skydive</v>
      </c>
      <c r="B395" s="120">
        <f>IFERROR(__xludf.DUMMYFUNCTION("""COMPUTED_VALUE"""),1.0)</f>
        <v>1</v>
      </c>
      <c r="C395" s="16">
        <f>IFERROR(__xludf.DUMMYFUNCTION("""COMPUTED_VALUE"""),0.0)</f>
        <v>0</v>
      </c>
      <c r="D395" s="16"/>
      <c r="E395" s="16" t="str">
        <f>IFERROR(__xludf.DUMMYFUNCTION("""COMPUTED_VALUE"""),"5000 damage")</f>
        <v>5000 damage</v>
      </c>
      <c r="F395" s="16" t="str">
        <f>IFERROR(__xludf.DUMMYFUNCTION("""COMPUTED_VALUE"""),"Natural/Hit or Miss")</f>
        <v>Natural/Hit or Miss</v>
      </c>
      <c r="G395" s="16">
        <f>IFERROR(__xludf.DUMMYFUNCTION("""COMPUTED_VALUE"""),1.0)</f>
        <v>1</v>
      </c>
      <c r="H395" s="16" t="str">
        <f>IFERROR(__xludf.DUMMYFUNCTION("""COMPUTED_VALUE"""),"Ranged")</f>
        <v>Ranged</v>
      </c>
      <c r="I395" s="16" t="str">
        <f>IFERROR(__xludf.DUMMYFUNCTION("""COMPUTED_VALUE"""),"Mob")</f>
        <v>Mob</v>
      </c>
      <c r="J395" s="16" t="b">
        <f>IFERROR(__xludf.DUMMYFUNCTION("""COMPUTED_VALUE"""),TRUE)</f>
        <v>1</v>
      </c>
      <c r="K395" s="16"/>
      <c r="L395" s="16" t="b">
        <f>IFERROR(__xludf.DUMMYFUNCTION("""COMPUTED_VALUE"""),FALSE)</f>
        <v>0</v>
      </c>
      <c r="M395" s="16" t="b">
        <f>IFERROR(__xludf.DUMMYFUNCTION("""COMPUTED_VALUE"""),FALSE)</f>
        <v>0</v>
      </c>
      <c r="N395" s="16"/>
    </row>
    <row r="396">
      <c r="A396" s="16" t="str">
        <f>IFERROR(__xludf.DUMMYFUNCTION("""COMPUTED_VALUE"""),"Thousand Arrows")</f>
        <v>Thousand Arrows</v>
      </c>
      <c r="B396" s="120">
        <f>IFERROR(__xludf.DUMMYFUNCTION("""COMPUTED_VALUE"""),9.0)</f>
        <v>9</v>
      </c>
      <c r="C396" s="16">
        <f>IFERROR(__xludf.DUMMYFUNCTION("""COMPUTED_VALUE"""),300.0)</f>
        <v>300</v>
      </c>
      <c r="D396" s="16"/>
      <c r="E396" s="16" t="str">
        <f>IFERROR(__xludf.DUMMYFUNCTION("""COMPUTED_VALUE"""),"Summons lots of arrows dealing d20x10,000 damage to all enemies, Requires X arrows, X is equal to what you roll.")</f>
        <v>Summons lots of arrows dealing d20x10,000 damage to all enemies, Requires X arrows, X is equal to what you roll.</v>
      </c>
      <c r="F396" s="16" t="str">
        <f>IFERROR(__xludf.DUMMYFUNCTION("""COMPUTED_VALUE"""),"Cannot Avoid")</f>
        <v>Cannot Avoid</v>
      </c>
      <c r="G396" s="16" t="str">
        <f>IFERROR(__xludf.DUMMYFUNCTION("""COMPUTED_VALUE"""),"All")</f>
        <v>All</v>
      </c>
      <c r="H396" s="16" t="str">
        <f>IFERROR(__xludf.DUMMYFUNCTION("""COMPUTED_VALUE"""),"Ranged")</f>
        <v>Ranged</v>
      </c>
      <c r="I396" s="16" t="str">
        <f>IFERROR(__xludf.DUMMYFUNCTION("""COMPUTED_VALUE"""),"Player")</f>
        <v>Player</v>
      </c>
      <c r="J396" s="16" t="b">
        <f>IFERROR(__xludf.DUMMYFUNCTION("""COMPUTED_VALUE"""),TRUE)</f>
        <v>1</v>
      </c>
      <c r="K396" s="16" t="str">
        <f>IFERROR(__xludf.DUMMYFUNCTION("""COMPUTED_VALUE"""),"shop spell")</f>
        <v>shop spell</v>
      </c>
      <c r="L396" s="16" t="b">
        <f>IFERROR(__xludf.DUMMYFUNCTION("""COMPUTED_VALUE"""),FALSE)</f>
        <v>0</v>
      </c>
      <c r="M396" s="16" t="b">
        <f>IFERROR(__xludf.DUMMYFUNCTION("""COMPUTED_VALUE"""),FALSE)</f>
        <v>0</v>
      </c>
      <c r="N396" s="16"/>
    </row>
    <row r="397">
      <c r="A397" s="16" t="str">
        <f>IFERROR(__xludf.DUMMYFUNCTION("""COMPUTED_VALUE"""),"Torpedo")</f>
        <v>Torpedo</v>
      </c>
      <c r="B397" s="120">
        <f>IFERROR(__xludf.DUMMYFUNCTION("""COMPUTED_VALUE"""),1.0)</f>
        <v>1</v>
      </c>
      <c r="C397" s="119">
        <f>IFERROR(__xludf.DUMMYFUNCTION("""COMPUTED_VALUE"""),0.0)</f>
        <v>0</v>
      </c>
      <c r="D397" s="16"/>
      <c r="E397" s="16" t="str">
        <f>IFERROR(__xludf.DUMMYFUNCTION("""COMPUTED_VALUE"""),"10,000 times d20 damage.")</f>
        <v>10,000 times d20 damage.</v>
      </c>
      <c r="F397" s="16" t="str">
        <f>IFERROR(__xludf.DUMMYFUNCTION("""COMPUTED_VALUE"""),"Natural/ Hit or Miss")</f>
        <v>Natural/ Hit or Miss</v>
      </c>
      <c r="G397" s="16">
        <f>IFERROR(__xludf.DUMMYFUNCTION("""COMPUTED_VALUE"""),1.0)</f>
        <v>1</v>
      </c>
      <c r="H397" s="16" t="str">
        <f>IFERROR(__xludf.DUMMYFUNCTION("""COMPUTED_VALUE"""),"Ranged")</f>
        <v>Ranged</v>
      </c>
      <c r="I397" s="16" t="str">
        <f>IFERROR(__xludf.DUMMYFUNCTION("""COMPUTED_VALUE"""),"Mob")</f>
        <v>Mob</v>
      </c>
      <c r="J397" s="16" t="b">
        <f>IFERROR(__xludf.DUMMYFUNCTION("""COMPUTED_VALUE"""),TRUE)</f>
        <v>1</v>
      </c>
      <c r="K397" s="16" t="str">
        <f>IFERROR(__xludf.DUMMYFUNCTION("""COMPUTED_VALUE"""),"Vehicle Power")</f>
        <v>Vehicle Power</v>
      </c>
      <c r="L397" s="16" t="b">
        <f>IFERROR(__xludf.DUMMYFUNCTION("""COMPUTED_VALUE"""),FALSE)</f>
        <v>0</v>
      </c>
      <c r="M397" s="16" t="b">
        <f>IFERROR(__xludf.DUMMYFUNCTION("""COMPUTED_VALUE"""),FALSE)</f>
        <v>0</v>
      </c>
      <c r="N397" s="16"/>
    </row>
    <row r="398">
      <c r="A398" s="16" t="str">
        <f>IFERROR(__xludf.DUMMYFUNCTION("""COMPUTED_VALUE"""),"Tower Of Balance III")</f>
        <v>Tower Of Balance III</v>
      </c>
      <c r="B398" s="120">
        <f>IFERROR(__xludf.DUMMYFUNCTION("""COMPUTED_VALUE"""),8.0)</f>
        <v>8</v>
      </c>
      <c r="C398" s="16">
        <f>IFERROR(__xludf.DUMMYFUNCTION("""COMPUTED_VALUE"""),200.0)</f>
        <v>200</v>
      </c>
      <c r="D398" s="16"/>
      <c r="E398" s="16" t="str">
        <f>IFERROR(__xludf.DUMMYFUNCTION("""COMPUTED_VALUE"""),"Forms a tower that rises from beneath the ground that shoots multiple beams of ranged energy that doubles the accuracy of the caster and allies.")</f>
        <v>Forms a tower that rises from beneath the ground that shoots multiple beams of ranged energy that doubles the accuracy of the caster and allies.</v>
      </c>
      <c r="F398" s="16" t="str">
        <f>IFERROR(__xludf.DUMMYFUNCTION("""COMPUTED_VALUE"""),"Will Succeed")</f>
        <v>Will Succeed</v>
      </c>
      <c r="G398" s="16"/>
      <c r="H398" s="16" t="str">
        <f>IFERROR(__xludf.DUMMYFUNCTION("""COMPUTED_VALUE"""),"Ranged")</f>
        <v>Ranged</v>
      </c>
      <c r="I398" s="16" t="str">
        <f>IFERROR(__xludf.DUMMYFUNCTION("""COMPUTED_VALUE"""),"Player")</f>
        <v>Player</v>
      </c>
      <c r="J398" s="16" t="b">
        <f>IFERROR(__xludf.DUMMYFUNCTION("""COMPUTED_VALUE"""),FALSE)</f>
        <v>0</v>
      </c>
      <c r="K398" s="16"/>
      <c r="L398" s="16" t="b">
        <f>IFERROR(__xludf.DUMMYFUNCTION("""COMPUTED_VALUE"""),FALSE)</f>
        <v>0</v>
      </c>
      <c r="M398" s="16" t="b">
        <f>IFERROR(__xludf.DUMMYFUNCTION("""COMPUTED_VALUE"""),TRUE)</f>
        <v>1</v>
      </c>
      <c r="N398" s="16"/>
    </row>
    <row r="399">
      <c r="A399" s="16" t="str">
        <f>IFERROR(__xludf.DUMMYFUNCTION("""COMPUTED_VALUE"""),"Web Shot")</f>
        <v>Web Shot</v>
      </c>
      <c r="B399" s="120">
        <f>IFERROR(__xludf.DUMMYFUNCTION("""COMPUTED_VALUE"""),1.0)</f>
        <v>1</v>
      </c>
      <c r="C399" s="16">
        <f>IFERROR(__xludf.DUMMYFUNCTION("""COMPUTED_VALUE"""),0.0)</f>
        <v>0</v>
      </c>
      <c r="D399" s="16"/>
      <c r="E399" s="16" t="str">
        <f>IFERROR(__xludf.DUMMYFUNCTION("""COMPUTED_VALUE"""),"5000 damage, target cannot flee from battle for the rest of battle.")</f>
        <v>5000 damage, target cannot flee from battle for the rest of battle.</v>
      </c>
      <c r="F399" s="16" t="str">
        <f>IFERROR(__xludf.DUMMYFUNCTION("""COMPUTED_VALUE"""),"Natural/Hit or Miss")</f>
        <v>Natural/Hit or Miss</v>
      </c>
      <c r="G399" s="16">
        <f>IFERROR(__xludf.DUMMYFUNCTION("""COMPUTED_VALUE"""),1.0)</f>
        <v>1</v>
      </c>
      <c r="H399" s="16" t="str">
        <f>IFERROR(__xludf.DUMMYFUNCTION("""COMPUTED_VALUE"""),"Ranged")</f>
        <v>Ranged</v>
      </c>
      <c r="I399" s="16" t="str">
        <f>IFERROR(__xludf.DUMMYFUNCTION("""COMPUTED_VALUE"""),"Mob")</f>
        <v>Mob</v>
      </c>
      <c r="J399" s="16" t="b">
        <f>IFERROR(__xludf.DUMMYFUNCTION("""COMPUTED_VALUE"""),TRUE)</f>
        <v>1</v>
      </c>
      <c r="K399" s="16"/>
      <c r="L399" s="16" t="b">
        <f>IFERROR(__xludf.DUMMYFUNCTION("""COMPUTED_VALUE"""),FALSE)</f>
        <v>0</v>
      </c>
      <c r="M399" s="16" t="b">
        <f>IFERROR(__xludf.DUMMYFUNCTION("""COMPUTED_VALUE"""),FALSE)</f>
        <v>0</v>
      </c>
      <c r="N399" s="16"/>
    </row>
    <row r="400">
      <c r="A400" s="16" t="str">
        <f>IFERROR(__xludf.DUMMYFUNCTION("""COMPUTED_VALUE"""),"Cannon Bombardment")</f>
        <v>Cannon Bombardment</v>
      </c>
      <c r="B400" s="120">
        <f>IFERROR(__xludf.DUMMYFUNCTION("""COMPUTED_VALUE"""),1.0)</f>
        <v>1</v>
      </c>
      <c r="C400" s="16">
        <f>IFERROR(__xludf.DUMMYFUNCTION("""COMPUTED_VALUE"""),0.0)</f>
        <v>0</v>
      </c>
      <c r="D400" s="16"/>
      <c r="E400" s="16" t="str">
        <f>IFERROR(__xludf.DUMMYFUNCTION("""COMPUTED_VALUE"""),"Summon up to 8 cannons equal to a d8 roll. Each cannon deals X*2 damage to all enemies where X is equal to the users accuracy.")</f>
        <v>Summon up to 8 cannons equal to a d8 roll. Each cannon deals X*2 damage to all enemies where X is equal to the users accuracy.</v>
      </c>
      <c r="F400" s="16" t="str">
        <f>IFERROR(__xludf.DUMMYFUNCTION("""COMPUTED_VALUE"""),"Natural/Fail or Succeed")</f>
        <v>Natural/Fail or Succeed</v>
      </c>
      <c r="G400" s="16" t="str">
        <f>IFERROR(__xludf.DUMMYFUNCTION("""COMPUTED_VALUE"""),"All")</f>
        <v>All</v>
      </c>
      <c r="H400" s="16" t="str">
        <f>IFERROR(__xludf.DUMMYFUNCTION("""COMPUTED_VALUE"""),"Ranged")</f>
        <v>Ranged</v>
      </c>
      <c r="I400" s="16"/>
      <c r="J400" s="16" t="b">
        <f>IFERROR(__xludf.DUMMYFUNCTION("""COMPUTED_VALUE"""),FALSE)</f>
        <v>0</v>
      </c>
      <c r="K400" s="16"/>
      <c r="L400" s="16" t="b">
        <f>IFERROR(__xludf.DUMMYFUNCTION("""COMPUTED_VALUE"""),FALSE)</f>
        <v>0</v>
      </c>
      <c r="M400" s="16" t="b">
        <f>IFERROR(__xludf.DUMMYFUNCTION("""COMPUTED_VALUE"""),FALSE)</f>
        <v>0</v>
      </c>
      <c r="N400" s="16"/>
    </row>
    <row r="401">
      <c r="A401" s="16" t="str">
        <f>IFERROR(__xludf.DUMMYFUNCTION("""COMPUTED_VALUE"""),"Acidic Spit")</f>
        <v>Acidic Spit</v>
      </c>
      <c r="B401" s="120">
        <f>IFERROR(__xludf.DUMMYFUNCTION("""COMPUTED_VALUE"""),1.0)</f>
        <v>1</v>
      </c>
      <c r="C401" s="16">
        <f>IFERROR(__xludf.DUMMYFUNCTION("""COMPUTED_VALUE"""),0.0)</f>
        <v>0</v>
      </c>
      <c r="D401" s="16"/>
      <c r="E401" s="16" t="str">
        <f>IFERROR(__xludf.DUMMYFUNCTION("""COMPUTED_VALUE"""),"Poison X per round to 2 targets, where X is equal to your accuracy.")</f>
        <v>Poison X per round to 2 targets, where X is equal to your accuracy.</v>
      </c>
      <c r="F401" s="16" t="str">
        <f>IFERROR(__xludf.DUMMYFUNCTION("""COMPUTED_VALUE"""),"Natural/Hit or Miss")</f>
        <v>Natural/Hit or Miss</v>
      </c>
      <c r="G401" s="16">
        <f>IFERROR(__xludf.DUMMYFUNCTION("""COMPUTED_VALUE"""),2.0)</f>
        <v>2</v>
      </c>
      <c r="H401" s="16" t="str">
        <f>IFERROR(__xludf.DUMMYFUNCTION("""COMPUTED_VALUE"""),"Ranged")</f>
        <v>Ranged</v>
      </c>
      <c r="I401" s="16" t="str">
        <f>IFERROR(__xludf.DUMMYFUNCTION("""COMPUTED_VALUE"""),"Mob")</f>
        <v>Mob</v>
      </c>
      <c r="J401" s="16" t="b">
        <f>IFERROR(__xludf.DUMMYFUNCTION("""COMPUTED_VALUE"""),TRUE)</f>
        <v>1</v>
      </c>
      <c r="K401" s="16"/>
      <c r="L401" s="16" t="b">
        <f>IFERROR(__xludf.DUMMYFUNCTION("""COMPUTED_VALUE"""),FALSE)</f>
        <v>0</v>
      </c>
      <c r="M401" s="16" t="b">
        <f>IFERROR(__xludf.DUMMYFUNCTION("""COMPUTED_VALUE"""),FALSE)</f>
        <v>0</v>
      </c>
      <c r="N401" s="16"/>
    </row>
    <row r="402">
      <c r="A402" s="16" t="str">
        <f>IFERROR(__xludf.DUMMYFUNCTION("""COMPUTED_VALUE"""),"A Deal With The Spirit World")</f>
        <v>A Deal With The Spirit World</v>
      </c>
      <c r="B402" s="120">
        <f>IFERROR(__xludf.DUMMYFUNCTION("""COMPUTED_VALUE"""),7.0)</f>
        <v>7</v>
      </c>
      <c r="C402" s="16"/>
      <c r="D402" s="16" t="str">
        <f>IFERROR(__xludf.DUMMYFUNCTION("""COMPUTED_VALUE"""),"X")</f>
        <v>X</v>
      </c>
      <c r="E402" s="16" t="str">
        <f>IFERROR(__xludf.DUMMYFUNCTION("""COMPUTED_VALUE"""),"Deal X unblockable damage to self to drain X*100 SP from target.")</f>
        <v>Deal X unblockable damage to self to drain X*100 SP from target.</v>
      </c>
      <c r="F402" s="16" t="str">
        <f>IFERROR(__xludf.DUMMYFUNCTION("""COMPUTED_VALUE"""),"Fail/Succeed")</f>
        <v>Fail/Succeed</v>
      </c>
      <c r="G402" s="16"/>
      <c r="H402" s="16" t="str">
        <f>IFERROR(__xludf.DUMMYFUNCTION("""COMPUTED_VALUE"""),"Spirit")</f>
        <v>Spirit</v>
      </c>
      <c r="I402" s="16" t="str">
        <f>IFERROR(__xludf.DUMMYFUNCTION("""COMPUTED_VALUE"""),"Player")</f>
        <v>Player</v>
      </c>
      <c r="J402" s="16" t="b">
        <f>IFERROR(__xludf.DUMMYFUNCTION("""COMPUTED_VALUE"""),FALSE)</f>
        <v>0</v>
      </c>
      <c r="K402" s="16"/>
      <c r="L402" s="16" t="b">
        <f>IFERROR(__xludf.DUMMYFUNCTION("""COMPUTED_VALUE"""),TRUE)</f>
        <v>1</v>
      </c>
      <c r="M402" s="16" t="b">
        <f>IFERROR(__xludf.DUMMYFUNCTION("""COMPUTED_VALUE"""),FALSE)</f>
        <v>0</v>
      </c>
      <c r="N402" s="16"/>
    </row>
    <row r="403">
      <c r="A403" s="16" t="str">
        <f>IFERROR(__xludf.DUMMYFUNCTION("""COMPUTED_VALUE"""),"Big Chomping Souls")</f>
        <v>Big Chomping Souls</v>
      </c>
      <c r="B403" s="120">
        <f>IFERROR(__xludf.DUMMYFUNCTION("""COMPUTED_VALUE"""),1.0)</f>
        <v>1</v>
      </c>
      <c r="C403" s="16">
        <f>IFERROR(__xludf.DUMMYFUNCTION("""COMPUTED_VALUE"""),0.0)</f>
        <v>0</v>
      </c>
      <c r="D403" s="16"/>
      <c r="E403" s="16" t="str">
        <f>IFERROR(__xludf.DUMMYFUNCTION("""COMPUTED_VALUE"""),"100,000 spirit damage to all enemies, +Soul Chomp: If a player has souls on them this attack will deal *X additional damage; X= each different type of soul, +SP Steal: Damage dealt by this creature gives SP back to this creature equal to the damage it dea"&amp;"lt.")</f>
        <v>100,000 spirit damage to all enemies, +Soul Chomp: If a player has souls on them this attack will deal *X additional damage; X= each different type of soul, +SP Steal: Damage dealt by this creature gives SP back to this creature equal to the damage it dealt.</v>
      </c>
      <c r="F403" s="16" t="str">
        <f>IFERROR(__xludf.DUMMYFUNCTION("""COMPUTED_VALUE"""),"Natural/Cannot Avoid")</f>
        <v>Natural/Cannot Avoid</v>
      </c>
      <c r="G403" s="16" t="str">
        <f>IFERROR(__xludf.DUMMYFUNCTION("""COMPUTED_VALUE"""),"All")</f>
        <v>All</v>
      </c>
      <c r="H403" s="16" t="str">
        <f>IFERROR(__xludf.DUMMYFUNCTION("""COMPUTED_VALUE"""),"Spirit")</f>
        <v>Spirit</v>
      </c>
      <c r="I403" s="16" t="str">
        <f>IFERROR(__xludf.DUMMYFUNCTION("""COMPUTED_VALUE"""),"Mob")</f>
        <v>Mob</v>
      </c>
      <c r="J403" s="16" t="b">
        <f>IFERROR(__xludf.DUMMYFUNCTION("""COMPUTED_VALUE"""),TRUE)</f>
        <v>1</v>
      </c>
      <c r="K403" s="16"/>
      <c r="L403" s="16" t="b">
        <f>IFERROR(__xludf.DUMMYFUNCTION("""COMPUTED_VALUE"""),TRUE)</f>
        <v>1</v>
      </c>
      <c r="M403" s="16" t="b">
        <f>IFERROR(__xludf.DUMMYFUNCTION("""COMPUTED_VALUE"""),FALSE)</f>
        <v>0</v>
      </c>
      <c r="N403" s="16" t="str">
        <f>IFERROR(__xludf.DUMMYFUNCTION("""COMPUTED_VALUE"""),"Abstara")</f>
        <v>Abstara</v>
      </c>
    </row>
    <row r="404">
      <c r="A404" s="16" t="str">
        <f>IFERROR(__xludf.DUMMYFUNCTION("""COMPUTED_VALUE"""),"Confuse")</f>
        <v>Confuse</v>
      </c>
      <c r="B404" s="120">
        <f>IFERROR(__xludf.DUMMYFUNCTION("""COMPUTED_VALUE"""),6.0)</f>
        <v>6</v>
      </c>
      <c r="C404" s="16">
        <f>IFERROR(__xludf.DUMMYFUNCTION("""COMPUTED_VALUE"""),90.0)</f>
        <v>90</v>
      </c>
      <c r="D404" s="16"/>
      <c r="E404" s="16" t="str">
        <f>IFERROR(__xludf.DUMMYFUNCTION("""COMPUTED_VALUE"""),"Makes the target incapable of performing their next action.")</f>
        <v>Makes the target incapable of performing their next action.</v>
      </c>
      <c r="F404" s="16" t="str">
        <f>IFERROR(__xludf.DUMMYFUNCTION("""COMPUTED_VALUE"""),"Fail/Succeed")</f>
        <v>Fail/Succeed</v>
      </c>
      <c r="G404" s="16"/>
      <c r="H404" s="16" t="str">
        <f>IFERROR(__xludf.DUMMYFUNCTION("""COMPUTED_VALUE"""),"Spirit")</f>
        <v>Spirit</v>
      </c>
      <c r="I404" s="16" t="str">
        <f>IFERROR(__xludf.DUMMYFUNCTION("""COMPUTED_VALUE"""),"Player")</f>
        <v>Player</v>
      </c>
      <c r="J404" s="16" t="b">
        <f>IFERROR(__xludf.DUMMYFUNCTION("""COMPUTED_VALUE"""),FALSE)</f>
        <v>0</v>
      </c>
      <c r="K404" s="16"/>
      <c r="L404" s="16" t="b">
        <f>IFERROR(__xludf.DUMMYFUNCTION("""COMPUTED_VALUE"""),TRUE)</f>
        <v>1</v>
      </c>
      <c r="M404" s="16" t="b">
        <f>IFERROR(__xludf.DUMMYFUNCTION("""COMPUTED_VALUE"""),FALSE)</f>
        <v>0</v>
      </c>
      <c r="N404" s="16"/>
    </row>
    <row r="405">
      <c r="A405" s="16" t="str">
        <f>IFERROR(__xludf.DUMMYFUNCTION("""COMPUTED_VALUE"""),"Degrade")</f>
        <v>Degrade</v>
      </c>
      <c r="B405" s="120">
        <f>IFERROR(__xludf.DUMMYFUNCTION("""COMPUTED_VALUE"""),1.0)</f>
        <v>1</v>
      </c>
      <c r="C405" s="16">
        <f>IFERROR(__xludf.DUMMYFUNCTION("""COMPUTED_VALUE"""),10.0)</f>
        <v>10</v>
      </c>
      <c r="D405" s="16"/>
      <c r="E405" s="16" t="str">
        <f>IFERROR(__xludf.DUMMYFUNCTION("""COMPUTED_VALUE"""),"1 Targets Max HP is reduced to 100.")</f>
        <v>1 Targets Max HP is reduced to 100.</v>
      </c>
      <c r="F405" s="16" t="str">
        <f>IFERROR(__xludf.DUMMYFUNCTION("""COMPUTED_VALUE"""),"Fail/Succeed")</f>
        <v>Fail/Succeed</v>
      </c>
      <c r="G405" s="16"/>
      <c r="H405" s="16" t="str">
        <f>IFERROR(__xludf.DUMMYFUNCTION("""COMPUTED_VALUE"""),"Spirit")</f>
        <v>Spirit</v>
      </c>
      <c r="I405" s="16" t="str">
        <f>IFERROR(__xludf.DUMMYFUNCTION("""COMPUTED_VALUE"""),"Player")</f>
        <v>Player</v>
      </c>
      <c r="J405" s="16" t="b">
        <f>IFERROR(__xludf.DUMMYFUNCTION("""COMPUTED_VALUE"""),FALSE)</f>
        <v>0</v>
      </c>
      <c r="K405" s="16"/>
      <c r="L405" s="16" t="b">
        <f>IFERROR(__xludf.DUMMYFUNCTION("""COMPUTED_VALUE"""),TRUE)</f>
        <v>1</v>
      </c>
      <c r="M405" s="16" t="b">
        <f>IFERROR(__xludf.DUMMYFUNCTION("""COMPUTED_VALUE"""),FALSE)</f>
        <v>0</v>
      </c>
      <c r="N405" s="16"/>
    </row>
    <row r="406">
      <c r="A406" s="16" t="str">
        <f>IFERROR(__xludf.DUMMYFUNCTION("""COMPUTED_VALUE"""),"Distant Warrior")</f>
        <v>Distant Warrior</v>
      </c>
      <c r="B406" s="120">
        <f>IFERROR(__xludf.DUMMYFUNCTION("""COMPUTED_VALUE"""),9.0)</f>
        <v>9</v>
      </c>
      <c r="C406" s="16" t="str">
        <f>IFERROR(__xludf.DUMMYFUNCTION("""COMPUTED_VALUE"""),"X*1000")</f>
        <v>X*1000</v>
      </c>
      <c r="D406" s="16"/>
      <c r="E406" s="16" t="str">
        <f>IFERROR(__xludf.DUMMYFUNCTION("""COMPUTED_VALUE"""),"Summon the spirit of a distant warrior. The spirit will protect the caster from any attacks for X rounds. The caster will take no damage from attacks on those rounds.")</f>
        <v>Summon the spirit of a distant warrior. The spirit will protect the caster from any attacks for X rounds. The caster will take no damage from attacks on those rounds.</v>
      </c>
      <c r="F406" s="16" t="str">
        <f>IFERROR(__xludf.DUMMYFUNCTION("""COMPUTED_VALUE"""),"Will Succeed")</f>
        <v>Will Succeed</v>
      </c>
      <c r="G406" s="16"/>
      <c r="H406" s="16" t="str">
        <f>IFERROR(__xludf.DUMMYFUNCTION("""COMPUTED_VALUE"""),"Spirit")</f>
        <v>Spirit</v>
      </c>
      <c r="I406" s="16" t="str">
        <f>IFERROR(__xludf.DUMMYFUNCTION("""COMPUTED_VALUE"""),"Player")</f>
        <v>Player</v>
      </c>
      <c r="J406" s="16" t="b">
        <f>IFERROR(__xludf.DUMMYFUNCTION("""COMPUTED_VALUE"""),FALSE)</f>
        <v>0</v>
      </c>
      <c r="K406" s="16"/>
      <c r="L406" s="16" t="b">
        <f>IFERROR(__xludf.DUMMYFUNCTION("""COMPUTED_VALUE"""),TRUE)</f>
        <v>1</v>
      </c>
      <c r="M406" s="16" t="b">
        <f>IFERROR(__xludf.DUMMYFUNCTION("""COMPUTED_VALUE"""),FALSE)</f>
        <v>0</v>
      </c>
      <c r="N406" s="16"/>
    </row>
    <row r="407">
      <c r="A407" s="16" t="str">
        <f>IFERROR(__xludf.DUMMYFUNCTION("""COMPUTED_VALUE"""),"Enthrall")</f>
        <v>Enthrall</v>
      </c>
      <c r="B407" s="120">
        <f>IFERROR(__xludf.DUMMYFUNCTION("""COMPUTED_VALUE"""),9.0)</f>
        <v>9</v>
      </c>
      <c r="C407" s="16">
        <f>IFERROR(__xludf.DUMMYFUNCTION("""COMPUTED_VALUE"""),1000.0)</f>
        <v>1000</v>
      </c>
      <c r="D407" s="16"/>
      <c r="E407" s="16" t="str">
        <f>IFERROR(__xludf.DUMMYFUNCTION("""COMPUTED_VALUE"""),"Possess two targets, making both of them under your control until they are killed or banished. Cannot be canceled.")</f>
        <v>Possess two targets, making both of them under your control until they are killed or banished. Cannot be canceled.</v>
      </c>
      <c r="F407" s="16" t="str">
        <f>IFERROR(__xludf.DUMMYFUNCTION("""COMPUTED_VALUE"""),"Fail/Succeed")</f>
        <v>Fail/Succeed</v>
      </c>
      <c r="G407" s="16"/>
      <c r="H407" s="16" t="str">
        <f>IFERROR(__xludf.DUMMYFUNCTION("""COMPUTED_VALUE"""),"Spirit")</f>
        <v>Spirit</v>
      </c>
      <c r="I407" s="16" t="str">
        <f>IFERROR(__xludf.DUMMYFUNCTION("""COMPUTED_VALUE"""),"Player")</f>
        <v>Player</v>
      </c>
      <c r="J407" s="16" t="b">
        <f>IFERROR(__xludf.DUMMYFUNCTION("""COMPUTED_VALUE"""),FALSE)</f>
        <v>0</v>
      </c>
      <c r="K407" s="16"/>
      <c r="L407" s="16" t="b">
        <f>IFERROR(__xludf.DUMMYFUNCTION("""COMPUTED_VALUE"""),TRUE)</f>
        <v>1</v>
      </c>
      <c r="M407" s="16" t="b">
        <f>IFERROR(__xludf.DUMMYFUNCTION("""COMPUTED_VALUE"""),FALSE)</f>
        <v>0</v>
      </c>
      <c r="N407" s="16"/>
    </row>
    <row r="408">
      <c r="A408" s="16" t="str">
        <f>IFERROR(__xludf.DUMMYFUNCTION("""COMPUTED_VALUE"""),"Final Blast")</f>
        <v>Final Blast</v>
      </c>
      <c r="B408" s="120">
        <f>IFERROR(__xludf.DUMMYFUNCTION("""COMPUTED_VALUE"""),6.0)</f>
        <v>6</v>
      </c>
      <c r="C408" s="16" t="str">
        <f>IFERROR(__xludf.DUMMYFUNCTION("""COMPUTED_VALUE"""),"Current SP")</f>
        <v>Current SP</v>
      </c>
      <c r="D408" s="16"/>
      <c r="E408" s="16" t="str">
        <f>IFERROR(__xludf.DUMMYFUNCTION("""COMPUTED_VALUE"""),"Deal Current SP *10 damage to all enemies.")</f>
        <v>Deal Current SP *10 damage to all enemies.</v>
      </c>
      <c r="F408" s="16" t="str">
        <f>IFERROR(__xludf.DUMMYFUNCTION("""COMPUTED_VALUE"""),"Canot Avoid")</f>
        <v>Canot Avoid</v>
      </c>
      <c r="G408" s="16">
        <f>IFERROR(__xludf.DUMMYFUNCTION("""COMPUTED_VALUE"""),1.0)</f>
        <v>1</v>
      </c>
      <c r="H408" s="16" t="str">
        <f>IFERROR(__xludf.DUMMYFUNCTION("""COMPUTED_VALUE"""),"Spirit")</f>
        <v>Spirit</v>
      </c>
      <c r="I408" s="16" t="str">
        <f>IFERROR(__xludf.DUMMYFUNCTION("""COMPUTED_VALUE"""),"Player")</f>
        <v>Player</v>
      </c>
      <c r="J408" s="16" t="b">
        <f>IFERROR(__xludf.DUMMYFUNCTION("""COMPUTED_VALUE"""),FALSE)</f>
        <v>0</v>
      </c>
      <c r="K408" s="16"/>
      <c r="L408" s="16" t="b">
        <f>IFERROR(__xludf.DUMMYFUNCTION("""COMPUTED_VALUE"""),TRUE)</f>
        <v>1</v>
      </c>
      <c r="M408" s="16" t="b">
        <f>IFERROR(__xludf.DUMMYFUNCTION("""COMPUTED_VALUE"""),FALSE)</f>
        <v>0</v>
      </c>
      <c r="N408" s="16"/>
    </row>
    <row r="409">
      <c r="A409" s="16" t="str">
        <f>IFERROR(__xludf.DUMMYFUNCTION("""COMPUTED_VALUE"""),"Final Rest")</f>
        <v>Final Rest</v>
      </c>
      <c r="B409" s="120">
        <f>IFERROR(__xludf.DUMMYFUNCTION("""COMPUTED_VALUE"""),6.0)</f>
        <v>6</v>
      </c>
      <c r="C409" s="16">
        <f>IFERROR(__xludf.DUMMYFUNCTION("""COMPUTED_VALUE"""),90.0)</f>
        <v>90</v>
      </c>
      <c r="D409" s="16"/>
      <c r="E409" s="16" t="str">
        <f>IFERROR(__xludf.DUMMYFUNCTION("""COMPUTED_VALUE"""),"25% chance of instantly banishing any target, 20% chance to banish self.")</f>
        <v>25% chance of instantly banishing any target, 20% chance to banish self.</v>
      </c>
      <c r="F409" s="16" t="str">
        <f>IFERROR(__xludf.DUMMYFUNCTION("""COMPUTED_VALUE"""),"Fail/Succeed")</f>
        <v>Fail/Succeed</v>
      </c>
      <c r="G409" s="16"/>
      <c r="H409" s="16" t="str">
        <f>IFERROR(__xludf.DUMMYFUNCTION("""COMPUTED_VALUE"""),"Spirit")</f>
        <v>Spirit</v>
      </c>
      <c r="I409" s="16" t="str">
        <f>IFERROR(__xludf.DUMMYFUNCTION("""COMPUTED_VALUE"""),"Player")</f>
        <v>Player</v>
      </c>
      <c r="J409" s="16" t="b">
        <f>IFERROR(__xludf.DUMMYFUNCTION("""COMPUTED_VALUE"""),FALSE)</f>
        <v>0</v>
      </c>
      <c r="K409" s="16"/>
      <c r="L409" s="16" t="b">
        <f>IFERROR(__xludf.DUMMYFUNCTION("""COMPUTED_VALUE"""),TRUE)</f>
        <v>1</v>
      </c>
      <c r="M409" s="16" t="b">
        <f>IFERROR(__xludf.DUMMYFUNCTION("""COMPUTED_VALUE"""),FALSE)</f>
        <v>0</v>
      </c>
      <c r="N409" s="16"/>
    </row>
    <row r="410">
      <c r="A410" s="16" t="str">
        <f>IFERROR(__xludf.DUMMYFUNCTION("""COMPUTED_VALUE"""),"Gain Soul")</f>
        <v>Gain Soul</v>
      </c>
      <c r="B410" s="120">
        <f>IFERROR(__xludf.DUMMYFUNCTION("""COMPUTED_VALUE"""),6.0)</f>
        <v>6</v>
      </c>
      <c r="C410" s="16">
        <f>IFERROR(__xludf.DUMMYFUNCTION("""COMPUTED_VALUE"""),90.0)</f>
        <v>90</v>
      </c>
      <c r="D410" s="16"/>
      <c r="E410" s="16" t="str">
        <f>IFERROR(__xludf.DUMMYFUNCTION("""COMPUTED_VALUE"""),"Undoes Lost Soul. If Lost Soul hasn’t been casted, then doubles the effects of the next two spells.")</f>
        <v>Undoes Lost Soul. If Lost Soul hasn’t been casted, then doubles the effects of the next two spells.</v>
      </c>
      <c r="F410" s="16" t="str">
        <f>IFERROR(__xludf.DUMMYFUNCTION("""COMPUTED_VALUE"""),"Will Succeed")</f>
        <v>Will Succeed</v>
      </c>
      <c r="G410" s="16"/>
      <c r="H410" s="16" t="str">
        <f>IFERROR(__xludf.DUMMYFUNCTION("""COMPUTED_VALUE"""),"Spirit")</f>
        <v>Spirit</v>
      </c>
      <c r="I410" s="16" t="str">
        <f>IFERROR(__xludf.DUMMYFUNCTION("""COMPUTED_VALUE"""),"Player")</f>
        <v>Player</v>
      </c>
      <c r="J410" s="16" t="b">
        <f>IFERROR(__xludf.DUMMYFUNCTION("""COMPUTED_VALUE"""),FALSE)</f>
        <v>0</v>
      </c>
      <c r="K410" s="16"/>
      <c r="L410" s="16" t="b">
        <f>IFERROR(__xludf.DUMMYFUNCTION("""COMPUTED_VALUE"""),TRUE)</f>
        <v>1</v>
      </c>
      <c r="M410" s="16" t="b">
        <f>IFERROR(__xludf.DUMMYFUNCTION("""COMPUTED_VALUE"""),FALSE)</f>
        <v>0</v>
      </c>
      <c r="N410" s="16"/>
    </row>
    <row r="411">
      <c r="A411" s="16" t="str">
        <f>IFERROR(__xludf.DUMMYFUNCTION("""COMPUTED_VALUE"""),"HP Recover")</f>
        <v>HP Recover</v>
      </c>
      <c r="B411" s="120">
        <f>IFERROR(__xludf.DUMMYFUNCTION("""COMPUTED_VALUE"""),1.0)</f>
        <v>1</v>
      </c>
      <c r="C411" s="16">
        <f>IFERROR(__xludf.DUMMYFUNCTION("""COMPUTED_VALUE"""),0.0)</f>
        <v>0</v>
      </c>
      <c r="D411" s="16"/>
      <c r="E411" s="16" t="str">
        <f>IFERROR(__xludf.DUMMYFUNCTION("""COMPUTED_VALUE"""),"Regain 5000 HP. Can only be used three times per character per session.")</f>
        <v>Regain 5000 HP. Can only be used three times per character per session.</v>
      </c>
      <c r="F411" s="16" t="str">
        <f>IFERROR(__xludf.DUMMYFUNCTION("""COMPUTED_VALUE"""),"Natural/Will Succeed")</f>
        <v>Natural/Will Succeed</v>
      </c>
      <c r="G411" s="16"/>
      <c r="H411" s="16" t="str">
        <f>IFERROR(__xludf.DUMMYFUNCTION("""COMPUTED_VALUE"""),"Spirit")</f>
        <v>Spirit</v>
      </c>
      <c r="I411" s="16" t="str">
        <f>IFERROR(__xludf.DUMMYFUNCTION("""COMPUTED_VALUE"""),"Player")</f>
        <v>Player</v>
      </c>
      <c r="J411" s="16" t="b">
        <f>IFERROR(__xludf.DUMMYFUNCTION("""COMPUTED_VALUE"""),FALSE)</f>
        <v>0</v>
      </c>
      <c r="K411" s="16"/>
      <c r="L411" s="16" t="b">
        <f>IFERROR(__xludf.DUMMYFUNCTION("""COMPUTED_VALUE"""),TRUE)</f>
        <v>1</v>
      </c>
      <c r="M411" s="16" t="b">
        <f>IFERROR(__xludf.DUMMYFUNCTION("""COMPUTED_VALUE"""),FALSE)</f>
        <v>0</v>
      </c>
      <c r="N411" s="16"/>
    </row>
    <row r="412">
      <c r="A412" s="16" t="str">
        <f>IFERROR(__xludf.DUMMYFUNCTION("""COMPUTED_VALUE"""),"Lost Soul")</f>
        <v>Lost Soul</v>
      </c>
      <c r="B412" s="120">
        <f>IFERROR(__xludf.DUMMYFUNCTION("""COMPUTED_VALUE"""),6.0)</f>
        <v>6</v>
      </c>
      <c r="C412" s="16">
        <f>IFERROR(__xludf.DUMMYFUNCTION("""COMPUTED_VALUE"""),90.0)</f>
        <v>90</v>
      </c>
      <c r="D412" s="16"/>
      <c r="E412" s="16" t="str">
        <f>IFERROR(__xludf.DUMMYFUNCTION("""COMPUTED_VALUE"""),"Lose connection with your soul. All spells for the remainder of the encounter have a 50% chance to fail but no SP cost.")</f>
        <v>Lose connection with your soul. All spells for the remainder of the encounter have a 50% chance to fail but no SP cost.</v>
      </c>
      <c r="F412" s="16" t="str">
        <f>IFERROR(__xludf.DUMMYFUNCTION("""COMPUTED_VALUE"""),"Will Succeed")</f>
        <v>Will Succeed</v>
      </c>
      <c r="G412" s="16"/>
      <c r="H412" s="16" t="str">
        <f>IFERROR(__xludf.DUMMYFUNCTION("""COMPUTED_VALUE"""),"Spirit")</f>
        <v>Spirit</v>
      </c>
      <c r="I412" s="16" t="str">
        <f>IFERROR(__xludf.DUMMYFUNCTION("""COMPUTED_VALUE"""),"Player")</f>
        <v>Player</v>
      </c>
      <c r="J412" s="16" t="b">
        <f>IFERROR(__xludf.DUMMYFUNCTION("""COMPUTED_VALUE"""),FALSE)</f>
        <v>0</v>
      </c>
      <c r="K412" s="16"/>
      <c r="L412" s="16" t="b">
        <f>IFERROR(__xludf.DUMMYFUNCTION("""COMPUTED_VALUE"""),TRUE)</f>
        <v>1</v>
      </c>
      <c r="M412" s="16" t="b">
        <f>IFERROR(__xludf.DUMMYFUNCTION("""COMPUTED_VALUE"""),FALSE)</f>
        <v>0</v>
      </c>
      <c r="N412" s="16"/>
    </row>
    <row r="413">
      <c r="A413" s="16" t="str">
        <f>IFERROR(__xludf.DUMMYFUNCTION("""COMPUTED_VALUE"""),"Negative Energy")</f>
        <v>Negative Energy</v>
      </c>
      <c r="B413" s="120">
        <f>IFERROR(__xludf.DUMMYFUNCTION("""COMPUTED_VALUE"""),5.0)</f>
        <v>5</v>
      </c>
      <c r="C413" s="16">
        <f>IFERROR(__xludf.DUMMYFUNCTION("""COMPUTED_VALUE"""),50.0)</f>
        <v>50</v>
      </c>
      <c r="D413" s="16"/>
      <c r="E413" s="16" t="str">
        <f>IFERROR(__xludf.DUMMYFUNCTION("""COMPUTED_VALUE"""),"Target halfs the damage from their next attack.")</f>
        <v>Target halfs the damage from their next attack.</v>
      </c>
      <c r="F413" s="16" t="str">
        <f>IFERROR(__xludf.DUMMYFUNCTION("""COMPUTED_VALUE"""),"Fail/succeed")</f>
        <v>Fail/succeed</v>
      </c>
      <c r="G413" s="16"/>
      <c r="H413" s="16" t="str">
        <f>IFERROR(__xludf.DUMMYFUNCTION("""COMPUTED_VALUE"""),"Spirit")</f>
        <v>Spirit</v>
      </c>
      <c r="I413" s="16" t="str">
        <f>IFERROR(__xludf.DUMMYFUNCTION("""COMPUTED_VALUE"""),"Player")</f>
        <v>Player</v>
      </c>
      <c r="J413" s="16" t="b">
        <f>IFERROR(__xludf.DUMMYFUNCTION("""COMPUTED_VALUE"""),FALSE)</f>
        <v>0</v>
      </c>
      <c r="K413" s="16"/>
      <c r="L413" s="16" t="b">
        <f>IFERROR(__xludf.DUMMYFUNCTION("""COMPUTED_VALUE"""),TRUE)</f>
        <v>1</v>
      </c>
      <c r="M413" s="16" t="b">
        <f>IFERROR(__xludf.DUMMYFUNCTION("""COMPUTED_VALUE"""),FALSE)</f>
        <v>0</v>
      </c>
      <c r="N413" s="16"/>
    </row>
    <row r="414">
      <c r="A414" s="16" t="str">
        <f>IFERROR(__xludf.DUMMYFUNCTION("""COMPUTED_VALUE"""),"Portal From Abstara")</f>
        <v>Portal From Abstara</v>
      </c>
      <c r="B414" s="120">
        <f>IFERROR(__xludf.DUMMYFUNCTION("""COMPUTED_VALUE"""),9.0)</f>
        <v>9</v>
      </c>
      <c r="C414" s="119">
        <f>IFERROR(__xludf.DUMMYFUNCTION("""COMPUTED_VALUE"""),1000.0)</f>
        <v>1000</v>
      </c>
      <c r="D414" s="16"/>
      <c r="E414" s="16" t="str">
        <f>IFERROR(__xludf.DUMMYFUNCTION("""COMPUTED_VALUE"""),"Creates a demonic summoning portal sending demons to instantly kill everyone in battle, even the caster.")</f>
        <v>Creates a demonic summoning portal sending demons to instantly kill everyone in battle, even the caster.</v>
      </c>
      <c r="F414" s="16" t="str">
        <f>IFERROR(__xludf.DUMMYFUNCTION("""COMPUTED_VALUE"""),"Fail/Succeed")</f>
        <v>Fail/Succeed</v>
      </c>
      <c r="G414" s="16" t="str">
        <f>IFERROR(__xludf.DUMMYFUNCTION("""COMPUTED_VALUE"""),"All")</f>
        <v>All</v>
      </c>
      <c r="H414" s="16" t="str">
        <f>IFERROR(__xludf.DUMMYFUNCTION("""COMPUTED_VALUE"""),"Spirit")</f>
        <v>Spirit</v>
      </c>
      <c r="I414" s="16" t="str">
        <f>IFERROR(__xludf.DUMMYFUNCTION("""COMPUTED_VALUE"""),"Player")</f>
        <v>Player</v>
      </c>
      <c r="J414" s="16" t="b">
        <f>IFERROR(__xludf.DUMMYFUNCTION("""COMPUTED_VALUE"""),TRUE)</f>
        <v>1</v>
      </c>
      <c r="K414" s="16" t="str">
        <f>IFERROR(__xludf.DUMMYFUNCTION("""COMPUTED_VALUE"""),"shop spell")</f>
        <v>shop spell</v>
      </c>
      <c r="L414" s="16" t="b">
        <f>IFERROR(__xludf.DUMMYFUNCTION("""COMPUTED_VALUE"""),TRUE)</f>
        <v>1</v>
      </c>
      <c r="M414" s="16" t="b">
        <f>IFERROR(__xludf.DUMMYFUNCTION("""COMPUTED_VALUE"""),FALSE)</f>
        <v>0</v>
      </c>
      <c r="N414" s="16"/>
    </row>
    <row r="415">
      <c r="A415" s="16" t="str">
        <f>IFERROR(__xludf.DUMMYFUNCTION("""COMPUTED_VALUE"""),"Positive Energy")</f>
        <v>Positive Energy</v>
      </c>
      <c r="B415" s="120">
        <f>IFERROR(__xludf.DUMMYFUNCTION("""COMPUTED_VALUE"""),5.0)</f>
        <v>5</v>
      </c>
      <c r="C415" s="16">
        <f>IFERROR(__xludf.DUMMYFUNCTION("""COMPUTED_VALUE"""),50.0)</f>
        <v>50</v>
      </c>
      <c r="D415" s="16"/>
      <c r="E415" s="16" t="str">
        <f>IFERROR(__xludf.DUMMYFUNCTION("""COMPUTED_VALUE"""),"X2 additional spirit damage for caster only.")</f>
        <v>X2 additional spirit damage for caster only.</v>
      </c>
      <c r="F415" s="16" t="str">
        <f>IFERROR(__xludf.DUMMYFUNCTION("""COMPUTED_VALUE"""),"Fail/Succeed")</f>
        <v>Fail/Succeed</v>
      </c>
      <c r="G415" s="16"/>
      <c r="H415" s="16" t="str">
        <f>IFERROR(__xludf.DUMMYFUNCTION("""COMPUTED_VALUE"""),"Spirit")</f>
        <v>Spirit</v>
      </c>
      <c r="I415" s="16" t="str">
        <f>IFERROR(__xludf.DUMMYFUNCTION("""COMPUTED_VALUE"""),"Player")</f>
        <v>Player</v>
      </c>
      <c r="J415" s="16" t="b">
        <f>IFERROR(__xludf.DUMMYFUNCTION("""COMPUTED_VALUE"""),FALSE)</f>
        <v>0</v>
      </c>
      <c r="K415" s="16"/>
      <c r="L415" s="16" t="b">
        <f>IFERROR(__xludf.DUMMYFUNCTION("""COMPUTED_VALUE"""),TRUE)</f>
        <v>1</v>
      </c>
      <c r="M415" s="16" t="b">
        <f>IFERROR(__xludf.DUMMYFUNCTION("""COMPUTED_VALUE"""),FALSE)</f>
        <v>0</v>
      </c>
      <c r="N415" s="16"/>
    </row>
    <row r="416">
      <c r="A416" s="16" t="str">
        <f>IFERROR(__xludf.DUMMYFUNCTION("""COMPUTED_VALUE"""),"Possession")</f>
        <v>Possession</v>
      </c>
      <c r="B416" s="120">
        <f>IFERROR(__xludf.DUMMYFUNCTION("""COMPUTED_VALUE"""),6.0)</f>
        <v>6</v>
      </c>
      <c r="C416" s="16">
        <f>IFERROR(__xludf.DUMMYFUNCTION("""COMPUTED_VALUE"""),90.0)</f>
        <v>90</v>
      </c>
      <c r="D416" s="16"/>
      <c r="E416" s="16" t="str">
        <f>IFERROR(__xludf.DUMMYFUNCTION("""COMPUTED_VALUE"""),"Possess one target, making them under your control until they are killed or banished. Cannot be canceled.")</f>
        <v>Possess one target, making them under your control until they are killed or banished. Cannot be canceled.</v>
      </c>
      <c r="F416" s="16" t="str">
        <f>IFERROR(__xludf.DUMMYFUNCTION("""COMPUTED_VALUE"""),"Fail/Succeed")</f>
        <v>Fail/Succeed</v>
      </c>
      <c r="G416" s="16"/>
      <c r="H416" s="16" t="str">
        <f>IFERROR(__xludf.DUMMYFUNCTION("""COMPUTED_VALUE"""),"Spirit")</f>
        <v>Spirit</v>
      </c>
      <c r="I416" s="16" t="str">
        <f>IFERROR(__xludf.DUMMYFUNCTION("""COMPUTED_VALUE"""),"Player")</f>
        <v>Player</v>
      </c>
      <c r="J416" s="16" t="b">
        <f>IFERROR(__xludf.DUMMYFUNCTION("""COMPUTED_VALUE"""),FALSE)</f>
        <v>0</v>
      </c>
      <c r="K416" s="16"/>
      <c r="L416" s="16" t="b">
        <f>IFERROR(__xludf.DUMMYFUNCTION("""COMPUTED_VALUE"""),TRUE)</f>
        <v>1</v>
      </c>
      <c r="M416" s="16" t="b">
        <f>IFERROR(__xludf.DUMMYFUNCTION("""COMPUTED_VALUE"""),FALSE)</f>
        <v>0</v>
      </c>
      <c r="N416" s="16"/>
    </row>
    <row r="417">
      <c r="A417" s="16" t="str">
        <f>IFERROR(__xludf.DUMMYFUNCTION("""COMPUTED_VALUE"""),"Rain of Souls")</f>
        <v>Rain of Souls</v>
      </c>
      <c r="B417" s="120">
        <f>IFERROR(__xludf.DUMMYFUNCTION("""COMPUTED_VALUE"""),9.0)</f>
        <v>9</v>
      </c>
      <c r="C417" s="16">
        <f>IFERROR(__xludf.DUMMYFUNCTION("""COMPUTED_VALUE"""),300.0)</f>
        <v>300</v>
      </c>
      <c r="D417" s="16"/>
      <c r="E417" s="16" t="str">
        <f>IFERROR(__xludf.DUMMYFUNCTION("""COMPUTED_VALUE"""),"Release X amount of souls to regain X*100 SP for self and allies.")</f>
        <v>Release X amount of souls to regain X*100 SP for self and allies.</v>
      </c>
      <c r="F417" s="16" t="str">
        <f>IFERROR(__xludf.DUMMYFUNCTION("""COMPUTED_VALUE"""),"Will Succeed")</f>
        <v>Will Succeed</v>
      </c>
      <c r="G417" s="16"/>
      <c r="H417" s="16" t="str">
        <f>IFERROR(__xludf.DUMMYFUNCTION("""COMPUTED_VALUE"""),"Spirit")</f>
        <v>Spirit</v>
      </c>
      <c r="I417" s="16" t="str">
        <f>IFERROR(__xludf.DUMMYFUNCTION("""COMPUTED_VALUE"""),"Player")</f>
        <v>Player</v>
      </c>
      <c r="J417" s="16" t="b">
        <f>IFERROR(__xludf.DUMMYFUNCTION("""COMPUTED_VALUE"""),FALSE)</f>
        <v>0</v>
      </c>
      <c r="K417" s="16"/>
      <c r="L417" s="16" t="b">
        <f>IFERROR(__xludf.DUMMYFUNCTION("""COMPUTED_VALUE"""),TRUE)</f>
        <v>1</v>
      </c>
      <c r="M417" s="16" t="b">
        <f>IFERROR(__xludf.DUMMYFUNCTION("""COMPUTED_VALUE"""),FALSE)</f>
        <v>0</v>
      </c>
      <c r="N417" s="16"/>
    </row>
    <row r="418">
      <c r="A418" s="16" t="str">
        <f>IFERROR(__xludf.DUMMYFUNCTION("""COMPUTED_VALUE"""),"Reapers Curse")</f>
        <v>Reapers Curse</v>
      </c>
      <c r="B418" s="120">
        <f>IFERROR(__xludf.DUMMYFUNCTION("""COMPUTED_VALUE"""),1.0)</f>
        <v>1</v>
      </c>
      <c r="C418" s="16">
        <f>IFERROR(__xludf.DUMMYFUNCTION("""COMPUTED_VALUE"""),0.0)</f>
        <v>0</v>
      </c>
      <c r="D418" s="16"/>
      <c r="E418" s="16" t="str">
        <f>IFERROR(__xludf.DUMMYFUNCTION("""COMPUTED_VALUE"""),"Permanantly kills the target. If it's player, their character is removed from the game.")</f>
        <v>Permanantly kills the target. If it's player, their character is removed from the game.</v>
      </c>
      <c r="F418" s="16" t="str">
        <f>IFERROR(__xludf.DUMMYFUNCTION("""COMPUTED_VALUE"""),"Fail or Succeed")</f>
        <v>Fail or Succeed</v>
      </c>
      <c r="G418" s="16"/>
      <c r="H418" s="16" t="str">
        <f>IFERROR(__xludf.DUMMYFUNCTION("""COMPUTED_VALUE"""),"Spirit")</f>
        <v>Spirit</v>
      </c>
      <c r="I418" s="16" t="str">
        <f>IFERROR(__xludf.DUMMYFUNCTION("""COMPUTED_VALUE"""),"Mob")</f>
        <v>Mob</v>
      </c>
      <c r="J418" s="16" t="b">
        <f>IFERROR(__xludf.DUMMYFUNCTION("""COMPUTED_VALUE"""),TRUE)</f>
        <v>1</v>
      </c>
      <c r="K418" s="16"/>
      <c r="L418" s="16" t="b">
        <f>IFERROR(__xludf.DUMMYFUNCTION("""COMPUTED_VALUE"""),TRUE)</f>
        <v>1</v>
      </c>
      <c r="M418" s="16" t="b">
        <f>IFERROR(__xludf.DUMMYFUNCTION("""COMPUTED_VALUE"""),TRUE)</f>
        <v>1</v>
      </c>
      <c r="N418" s="16"/>
    </row>
    <row r="419">
      <c r="A419" s="16" t="str">
        <f>IFERROR(__xludf.DUMMYFUNCTION("""COMPUTED_VALUE"""),"Soul Absorption")</f>
        <v>Soul Absorption</v>
      </c>
      <c r="B419" s="120">
        <f>IFERROR(__xludf.DUMMYFUNCTION("""COMPUTED_VALUE"""),8.0)</f>
        <v>8</v>
      </c>
      <c r="C419" s="16">
        <f>IFERROR(__xludf.DUMMYFUNCTION("""COMPUTED_VALUE"""),200.0)</f>
        <v>200</v>
      </c>
      <c r="D419" s="16"/>
      <c r="E419" s="16" t="str">
        <f>IFERROR(__xludf.DUMMYFUNCTION("""COMPUTED_VALUE"""),"If the enemy has a soul as a loot drop, caster will automatically take it. If it's a player, the caster will automatically get their soul.")</f>
        <v>If the enemy has a soul as a loot drop, caster will automatically take it. If it's a player, the caster will automatically get their soul.</v>
      </c>
      <c r="F419" s="16" t="str">
        <f>IFERROR(__xludf.DUMMYFUNCTION("""COMPUTED_VALUE"""),"Fail/succeed")</f>
        <v>Fail/succeed</v>
      </c>
      <c r="G419" s="16"/>
      <c r="H419" s="16" t="str">
        <f>IFERROR(__xludf.DUMMYFUNCTION("""COMPUTED_VALUE"""),"Spirit")</f>
        <v>Spirit</v>
      </c>
      <c r="I419" s="16" t="str">
        <f>IFERROR(__xludf.DUMMYFUNCTION("""COMPUTED_VALUE"""),"Player")</f>
        <v>Player</v>
      </c>
      <c r="J419" s="16" t="b">
        <f>IFERROR(__xludf.DUMMYFUNCTION("""COMPUTED_VALUE"""),FALSE)</f>
        <v>0</v>
      </c>
      <c r="K419" s="16"/>
      <c r="L419" s="16" t="b">
        <f>IFERROR(__xludf.DUMMYFUNCTION("""COMPUTED_VALUE"""),TRUE)</f>
        <v>1</v>
      </c>
      <c r="M419" s="16" t="b">
        <f>IFERROR(__xludf.DUMMYFUNCTION("""COMPUTED_VALUE"""),FALSE)</f>
        <v>0</v>
      </c>
      <c r="N419" s="16"/>
    </row>
    <row r="420">
      <c r="A420" s="16" t="str">
        <f>IFERROR(__xludf.DUMMYFUNCTION("""COMPUTED_VALUE"""),"Soul Trap")</f>
        <v>Soul Trap</v>
      </c>
      <c r="B420" s="120">
        <f>IFERROR(__xludf.DUMMYFUNCTION("""COMPUTED_VALUE"""),6.0)</f>
        <v>6</v>
      </c>
      <c r="C420" s="16">
        <f>IFERROR(__xludf.DUMMYFUNCTION("""COMPUTED_VALUE"""),60.0)</f>
        <v>60</v>
      </c>
      <c r="D420" s="16"/>
      <c r="E420" s="16" t="str">
        <f>IFERROR(__xludf.DUMMYFUNCTION("""COMPUTED_VALUE"""),"Trap 1 target in a soul binding cage causing Stun 3.")</f>
        <v>Trap 1 target in a soul binding cage causing Stun 3.</v>
      </c>
      <c r="F420" s="16" t="str">
        <f>IFERROR(__xludf.DUMMYFUNCTION("""COMPUTED_VALUE"""),"Fail/Succeed")</f>
        <v>Fail/Succeed</v>
      </c>
      <c r="G420" s="16"/>
      <c r="H420" s="16" t="str">
        <f>IFERROR(__xludf.DUMMYFUNCTION("""COMPUTED_VALUE"""),"Spirit")</f>
        <v>Spirit</v>
      </c>
      <c r="I420" s="16" t="str">
        <f>IFERROR(__xludf.DUMMYFUNCTION("""COMPUTED_VALUE"""),"Player")</f>
        <v>Player</v>
      </c>
      <c r="J420" s="16" t="b">
        <f>IFERROR(__xludf.DUMMYFUNCTION("""COMPUTED_VALUE"""),FALSE)</f>
        <v>0</v>
      </c>
      <c r="K420" s="16"/>
      <c r="L420" s="16" t="b">
        <f>IFERROR(__xludf.DUMMYFUNCTION("""COMPUTED_VALUE"""),TRUE)</f>
        <v>1</v>
      </c>
      <c r="M420" s="16" t="b">
        <f>IFERROR(__xludf.DUMMYFUNCTION("""COMPUTED_VALUE"""),FALSE)</f>
        <v>0</v>
      </c>
      <c r="N420" s="16"/>
    </row>
    <row r="421">
      <c r="A421" s="16" t="str">
        <f>IFERROR(__xludf.DUMMYFUNCTION("""COMPUTED_VALUE"""),"SP Recover")</f>
        <v>SP Recover</v>
      </c>
      <c r="B421" s="120">
        <f>IFERROR(__xludf.DUMMYFUNCTION("""COMPUTED_VALUE"""),1.0)</f>
        <v>1</v>
      </c>
      <c r="C421" s="16">
        <f>IFERROR(__xludf.DUMMYFUNCTION("""COMPUTED_VALUE"""),0.0)</f>
        <v>0</v>
      </c>
      <c r="D421" s="16"/>
      <c r="E421" s="16" t="str">
        <f>IFERROR(__xludf.DUMMYFUNCTION("""COMPUTED_VALUE"""),"Regain 5000 SP. Can only be used three times per character per session.")</f>
        <v>Regain 5000 SP. Can only be used three times per character per session.</v>
      </c>
      <c r="F421" s="16" t="str">
        <f>IFERROR(__xludf.DUMMYFUNCTION("""COMPUTED_VALUE"""),"Natural/Will Succeed")</f>
        <v>Natural/Will Succeed</v>
      </c>
      <c r="G421" s="16"/>
      <c r="H421" s="16" t="str">
        <f>IFERROR(__xludf.DUMMYFUNCTION("""COMPUTED_VALUE"""),"Spirit")</f>
        <v>Spirit</v>
      </c>
      <c r="I421" s="16" t="str">
        <f>IFERROR(__xludf.DUMMYFUNCTION("""COMPUTED_VALUE"""),"Player")</f>
        <v>Player</v>
      </c>
      <c r="J421" s="16" t="b">
        <f>IFERROR(__xludf.DUMMYFUNCTION("""COMPUTED_VALUE"""),FALSE)</f>
        <v>0</v>
      </c>
      <c r="K421" s="16"/>
      <c r="L421" s="16" t="b">
        <f>IFERROR(__xludf.DUMMYFUNCTION("""COMPUTED_VALUE"""),TRUE)</f>
        <v>1</v>
      </c>
      <c r="M421" s="16" t="b">
        <f>IFERROR(__xludf.DUMMYFUNCTION("""COMPUTED_VALUE"""),FALSE)</f>
        <v>0</v>
      </c>
      <c r="N421" s="16"/>
    </row>
    <row r="422">
      <c r="A422" s="16" t="str">
        <f>IFERROR(__xludf.DUMMYFUNCTION("""COMPUTED_VALUE"""),"Spirit Drain")</f>
        <v>Spirit Drain</v>
      </c>
      <c r="B422" s="120">
        <f>IFERROR(__xludf.DUMMYFUNCTION("""COMPUTED_VALUE"""),6.0)</f>
        <v>6</v>
      </c>
      <c r="C422" s="16" t="str">
        <f>IFERROR(__xludf.DUMMYFUNCTION("""COMPUTED_VALUE"""),"½ Current SP")</f>
        <v>½ Current SP</v>
      </c>
      <c r="D422" s="16"/>
      <c r="E422" s="16" t="str">
        <f>IFERROR(__xludf.DUMMYFUNCTION("""COMPUTED_VALUE"""),"Costs half current SP, drains half of target’s current SP")</f>
        <v>Costs half current SP, drains half of target’s current SP</v>
      </c>
      <c r="F422" s="16" t="str">
        <f>IFERROR(__xludf.DUMMYFUNCTION("""COMPUTED_VALUE"""),"Fail/Succeed")</f>
        <v>Fail/Succeed</v>
      </c>
      <c r="G422" s="16"/>
      <c r="H422" s="16" t="str">
        <f>IFERROR(__xludf.DUMMYFUNCTION("""COMPUTED_VALUE"""),"Spirit")</f>
        <v>Spirit</v>
      </c>
      <c r="I422" s="16" t="str">
        <f>IFERROR(__xludf.DUMMYFUNCTION("""COMPUTED_VALUE"""),"Player")</f>
        <v>Player</v>
      </c>
      <c r="J422" s="16" t="b">
        <f>IFERROR(__xludf.DUMMYFUNCTION("""COMPUTED_VALUE"""),FALSE)</f>
        <v>0</v>
      </c>
      <c r="K422" s="16"/>
      <c r="L422" s="16" t="b">
        <f>IFERROR(__xludf.DUMMYFUNCTION("""COMPUTED_VALUE"""),TRUE)</f>
        <v>1</v>
      </c>
      <c r="M422" s="16" t="b">
        <f>IFERROR(__xludf.DUMMYFUNCTION("""COMPUTED_VALUE"""),FALSE)</f>
        <v>0</v>
      </c>
      <c r="N422" s="16"/>
    </row>
    <row r="423">
      <c r="A423" s="16" t="str">
        <f>IFERROR(__xludf.DUMMYFUNCTION("""COMPUTED_VALUE"""),"Incorporeal Form")</f>
        <v>Incorporeal Form</v>
      </c>
      <c r="B423" s="120">
        <f>IFERROR(__xludf.DUMMYFUNCTION("""COMPUTED_VALUE"""),9.0)</f>
        <v>9</v>
      </c>
      <c r="C423" s="16">
        <f>IFERROR(__xludf.DUMMYFUNCTION("""COMPUTED_VALUE"""),500.0)</f>
        <v>500</v>
      </c>
      <c r="D423" s="16"/>
      <c r="E423" s="16" t="str">
        <f>IFERROR(__xludf.DUMMYFUNCTION("""COMPUTED_VALUE"""),"Grants Incorporeal 3 to self Can only be cast once every 6 rounds.")</f>
        <v>Grants Incorporeal 3 to self Can only be cast once every 6 rounds.</v>
      </c>
      <c r="F423" s="16" t="str">
        <f>IFERROR(__xludf.DUMMYFUNCTION("""COMPUTED_VALUE"""),"Fail/Succeed")</f>
        <v>Fail/Succeed</v>
      </c>
      <c r="G423" s="16" t="str">
        <f>IFERROR(__xludf.DUMMYFUNCTION("""COMPUTED_VALUE"""),"Self")</f>
        <v>Self</v>
      </c>
      <c r="H423" s="16" t="str">
        <f>IFERROR(__xludf.DUMMYFUNCTION("""COMPUTED_VALUE"""),"Spirit")</f>
        <v>Spirit</v>
      </c>
      <c r="I423" s="16" t="str">
        <f>IFERROR(__xludf.DUMMYFUNCTION("""COMPUTED_VALUE"""),"Player")</f>
        <v>Player</v>
      </c>
      <c r="J423" s="16" t="b">
        <f>IFERROR(__xludf.DUMMYFUNCTION("""COMPUTED_VALUE"""),FALSE)</f>
        <v>0</v>
      </c>
      <c r="K423" s="16"/>
      <c r="L423" s="16" t="b">
        <f>IFERROR(__xludf.DUMMYFUNCTION("""COMPUTED_VALUE"""),FALSE)</f>
        <v>0</v>
      </c>
      <c r="M423" s="16" t="b">
        <f>IFERROR(__xludf.DUMMYFUNCTION("""COMPUTED_VALUE"""),FALSE)</f>
        <v>0</v>
      </c>
      <c r="N423" s="16"/>
    </row>
    <row r="424">
      <c r="A424" s="16" t="str">
        <f>IFERROR(__xludf.DUMMYFUNCTION("""COMPUTED_VALUE"""),"Shaken Soul")</f>
        <v>Shaken Soul</v>
      </c>
      <c r="B424" s="120">
        <f>IFERROR(__xludf.DUMMYFUNCTION("""COMPUTED_VALUE"""),5.0)</f>
        <v>5</v>
      </c>
      <c r="C424" s="16">
        <f>IFERROR(__xludf.DUMMYFUNCTION("""COMPUTED_VALUE"""),50.0)</f>
        <v>50</v>
      </c>
      <c r="D424" s="16"/>
      <c r="E424" s="16" t="str">
        <f>IFERROR(__xludf.DUMMYFUNCTION("""COMPUTED_VALUE"""),"Stare into the soul of your enemy causing them to be gripped by fear granting them Slowness 3 and Marked 3. To target somebody with this spell you must be able to see them and if they leave your sight at any point whilst being affected by the effects of t"&amp;"his spell the spells effects immediatley end. Cannot Resist or be Immune to")</f>
        <v>Stare into the soul of your enemy causing them to be gripped by fear granting them Slowness 3 and Marked 3. To target somebody with this spell you must be able to see them and if they leave your sight at any point whilst being affected by the effects of this spell the spells effects immediatley end. Cannot Resist or be Immune to</v>
      </c>
      <c r="F424" s="16" t="str">
        <f>IFERROR(__xludf.DUMMYFUNCTION("""COMPUTED_VALUE"""),"Fail/Succeed")</f>
        <v>Fail/Succeed</v>
      </c>
      <c r="G424" s="16">
        <f>IFERROR(__xludf.DUMMYFUNCTION("""COMPUTED_VALUE"""),1.0)</f>
        <v>1</v>
      </c>
      <c r="H424" s="16" t="str">
        <f>IFERROR(__xludf.DUMMYFUNCTION("""COMPUTED_VALUE"""),"Spirit")</f>
        <v>Spirit</v>
      </c>
      <c r="I424" s="16" t="str">
        <f>IFERROR(__xludf.DUMMYFUNCTION("""COMPUTED_VALUE"""),"Mob")</f>
        <v>Mob</v>
      </c>
      <c r="J424" s="16" t="b">
        <f>IFERROR(__xludf.DUMMYFUNCTION("""COMPUTED_VALUE"""),TRUE)</f>
        <v>1</v>
      </c>
      <c r="K424" s="16"/>
      <c r="L424" s="16" t="b">
        <f>IFERROR(__xludf.DUMMYFUNCTION("""COMPUTED_VALUE"""),FALSE)</f>
        <v>0</v>
      </c>
      <c r="M424" s="16" t="b">
        <f>IFERROR(__xludf.DUMMYFUNCTION("""COMPUTED_VALUE"""),TRUE)</f>
        <v>1</v>
      </c>
      <c r="N424" s="16"/>
    </row>
    <row r="425">
      <c r="A425" s="16" t="str">
        <f>IFERROR(__xludf.DUMMYFUNCTION("""COMPUTED_VALUE"""),"Soul Rend")</f>
        <v>Soul Rend</v>
      </c>
      <c r="B425" s="120">
        <f>IFERROR(__xludf.DUMMYFUNCTION("""COMPUTED_VALUE"""),5.0)</f>
        <v>5</v>
      </c>
      <c r="C425" s="16">
        <f>IFERROR(__xludf.DUMMYFUNCTION("""COMPUTED_VALUE"""),200.0)</f>
        <v>200</v>
      </c>
      <c r="D425" s="16"/>
      <c r="E425" s="16" t="str">
        <f>IFERROR(__xludf.DUMMYFUNCTION("""COMPUTED_VALUE"""),"Deal 2000 unblockable spirit damage and inflict the enemy with 10 Soulburn")</f>
        <v>Deal 2000 unblockable spirit damage and inflict the enemy with 10 Soulburn</v>
      </c>
      <c r="F425" s="16" t="str">
        <f>IFERROR(__xludf.DUMMYFUNCTION("""COMPUTED_VALUE"""),"Hit or MIss")</f>
        <v>Hit or MIss</v>
      </c>
      <c r="G425" s="16">
        <f>IFERROR(__xludf.DUMMYFUNCTION("""COMPUTED_VALUE"""),1.0)</f>
        <v>1</v>
      </c>
      <c r="H425" s="16" t="str">
        <f>IFERROR(__xludf.DUMMYFUNCTION("""COMPUTED_VALUE"""),"Spirit")</f>
        <v>Spirit</v>
      </c>
      <c r="I425" s="16" t="str">
        <f>IFERROR(__xludf.DUMMYFUNCTION("""COMPUTED_VALUE"""),"Player")</f>
        <v>Player</v>
      </c>
      <c r="J425" s="16" t="b">
        <f>IFERROR(__xludf.DUMMYFUNCTION("""COMPUTED_VALUE"""),FALSE)</f>
        <v>0</v>
      </c>
      <c r="K425" s="16"/>
      <c r="L425" s="16" t="b">
        <f>IFERROR(__xludf.DUMMYFUNCTION("""COMPUTED_VALUE"""),FALSE)</f>
        <v>0</v>
      </c>
      <c r="M425" s="16" t="b">
        <f>IFERROR(__xludf.DUMMYFUNCTION("""COMPUTED_VALUE"""),FALSE)</f>
        <v>0</v>
      </c>
      <c r="N425" s="16"/>
    </row>
    <row r="426">
      <c r="A426" s="16" t="str">
        <f>IFERROR(__xludf.DUMMYFUNCTION("""COMPUTED_VALUE"""),"Spirit's March")</f>
        <v>Spirit's March</v>
      </c>
      <c r="B426" s="120">
        <f>IFERROR(__xludf.DUMMYFUNCTION("""COMPUTED_VALUE"""),9.0)</f>
        <v>9</v>
      </c>
      <c r="C426" s="16" t="str">
        <f>IFERROR(__xludf.DUMMYFUNCTION("""COMPUTED_VALUE"""),"1d20*120")</f>
        <v>1d20*120</v>
      </c>
      <c r="D426" s="16"/>
      <c r="E426" s="16" t="str">
        <f>IFERROR(__xludf.DUMMYFUNCTION("""COMPUTED_VALUE"""),"Call upon all the Spirits and elementals within an area to deal 1d20*500 unblockable Spirit, fire, water, Nature, storm, and earth damage to all enemies")</f>
        <v>Call upon all the Spirits and elementals within an area to deal 1d20*500 unblockable Spirit, fire, water, Nature, storm, and earth damage to all enemies</v>
      </c>
      <c r="F426" s="16" t="str">
        <f>IFERROR(__xludf.DUMMYFUNCTION("""COMPUTED_VALUE"""),"Cannot Avoid")</f>
        <v>Cannot Avoid</v>
      </c>
      <c r="G426" s="16" t="str">
        <f>IFERROR(__xludf.DUMMYFUNCTION("""COMPUTED_VALUE"""),"All")</f>
        <v>All</v>
      </c>
      <c r="H426" s="16" t="str">
        <f>IFERROR(__xludf.DUMMYFUNCTION("""COMPUTED_VALUE"""),"Spirit")</f>
        <v>Spirit</v>
      </c>
      <c r="I426" s="16" t="str">
        <f>IFERROR(__xludf.DUMMYFUNCTION("""COMPUTED_VALUE"""),"Player")</f>
        <v>Player</v>
      </c>
      <c r="J426" s="16" t="b">
        <f>IFERROR(__xludf.DUMMYFUNCTION("""COMPUTED_VALUE"""),FALSE)</f>
        <v>0</v>
      </c>
      <c r="K426" s="16"/>
      <c r="L426" s="16" t="b">
        <f>IFERROR(__xludf.DUMMYFUNCTION("""COMPUTED_VALUE"""),FALSE)</f>
        <v>0</v>
      </c>
      <c r="M426" s="16" t="b">
        <f>IFERROR(__xludf.DUMMYFUNCTION("""COMPUTED_VALUE"""),FALSE)</f>
        <v>0</v>
      </c>
      <c r="N426" s="16"/>
    </row>
    <row r="427">
      <c r="A427" s="16" t="str">
        <f>IFERROR(__xludf.DUMMYFUNCTION("""COMPUTED_VALUE"""),"Spectral Lash")</f>
        <v>Spectral Lash</v>
      </c>
      <c r="B427" s="120">
        <f>IFERROR(__xludf.DUMMYFUNCTION("""COMPUTED_VALUE"""),7.0)</f>
        <v>7</v>
      </c>
      <c r="C427" s="16">
        <f>IFERROR(__xludf.DUMMYFUNCTION("""COMPUTED_VALUE"""),500.0)</f>
        <v>500</v>
      </c>
      <c r="D427" s="16"/>
      <c r="E427" s="16" t="str">
        <f>IFERROR(__xludf.DUMMYFUNCTION("""COMPUTED_VALUE"""),"Unleash a stream of spectral magic upon an enemy inflicting them with Slowness 3 and Disoriented 5")</f>
        <v>Unleash a stream of spectral magic upon an enemy inflicting them with Slowness 3 and Disoriented 5</v>
      </c>
      <c r="F427" s="16" t="str">
        <f>IFERROR(__xludf.DUMMYFUNCTION("""COMPUTED_VALUE"""),"Fail or Succeed")</f>
        <v>Fail or Succeed</v>
      </c>
      <c r="G427" s="16">
        <f>IFERROR(__xludf.DUMMYFUNCTION("""COMPUTED_VALUE"""),1.0)</f>
        <v>1</v>
      </c>
      <c r="H427" s="16" t="str">
        <f>IFERROR(__xludf.DUMMYFUNCTION("""COMPUTED_VALUE"""),"Spirit")</f>
        <v>Spirit</v>
      </c>
      <c r="I427" s="16" t="str">
        <f>IFERROR(__xludf.DUMMYFUNCTION("""COMPUTED_VALUE"""),"Player")</f>
        <v>Player</v>
      </c>
      <c r="J427" s="16" t="b">
        <f>IFERROR(__xludf.DUMMYFUNCTION("""COMPUTED_VALUE"""),FALSE)</f>
        <v>0</v>
      </c>
      <c r="K427" s="16"/>
      <c r="L427" s="16" t="b">
        <f>IFERROR(__xludf.DUMMYFUNCTION("""COMPUTED_VALUE"""),FALSE)</f>
        <v>0</v>
      </c>
      <c r="M427" s="16" t="b">
        <f>IFERROR(__xludf.DUMMYFUNCTION("""COMPUTED_VALUE"""),FALSE)</f>
        <v>0</v>
      </c>
      <c r="N427" s="16"/>
    </row>
    <row r="428">
      <c r="A428" s="16" t="str">
        <f>IFERROR(__xludf.DUMMYFUNCTION("""COMPUTED_VALUE"""),"Taijuma's Spirit Art I: 5 Formation Seal")</f>
        <v>Taijuma's Spirit Art I: 5 Formation Seal</v>
      </c>
      <c r="B428" s="120">
        <f>IFERROR(__xludf.DUMMYFUNCTION("""COMPUTED_VALUE"""),1.0)</f>
        <v>1</v>
      </c>
      <c r="C428" s="16">
        <f>IFERROR(__xludf.DUMMYFUNCTION("""COMPUTED_VALUE"""),0.0)</f>
        <v>0</v>
      </c>
      <c r="D428" s="16"/>
      <c r="E428" s="16" t="str">
        <f>IFERROR(__xludf.DUMMYFUNCTION("""COMPUTED_VALUE"""),"Seperate one enemies soul from their body and bind it with an elaborate seal preventing them from taking any actions for 3 rounds.")</f>
        <v>Seperate one enemies soul from their body and bind it with an elaborate seal preventing them from taking any actions for 3 rounds.</v>
      </c>
      <c r="F428" s="16" t="str">
        <f>IFERROR(__xludf.DUMMYFUNCTION("""COMPUTED_VALUE"""),"Natural/Fail or Succeed")</f>
        <v>Natural/Fail or Succeed</v>
      </c>
      <c r="G428" s="16">
        <f>IFERROR(__xludf.DUMMYFUNCTION("""COMPUTED_VALUE"""),1.0)</f>
        <v>1</v>
      </c>
      <c r="H428" s="16" t="str">
        <f>IFERROR(__xludf.DUMMYFUNCTION("""COMPUTED_VALUE"""),"Spirit")</f>
        <v>Spirit</v>
      </c>
      <c r="I428" s="16" t="str">
        <f>IFERROR(__xludf.DUMMYFUNCTION("""COMPUTED_VALUE"""),"Mob")</f>
        <v>Mob</v>
      </c>
      <c r="J428" s="16" t="b">
        <f>IFERROR(__xludf.DUMMYFUNCTION("""COMPUTED_VALUE"""),TRUE)</f>
        <v>1</v>
      </c>
      <c r="K428" s="16" t="str">
        <f>IFERROR(__xludf.DUMMYFUNCTION("""COMPUTED_VALUE"""),"Quest Spell")</f>
        <v>Quest Spell</v>
      </c>
      <c r="L428" s="16" t="b">
        <f>IFERROR(__xludf.DUMMYFUNCTION("""COMPUTED_VALUE"""),FALSE)</f>
        <v>0</v>
      </c>
      <c r="M428" s="16" t="b">
        <f>IFERROR(__xludf.DUMMYFUNCTION("""COMPUTED_VALUE"""),FALSE)</f>
        <v>0</v>
      </c>
      <c r="N428" s="16"/>
    </row>
    <row r="429">
      <c r="A429" s="16" t="str">
        <f>IFERROR(__xludf.DUMMYFUNCTION("""COMPUTED_VALUE"""),"Taijuma's Spirit Art II: Shatter")</f>
        <v>Taijuma's Spirit Art II: Shatter</v>
      </c>
      <c r="B429" s="120">
        <f>IFERROR(__xludf.DUMMYFUNCTION("""COMPUTED_VALUE"""),7.0)</f>
        <v>7</v>
      </c>
      <c r="C429" s="16">
        <f>IFERROR(__xludf.DUMMYFUNCTION("""COMPUTED_VALUE"""),1000.0)</f>
        <v>1000</v>
      </c>
      <c r="D429" s="16"/>
      <c r="E429" s="16" t="str">
        <f>IFERROR(__xludf.DUMMYFUNCTION("""COMPUTED_VALUE"""),"Spirits converge around you at your will converging around a piece of equipment of your choice with the following effects
Head: A pair of Spectral Horns form from your school as your eyes take on an ethereal glow and you gain truesight 3 along with 10000 "&amp;"spirit resistance
Shoulders: A spectral cape that seems to flutter even without the wind begins to extend from your back Granting you +7 evasion for 3 rounds
Torso: Your armor begins to shift wildly, growing jagged and sharp, You gain Shuttering 3 and any"&amp;" enemies who hit you for 3 rounds take half the damage they deal back as Spirit damage.
Arms: Your Arms begin to grow thicker as spectral claws extend from your hand and you gain invigorated 5
Legs: Your legs begin to reform rapidly taking on the form of "&amp;"a beast's legs allowing you to quickly and easily lunge for your opponents granting you +7 mobility for 3 rounds
Feet: Spectral energy envelops your boots and you feel as though you are flying gaining Haste 3
Scythe: A pair of gigantic spectral wings spro"&amp;"ut from your back as your scythe begins to burn with the thick energy of a spirit, You dash forward at breakneck speeds slashing through the souls of your enemies and dealing 25000 unblockable Spirit damage along with inflicting 10 Soulburn as their soul "&amp;"reforms from it's shattered state.
Staff: You smash your staff into the ground as a wave of energy causes the ground to shake, A vortex of souls forms above you writhing intensely, as you point your staff forward a beam pierces through a single enemy deal"&amp;"ing 75000 unblockable spirit damage and inflicting them with Blindness 3 as their soul reforms from it's shattered state.")</f>
        <v>Spirits converge around you at your will converging around a piece of equipment of your choice with the following effects
Head: A pair of Spectral Horns form from your school as your eyes take on an ethereal glow and you gain truesight 3 along with 10000 spirit resistance
Shoulders: A spectral cape that seems to flutter even without the wind begins to extend from your back Granting you +7 evasion for 3 rounds
Torso: Your armor begins to shift wildly, growing jagged and sharp, You gain Shuttering 3 and any enemies who hit you for 3 rounds take half the damage they deal back as Spirit damage.
Arms: Your Arms begin to grow thicker as spectral claws extend from your hand and you gain invigorated 5
Legs: Your legs begin to reform rapidly taking on the form of a beast's legs allowing you to quickly and easily lunge for your opponents granting you +7 mobility for 3 rounds
Feet: Spectral energy envelops your boots and you feel as though you are flying gaining Haste 3
Scythe: A pair of gigantic spectral wings sprout from your back as your scythe begins to burn with the thick energy of a spirit, You dash forward at breakneck speeds slashing through the souls of your enemies and dealing 25000 unblockable Spirit damage along with inflicting 10 Soulburn as their soul reforms from it's shattered state.
Staff: You smash your staff into the ground as a wave of energy causes the ground to shake, A vortex of souls forms above you writhing intensely, as you point your staff forward a beam pierces through a single enemy dealing 75000 unblockable spirit damage and inflicting them with Blindness 3 as their soul reforms from it's shattered state.</v>
      </c>
      <c r="F429" s="16" t="str">
        <f>IFERROR(__xludf.DUMMYFUNCTION("""COMPUTED_VALUE"""),"Will Succeed")</f>
        <v>Will Succeed</v>
      </c>
      <c r="G429" s="16" t="str">
        <f>IFERROR(__xludf.DUMMYFUNCTION("""COMPUTED_VALUE"""),"Self, 1, or All")</f>
        <v>Self, 1, or All</v>
      </c>
      <c r="H429" s="16" t="str">
        <f>IFERROR(__xludf.DUMMYFUNCTION("""COMPUTED_VALUE"""),"Spirit")</f>
        <v>Spirit</v>
      </c>
      <c r="I429" s="16" t="str">
        <f>IFERROR(__xludf.DUMMYFUNCTION("""COMPUTED_VALUE"""),"Mob")</f>
        <v>Mob</v>
      </c>
      <c r="J429" s="16" t="b">
        <f>IFERROR(__xludf.DUMMYFUNCTION("""COMPUTED_VALUE"""),TRUE)</f>
        <v>1</v>
      </c>
      <c r="K429" s="16" t="str">
        <f>IFERROR(__xludf.DUMMYFUNCTION("""COMPUTED_VALUE"""),"Quest Spell")</f>
        <v>Quest Spell</v>
      </c>
      <c r="L429" s="16" t="b">
        <f>IFERROR(__xludf.DUMMYFUNCTION("""COMPUTED_VALUE"""),FALSE)</f>
        <v>0</v>
      </c>
      <c r="M429" s="16" t="b">
        <f>IFERROR(__xludf.DUMMYFUNCTION("""COMPUTED_VALUE"""),FALSE)</f>
        <v>0</v>
      </c>
      <c r="N429" s="16"/>
    </row>
    <row r="430">
      <c r="A430" s="16" t="str">
        <f>IFERROR(__xludf.DUMMYFUNCTION("""COMPUTED_VALUE"""),"Taijuma's Spirit Art III: Domination")</f>
        <v>Taijuma's Spirit Art III: Domination</v>
      </c>
      <c r="B430" s="120">
        <f>IFERROR(__xludf.DUMMYFUNCTION("""COMPUTED_VALUE"""),8.0)</f>
        <v>8</v>
      </c>
      <c r="C430" s="16">
        <f>IFERROR(__xludf.DUMMYFUNCTION("""COMPUTED_VALUE"""),50.0)</f>
        <v>50</v>
      </c>
      <c r="D430" s="16"/>
      <c r="E430" s="16" t="str">
        <f>IFERROR(__xludf.DUMMYFUNCTION("""COMPUTED_VALUE"""),"You reach your hand out towards a single spirit enemy and attempt to dominate them, 75% chance of turning the spirit into an ally until the end of battle, after battle their soul is immediately purged.")</f>
        <v>You reach your hand out towards a single spirit enemy and attempt to dominate them, 75% chance of turning the spirit into an ally until the end of battle, after battle their soul is immediately purged.</v>
      </c>
      <c r="F430" s="16" t="str">
        <f>IFERROR(__xludf.DUMMYFUNCTION("""COMPUTED_VALUE"""),"Will Succeed")</f>
        <v>Will Succeed</v>
      </c>
      <c r="G430" s="16">
        <f>IFERROR(__xludf.DUMMYFUNCTION("""COMPUTED_VALUE"""),1.0)</f>
        <v>1</v>
      </c>
      <c r="H430" s="16" t="str">
        <f>IFERROR(__xludf.DUMMYFUNCTION("""COMPUTED_VALUE"""),"Spirit")</f>
        <v>Spirit</v>
      </c>
      <c r="I430" s="16" t="str">
        <f>IFERROR(__xludf.DUMMYFUNCTION("""COMPUTED_VALUE"""),"Mob")</f>
        <v>Mob</v>
      </c>
      <c r="J430" s="16" t="b">
        <f>IFERROR(__xludf.DUMMYFUNCTION("""COMPUTED_VALUE"""),TRUE)</f>
        <v>1</v>
      </c>
      <c r="K430" s="16" t="str">
        <f>IFERROR(__xludf.DUMMYFUNCTION("""COMPUTED_VALUE"""),"Quest Spell")</f>
        <v>Quest Spell</v>
      </c>
      <c r="L430" s="16" t="b">
        <f>IFERROR(__xludf.DUMMYFUNCTION("""COMPUTED_VALUE"""),FALSE)</f>
        <v>0</v>
      </c>
      <c r="M430" s="16" t="b">
        <f>IFERROR(__xludf.DUMMYFUNCTION("""COMPUTED_VALUE"""),FALSE)</f>
        <v>0</v>
      </c>
      <c r="N430" s="16"/>
    </row>
    <row r="431">
      <c r="A431" s="16" t="str">
        <f>IFERROR(__xludf.DUMMYFUNCTION("""COMPUTED_VALUE"""),"Taijuma's Spirit Art IV: Destined Death")</f>
        <v>Taijuma's Spirit Art IV: Destined Death</v>
      </c>
      <c r="B431" s="120">
        <f>IFERROR(__xludf.DUMMYFUNCTION("""COMPUTED_VALUE"""),9.0)</f>
        <v>9</v>
      </c>
      <c r="C431" s="16">
        <f>IFERROR(__xludf.DUMMYFUNCTION("""COMPUTED_VALUE"""),500.0)</f>
        <v>500</v>
      </c>
      <c r="D431" s="16"/>
      <c r="E431" s="16" t="str">
        <f>IFERROR(__xludf.DUMMYFUNCTION("""COMPUTED_VALUE"""),"As you cast this spell everyone on the field hears a bell begin to toll as a hand rises from the ground and points at a random enemy, That enemy immediately dies as their soul is dragged into abstara by Hela (Instant Death for the purposes of immunity and"&amp;" abilities), all enemies must roll 1d20 unaffected by bonuses 1-10 the enemy is terrified of the party with -5 to all rolls for 3 rounds, 11-20 no effect")</f>
        <v>As you cast this spell everyone on the field hears a bell begin to toll as a hand rises from the ground and points at a random enemy, That enemy immediately dies as their soul is dragged into abstara by Hela (Instant Death for the purposes of immunity and abilities), all enemies must roll 1d20 unaffected by bonuses 1-10 the enemy is terrified of the party with -5 to all rolls for 3 rounds, 11-20 no effect</v>
      </c>
      <c r="F431" s="16" t="str">
        <f>IFERROR(__xludf.DUMMYFUNCTION("""COMPUTED_VALUE"""),"Will Succeed")</f>
        <v>Will Succeed</v>
      </c>
      <c r="G431" s="16" t="str">
        <f>IFERROR(__xludf.DUMMYFUNCTION("""COMPUTED_VALUE"""),"All")</f>
        <v>All</v>
      </c>
      <c r="H431" s="16" t="str">
        <f>IFERROR(__xludf.DUMMYFUNCTION("""COMPUTED_VALUE"""),"Spirit")</f>
        <v>Spirit</v>
      </c>
      <c r="I431" s="16" t="str">
        <f>IFERROR(__xludf.DUMMYFUNCTION("""COMPUTED_VALUE"""),"Mob")</f>
        <v>Mob</v>
      </c>
      <c r="J431" s="16" t="b">
        <f>IFERROR(__xludf.DUMMYFUNCTION("""COMPUTED_VALUE"""),TRUE)</f>
        <v>1</v>
      </c>
      <c r="K431" s="16" t="str">
        <f>IFERROR(__xludf.DUMMYFUNCTION("""COMPUTED_VALUE"""),"Quest Spell")</f>
        <v>Quest Spell</v>
      </c>
      <c r="L431" s="16" t="b">
        <f>IFERROR(__xludf.DUMMYFUNCTION("""COMPUTED_VALUE"""),FALSE)</f>
        <v>0</v>
      </c>
      <c r="M431" s="16" t="b">
        <f>IFERROR(__xludf.DUMMYFUNCTION("""COMPUTED_VALUE"""),FALSE)</f>
        <v>0</v>
      </c>
      <c r="N431" s="16"/>
    </row>
    <row r="432">
      <c r="A432" s="16" t="str">
        <f>IFERROR(__xludf.DUMMYFUNCTION("""COMPUTED_VALUE"""),"Spiritual Meld")</f>
        <v>Spiritual Meld</v>
      </c>
      <c r="B432" s="120">
        <f>IFERROR(__xludf.DUMMYFUNCTION("""COMPUTED_VALUE"""),9.0)</f>
        <v>9</v>
      </c>
      <c r="C432" s="16">
        <f>IFERROR(__xludf.DUMMYFUNCTION("""COMPUTED_VALUE"""),1000.0)</f>
        <v>1000</v>
      </c>
      <c r="D432" s="16"/>
      <c r="E432" s="16" t="str">
        <f>IFERROR(__xludf.DUMMYFUNCTION("""COMPUTED_VALUE"""),"Call upon a spirit to change your form for better combative purposes
The Reaper - Spirit damage X4 and Spirit Spell sp cost/4 for 5 rounds, all spells and powers that cost souls have a 10% to refund their soul cost upon casting for 3 rounds
The Salamander"&amp;" - Fire Damage X4 and Fire spell cost/4 for 5 rounds, all fire spells cast within the next 3 rounds deal 1500 burn for 3 rounds
The Undyne -  Water Damage X4 and Water spell cost/4 for 5 rounds, all water spells have a 10% chance to skip the targets next "&amp;"turn for 3 rounds
The Mountain King - Earth Damage X4 and Earth spell cost/4 for 5 rounds, all allies get X4 defense for 3 rounds
The Sylphid - Nature Damage X4 and Nature spell cost/4 for 5 rounds, all allies have a 10% chance to act twice on their turn "&amp;"for 3 rounds
The Raijin - Storm Damage X4 and Storm spell cost/4 for 5 rounds, any spells that freeze or stun have a 50% chance to affect an extra target for 3 rounds")</f>
        <v>Call upon a spirit to change your form for better combative purposes
The Reaper - Spirit damage X4 and Spirit Spell sp cost/4 for 5 rounds, all spells and powers that cost souls have a 10% to refund their soul cost upon casting for 3 rounds
The Salamander - Fire Damage X4 and Fire spell cost/4 for 5 rounds, all fire spells cast within the next 3 rounds deal 1500 burn for 3 rounds
The Undyne -  Water Damage X4 and Water spell cost/4 for 5 rounds, all water spells have a 10% chance to skip the targets next turn for 3 rounds
The Mountain King - Earth Damage X4 and Earth spell cost/4 for 5 rounds, all allies get X4 defense for 3 rounds
The Sylphid - Nature Damage X4 and Nature spell cost/4 for 5 rounds, all allies have a 10% chance to act twice on their turn for 3 rounds
The Raijin - Storm Damage X4 and Storm spell cost/4 for 5 rounds, any spells that freeze or stun have a 50% chance to affect an extra target for 3 rounds</v>
      </c>
      <c r="F432" s="16" t="str">
        <f>IFERROR(__xludf.DUMMYFUNCTION("""COMPUTED_VALUE"""),"Fail/Succeed")</f>
        <v>Fail/Succeed</v>
      </c>
      <c r="G432" s="16" t="str">
        <f>IFERROR(__xludf.DUMMYFUNCTION("""COMPUTED_VALUE"""),"Self")</f>
        <v>Self</v>
      </c>
      <c r="H432" s="16" t="str">
        <f>IFERROR(__xludf.DUMMYFUNCTION("""COMPUTED_VALUE"""),"Spirit")</f>
        <v>Spirit</v>
      </c>
      <c r="I432" s="16" t="str">
        <f>IFERROR(__xludf.DUMMYFUNCTION("""COMPUTED_VALUE"""),"Player")</f>
        <v>Player</v>
      </c>
      <c r="J432" s="16" t="b">
        <f>IFERROR(__xludf.DUMMYFUNCTION("""COMPUTED_VALUE"""),TRUE)</f>
        <v>1</v>
      </c>
      <c r="K432" s="16" t="str">
        <f>IFERROR(__xludf.DUMMYFUNCTION("""COMPUTED_VALUE"""),"Item")</f>
        <v>Item</v>
      </c>
      <c r="L432" s="16" t="b">
        <f>IFERROR(__xludf.DUMMYFUNCTION("""COMPUTED_VALUE"""),FALSE)</f>
        <v>0</v>
      </c>
      <c r="M432" s="16" t="b">
        <f>IFERROR(__xludf.DUMMYFUNCTION("""COMPUTED_VALUE"""),FALSE)</f>
        <v>0</v>
      </c>
      <c r="N432" s="16"/>
    </row>
    <row r="433">
      <c r="A433" s="16" t="str">
        <f>IFERROR(__xludf.DUMMYFUNCTION("""COMPUTED_VALUE"""),"Vengeful Strike")</f>
        <v>Vengeful Strike</v>
      </c>
      <c r="B433" s="120">
        <f>IFERROR(__xludf.DUMMYFUNCTION("""COMPUTED_VALUE"""),9.0)</f>
        <v>9</v>
      </c>
      <c r="C433" s="16">
        <f>IFERROR(__xludf.DUMMYFUNCTION("""COMPUTED_VALUE"""),500.0)</f>
        <v>500</v>
      </c>
      <c r="D433" s="16"/>
      <c r="E433" s="16" t="str">
        <f>IFERROR(__xludf.DUMMYFUNCTION("""COMPUTED_VALUE"""),"Upon death, you deal 20,000 spirit damage to the enemy that killed you for 3 rounds. At the end of those 3 rounds if at least one ally is alive you come back to life. (Can only be used once per battle)")</f>
        <v>Upon death, you deal 20,000 spirit damage to the enemy that killed you for 3 rounds. At the end of those 3 rounds if at least one ally is alive you come back to life. (Can only be used once per battle)</v>
      </c>
      <c r="F433" s="16" t="str">
        <f>IFERROR(__xludf.DUMMYFUNCTION("""COMPUTED_VALUE"""),"Fail/Succeed")</f>
        <v>Fail/Succeed</v>
      </c>
      <c r="G433" s="16" t="str">
        <f>IFERROR(__xludf.DUMMYFUNCTION("""COMPUTED_VALUE"""),"Self")</f>
        <v>Self</v>
      </c>
      <c r="H433" s="16" t="str">
        <f>IFERROR(__xludf.DUMMYFUNCTION("""COMPUTED_VALUE"""),"Spirit")</f>
        <v>Spirit</v>
      </c>
      <c r="I433" s="16" t="str">
        <f>IFERROR(__xludf.DUMMYFUNCTION("""COMPUTED_VALUE"""),"Player")</f>
        <v>Player</v>
      </c>
      <c r="J433" s="16" t="b">
        <f>IFERROR(__xludf.DUMMYFUNCTION("""COMPUTED_VALUE"""),FALSE)</f>
        <v>0</v>
      </c>
      <c r="K433" s="16"/>
      <c r="L433" s="16" t="b">
        <f>IFERROR(__xludf.DUMMYFUNCTION("""COMPUTED_VALUE"""),FALSE)</f>
        <v>0</v>
      </c>
      <c r="M433" s="16" t="b">
        <f>IFERROR(__xludf.DUMMYFUNCTION("""COMPUTED_VALUE"""),FALSE)</f>
        <v>0</v>
      </c>
      <c r="N433" s="16"/>
    </row>
    <row r="434">
      <c r="A434" s="16" t="str">
        <f>IFERROR(__xludf.DUMMYFUNCTION("""COMPUTED_VALUE"""),"Soul Shot")</f>
        <v>Soul Shot</v>
      </c>
      <c r="B434" s="120">
        <f>IFERROR(__xludf.DUMMYFUNCTION("""COMPUTED_VALUE"""),1.0)</f>
        <v>1</v>
      </c>
      <c r="C434" s="16" t="str">
        <f>IFERROR(__xludf.DUMMYFUNCTION("""COMPUTED_VALUE"""),"X")</f>
        <v>X</v>
      </c>
      <c r="D434" s="16"/>
      <c r="E434" s="16" t="str">
        <f>IFERROR(__xludf.DUMMYFUNCTION("""COMPUTED_VALUE"""),"Deals X*100 Undefendable Spirit damage to a single enemy where X is equal to SP spent.")</f>
        <v>Deals X*100 Undefendable Spirit damage to a single enemy where X is equal to SP spent.</v>
      </c>
      <c r="F434" s="16" t="str">
        <f>IFERROR(__xludf.DUMMYFUNCTION("""COMPUTED_VALUE"""),"Hit/Miss")</f>
        <v>Hit/Miss</v>
      </c>
      <c r="G434" s="16">
        <f>IFERROR(__xludf.DUMMYFUNCTION("""COMPUTED_VALUE"""),1.0)</f>
        <v>1</v>
      </c>
      <c r="H434" s="16" t="str">
        <f>IFERROR(__xludf.DUMMYFUNCTION("""COMPUTED_VALUE"""),"Spirit")</f>
        <v>Spirit</v>
      </c>
      <c r="I434" s="16" t="str">
        <f>IFERROR(__xludf.DUMMYFUNCTION("""COMPUTED_VALUE"""),"Player")</f>
        <v>Player</v>
      </c>
      <c r="J434" s="16" t="b">
        <f>IFERROR(__xludf.DUMMYFUNCTION("""COMPUTED_VALUE"""),FALSE)</f>
        <v>0</v>
      </c>
      <c r="K434" s="16"/>
      <c r="L434" s="16" t="b">
        <f>IFERROR(__xludf.DUMMYFUNCTION("""COMPUTED_VALUE"""),FALSE)</f>
        <v>0</v>
      </c>
      <c r="M434" s="16" t="b">
        <f>IFERROR(__xludf.DUMMYFUNCTION("""COMPUTED_VALUE"""),FALSE)</f>
        <v>0</v>
      </c>
      <c r="N434" s="16"/>
    </row>
    <row r="435">
      <c r="A435" s="16" t="str">
        <f>IFERROR(__xludf.DUMMYFUNCTION("""COMPUTED_VALUE"""),"Dread")</f>
        <v>Dread</v>
      </c>
      <c r="B435" s="120">
        <f>IFERROR(__xludf.DUMMYFUNCTION("""COMPUTED_VALUE"""),5.0)</f>
        <v>5</v>
      </c>
      <c r="C435" s="16" t="str">
        <f>IFERROR(__xludf.DUMMYFUNCTION("""COMPUTED_VALUE"""),"X")</f>
        <v>X</v>
      </c>
      <c r="D435" s="16"/>
      <c r="E435" s="16" t="str">
        <f>IFERROR(__xludf.DUMMYFUNCTION("""COMPUTED_VALUE"""),"Deals X*50 Spirit damage per round for 3 rounds to a single target where X is equal to SP spent.")</f>
        <v>Deals X*50 Spirit damage per round for 3 rounds to a single target where X is equal to SP spent.</v>
      </c>
      <c r="F435" s="16" t="str">
        <f>IFERROR(__xludf.DUMMYFUNCTION("""COMPUTED_VALUE"""),"Hit/Miss")</f>
        <v>Hit/Miss</v>
      </c>
      <c r="G435" s="16">
        <f>IFERROR(__xludf.DUMMYFUNCTION("""COMPUTED_VALUE"""),1.0)</f>
        <v>1</v>
      </c>
      <c r="H435" s="16" t="str">
        <f>IFERROR(__xludf.DUMMYFUNCTION("""COMPUTED_VALUE"""),"Spirit")</f>
        <v>Spirit</v>
      </c>
      <c r="I435" s="16" t="str">
        <f>IFERROR(__xludf.DUMMYFUNCTION("""COMPUTED_VALUE"""),"Player")</f>
        <v>Player</v>
      </c>
      <c r="J435" s="16" t="b">
        <f>IFERROR(__xludf.DUMMYFUNCTION("""COMPUTED_VALUE"""),FALSE)</f>
        <v>0</v>
      </c>
      <c r="K435" s="16"/>
      <c r="L435" s="16" t="b">
        <f>IFERROR(__xludf.DUMMYFUNCTION("""COMPUTED_VALUE"""),FALSE)</f>
        <v>0</v>
      </c>
      <c r="M435" s="16" t="b">
        <f>IFERROR(__xludf.DUMMYFUNCTION("""COMPUTED_VALUE"""),FALSE)</f>
        <v>0</v>
      </c>
      <c r="N435" s="16"/>
    </row>
    <row r="436">
      <c r="A436" s="16" t="str">
        <f>IFERROR(__xludf.DUMMYFUNCTION("""COMPUTED_VALUE"""),"Spirit Fog")</f>
        <v>Spirit Fog</v>
      </c>
      <c r="B436" s="120">
        <f>IFERROR(__xludf.DUMMYFUNCTION("""COMPUTED_VALUE"""),5.0)</f>
        <v>5</v>
      </c>
      <c r="C436" s="16" t="str">
        <f>IFERROR(__xludf.DUMMYFUNCTION("""COMPUTED_VALUE"""),"X")</f>
        <v>X</v>
      </c>
      <c r="D436" s="16"/>
      <c r="E436" s="16" t="str">
        <f>IFERROR(__xludf.DUMMYFUNCTION("""COMPUTED_VALUE"""),"Deals X*25 Undefendable Spirit damage to all enemies where X is equal to SP spent.")</f>
        <v>Deals X*25 Undefendable Spirit damage to all enemies where X is equal to SP spent.</v>
      </c>
      <c r="F436" s="16" t="str">
        <f>IFERROR(__xludf.DUMMYFUNCTION("""COMPUTED_VALUE"""),"Cannot Avoid")</f>
        <v>Cannot Avoid</v>
      </c>
      <c r="G436" s="16" t="str">
        <f>IFERROR(__xludf.DUMMYFUNCTION("""COMPUTED_VALUE"""),"All")</f>
        <v>All</v>
      </c>
      <c r="H436" s="16" t="str">
        <f>IFERROR(__xludf.DUMMYFUNCTION("""COMPUTED_VALUE"""),"Spirit")</f>
        <v>Spirit</v>
      </c>
      <c r="I436" s="16" t="str">
        <f>IFERROR(__xludf.DUMMYFUNCTION("""COMPUTED_VALUE"""),"Player")</f>
        <v>Player</v>
      </c>
      <c r="J436" s="16" t="b">
        <f>IFERROR(__xludf.DUMMYFUNCTION("""COMPUTED_VALUE"""),FALSE)</f>
        <v>0</v>
      </c>
      <c r="K436" s="16"/>
      <c r="L436" s="16" t="b">
        <f>IFERROR(__xludf.DUMMYFUNCTION("""COMPUTED_VALUE"""),FALSE)</f>
        <v>0</v>
      </c>
      <c r="M436" s="16" t="b">
        <f>IFERROR(__xludf.DUMMYFUNCTION("""COMPUTED_VALUE"""),FALSE)</f>
        <v>0</v>
      </c>
      <c r="N436" s="16"/>
    </row>
    <row r="437">
      <c r="A437" s="16" t="str">
        <f>IFERROR(__xludf.DUMMYFUNCTION("""COMPUTED_VALUE"""),"Burning Dread")</f>
        <v>Burning Dread</v>
      </c>
      <c r="B437" s="120">
        <f>IFERROR(__xludf.DUMMYFUNCTION("""COMPUTED_VALUE"""),6.0)</f>
        <v>6</v>
      </c>
      <c r="C437" s="16" t="str">
        <f>IFERROR(__xludf.DUMMYFUNCTION("""COMPUTED_VALUE"""),"X")</f>
        <v>X</v>
      </c>
      <c r="D437" s="16"/>
      <c r="E437" s="16" t="str">
        <f>IFERROR(__xludf.DUMMYFUNCTION("""COMPUTED_VALUE"""),"Deals X*10 Spirit damage per round to all enemies for 3 rounds where X is equal to SP spent.")</f>
        <v>Deals X*10 Spirit damage per round to all enemies for 3 rounds where X is equal to SP spent.</v>
      </c>
      <c r="F437" s="16" t="str">
        <f>IFERROR(__xludf.DUMMYFUNCTION("""COMPUTED_VALUE"""),"Cannot Avoid")</f>
        <v>Cannot Avoid</v>
      </c>
      <c r="G437" s="16" t="str">
        <f>IFERROR(__xludf.DUMMYFUNCTION("""COMPUTED_VALUE"""),"All")</f>
        <v>All</v>
      </c>
      <c r="H437" s="16" t="str">
        <f>IFERROR(__xludf.DUMMYFUNCTION("""COMPUTED_VALUE"""),"Spirit")</f>
        <v>Spirit</v>
      </c>
      <c r="I437" s="16" t="str">
        <f>IFERROR(__xludf.DUMMYFUNCTION("""COMPUTED_VALUE"""),"Player")</f>
        <v>Player</v>
      </c>
      <c r="J437" s="16" t="b">
        <f>IFERROR(__xludf.DUMMYFUNCTION("""COMPUTED_VALUE"""),FALSE)</f>
        <v>0</v>
      </c>
      <c r="K437" s="16"/>
      <c r="L437" s="16" t="b">
        <f>IFERROR(__xludf.DUMMYFUNCTION("""COMPUTED_VALUE"""),FALSE)</f>
        <v>0</v>
      </c>
      <c r="M437" s="16" t="b">
        <f>IFERROR(__xludf.DUMMYFUNCTION("""COMPUTED_VALUE"""),FALSE)</f>
        <v>0</v>
      </c>
      <c r="N437" s="16"/>
    </row>
    <row r="438">
      <c r="A438" s="16" t="str">
        <f>IFERROR(__xludf.DUMMYFUNCTION("""COMPUTED_VALUE"""),"Stasis Madness")</f>
        <v>Stasis Madness</v>
      </c>
      <c r="B438" s="120">
        <f>IFERROR(__xludf.DUMMYFUNCTION("""COMPUTED_VALUE"""),6.0)</f>
        <v>6</v>
      </c>
      <c r="C438" s="16" t="str">
        <f>IFERROR(__xludf.DUMMYFUNCTION("""COMPUTED_VALUE"""),"X*100")</f>
        <v>X*100</v>
      </c>
      <c r="D438" s="16"/>
      <c r="E438" s="16" t="str">
        <f>IFERROR(__xludf.DUMMYFUNCTION("""COMPUTED_VALUE"""),"Target becomes completely unresponsive for X rounds")</f>
        <v>Target becomes completely unresponsive for X rounds</v>
      </c>
      <c r="F438" s="16" t="str">
        <f>IFERROR(__xludf.DUMMYFUNCTION("""COMPUTED_VALUE"""),"Fail/Succeed")</f>
        <v>Fail/Succeed</v>
      </c>
      <c r="G438" s="16"/>
      <c r="H438" s="16" t="str">
        <f>IFERROR(__xludf.DUMMYFUNCTION("""COMPUTED_VALUE"""),"Stasis")</f>
        <v>Stasis</v>
      </c>
      <c r="I438" s="16" t="str">
        <f>IFERROR(__xludf.DUMMYFUNCTION("""COMPUTED_VALUE"""),"Player")</f>
        <v>Player</v>
      </c>
      <c r="J438" s="16" t="b">
        <f>IFERROR(__xludf.DUMMYFUNCTION("""COMPUTED_VALUE"""),FALSE)</f>
        <v>0</v>
      </c>
      <c r="K438" s="16"/>
      <c r="L438" s="16" t="b">
        <f>IFERROR(__xludf.DUMMYFUNCTION("""COMPUTED_VALUE"""),FALSE)</f>
        <v>0</v>
      </c>
      <c r="M438" s="16" t="b">
        <f>IFERROR(__xludf.DUMMYFUNCTION("""COMPUTED_VALUE"""),FALSE)</f>
        <v>0</v>
      </c>
      <c r="N438" s="16"/>
    </row>
    <row r="439">
      <c r="A439" s="16" t="str">
        <f>IFERROR(__xludf.DUMMYFUNCTION("""COMPUTED_VALUE"""),"Stasis Meteor Shower")</f>
        <v>Stasis Meteor Shower</v>
      </c>
      <c r="B439" s="120">
        <f>IFERROR(__xludf.DUMMYFUNCTION("""COMPUTED_VALUE"""),9.0)</f>
        <v>9</v>
      </c>
      <c r="C439" s="16">
        <f>IFERROR(__xludf.DUMMYFUNCTION("""COMPUTED_VALUE"""),300.0)</f>
        <v>300</v>
      </c>
      <c r="D439" s="16"/>
      <c r="E439" s="16" t="str">
        <f>IFERROR(__xludf.DUMMYFUNCTION("""COMPUTED_VALUE"""),"10,000 order, 10,000 chaos damage to all enemies 15% chance of stun 3.")</f>
        <v>10,000 order, 10,000 chaos damage to all enemies 15% chance of stun 3.</v>
      </c>
      <c r="F439" s="16" t="str">
        <f>IFERROR(__xludf.DUMMYFUNCTION("""COMPUTED_VALUE"""),"Cannot be avoided")</f>
        <v>Cannot be avoided</v>
      </c>
      <c r="G439" s="16"/>
      <c r="H439" s="16" t="str">
        <f>IFERROR(__xludf.DUMMYFUNCTION("""COMPUTED_VALUE"""),"Stasis")</f>
        <v>Stasis</v>
      </c>
      <c r="I439" s="16" t="str">
        <f>IFERROR(__xludf.DUMMYFUNCTION("""COMPUTED_VALUE"""),"Player")</f>
        <v>Player</v>
      </c>
      <c r="J439" s="16" t="b">
        <f>IFERROR(__xludf.DUMMYFUNCTION("""COMPUTED_VALUE"""),FALSE)</f>
        <v>0</v>
      </c>
      <c r="K439" s="16"/>
      <c r="L439" s="16" t="b">
        <f>IFERROR(__xludf.DUMMYFUNCTION("""COMPUTED_VALUE"""),FALSE)</f>
        <v>0</v>
      </c>
      <c r="M439" s="16" t="b">
        <f>IFERROR(__xludf.DUMMYFUNCTION("""COMPUTED_VALUE"""),FALSE)</f>
        <v>0</v>
      </c>
      <c r="N439" s="16"/>
    </row>
    <row r="440">
      <c r="A440" s="16" t="str">
        <f>IFERROR(__xludf.DUMMYFUNCTION("""COMPUTED_VALUE"""),"Stasis Shield")</f>
        <v>Stasis Shield</v>
      </c>
      <c r="B440" s="120">
        <f>IFERROR(__xludf.DUMMYFUNCTION("""COMPUTED_VALUE"""),4.0)</f>
        <v>4</v>
      </c>
      <c r="C440" s="16">
        <f>IFERROR(__xludf.DUMMYFUNCTION("""COMPUTED_VALUE"""),40.0)</f>
        <v>40</v>
      </c>
      <c r="D440" s="16"/>
      <c r="E440" s="16" t="str">
        <f>IFERROR(__xludf.DUMMYFUNCTION("""COMPUTED_VALUE"""),"X4 def to selected target, and Immunity to order and chaos.")</f>
        <v>X4 def to selected target, and Immunity to order and chaos.</v>
      </c>
      <c r="F440" s="16" t="str">
        <f>IFERROR(__xludf.DUMMYFUNCTION("""COMPUTED_VALUE"""),"Will Succeed")</f>
        <v>Will Succeed</v>
      </c>
      <c r="G440" s="16"/>
      <c r="H440" s="16" t="str">
        <f>IFERROR(__xludf.DUMMYFUNCTION("""COMPUTED_VALUE"""),"Stasis")</f>
        <v>Stasis</v>
      </c>
      <c r="I440" s="16" t="str">
        <f>IFERROR(__xludf.DUMMYFUNCTION("""COMPUTED_VALUE"""),"Player")</f>
        <v>Player</v>
      </c>
      <c r="J440" s="16" t="b">
        <f>IFERROR(__xludf.DUMMYFUNCTION("""COMPUTED_VALUE"""),FALSE)</f>
        <v>0</v>
      </c>
      <c r="K440" s="16"/>
      <c r="L440" s="16" t="b">
        <f>IFERROR(__xludf.DUMMYFUNCTION("""COMPUTED_VALUE"""),FALSE)</f>
        <v>0</v>
      </c>
      <c r="M440" s="16" t="b">
        <f>IFERROR(__xludf.DUMMYFUNCTION("""COMPUTED_VALUE"""),FALSE)</f>
        <v>0</v>
      </c>
      <c r="N440" s="16"/>
    </row>
    <row r="441">
      <c r="A441" s="16" t="str">
        <f>IFERROR(__xludf.DUMMYFUNCTION("""COMPUTED_VALUE"""),"Stasis Storm")</f>
        <v>Stasis Storm</v>
      </c>
      <c r="B441" s="120">
        <f>IFERROR(__xludf.DUMMYFUNCTION("""COMPUTED_VALUE"""),2.0)</f>
        <v>2</v>
      </c>
      <c r="C441" s="16">
        <f>IFERROR(__xludf.DUMMYFUNCTION("""COMPUTED_VALUE"""),20.0)</f>
        <v>20</v>
      </c>
      <c r="D441" s="16"/>
      <c r="E441" s="16" t="str">
        <f>IFERROR(__xludf.DUMMYFUNCTION("""COMPUTED_VALUE"""),"1000 continuous order, 1000 continuous chaos damage.")</f>
        <v>1000 continuous order, 1000 continuous chaos damage.</v>
      </c>
      <c r="F441" s="16" t="str">
        <f>IFERROR(__xludf.DUMMYFUNCTION("""COMPUTED_VALUE"""),"Hit or Miss")</f>
        <v>Hit or Miss</v>
      </c>
      <c r="G441" s="16">
        <f>IFERROR(__xludf.DUMMYFUNCTION("""COMPUTED_VALUE"""),1.0)</f>
        <v>1</v>
      </c>
      <c r="H441" s="16" t="str">
        <f>IFERROR(__xludf.DUMMYFUNCTION("""COMPUTED_VALUE"""),"Stasis")</f>
        <v>Stasis</v>
      </c>
      <c r="I441" s="16" t="str">
        <f>IFERROR(__xludf.DUMMYFUNCTION("""COMPUTED_VALUE"""),"Player")</f>
        <v>Player</v>
      </c>
      <c r="J441" s="16" t="b">
        <f>IFERROR(__xludf.DUMMYFUNCTION("""COMPUTED_VALUE"""),FALSE)</f>
        <v>0</v>
      </c>
      <c r="K441" s="16"/>
      <c r="L441" s="16" t="b">
        <f>IFERROR(__xludf.DUMMYFUNCTION("""COMPUTED_VALUE"""),FALSE)</f>
        <v>0</v>
      </c>
      <c r="M441" s="16" t="b">
        <f>IFERROR(__xludf.DUMMYFUNCTION("""COMPUTED_VALUE"""),FALSE)</f>
        <v>0</v>
      </c>
      <c r="N441" s="16"/>
    </row>
    <row r="442">
      <c r="A442" s="16" t="str">
        <f>IFERROR(__xludf.DUMMYFUNCTION("""COMPUTED_VALUE"""),"Stasis Strike")</f>
        <v>Stasis Strike</v>
      </c>
      <c r="B442" s="120">
        <f>IFERROR(__xludf.DUMMYFUNCTION("""COMPUTED_VALUE"""),1.0)</f>
        <v>1</v>
      </c>
      <c r="C442" s="16">
        <f>IFERROR(__xludf.DUMMYFUNCTION("""COMPUTED_VALUE"""),10.0)</f>
        <v>10</v>
      </c>
      <c r="D442" s="16"/>
      <c r="E442" s="16" t="str">
        <f>IFERROR(__xludf.DUMMYFUNCTION("""COMPUTED_VALUE"""),"500 order, 500 chaos damage")</f>
        <v>500 order, 500 chaos damage</v>
      </c>
      <c r="F442" s="16" t="str">
        <f>IFERROR(__xludf.DUMMYFUNCTION("""COMPUTED_VALUE"""),"Hit or Miss")</f>
        <v>Hit or Miss</v>
      </c>
      <c r="G442" s="16">
        <f>IFERROR(__xludf.DUMMYFUNCTION("""COMPUTED_VALUE"""),1.0)</f>
        <v>1</v>
      </c>
      <c r="H442" s="16" t="str">
        <f>IFERROR(__xludf.DUMMYFUNCTION("""COMPUTED_VALUE"""),"Stasis")</f>
        <v>Stasis</v>
      </c>
      <c r="I442" s="16" t="str">
        <f>IFERROR(__xludf.DUMMYFUNCTION("""COMPUTED_VALUE"""),"Player")</f>
        <v>Player</v>
      </c>
      <c r="J442" s="16" t="b">
        <f>IFERROR(__xludf.DUMMYFUNCTION("""COMPUTED_VALUE"""),FALSE)</f>
        <v>0</v>
      </c>
      <c r="K442" s="16"/>
      <c r="L442" s="16" t="b">
        <f>IFERROR(__xludf.DUMMYFUNCTION("""COMPUTED_VALUE"""),FALSE)</f>
        <v>0</v>
      </c>
      <c r="M442" s="16" t="b">
        <f>IFERROR(__xludf.DUMMYFUNCTION("""COMPUTED_VALUE"""),FALSE)</f>
        <v>0</v>
      </c>
      <c r="N442" s="16"/>
    </row>
    <row r="443">
      <c r="A443" s="16" t="str">
        <f>IFERROR(__xludf.DUMMYFUNCTION("""COMPUTED_VALUE"""),"Stasis Transformation")</f>
        <v>Stasis Transformation</v>
      </c>
      <c r="B443" s="120">
        <f>IFERROR(__xludf.DUMMYFUNCTION("""COMPUTED_VALUE"""),8.0)</f>
        <v>8</v>
      </c>
      <c r="C443" s="16">
        <f>IFERROR(__xludf.DUMMYFUNCTION("""COMPUTED_VALUE"""),200.0)</f>
        <v>200</v>
      </c>
      <c r="D443" s="16"/>
      <c r="E443" s="16" t="str">
        <f>IFERROR(__xludf.DUMMYFUNCTION("""COMPUTED_VALUE"""),"X4 order and chaos damage for self and allies until end of battle.")</f>
        <v>X4 order and chaos damage for self and allies until end of battle.</v>
      </c>
      <c r="F443" s="16" t="str">
        <f>IFERROR(__xludf.DUMMYFUNCTION("""COMPUTED_VALUE"""),"Will succeed")</f>
        <v>Will succeed</v>
      </c>
      <c r="G443" s="16"/>
      <c r="H443" s="16" t="str">
        <f>IFERROR(__xludf.DUMMYFUNCTION("""COMPUTED_VALUE"""),"Stasis")</f>
        <v>Stasis</v>
      </c>
      <c r="I443" s="16" t="str">
        <f>IFERROR(__xludf.DUMMYFUNCTION("""COMPUTED_VALUE"""),"Player")</f>
        <v>Player</v>
      </c>
      <c r="J443" s="16" t="b">
        <f>IFERROR(__xludf.DUMMYFUNCTION("""COMPUTED_VALUE"""),FALSE)</f>
        <v>0</v>
      </c>
      <c r="K443" s="16"/>
      <c r="L443" s="16" t="b">
        <f>IFERROR(__xludf.DUMMYFUNCTION("""COMPUTED_VALUE"""),FALSE)</f>
        <v>0</v>
      </c>
      <c r="M443" s="16" t="b">
        <f>IFERROR(__xludf.DUMMYFUNCTION("""COMPUTED_VALUE"""),FALSE)</f>
        <v>0</v>
      </c>
      <c r="N443" s="16"/>
    </row>
    <row r="444">
      <c r="A444" s="16" t="str">
        <f>IFERROR(__xludf.DUMMYFUNCTION("""COMPUTED_VALUE"""),"Stasis Tsunami")</f>
        <v>Stasis Tsunami</v>
      </c>
      <c r="B444" s="120">
        <f>IFERROR(__xludf.DUMMYFUNCTION("""COMPUTED_VALUE"""),9.0)</f>
        <v>9</v>
      </c>
      <c r="C444" s="16">
        <f>IFERROR(__xludf.DUMMYFUNCTION("""COMPUTED_VALUE"""),300.0)</f>
        <v>300</v>
      </c>
      <c r="D444" s="16"/>
      <c r="E444" s="16" t="str">
        <f>IFERROR(__xludf.DUMMYFUNCTION("""COMPUTED_VALUE"""),"10,000 order, 10,000 chaos damage to all enemies.")</f>
        <v>10,000 order, 10,000 chaos damage to all enemies.</v>
      </c>
      <c r="F444" s="16" t="str">
        <f>IFERROR(__xludf.DUMMYFUNCTION("""COMPUTED_VALUE"""),"Cannot be avoided")</f>
        <v>Cannot be avoided</v>
      </c>
      <c r="G444" s="16"/>
      <c r="H444" s="16" t="str">
        <f>IFERROR(__xludf.DUMMYFUNCTION("""COMPUTED_VALUE"""),"Stasis")</f>
        <v>Stasis</v>
      </c>
      <c r="I444" s="16" t="str">
        <f>IFERROR(__xludf.DUMMYFUNCTION("""COMPUTED_VALUE"""),"Player")</f>
        <v>Player</v>
      </c>
      <c r="J444" s="16" t="b">
        <f>IFERROR(__xludf.DUMMYFUNCTION("""COMPUTED_VALUE"""),FALSE)</f>
        <v>0</v>
      </c>
      <c r="K444" s="16"/>
      <c r="L444" s="16" t="b">
        <f>IFERROR(__xludf.DUMMYFUNCTION("""COMPUTED_VALUE"""),FALSE)</f>
        <v>0</v>
      </c>
      <c r="M444" s="16" t="b">
        <f>IFERROR(__xludf.DUMMYFUNCTION("""COMPUTED_VALUE"""),FALSE)</f>
        <v>0</v>
      </c>
      <c r="N444" s="16"/>
    </row>
    <row r="445">
      <c r="A445" s="16" t="str">
        <f>IFERROR(__xludf.DUMMYFUNCTION("""COMPUTED_VALUE"""),"Tower Of Stasis")</f>
        <v>Tower Of Stasis</v>
      </c>
      <c r="B445" s="120">
        <f>IFERROR(__xludf.DUMMYFUNCTION("""COMPUTED_VALUE"""),8.0)</f>
        <v>8</v>
      </c>
      <c r="C445" s="16">
        <f>IFERROR(__xludf.DUMMYFUNCTION("""COMPUTED_VALUE"""),200.0)</f>
        <v>200</v>
      </c>
      <c r="D445" s="16"/>
      <c r="E445" s="16" t="str">
        <f>IFERROR(__xludf.DUMMYFUNCTION("""COMPUTED_VALUE"""),"Forms a tower that rises from a portal beneath the ground and shoots a giant beam of stasis energy from the towers eye- Stuns a target for 3 rounds. has a 50% chance to stun a second target for 3 rounds")</f>
        <v>Forms a tower that rises from a portal beneath the ground and shoots a giant beam of stasis energy from the towers eye- Stuns a target for 3 rounds. has a 50% chance to stun a second target for 3 rounds</v>
      </c>
      <c r="F445" s="16" t="str">
        <f>IFERROR(__xludf.DUMMYFUNCTION("""COMPUTED_VALUE"""),"Fail or succeed")</f>
        <v>Fail or succeed</v>
      </c>
      <c r="G445" s="16">
        <f>IFERROR(__xludf.DUMMYFUNCTION("""COMPUTED_VALUE"""),1.0)</f>
        <v>1</v>
      </c>
      <c r="H445" s="16" t="str">
        <f>IFERROR(__xludf.DUMMYFUNCTION("""COMPUTED_VALUE"""),"Stasis")</f>
        <v>Stasis</v>
      </c>
      <c r="I445" s="16" t="str">
        <f>IFERROR(__xludf.DUMMYFUNCTION("""COMPUTED_VALUE"""),"Player")</f>
        <v>Player</v>
      </c>
      <c r="J445" s="16" t="b">
        <f>IFERROR(__xludf.DUMMYFUNCTION("""COMPUTED_VALUE"""),FALSE)</f>
        <v>0</v>
      </c>
      <c r="K445" s="16"/>
      <c r="L445" s="16" t="b">
        <f>IFERROR(__xludf.DUMMYFUNCTION("""COMPUTED_VALUE"""),FALSE)</f>
        <v>0</v>
      </c>
      <c r="M445" s="16" t="b">
        <f>IFERROR(__xludf.DUMMYFUNCTION("""COMPUTED_VALUE"""),FALSE)</f>
        <v>0</v>
      </c>
      <c r="N445" s="16"/>
    </row>
    <row r="446">
      <c r="A446" s="16" t="str">
        <f>IFERROR(__xludf.DUMMYFUNCTION("""COMPUTED_VALUE"""),"Contradiction")</f>
        <v>Contradiction</v>
      </c>
      <c r="B446" s="120">
        <f>IFERROR(__xludf.DUMMYFUNCTION("""COMPUTED_VALUE"""),1.0)</f>
        <v>1</v>
      </c>
      <c r="C446" s="16" t="str">
        <f>IFERROR(__xludf.DUMMYFUNCTION("""COMPUTED_VALUE"""),"X")</f>
        <v>X</v>
      </c>
      <c r="D446" s="16"/>
      <c r="E446" s="16" t="str">
        <f>IFERROR(__xludf.DUMMYFUNCTION("""COMPUTED_VALUE"""),"Deals X*50 Order and X*50 Chaos damage to a single enemy where X is equal to SP spent.")</f>
        <v>Deals X*50 Order and X*50 Chaos damage to a single enemy where X is equal to SP spent.</v>
      </c>
      <c r="F446" s="16" t="str">
        <f>IFERROR(__xludf.DUMMYFUNCTION("""COMPUTED_VALUE"""),"Hit/Miss")</f>
        <v>Hit/Miss</v>
      </c>
      <c r="G446" s="16">
        <f>IFERROR(__xludf.DUMMYFUNCTION("""COMPUTED_VALUE"""),1.0)</f>
        <v>1</v>
      </c>
      <c r="H446" s="16" t="str">
        <f>IFERROR(__xludf.DUMMYFUNCTION("""COMPUTED_VALUE"""),"Stasis")</f>
        <v>Stasis</v>
      </c>
      <c r="I446" s="16" t="str">
        <f>IFERROR(__xludf.DUMMYFUNCTION("""COMPUTED_VALUE"""),"Player")</f>
        <v>Player</v>
      </c>
      <c r="J446" s="16" t="b">
        <f>IFERROR(__xludf.DUMMYFUNCTION("""COMPUTED_VALUE"""),FALSE)</f>
        <v>0</v>
      </c>
      <c r="K446" s="16"/>
      <c r="L446" s="16" t="b">
        <f>IFERROR(__xludf.DUMMYFUNCTION("""COMPUTED_VALUE"""),FALSE)</f>
        <v>0</v>
      </c>
      <c r="M446" s="16" t="b">
        <f>IFERROR(__xludf.DUMMYFUNCTION("""COMPUTED_VALUE"""),FALSE)</f>
        <v>0</v>
      </c>
      <c r="N446" s="16"/>
    </row>
    <row r="447">
      <c r="A447" s="16" t="str">
        <f>IFERROR(__xludf.DUMMYFUNCTION("""COMPUTED_VALUE"""),"Static Breakdown")</f>
        <v>Static Breakdown</v>
      </c>
      <c r="B447" s="120">
        <f>IFERROR(__xludf.DUMMYFUNCTION("""COMPUTED_VALUE"""),5.0)</f>
        <v>5</v>
      </c>
      <c r="C447" s="16" t="str">
        <f>IFERROR(__xludf.DUMMYFUNCTION("""COMPUTED_VALUE"""),"X")</f>
        <v>X</v>
      </c>
      <c r="D447" s="16"/>
      <c r="E447" s="16" t="str">
        <f>IFERROR(__xludf.DUMMYFUNCTION("""COMPUTED_VALUE"""),"Deals X*25 Order and X*25 Chaos damage per round for 3 rounds to a single target where X is equal to SP spent.")</f>
        <v>Deals X*25 Order and X*25 Chaos damage per round for 3 rounds to a single target where X is equal to SP spent.</v>
      </c>
      <c r="F447" s="16" t="str">
        <f>IFERROR(__xludf.DUMMYFUNCTION("""COMPUTED_VALUE"""),"Hit/Miss")</f>
        <v>Hit/Miss</v>
      </c>
      <c r="G447" s="16">
        <f>IFERROR(__xludf.DUMMYFUNCTION("""COMPUTED_VALUE"""),1.0)</f>
        <v>1</v>
      </c>
      <c r="H447" s="16" t="str">
        <f>IFERROR(__xludf.DUMMYFUNCTION("""COMPUTED_VALUE"""),"Stasis")</f>
        <v>Stasis</v>
      </c>
      <c r="I447" s="16" t="str">
        <f>IFERROR(__xludf.DUMMYFUNCTION("""COMPUTED_VALUE"""),"Player")</f>
        <v>Player</v>
      </c>
      <c r="J447" s="16" t="b">
        <f>IFERROR(__xludf.DUMMYFUNCTION("""COMPUTED_VALUE"""),FALSE)</f>
        <v>0</v>
      </c>
      <c r="K447" s="16"/>
      <c r="L447" s="16" t="b">
        <f>IFERROR(__xludf.DUMMYFUNCTION("""COMPUTED_VALUE"""),FALSE)</f>
        <v>0</v>
      </c>
      <c r="M447" s="16" t="b">
        <f>IFERROR(__xludf.DUMMYFUNCTION("""COMPUTED_VALUE"""),FALSE)</f>
        <v>0</v>
      </c>
      <c r="N447" s="16"/>
    </row>
    <row r="448">
      <c r="A448" s="16" t="str">
        <f>IFERROR(__xludf.DUMMYFUNCTION("""COMPUTED_VALUE"""),"Colliding Forces")</f>
        <v>Colliding Forces</v>
      </c>
      <c r="B448" s="120">
        <f>IFERROR(__xludf.DUMMYFUNCTION("""COMPUTED_VALUE"""),5.0)</f>
        <v>5</v>
      </c>
      <c r="C448" s="16" t="str">
        <f>IFERROR(__xludf.DUMMYFUNCTION("""COMPUTED_VALUE"""),"X")</f>
        <v>X</v>
      </c>
      <c r="D448" s="16"/>
      <c r="E448" s="16" t="str">
        <f>IFERROR(__xludf.DUMMYFUNCTION("""COMPUTED_VALUE"""),"Deals X*15 Order and X*15 Chaos damage to all enemies where X is equal to SP spent.")</f>
        <v>Deals X*15 Order and X*15 Chaos damage to all enemies where X is equal to SP spent.</v>
      </c>
      <c r="F448" s="16" t="str">
        <f>IFERROR(__xludf.DUMMYFUNCTION("""COMPUTED_VALUE"""),"Cannot Avoid")</f>
        <v>Cannot Avoid</v>
      </c>
      <c r="G448" s="16" t="str">
        <f>IFERROR(__xludf.DUMMYFUNCTION("""COMPUTED_VALUE"""),"All")</f>
        <v>All</v>
      </c>
      <c r="H448" s="16" t="str">
        <f>IFERROR(__xludf.DUMMYFUNCTION("""COMPUTED_VALUE"""),"Stasis")</f>
        <v>Stasis</v>
      </c>
      <c r="I448" s="16" t="str">
        <f>IFERROR(__xludf.DUMMYFUNCTION("""COMPUTED_VALUE"""),"Player")</f>
        <v>Player</v>
      </c>
      <c r="J448" s="16" t="b">
        <f>IFERROR(__xludf.DUMMYFUNCTION("""COMPUTED_VALUE"""),FALSE)</f>
        <v>0</v>
      </c>
      <c r="K448" s="16"/>
      <c r="L448" s="16" t="b">
        <f>IFERROR(__xludf.DUMMYFUNCTION("""COMPUTED_VALUE"""),FALSE)</f>
        <v>0</v>
      </c>
      <c r="M448" s="16" t="b">
        <f>IFERROR(__xludf.DUMMYFUNCTION("""COMPUTED_VALUE"""),FALSE)</f>
        <v>0</v>
      </c>
      <c r="N448" s="16"/>
    </row>
    <row r="449">
      <c r="A449" s="16" t="str">
        <f>IFERROR(__xludf.DUMMYFUNCTION("""COMPUTED_VALUE"""),"Mass Static Breakdown")</f>
        <v>Mass Static Breakdown</v>
      </c>
      <c r="B449" s="120">
        <f>IFERROR(__xludf.DUMMYFUNCTION("""COMPUTED_VALUE"""),6.0)</f>
        <v>6</v>
      </c>
      <c r="C449" s="16" t="str">
        <f>IFERROR(__xludf.DUMMYFUNCTION("""COMPUTED_VALUE"""),"X")</f>
        <v>X</v>
      </c>
      <c r="D449" s="16"/>
      <c r="E449" s="16" t="str">
        <f>IFERROR(__xludf.DUMMYFUNCTION("""COMPUTED_VALUE"""),"Deals X*5 Order and X*5 Chaos damage per round to all enemies for 3 rounds where X is equal to SP spent.")</f>
        <v>Deals X*5 Order and X*5 Chaos damage per round to all enemies for 3 rounds where X is equal to SP spent.</v>
      </c>
      <c r="F449" s="16" t="str">
        <f>IFERROR(__xludf.DUMMYFUNCTION("""COMPUTED_VALUE"""),"Cannot Avoid")</f>
        <v>Cannot Avoid</v>
      </c>
      <c r="G449" s="16" t="str">
        <f>IFERROR(__xludf.DUMMYFUNCTION("""COMPUTED_VALUE"""),"All")</f>
        <v>All</v>
      </c>
      <c r="H449" s="16" t="str">
        <f>IFERROR(__xludf.DUMMYFUNCTION("""COMPUTED_VALUE"""),"Stasis")</f>
        <v>Stasis</v>
      </c>
      <c r="I449" s="16" t="str">
        <f>IFERROR(__xludf.DUMMYFUNCTION("""COMPUTED_VALUE"""),"Player")</f>
        <v>Player</v>
      </c>
      <c r="J449" s="16" t="b">
        <f>IFERROR(__xludf.DUMMYFUNCTION("""COMPUTED_VALUE"""),FALSE)</f>
        <v>0</v>
      </c>
      <c r="K449" s="16"/>
      <c r="L449" s="16" t="b">
        <f>IFERROR(__xludf.DUMMYFUNCTION("""COMPUTED_VALUE"""),FALSE)</f>
        <v>0</v>
      </c>
      <c r="M449" s="16" t="b">
        <f>IFERROR(__xludf.DUMMYFUNCTION("""COMPUTED_VALUE"""),FALSE)</f>
        <v>0</v>
      </c>
      <c r="N449" s="16"/>
    </row>
    <row r="450">
      <c r="A450" s="16" t="str">
        <f>IFERROR(__xludf.DUMMYFUNCTION("""COMPUTED_VALUE"""),"Tower Of Storm")</f>
        <v>Tower Of Storm</v>
      </c>
      <c r="B450" s="120">
        <f>IFERROR(__xludf.DUMMYFUNCTION("""COMPUTED_VALUE"""),9.0)</f>
        <v>9</v>
      </c>
      <c r="C450" s="16">
        <f>IFERROR(__xludf.DUMMYFUNCTION("""COMPUTED_VALUE"""),300.0)</f>
        <v>300</v>
      </c>
      <c r="D450" s="16"/>
      <c r="E450" s="16" t="str">
        <f>IFERROR(__xludf.DUMMYFUNCTION("""COMPUTED_VALUE"""),"X4 additional storm damage for caster and allies. Plus Storm Immunity to caster only for 3 rounds.")</f>
        <v>X4 additional storm damage for caster and allies. Plus Storm Immunity to caster only for 3 rounds.</v>
      </c>
      <c r="F450" s="16" t="str">
        <f>IFERROR(__xludf.DUMMYFUNCTION("""COMPUTED_VALUE"""),"Fail/Succeed")</f>
        <v>Fail/Succeed</v>
      </c>
      <c r="G450" s="16"/>
      <c r="H450" s="16" t="str">
        <f>IFERROR(__xludf.DUMMYFUNCTION("""COMPUTED_VALUE"""),"Storm")</f>
        <v>Storm</v>
      </c>
      <c r="I450" s="16" t="str">
        <f>IFERROR(__xludf.DUMMYFUNCTION("""COMPUTED_VALUE"""),"Player")</f>
        <v>Player</v>
      </c>
      <c r="J450" s="16" t="b">
        <f>IFERROR(__xludf.DUMMYFUNCTION("""COMPUTED_VALUE"""),FALSE)</f>
        <v>0</v>
      </c>
      <c r="K450" s="16"/>
      <c r="L450" s="16" t="b">
        <f>IFERROR(__xludf.DUMMYFUNCTION("""COMPUTED_VALUE"""),FALSE)</f>
        <v>0</v>
      </c>
      <c r="M450" s="16" t="b">
        <f>IFERROR(__xludf.DUMMYFUNCTION("""COMPUTED_VALUE"""),FALSE)</f>
        <v>0</v>
      </c>
      <c r="N450" s="16"/>
    </row>
    <row r="451">
      <c r="A451" s="16" t="str">
        <f>IFERROR(__xludf.DUMMYFUNCTION("""COMPUTED_VALUE"""),"Calm storm")</f>
        <v>Calm storm</v>
      </c>
      <c r="B451" s="120">
        <f>IFERROR(__xludf.DUMMYFUNCTION("""COMPUTED_VALUE"""),7.0)</f>
        <v>7</v>
      </c>
      <c r="C451" s="16" t="str">
        <f>IFERROR(__xludf.DUMMYFUNCTION("""COMPUTED_VALUE"""),"X")</f>
        <v>X</v>
      </c>
      <c r="D451" s="16"/>
      <c r="E451" s="16" t="str">
        <f>IFERROR(__xludf.DUMMYFUNCTION("""COMPUTED_VALUE"""),"Negate X*4 points of storm damage.")</f>
        <v>Negate X*4 points of storm damage.</v>
      </c>
      <c r="F451" s="16" t="str">
        <f>IFERROR(__xludf.DUMMYFUNCTION("""COMPUTED_VALUE"""),"Fail/Succeed")</f>
        <v>Fail/Succeed</v>
      </c>
      <c r="G451" s="16"/>
      <c r="H451" s="16" t="str">
        <f>IFERROR(__xludf.DUMMYFUNCTION("""COMPUTED_VALUE"""),"Storm")</f>
        <v>Storm</v>
      </c>
      <c r="I451" s="16" t="str">
        <f>IFERROR(__xludf.DUMMYFUNCTION("""COMPUTED_VALUE"""),"Player")</f>
        <v>Player</v>
      </c>
      <c r="J451" s="16" t="b">
        <f>IFERROR(__xludf.DUMMYFUNCTION("""COMPUTED_VALUE"""),FALSE)</f>
        <v>0</v>
      </c>
      <c r="K451" s="16"/>
      <c r="L451" s="16" t="b">
        <f>IFERROR(__xludf.DUMMYFUNCTION("""COMPUTED_VALUE"""),FALSE)</f>
        <v>0</v>
      </c>
      <c r="M451" s="16" t="b">
        <f>IFERROR(__xludf.DUMMYFUNCTION("""COMPUTED_VALUE"""),FALSE)</f>
        <v>0</v>
      </c>
      <c r="N451" s="16"/>
    </row>
    <row r="452">
      <c r="A452" s="16" t="str">
        <f>IFERROR(__xludf.DUMMYFUNCTION("""COMPUTED_VALUE"""),"Cyclone")</f>
        <v>Cyclone</v>
      </c>
      <c r="B452" s="120">
        <f>IFERROR(__xludf.DUMMYFUNCTION("""COMPUTED_VALUE"""),3.0)</f>
        <v>3</v>
      </c>
      <c r="C452" s="16">
        <f>IFERROR(__xludf.DUMMYFUNCTION("""COMPUTED_VALUE"""),240.0)</f>
        <v>240</v>
      </c>
      <c r="D452" s="16"/>
      <c r="E452" s="16" t="str">
        <f>IFERROR(__xludf.DUMMYFUNCTION("""COMPUTED_VALUE"""),"3000 Storm Damage and 3000 Water damage to all enemies. ")</f>
        <v>3000 Storm Damage and 3000 Water damage to all enemies. </v>
      </c>
      <c r="F452" s="16" t="str">
        <f>IFERROR(__xludf.DUMMYFUNCTION("""COMPUTED_VALUE"""),"Cannot Avoid")</f>
        <v>Cannot Avoid</v>
      </c>
      <c r="G452" s="16"/>
      <c r="H452" s="16" t="str">
        <f>IFERROR(__xludf.DUMMYFUNCTION("""COMPUTED_VALUE"""),"Storm")</f>
        <v>Storm</v>
      </c>
      <c r="I452" s="16" t="str">
        <f>IFERROR(__xludf.DUMMYFUNCTION("""COMPUTED_VALUE"""),"Player")</f>
        <v>Player</v>
      </c>
      <c r="J452" s="16" t="b">
        <f>IFERROR(__xludf.DUMMYFUNCTION("""COMPUTED_VALUE"""),FALSE)</f>
        <v>0</v>
      </c>
      <c r="K452" s="16"/>
      <c r="L452" s="16" t="b">
        <f>IFERROR(__xludf.DUMMYFUNCTION("""COMPUTED_VALUE"""),FALSE)</f>
        <v>0</v>
      </c>
      <c r="M452" s="16" t="b">
        <f>IFERROR(__xludf.DUMMYFUNCTION("""COMPUTED_VALUE"""),FALSE)</f>
        <v>0</v>
      </c>
      <c r="N452" s="16"/>
    </row>
    <row r="453">
      <c r="A453" s="16" t="str">
        <f>IFERROR(__xludf.DUMMYFUNCTION("""COMPUTED_VALUE"""),"Dreading Storm")</f>
        <v>Dreading Storm</v>
      </c>
      <c r="B453" s="120">
        <f>IFERROR(__xludf.DUMMYFUNCTION("""COMPUTED_VALUE"""),8.0)</f>
        <v>8</v>
      </c>
      <c r="C453" s="16">
        <f>IFERROR(__xludf.DUMMYFUNCTION("""COMPUTED_VALUE"""),200.0)</f>
        <v>200</v>
      </c>
      <c r="D453" s="16"/>
      <c r="E453" s="16" t="str">
        <f>IFERROR(__xludf.DUMMYFUNCTION("""COMPUTED_VALUE"""),"5000 storm damage to all enemies, 50% chance to negate the next incoming stun attempts.")</f>
        <v>5000 storm damage to all enemies, 50% chance to negate the next incoming stun attempts.</v>
      </c>
      <c r="F453" s="16" t="str">
        <f>IFERROR(__xludf.DUMMYFUNCTION("""COMPUTED_VALUE"""),"Cannot Avoid")</f>
        <v>Cannot Avoid</v>
      </c>
      <c r="G453" s="16"/>
      <c r="H453" s="16" t="str">
        <f>IFERROR(__xludf.DUMMYFUNCTION("""COMPUTED_VALUE"""),"Storm")</f>
        <v>Storm</v>
      </c>
      <c r="I453" s="16" t="str">
        <f>IFERROR(__xludf.DUMMYFUNCTION("""COMPUTED_VALUE"""),"Player")</f>
        <v>Player</v>
      </c>
      <c r="J453" s="16" t="b">
        <f>IFERROR(__xludf.DUMMYFUNCTION("""COMPUTED_VALUE"""),FALSE)</f>
        <v>0</v>
      </c>
      <c r="K453" s="16"/>
      <c r="L453" s="16" t="b">
        <f>IFERROR(__xludf.DUMMYFUNCTION("""COMPUTED_VALUE"""),FALSE)</f>
        <v>0</v>
      </c>
      <c r="M453" s="16" t="b">
        <f>IFERROR(__xludf.DUMMYFUNCTION("""COMPUTED_VALUE"""),FALSE)</f>
        <v>0</v>
      </c>
      <c r="N453" s="16"/>
    </row>
    <row r="454">
      <c r="A454" s="16" t="str">
        <f>IFERROR(__xludf.DUMMYFUNCTION("""COMPUTED_VALUE"""),"Eel Nado")</f>
        <v>Eel Nado</v>
      </c>
      <c r="B454" s="120">
        <f>IFERROR(__xludf.DUMMYFUNCTION("""COMPUTED_VALUE"""),9.0)</f>
        <v>9</v>
      </c>
      <c r="C454" s="16">
        <f>IFERROR(__xludf.DUMMYFUNCTION("""COMPUTED_VALUE"""),800.0)</f>
        <v>800</v>
      </c>
      <c r="D454" s="16"/>
      <c r="E454" s="16" t="str">
        <f>IFERROR(__xludf.DUMMYFUNCTION("""COMPUTED_VALUE"""),"20,000 storm and water damage to all enemies, 75% chance to summon 2 Eel Sharks if the battle is in water. ")</f>
        <v>20,000 storm and water damage to all enemies, 75% chance to summon 2 Eel Sharks if the battle is in water. </v>
      </c>
      <c r="F454" s="16" t="str">
        <f>IFERROR(__xludf.DUMMYFUNCTION("""COMPUTED_VALUE"""),"Hit/Miss")</f>
        <v>Hit/Miss</v>
      </c>
      <c r="G454" s="16">
        <f>IFERROR(__xludf.DUMMYFUNCTION("""COMPUTED_VALUE"""),1.0)</f>
        <v>1</v>
      </c>
      <c r="H454" s="16" t="str">
        <f>IFERROR(__xludf.DUMMYFUNCTION("""COMPUTED_VALUE"""),"Storm")</f>
        <v>Storm</v>
      </c>
      <c r="I454" s="16" t="str">
        <f>IFERROR(__xludf.DUMMYFUNCTION("""COMPUTED_VALUE"""),"Player")</f>
        <v>Player</v>
      </c>
      <c r="J454" s="16" t="b">
        <f>IFERROR(__xludf.DUMMYFUNCTION("""COMPUTED_VALUE"""),FALSE)</f>
        <v>0</v>
      </c>
      <c r="K454" s="16"/>
      <c r="L454" s="16" t="b">
        <f>IFERROR(__xludf.DUMMYFUNCTION("""COMPUTED_VALUE"""),FALSE)</f>
        <v>0</v>
      </c>
      <c r="M454" s="16" t="b">
        <f>IFERROR(__xludf.DUMMYFUNCTION("""COMPUTED_VALUE"""),FALSE)</f>
        <v>0</v>
      </c>
      <c r="N454" s="16"/>
    </row>
    <row r="455">
      <c r="A455" s="16" t="str">
        <f>IFERROR(__xludf.DUMMYFUNCTION("""COMPUTED_VALUE"""),"Elemental Storm")</f>
        <v>Elemental Storm</v>
      </c>
      <c r="B455" s="120">
        <f>IFERROR(__xludf.DUMMYFUNCTION("""COMPUTED_VALUE"""),9.0)</f>
        <v>9</v>
      </c>
      <c r="C455" s="119">
        <f>IFERROR(__xludf.DUMMYFUNCTION("""COMPUTED_VALUE"""),7200.0)</f>
        <v>7200</v>
      </c>
      <c r="D455" s="16"/>
      <c r="E455" s="16" t="str">
        <f>IFERROR(__xludf.DUMMYFUNCTION("""COMPUTED_VALUE"""),"20,000 fire, water, earth, light, dark, order, chaos, nature, and storm damage to all enemies.")</f>
        <v>20,000 fire, water, earth, light, dark, order, chaos, nature, and storm damage to all enemies.</v>
      </c>
      <c r="F455" s="16" t="str">
        <f>IFERROR(__xludf.DUMMYFUNCTION("""COMPUTED_VALUE"""),"Cannot Avoid")</f>
        <v>Cannot Avoid</v>
      </c>
      <c r="G455" s="16"/>
      <c r="H455" s="16" t="str">
        <f>IFERROR(__xludf.DUMMYFUNCTION("""COMPUTED_VALUE"""),"Storm")</f>
        <v>Storm</v>
      </c>
      <c r="I455" s="16" t="str">
        <f>IFERROR(__xludf.DUMMYFUNCTION("""COMPUTED_VALUE"""),"Player")</f>
        <v>Player</v>
      </c>
      <c r="J455" s="16" t="b">
        <f>IFERROR(__xludf.DUMMYFUNCTION("""COMPUTED_VALUE"""),FALSE)</f>
        <v>0</v>
      </c>
      <c r="K455" s="16"/>
      <c r="L455" s="16" t="b">
        <f>IFERROR(__xludf.DUMMYFUNCTION("""COMPUTED_VALUE"""),FALSE)</f>
        <v>0</v>
      </c>
      <c r="M455" s="16" t="b">
        <f>IFERROR(__xludf.DUMMYFUNCTION("""COMPUTED_VALUE"""),FALSE)</f>
        <v>0</v>
      </c>
      <c r="N455" s="16"/>
    </row>
    <row r="456">
      <c r="A456" s="16" t="str">
        <f>IFERROR(__xludf.DUMMYFUNCTION("""COMPUTED_VALUE"""),"Freezing Fog")</f>
        <v>Freezing Fog</v>
      </c>
      <c r="B456" s="120">
        <f>IFERROR(__xludf.DUMMYFUNCTION("""COMPUTED_VALUE"""),9.0)</f>
        <v>9</v>
      </c>
      <c r="C456" s="16">
        <f>IFERROR(__xludf.DUMMYFUNCTION("""COMPUTED_VALUE"""),300.0)</f>
        <v>300</v>
      </c>
      <c r="D456" s="16"/>
      <c r="E456" s="16" t="str">
        <f>IFERROR(__xludf.DUMMYFUNCTION("""COMPUTED_VALUE"""),"50% chance of freezing 1d6 enemies.")</f>
        <v>50% chance of freezing 1d6 enemies.</v>
      </c>
      <c r="F456" s="16" t="str">
        <f>IFERROR(__xludf.DUMMYFUNCTION("""COMPUTED_VALUE"""),"Will Succeed")</f>
        <v>Will Succeed</v>
      </c>
      <c r="G456" s="16" t="str">
        <f>IFERROR(__xludf.DUMMYFUNCTION("""COMPUTED_VALUE"""),"1d6")</f>
        <v>1d6</v>
      </c>
      <c r="H456" s="16" t="str">
        <f>IFERROR(__xludf.DUMMYFUNCTION("""COMPUTED_VALUE"""),"Storm")</f>
        <v>Storm</v>
      </c>
      <c r="I456" s="16" t="str">
        <f>IFERROR(__xludf.DUMMYFUNCTION("""COMPUTED_VALUE"""),"Player")</f>
        <v>Player</v>
      </c>
      <c r="J456" s="16" t="b">
        <f>IFERROR(__xludf.DUMMYFUNCTION("""COMPUTED_VALUE"""),FALSE)</f>
        <v>0</v>
      </c>
      <c r="K456" s="16"/>
      <c r="L456" s="16" t="b">
        <f>IFERROR(__xludf.DUMMYFUNCTION("""COMPUTED_VALUE"""),FALSE)</f>
        <v>0</v>
      </c>
      <c r="M456" s="16" t="b">
        <f>IFERROR(__xludf.DUMMYFUNCTION("""COMPUTED_VALUE"""),FALSE)</f>
        <v>0</v>
      </c>
      <c r="N456" s="16"/>
    </row>
    <row r="457">
      <c r="A457" s="16" t="str">
        <f>IFERROR(__xludf.DUMMYFUNCTION("""COMPUTED_VALUE"""),"Gust of Wind")</f>
        <v>Gust of Wind</v>
      </c>
      <c r="B457" s="120">
        <f>IFERROR(__xludf.DUMMYFUNCTION("""COMPUTED_VALUE"""),2.0)</f>
        <v>2</v>
      </c>
      <c r="C457" s="16">
        <f>IFERROR(__xludf.DUMMYFUNCTION("""COMPUTED_VALUE"""),80.0)</f>
        <v>80</v>
      </c>
      <c r="D457" s="16"/>
      <c r="E457" s="16" t="str">
        <f>IFERROR(__xludf.DUMMYFUNCTION("""COMPUTED_VALUE"""),"2000 storm damage to all enemies. 50% chance to remove those targets from battle.")</f>
        <v>2000 storm damage to all enemies. 50% chance to remove those targets from battle.</v>
      </c>
      <c r="F457" s="16" t="str">
        <f>IFERROR(__xludf.DUMMYFUNCTION("""COMPUTED_VALUE"""),"Cannot Avoid")</f>
        <v>Cannot Avoid</v>
      </c>
      <c r="G457" s="16" t="str">
        <f>IFERROR(__xludf.DUMMYFUNCTION("""COMPUTED_VALUE"""),"All")</f>
        <v>All</v>
      </c>
      <c r="H457" s="16" t="str">
        <f>IFERROR(__xludf.DUMMYFUNCTION("""COMPUTED_VALUE"""),"Storm")</f>
        <v>Storm</v>
      </c>
      <c r="I457" s="16" t="str">
        <f>IFERROR(__xludf.DUMMYFUNCTION("""COMPUTED_VALUE"""),"Player")</f>
        <v>Player</v>
      </c>
      <c r="J457" s="16" t="b">
        <f>IFERROR(__xludf.DUMMYFUNCTION("""COMPUTED_VALUE"""),FALSE)</f>
        <v>0</v>
      </c>
      <c r="K457" s="16"/>
      <c r="L457" s="16" t="b">
        <f>IFERROR(__xludf.DUMMYFUNCTION("""COMPUTED_VALUE"""),FALSE)</f>
        <v>0</v>
      </c>
      <c r="M457" s="16" t="b">
        <f>IFERROR(__xludf.DUMMYFUNCTION("""COMPUTED_VALUE"""),FALSE)</f>
        <v>0</v>
      </c>
      <c r="N457" s="16"/>
    </row>
    <row r="458">
      <c r="A458" s="16" t="str">
        <f>IFERROR(__xludf.DUMMYFUNCTION("""COMPUTED_VALUE"""),"HailStorm")</f>
        <v>HailStorm</v>
      </c>
      <c r="B458" s="120">
        <f>IFERROR(__xludf.DUMMYFUNCTION("""COMPUTED_VALUE"""),5.0)</f>
        <v>5</v>
      </c>
      <c r="C458" s="16">
        <f>IFERROR(__xludf.DUMMYFUNCTION("""COMPUTED_VALUE"""),80.0)</f>
        <v>80</v>
      </c>
      <c r="D458" s="16"/>
      <c r="E458" s="16" t="str">
        <f>IFERROR(__xludf.DUMMYFUNCTION("""COMPUTED_VALUE"""),"Makes all percentage freezing effects 100% for self and allies.")</f>
        <v>Makes all percentage freezing effects 100% for self and allies.</v>
      </c>
      <c r="F458" s="16" t="str">
        <f>IFERROR(__xludf.DUMMYFUNCTION("""COMPUTED_VALUE"""),"Fail/Succeed")</f>
        <v>Fail/Succeed</v>
      </c>
      <c r="G458" s="16" t="str">
        <f>IFERROR(__xludf.DUMMYFUNCTION("""COMPUTED_VALUE"""),"Self")</f>
        <v>Self</v>
      </c>
      <c r="H458" s="16" t="str">
        <f>IFERROR(__xludf.DUMMYFUNCTION("""COMPUTED_VALUE"""),"Storm")</f>
        <v>Storm</v>
      </c>
      <c r="I458" s="16" t="str">
        <f>IFERROR(__xludf.DUMMYFUNCTION("""COMPUTED_VALUE"""),"Player")</f>
        <v>Player</v>
      </c>
      <c r="J458" s="16" t="b">
        <f>IFERROR(__xludf.DUMMYFUNCTION("""COMPUTED_VALUE"""),TRUE)</f>
        <v>1</v>
      </c>
      <c r="K458" s="16" t="str">
        <f>IFERROR(__xludf.DUMMYFUNCTION("""COMPUTED_VALUE"""),"shop spell")</f>
        <v>shop spell</v>
      </c>
      <c r="L458" s="16" t="b">
        <f>IFERROR(__xludf.DUMMYFUNCTION("""COMPUTED_VALUE"""),FALSE)</f>
        <v>0</v>
      </c>
      <c r="M458" s="16" t="b">
        <f>IFERROR(__xludf.DUMMYFUNCTION("""COMPUTED_VALUE"""),FALSE)</f>
        <v>0</v>
      </c>
      <c r="N458" s="16"/>
    </row>
    <row r="459">
      <c r="A459" s="16" t="str">
        <f>IFERROR(__xludf.DUMMYFUNCTION("""COMPUTED_VALUE"""),"Hurricane")</f>
        <v>Hurricane</v>
      </c>
      <c r="B459" s="120">
        <f>IFERROR(__xludf.DUMMYFUNCTION("""COMPUTED_VALUE"""),3.0)</f>
        <v>3</v>
      </c>
      <c r="C459" s="16" t="str">
        <f>IFERROR(__xludf.DUMMYFUNCTION("""COMPUTED_VALUE"""),"d12*20")</f>
        <v>d12*20</v>
      </c>
      <c r="D459" s="16"/>
      <c r="E459" s="16" t="str">
        <f>IFERROR(__xludf.DUMMYFUNCTION("""COMPUTED_VALUE"""),"The d12 roll times 500 is equal to the amount of Storm damage this spell does to all enemies. 25% chance to remove all enemies from battle.")</f>
        <v>The d12 roll times 500 is equal to the amount of Storm damage this spell does to all enemies. 25% chance to remove all enemies from battle.</v>
      </c>
      <c r="F459" s="16" t="str">
        <f>IFERROR(__xludf.DUMMYFUNCTION("""COMPUTED_VALUE"""),"Cannot Avoid")</f>
        <v>Cannot Avoid</v>
      </c>
      <c r="G459" s="16" t="str">
        <f>IFERROR(__xludf.DUMMYFUNCTION("""COMPUTED_VALUE"""),"All")</f>
        <v>All</v>
      </c>
      <c r="H459" s="16" t="str">
        <f>IFERROR(__xludf.DUMMYFUNCTION("""COMPUTED_VALUE"""),"Storm")</f>
        <v>Storm</v>
      </c>
      <c r="I459" s="16" t="str">
        <f>IFERROR(__xludf.DUMMYFUNCTION("""COMPUTED_VALUE"""),"Player")</f>
        <v>Player</v>
      </c>
      <c r="J459" s="16" t="b">
        <f>IFERROR(__xludf.DUMMYFUNCTION("""COMPUTED_VALUE"""),FALSE)</f>
        <v>0</v>
      </c>
      <c r="K459" s="16"/>
      <c r="L459" s="16" t="b">
        <f>IFERROR(__xludf.DUMMYFUNCTION("""COMPUTED_VALUE"""),FALSE)</f>
        <v>0</v>
      </c>
      <c r="M459" s="16" t="b">
        <f>IFERROR(__xludf.DUMMYFUNCTION("""COMPUTED_VALUE"""),FALSE)</f>
        <v>0</v>
      </c>
      <c r="N459" s="16"/>
    </row>
    <row r="460">
      <c r="A460" s="16" t="str">
        <f>IFERROR(__xludf.DUMMYFUNCTION("""COMPUTED_VALUE"""),"Roaring Frost Winds")</f>
        <v>Roaring Frost Winds</v>
      </c>
      <c r="B460" s="120">
        <f>IFERROR(__xludf.DUMMYFUNCTION("""COMPUTED_VALUE"""),8.0)</f>
        <v>8</v>
      </c>
      <c r="C460" s="16">
        <f>IFERROR(__xludf.DUMMYFUNCTION("""COMPUTED_VALUE"""),560.0)</f>
        <v>560</v>
      </c>
      <c r="D460" s="16"/>
      <c r="E460" s="16" t="str">
        <f>IFERROR(__xludf.DUMMYFUNCTION("""COMPUTED_VALUE"""),"14,000 storm damage to all enemies, 50% chance to freeze all targets.")</f>
        <v>14,000 storm damage to all enemies, 50% chance to freeze all targets.</v>
      </c>
      <c r="F460" s="16" t="str">
        <f>IFERROR(__xludf.DUMMYFUNCTION("""COMPUTED_VALUE"""),"Cannot Avoid")</f>
        <v>Cannot Avoid</v>
      </c>
      <c r="G460" s="16"/>
      <c r="H460" s="16" t="str">
        <f>IFERROR(__xludf.DUMMYFUNCTION("""COMPUTED_VALUE"""),"Storm")</f>
        <v>Storm</v>
      </c>
      <c r="I460" s="16" t="str">
        <f>IFERROR(__xludf.DUMMYFUNCTION("""COMPUTED_VALUE"""),"Player")</f>
        <v>Player</v>
      </c>
      <c r="J460" s="16" t="b">
        <f>IFERROR(__xludf.DUMMYFUNCTION("""COMPUTED_VALUE"""),FALSE)</f>
        <v>0</v>
      </c>
      <c r="K460" s="16"/>
      <c r="L460" s="16" t="b">
        <f>IFERROR(__xludf.DUMMYFUNCTION("""COMPUTED_VALUE"""),FALSE)</f>
        <v>0</v>
      </c>
      <c r="M460" s="16" t="b">
        <f>IFERROR(__xludf.DUMMYFUNCTION("""COMPUTED_VALUE"""),FALSE)</f>
        <v>0</v>
      </c>
      <c r="N460" s="16"/>
    </row>
    <row r="461">
      <c r="A461" s="16" t="str">
        <f>IFERROR(__xludf.DUMMYFUNCTION("""COMPUTED_VALUE"""),"Shocking Strike")</f>
        <v>Shocking Strike</v>
      </c>
      <c r="B461" s="120">
        <f>IFERROR(__xludf.DUMMYFUNCTION("""COMPUTED_VALUE"""),6.0)</f>
        <v>6</v>
      </c>
      <c r="C461" s="16">
        <f>IFERROR(__xludf.DUMMYFUNCTION("""COMPUTED_VALUE"""),240.0)</f>
        <v>240</v>
      </c>
      <c r="D461" s="16"/>
      <c r="E461" s="16" t="str">
        <f>IFERROR(__xludf.DUMMYFUNCTION("""COMPUTED_VALUE"""),"6000 storm damage, Stun 3")</f>
        <v>6000 storm damage, Stun 3</v>
      </c>
      <c r="F461" s="16" t="str">
        <f>IFERROR(__xludf.DUMMYFUNCTION("""COMPUTED_VALUE"""),"Hit/Miss")</f>
        <v>Hit/Miss</v>
      </c>
      <c r="G461" s="16">
        <f>IFERROR(__xludf.DUMMYFUNCTION("""COMPUTED_VALUE"""),1.0)</f>
        <v>1</v>
      </c>
      <c r="H461" s="16" t="str">
        <f>IFERROR(__xludf.DUMMYFUNCTION("""COMPUTED_VALUE"""),"Storm")</f>
        <v>Storm</v>
      </c>
      <c r="I461" s="16" t="str">
        <f>IFERROR(__xludf.DUMMYFUNCTION("""COMPUTED_VALUE"""),"Player")</f>
        <v>Player</v>
      </c>
      <c r="J461" s="16" t="b">
        <f>IFERROR(__xludf.DUMMYFUNCTION("""COMPUTED_VALUE"""),FALSE)</f>
        <v>0</v>
      </c>
      <c r="K461" s="16"/>
      <c r="L461" s="16" t="b">
        <f>IFERROR(__xludf.DUMMYFUNCTION("""COMPUTED_VALUE"""),FALSE)</f>
        <v>0</v>
      </c>
      <c r="M461" s="16" t="b">
        <f>IFERROR(__xludf.DUMMYFUNCTION("""COMPUTED_VALUE"""),FALSE)</f>
        <v>0</v>
      </c>
      <c r="N461" s="16"/>
    </row>
    <row r="462">
      <c r="A462" s="16" t="str">
        <f>IFERROR(__xludf.DUMMYFUNCTION("""COMPUTED_VALUE"""),"Static Charge")</f>
        <v>Static Charge</v>
      </c>
      <c r="B462" s="120">
        <f>IFERROR(__xludf.DUMMYFUNCTION("""COMPUTED_VALUE"""),4.0)</f>
        <v>4</v>
      </c>
      <c r="C462" s="16" t="str">
        <f>IFERROR(__xludf.DUMMYFUNCTION("""COMPUTED_VALUE"""),"X")</f>
        <v>X</v>
      </c>
      <c r="D462" s="16"/>
      <c r="E462" s="16" t="str">
        <f>IFERROR(__xludf.DUMMYFUNCTION("""COMPUTED_VALUE"""),"Target gains X*4 Storm damage and X*4 Storm resistance, can’t be used on self.")</f>
        <v>Target gains X*4 Storm damage and X*4 Storm resistance, can’t be used on self.</v>
      </c>
      <c r="F462" s="16" t="str">
        <f>IFERROR(__xludf.DUMMYFUNCTION("""COMPUTED_VALUE"""),"Will Succeed")</f>
        <v>Will Succeed</v>
      </c>
      <c r="G462" s="16"/>
      <c r="H462" s="16" t="str">
        <f>IFERROR(__xludf.DUMMYFUNCTION("""COMPUTED_VALUE"""),"Storm")</f>
        <v>Storm</v>
      </c>
      <c r="I462" s="16" t="str">
        <f>IFERROR(__xludf.DUMMYFUNCTION("""COMPUTED_VALUE"""),"Player")</f>
        <v>Player</v>
      </c>
      <c r="J462" s="16" t="b">
        <f>IFERROR(__xludf.DUMMYFUNCTION("""COMPUTED_VALUE"""),FALSE)</f>
        <v>0</v>
      </c>
      <c r="K462" s="16"/>
      <c r="L462" s="16" t="b">
        <f>IFERROR(__xludf.DUMMYFUNCTION("""COMPUTED_VALUE"""),FALSE)</f>
        <v>0</v>
      </c>
      <c r="M462" s="16" t="b">
        <f>IFERROR(__xludf.DUMMYFUNCTION("""COMPUTED_VALUE"""),FALSE)</f>
        <v>0</v>
      </c>
      <c r="N462" s="16"/>
    </row>
    <row r="463">
      <c r="A463" s="16" t="str">
        <f>IFERROR(__xludf.DUMMYFUNCTION("""COMPUTED_VALUE"""),"Stun Negation")</f>
        <v>Stun Negation</v>
      </c>
      <c r="B463" s="120">
        <f>IFERROR(__xludf.DUMMYFUNCTION("""COMPUTED_VALUE"""),6.0)</f>
        <v>6</v>
      </c>
      <c r="C463" s="16">
        <f>IFERROR(__xludf.DUMMYFUNCTION("""COMPUTED_VALUE"""),60.0)</f>
        <v>60</v>
      </c>
      <c r="D463" s="16"/>
      <c r="E463" s="16" t="str">
        <f>IFERROR(__xludf.DUMMYFUNCTION("""COMPUTED_VALUE"""),"Negate the next 3 incoming stun attempts.")</f>
        <v>Negate the next 3 incoming stun attempts.</v>
      </c>
      <c r="F463" s="16" t="str">
        <f>IFERROR(__xludf.DUMMYFUNCTION("""COMPUTED_VALUE"""),"Fail/Succeed")</f>
        <v>Fail/Succeed</v>
      </c>
      <c r="G463" s="16"/>
      <c r="H463" s="16" t="str">
        <f>IFERROR(__xludf.DUMMYFUNCTION("""COMPUTED_VALUE"""),"Storm")</f>
        <v>Storm</v>
      </c>
      <c r="I463" s="16" t="str">
        <f>IFERROR(__xludf.DUMMYFUNCTION("""COMPUTED_VALUE"""),"Player")</f>
        <v>Player</v>
      </c>
      <c r="J463" s="16" t="b">
        <f>IFERROR(__xludf.DUMMYFUNCTION("""COMPUTED_VALUE"""),FALSE)</f>
        <v>0</v>
      </c>
      <c r="K463" s="16"/>
      <c r="L463" s="16" t="b">
        <f>IFERROR(__xludf.DUMMYFUNCTION("""COMPUTED_VALUE"""),FALSE)</f>
        <v>0</v>
      </c>
      <c r="M463" s="16" t="b">
        <f>IFERROR(__xludf.DUMMYFUNCTION("""COMPUTED_VALUE"""),FALSE)</f>
        <v>0</v>
      </c>
      <c r="N463" s="16"/>
    </row>
    <row r="464">
      <c r="A464" s="16" t="str">
        <f>IFERROR(__xludf.DUMMYFUNCTION("""COMPUTED_VALUE"""),"Stun Wave")</f>
        <v>Stun Wave</v>
      </c>
      <c r="B464" s="120">
        <f>IFERROR(__xludf.DUMMYFUNCTION("""COMPUTED_VALUE"""),1.0)</f>
        <v>1</v>
      </c>
      <c r="C464" s="16">
        <f>IFERROR(__xludf.DUMMYFUNCTION("""COMPUTED_VALUE"""),10.0)</f>
        <v>10</v>
      </c>
      <c r="D464" s="16"/>
      <c r="E464" s="16" t="str">
        <f>IFERROR(__xludf.DUMMYFUNCTION("""COMPUTED_VALUE"""),"Stun 3")</f>
        <v>Stun 3</v>
      </c>
      <c r="F464" s="16" t="str">
        <f>IFERROR(__xludf.DUMMYFUNCTION("""COMPUTED_VALUE"""),"Fail/Succeed")</f>
        <v>Fail/Succeed</v>
      </c>
      <c r="G464" s="16"/>
      <c r="H464" s="16" t="str">
        <f>IFERROR(__xludf.DUMMYFUNCTION("""COMPUTED_VALUE"""),"Storm")</f>
        <v>Storm</v>
      </c>
      <c r="I464" s="16" t="str">
        <f>IFERROR(__xludf.DUMMYFUNCTION("""COMPUTED_VALUE"""),"Player")</f>
        <v>Player</v>
      </c>
      <c r="J464" s="16" t="b">
        <f>IFERROR(__xludf.DUMMYFUNCTION("""COMPUTED_VALUE"""),FALSE)</f>
        <v>0</v>
      </c>
      <c r="K464" s="16"/>
      <c r="L464" s="16" t="b">
        <f>IFERROR(__xludf.DUMMYFUNCTION("""COMPUTED_VALUE"""),FALSE)</f>
        <v>0</v>
      </c>
      <c r="M464" s="16" t="b">
        <f>IFERROR(__xludf.DUMMYFUNCTION("""COMPUTED_VALUE"""),FALSE)</f>
        <v>0</v>
      </c>
      <c r="N464" s="16"/>
    </row>
    <row r="465">
      <c r="A465" s="16" t="str">
        <f>IFERROR(__xludf.DUMMYFUNCTION("""COMPUTED_VALUE"""),"Thunderstorm")</f>
        <v>Thunderstorm</v>
      </c>
      <c r="B465" s="120">
        <f>IFERROR(__xludf.DUMMYFUNCTION("""COMPUTED_VALUE"""),6.0)</f>
        <v>6</v>
      </c>
      <c r="C465" s="16">
        <f>IFERROR(__xludf.DUMMYFUNCTION("""COMPUTED_VALUE"""),60.0)</f>
        <v>60</v>
      </c>
      <c r="D465" s="16"/>
      <c r="E465" s="16" t="str">
        <f>IFERROR(__xludf.DUMMYFUNCTION("""COMPUTED_VALUE"""),"Changes the weather to Storming for 3 rounds, Self and allies deal an additional X2 Storm and Water damage for 3 rounds.")</f>
        <v>Changes the weather to Storming for 3 rounds, Self and allies deal an additional X2 Storm and Water damage for 3 rounds.</v>
      </c>
      <c r="F465" s="16" t="str">
        <f>IFERROR(__xludf.DUMMYFUNCTION("""COMPUTED_VALUE"""),"Will Succeed")</f>
        <v>Will Succeed</v>
      </c>
      <c r="G465" s="16"/>
      <c r="H465" s="16" t="str">
        <f>IFERROR(__xludf.DUMMYFUNCTION("""COMPUTED_VALUE"""),"Storm")</f>
        <v>Storm</v>
      </c>
      <c r="I465" s="16" t="str">
        <f>IFERROR(__xludf.DUMMYFUNCTION("""COMPUTED_VALUE"""),"Player")</f>
        <v>Player</v>
      </c>
      <c r="J465" s="16" t="b">
        <f>IFERROR(__xludf.DUMMYFUNCTION("""COMPUTED_VALUE"""),FALSE)</f>
        <v>0</v>
      </c>
      <c r="K465" s="16"/>
      <c r="L465" s="16" t="b">
        <f>IFERROR(__xludf.DUMMYFUNCTION("""COMPUTED_VALUE"""),FALSE)</f>
        <v>0</v>
      </c>
      <c r="M465" s="16" t="b">
        <f>IFERROR(__xludf.DUMMYFUNCTION("""COMPUTED_VALUE"""),FALSE)</f>
        <v>0</v>
      </c>
      <c r="N465" s="16"/>
    </row>
    <row r="466">
      <c r="A466" s="16" t="str">
        <f>IFERROR(__xludf.DUMMYFUNCTION("""COMPUTED_VALUE"""),"Brewing Storm")</f>
        <v>Brewing Storm</v>
      </c>
      <c r="B466" s="120">
        <f>IFERROR(__xludf.DUMMYFUNCTION("""COMPUTED_VALUE"""),9.0)</f>
        <v>9</v>
      </c>
      <c r="C466" s="16">
        <f>IFERROR(__xludf.DUMMYFUNCTION("""COMPUTED_VALUE"""),500.0)</f>
        <v>500</v>
      </c>
      <c r="D466" s="16"/>
      <c r="E466" s="16" t="str">
        <f>IFERROR(__xludf.DUMMYFUNCTION("""COMPUTED_VALUE"""),"Causes Stormy Weather to cover the Battlefield increasing all Storm and Water damage by X4 and halving all Fire and Nature Damage")</f>
        <v>Causes Stormy Weather to cover the Battlefield increasing all Storm and Water damage by X4 and halving all Fire and Nature Damage</v>
      </c>
      <c r="F466" s="16" t="str">
        <f>IFERROR(__xludf.DUMMYFUNCTION("""COMPUTED_VALUE"""),"Will Succeed")</f>
        <v>Will Succeed</v>
      </c>
      <c r="G466" s="16" t="str">
        <f>IFERROR(__xludf.DUMMYFUNCTION("""COMPUTED_VALUE"""),"All")</f>
        <v>All</v>
      </c>
      <c r="H466" s="16" t="str">
        <f>IFERROR(__xludf.DUMMYFUNCTION("""COMPUTED_VALUE"""),"Storm")</f>
        <v>Storm</v>
      </c>
      <c r="I466" s="16" t="str">
        <f>IFERROR(__xludf.DUMMYFUNCTION("""COMPUTED_VALUE"""),"Player")</f>
        <v>Player</v>
      </c>
      <c r="J466" s="16" t="b">
        <f>IFERROR(__xludf.DUMMYFUNCTION("""COMPUTED_VALUE"""),FALSE)</f>
        <v>0</v>
      </c>
      <c r="K466" s="16"/>
      <c r="L466" s="16" t="b">
        <f>IFERROR(__xludf.DUMMYFUNCTION("""COMPUTED_VALUE"""),FALSE)</f>
        <v>0</v>
      </c>
      <c r="M466" s="16" t="b">
        <f>IFERROR(__xludf.DUMMYFUNCTION("""COMPUTED_VALUE"""),FALSE)</f>
        <v>0</v>
      </c>
      <c r="N466" s="16"/>
    </row>
    <row r="467">
      <c r="A467" s="16" t="str">
        <f>IFERROR(__xludf.DUMMYFUNCTION("""COMPUTED_VALUE"""),"Lightning Strike")</f>
        <v>Lightning Strike</v>
      </c>
      <c r="B467" s="120">
        <f>IFERROR(__xludf.DUMMYFUNCTION("""COMPUTED_VALUE"""),1.0)</f>
        <v>1</v>
      </c>
      <c r="C467" s="16" t="str">
        <f>IFERROR(__xludf.DUMMYFUNCTION("""COMPUTED_VALUE"""),"X")</f>
        <v>X</v>
      </c>
      <c r="D467" s="16"/>
      <c r="E467" s="16" t="str">
        <f>IFERROR(__xludf.DUMMYFUNCTION("""COMPUTED_VALUE"""),"Deals X*100 Storm damage to a single enemy where X is equal to SP spent.")</f>
        <v>Deals X*100 Storm damage to a single enemy where X is equal to SP spent.</v>
      </c>
      <c r="F467" s="16" t="str">
        <f>IFERROR(__xludf.DUMMYFUNCTION("""COMPUTED_VALUE"""),"Hit/Miss")</f>
        <v>Hit/Miss</v>
      </c>
      <c r="G467" s="16">
        <f>IFERROR(__xludf.DUMMYFUNCTION("""COMPUTED_VALUE"""),1.0)</f>
        <v>1</v>
      </c>
      <c r="H467" s="16" t="str">
        <f>IFERROR(__xludf.DUMMYFUNCTION("""COMPUTED_VALUE"""),"Storm")</f>
        <v>Storm</v>
      </c>
      <c r="I467" s="16" t="str">
        <f>IFERROR(__xludf.DUMMYFUNCTION("""COMPUTED_VALUE"""),"Player")</f>
        <v>Player</v>
      </c>
      <c r="J467" s="16" t="b">
        <f>IFERROR(__xludf.DUMMYFUNCTION("""COMPUTED_VALUE"""),FALSE)</f>
        <v>0</v>
      </c>
      <c r="K467" s="16"/>
      <c r="L467" s="16" t="b">
        <f>IFERROR(__xludf.DUMMYFUNCTION("""COMPUTED_VALUE"""),FALSE)</f>
        <v>0</v>
      </c>
      <c r="M467" s="16" t="b">
        <f>IFERROR(__xludf.DUMMYFUNCTION("""COMPUTED_VALUE"""),FALSE)</f>
        <v>0</v>
      </c>
      <c r="N467" s="16"/>
    </row>
    <row r="468">
      <c r="A468" s="16" t="str">
        <f>IFERROR(__xludf.DUMMYFUNCTION("""COMPUTED_VALUE"""),"Shocking Touch")</f>
        <v>Shocking Touch</v>
      </c>
      <c r="B468" s="120">
        <f>IFERROR(__xludf.DUMMYFUNCTION("""COMPUTED_VALUE"""),5.0)</f>
        <v>5</v>
      </c>
      <c r="C468" s="16" t="str">
        <f>IFERROR(__xludf.DUMMYFUNCTION("""COMPUTED_VALUE"""),"X")</f>
        <v>X</v>
      </c>
      <c r="D468" s="16"/>
      <c r="E468" s="16" t="str">
        <f>IFERROR(__xludf.DUMMYFUNCTION("""COMPUTED_VALUE"""),"Deals X*50 Storm damage per round for 3 rounds to a single target where X is equal to SP spent.")</f>
        <v>Deals X*50 Storm damage per round for 3 rounds to a single target where X is equal to SP spent.</v>
      </c>
      <c r="F468" s="16" t="str">
        <f>IFERROR(__xludf.DUMMYFUNCTION("""COMPUTED_VALUE"""),"Hit/Miss")</f>
        <v>Hit/Miss</v>
      </c>
      <c r="G468" s="16">
        <f>IFERROR(__xludf.DUMMYFUNCTION("""COMPUTED_VALUE"""),1.0)</f>
        <v>1</v>
      </c>
      <c r="H468" s="16" t="str">
        <f>IFERROR(__xludf.DUMMYFUNCTION("""COMPUTED_VALUE"""),"Storm")</f>
        <v>Storm</v>
      </c>
      <c r="I468" s="16" t="str">
        <f>IFERROR(__xludf.DUMMYFUNCTION("""COMPUTED_VALUE"""),"Player")</f>
        <v>Player</v>
      </c>
      <c r="J468" s="16" t="b">
        <f>IFERROR(__xludf.DUMMYFUNCTION("""COMPUTED_VALUE"""),FALSE)</f>
        <v>0</v>
      </c>
      <c r="K468" s="16"/>
      <c r="L468" s="16" t="b">
        <f>IFERROR(__xludf.DUMMYFUNCTION("""COMPUTED_VALUE"""),FALSE)</f>
        <v>0</v>
      </c>
      <c r="M468" s="16" t="b">
        <f>IFERROR(__xludf.DUMMYFUNCTION("""COMPUTED_VALUE"""),FALSE)</f>
        <v>0</v>
      </c>
      <c r="N468" s="16"/>
    </row>
    <row r="469">
      <c r="A469" s="16" t="str">
        <f>IFERROR(__xludf.DUMMYFUNCTION("""COMPUTED_VALUE"""),"Chain Lightning")</f>
        <v>Chain Lightning</v>
      </c>
      <c r="B469" s="120">
        <f>IFERROR(__xludf.DUMMYFUNCTION("""COMPUTED_VALUE"""),5.0)</f>
        <v>5</v>
      </c>
      <c r="C469" s="16" t="str">
        <f>IFERROR(__xludf.DUMMYFUNCTION("""COMPUTED_VALUE"""),"X")</f>
        <v>X</v>
      </c>
      <c r="D469" s="16"/>
      <c r="E469" s="16" t="str">
        <f>IFERROR(__xludf.DUMMYFUNCTION("""COMPUTED_VALUE"""),"Deals X*25 Storm damage to all enemies where X is equal to SP spent.")</f>
        <v>Deals X*25 Storm damage to all enemies where X is equal to SP spent.</v>
      </c>
      <c r="F469" s="16" t="str">
        <f>IFERROR(__xludf.DUMMYFUNCTION("""COMPUTED_VALUE"""),"Cannot Avoid")</f>
        <v>Cannot Avoid</v>
      </c>
      <c r="G469" s="16" t="str">
        <f>IFERROR(__xludf.DUMMYFUNCTION("""COMPUTED_VALUE"""),"All")</f>
        <v>All</v>
      </c>
      <c r="H469" s="16" t="str">
        <f>IFERROR(__xludf.DUMMYFUNCTION("""COMPUTED_VALUE"""),"Storm")</f>
        <v>Storm</v>
      </c>
      <c r="I469" s="16" t="str">
        <f>IFERROR(__xludf.DUMMYFUNCTION("""COMPUTED_VALUE"""),"Player")</f>
        <v>Player</v>
      </c>
      <c r="J469" s="16" t="b">
        <f>IFERROR(__xludf.DUMMYFUNCTION("""COMPUTED_VALUE"""),FALSE)</f>
        <v>0</v>
      </c>
      <c r="K469" s="16"/>
      <c r="L469" s="16" t="b">
        <f>IFERROR(__xludf.DUMMYFUNCTION("""COMPUTED_VALUE"""),FALSE)</f>
        <v>0</v>
      </c>
      <c r="M469" s="16" t="b">
        <f>IFERROR(__xludf.DUMMYFUNCTION("""COMPUTED_VALUE"""),FALSE)</f>
        <v>0</v>
      </c>
      <c r="N469" s="16"/>
    </row>
    <row r="470">
      <c r="A470" s="16" t="str">
        <f>IFERROR(__xludf.DUMMYFUNCTION("""COMPUTED_VALUE"""),"Mass Charge")</f>
        <v>Mass Charge</v>
      </c>
      <c r="B470" s="120">
        <f>IFERROR(__xludf.DUMMYFUNCTION("""COMPUTED_VALUE"""),6.0)</f>
        <v>6</v>
      </c>
      <c r="C470" s="16" t="str">
        <f>IFERROR(__xludf.DUMMYFUNCTION("""COMPUTED_VALUE"""),"X")</f>
        <v>X</v>
      </c>
      <c r="D470" s="16"/>
      <c r="E470" s="16" t="str">
        <f>IFERROR(__xludf.DUMMYFUNCTION("""COMPUTED_VALUE"""),"Deals X*10 Storm damage per round to all enemies for 3 rounds where X is equal to SP spent.")</f>
        <v>Deals X*10 Storm damage per round to all enemies for 3 rounds where X is equal to SP spent.</v>
      </c>
      <c r="F470" s="16" t="str">
        <f>IFERROR(__xludf.DUMMYFUNCTION("""COMPUTED_VALUE"""),"Cannot Avoid")</f>
        <v>Cannot Avoid</v>
      </c>
      <c r="G470" s="16" t="str">
        <f>IFERROR(__xludf.DUMMYFUNCTION("""COMPUTED_VALUE"""),"All")</f>
        <v>All</v>
      </c>
      <c r="H470" s="16" t="str">
        <f>IFERROR(__xludf.DUMMYFUNCTION("""COMPUTED_VALUE"""),"Storm")</f>
        <v>Storm</v>
      </c>
      <c r="I470" s="16" t="str">
        <f>IFERROR(__xludf.DUMMYFUNCTION("""COMPUTED_VALUE"""),"Player")</f>
        <v>Player</v>
      </c>
      <c r="J470" s="16" t="b">
        <f>IFERROR(__xludf.DUMMYFUNCTION("""COMPUTED_VALUE"""),FALSE)</f>
        <v>0</v>
      </c>
      <c r="K470" s="16"/>
      <c r="L470" s="16" t="b">
        <f>IFERROR(__xludf.DUMMYFUNCTION("""COMPUTED_VALUE"""),FALSE)</f>
        <v>0</v>
      </c>
      <c r="M470" s="16" t="b">
        <f>IFERROR(__xludf.DUMMYFUNCTION("""COMPUTED_VALUE"""),FALSE)</f>
        <v>0</v>
      </c>
      <c r="N470" s="16"/>
    </row>
    <row r="471">
      <c r="A471" s="16" t="str">
        <f>IFERROR(__xludf.DUMMYFUNCTION("""COMPUTED_VALUE"""),"Tornado")</f>
        <v>Tornado</v>
      </c>
      <c r="B471" s="120">
        <f>IFERROR(__xludf.DUMMYFUNCTION("""COMPUTED_VALUE"""),3.0)</f>
        <v>3</v>
      </c>
      <c r="C471" s="16" t="str">
        <f>IFERROR(__xludf.DUMMYFUNCTION("""COMPUTED_VALUE"""),"d20*40")</f>
        <v>d20*40</v>
      </c>
      <c r="D471" s="16"/>
      <c r="E471" s="16" t="str">
        <f>IFERROR(__xludf.DUMMYFUNCTION("""COMPUTED_VALUE"""),"The d20 roll times 1000 is equal to the amount of Storm damage this spell does to all enemies. 25% chance to remove all enemies from battle.")</f>
        <v>The d20 roll times 1000 is equal to the amount of Storm damage this spell does to all enemies. 25% chance to remove all enemies from battle.</v>
      </c>
      <c r="F471" s="16" t="str">
        <f>IFERROR(__xludf.DUMMYFUNCTION("""COMPUTED_VALUE"""),"Cannot Avoid")</f>
        <v>Cannot Avoid</v>
      </c>
      <c r="G471" s="16" t="str">
        <f>IFERROR(__xludf.DUMMYFUNCTION("""COMPUTED_VALUE"""),"All")</f>
        <v>All</v>
      </c>
      <c r="H471" s="16" t="str">
        <f>IFERROR(__xludf.DUMMYFUNCTION("""COMPUTED_VALUE"""),"Storm")</f>
        <v>Storm</v>
      </c>
      <c r="I471" s="16" t="str">
        <f>IFERROR(__xludf.DUMMYFUNCTION("""COMPUTED_VALUE"""),"Player")</f>
        <v>Player</v>
      </c>
      <c r="J471" s="16" t="b">
        <f>IFERROR(__xludf.DUMMYFUNCTION("""COMPUTED_VALUE"""),FALSE)</f>
        <v>0</v>
      </c>
      <c r="K471" s="16"/>
      <c r="L471" s="16" t="b">
        <f>IFERROR(__xludf.DUMMYFUNCTION("""COMPUTED_VALUE"""),TRUE)</f>
        <v>1</v>
      </c>
      <c r="M471" s="16" t="b">
        <f>IFERROR(__xludf.DUMMYFUNCTION("""COMPUTED_VALUE"""),FALSE)</f>
        <v>0</v>
      </c>
      <c r="N471" s="16"/>
    </row>
    <row r="472">
      <c r="A472" s="16" t="str">
        <f>IFERROR(__xludf.DUMMYFUNCTION("""COMPUTED_VALUE"""),"Dimensional Punch")</f>
        <v>Dimensional Punch</v>
      </c>
      <c r="B472" s="120">
        <f>IFERROR(__xludf.DUMMYFUNCTION("""COMPUTED_VALUE"""),6.0)</f>
        <v>6</v>
      </c>
      <c r="C472" s="16">
        <f>IFERROR(__xludf.DUMMYFUNCTION("""COMPUTED_VALUE"""),600.0)</f>
        <v>600</v>
      </c>
      <c r="D472" s="16"/>
      <c r="E472" s="16" t="str">
        <f>IFERROR(__xludf.DUMMYFUNCTION("""COMPUTED_VALUE"""),"send a punch to the target that hits from behind, 5000 dmg.")</f>
        <v>send a punch to the target that hits from behind, 5000 dmg.</v>
      </c>
      <c r="F472" s="16" t="str">
        <f>IFERROR(__xludf.DUMMYFUNCTION("""COMPUTED_VALUE"""),"Hit or Miss")</f>
        <v>Hit or Miss</v>
      </c>
      <c r="G472" s="16">
        <f>IFERROR(__xludf.DUMMYFUNCTION("""COMPUTED_VALUE"""),1.0)</f>
        <v>1</v>
      </c>
      <c r="H472" s="16" t="str">
        <f>IFERROR(__xludf.DUMMYFUNCTION("""COMPUTED_VALUE"""),"Time")</f>
        <v>Time</v>
      </c>
      <c r="I472" s="16" t="str">
        <f>IFERROR(__xludf.DUMMYFUNCTION("""COMPUTED_VALUE"""),"Player")</f>
        <v>Player</v>
      </c>
      <c r="J472" s="16" t="b">
        <f>IFERROR(__xludf.DUMMYFUNCTION("""COMPUTED_VALUE"""),TRUE)</f>
        <v>1</v>
      </c>
      <c r="K472" s="16" t="str">
        <f>IFERROR(__xludf.DUMMYFUNCTION("""COMPUTED_VALUE"""),"(Can only be obtained in the Solreach expansion)")</f>
        <v>(Can only be obtained in the Solreach expansion)</v>
      </c>
      <c r="L472" s="16" t="b">
        <f>IFERROR(__xludf.DUMMYFUNCTION("""COMPUTED_VALUE"""),FALSE)</f>
        <v>0</v>
      </c>
      <c r="M472" s="16" t="b">
        <f>IFERROR(__xludf.DUMMYFUNCTION("""COMPUTED_VALUE"""),FALSE)</f>
        <v>0</v>
      </c>
      <c r="N472" s="16"/>
    </row>
    <row r="473">
      <c r="A473" s="16" t="str">
        <f>IFERROR(__xludf.DUMMYFUNCTION("""COMPUTED_VALUE"""),"Pocket Exile Dimension")</f>
        <v>Pocket Exile Dimension</v>
      </c>
      <c r="B473" s="120">
        <f>IFERROR(__xludf.DUMMYFUNCTION("""COMPUTED_VALUE"""),7.0)</f>
        <v>7</v>
      </c>
      <c r="C473" s="16">
        <f>IFERROR(__xludf.DUMMYFUNCTION("""COMPUTED_VALUE"""),700.0)</f>
        <v>700</v>
      </c>
      <c r="D473" s="16"/>
      <c r="E473" s="16" t="str">
        <f>IFERROR(__xludf.DUMMYFUNCTION("""COMPUTED_VALUE"""),"send up to 2 targets into an inescapable pocket dimension with the caster until caster is defeated")</f>
        <v>send up to 2 targets into an inescapable pocket dimension with the caster until caster is defeated</v>
      </c>
      <c r="F473" s="16" t="str">
        <f>IFERROR(__xludf.DUMMYFUNCTION("""COMPUTED_VALUE"""),"Fail/succeed")</f>
        <v>Fail/succeed</v>
      </c>
      <c r="G473" s="16"/>
      <c r="H473" s="16" t="str">
        <f>IFERROR(__xludf.DUMMYFUNCTION("""COMPUTED_VALUE"""),"Time")</f>
        <v>Time</v>
      </c>
      <c r="I473" s="16" t="str">
        <f>IFERROR(__xludf.DUMMYFUNCTION("""COMPUTED_VALUE"""),"Player")</f>
        <v>Player</v>
      </c>
      <c r="J473" s="16" t="b">
        <f>IFERROR(__xludf.DUMMYFUNCTION("""COMPUTED_VALUE"""),TRUE)</f>
        <v>1</v>
      </c>
      <c r="K473" s="16" t="str">
        <f>IFERROR(__xludf.DUMMYFUNCTION("""COMPUTED_VALUE"""),"(Can only be obtained in the Solreach expansion)")</f>
        <v>(Can only be obtained in the Solreach expansion)</v>
      </c>
      <c r="L473" s="16" t="b">
        <f>IFERROR(__xludf.DUMMYFUNCTION("""COMPUTED_VALUE"""),FALSE)</f>
        <v>0</v>
      </c>
      <c r="M473" s="16" t="b">
        <f>IFERROR(__xludf.DUMMYFUNCTION("""COMPUTED_VALUE"""),FALSE)</f>
        <v>0</v>
      </c>
      <c r="N473" s="16"/>
    </row>
    <row r="474">
      <c r="A474" s="16" t="str">
        <f>IFERROR(__xludf.DUMMYFUNCTION("""COMPUTED_VALUE"""),"Punch of time")</f>
        <v>Punch of time</v>
      </c>
      <c r="B474" s="120">
        <f>IFERROR(__xludf.DUMMYFUNCTION("""COMPUTED_VALUE"""),2.0)</f>
        <v>2</v>
      </c>
      <c r="C474" s="16">
        <f>IFERROR(__xludf.DUMMYFUNCTION("""COMPUTED_VALUE"""),200.0)</f>
        <v>200</v>
      </c>
      <c r="D474" s="16"/>
      <c r="E474" s="16" t="str">
        <f>IFERROR(__xludf.DUMMYFUNCTION("""COMPUTED_VALUE"""),"1000 damage, Even when the target has a higher dodge roll and or defense, target still takes the hit at half the dmg, 40% chance for target to take the full dmg")</f>
        <v>1000 damage, Even when the target has a higher dodge roll and or defense, target still takes the hit at half the dmg, 40% chance for target to take the full dmg</v>
      </c>
      <c r="F474" s="16" t="str">
        <f>IFERROR(__xludf.DUMMYFUNCTION("""COMPUTED_VALUE"""),"Fail/succeed")</f>
        <v>Fail/succeed</v>
      </c>
      <c r="G474" s="16"/>
      <c r="H474" s="16" t="str">
        <f>IFERROR(__xludf.DUMMYFUNCTION("""COMPUTED_VALUE"""),"Time")</f>
        <v>Time</v>
      </c>
      <c r="I474" s="16" t="str">
        <f>IFERROR(__xludf.DUMMYFUNCTION("""COMPUTED_VALUE"""),"Player")</f>
        <v>Player</v>
      </c>
      <c r="J474" s="16" t="b">
        <f>IFERROR(__xludf.DUMMYFUNCTION("""COMPUTED_VALUE"""),TRUE)</f>
        <v>1</v>
      </c>
      <c r="K474" s="16" t="str">
        <f>IFERROR(__xludf.DUMMYFUNCTION("""COMPUTED_VALUE"""),"(Can only be obtained in the Solreach expansion)")</f>
        <v>(Can only be obtained in the Solreach expansion)</v>
      </c>
      <c r="L474" s="16" t="b">
        <f>IFERROR(__xludf.DUMMYFUNCTION("""COMPUTED_VALUE"""),FALSE)</f>
        <v>0</v>
      </c>
      <c r="M474" s="16" t="b">
        <f>IFERROR(__xludf.DUMMYFUNCTION("""COMPUTED_VALUE"""),FALSE)</f>
        <v>0</v>
      </c>
      <c r="N474" s="16"/>
    </row>
    <row r="475">
      <c r="A475" s="16" t="str">
        <f>IFERROR(__xludf.DUMMYFUNCTION("""COMPUTED_VALUE"""),"Reverse Attack")</f>
        <v>Reverse Attack</v>
      </c>
      <c r="B475" s="120">
        <f>IFERROR(__xludf.DUMMYFUNCTION("""COMPUTED_VALUE"""),2.0)</f>
        <v>2</v>
      </c>
      <c r="C475" s="16">
        <f>IFERROR(__xludf.DUMMYFUNCTION("""COMPUTED_VALUE"""),200.0)</f>
        <v>200</v>
      </c>
      <c r="D475" s="16"/>
      <c r="E475" s="16" t="str">
        <f>IFERROR(__xludf.DUMMYFUNCTION("""COMPUTED_VALUE"""),"Target is hit with the last damage spell that took place in battle.")</f>
        <v>Target is hit with the last damage spell that took place in battle.</v>
      </c>
      <c r="F475" s="16" t="str">
        <f>IFERROR(__xludf.DUMMYFUNCTION("""COMPUTED_VALUE"""),"Fail/succeed")</f>
        <v>Fail/succeed</v>
      </c>
      <c r="G475" s="16"/>
      <c r="H475" s="16" t="str">
        <f>IFERROR(__xludf.DUMMYFUNCTION("""COMPUTED_VALUE"""),"Time")</f>
        <v>Time</v>
      </c>
      <c r="I475" s="16" t="str">
        <f>IFERROR(__xludf.DUMMYFUNCTION("""COMPUTED_VALUE"""),"Player")</f>
        <v>Player</v>
      </c>
      <c r="J475" s="16" t="b">
        <f>IFERROR(__xludf.DUMMYFUNCTION("""COMPUTED_VALUE"""),TRUE)</f>
        <v>1</v>
      </c>
      <c r="K475" s="16" t="str">
        <f>IFERROR(__xludf.DUMMYFUNCTION("""COMPUTED_VALUE"""),"(Can only be obtained in the Solreach expansion)")</f>
        <v>(Can only be obtained in the Solreach expansion)</v>
      </c>
      <c r="L475" s="16" t="b">
        <f>IFERROR(__xludf.DUMMYFUNCTION("""COMPUTED_VALUE"""),FALSE)</f>
        <v>0</v>
      </c>
      <c r="M475" s="16" t="b">
        <f>IFERROR(__xludf.DUMMYFUNCTION("""COMPUTED_VALUE"""),FALSE)</f>
        <v>0</v>
      </c>
      <c r="N475" s="16"/>
    </row>
    <row r="476">
      <c r="A476" s="16" t="str">
        <f>IFERROR(__xludf.DUMMYFUNCTION("""COMPUTED_VALUE"""),"Reversed round")</f>
        <v>Reversed round</v>
      </c>
      <c r="B476" s="120">
        <f>IFERROR(__xludf.DUMMYFUNCTION("""COMPUTED_VALUE"""),9.0)</f>
        <v>9</v>
      </c>
      <c r="C476" s="16">
        <f>IFERROR(__xludf.DUMMYFUNCTION("""COMPUTED_VALUE"""),1000.0)</f>
        <v>1000</v>
      </c>
      <c r="D476" s="16"/>
      <c r="E476" s="16" t="str">
        <f>IFERROR(__xludf.DUMMYFUNCTION("""COMPUTED_VALUE"""),"Undo 1 action from a single target.")</f>
        <v>Undo 1 action from a single target.</v>
      </c>
      <c r="F476" s="16" t="str">
        <f>IFERROR(__xludf.DUMMYFUNCTION("""COMPUTED_VALUE"""),"Fail/succeed")</f>
        <v>Fail/succeed</v>
      </c>
      <c r="G476" s="16"/>
      <c r="H476" s="16" t="str">
        <f>IFERROR(__xludf.DUMMYFUNCTION("""COMPUTED_VALUE"""),"Time")</f>
        <v>Time</v>
      </c>
      <c r="I476" s="16" t="str">
        <f>IFERROR(__xludf.DUMMYFUNCTION("""COMPUTED_VALUE"""),"Player")</f>
        <v>Player</v>
      </c>
      <c r="J476" s="16" t="b">
        <f>IFERROR(__xludf.DUMMYFUNCTION("""COMPUTED_VALUE"""),TRUE)</f>
        <v>1</v>
      </c>
      <c r="K476" s="16" t="str">
        <f>IFERROR(__xludf.DUMMYFUNCTION("""COMPUTED_VALUE"""),"(Can only be obtained in the Solreach expansion)")</f>
        <v>(Can only be obtained in the Solreach expansion)</v>
      </c>
      <c r="L476" s="16" t="b">
        <f>IFERROR(__xludf.DUMMYFUNCTION("""COMPUTED_VALUE"""),FALSE)</f>
        <v>0</v>
      </c>
      <c r="M476" s="16" t="b">
        <f>IFERROR(__xludf.DUMMYFUNCTION("""COMPUTED_VALUE"""),FALSE)</f>
        <v>0</v>
      </c>
      <c r="N476" s="16"/>
    </row>
    <row r="477">
      <c r="A477" s="16" t="str">
        <f>IFERROR(__xludf.DUMMYFUNCTION("""COMPUTED_VALUE"""),"Speed of light")</f>
        <v>Speed of light</v>
      </c>
      <c r="B477" s="120">
        <f>IFERROR(__xludf.DUMMYFUNCTION("""COMPUTED_VALUE"""),1.0)</f>
        <v>1</v>
      </c>
      <c r="C477" s="16">
        <f>IFERROR(__xludf.DUMMYFUNCTION("""COMPUTED_VALUE"""),100.0)</f>
        <v>100</v>
      </c>
      <c r="D477" s="16"/>
      <c r="E477" s="16" t="str">
        <f>IFERROR(__xludf.DUMMYFUNCTION("""COMPUTED_VALUE"""),"If the caster has a lower dodge roll than the enemy, the caster will dodge the enemies attack for 3 rounds.")</f>
        <v>If the caster has a lower dodge roll than the enemy, the caster will dodge the enemies attack for 3 rounds.</v>
      </c>
      <c r="F477" s="16" t="str">
        <f>IFERROR(__xludf.DUMMYFUNCTION("""COMPUTED_VALUE"""),"Fail/succeed")</f>
        <v>Fail/succeed</v>
      </c>
      <c r="G477" s="16"/>
      <c r="H477" s="16" t="str">
        <f>IFERROR(__xludf.DUMMYFUNCTION("""COMPUTED_VALUE"""),"Time")</f>
        <v>Time</v>
      </c>
      <c r="I477" s="16" t="str">
        <f>IFERROR(__xludf.DUMMYFUNCTION("""COMPUTED_VALUE"""),"Player")</f>
        <v>Player</v>
      </c>
      <c r="J477" s="16" t="b">
        <f>IFERROR(__xludf.DUMMYFUNCTION("""COMPUTED_VALUE"""),TRUE)</f>
        <v>1</v>
      </c>
      <c r="K477" s="16" t="str">
        <f>IFERROR(__xludf.DUMMYFUNCTION("""COMPUTED_VALUE"""),"(Can only be obtained in the Solreach expansion)")</f>
        <v>(Can only be obtained in the Solreach expansion)</v>
      </c>
      <c r="L477" s="16" t="b">
        <f>IFERROR(__xludf.DUMMYFUNCTION("""COMPUTED_VALUE"""),FALSE)</f>
        <v>0</v>
      </c>
      <c r="M477" s="16" t="b">
        <f>IFERROR(__xludf.DUMMYFUNCTION("""COMPUTED_VALUE"""),FALSE)</f>
        <v>0</v>
      </c>
      <c r="N477" s="16"/>
    </row>
    <row r="478">
      <c r="A478" s="16" t="str">
        <f>IFERROR(__xludf.DUMMYFUNCTION("""COMPUTED_VALUE"""),"Time Distortion")</f>
        <v>Time Distortion</v>
      </c>
      <c r="B478" s="120">
        <f>IFERROR(__xludf.DUMMYFUNCTION("""COMPUTED_VALUE"""),4.0)</f>
        <v>4</v>
      </c>
      <c r="C478" s="16">
        <f>IFERROR(__xludf.DUMMYFUNCTION("""COMPUTED_VALUE"""),400.0)</f>
        <v>400</v>
      </c>
      <c r="D478" s="16"/>
      <c r="E478" s="16" t="str">
        <f>IFERROR(__xludf.DUMMYFUNCTION("""COMPUTED_VALUE"""),"Roll d20. If the result is odd, the target takes twice as much damage for the rest of battle. If result is even and 2-10, target is healed by that amount*2. If the result is even and 12-20, the target takes half damage for the rest of the battle")</f>
        <v>Roll d20. If the result is odd, the target takes twice as much damage for the rest of battle. If result is even and 2-10, target is healed by that amount*2. If the result is even and 12-20, the target takes half damage for the rest of the battle</v>
      </c>
      <c r="F478" s="16" t="str">
        <f>IFERROR(__xludf.DUMMYFUNCTION("""COMPUTED_VALUE"""),"Fail/Succeed")</f>
        <v>Fail/Succeed</v>
      </c>
      <c r="G478" s="16"/>
      <c r="H478" s="16" t="str">
        <f>IFERROR(__xludf.DUMMYFUNCTION("""COMPUTED_VALUE"""),"Time")</f>
        <v>Time</v>
      </c>
      <c r="I478" s="16" t="str">
        <f>IFERROR(__xludf.DUMMYFUNCTION("""COMPUTED_VALUE"""),"Player")</f>
        <v>Player</v>
      </c>
      <c r="J478" s="16" t="b">
        <f>IFERROR(__xludf.DUMMYFUNCTION("""COMPUTED_VALUE"""),TRUE)</f>
        <v>1</v>
      </c>
      <c r="K478" s="16" t="str">
        <f>IFERROR(__xludf.DUMMYFUNCTION("""COMPUTED_VALUE"""),"(Can only be obtained in the Solreach expansion)")</f>
        <v>(Can only be obtained in the Solreach expansion)</v>
      </c>
      <c r="L478" s="16" t="b">
        <f>IFERROR(__xludf.DUMMYFUNCTION("""COMPUTED_VALUE"""),FALSE)</f>
        <v>0</v>
      </c>
      <c r="M478" s="16" t="b">
        <f>IFERROR(__xludf.DUMMYFUNCTION("""COMPUTED_VALUE"""),FALSE)</f>
        <v>0</v>
      </c>
      <c r="N478" s="16"/>
    </row>
    <row r="479">
      <c r="A479" s="16" t="str">
        <f>IFERROR(__xludf.DUMMYFUNCTION("""COMPUTED_VALUE"""),"Time Lapse")</f>
        <v>Time Lapse</v>
      </c>
      <c r="B479" s="120">
        <f>IFERROR(__xludf.DUMMYFUNCTION("""COMPUTED_VALUE"""),5.0)</f>
        <v>5</v>
      </c>
      <c r="C479" s="16">
        <f>IFERROR(__xludf.DUMMYFUNCTION("""COMPUTED_VALUE"""),500.0)</f>
        <v>500</v>
      </c>
      <c r="D479" s="16"/>
      <c r="E479" s="16" t="str">
        <f>IFERROR(__xludf.DUMMYFUNCTION("""COMPUTED_VALUE"""),"Any incoming damage or spell effect towards the caster is negated before its casted for 3 rounds. Effect ends when stopping a spell that bypasses immunities/resistances.")</f>
        <v>Any incoming damage or spell effect towards the caster is negated before its casted for 3 rounds. Effect ends when stopping a spell that bypasses immunities/resistances.</v>
      </c>
      <c r="F479" s="16" t="str">
        <f>IFERROR(__xludf.DUMMYFUNCTION("""COMPUTED_VALUE"""),"Fail/succeed")</f>
        <v>Fail/succeed</v>
      </c>
      <c r="G479" s="16"/>
      <c r="H479" s="16" t="str">
        <f>IFERROR(__xludf.DUMMYFUNCTION("""COMPUTED_VALUE"""),"Time")</f>
        <v>Time</v>
      </c>
      <c r="I479" s="16" t="str">
        <f>IFERROR(__xludf.DUMMYFUNCTION("""COMPUTED_VALUE"""),"Player")</f>
        <v>Player</v>
      </c>
      <c r="J479" s="16" t="b">
        <f>IFERROR(__xludf.DUMMYFUNCTION("""COMPUTED_VALUE"""),TRUE)</f>
        <v>1</v>
      </c>
      <c r="K479" s="16" t="str">
        <f>IFERROR(__xludf.DUMMYFUNCTION("""COMPUTED_VALUE"""),"(Can only be obtained in the Solreach expansion)")</f>
        <v>(Can only be obtained in the Solreach expansion)</v>
      </c>
      <c r="L479" s="16" t="b">
        <f>IFERROR(__xludf.DUMMYFUNCTION("""COMPUTED_VALUE"""),FALSE)</f>
        <v>0</v>
      </c>
      <c r="M479" s="16" t="b">
        <f>IFERROR(__xludf.DUMMYFUNCTION("""COMPUTED_VALUE"""),FALSE)</f>
        <v>0</v>
      </c>
      <c r="N479" s="16"/>
    </row>
    <row r="480">
      <c r="A480" s="16" t="str">
        <f>IFERROR(__xludf.DUMMYFUNCTION("""COMPUTED_VALUE"""),"Time Rift")</f>
        <v>Time Rift</v>
      </c>
      <c r="B480" s="120">
        <f>IFERROR(__xludf.DUMMYFUNCTION("""COMPUTED_VALUE"""),3.0)</f>
        <v>3</v>
      </c>
      <c r="C480" s="16">
        <f>IFERROR(__xludf.DUMMYFUNCTION("""COMPUTED_VALUE"""),300.0)</f>
        <v>300</v>
      </c>
      <c r="D480" s="16"/>
      <c r="E480" s="16" t="str">
        <f>IFERROR(__xludf.DUMMYFUNCTION("""COMPUTED_VALUE"""),"sends target to different timeline of dungeon (1-6 floors back- roll a d6 for amount of floors)")</f>
        <v>sends target to different timeline of dungeon (1-6 floors back- roll a d6 for amount of floors)</v>
      </c>
      <c r="F480" s="16" t="str">
        <f>IFERROR(__xludf.DUMMYFUNCTION("""COMPUTED_VALUE"""),"Fail/succeed")</f>
        <v>Fail/succeed</v>
      </c>
      <c r="G480" s="16"/>
      <c r="H480" s="16" t="str">
        <f>IFERROR(__xludf.DUMMYFUNCTION("""COMPUTED_VALUE"""),"Time")</f>
        <v>Time</v>
      </c>
      <c r="I480" s="16" t="str">
        <f>IFERROR(__xludf.DUMMYFUNCTION("""COMPUTED_VALUE"""),"Player")</f>
        <v>Player</v>
      </c>
      <c r="J480" s="16" t="b">
        <f>IFERROR(__xludf.DUMMYFUNCTION("""COMPUTED_VALUE"""),TRUE)</f>
        <v>1</v>
      </c>
      <c r="K480" s="16" t="str">
        <f>IFERROR(__xludf.DUMMYFUNCTION("""COMPUTED_VALUE"""),"(Can only be obtained in the Solreach expansion)")</f>
        <v>(Can only be obtained in the Solreach expansion)</v>
      </c>
      <c r="L480" s="16" t="b">
        <f>IFERROR(__xludf.DUMMYFUNCTION("""COMPUTED_VALUE"""),FALSE)</f>
        <v>0</v>
      </c>
      <c r="M480" s="16" t="b">
        <f>IFERROR(__xludf.DUMMYFUNCTION("""COMPUTED_VALUE"""),FALSE)</f>
        <v>0</v>
      </c>
      <c r="N480" s="16"/>
    </row>
    <row r="481">
      <c r="A481" s="16" t="str">
        <f>IFERROR(__xludf.DUMMYFUNCTION("""COMPUTED_VALUE"""),"Time Roar")</f>
        <v>Time Roar</v>
      </c>
      <c r="B481" s="120">
        <f>IFERROR(__xludf.DUMMYFUNCTION("""COMPUTED_VALUE"""),8.0)</f>
        <v>8</v>
      </c>
      <c r="C481" s="16" t="str">
        <f>IFERROR(__xludf.DUMMYFUNCTION("""COMPUTED_VALUE"""),"X*1000")</f>
        <v>X*1000</v>
      </c>
      <c r="D481" s="16"/>
      <c r="E481" s="16" t="str">
        <f>IFERROR(__xludf.DUMMYFUNCTION("""COMPUTED_VALUE"""),"time stops for everyone except the caster and 1 enemy for x rounds.")</f>
        <v>time stops for everyone except the caster and 1 enemy for x rounds.</v>
      </c>
      <c r="F481" s="16" t="str">
        <f>IFERROR(__xludf.DUMMYFUNCTION("""COMPUTED_VALUE"""),"Fail/succeed")</f>
        <v>Fail/succeed</v>
      </c>
      <c r="G481" s="16"/>
      <c r="H481" s="16" t="str">
        <f>IFERROR(__xludf.DUMMYFUNCTION("""COMPUTED_VALUE"""),"Time")</f>
        <v>Time</v>
      </c>
      <c r="I481" s="16" t="str">
        <f>IFERROR(__xludf.DUMMYFUNCTION("""COMPUTED_VALUE"""),"Player")</f>
        <v>Player</v>
      </c>
      <c r="J481" s="16" t="b">
        <f>IFERROR(__xludf.DUMMYFUNCTION("""COMPUTED_VALUE"""),TRUE)</f>
        <v>1</v>
      </c>
      <c r="K481" s="16" t="str">
        <f>IFERROR(__xludf.DUMMYFUNCTION("""COMPUTED_VALUE"""),"(Can only be obtained in the Solreach expansion)")</f>
        <v>(Can only be obtained in the Solreach expansion)</v>
      </c>
      <c r="L481" s="16" t="b">
        <f>IFERROR(__xludf.DUMMYFUNCTION("""COMPUTED_VALUE"""),FALSE)</f>
        <v>0</v>
      </c>
      <c r="M481" s="16" t="b">
        <f>IFERROR(__xludf.DUMMYFUNCTION("""COMPUTED_VALUE"""),FALSE)</f>
        <v>0</v>
      </c>
      <c r="N481" s="16"/>
    </row>
    <row r="482">
      <c r="A482" s="16" t="str">
        <f>IFERROR(__xludf.DUMMYFUNCTION("""COMPUTED_VALUE"""),"Tower Of Time")</f>
        <v>Tower Of Time</v>
      </c>
      <c r="B482" s="120">
        <f>IFERROR(__xludf.DUMMYFUNCTION("""COMPUTED_VALUE"""),8.0)</f>
        <v>8</v>
      </c>
      <c r="C482" s="16">
        <f>IFERROR(__xludf.DUMMYFUNCTION("""COMPUTED_VALUE"""),800.0)</f>
        <v>800</v>
      </c>
      <c r="D482" s="16"/>
      <c r="E482" s="16" t="str">
        <f>IFERROR(__xludf.DUMMYFUNCTION("""COMPUTED_VALUE"""),"Decrease the enemies stats by half or double you or an ally’s stats. 75% chance to decrease your stats by half if the spell fails.")</f>
        <v>Decrease the enemies stats by half or double you or an ally’s stats. 75% chance to decrease your stats by half if the spell fails.</v>
      </c>
      <c r="F482" s="16" t="str">
        <f>IFERROR(__xludf.DUMMYFUNCTION("""COMPUTED_VALUE"""),"Fail/succeed")</f>
        <v>Fail/succeed</v>
      </c>
      <c r="G482" s="16"/>
      <c r="H482" s="16" t="str">
        <f>IFERROR(__xludf.DUMMYFUNCTION("""COMPUTED_VALUE"""),"Time")</f>
        <v>Time</v>
      </c>
      <c r="I482" s="16" t="str">
        <f>IFERROR(__xludf.DUMMYFUNCTION("""COMPUTED_VALUE"""),"Player")</f>
        <v>Player</v>
      </c>
      <c r="J482" s="16" t="b">
        <f>IFERROR(__xludf.DUMMYFUNCTION("""COMPUTED_VALUE"""),TRUE)</f>
        <v>1</v>
      </c>
      <c r="K482" s="16" t="str">
        <f>IFERROR(__xludf.DUMMYFUNCTION("""COMPUTED_VALUE"""),"(Can only be obtained in the Solreach expansion)")</f>
        <v>(Can only be obtained in the Solreach expansion)</v>
      </c>
      <c r="L482" s="16" t="b">
        <f>IFERROR(__xludf.DUMMYFUNCTION("""COMPUTED_VALUE"""),FALSE)</f>
        <v>0</v>
      </c>
      <c r="M482" s="16" t="b">
        <f>IFERROR(__xludf.DUMMYFUNCTION("""COMPUTED_VALUE"""),FALSE)</f>
        <v>0</v>
      </c>
      <c r="N482" s="16"/>
    </row>
    <row r="483">
      <c r="A483" s="16" t="str">
        <f>IFERROR(__xludf.DUMMYFUNCTION("""COMPUTED_VALUE"""),"Twilight Masquerade")</f>
        <v>Twilight Masquerade</v>
      </c>
      <c r="B483" s="120">
        <f>IFERROR(__xludf.DUMMYFUNCTION("""COMPUTED_VALUE"""),9.0)</f>
        <v>9</v>
      </c>
      <c r="C483" s="16">
        <f>IFERROR(__xludf.DUMMYFUNCTION("""COMPUTED_VALUE"""),1000.0)</f>
        <v>1000</v>
      </c>
      <c r="D483" s="16"/>
      <c r="E483" s="16" t="str">
        <f>IFERROR(__xludf.DUMMYFUNCTION("""COMPUTED_VALUE"""),"Become Immune to attacks for 3 rounds.")</f>
        <v>Become Immune to attacks for 3 rounds.</v>
      </c>
      <c r="F483" s="16" t="str">
        <f>IFERROR(__xludf.DUMMYFUNCTION("""COMPUTED_VALUE"""),"Fail/Succeed")</f>
        <v>Fail/Succeed</v>
      </c>
      <c r="G483" s="16"/>
      <c r="H483" s="16" t="str">
        <f>IFERROR(__xludf.DUMMYFUNCTION("""COMPUTED_VALUE"""),"Twilight")</f>
        <v>Twilight</v>
      </c>
      <c r="I483" s="16" t="str">
        <f>IFERROR(__xludf.DUMMYFUNCTION("""COMPUTED_VALUE"""),"Player")</f>
        <v>Player</v>
      </c>
      <c r="J483" s="16" t="b">
        <f>IFERROR(__xludf.DUMMYFUNCTION("""COMPUTED_VALUE"""),FALSE)</f>
        <v>0</v>
      </c>
      <c r="K483" s="16"/>
      <c r="L483" s="16" t="b">
        <f>IFERROR(__xludf.DUMMYFUNCTION("""COMPUTED_VALUE"""),FALSE)</f>
        <v>0</v>
      </c>
      <c r="M483" s="16" t="b">
        <f>IFERROR(__xludf.DUMMYFUNCTION("""COMPUTED_VALUE"""),FALSE)</f>
        <v>0</v>
      </c>
      <c r="N483" s="16"/>
    </row>
    <row r="484">
      <c r="A484" s="16" t="str">
        <f>IFERROR(__xludf.DUMMYFUNCTION("""COMPUTED_VALUE"""),"Twilight Shield")</f>
        <v>Twilight Shield</v>
      </c>
      <c r="B484" s="120">
        <f>IFERROR(__xludf.DUMMYFUNCTION("""COMPUTED_VALUE"""),5.0)</f>
        <v>5</v>
      </c>
      <c r="C484" s="16">
        <f>IFERROR(__xludf.DUMMYFUNCTION("""COMPUTED_VALUE"""),50.0)</f>
        <v>50</v>
      </c>
      <c r="D484" s="16"/>
      <c r="E484" s="16" t="str">
        <f>IFERROR(__xludf.DUMMYFUNCTION("""COMPUTED_VALUE""")," X2 def, gives immunity to dark and light for self")</f>
        <v> X2 def, gives immunity to dark and light for self</v>
      </c>
      <c r="F484" s="16" t="str">
        <f>IFERROR(__xludf.DUMMYFUNCTION("""COMPUTED_VALUE"""),"Will Succeed")</f>
        <v>Will Succeed</v>
      </c>
      <c r="G484" s="16"/>
      <c r="H484" s="16" t="str">
        <f>IFERROR(__xludf.DUMMYFUNCTION("""COMPUTED_VALUE"""),"Twilight")</f>
        <v>Twilight</v>
      </c>
      <c r="I484" s="16" t="str">
        <f>IFERROR(__xludf.DUMMYFUNCTION("""COMPUTED_VALUE"""),"Player")</f>
        <v>Player</v>
      </c>
      <c r="J484" s="16" t="b">
        <f>IFERROR(__xludf.DUMMYFUNCTION("""COMPUTED_VALUE"""),FALSE)</f>
        <v>0</v>
      </c>
      <c r="K484" s="16"/>
      <c r="L484" s="16" t="b">
        <f>IFERROR(__xludf.DUMMYFUNCTION("""COMPUTED_VALUE"""),FALSE)</f>
        <v>0</v>
      </c>
      <c r="M484" s="16" t="b">
        <f>IFERROR(__xludf.DUMMYFUNCTION("""COMPUTED_VALUE"""),FALSE)</f>
        <v>0</v>
      </c>
      <c r="N484" s="16"/>
    </row>
    <row r="485">
      <c r="A485" s="16" t="str">
        <f>IFERROR(__xludf.DUMMYFUNCTION("""COMPUTED_VALUE"""),"Twilight Transformation")</f>
        <v>Twilight Transformation</v>
      </c>
      <c r="B485" s="120">
        <f>IFERROR(__xludf.DUMMYFUNCTION("""COMPUTED_VALUE"""),8.0)</f>
        <v>8</v>
      </c>
      <c r="C485" s="16">
        <f>IFERROR(__xludf.DUMMYFUNCTION("""COMPUTED_VALUE"""),200.0)</f>
        <v>200</v>
      </c>
      <c r="D485" s="16"/>
      <c r="E485" s="16" t="str">
        <f>IFERROR(__xludf.DUMMYFUNCTION("""COMPUTED_VALUE"""),"Grants X4 light and dark damage to twilight spells and weapons for the caster until end of battle.")</f>
        <v>Grants X4 light and dark damage to twilight spells and weapons for the caster until end of battle.</v>
      </c>
      <c r="F485" s="16" t="str">
        <f>IFERROR(__xludf.DUMMYFUNCTION("""COMPUTED_VALUE"""),"Will Succeed")</f>
        <v>Will Succeed</v>
      </c>
      <c r="G485" s="16"/>
      <c r="H485" s="16" t="str">
        <f>IFERROR(__xludf.DUMMYFUNCTION("""COMPUTED_VALUE"""),"Twilight")</f>
        <v>Twilight</v>
      </c>
      <c r="I485" s="16" t="str">
        <f>IFERROR(__xludf.DUMMYFUNCTION("""COMPUTED_VALUE"""),"Player")</f>
        <v>Player</v>
      </c>
      <c r="J485" s="16" t="b">
        <f>IFERROR(__xludf.DUMMYFUNCTION("""COMPUTED_VALUE"""),FALSE)</f>
        <v>0</v>
      </c>
      <c r="K485" s="16"/>
      <c r="L485" s="16" t="b">
        <f>IFERROR(__xludf.DUMMYFUNCTION("""COMPUTED_VALUE"""),FALSE)</f>
        <v>0</v>
      </c>
      <c r="M485" s="16" t="b">
        <f>IFERROR(__xludf.DUMMYFUNCTION("""COMPUTED_VALUE"""),FALSE)</f>
        <v>0</v>
      </c>
      <c r="N485" s="16"/>
    </row>
    <row r="486">
      <c r="A486" s="16" t="str">
        <f>IFERROR(__xludf.DUMMYFUNCTION("""COMPUTED_VALUE"""),"Lash of Twilight")</f>
        <v>Lash of Twilight</v>
      </c>
      <c r="B486" s="120">
        <f>IFERROR(__xludf.DUMMYFUNCTION("""COMPUTED_VALUE"""),1.0)</f>
        <v>1</v>
      </c>
      <c r="C486" s="16" t="str">
        <f>IFERROR(__xludf.DUMMYFUNCTION("""COMPUTED_VALUE"""),"X")</f>
        <v>X</v>
      </c>
      <c r="D486" s="16"/>
      <c r="E486" s="16" t="str">
        <f>IFERROR(__xludf.DUMMYFUNCTION("""COMPUTED_VALUE"""),"Deals X*50 Light and X*50 Dark damage to a single enemy where X is equal to SP spent.")</f>
        <v>Deals X*50 Light and X*50 Dark damage to a single enemy where X is equal to SP spent.</v>
      </c>
      <c r="F486" s="16" t="str">
        <f>IFERROR(__xludf.DUMMYFUNCTION("""COMPUTED_VALUE"""),"Hit/Miss")</f>
        <v>Hit/Miss</v>
      </c>
      <c r="G486" s="16">
        <f>IFERROR(__xludf.DUMMYFUNCTION("""COMPUTED_VALUE"""),1.0)</f>
        <v>1</v>
      </c>
      <c r="H486" s="16" t="str">
        <f>IFERROR(__xludf.DUMMYFUNCTION("""COMPUTED_VALUE"""),"Twilight")</f>
        <v>Twilight</v>
      </c>
      <c r="I486" s="16" t="str">
        <f>IFERROR(__xludf.DUMMYFUNCTION("""COMPUTED_VALUE"""),"Player")</f>
        <v>Player</v>
      </c>
      <c r="J486" s="16" t="b">
        <f>IFERROR(__xludf.DUMMYFUNCTION("""COMPUTED_VALUE"""),FALSE)</f>
        <v>0</v>
      </c>
      <c r="K486" s="16"/>
      <c r="L486" s="16" t="b">
        <f>IFERROR(__xludf.DUMMYFUNCTION("""COMPUTED_VALUE"""),FALSE)</f>
        <v>0</v>
      </c>
      <c r="M486" s="16" t="b">
        <f>IFERROR(__xludf.DUMMYFUNCTION("""COMPUTED_VALUE"""),FALSE)</f>
        <v>0</v>
      </c>
      <c r="N486" s="16"/>
    </row>
    <row r="487">
      <c r="A487" s="16" t="str">
        <f>IFERROR(__xludf.DUMMYFUNCTION("""COMPUTED_VALUE"""),"Searing Twilight")</f>
        <v>Searing Twilight</v>
      </c>
      <c r="B487" s="120">
        <f>IFERROR(__xludf.DUMMYFUNCTION("""COMPUTED_VALUE"""),5.0)</f>
        <v>5</v>
      </c>
      <c r="C487" s="16" t="str">
        <f>IFERROR(__xludf.DUMMYFUNCTION("""COMPUTED_VALUE"""),"X")</f>
        <v>X</v>
      </c>
      <c r="D487" s="16"/>
      <c r="E487" s="16" t="str">
        <f>IFERROR(__xludf.DUMMYFUNCTION("""COMPUTED_VALUE"""),"Deals X*25 Light and X*25 Dark damage per round for 3 rounds to a single target where X is equal to SP spent.")</f>
        <v>Deals X*25 Light and X*25 Dark damage per round for 3 rounds to a single target where X is equal to SP spent.</v>
      </c>
      <c r="F487" s="16" t="str">
        <f>IFERROR(__xludf.DUMMYFUNCTION("""COMPUTED_VALUE"""),"Hit/Miss")</f>
        <v>Hit/Miss</v>
      </c>
      <c r="G487" s="16">
        <f>IFERROR(__xludf.DUMMYFUNCTION("""COMPUTED_VALUE"""),1.0)</f>
        <v>1</v>
      </c>
      <c r="H487" s="16" t="str">
        <f>IFERROR(__xludf.DUMMYFUNCTION("""COMPUTED_VALUE"""),"Twilight")</f>
        <v>Twilight</v>
      </c>
      <c r="I487" s="16" t="str">
        <f>IFERROR(__xludf.DUMMYFUNCTION("""COMPUTED_VALUE"""),"Player")</f>
        <v>Player</v>
      </c>
      <c r="J487" s="16" t="b">
        <f>IFERROR(__xludf.DUMMYFUNCTION("""COMPUTED_VALUE"""),FALSE)</f>
        <v>0</v>
      </c>
      <c r="K487" s="16"/>
      <c r="L487" s="16" t="b">
        <f>IFERROR(__xludf.DUMMYFUNCTION("""COMPUTED_VALUE"""),FALSE)</f>
        <v>0</v>
      </c>
      <c r="M487" s="16" t="b">
        <f>IFERROR(__xludf.DUMMYFUNCTION("""COMPUTED_VALUE"""),FALSE)</f>
        <v>0</v>
      </c>
      <c r="N487" s="16"/>
    </row>
    <row r="488">
      <c r="A488" s="16" t="str">
        <f>IFERROR(__xludf.DUMMYFUNCTION("""COMPUTED_VALUE"""),"The Setting Sun")</f>
        <v>The Setting Sun</v>
      </c>
      <c r="B488" s="120">
        <f>IFERROR(__xludf.DUMMYFUNCTION("""COMPUTED_VALUE"""),5.0)</f>
        <v>5</v>
      </c>
      <c r="C488" s="16" t="str">
        <f>IFERROR(__xludf.DUMMYFUNCTION("""COMPUTED_VALUE"""),"X")</f>
        <v>X</v>
      </c>
      <c r="D488" s="16"/>
      <c r="E488" s="16" t="str">
        <f>IFERROR(__xludf.DUMMYFUNCTION("""COMPUTED_VALUE"""),"Deals X*15 Light and X*15 Dark damage to all enemies where X is equal to SP spent.")</f>
        <v>Deals X*15 Light and X*15 Dark damage to all enemies where X is equal to SP spent.</v>
      </c>
      <c r="F488" s="16" t="str">
        <f>IFERROR(__xludf.DUMMYFUNCTION("""COMPUTED_VALUE"""),"Cannot Avoid")</f>
        <v>Cannot Avoid</v>
      </c>
      <c r="G488" s="16" t="str">
        <f>IFERROR(__xludf.DUMMYFUNCTION("""COMPUTED_VALUE"""),"All")</f>
        <v>All</v>
      </c>
      <c r="H488" s="16" t="str">
        <f>IFERROR(__xludf.DUMMYFUNCTION("""COMPUTED_VALUE"""),"Twilight")</f>
        <v>Twilight</v>
      </c>
      <c r="I488" s="16" t="str">
        <f>IFERROR(__xludf.DUMMYFUNCTION("""COMPUTED_VALUE"""),"Player")</f>
        <v>Player</v>
      </c>
      <c r="J488" s="16" t="b">
        <f>IFERROR(__xludf.DUMMYFUNCTION("""COMPUTED_VALUE"""),FALSE)</f>
        <v>0</v>
      </c>
      <c r="K488" s="16"/>
      <c r="L488" s="16" t="b">
        <f>IFERROR(__xludf.DUMMYFUNCTION("""COMPUTED_VALUE"""),FALSE)</f>
        <v>0</v>
      </c>
      <c r="M488" s="16" t="b">
        <f>IFERROR(__xludf.DUMMYFUNCTION("""COMPUTED_VALUE"""),FALSE)</f>
        <v>0</v>
      </c>
      <c r="N488" s="16"/>
    </row>
    <row r="489">
      <c r="A489" s="16" t="str">
        <f>IFERROR(__xludf.DUMMYFUNCTION("""COMPUTED_VALUE"""),"Danse Macabre")</f>
        <v>Danse Macabre</v>
      </c>
      <c r="B489" s="120">
        <f>IFERROR(__xludf.DUMMYFUNCTION("""COMPUTED_VALUE"""),6.0)</f>
        <v>6</v>
      </c>
      <c r="C489" s="16" t="str">
        <f>IFERROR(__xludf.DUMMYFUNCTION("""COMPUTED_VALUE"""),"X")</f>
        <v>X</v>
      </c>
      <c r="D489" s="16"/>
      <c r="E489" s="16" t="str">
        <f>IFERROR(__xludf.DUMMYFUNCTION("""COMPUTED_VALUE"""),"Deals X*5 Light and X*5 Dark damage per round to all enemies for 3 rounds where X is equal to SP spent.")</f>
        <v>Deals X*5 Light and X*5 Dark damage per round to all enemies for 3 rounds where X is equal to SP spent.</v>
      </c>
      <c r="F489" s="16" t="str">
        <f>IFERROR(__xludf.DUMMYFUNCTION("""COMPUTED_VALUE"""),"Cannot Avoid")</f>
        <v>Cannot Avoid</v>
      </c>
      <c r="G489" s="16" t="str">
        <f>IFERROR(__xludf.DUMMYFUNCTION("""COMPUTED_VALUE"""),"All")</f>
        <v>All</v>
      </c>
      <c r="H489" s="16" t="str">
        <f>IFERROR(__xludf.DUMMYFUNCTION("""COMPUTED_VALUE"""),"Twilight")</f>
        <v>Twilight</v>
      </c>
      <c r="I489" s="16" t="str">
        <f>IFERROR(__xludf.DUMMYFUNCTION("""COMPUTED_VALUE"""),"Player")</f>
        <v>Player</v>
      </c>
      <c r="J489" s="16" t="b">
        <f>IFERROR(__xludf.DUMMYFUNCTION("""COMPUTED_VALUE"""),FALSE)</f>
        <v>0</v>
      </c>
      <c r="K489" s="16"/>
      <c r="L489" s="16" t="b">
        <f>IFERROR(__xludf.DUMMYFUNCTION("""COMPUTED_VALUE"""),FALSE)</f>
        <v>0</v>
      </c>
      <c r="M489" s="16" t="b">
        <f>IFERROR(__xludf.DUMMYFUNCTION("""COMPUTED_VALUE"""),FALSE)</f>
        <v>0</v>
      </c>
      <c r="N489" s="16"/>
    </row>
    <row r="490">
      <c r="A490" s="16" t="str">
        <f>IFERROR(__xludf.DUMMYFUNCTION("""COMPUTED_VALUE"""),"Banish")</f>
        <v>Banish</v>
      </c>
      <c r="B490" s="120">
        <f>IFERROR(__xludf.DUMMYFUNCTION("""COMPUTED_VALUE"""),9.0)</f>
        <v>9</v>
      </c>
      <c r="C490" s="16">
        <f>IFERROR(__xludf.DUMMYFUNCTION("""COMPUTED_VALUE"""),2000.0)</f>
        <v>2000</v>
      </c>
      <c r="D490" s="16"/>
      <c r="E490" s="16" t="str">
        <f>IFERROR(__xludf.DUMMYFUNCTION("""COMPUTED_VALUE"""),"Banish 1 target.")</f>
        <v>Banish 1 target.</v>
      </c>
      <c r="F490" s="16" t="str">
        <f>IFERROR(__xludf.DUMMYFUNCTION("""COMPUTED_VALUE"""),"Fail/succeed")</f>
        <v>Fail/succeed</v>
      </c>
      <c r="G490" s="16"/>
      <c r="H490" s="16" t="str">
        <f>IFERROR(__xludf.DUMMYFUNCTION("""COMPUTED_VALUE"""),"Voodoo")</f>
        <v>Voodoo</v>
      </c>
      <c r="I490" s="16" t="str">
        <f>IFERROR(__xludf.DUMMYFUNCTION("""COMPUTED_VALUE"""),"Player")</f>
        <v>Player</v>
      </c>
      <c r="J490" s="16" t="b">
        <f>IFERROR(__xludf.DUMMYFUNCTION("""COMPUTED_VALUE"""),FALSE)</f>
        <v>0</v>
      </c>
      <c r="K490" s="16"/>
      <c r="L490" s="16" t="b">
        <f>IFERROR(__xludf.DUMMYFUNCTION("""COMPUTED_VALUE"""),FALSE)</f>
        <v>0</v>
      </c>
      <c r="M490" s="16" t="b">
        <f>IFERROR(__xludf.DUMMYFUNCTION("""COMPUTED_VALUE"""),FALSE)</f>
        <v>0</v>
      </c>
      <c r="N490" s="16"/>
    </row>
    <row r="491">
      <c r="A491" s="16" t="str">
        <f>IFERROR(__xludf.DUMMYFUNCTION("""COMPUTED_VALUE"""),"Blast of Despair")</f>
        <v>Blast of Despair</v>
      </c>
      <c r="B491" s="120">
        <f>IFERROR(__xludf.DUMMYFUNCTION("""COMPUTED_VALUE"""),6.0)</f>
        <v>6</v>
      </c>
      <c r="C491" s="16" t="str">
        <f>IFERROR(__xludf.DUMMYFUNCTION("""COMPUTED_VALUE"""),"X")</f>
        <v>X</v>
      </c>
      <c r="D491" s="16"/>
      <c r="E491" s="16" t="str">
        <f>IFERROR(__xludf.DUMMYFUNCTION("""COMPUTED_VALUE"""),"X*33 voodoo, X*33 dark, and X*33 chaos damage to one target where X is equal to SP spent knocks back an enemy 3 tiles away from you.")</f>
        <v>X*33 voodoo, X*33 dark, and X*33 chaos damage to one target where X is equal to SP spent knocks back an enemy 3 tiles away from you.</v>
      </c>
      <c r="F491" s="16" t="str">
        <f>IFERROR(__xludf.DUMMYFUNCTION("""COMPUTED_VALUE"""),"Hit/Miss")</f>
        <v>Hit/Miss</v>
      </c>
      <c r="G491" s="16">
        <f>IFERROR(__xludf.DUMMYFUNCTION("""COMPUTED_VALUE"""),1.0)</f>
        <v>1</v>
      </c>
      <c r="H491" s="16" t="str">
        <f>IFERROR(__xludf.DUMMYFUNCTION("""COMPUTED_VALUE"""),"Voodoo")</f>
        <v>Voodoo</v>
      </c>
      <c r="I491" s="16" t="str">
        <f>IFERROR(__xludf.DUMMYFUNCTION("""COMPUTED_VALUE"""),"Player")</f>
        <v>Player</v>
      </c>
      <c r="J491" s="16" t="b">
        <f>IFERROR(__xludf.DUMMYFUNCTION("""COMPUTED_VALUE"""),FALSE)</f>
        <v>0</v>
      </c>
      <c r="K491" s="16"/>
      <c r="L491" s="16" t="b">
        <f>IFERROR(__xludf.DUMMYFUNCTION("""COMPUTED_VALUE"""),FALSE)</f>
        <v>0</v>
      </c>
      <c r="M491" s="16" t="b">
        <f>IFERROR(__xludf.DUMMYFUNCTION("""COMPUTED_VALUE"""),FALSE)</f>
        <v>0</v>
      </c>
      <c r="N491" s="16"/>
    </row>
    <row r="492">
      <c r="A492" s="16" t="str">
        <f>IFERROR(__xludf.DUMMYFUNCTION("""COMPUTED_VALUE"""),"End The Voodoo Contract")</f>
        <v>End The Voodoo Contract</v>
      </c>
      <c r="B492" s="120">
        <f>IFERROR(__xludf.DUMMYFUNCTION("""COMPUTED_VALUE"""),9.0)</f>
        <v>9</v>
      </c>
      <c r="C492" s="16">
        <f>IFERROR(__xludf.DUMMYFUNCTION("""COMPUTED_VALUE"""),500.0)</f>
        <v>500</v>
      </c>
      <c r="D492" s="16"/>
      <c r="E492" s="16" t="str">
        <f>IFERROR(__xludf.DUMMYFUNCTION("""COMPUTED_VALUE"""),"Caster dies and the target dies too.")</f>
        <v>Caster dies and the target dies too.</v>
      </c>
      <c r="F492" s="16" t="str">
        <f>IFERROR(__xludf.DUMMYFUNCTION("""COMPUTED_VALUE"""),"Fail/Succeed")</f>
        <v>Fail/Succeed</v>
      </c>
      <c r="G492" s="16"/>
      <c r="H492" s="16" t="str">
        <f>IFERROR(__xludf.DUMMYFUNCTION("""COMPUTED_VALUE"""),"Voodoo")</f>
        <v>Voodoo</v>
      </c>
      <c r="I492" s="16" t="str">
        <f>IFERROR(__xludf.DUMMYFUNCTION("""COMPUTED_VALUE"""),"Player")</f>
        <v>Player</v>
      </c>
      <c r="J492" s="16" t="b">
        <f>IFERROR(__xludf.DUMMYFUNCTION("""COMPUTED_VALUE"""),FALSE)</f>
        <v>0</v>
      </c>
      <c r="K492" s="16"/>
      <c r="L492" s="16" t="b">
        <f>IFERROR(__xludf.DUMMYFUNCTION("""COMPUTED_VALUE"""),FALSE)</f>
        <v>0</v>
      </c>
      <c r="M492" s="16" t="b">
        <f>IFERROR(__xludf.DUMMYFUNCTION("""COMPUTED_VALUE"""),FALSE)</f>
        <v>0</v>
      </c>
      <c r="N492" s="16"/>
    </row>
    <row r="493">
      <c r="A493" s="16" t="str">
        <f>IFERROR(__xludf.DUMMYFUNCTION("""COMPUTED_VALUE"""),"Enrapture")</f>
        <v>Enrapture</v>
      </c>
      <c r="B493" s="120">
        <f>IFERROR(__xludf.DUMMYFUNCTION("""COMPUTED_VALUE"""),7.0)</f>
        <v>7</v>
      </c>
      <c r="C493" s="16">
        <f>IFERROR(__xludf.DUMMYFUNCTION("""COMPUTED_VALUE"""),300.0)</f>
        <v>300</v>
      </c>
      <c r="D493" s="16"/>
      <c r="E493" s="16" t="str">
        <f>IFERROR(__xludf.DUMMYFUNCTION("""COMPUTED_VALUE"""),"Turn 1 enemy undead and recruit them to the caster's side. Does not work against Undead, Spirits, and Constructs.")</f>
        <v>Turn 1 enemy undead and recruit them to the caster's side. Does not work against Undead, Spirits, and Constructs.</v>
      </c>
      <c r="F493" s="16" t="str">
        <f>IFERROR(__xludf.DUMMYFUNCTION("""COMPUTED_VALUE"""),"Fail/Succeed")</f>
        <v>Fail/Succeed</v>
      </c>
      <c r="G493" s="16"/>
      <c r="H493" s="16" t="str">
        <f>IFERROR(__xludf.DUMMYFUNCTION("""COMPUTED_VALUE"""),"Voodoo")</f>
        <v>Voodoo</v>
      </c>
      <c r="I493" s="16" t="str">
        <f>IFERROR(__xludf.DUMMYFUNCTION("""COMPUTED_VALUE"""),"Player")</f>
        <v>Player</v>
      </c>
      <c r="J493" s="16" t="b">
        <f>IFERROR(__xludf.DUMMYFUNCTION("""COMPUTED_VALUE"""),FALSE)</f>
        <v>0</v>
      </c>
      <c r="K493" s="16"/>
      <c r="L493" s="16" t="b">
        <f>IFERROR(__xludf.DUMMYFUNCTION("""COMPUTED_VALUE"""),FALSE)</f>
        <v>0</v>
      </c>
      <c r="M493" s="16" t="b">
        <f>IFERROR(__xludf.DUMMYFUNCTION("""COMPUTED_VALUE"""),FALSE)</f>
        <v>0</v>
      </c>
      <c r="N493" s="16"/>
    </row>
    <row r="494">
      <c r="A494" s="16" t="str">
        <f>IFERROR(__xludf.DUMMYFUNCTION("""COMPUTED_VALUE"""),"Good Fortune")</f>
        <v>Good Fortune</v>
      </c>
      <c r="B494" s="120">
        <f>IFERROR(__xludf.DUMMYFUNCTION("""COMPUTED_VALUE"""),5.0)</f>
        <v>5</v>
      </c>
      <c r="C494" s="16">
        <f>IFERROR(__xludf.DUMMYFUNCTION("""COMPUTED_VALUE"""),50.0)</f>
        <v>50</v>
      </c>
      <c r="D494" s="16"/>
      <c r="E494" s="16" t="str">
        <f>IFERROR(__xludf.DUMMYFUNCTION("""COMPUTED_VALUE"""),"25% chance to gain an extra loot roll. You must activate this effect before the end of battle.")</f>
        <v>25% chance to gain an extra loot roll. You must activate this effect before the end of battle.</v>
      </c>
      <c r="F494" s="16" t="str">
        <f>IFERROR(__xludf.DUMMYFUNCTION("""COMPUTED_VALUE"""),"Will Succeed")</f>
        <v>Will Succeed</v>
      </c>
      <c r="G494" s="16"/>
      <c r="H494" s="16" t="str">
        <f>IFERROR(__xludf.DUMMYFUNCTION("""COMPUTED_VALUE"""),"Voodoo")</f>
        <v>Voodoo</v>
      </c>
      <c r="I494" s="16" t="str">
        <f>IFERROR(__xludf.DUMMYFUNCTION("""COMPUTED_VALUE"""),"Player")</f>
        <v>Player</v>
      </c>
      <c r="J494" s="16" t="b">
        <f>IFERROR(__xludf.DUMMYFUNCTION("""COMPUTED_VALUE"""),FALSE)</f>
        <v>0</v>
      </c>
      <c r="K494" s="16"/>
      <c r="L494" s="16" t="b">
        <f>IFERROR(__xludf.DUMMYFUNCTION("""COMPUTED_VALUE"""),FALSE)</f>
        <v>0</v>
      </c>
      <c r="M494" s="16" t="b">
        <f>IFERROR(__xludf.DUMMYFUNCTION("""COMPUTED_VALUE"""),FALSE)</f>
        <v>0</v>
      </c>
      <c r="N494" s="16"/>
    </row>
    <row r="495">
      <c r="A495" s="16" t="str">
        <f>IFERROR(__xludf.DUMMYFUNCTION("""COMPUTED_VALUE"""),"Hex With Bad Luck")</f>
        <v>Hex With Bad Luck</v>
      </c>
      <c r="B495" s="120">
        <f>IFERROR(__xludf.DUMMYFUNCTION("""COMPUTED_VALUE"""),1.0)</f>
        <v>1</v>
      </c>
      <c r="C495" s="16">
        <f>IFERROR(__xludf.DUMMYFUNCTION("""COMPUTED_VALUE"""),10.0)</f>
        <v>10</v>
      </c>
      <c r="D495" s="16"/>
      <c r="E495" s="16" t="str">
        <f>IFERROR(__xludf.DUMMYFUNCTION("""COMPUTED_VALUE"""),"Target Halfs their d20 rolls for 3 rounds")</f>
        <v>Target Halfs their d20 rolls for 3 rounds</v>
      </c>
      <c r="F495" s="16" t="str">
        <f>IFERROR(__xludf.DUMMYFUNCTION("""COMPUTED_VALUE"""),"Fail/Succeed")</f>
        <v>Fail/Succeed</v>
      </c>
      <c r="G495" s="16"/>
      <c r="H495" s="16" t="str">
        <f>IFERROR(__xludf.DUMMYFUNCTION("""COMPUTED_VALUE"""),"Voodoo")</f>
        <v>Voodoo</v>
      </c>
      <c r="I495" s="16" t="str">
        <f>IFERROR(__xludf.DUMMYFUNCTION("""COMPUTED_VALUE"""),"Player")</f>
        <v>Player</v>
      </c>
      <c r="J495" s="16" t="b">
        <f>IFERROR(__xludf.DUMMYFUNCTION("""COMPUTED_VALUE"""),FALSE)</f>
        <v>0</v>
      </c>
      <c r="K495" s="16"/>
      <c r="L495" s="16" t="b">
        <f>IFERROR(__xludf.DUMMYFUNCTION("""COMPUTED_VALUE"""),FALSE)</f>
        <v>0</v>
      </c>
      <c r="M495" s="16" t="b">
        <f>IFERROR(__xludf.DUMMYFUNCTION("""COMPUTED_VALUE"""),FALSE)</f>
        <v>0</v>
      </c>
      <c r="N495" s="16"/>
    </row>
    <row r="496">
      <c r="A496" s="16" t="str">
        <f>IFERROR(__xludf.DUMMYFUNCTION("""COMPUTED_VALUE"""),"Last Gamble")</f>
        <v>Last Gamble</v>
      </c>
      <c r="B496" s="120">
        <f>IFERROR(__xludf.DUMMYFUNCTION("""COMPUTED_VALUE"""),9.0)</f>
        <v>9</v>
      </c>
      <c r="C496" s="16">
        <f>IFERROR(__xludf.DUMMYFUNCTION("""COMPUTED_VALUE"""),1000.0)</f>
        <v>1000</v>
      </c>
      <c r="D496" s="16"/>
      <c r="E496" s="16" t="str">
        <f>IFERROR(__xludf.DUMMYFUNCTION("""COMPUTED_VALUE"""),"All enemies Cannot use any spells for the rest of the battle.")</f>
        <v>All enemies Cannot use any spells for the rest of the battle.</v>
      </c>
      <c r="F496" s="16" t="str">
        <f>IFERROR(__xludf.DUMMYFUNCTION("""COMPUTED_VALUE"""),"Fail/Succeed")</f>
        <v>Fail/Succeed</v>
      </c>
      <c r="G496" s="16"/>
      <c r="H496" s="16" t="str">
        <f>IFERROR(__xludf.DUMMYFUNCTION("""COMPUTED_VALUE"""),"Voodoo")</f>
        <v>Voodoo</v>
      </c>
      <c r="I496" s="16" t="str">
        <f>IFERROR(__xludf.DUMMYFUNCTION("""COMPUTED_VALUE"""),"Player")</f>
        <v>Player</v>
      </c>
      <c r="J496" s="16" t="b">
        <f>IFERROR(__xludf.DUMMYFUNCTION("""COMPUTED_VALUE"""),FALSE)</f>
        <v>0</v>
      </c>
      <c r="K496" s="16"/>
      <c r="L496" s="16" t="b">
        <f>IFERROR(__xludf.DUMMYFUNCTION("""COMPUTED_VALUE"""),FALSE)</f>
        <v>0</v>
      </c>
      <c r="M496" s="16" t="b">
        <f>IFERROR(__xludf.DUMMYFUNCTION("""COMPUTED_VALUE"""),FALSE)</f>
        <v>0</v>
      </c>
      <c r="N496" s="16"/>
    </row>
    <row r="497">
      <c r="A497" s="16" t="str">
        <f>IFERROR(__xludf.DUMMYFUNCTION("""COMPUTED_VALUE"""),"Multi Banishment")</f>
        <v>Multi Banishment</v>
      </c>
      <c r="B497" s="120">
        <f>IFERROR(__xludf.DUMMYFUNCTION("""COMPUTED_VALUE"""),9.0)</f>
        <v>9</v>
      </c>
      <c r="C497" s="16" t="str">
        <f>IFERROR(__xludf.DUMMYFUNCTION("""COMPUTED_VALUE"""),"X*2000")</f>
        <v>X*2000</v>
      </c>
      <c r="D497" s="16"/>
      <c r="E497" s="16" t="str">
        <f>IFERROR(__xludf.DUMMYFUNCTION("""COMPUTED_VALUE"""),"Banish up to 5 targets.")</f>
        <v>Banish up to 5 targets.</v>
      </c>
      <c r="F497" s="16" t="str">
        <f>IFERROR(__xludf.DUMMYFUNCTION("""COMPUTED_VALUE"""),"Fail/succeed")</f>
        <v>Fail/succeed</v>
      </c>
      <c r="G497" s="16"/>
      <c r="H497" s="16" t="str">
        <f>IFERROR(__xludf.DUMMYFUNCTION("""COMPUTED_VALUE"""),"Voodoo")</f>
        <v>Voodoo</v>
      </c>
      <c r="I497" s="16" t="str">
        <f>IFERROR(__xludf.DUMMYFUNCTION("""COMPUTED_VALUE"""),"Player")</f>
        <v>Player</v>
      </c>
      <c r="J497" s="16" t="b">
        <f>IFERROR(__xludf.DUMMYFUNCTION("""COMPUTED_VALUE"""),FALSE)</f>
        <v>0</v>
      </c>
      <c r="K497" s="16"/>
      <c r="L497" s="16" t="b">
        <f>IFERROR(__xludf.DUMMYFUNCTION("""COMPUTED_VALUE"""),FALSE)</f>
        <v>0</v>
      </c>
      <c r="M497" s="16" t="b">
        <f>IFERROR(__xludf.DUMMYFUNCTION("""COMPUTED_VALUE"""),FALSE)</f>
        <v>0</v>
      </c>
      <c r="N497" s="16"/>
    </row>
    <row r="498">
      <c r="A498" s="16" t="str">
        <f>IFERROR(__xludf.DUMMYFUNCTION("""COMPUTED_VALUE"""),"Multi-Magic")</f>
        <v>Multi-Magic</v>
      </c>
      <c r="B498" s="120">
        <f>IFERROR(__xludf.DUMMYFUNCTION("""COMPUTED_VALUE"""),9.0)</f>
        <v>9</v>
      </c>
      <c r="C498" s="16">
        <f>IFERROR(__xludf.DUMMYFUNCTION("""COMPUTED_VALUE"""),1000.0)</f>
        <v>1000</v>
      </c>
      <c r="D498" s="16"/>
      <c r="E498" s="16" t="str">
        <f>IFERROR(__xludf.DUMMYFUNCTION("""COMPUTED_VALUE"""),"Turns one of your spells element into an element of your choosing during your next attack. Your spell will still count towards the element it originally was for additional buffs. Cannot select celestial until you are level 200.")</f>
        <v>Turns one of your spells element into an element of your choosing during your next attack. Your spell will still count towards the element it originally was for additional buffs. Cannot select celestial until you are level 200.</v>
      </c>
      <c r="F498" s="16" t="str">
        <f>IFERROR(__xludf.DUMMYFUNCTION("""COMPUTED_VALUE"""),"Will Succeed")</f>
        <v>Will Succeed</v>
      </c>
      <c r="G498" s="16" t="str">
        <f>IFERROR(__xludf.DUMMYFUNCTION("""COMPUTED_VALUE"""),"Self")</f>
        <v>Self</v>
      </c>
      <c r="H498" s="16" t="str">
        <f>IFERROR(__xludf.DUMMYFUNCTION("""COMPUTED_VALUE"""),"Voodoo")</f>
        <v>Voodoo</v>
      </c>
      <c r="I498" s="16" t="str">
        <f>IFERROR(__xludf.DUMMYFUNCTION("""COMPUTED_VALUE"""),"Player")</f>
        <v>Player</v>
      </c>
      <c r="J498" s="16" t="b">
        <f>IFERROR(__xludf.DUMMYFUNCTION("""COMPUTED_VALUE"""),TRUE)</f>
        <v>1</v>
      </c>
      <c r="K498" s="16" t="str">
        <f>IFERROR(__xludf.DUMMYFUNCTION("""COMPUTED_VALUE"""),"shop spell")</f>
        <v>shop spell</v>
      </c>
      <c r="L498" s="16" t="b">
        <f>IFERROR(__xludf.DUMMYFUNCTION("""COMPUTED_VALUE"""),FALSE)</f>
        <v>0</v>
      </c>
      <c r="M498" s="16" t="b">
        <f>IFERROR(__xludf.DUMMYFUNCTION("""COMPUTED_VALUE"""),FALSE)</f>
        <v>0</v>
      </c>
      <c r="N498" s="16"/>
    </row>
    <row r="499">
      <c r="A499" s="16" t="str">
        <f>IFERROR(__xludf.DUMMYFUNCTION("""COMPUTED_VALUE"""),"O' Sweet Child of Mine")</f>
        <v>O' Sweet Child of Mine</v>
      </c>
      <c r="B499" s="120">
        <f>IFERROR(__xludf.DUMMYFUNCTION("""COMPUTED_VALUE"""),9.0)</f>
        <v>9</v>
      </c>
      <c r="C499" s="16">
        <f>IFERROR(__xludf.DUMMYFUNCTION("""COMPUTED_VALUE"""),1000.0)</f>
        <v>1000</v>
      </c>
      <c r="D499" s="16"/>
      <c r="E499" s="16" t="str">
        <f>IFERROR(__xludf.DUMMYFUNCTION("""COMPUTED_VALUE"""),"Select a target, they become level 1 until the end of battle and the caster has complete control over them until the end of battle.")</f>
        <v>Select a target, they become level 1 until the end of battle and the caster has complete control over them until the end of battle.</v>
      </c>
      <c r="F499" s="16" t="str">
        <f>IFERROR(__xludf.DUMMYFUNCTION("""COMPUTED_VALUE"""),"Fail/Succeed")</f>
        <v>Fail/Succeed</v>
      </c>
      <c r="G499" s="16">
        <f>IFERROR(__xludf.DUMMYFUNCTION("""COMPUTED_VALUE"""),1.0)</f>
        <v>1</v>
      </c>
      <c r="H499" s="16" t="str">
        <f>IFERROR(__xludf.DUMMYFUNCTION("""COMPUTED_VALUE"""),"Voodoo")</f>
        <v>Voodoo</v>
      </c>
      <c r="I499" s="16" t="str">
        <f>IFERROR(__xludf.DUMMYFUNCTION("""COMPUTED_VALUE"""),"Mob")</f>
        <v>Mob</v>
      </c>
      <c r="J499" s="16" t="b">
        <f>IFERROR(__xludf.DUMMYFUNCTION("""COMPUTED_VALUE"""),TRUE)</f>
        <v>1</v>
      </c>
      <c r="K499" s="16"/>
      <c r="L499" s="16" t="b">
        <f>IFERROR(__xludf.DUMMYFUNCTION("""COMPUTED_VALUE"""),FALSE)</f>
        <v>0</v>
      </c>
      <c r="M499" s="16" t="b">
        <f>IFERROR(__xludf.DUMMYFUNCTION("""COMPUTED_VALUE"""),FALSE)</f>
        <v>0</v>
      </c>
      <c r="N499" s="16"/>
    </row>
    <row r="500">
      <c r="A500" s="16" t="str">
        <f>IFERROR(__xludf.DUMMYFUNCTION("""COMPUTED_VALUE"""),"Rejuvenate")</f>
        <v>Rejuvenate</v>
      </c>
      <c r="B500" s="120">
        <f>IFERROR(__xludf.DUMMYFUNCTION("""COMPUTED_VALUE"""),2.0)</f>
        <v>2</v>
      </c>
      <c r="C500" s="16">
        <f>IFERROR(__xludf.DUMMYFUNCTION("""COMPUTED_VALUE"""),20.0)</f>
        <v>20</v>
      </c>
      <c r="D500" s="16"/>
      <c r="E500" s="16" t="str">
        <f>IFERROR(__xludf.DUMMYFUNCTION("""COMPUTED_VALUE"""),"Heal 2000 HP, 50% chance of contracting an Undead enemy. Max 1 Enemy.")</f>
        <v>Heal 2000 HP, 50% chance of contracting an Undead enemy. Max 1 Enemy.</v>
      </c>
      <c r="F500" s="16" t="str">
        <f>IFERROR(__xludf.DUMMYFUNCTION("""COMPUTED_VALUE"""),"Fail/Succeed")</f>
        <v>Fail/Succeed</v>
      </c>
      <c r="G500" s="16"/>
      <c r="H500" s="16" t="str">
        <f>IFERROR(__xludf.DUMMYFUNCTION("""COMPUTED_VALUE"""),"Voodoo")</f>
        <v>Voodoo</v>
      </c>
      <c r="I500" s="16" t="str">
        <f>IFERROR(__xludf.DUMMYFUNCTION("""COMPUTED_VALUE"""),"Player")</f>
        <v>Player</v>
      </c>
      <c r="J500" s="16" t="b">
        <f>IFERROR(__xludf.DUMMYFUNCTION("""COMPUTED_VALUE"""),FALSE)</f>
        <v>0</v>
      </c>
      <c r="K500" s="16"/>
      <c r="L500" s="16" t="b">
        <f>IFERROR(__xludf.DUMMYFUNCTION("""COMPUTED_VALUE"""),FALSE)</f>
        <v>0</v>
      </c>
      <c r="M500" s="16" t="b">
        <f>IFERROR(__xludf.DUMMYFUNCTION("""COMPUTED_VALUE"""),FALSE)</f>
        <v>0</v>
      </c>
      <c r="N500" s="16"/>
    </row>
    <row r="501">
      <c r="A501" s="16" t="str">
        <f>IFERROR(__xludf.DUMMYFUNCTION("""COMPUTED_VALUE"""),"Second Chance")</f>
        <v>Second Chance</v>
      </c>
      <c r="B501" s="120">
        <f>IFERROR(__xludf.DUMMYFUNCTION("""COMPUTED_VALUE"""),9.0)</f>
        <v>9</v>
      </c>
      <c r="C501" s="16">
        <f>IFERROR(__xludf.DUMMYFUNCTION("""COMPUTED_VALUE"""),1000.0)</f>
        <v>1000</v>
      </c>
      <c r="D501" s="16"/>
      <c r="E501" s="16" t="str">
        <f>IFERROR(__xludf.DUMMYFUNCTION("""COMPUTED_VALUE"""),"If you fail your roll while using a fail/succeed spell you may use another fail/succeed spell once more on the same turn.")</f>
        <v>If you fail your roll while using a fail/succeed spell you may use another fail/succeed spell once more on the same turn.</v>
      </c>
      <c r="F501" s="16" t="str">
        <f>IFERROR(__xludf.DUMMYFUNCTION("""COMPUTED_VALUE"""),"Will Succeed")</f>
        <v>Will Succeed</v>
      </c>
      <c r="G501" s="16"/>
      <c r="H501" s="16" t="str">
        <f>IFERROR(__xludf.DUMMYFUNCTION("""COMPUTED_VALUE"""),"Voodoo")</f>
        <v>Voodoo</v>
      </c>
      <c r="I501" s="16" t="str">
        <f>IFERROR(__xludf.DUMMYFUNCTION("""COMPUTED_VALUE"""),"Player")</f>
        <v>Player</v>
      </c>
      <c r="J501" s="16" t="b">
        <f>IFERROR(__xludf.DUMMYFUNCTION("""COMPUTED_VALUE"""),FALSE)</f>
        <v>0</v>
      </c>
      <c r="K501" s="16"/>
      <c r="L501" s="16" t="b">
        <f>IFERROR(__xludf.DUMMYFUNCTION("""COMPUTED_VALUE"""),FALSE)</f>
        <v>0</v>
      </c>
      <c r="M501" s="16" t="b">
        <f>IFERROR(__xludf.DUMMYFUNCTION("""COMPUTED_VALUE"""),FALSE)</f>
        <v>0</v>
      </c>
      <c r="N501" s="16"/>
    </row>
    <row r="502">
      <c r="A502" s="16" t="str">
        <f>IFERROR(__xludf.DUMMYFUNCTION("""COMPUTED_VALUE"""),"Stand in")</f>
        <v>Stand in</v>
      </c>
      <c r="B502" s="120">
        <f>IFERROR(__xludf.DUMMYFUNCTION("""COMPUTED_VALUE"""),9.0)</f>
        <v>9</v>
      </c>
      <c r="C502" s="16">
        <f>IFERROR(__xludf.DUMMYFUNCTION("""COMPUTED_VALUE"""),1000.0)</f>
        <v>1000</v>
      </c>
      <c r="D502" s="16"/>
      <c r="E502" s="16" t="str">
        <f>IFERROR(__xludf.DUMMYFUNCTION("""COMPUTED_VALUE"""),"Summon a level 6000 Voodoo Doll while you disappear from the battle for 3 rounds, when the Doll dies or after 3 rounds return to battle with a 50% chance of instant death (Cannot resist or be immune to this effect), Skip your turn order until you return t"&amp;"o battle.")</f>
        <v>Summon a level 6000 Voodoo Doll while you disappear from the battle for 3 rounds, when the Doll dies or after 3 rounds return to battle with a 50% chance of instant death (Cannot resist or be immune to this effect), Skip your turn order until you return to battle.</v>
      </c>
      <c r="F502" s="16" t="str">
        <f>IFERROR(__xludf.DUMMYFUNCTION("""COMPUTED_VALUE"""),"Fail/Succeed")</f>
        <v>Fail/Succeed</v>
      </c>
      <c r="G502" s="16"/>
      <c r="H502" s="16" t="str">
        <f>IFERROR(__xludf.DUMMYFUNCTION("""COMPUTED_VALUE"""),"Voodoo")</f>
        <v>Voodoo</v>
      </c>
      <c r="I502" s="16" t="str">
        <f>IFERROR(__xludf.DUMMYFUNCTION("""COMPUTED_VALUE"""),"Player")</f>
        <v>Player</v>
      </c>
      <c r="J502" s="16" t="b">
        <f>IFERROR(__xludf.DUMMYFUNCTION("""COMPUTED_VALUE"""),FALSE)</f>
        <v>0</v>
      </c>
      <c r="K502" s="16"/>
      <c r="L502" s="16" t="b">
        <f>IFERROR(__xludf.DUMMYFUNCTION("""COMPUTED_VALUE"""),FALSE)</f>
        <v>0</v>
      </c>
      <c r="M502" s="16" t="b">
        <f>IFERROR(__xludf.DUMMYFUNCTION("""COMPUTED_VALUE"""),FALSE)</f>
        <v>0</v>
      </c>
      <c r="N502" s="16"/>
    </row>
    <row r="503">
      <c r="A503" s="16" t="str">
        <f>IFERROR(__xludf.DUMMYFUNCTION("""COMPUTED_VALUE"""),"Tower Of Karma")</f>
        <v>Tower Of Karma</v>
      </c>
      <c r="B503" s="120">
        <f>IFERROR(__xludf.DUMMYFUNCTION("""COMPUTED_VALUE"""),8.0)</f>
        <v>8</v>
      </c>
      <c r="C503" s="16">
        <f>IFERROR(__xludf.DUMMYFUNCTION("""COMPUTED_VALUE"""),400.0)</f>
        <v>400</v>
      </c>
      <c r="D503" s="16"/>
      <c r="E503" s="16" t="str">
        <f>IFERROR(__xludf.DUMMYFUNCTION("""COMPUTED_VALUE"""),"Forms a tower that rises from beneath the ground and shoots a giant beam of voodoo energy from the tower's eye- 3000 voodoo strike dmg.")</f>
        <v>Forms a tower that rises from beneath the ground and shoots a giant beam of voodoo energy from the tower's eye- 3000 voodoo strike dmg.</v>
      </c>
      <c r="F503" s="16" t="str">
        <f>IFERROR(__xludf.DUMMYFUNCTION("""COMPUTED_VALUE"""),"Hit or Miss")</f>
        <v>Hit or Miss</v>
      </c>
      <c r="G503" s="16">
        <f>IFERROR(__xludf.DUMMYFUNCTION("""COMPUTED_VALUE"""),1.0)</f>
        <v>1</v>
      </c>
      <c r="H503" s="16" t="str">
        <f>IFERROR(__xludf.DUMMYFUNCTION("""COMPUTED_VALUE"""),"Voodoo")</f>
        <v>Voodoo</v>
      </c>
      <c r="I503" s="16" t="str">
        <f>IFERROR(__xludf.DUMMYFUNCTION("""COMPUTED_VALUE"""),"Player")</f>
        <v>Player</v>
      </c>
      <c r="J503" s="16" t="b">
        <f>IFERROR(__xludf.DUMMYFUNCTION("""COMPUTED_VALUE"""),FALSE)</f>
        <v>0</v>
      </c>
      <c r="K503" s="16"/>
      <c r="L503" s="16" t="b">
        <f>IFERROR(__xludf.DUMMYFUNCTION("""COMPUTED_VALUE"""),FALSE)</f>
        <v>0</v>
      </c>
      <c r="M503" s="16" t="b">
        <f>IFERROR(__xludf.DUMMYFUNCTION("""COMPUTED_VALUE"""),FALSE)</f>
        <v>0</v>
      </c>
      <c r="N503" s="16"/>
    </row>
    <row r="504">
      <c r="A504" s="16" t="str">
        <f>IFERROR(__xludf.DUMMYFUNCTION("""COMPUTED_VALUE"""),"Transfer")</f>
        <v>Transfer</v>
      </c>
      <c r="B504" s="120">
        <f>IFERROR(__xludf.DUMMYFUNCTION("""COMPUTED_VALUE"""),9.0)</f>
        <v>9</v>
      </c>
      <c r="C504" s="16">
        <f>IFERROR(__xludf.DUMMYFUNCTION("""COMPUTED_VALUE"""),500.0)</f>
        <v>500</v>
      </c>
      <c r="D504" s="16"/>
      <c r="E504" s="16" t="str">
        <f>IFERROR(__xludf.DUMMYFUNCTION("""COMPUTED_VALUE"""),"Allows the caster to transfer a curse from one target on to another target. Cannot be used on self.")</f>
        <v>Allows the caster to transfer a curse from one target on to another target. Cannot be used on self.</v>
      </c>
      <c r="F504" s="16" t="str">
        <f>IFERROR(__xludf.DUMMYFUNCTION("""COMPUTED_VALUE"""),"Fail/Succeed")</f>
        <v>Fail/Succeed</v>
      </c>
      <c r="G504" s="16"/>
      <c r="H504" s="16" t="str">
        <f>IFERROR(__xludf.DUMMYFUNCTION("""COMPUTED_VALUE"""),"Voodoo")</f>
        <v>Voodoo</v>
      </c>
      <c r="I504" s="16" t="str">
        <f>IFERROR(__xludf.DUMMYFUNCTION("""COMPUTED_VALUE"""),"Player")</f>
        <v>Player</v>
      </c>
      <c r="J504" s="16" t="b">
        <f>IFERROR(__xludf.DUMMYFUNCTION("""COMPUTED_VALUE"""),FALSE)</f>
        <v>0</v>
      </c>
      <c r="K504" s="16"/>
      <c r="L504" s="16" t="b">
        <f>IFERROR(__xludf.DUMMYFUNCTION("""COMPUTED_VALUE"""),FALSE)</f>
        <v>0</v>
      </c>
      <c r="M504" s="16" t="b">
        <f>IFERROR(__xludf.DUMMYFUNCTION("""COMPUTED_VALUE"""),FALSE)</f>
        <v>0</v>
      </c>
      <c r="N504" s="16"/>
    </row>
    <row r="505">
      <c r="A505" s="16" t="str">
        <f>IFERROR(__xludf.DUMMYFUNCTION("""COMPUTED_VALUE"""),"Transform Enemy Curse")</f>
        <v>Transform Enemy Curse</v>
      </c>
      <c r="B505" s="120">
        <f>IFERROR(__xludf.DUMMYFUNCTION("""COMPUTED_VALUE"""),3.0)</f>
        <v>3</v>
      </c>
      <c r="C505" s="16">
        <f>IFERROR(__xludf.DUMMYFUNCTION("""COMPUTED_VALUE"""),30.0)</f>
        <v>30</v>
      </c>
      <c r="D505" s="16"/>
      <c r="E505" s="16" t="str">
        <f>IFERROR(__xludf.DUMMYFUNCTION("""COMPUTED_VALUE"""),"Roll 20 d100’s, the total number rounded up to the nearest hundred is equal to the level of the creature that spawns. The creature becomes your ally until it is killed or the battle ends. (You can only have one creature under your control by this spell at"&amp;" a time).")</f>
        <v>Roll 20 d100’s, the total number rounded up to the nearest hundred is equal to the level of the creature that spawns. The creature becomes your ally until it is killed or the battle ends. (You can only have one creature under your control by this spell at a time).</v>
      </c>
      <c r="F505" s="16" t="str">
        <f>IFERROR(__xludf.DUMMYFUNCTION("""COMPUTED_VALUE"""),"Fail or Succeed")</f>
        <v>Fail or Succeed</v>
      </c>
      <c r="G505" s="16"/>
      <c r="H505" s="16" t="str">
        <f>IFERROR(__xludf.DUMMYFUNCTION("""COMPUTED_VALUE"""),"Voodoo")</f>
        <v>Voodoo</v>
      </c>
      <c r="I505" s="16" t="str">
        <f>IFERROR(__xludf.DUMMYFUNCTION("""COMPUTED_VALUE"""),"Player")</f>
        <v>Player</v>
      </c>
      <c r="J505" s="16" t="b">
        <f>IFERROR(__xludf.DUMMYFUNCTION("""COMPUTED_VALUE"""),FALSE)</f>
        <v>0</v>
      </c>
      <c r="K505" s="16"/>
      <c r="L505" s="16" t="b">
        <f>IFERROR(__xludf.DUMMYFUNCTION("""COMPUTED_VALUE"""),FALSE)</f>
        <v>0</v>
      </c>
      <c r="M505" s="16" t="b">
        <f>IFERROR(__xludf.DUMMYFUNCTION("""COMPUTED_VALUE"""),FALSE)</f>
        <v>0</v>
      </c>
      <c r="N505" s="16"/>
    </row>
    <row r="506">
      <c r="A506" s="16" t="str">
        <f>IFERROR(__xludf.DUMMYFUNCTION("""COMPUTED_VALUE"""),"Voodoo Ritual of Raise The Dead")</f>
        <v>Voodoo Ritual of Raise The Dead</v>
      </c>
      <c r="B506" s="120">
        <f>IFERROR(__xludf.DUMMYFUNCTION("""COMPUTED_VALUE"""),6.0)</f>
        <v>6</v>
      </c>
      <c r="C506" s="16">
        <f>IFERROR(__xludf.DUMMYFUNCTION("""COMPUTED_VALUE"""),60.0)</f>
        <v>60</v>
      </c>
      <c r="D506" s="16"/>
      <c r="E506" s="16" t="str">
        <f>IFERROR(__xludf.DUMMYFUNCTION("""COMPUTED_VALUE"""),"Raise a dead enemy to fight by your side.")</f>
        <v>Raise a dead enemy to fight by your side.</v>
      </c>
      <c r="F506" s="16" t="str">
        <f>IFERROR(__xludf.DUMMYFUNCTION("""COMPUTED_VALUE"""),"Fail/succeed")</f>
        <v>Fail/succeed</v>
      </c>
      <c r="G506" s="16"/>
      <c r="H506" s="16" t="str">
        <f>IFERROR(__xludf.DUMMYFUNCTION("""COMPUTED_VALUE"""),"Voodoo")</f>
        <v>Voodoo</v>
      </c>
      <c r="I506" s="16" t="str">
        <f>IFERROR(__xludf.DUMMYFUNCTION("""COMPUTED_VALUE"""),"Player")</f>
        <v>Player</v>
      </c>
      <c r="J506" s="16" t="b">
        <f>IFERROR(__xludf.DUMMYFUNCTION("""COMPUTED_VALUE"""),FALSE)</f>
        <v>0</v>
      </c>
      <c r="K506" s="16"/>
      <c r="L506" s="16" t="b">
        <f>IFERROR(__xludf.DUMMYFUNCTION("""COMPUTED_VALUE"""),FALSE)</f>
        <v>0</v>
      </c>
      <c r="M506" s="16" t="b">
        <f>IFERROR(__xludf.DUMMYFUNCTION("""COMPUTED_VALUE"""),FALSE)</f>
        <v>0</v>
      </c>
      <c r="N506" s="16"/>
    </row>
    <row r="507">
      <c r="A507" s="16" t="str">
        <f>IFERROR(__xludf.DUMMYFUNCTION("""COMPUTED_VALUE"""),"Weight Shift")</f>
        <v>Weight Shift</v>
      </c>
      <c r="B507" s="120">
        <f>IFERROR(__xludf.DUMMYFUNCTION("""COMPUTED_VALUE"""),4.0)</f>
        <v>4</v>
      </c>
      <c r="C507" s="16">
        <f>IFERROR(__xludf.DUMMYFUNCTION("""COMPUTED_VALUE"""),40.0)</f>
        <v>40</v>
      </c>
      <c r="D507" s="16"/>
      <c r="E507" s="16" t="str">
        <f>IFERROR(__xludf.DUMMYFUNCTION("""COMPUTED_VALUE"""),"Shift the weight of your enemy for 3 rounds, lowers their evasion by 5.")</f>
        <v>Shift the weight of your enemy for 3 rounds, lowers their evasion by 5.</v>
      </c>
      <c r="F507" s="16" t="str">
        <f>IFERROR(__xludf.DUMMYFUNCTION("""COMPUTED_VALUE"""),"Fail/succeed")</f>
        <v>Fail/succeed</v>
      </c>
      <c r="G507" s="16"/>
      <c r="H507" s="16" t="str">
        <f>IFERROR(__xludf.DUMMYFUNCTION("""COMPUTED_VALUE"""),"Voodoo")</f>
        <v>Voodoo</v>
      </c>
      <c r="I507" s="16" t="str">
        <f>IFERROR(__xludf.DUMMYFUNCTION("""COMPUTED_VALUE"""),"Player")</f>
        <v>Player</v>
      </c>
      <c r="J507" s="16" t="b">
        <f>IFERROR(__xludf.DUMMYFUNCTION("""COMPUTED_VALUE"""),FALSE)</f>
        <v>0</v>
      </c>
      <c r="K507" s="16"/>
      <c r="L507" s="16" t="b">
        <f>IFERROR(__xludf.DUMMYFUNCTION("""COMPUTED_VALUE"""),FALSE)</f>
        <v>0</v>
      </c>
      <c r="M507" s="16" t="b">
        <f>IFERROR(__xludf.DUMMYFUNCTION("""COMPUTED_VALUE"""),FALSE)</f>
        <v>0</v>
      </c>
      <c r="N507" s="16"/>
    </row>
    <row r="508">
      <c r="A508" s="16" t="str">
        <f>IFERROR(__xludf.DUMMYFUNCTION("""COMPUTED_VALUE"""),"Poison Flask")</f>
        <v>Poison Flask</v>
      </c>
      <c r="B508" s="120">
        <f>IFERROR(__xludf.DUMMYFUNCTION("""COMPUTED_VALUE"""),3.0)</f>
        <v>3</v>
      </c>
      <c r="C508" s="16">
        <f>IFERROR(__xludf.DUMMYFUNCTION("""COMPUTED_VALUE"""),50.0)</f>
        <v>50</v>
      </c>
      <c r="D508" s="16"/>
      <c r="E508" s="16" t="str">
        <f>IFERROR(__xludf.DUMMYFUNCTION("""COMPUTED_VALUE"""),"Throw a flask of viscous poison, Shattering it on your enemies and inflicting Poison 3000 for 3 rounds")</f>
        <v>Throw a flask of viscous poison, Shattering it on your enemies and inflicting Poison 3000 for 3 rounds</v>
      </c>
      <c r="F508" s="16" t="str">
        <f>IFERROR(__xludf.DUMMYFUNCTION("""COMPUTED_VALUE"""),"Hit/Miss")</f>
        <v>Hit/Miss</v>
      </c>
      <c r="G508" s="16">
        <f>IFERROR(__xludf.DUMMYFUNCTION("""COMPUTED_VALUE"""),1.0)</f>
        <v>1</v>
      </c>
      <c r="H508" s="16" t="str">
        <f>IFERROR(__xludf.DUMMYFUNCTION("""COMPUTED_VALUE"""),"Voodoo")</f>
        <v>Voodoo</v>
      </c>
      <c r="I508" s="16" t="str">
        <f>IFERROR(__xludf.DUMMYFUNCTION("""COMPUTED_VALUE"""),"Player")</f>
        <v>Player</v>
      </c>
      <c r="J508" s="16" t="b">
        <f>IFERROR(__xludf.DUMMYFUNCTION("""COMPUTED_VALUE"""),FALSE)</f>
        <v>0</v>
      </c>
      <c r="K508" s="16"/>
      <c r="L508" s="16" t="b">
        <f>IFERROR(__xludf.DUMMYFUNCTION("""COMPUTED_VALUE"""),FALSE)</f>
        <v>0</v>
      </c>
      <c r="M508" s="16" t="b">
        <f>IFERROR(__xludf.DUMMYFUNCTION("""COMPUTED_VALUE"""),FALSE)</f>
        <v>0</v>
      </c>
      <c r="N508" s="16"/>
    </row>
    <row r="509">
      <c r="A509" s="16" t="str">
        <f>IFERROR(__xludf.DUMMYFUNCTION("""COMPUTED_VALUE"""),"1000 Poisons Body")</f>
        <v>1000 Poisons Body</v>
      </c>
      <c r="B509" s="120">
        <f>IFERROR(__xludf.DUMMYFUNCTION("""COMPUTED_VALUE"""),8.0)</f>
        <v>8</v>
      </c>
      <c r="C509" s="16">
        <f>IFERROR(__xludf.DUMMYFUNCTION("""COMPUTED_VALUE"""),500.0)</f>
        <v>500</v>
      </c>
      <c r="D509" s="16"/>
      <c r="E509" s="16" t="str">
        <f>IFERROR(__xludf.DUMMYFUNCTION("""COMPUTED_VALUE"""),"Unleashes a torrent of diseases and poisons upon your body in an attempt to negate any effects invading your body roll a d20 without any roll bonuses, 1-10 you fail and the 1000 poisons begin to tear your body apart dealing 50,000 poison damage per turn u"&amp;"ntil you die. 11-20 the poisons balance in your body causing you to become temporarily immune to all status effects and possession for 3 turns")</f>
        <v>Unleashes a torrent of diseases and poisons upon your body in an attempt to negate any effects invading your body roll a d20 without any roll bonuses, 1-10 you fail and the 1000 poisons begin to tear your body apart dealing 50,000 poison damage per turn until you die. 11-20 the poisons balance in your body causing you to become temporarily immune to all status effects and possession for 3 turns</v>
      </c>
      <c r="F509" s="16" t="str">
        <f>IFERROR(__xludf.DUMMYFUNCTION("""COMPUTED_VALUE"""),"Will Succeed")</f>
        <v>Will Succeed</v>
      </c>
      <c r="G509" s="16" t="str">
        <f>IFERROR(__xludf.DUMMYFUNCTION("""COMPUTED_VALUE"""),"Self")</f>
        <v>Self</v>
      </c>
      <c r="H509" s="16" t="str">
        <f>IFERROR(__xludf.DUMMYFUNCTION("""COMPUTED_VALUE"""),"Voodoo")</f>
        <v>Voodoo</v>
      </c>
      <c r="I509" s="16" t="str">
        <f>IFERROR(__xludf.DUMMYFUNCTION("""COMPUTED_VALUE"""),"Player")</f>
        <v>Player</v>
      </c>
      <c r="J509" s="16" t="b">
        <f>IFERROR(__xludf.DUMMYFUNCTION("""COMPUTED_VALUE"""),FALSE)</f>
        <v>0</v>
      </c>
      <c r="K509" s="16"/>
      <c r="L509" s="16" t="b">
        <f>IFERROR(__xludf.DUMMYFUNCTION("""COMPUTED_VALUE"""),FALSE)</f>
        <v>0</v>
      </c>
      <c r="M509" s="16" t="b">
        <f>IFERROR(__xludf.DUMMYFUNCTION("""COMPUTED_VALUE"""),FALSE)</f>
        <v>0</v>
      </c>
      <c r="N509" s="16"/>
    </row>
    <row r="510">
      <c r="A510" s="16" t="str">
        <f>IFERROR(__xludf.DUMMYFUNCTION("""COMPUTED_VALUE"""),"Contagion")</f>
        <v>Contagion</v>
      </c>
      <c r="B510" s="120">
        <f>IFERROR(__xludf.DUMMYFUNCTION("""COMPUTED_VALUE"""),5.0)</f>
        <v>5</v>
      </c>
      <c r="C510" s="16">
        <f>IFERROR(__xludf.DUMMYFUNCTION("""COMPUTED_VALUE"""),100.0)</f>
        <v>100</v>
      </c>
      <c r="D510" s="16"/>
      <c r="E510" s="16" t="str">
        <f>IFERROR(__xludf.DUMMYFUNCTION("""COMPUTED_VALUE"""),"Unleashes a Plague onto the Battlefield Infecting all enemies causing them to take Poison 5000 for 3 rounds")</f>
        <v>Unleashes a Plague onto the Battlefield Infecting all enemies causing them to take Poison 5000 for 3 rounds</v>
      </c>
      <c r="F510" s="16" t="str">
        <f>IFERROR(__xludf.DUMMYFUNCTION("""COMPUTED_VALUE"""),"Fail/Succeed")</f>
        <v>Fail/Succeed</v>
      </c>
      <c r="G510" s="16" t="str">
        <f>IFERROR(__xludf.DUMMYFUNCTION("""COMPUTED_VALUE"""),"All")</f>
        <v>All</v>
      </c>
      <c r="H510" s="16" t="str">
        <f>IFERROR(__xludf.DUMMYFUNCTION("""COMPUTED_VALUE"""),"Voodoo")</f>
        <v>Voodoo</v>
      </c>
      <c r="I510" s="16" t="str">
        <f>IFERROR(__xludf.DUMMYFUNCTION("""COMPUTED_VALUE"""),"Player")</f>
        <v>Player</v>
      </c>
      <c r="J510" s="16" t="b">
        <f>IFERROR(__xludf.DUMMYFUNCTION("""COMPUTED_VALUE"""),FALSE)</f>
        <v>0</v>
      </c>
      <c r="K510" s="16"/>
      <c r="L510" s="16" t="b">
        <f>IFERROR(__xludf.DUMMYFUNCTION("""COMPUTED_VALUE"""),FALSE)</f>
        <v>0</v>
      </c>
      <c r="M510" s="16" t="b">
        <f>IFERROR(__xludf.DUMMYFUNCTION("""COMPUTED_VALUE"""),FALSE)</f>
        <v>0</v>
      </c>
      <c r="N510" s="16"/>
    </row>
    <row r="511">
      <c r="A511" s="16" t="str">
        <f>IFERROR(__xludf.DUMMYFUNCTION("""COMPUTED_VALUE"""),"Mutagen")</f>
        <v>Mutagen</v>
      </c>
      <c r="B511" s="120">
        <f>IFERROR(__xludf.DUMMYFUNCTION("""COMPUTED_VALUE"""),6.0)</f>
        <v>6</v>
      </c>
      <c r="C511" s="16">
        <f>IFERROR(__xludf.DUMMYFUNCTION("""COMPUTED_VALUE"""),100.0)</f>
        <v>100</v>
      </c>
      <c r="D511" s="16"/>
      <c r="E511" s="16" t="str">
        <f>IFERROR(__xludf.DUMMYFUNCTION("""COMPUTED_VALUE"""),"Chug a phial of either Red, Blue, or Green liquid. RED: Convert all defense, accuracy, and health (except 500) into attack for 3 turns. BLUE: convert all attack, accuracy, and health (except 500) into defense for 3 turns. GREEN: convert all attack, defens"&amp;"e and health (except 500) into accuracy for 3 turns. roll a d3 to determine which mutagen you drink.")</f>
        <v>Chug a phial of either Red, Blue, or Green liquid. RED: Convert all defense, accuracy, and health (except 500) into attack for 3 turns. BLUE: convert all attack, accuracy, and health (except 500) into defense for 3 turns. GREEN: convert all attack, defense and health (except 500) into accuracy for 3 turns. roll a d3 to determine which mutagen you drink.</v>
      </c>
      <c r="F511" s="16" t="str">
        <f>IFERROR(__xludf.DUMMYFUNCTION("""COMPUTED_VALUE"""),"Will Succeed")</f>
        <v>Will Succeed</v>
      </c>
      <c r="G511" s="16" t="str">
        <f>IFERROR(__xludf.DUMMYFUNCTION("""COMPUTED_VALUE"""),"self")</f>
        <v>self</v>
      </c>
      <c r="H511" s="16" t="str">
        <f>IFERROR(__xludf.DUMMYFUNCTION("""COMPUTED_VALUE"""),"Voodoo")</f>
        <v>Voodoo</v>
      </c>
      <c r="I511" s="16" t="str">
        <f>IFERROR(__xludf.DUMMYFUNCTION("""COMPUTED_VALUE"""),"Player")</f>
        <v>Player</v>
      </c>
      <c r="J511" s="16" t="b">
        <f>IFERROR(__xludf.DUMMYFUNCTION("""COMPUTED_VALUE"""),FALSE)</f>
        <v>0</v>
      </c>
      <c r="K511" s="16"/>
      <c r="L511" s="16" t="b">
        <f>IFERROR(__xludf.DUMMYFUNCTION("""COMPUTED_VALUE"""),FALSE)</f>
        <v>0</v>
      </c>
      <c r="M511" s="16" t="b">
        <f>IFERROR(__xludf.DUMMYFUNCTION("""COMPUTED_VALUE"""),FALSE)</f>
        <v>0</v>
      </c>
      <c r="N511" s="16"/>
    </row>
    <row r="512">
      <c r="A512" s="16" t="str">
        <f>IFERROR(__xludf.DUMMYFUNCTION("""COMPUTED_VALUE"""),"Warcrimes")</f>
        <v>Warcrimes</v>
      </c>
      <c r="B512" s="120">
        <f>IFERROR(__xludf.DUMMYFUNCTION("""COMPUTED_VALUE"""),9.0)</f>
        <v>9</v>
      </c>
      <c r="C512" s="16">
        <f>IFERROR(__xludf.DUMMYFUNCTION("""COMPUTED_VALUE"""),200.0)</f>
        <v>200</v>
      </c>
      <c r="D512" s="16"/>
      <c r="E512" s="16" t="str">
        <f>IFERROR(__xludf.DUMMYFUNCTION("""COMPUTED_VALUE"""),"Toss a grenade into the center of the Battlefield, ally and enemy alike must roll a fail or succeed roll (Unaffected by roll bonuses) On success they are unaffected however of they fail they take 5000 fire damage and poison 5000 for the rest of battle.")</f>
        <v>Toss a grenade into the center of the Battlefield, ally and enemy alike must roll a fail or succeed roll (Unaffected by roll bonuses) On success they are unaffected however of they fail they take 5000 fire damage and poison 5000 for the rest of battle.</v>
      </c>
      <c r="F512" s="16" t="str">
        <f>IFERROR(__xludf.DUMMYFUNCTION("""COMPUTED_VALUE"""),"Will Succeed")</f>
        <v>Will Succeed</v>
      </c>
      <c r="G512" s="16" t="str">
        <f>IFERROR(__xludf.DUMMYFUNCTION("""COMPUTED_VALUE"""),"All")</f>
        <v>All</v>
      </c>
      <c r="H512" s="16" t="str">
        <f>IFERROR(__xludf.DUMMYFUNCTION("""COMPUTED_VALUE"""),"Voodoo")</f>
        <v>Voodoo</v>
      </c>
      <c r="I512" s="16" t="str">
        <f>IFERROR(__xludf.DUMMYFUNCTION("""COMPUTED_VALUE"""),"Player")</f>
        <v>Player</v>
      </c>
      <c r="J512" s="16" t="b">
        <f>IFERROR(__xludf.DUMMYFUNCTION("""COMPUTED_VALUE"""),FALSE)</f>
        <v>0</v>
      </c>
      <c r="K512" s="16"/>
      <c r="L512" s="16" t="b">
        <f>IFERROR(__xludf.DUMMYFUNCTION("""COMPUTED_VALUE"""),FALSE)</f>
        <v>0</v>
      </c>
      <c r="M512" s="16" t="b">
        <f>IFERROR(__xludf.DUMMYFUNCTION("""COMPUTED_VALUE"""),FALSE)</f>
        <v>0</v>
      </c>
      <c r="N512" s="16"/>
    </row>
    <row r="513">
      <c r="A513" s="16" t="str">
        <f>IFERROR(__xludf.DUMMYFUNCTION("""COMPUTED_VALUE"""),"Last Chance")</f>
        <v>Last Chance</v>
      </c>
      <c r="B513" s="120">
        <f>IFERROR(__xludf.DUMMYFUNCTION("""COMPUTED_VALUE"""),5.0)</f>
        <v>5</v>
      </c>
      <c r="C513" s="16">
        <f>IFERROR(__xludf.DUMMYFUNCTION("""COMPUTED_VALUE"""),200.0)</f>
        <v>200</v>
      </c>
      <c r="D513" s="16"/>
      <c r="E513" s="16" t="str">
        <f>IFERROR(__xludf.DUMMYFUNCTION("""COMPUTED_VALUE"""),"1d2 enemies cannot use spells for 3 rounds.")</f>
        <v>1d2 enemies cannot use spells for 3 rounds.</v>
      </c>
      <c r="F513" s="16" t="str">
        <f>IFERROR(__xludf.DUMMYFUNCTION("""COMPUTED_VALUE"""),"Fail or Succeed")</f>
        <v>Fail or Succeed</v>
      </c>
      <c r="G513" s="16" t="str">
        <f>IFERROR(__xludf.DUMMYFUNCTION("""COMPUTED_VALUE"""),"1 or 2")</f>
        <v>1 or 2</v>
      </c>
      <c r="H513" s="16" t="str">
        <f>IFERROR(__xludf.DUMMYFUNCTION("""COMPUTED_VALUE"""),"Voodoo")</f>
        <v>Voodoo</v>
      </c>
      <c r="I513" s="16" t="str">
        <f>IFERROR(__xludf.DUMMYFUNCTION("""COMPUTED_VALUE"""),"Player")</f>
        <v>Player</v>
      </c>
      <c r="J513" s="16" t="b">
        <f>IFERROR(__xludf.DUMMYFUNCTION("""COMPUTED_VALUE"""),FALSE)</f>
        <v>0</v>
      </c>
      <c r="K513" s="16"/>
      <c r="L513" s="16" t="b">
        <f>IFERROR(__xludf.DUMMYFUNCTION("""COMPUTED_VALUE"""),FALSE)</f>
        <v>0</v>
      </c>
      <c r="M513" s="16" t="b">
        <f>IFERROR(__xludf.DUMMYFUNCTION("""COMPUTED_VALUE"""),FALSE)</f>
        <v>0</v>
      </c>
      <c r="N513" s="16"/>
    </row>
    <row r="514">
      <c r="A514" s="16" t="str">
        <f>IFERROR(__xludf.DUMMYFUNCTION("""COMPUTED_VALUE"""),"Voodoo Needle")</f>
        <v>Voodoo Needle</v>
      </c>
      <c r="B514" s="120">
        <f>IFERROR(__xludf.DUMMYFUNCTION("""COMPUTED_VALUE"""),1.0)</f>
        <v>1</v>
      </c>
      <c r="C514" s="16" t="str">
        <f>IFERROR(__xludf.DUMMYFUNCTION("""COMPUTED_VALUE"""),"X")</f>
        <v>X</v>
      </c>
      <c r="D514" s="16"/>
      <c r="E514" s="16" t="str">
        <f>IFERROR(__xludf.DUMMYFUNCTION("""COMPUTED_VALUE"""),"Deals X*100 Voodoo damage to a single enemy where X is equal to SP spent.")</f>
        <v>Deals X*100 Voodoo damage to a single enemy where X is equal to SP spent.</v>
      </c>
      <c r="F514" s="16" t="str">
        <f>IFERROR(__xludf.DUMMYFUNCTION("""COMPUTED_VALUE"""),"Hit/Miss")</f>
        <v>Hit/Miss</v>
      </c>
      <c r="G514" s="16">
        <f>IFERROR(__xludf.DUMMYFUNCTION("""COMPUTED_VALUE"""),1.0)</f>
        <v>1</v>
      </c>
      <c r="H514" s="16" t="str">
        <f>IFERROR(__xludf.DUMMYFUNCTION("""COMPUTED_VALUE"""),"Voodoo")</f>
        <v>Voodoo</v>
      </c>
      <c r="I514" s="16" t="str">
        <f>IFERROR(__xludf.DUMMYFUNCTION("""COMPUTED_VALUE"""),"Player")</f>
        <v>Player</v>
      </c>
      <c r="J514" s="16" t="b">
        <f>IFERROR(__xludf.DUMMYFUNCTION("""COMPUTED_VALUE"""),FALSE)</f>
        <v>0</v>
      </c>
      <c r="K514" s="16"/>
      <c r="L514" s="16" t="b">
        <f>IFERROR(__xludf.DUMMYFUNCTION("""COMPUTED_VALUE"""),FALSE)</f>
        <v>0</v>
      </c>
      <c r="M514" s="16" t="b">
        <f>IFERROR(__xludf.DUMMYFUNCTION("""COMPUTED_VALUE"""),FALSE)</f>
        <v>0</v>
      </c>
      <c r="N514" s="16"/>
    </row>
    <row r="515">
      <c r="A515" s="16" t="str">
        <f>IFERROR(__xludf.DUMMYFUNCTION("""COMPUTED_VALUE"""),"Hex")</f>
        <v>Hex</v>
      </c>
      <c r="B515" s="120">
        <f>IFERROR(__xludf.DUMMYFUNCTION("""COMPUTED_VALUE"""),5.0)</f>
        <v>5</v>
      </c>
      <c r="C515" s="16" t="str">
        <f>IFERROR(__xludf.DUMMYFUNCTION("""COMPUTED_VALUE"""),"X")</f>
        <v>X</v>
      </c>
      <c r="D515" s="16"/>
      <c r="E515" s="16" t="str">
        <f>IFERROR(__xludf.DUMMYFUNCTION("""COMPUTED_VALUE"""),"Deals X*50 Voodoo damage per round for 3 rounds to a single target where X is equal to SP spent.")</f>
        <v>Deals X*50 Voodoo damage per round for 3 rounds to a single target where X is equal to SP spent.</v>
      </c>
      <c r="F515" s="16" t="str">
        <f>IFERROR(__xludf.DUMMYFUNCTION("""COMPUTED_VALUE"""),"Hit/Miss")</f>
        <v>Hit/Miss</v>
      </c>
      <c r="G515" s="16">
        <f>IFERROR(__xludf.DUMMYFUNCTION("""COMPUTED_VALUE"""),1.0)</f>
        <v>1</v>
      </c>
      <c r="H515" s="16" t="str">
        <f>IFERROR(__xludf.DUMMYFUNCTION("""COMPUTED_VALUE"""),"Voodoo")</f>
        <v>Voodoo</v>
      </c>
      <c r="I515" s="16" t="str">
        <f>IFERROR(__xludf.DUMMYFUNCTION("""COMPUTED_VALUE"""),"Player")</f>
        <v>Player</v>
      </c>
      <c r="J515" s="16" t="b">
        <f>IFERROR(__xludf.DUMMYFUNCTION("""COMPUTED_VALUE"""),FALSE)</f>
        <v>0</v>
      </c>
      <c r="K515" s="16"/>
      <c r="L515" s="16" t="b">
        <f>IFERROR(__xludf.DUMMYFUNCTION("""COMPUTED_VALUE"""),FALSE)</f>
        <v>0</v>
      </c>
      <c r="M515" s="16" t="b">
        <f>IFERROR(__xludf.DUMMYFUNCTION("""COMPUTED_VALUE"""),FALSE)</f>
        <v>0</v>
      </c>
      <c r="N515" s="16"/>
    </row>
    <row r="516">
      <c r="A516" s="16" t="str">
        <f>IFERROR(__xludf.DUMMYFUNCTION("""COMPUTED_VALUE"""),"Voodoo Meteor Shower")</f>
        <v>Voodoo Meteor Shower</v>
      </c>
      <c r="B516" s="120">
        <f>IFERROR(__xludf.DUMMYFUNCTION("""COMPUTED_VALUE"""),5.0)</f>
        <v>5</v>
      </c>
      <c r="C516" s="16" t="str">
        <f>IFERROR(__xludf.DUMMYFUNCTION("""COMPUTED_VALUE"""),"X")</f>
        <v>X</v>
      </c>
      <c r="D516" s="16"/>
      <c r="E516" s="16" t="str">
        <f>IFERROR(__xludf.DUMMYFUNCTION("""COMPUTED_VALUE"""),"Deals X*25 Voodoo damage to all enemies where X is equal to SP spent.")</f>
        <v>Deals X*25 Voodoo damage to all enemies where X is equal to SP spent.</v>
      </c>
      <c r="F516" s="16" t="str">
        <f>IFERROR(__xludf.DUMMYFUNCTION("""COMPUTED_VALUE"""),"Cannot Avoid")</f>
        <v>Cannot Avoid</v>
      </c>
      <c r="G516" s="16" t="str">
        <f>IFERROR(__xludf.DUMMYFUNCTION("""COMPUTED_VALUE"""),"All")</f>
        <v>All</v>
      </c>
      <c r="H516" s="16" t="str">
        <f>IFERROR(__xludf.DUMMYFUNCTION("""COMPUTED_VALUE"""),"Voodoo")</f>
        <v>Voodoo</v>
      </c>
      <c r="I516" s="16" t="str">
        <f>IFERROR(__xludf.DUMMYFUNCTION("""COMPUTED_VALUE"""),"Player")</f>
        <v>Player</v>
      </c>
      <c r="J516" s="16" t="b">
        <f>IFERROR(__xludf.DUMMYFUNCTION("""COMPUTED_VALUE"""),FALSE)</f>
        <v>0</v>
      </c>
      <c r="K516" s="16"/>
      <c r="L516" s="16" t="b">
        <f>IFERROR(__xludf.DUMMYFUNCTION("""COMPUTED_VALUE"""),FALSE)</f>
        <v>0</v>
      </c>
      <c r="M516" s="16" t="b">
        <f>IFERROR(__xludf.DUMMYFUNCTION("""COMPUTED_VALUE"""),FALSE)</f>
        <v>0</v>
      </c>
      <c r="N516" s="16"/>
    </row>
    <row r="517">
      <c r="A517" s="16" t="str">
        <f>IFERROR(__xludf.DUMMYFUNCTION("""COMPUTED_VALUE"""),"Mass Hex")</f>
        <v>Mass Hex</v>
      </c>
      <c r="B517" s="120">
        <f>IFERROR(__xludf.DUMMYFUNCTION("""COMPUTED_VALUE"""),6.0)</f>
        <v>6</v>
      </c>
      <c r="C517" s="16" t="str">
        <f>IFERROR(__xludf.DUMMYFUNCTION("""COMPUTED_VALUE"""),"X")</f>
        <v>X</v>
      </c>
      <c r="D517" s="16"/>
      <c r="E517" s="16" t="str">
        <f>IFERROR(__xludf.DUMMYFUNCTION("""COMPUTED_VALUE"""),"Deals X*10 Voodoo damage per round to all enemies for 3 rounds where X is equal to SP spent.")</f>
        <v>Deals X*10 Voodoo damage per round to all enemies for 3 rounds where X is equal to SP spent.</v>
      </c>
      <c r="F517" s="16" t="str">
        <f>IFERROR(__xludf.DUMMYFUNCTION("""COMPUTED_VALUE"""),"Cannot Avoid")</f>
        <v>Cannot Avoid</v>
      </c>
      <c r="G517" s="16" t="str">
        <f>IFERROR(__xludf.DUMMYFUNCTION("""COMPUTED_VALUE"""),"All")</f>
        <v>All</v>
      </c>
      <c r="H517" s="16" t="str">
        <f>IFERROR(__xludf.DUMMYFUNCTION("""COMPUTED_VALUE"""),"Voodoo")</f>
        <v>Voodoo</v>
      </c>
      <c r="I517" s="16" t="str">
        <f>IFERROR(__xludf.DUMMYFUNCTION("""COMPUTED_VALUE"""),"Player")</f>
        <v>Player</v>
      </c>
      <c r="J517" s="16" t="b">
        <f>IFERROR(__xludf.DUMMYFUNCTION("""COMPUTED_VALUE"""),FALSE)</f>
        <v>0</v>
      </c>
      <c r="K517" s="16"/>
      <c r="L517" s="16" t="b">
        <f>IFERROR(__xludf.DUMMYFUNCTION("""COMPUTED_VALUE"""),FALSE)</f>
        <v>0</v>
      </c>
      <c r="M517" s="16" t="b">
        <f>IFERROR(__xludf.DUMMYFUNCTION("""COMPUTED_VALUE"""),FALSE)</f>
        <v>0</v>
      </c>
      <c r="N517" s="16"/>
    </row>
    <row r="518">
      <c r="A518" s="16" t="str">
        <f>IFERROR(__xludf.DUMMYFUNCTION("""COMPUTED_VALUE"""),"Ancient Frost Grand Mages Curse")</f>
        <v>Ancient Frost Grand Mages Curse</v>
      </c>
      <c r="B518" s="120">
        <f>IFERROR(__xludf.DUMMYFUNCTION("""COMPUTED_VALUE"""),1.0)</f>
        <v>1</v>
      </c>
      <c r="C518" s="119">
        <f>IFERROR(__xludf.DUMMYFUNCTION("""COMPUTED_VALUE"""),10000.0)</f>
        <v>10000</v>
      </c>
      <c r="D518" s="16"/>
      <c r="E518" s="16" t="str">
        <f>IFERROR(__xludf.DUMMYFUNCTION("""COMPUTED_VALUE"""),"Puts a freezing curse on the target binding them to the area they are currently in, which they now cannot leave.")</f>
        <v>Puts a freezing curse on the target binding them to the area they are currently in, which they now cannot leave.</v>
      </c>
      <c r="F518" s="16" t="str">
        <f>IFERROR(__xludf.DUMMYFUNCTION("""COMPUTED_VALUE"""),"Fail or Succeed")</f>
        <v>Fail or Succeed</v>
      </c>
      <c r="G518" s="16">
        <f>IFERROR(__xludf.DUMMYFUNCTION("""COMPUTED_VALUE"""),1.0)</f>
        <v>1</v>
      </c>
      <c r="H518" s="16" t="str">
        <f>IFERROR(__xludf.DUMMYFUNCTION("""COMPUTED_VALUE"""),"Water")</f>
        <v>Water</v>
      </c>
      <c r="I518" s="16" t="str">
        <f>IFERROR(__xludf.DUMMYFUNCTION("""COMPUTED_VALUE"""),"Mob")</f>
        <v>Mob</v>
      </c>
      <c r="J518" s="16" t="b">
        <f>IFERROR(__xludf.DUMMYFUNCTION("""COMPUTED_VALUE"""),TRUE)</f>
        <v>1</v>
      </c>
      <c r="K518" s="16"/>
      <c r="L518" s="16" t="b">
        <f>IFERROR(__xludf.DUMMYFUNCTION("""COMPUTED_VALUE"""),TRUE)</f>
        <v>1</v>
      </c>
      <c r="M518" s="16" t="b">
        <f>IFERROR(__xludf.DUMMYFUNCTION("""COMPUTED_VALUE"""),FALSE)</f>
        <v>0</v>
      </c>
      <c r="N518" s="16"/>
    </row>
    <row r="519">
      <c r="A519" s="16" t="str">
        <f>IFERROR(__xludf.DUMMYFUNCTION("""COMPUTED_VALUE"""),"Ancient Frost Troll Call")</f>
        <v>Ancient Frost Troll Call</v>
      </c>
      <c r="B519" s="120">
        <f>IFERROR(__xludf.DUMMYFUNCTION("""COMPUTED_VALUE"""),1.0)</f>
        <v>1</v>
      </c>
      <c r="C519" s="16">
        <f>IFERROR(__xludf.DUMMYFUNCTION("""COMPUTED_VALUE"""),0.0)</f>
        <v>0</v>
      </c>
      <c r="D519" s="16"/>
      <c r="E519" s="16" t="str">
        <f>IFERROR(__xludf.DUMMYFUNCTION("""COMPUTED_VALUE"""),"Calls in 2 other giant frost trolls into battle, has a 50% chance to call in 3 of them.")</f>
        <v>Calls in 2 other giant frost trolls into battle, has a 50% chance to call in 3 of them.</v>
      </c>
      <c r="F519" s="16" t="str">
        <f>IFERROR(__xludf.DUMMYFUNCTION("""COMPUTED_VALUE"""),"Natural/Fail Or Succeed")</f>
        <v>Natural/Fail Or Succeed</v>
      </c>
      <c r="G519" s="16" t="str">
        <f>IFERROR(__xludf.DUMMYFUNCTION("""COMPUTED_VALUE"""),"Self")</f>
        <v>Self</v>
      </c>
      <c r="H519" s="16" t="str">
        <f>IFERROR(__xludf.DUMMYFUNCTION("""COMPUTED_VALUE"""),"Water")</f>
        <v>Water</v>
      </c>
      <c r="I519" s="16" t="str">
        <f>IFERROR(__xludf.DUMMYFUNCTION("""COMPUTED_VALUE"""),"Mob")</f>
        <v>Mob</v>
      </c>
      <c r="J519" s="16" t="b">
        <f>IFERROR(__xludf.DUMMYFUNCTION("""COMPUTED_VALUE"""),TRUE)</f>
        <v>1</v>
      </c>
      <c r="K519" s="16"/>
      <c r="L519" s="16" t="b">
        <f>IFERROR(__xludf.DUMMYFUNCTION("""COMPUTED_VALUE"""),TRUE)</f>
        <v>1</v>
      </c>
      <c r="M519" s="16" t="b">
        <f>IFERROR(__xludf.DUMMYFUNCTION("""COMPUTED_VALUE"""),FALSE)</f>
        <v>0</v>
      </c>
      <c r="N519" s="16"/>
    </row>
    <row r="520">
      <c r="A520" s="16" t="str">
        <f>IFERROR(__xludf.DUMMYFUNCTION("""COMPUTED_VALUE"""),"Ancient Monolith Of Water")</f>
        <v>Ancient Monolith Of Water</v>
      </c>
      <c r="B520" s="120">
        <f>IFERROR(__xludf.DUMMYFUNCTION("""COMPUTED_VALUE"""),9.0)</f>
        <v>9</v>
      </c>
      <c r="C520" s="16">
        <f>IFERROR(__xludf.DUMMYFUNCTION("""COMPUTED_VALUE"""),300.0)</f>
        <v>300</v>
      </c>
      <c r="D520" s="16"/>
      <c r="E520" s="16" t="str">
        <f>IFERROR(__xludf.DUMMYFUNCTION("""COMPUTED_VALUE"""),"X4 additional water damage for caster and allies, + fire immunity to caster only for 3 rounds.")</f>
        <v>X4 additional water damage for caster and allies, + fire immunity to caster only for 3 rounds.</v>
      </c>
      <c r="F520" s="16" t="str">
        <f>IFERROR(__xludf.DUMMYFUNCTION("""COMPUTED_VALUE"""),"Fail/Succeed")</f>
        <v>Fail/Succeed</v>
      </c>
      <c r="G520" s="16"/>
      <c r="H520" s="16" t="str">
        <f>IFERROR(__xludf.DUMMYFUNCTION("""COMPUTED_VALUE"""),"Water")</f>
        <v>Water</v>
      </c>
      <c r="I520" s="16" t="str">
        <f>IFERROR(__xludf.DUMMYFUNCTION("""COMPUTED_VALUE"""),"Player")</f>
        <v>Player</v>
      </c>
      <c r="J520" s="16" t="b">
        <f>IFERROR(__xludf.DUMMYFUNCTION("""COMPUTED_VALUE"""),FALSE)</f>
        <v>0</v>
      </c>
      <c r="K520" s="16"/>
      <c r="L520" s="16" t="b">
        <f>IFERROR(__xludf.DUMMYFUNCTION("""COMPUTED_VALUE"""),TRUE)</f>
        <v>1</v>
      </c>
      <c r="M520" s="16" t="b">
        <f>IFERROR(__xludf.DUMMYFUNCTION("""COMPUTED_VALUE"""),FALSE)</f>
        <v>0</v>
      </c>
      <c r="N520" s="16"/>
    </row>
    <row r="521">
      <c r="A521" s="16" t="str">
        <f>IFERROR(__xludf.DUMMYFUNCTION("""COMPUTED_VALUE"""),"Aquafie")</f>
        <v>Aquafie</v>
      </c>
      <c r="B521" s="120">
        <f>IFERROR(__xludf.DUMMYFUNCTION("""COMPUTED_VALUE"""),4.0)</f>
        <v>4</v>
      </c>
      <c r="C521" s="16" t="str">
        <f>IFERROR(__xludf.DUMMYFUNCTION("""COMPUTED_VALUE"""),"X*3")</f>
        <v>X*3</v>
      </c>
      <c r="D521" s="16"/>
      <c r="E521" s="16" t="str">
        <f>IFERROR(__xludf.DUMMYFUNCTION("""COMPUTED_VALUE"""),"Target gains X*4 Water damage and X*4 Water resistance, can’t be used on self.")</f>
        <v>Target gains X*4 Water damage and X*4 Water resistance, can’t be used on self.</v>
      </c>
      <c r="F521" s="16" t="str">
        <f>IFERROR(__xludf.DUMMYFUNCTION("""COMPUTED_VALUE"""),"Will Succeed")</f>
        <v>Will Succeed</v>
      </c>
      <c r="G521" s="16"/>
      <c r="H521" s="16" t="str">
        <f>IFERROR(__xludf.DUMMYFUNCTION("""COMPUTED_VALUE"""),"Water")</f>
        <v>Water</v>
      </c>
      <c r="I521" s="16" t="str">
        <f>IFERROR(__xludf.DUMMYFUNCTION("""COMPUTED_VALUE"""),"Player")</f>
        <v>Player</v>
      </c>
      <c r="J521" s="16" t="b">
        <f>IFERROR(__xludf.DUMMYFUNCTION("""COMPUTED_VALUE"""),FALSE)</f>
        <v>0</v>
      </c>
      <c r="K521" s="16"/>
      <c r="L521" s="16" t="b">
        <f>IFERROR(__xludf.DUMMYFUNCTION("""COMPUTED_VALUE"""),TRUE)</f>
        <v>1</v>
      </c>
      <c r="M521" s="16" t="b">
        <f>IFERROR(__xludf.DUMMYFUNCTION("""COMPUTED_VALUE"""),FALSE)</f>
        <v>0</v>
      </c>
      <c r="N521" s="16"/>
    </row>
    <row r="522">
      <c r="A522" s="16" t="str">
        <f>IFERROR(__xludf.DUMMYFUNCTION("""COMPUTED_VALUE"""),"Avalanche")</f>
        <v>Avalanche</v>
      </c>
      <c r="B522" s="120">
        <f>IFERROR(__xludf.DUMMYFUNCTION("""COMPUTED_VALUE"""),8.0)</f>
        <v>8</v>
      </c>
      <c r="C522" s="16" t="str">
        <f>IFERROR(__xludf.DUMMYFUNCTION("""COMPUTED_VALUE"""),"X")</f>
        <v>X</v>
      </c>
      <c r="D522" s="16"/>
      <c r="E522" s="16" t="str">
        <f>IFERROR(__xludf.DUMMYFUNCTION("""COMPUTED_VALUE"""),"X*20 water damage to all enemies, Where X is equal to SP spent, 50% instant death")</f>
        <v>X*20 water damage to all enemies, Where X is equal to SP spent, 50% instant death</v>
      </c>
      <c r="F522" s="16" t="str">
        <f>IFERROR(__xludf.DUMMYFUNCTION("""COMPUTED_VALUE"""),"Not Avoidable")</f>
        <v>Not Avoidable</v>
      </c>
      <c r="G522" s="16"/>
      <c r="H522" s="16" t="str">
        <f>IFERROR(__xludf.DUMMYFUNCTION("""COMPUTED_VALUE"""),"Water")</f>
        <v>Water</v>
      </c>
      <c r="I522" s="16" t="str">
        <f>IFERROR(__xludf.DUMMYFUNCTION("""COMPUTED_VALUE"""),"Player")</f>
        <v>Player</v>
      </c>
      <c r="J522" s="16" t="b">
        <f>IFERROR(__xludf.DUMMYFUNCTION("""COMPUTED_VALUE"""),FALSE)</f>
        <v>0</v>
      </c>
      <c r="K522" s="16"/>
      <c r="L522" s="16" t="b">
        <f>IFERROR(__xludf.DUMMYFUNCTION("""COMPUTED_VALUE"""),TRUE)</f>
        <v>1</v>
      </c>
      <c r="M522" s="16" t="b">
        <f>IFERROR(__xludf.DUMMYFUNCTION("""COMPUTED_VALUE"""),FALSE)</f>
        <v>0</v>
      </c>
      <c r="N522" s="16"/>
    </row>
    <row r="523">
      <c r="A523" s="16" t="str">
        <f>IFERROR(__xludf.DUMMYFUNCTION("""COMPUTED_VALUE"""),"Blizzard")</f>
        <v>Blizzard</v>
      </c>
      <c r="B523" s="120">
        <f>IFERROR(__xludf.DUMMYFUNCTION("""COMPUTED_VALUE"""),6.0)</f>
        <v>6</v>
      </c>
      <c r="C523" s="16">
        <f>IFERROR(__xludf.DUMMYFUNCTION("""COMPUTED_VALUE"""),240.0)</f>
        <v>240</v>
      </c>
      <c r="D523" s="16"/>
      <c r="E523" s="16" t="str">
        <f>IFERROR(__xludf.DUMMYFUNCTION("""COMPUTED_VALUE"""),"6000 water damage to all enemies; 50% chance to freeze 1d6 enemies.")</f>
        <v>6000 water damage to all enemies; 50% chance to freeze 1d6 enemies.</v>
      </c>
      <c r="F523" s="16" t="str">
        <f>IFERROR(__xludf.DUMMYFUNCTION("""COMPUTED_VALUE"""),"Cannot Avoid")</f>
        <v>Cannot Avoid</v>
      </c>
      <c r="G523" s="16" t="str">
        <f>IFERROR(__xludf.DUMMYFUNCTION("""COMPUTED_VALUE"""),"1d6")</f>
        <v>1d6</v>
      </c>
      <c r="H523" s="16" t="str">
        <f>IFERROR(__xludf.DUMMYFUNCTION("""COMPUTED_VALUE"""),"Water")</f>
        <v>Water</v>
      </c>
      <c r="I523" s="16" t="str">
        <f>IFERROR(__xludf.DUMMYFUNCTION("""COMPUTED_VALUE"""),"Player")</f>
        <v>Player</v>
      </c>
      <c r="J523" s="16" t="b">
        <f>IFERROR(__xludf.DUMMYFUNCTION("""COMPUTED_VALUE"""),FALSE)</f>
        <v>0</v>
      </c>
      <c r="K523" s="16"/>
      <c r="L523" s="16" t="b">
        <f>IFERROR(__xludf.DUMMYFUNCTION("""COMPUTED_VALUE"""),TRUE)</f>
        <v>1</v>
      </c>
      <c r="M523" s="16" t="b">
        <f>IFERROR(__xludf.DUMMYFUNCTION("""COMPUTED_VALUE"""),FALSE)</f>
        <v>0</v>
      </c>
      <c r="N523" s="16"/>
    </row>
    <row r="524">
      <c r="A524" s="16" t="str">
        <f>IFERROR(__xludf.DUMMYFUNCTION("""COMPUTED_VALUE"""),"Call Of The Abyss")</f>
        <v>Call Of The Abyss</v>
      </c>
      <c r="B524" s="120">
        <f>IFERROR(__xludf.DUMMYFUNCTION("""COMPUTED_VALUE"""),9.0)</f>
        <v>9</v>
      </c>
      <c r="C524" s="119">
        <f>IFERROR(__xludf.DUMMYFUNCTION("""COMPUTED_VALUE"""),1000.0)</f>
        <v>1000</v>
      </c>
      <c r="D524" s="16"/>
      <c r="E524" s="16" t="str">
        <f>IFERROR(__xludf.DUMMYFUNCTION("""COMPUTED_VALUE"""),"Summon a random enemy from the abyss to fight by your side, roll a d11 to determine the summoned creature.")</f>
        <v>Summon a random enemy from the abyss to fight by your side, roll a d11 to determine the summoned creature.</v>
      </c>
      <c r="F524" s="16" t="str">
        <f>IFERROR(__xludf.DUMMYFUNCTION("""COMPUTED_VALUE"""),"Fail/Succeed")</f>
        <v>Fail/Succeed</v>
      </c>
      <c r="G524" s="16" t="str">
        <f>IFERROR(__xludf.DUMMYFUNCTION("""COMPUTED_VALUE"""),"Self")</f>
        <v>Self</v>
      </c>
      <c r="H524" s="16" t="str">
        <f>IFERROR(__xludf.DUMMYFUNCTION("""COMPUTED_VALUE"""),"Water")</f>
        <v>Water</v>
      </c>
      <c r="I524" s="16" t="str">
        <f>IFERROR(__xludf.DUMMYFUNCTION("""COMPUTED_VALUE"""),"Mob")</f>
        <v>Mob</v>
      </c>
      <c r="J524" s="16" t="b">
        <f>IFERROR(__xludf.DUMMYFUNCTION("""COMPUTED_VALUE"""),TRUE)</f>
        <v>1</v>
      </c>
      <c r="K524" s="16"/>
      <c r="L524" s="16" t="b">
        <f>IFERROR(__xludf.DUMMYFUNCTION("""COMPUTED_VALUE"""),TRUE)</f>
        <v>1</v>
      </c>
      <c r="M524" s="16" t="b">
        <f>IFERROR(__xludf.DUMMYFUNCTION("""COMPUTED_VALUE"""),FALSE)</f>
        <v>0</v>
      </c>
      <c r="N524" s="16"/>
    </row>
    <row r="525">
      <c r="A525" s="16" t="str">
        <f>IFERROR(__xludf.DUMMYFUNCTION("""COMPUTED_VALUE"""),"Crashing Waves")</f>
        <v>Crashing Waves</v>
      </c>
      <c r="B525" s="120">
        <f>IFERROR(__xludf.DUMMYFUNCTION("""COMPUTED_VALUE"""),9.0)</f>
        <v>9</v>
      </c>
      <c r="C525" s="16">
        <f>IFERROR(__xludf.DUMMYFUNCTION("""COMPUTED_VALUE"""),800.0)</f>
        <v>800</v>
      </c>
      <c r="D525" s="16"/>
      <c r="E525" s="16" t="str">
        <f>IFERROR(__xludf.DUMMYFUNCTION("""COMPUTED_VALUE"""),"20,000 water damage to all enemies +75% chance of instant death.")</f>
        <v>20,000 water damage to all enemies +75% chance of instant death.</v>
      </c>
      <c r="F525" s="16" t="str">
        <f>IFERROR(__xludf.DUMMYFUNCTION("""COMPUTED_VALUE"""),"Not Avoidable")</f>
        <v>Not Avoidable</v>
      </c>
      <c r="G525" s="16"/>
      <c r="H525" s="16" t="str">
        <f>IFERROR(__xludf.DUMMYFUNCTION("""COMPUTED_VALUE"""),"Water")</f>
        <v>Water</v>
      </c>
      <c r="I525" s="16" t="str">
        <f>IFERROR(__xludf.DUMMYFUNCTION("""COMPUTED_VALUE"""),"Player")</f>
        <v>Player</v>
      </c>
      <c r="J525" s="16" t="b">
        <f>IFERROR(__xludf.DUMMYFUNCTION("""COMPUTED_VALUE"""),FALSE)</f>
        <v>0</v>
      </c>
      <c r="K525" s="16"/>
      <c r="L525" s="16" t="b">
        <f>IFERROR(__xludf.DUMMYFUNCTION("""COMPUTED_VALUE"""),TRUE)</f>
        <v>1</v>
      </c>
      <c r="M525" s="16" t="b">
        <f>IFERROR(__xludf.DUMMYFUNCTION("""COMPUTED_VALUE"""),FALSE)</f>
        <v>0</v>
      </c>
      <c r="N525" s="16"/>
    </row>
    <row r="526">
      <c r="A526" s="16" t="str">
        <f>IFERROR(__xludf.DUMMYFUNCTION("""COMPUTED_VALUE"""),"Crashing Waves (Enhanced)")</f>
        <v>Crashing Waves (Enhanced)</v>
      </c>
      <c r="B526" s="120">
        <f>IFERROR(__xludf.DUMMYFUNCTION("""COMPUTED_VALUE"""),9.0)</f>
        <v>9</v>
      </c>
      <c r="C526" s="119">
        <f>IFERROR(__xludf.DUMMYFUNCTION("""COMPUTED_VALUE"""),5000.0)</f>
        <v>5000</v>
      </c>
      <c r="D526" s="16"/>
      <c r="E526" s="16" t="str">
        <f>IFERROR(__xludf.DUMMYFUNCTION("""COMPUTED_VALUE"""),"20,000 water damage to all enemies +80% chance of instant death.")</f>
        <v>20,000 water damage to all enemies +80% chance of instant death.</v>
      </c>
      <c r="F526" s="16" t="str">
        <f>IFERROR(__xludf.DUMMYFUNCTION("""COMPUTED_VALUE"""),"Cannot Avoid")</f>
        <v>Cannot Avoid</v>
      </c>
      <c r="G526" s="16" t="str">
        <f>IFERROR(__xludf.DUMMYFUNCTION("""COMPUTED_VALUE"""),"All")</f>
        <v>All</v>
      </c>
      <c r="H526" s="16" t="str">
        <f>IFERROR(__xludf.DUMMYFUNCTION("""COMPUTED_VALUE"""),"Water")</f>
        <v>Water</v>
      </c>
      <c r="I526" s="16" t="str">
        <f>IFERROR(__xludf.DUMMYFUNCTION("""COMPUTED_VALUE"""),"Mob")</f>
        <v>Mob</v>
      </c>
      <c r="J526" s="16" t="b">
        <f>IFERROR(__xludf.DUMMYFUNCTION("""COMPUTED_VALUE"""),TRUE)</f>
        <v>1</v>
      </c>
      <c r="K526" s="16"/>
      <c r="L526" s="16" t="b">
        <f>IFERROR(__xludf.DUMMYFUNCTION("""COMPUTED_VALUE"""),TRUE)</f>
        <v>1</v>
      </c>
      <c r="M526" s="16" t="b">
        <f>IFERROR(__xludf.DUMMYFUNCTION("""COMPUTED_VALUE"""),FALSE)</f>
        <v>0</v>
      </c>
      <c r="N526" s="16"/>
    </row>
    <row r="527">
      <c r="A527" s="16" t="str">
        <f>IFERROR(__xludf.DUMMYFUNCTION("""COMPUTED_VALUE"""),"Frost Barrier")</f>
        <v>Frost Barrier</v>
      </c>
      <c r="B527" s="120">
        <f>IFERROR(__xludf.DUMMYFUNCTION("""COMPUTED_VALUE"""),9.0)</f>
        <v>9</v>
      </c>
      <c r="C527" s="16">
        <f>IFERROR(__xludf.DUMMYFUNCTION("""COMPUTED_VALUE"""),2000.0)</f>
        <v>2000</v>
      </c>
      <c r="D527" s="16"/>
      <c r="E527" s="16" t="str">
        <f>IFERROR(__xludf.DUMMYFUNCTION("""COMPUTED_VALUE"""),"Self and allies are immune to storm, water and nature for 3/r")</f>
        <v>Self and allies are immune to storm, water and nature for 3/r</v>
      </c>
      <c r="F527" s="16" t="str">
        <f>IFERROR(__xludf.DUMMYFUNCTION("""COMPUTED_VALUE"""),"Fail/Succeed")</f>
        <v>Fail/Succeed</v>
      </c>
      <c r="G527" s="16" t="str">
        <f>IFERROR(__xludf.DUMMYFUNCTION("""COMPUTED_VALUE"""),"Self")</f>
        <v>Self</v>
      </c>
      <c r="H527" s="16" t="str">
        <f>IFERROR(__xludf.DUMMYFUNCTION("""COMPUTED_VALUE"""),"Water")</f>
        <v>Water</v>
      </c>
      <c r="I527" s="16" t="str">
        <f>IFERROR(__xludf.DUMMYFUNCTION("""COMPUTED_VALUE"""),"Mob")</f>
        <v>Mob</v>
      </c>
      <c r="J527" s="16" t="b">
        <f>IFERROR(__xludf.DUMMYFUNCTION("""COMPUTED_VALUE"""),TRUE)</f>
        <v>1</v>
      </c>
      <c r="K527" s="16"/>
      <c r="L527" s="16" t="b">
        <f>IFERROR(__xludf.DUMMYFUNCTION("""COMPUTED_VALUE"""),TRUE)</f>
        <v>1</v>
      </c>
      <c r="M527" s="16" t="b">
        <f>IFERROR(__xludf.DUMMYFUNCTION("""COMPUTED_VALUE"""),FALSE)</f>
        <v>0</v>
      </c>
      <c r="N527" s="16"/>
    </row>
    <row r="528">
      <c r="A528" s="16" t="str">
        <f>IFERROR(__xludf.DUMMYFUNCTION("""COMPUTED_VALUE"""),"Frost Boost")</f>
        <v>Frost Boost</v>
      </c>
      <c r="B528" s="120">
        <f>IFERROR(__xludf.DUMMYFUNCTION("""COMPUTED_VALUE"""),9.0)</f>
        <v>9</v>
      </c>
      <c r="C528" s="16">
        <f>IFERROR(__xludf.DUMMYFUNCTION("""COMPUTED_VALUE"""),5000.0)</f>
        <v>5000</v>
      </c>
      <c r="D528" s="16"/>
      <c r="E528" s="16" t="str">
        <f>IFERROR(__xludf.DUMMYFUNCTION("""COMPUTED_VALUE"""),"X2 damage to water spells, 100% chance to all freezing effects for caster only.")</f>
        <v>X2 damage to water spells, 100% chance to all freezing effects for caster only.</v>
      </c>
      <c r="F528" s="16" t="str">
        <f>IFERROR(__xludf.DUMMYFUNCTION("""COMPUTED_VALUE"""),"Fail/Succeed")</f>
        <v>Fail/Succeed</v>
      </c>
      <c r="G528" s="16" t="str">
        <f>IFERROR(__xludf.DUMMYFUNCTION("""COMPUTED_VALUE"""),"Self")</f>
        <v>Self</v>
      </c>
      <c r="H528" s="16" t="str">
        <f>IFERROR(__xludf.DUMMYFUNCTION("""COMPUTED_VALUE"""),"Water")</f>
        <v>Water</v>
      </c>
      <c r="I528" s="16" t="str">
        <f>IFERROR(__xludf.DUMMYFUNCTION("""COMPUTED_VALUE"""),"Mob")</f>
        <v>Mob</v>
      </c>
      <c r="J528" s="16" t="b">
        <f>IFERROR(__xludf.DUMMYFUNCTION("""COMPUTED_VALUE"""),TRUE)</f>
        <v>1</v>
      </c>
      <c r="K528" s="16"/>
      <c r="L528" s="16" t="b">
        <f>IFERROR(__xludf.DUMMYFUNCTION("""COMPUTED_VALUE"""),TRUE)</f>
        <v>1</v>
      </c>
      <c r="M528" s="16" t="b">
        <f>IFERROR(__xludf.DUMMYFUNCTION("""COMPUTED_VALUE"""),FALSE)</f>
        <v>0</v>
      </c>
      <c r="N528" s="16"/>
    </row>
    <row r="529">
      <c r="A529" s="16" t="str">
        <f>IFERROR(__xludf.DUMMYFUNCTION("""COMPUTED_VALUE"""),"Frost Cloak")</f>
        <v>Frost Cloak</v>
      </c>
      <c r="B529" s="120">
        <f>IFERROR(__xludf.DUMMYFUNCTION("""COMPUTED_VALUE"""),9.0)</f>
        <v>9</v>
      </c>
      <c r="C529" s="16">
        <f>IFERROR(__xludf.DUMMYFUNCTION("""COMPUTED_VALUE"""),1000.0)</f>
        <v>1000</v>
      </c>
      <c r="D529" s="16"/>
      <c r="E529" s="16" t="str">
        <f>IFERROR(__xludf.DUMMYFUNCTION("""COMPUTED_VALUE"""),"When caster is hit, Enemy is frozen for 3 rounds. Casters cloak lasts for 3 rounds")</f>
        <v>When caster is hit, Enemy is frozen for 3 rounds. Casters cloak lasts for 3 rounds</v>
      </c>
      <c r="F529" s="16" t="str">
        <f>IFERROR(__xludf.DUMMYFUNCTION("""COMPUTED_VALUE"""),"Fail/Succeed")</f>
        <v>Fail/Succeed</v>
      </c>
      <c r="G529" s="16" t="str">
        <f>IFERROR(__xludf.DUMMYFUNCTION("""COMPUTED_VALUE"""),"Self")</f>
        <v>Self</v>
      </c>
      <c r="H529" s="16" t="str">
        <f>IFERROR(__xludf.DUMMYFUNCTION("""COMPUTED_VALUE"""),"Water")</f>
        <v>Water</v>
      </c>
      <c r="I529" s="16" t="str">
        <f>IFERROR(__xludf.DUMMYFUNCTION("""COMPUTED_VALUE"""),"Mob")</f>
        <v>Mob</v>
      </c>
      <c r="J529" s="16" t="b">
        <f>IFERROR(__xludf.DUMMYFUNCTION("""COMPUTED_VALUE"""),TRUE)</f>
        <v>1</v>
      </c>
      <c r="K529" s="16"/>
      <c r="L529" s="16" t="b">
        <f>IFERROR(__xludf.DUMMYFUNCTION("""COMPUTED_VALUE"""),TRUE)</f>
        <v>1</v>
      </c>
      <c r="M529" s="16" t="b">
        <f>IFERROR(__xludf.DUMMYFUNCTION("""COMPUTED_VALUE"""),FALSE)</f>
        <v>0</v>
      </c>
      <c r="N529" s="16"/>
    </row>
    <row r="530">
      <c r="A530" s="16" t="str">
        <f>IFERROR(__xludf.DUMMYFUNCTION("""COMPUTED_VALUE"""),"Frost Golem’s Call")</f>
        <v>Frost Golem’s Call</v>
      </c>
      <c r="B530" s="120">
        <f>IFERROR(__xludf.DUMMYFUNCTION("""COMPUTED_VALUE"""),1.0)</f>
        <v>1</v>
      </c>
      <c r="C530" s="16">
        <f>IFERROR(__xludf.DUMMYFUNCTION("""COMPUTED_VALUE"""),0.0)</f>
        <v>0</v>
      </c>
      <c r="D530" s="16"/>
      <c r="E530" s="16" t="str">
        <f>IFERROR(__xludf.DUMMYFUNCTION("""COMPUTED_VALUE"""),"Calls in 1 Frost Golem to battle, 60% chance to call in 3 of them")</f>
        <v>Calls in 1 Frost Golem to battle, 60% chance to call in 3 of them</v>
      </c>
      <c r="F530" s="16" t="str">
        <f>IFERROR(__xludf.DUMMYFUNCTION("""COMPUTED_VALUE"""),"Natural/Fail Or Succeed")</f>
        <v>Natural/Fail Or Succeed</v>
      </c>
      <c r="G530" s="16" t="str">
        <f>IFERROR(__xludf.DUMMYFUNCTION("""COMPUTED_VALUE"""),"Self")</f>
        <v>Self</v>
      </c>
      <c r="H530" s="16" t="str">
        <f>IFERROR(__xludf.DUMMYFUNCTION("""COMPUTED_VALUE"""),"Water")</f>
        <v>Water</v>
      </c>
      <c r="I530" s="16" t="str">
        <f>IFERROR(__xludf.DUMMYFUNCTION("""COMPUTED_VALUE"""),"Mob")</f>
        <v>Mob</v>
      </c>
      <c r="J530" s="16" t="b">
        <f>IFERROR(__xludf.DUMMYFUNCTION("""COMPUTED_VALUE"""),TRUE)</f>
        <v>1</v>
      </c>
      <c r="K530" s="16"/>
      <c r="L530" s="16" t="b">
        <f>IFERROR(__xludf.DUMMYFUNCTION("""COMPUTED_VALUE"""),TRUE)</f>
        <v>1</v>
      </c>
      <c r="M530" s="16" t="b">
        <f>IFERROR(__xludf.DUMMYFUNCTION("""COMPUTED_VALUE"""),FALSE)</f>
        <v>0</v>
      </c>
      <c r="N530" s="16"/>
    </row>
    <row r="531">
      <c r="A531" s="16" t="str">
        <f>IFERROR(__xludf.DUMMYFUNCTION("""COMPUTED_VALUE"""),"Geyser")</f>
        <v>Geyser</v>
      </c>
      <c r="B531" s="120">
        <f>IFERROR(__xludf.DUMMYFUNCTION("""COMPUTED_VALUE"""),3.0)</f>
        <v>3</v>
      </c>
      <c r="C531" s="16">
        <f>IFERROR(__xludf.DUMMYFUNCTION("""COMPUTED_VALUE"""),30.0)</f>
        <v>30</v>
      </c>
      <c r="D531" s="16"/>
      <c r="E531" s="16" t="str">
        <f>IFERROR(__xludf.DUMMYFUNCTION("""COMPUTED_VALUE"""),"3000 Damage to a single target, 50% chance they lose their next turn.")</f>
        <v>3000 Damage to a single target, 50% chance they lose their next turn.</v>
      </c>
      <c r="F531" s="16" t="str">
        <f>IFERROR(__xludf.DUMMYFUNCTION("""COMPUTED_VALUE"""),"Fail/Succeed")</f>
        <v>Fail/Succeed</v>
      </c>
      <c r="G531" s="16"/>
      <c r="H531" s="16" t="str">
        <f>IFERROR(__xludf.DUMMYFUNCTION("""COMPUTED_VALUE"""),"Water")</f>
        <v>Water</v>
      </c>
      <c r="I531" s="16" t="str">
        <f>IFERROR(__xludf.DUMMYFUNCTION("""COMPUTED_VALUE"""),"Player")</f>
        <v>Player</v>
      </c>
      <c r="J531" s="16" t="b">
        <f>IFERROR(__xludf.DUMMYFUNCTION("""COMPUTED_VALUE"""),FALSE)</f>
        <v>0</v>
      </c>
      <c r="K531" s="16"/>
      <c r="L531" s="16" t="b">
        <f>IFERROR(__xludf.DUMMYFUNCTION("""COMPUTED_VALUE"""),TRUE)</f>
        <v>1</v>
      </c>
      <c r="M531" s="16" t="b">
        <f>IFERROR(__xludf.DUMMYFUNCTION("""COMPUTED_VALUE"""),FALSE)</f>
        <v>0</v>
      </c>
      <c r="N531" s="16"/>
    </row>
    <row r="532">
      <c r="A532" s="16" t="str">
        <f>IFERROR(__xludf.DUMMYFUNCTION("""COMPUTED_VALUE"""),"Geyser (Enhanced)")</f>
        <v>Geyser (Enhanced)</v>
      </c>
      <c r="B532" s="120">
        <f>IFERROR(__xludf.DUMMYFUNCTION("""COMPUTED_VALUE"""),9.0)</f>
        <v>9</v>
      </c>
      <c r="C532" s="119">
        <f>IFERROR(__xludf.DUMMYFUNCTION("""COMPUTED_VALUE"""),1000.0)</f>
        <v>1000</v>
      </c>
      <c r="D532" s="16"/>
      <c r="E532" s="16" t="str">
        <f>IFERROR(__xludf.DUMMYFUNCTION("""COMPUTED_VALUE"""),"20,000 water Damage to all targets, 75% chance they lose their next turn")</f>
        <v>20,000 water Damage to all targets, 75% chance they lose their next turn</v>
      </c>
      <c r="F532" s="16" t="str">
        <f>IFERROR(__xludf.DUMMYFUNCTION("""COMPUTED_VALUE"""),"Fail/Succeed")</f>
        <v>Fail/Succeed</v>
      </c>
      <c r="G532" s="16" t="str">
        <f>IFERROR(__xludf.DUMMYFUNCTION("""COMPUTED_VALUE"""),"All")</f>
        <v>All</v>
      </c>
      <c r="H532" s="16" t="str">
        <f>IFERROR(__xludf.DUMMYFUNCTION("""COMPUTED_VALUE"""),"Water")</f>
        <v>Water</v>
      </c>
      <c r="I532" s="16" t="str">
        <f>IFERROR(__xludf.DUMMYFUNCTION("""COMPUTED_VALUE"""),"Mob")</f>
        <v>Mob</v>
      </c>
      <c r="J532" s="16" t="b">
        <f>IFERROR(__xludf.DUMMYFUNCTION("""COMPUTED_VALUE"""),TRUE)</f>
        <v>1</v>
      </c>
      <c r="K532" s="16"/>
      <c r="L532" s="16" t="b">
        <f>IFERROR(__xludf.DUMMYFUNCTION("""COMPUTED_VALUE"""),TRUE)</f>
        <v>1</v>
      </c>
      <c r="M532" s="16" t="b">
        <f>IFERROR(__xludf.DUMMYFUNCTION("""COMPUTED_VALUE"""),FALSE)</f>
        <v>0</v>
      </c>
      <c r="N532" s="16"/>
    </row>
    <row r="533">
      <c r="A533" s="16" t="str">
        <f>IFERROR(__xludf.DUMMYFUNCTION("""COMPUTED_VALUE"""),"Hyper Whirlpool")</f>
        <v>Hyper Whirlpool</v>
      </c>
      <c r="B533" s="120">
        <f>IFERROR(__xludf.DUMMYFUNCTION("""COMPUTED_VALUE"""),9.0)</f>
        <v>9</v>
      </c>
      <c r="C533" s="119">
        <f>IFERROR(__xludf.DUMMYFUNCTION("""COMPUTED_VALUE"""),1000.0)</f>
        <v>1000</v>
      </c>
      <c r="D533" s="16"/>
      <c r="E533" s="16" t="str">
        <f>IFERROR(__xludf.DUMMYFUNCTION("""COMPUTED_VALUE"""),"20,000 water damage to all enemies, 75% chance to send the targets back to the first room of the floor in a dungeon.")</f>
        <v>20,000 water damage to all enemies, 75% chance to send the targets back to the first room of the floor in a dungeon.</v>
      </c>
      <c r="F533" s="16" t="str">
        <f>IFERROR(__xludf.DUMMYFUNCTION("""COMPUTED_VALUE"""),"Cannot Avoid")</f>
        <v>Cannot Avoid</v>
      </c>
      <c r="G533" s="16" t="str">
        <f>IFERROR(__xludf.DUMMYFUNCTION("""COMPUTED_VALUE"""),"All")</f>
        <v>All</v>
      </c>
      <c r="H533" s="16" t="str">
        <f>IFERROR(__xludf.DUMMYFUNCTION("""COMPUTED_VALUE"""),"Water")</f>
        <v>Water</v>
      </c>
      <c r="I533" s="16" t="str">
        <f>IFERROR(__xludf.DUMMYFUNCTION("""COMPUTED_VALUE"""),"Mob")</f>
        <v>Mob</v>
      </c>
      <c r="J533" s="16" t="b">
        <f>IFERROR(__xludf.DUMMYFUNCTION("""COMPUTED_VALUE"""),TRUE)</f>
        <v>1</v>
      </c>
      <c r="K533" s="16"/>
      <c r="L533" s="16" t="b">
        <f>IFERROR(__xludf.DUMMYFUNCTION("""COMPUTED_VALUE"""),TRUE)</f>
        <v>1</v>
      </c>
      <c r="M533" s="16" t="b">
        <f>IFERROR(__xludf.DUMMYFUNCTION("""COMPUTED_VALUE"""),FALSE)</f>
        <v>0</v>
      </c>
      <c r="N533" s="16"/>
    </row>
    <row r="534">
      <c r="A534" s="16" t="str">
        <f>IFERROR(__xludf.DUMMYFUNCTION("""COMPUTED_VALUE"""),"Ice Ball")</f>
        <v>Ice Ball</v>
      </c>
      <c r="B534" s="120">
        <f>IFERROR(__xludf.DUMMYFUNCTION("""COMPUTED_VALUE"""),1.0)</f>
        <v>1</v>
      </c>
      <c r="C534" s="16">
        <f>IFERROR(__xludf.DUMMYFUNCTION("""COMPUTED_VALUE"""),10.0)</f>
        <v>10</v>
      </c>
      <c r="D534" s="16"/>
      <c r="E534" s="16" t="str">
        <f>IFERROR(__xludf.DUMMYFUNCTION("""COMPUTED_VALUE"""),"1000 water damage, 20% chance to freeze target.")</f>
        <v>1000 water damage, 20% chance to freeze target.</v>
      </c>
      <c r="F534" s="16" t="str">
        <f>IFERROR(__xludf.DUMMYFUNCTION("""COMPUTED_VALUE"""),"Hit/Miss")</f>
        <v>Hit/Miss</v>
      </c>
      <c r="G534" s="16">
        <f>IFERROR(__xludf.DUMMYFUNCTION("""COMPUTED_VALUE"""),1.0)</f>
        <v>1</v>
      </c>
      <c r="H534" s="16" t="str">
        <f>IFERROR(__xludf.DUMMYFUNCTION("""COMPUTED_VALUE"""),"Water")</f>
        <v>Water</v>
      </c>
      <c r="I534" s="16" t="str">
        <f>IFERROR(__xludf.DUMMYFUNCTION("""COMPUTED_VALUE"""),"Player")</f>
        <v>Player</v>
      </c>
      <c r="J534" s="16" t="b">
        <f>IFERROR(__xludf.DUMMYFUNCTION("""COMPUTED_VALUE"""),FALSE)</f>
        <v>0</v>
      </c>
      <c r="K534" s="16"/>
      <c r="L534" s="16" t="b">
        <f>IFERROR(__xludf.DUMMYFUNCTION("""COMPUTED_VALUE"""),TRUE)</f>
        <v>1</v>
      </c>
      <c r="M534" s="16" t="b">
        <f>IFERROR(__xludf.DUMMYFUNCTION("""COMPUTED_VALUE"""),FALSE)</f>
        <v>0</v>
      </c>
      <c r="N534" s="16"/>
    </row>
    <row r="535">
      <c r="A535" s="16" t="str">
        <f>IFERROR(__xludf.DUMMYFUNCTION("""COMPUTED_VALUE"""),"Ice Horns")</f>
        <v>Ice Horns</v>
      </c>
      <c r="B535" s="120">
        <f>IFERROR(__xludf.DUMMYFUNCTION("""COMPUTED_VALUE"""),1.0)</f>
        <v>1</v>
      </c>
      <c r="C535" s="119">
        <f>IFERROR(__xludf.DUMMYFUNCTION("""COMPUTED_VALUE"""),0.0)</f>
        <v>0</v>
      </c>
      <c r="D535" s="16"/>
      <c r="E535" s="16" t="str">
        <f>IFERROR(__xludf.DUMMYFUNCTION("""COMPUTED_VALUE"""),"5000 damage, +5000 water damage to 2 targets. 50% chance to freeze both targets.")</f>
        <v>5000 damage, +5000 water damage to 2 targets. 50% chance to freeze both targets.</v>
      </c>
      <c r="F535" s="16" t="str">
        <f>IFERROR(__xludf.DUMMYFUNCTION("""COMPUTED_VALUE"""),"Natural/Hit or Miss")</f>
        <v>Natural/Hit or Miss</v>
      </c>
      <c r="G535" s="16">
        <f>IFERROR(__xludf.DUMMYFUNCTION("""COMPUTED_VALUE"""),2.0)</f>
        <v>2</v>
      </c>
      <c r="H535" s="16" t="str">
        <f>IFERROR(__xludf.DUMMYFUNCTION("""COMPUTED_VALUE"""),"Water")</f>
        <v>Water</v>
      </c>
      <c r="I535" s="16" t="str">
        <f>IFERROR(__xludf.DUMMYFUNCTION("""COMPUTED_VALUE"""),"Mob")</f>
        <v>Mob</v>
      </c>
      <c r="J535" s="16" t="b">
        <f>IFERROR(__xludf.DUMMYFUNCTION("""COMPUTED_VALUE"""),TRUE)</f>
        <v>1</v>
      </c>
      <c r="K535" s="16"/>
      <c r="L535" s="16" t="b">
        <f>IFERROR(__xludf.DUMMYFUNCTION("""COMPUTED_VALUE"""),TRUE)</f>
        <v>1</v>
      </c>
      <c r="M535" s="16" t="b">
        <f>IFERROR(__xludf.DUMMYFUNCTION("""COMPUTED_VALUE"""),FALSE)</f>
        <v>0</v>
      </c>
      <c r="N535" s="16"/>
    </row>
    <row r="536">
      <c r="A536" s="16" t="str">
        <f>IFERROR(__xludf.DUMMYFUNCTION("""COMPUTED_VALUE"""),"Icicle Spear")</f>
        <v>Icicle Spear</v>
      </c>
      <c r="B536" s="120">
        <f>IFERROR(__xludf.DUMMYFUNCTION("""COMPUTED_VALUE"""),4.0)</f>
        <v>4</v>
      </c>
      <c r="C536" s="16">
        <f>IFERROR(__xludf.DUMMYFUNCTION("""COMPUTED_VALUE"""),40.0)</f>
        <v>40</v>
      </c>
      <c r="D536" s="16"/>
      <c r="E536" s="16" t="str">
        <f>IFERROR(__xludf.DUMMYFUNCTION("""COMPUTED_VALUE"""),"4000 water damage, 50% chance to freeze target.")</f>
        <v>4000 water damage, 50% chance to freeze target.</v>
      </c>
      <c r="F536" s="16" t="str">
        <f>IFERROR(__xludf.DUMMYFUNCTION("""COMPUTED_VALUE"""),"Hit/Miss")</f>
        <v>Hit/Miss</v>
      </c>
      <c r="G536" s="16">
        <f>IFERROR(__xludf.DUMMYFUNCTION("""COMPUTED_VALUE"""),1.0)</f>
        <v>1</v>
      </c>
      <c r="H536" s="16" t="str">
        <f>IFERROR(__xludf.DUMMYFUNCTION("""COMPUTED_VALUE"""),"Water")</f>
        <v>Water</v>
      </c>
      <c r="I536" s="16" t="str">
        <f>IFERROR(__xludf.DUMMYFUNCTION("""COMPUTED_VALUE"""),"Player")</f>
        <v>Player</v>
      </c>
      <c r="J536" s="16" t="b">
        <f>IFERROR(__xludf.DUMMYFUNCTION("""COMPUTED_VALUE"""),FALSE)</f>
        <v>0</v>
      </c>
      <c r="K536" s="16"/>
      <c r="L536" s="16" t="b">
        <f>IFERROR(__xludf.DUMMYFUNCTION("""COMPUTED_VALUE"""),TRUE)</f>
        <v>1</v>
      </c>
      <c r="M536" s="16" t="b">
        <f>IFERROR(__xludf.DUMMYFUNCTION("""COMPUTED_VALUE"""),FALSE)</f>
        <v>0</v>
      </c>
      <c r="N536" s="16"/>
    </row>
    <row r="537">
      <c r="A537" s="16" t="str">
        <f>IFERROR(__xludf.DUMMYFUNCTION("""COMPUTED_VALUE"""),"Quench")</f>
        <v>Quench</v>
      </c>
      <c r="B537" s="120">
        <f>IFERROR(__xludf.DUMMYFUNCTION("""COMPUTED_VALUE"""),2.0)</f>
        <v>2</v>
      </c>
      <c r="C537" s="16">
        <f>IFERROR(__xludf.DUMMYFUNCTION("""COMPUTED_VALUE"""),20.0)</f>
        <v>20</v>
      </c>
      <c r="D537" s="16"/>
      <c r="E537" s="16" t="str">
        <f>IFERROR(__xludf.DUMMYFUNCTION("""COMPUTED_VALUE"""),"Negate the next incoming fire spell.")</f>
        <v>Negate the next incoming fire spell.</v>
      </c>
      <c r="F537" s="16" t="str">
        <f>IFERROR(__xludf.DUMMYFUNCTION("""COMPUTED_VALUE"""),"Fail/Succeed")</f>
        <v>Fail/Succeed</v>
      </c>
      <c r="G537" s="16"/>
      <c r="H537" s="16" t="str">
        <f>IFERROR(__xludf.DUMMYFUNCTION("""COMPUTED_VALUE"""),"Water")</f>
        <v>Water</v>
      </c>
      <c r="I537" s="16" t="str">
        <f>IFERROR(__xludf.DUMMYFUNCTION("""COMPUTED_VALUE"""),"Player")</f>
        <v>Player</v>
      </c>
      <c r="J537" s="16" t="b">
        <f>IFERROR(__xludf.DUMMYFUNCTION("""COMPUTED_VALUE"""),FALSE)</f>
        <v>0</v>
      </c>
      <c r="K537" s="16"/>
      <c r="L537" s="16" t="b">
        <f>IFERROR(__xludf.DUMMYFUNCTION("""COMPUTED_VALUE"""),TRUE)</f>
        <v>1</v>
      </c>
      <c r="M537" s="16" t="b">
        <f>IFERROR(__xludf.DUMMYFUNCTION("""COMPUTED_VALUE"""),FALSE)</f>
        <v>0</v>
      </c>
      <c r="N537" s="16"/>
    </row>
    <row r="538">
      <c r="A538" s="16" t="str">
        <f>IFERROR(__xludf.DUMMYFUNCTION("""COMPUTED_VALUE"""),"Rain Storm")</f>
        <v>Rain Storm</v>
      </c>
      <c r="B538" s="120">
        <f>IFERROR(__xludf.DUMMYFUNCTION("""COMPUTED_VALUE"""),9.0)</f>
        <v>9</v>
      </c>
      <c r="C538" s="119">
        <f>IFERROR(__xludf.DUMMYFUNCTION("""COMPUTED_VALUE"""),300.0)</f>
        <v>300</v>
      </c>
      <c r="D538" s="16"/>
      <c r="E538" s="16" t="str">
        <f>IFERROR(__xludf.DUMMYFUNCTION("""COMPUTED_VALUE"""),"Changes the weather to rain, X4 damage to water spells for self and allies.")</f>
        <v>Changes the weather to rain, X4 damage to water spells for self and allies.</v>
      </c>
      <c r="F538" s="16" t="str">
        <f>IFERROR(__xludf.DUMMYFUNCTION("""COMPUTED_VALUE"""),"Fail/Succeed")</f>
        <v>Fail/Succeed</v>
      </c>
      <c r="G538" s="16" t="str">
        <f>IFERROR(__xludf.DUMMYFUNCTION("""COMPUTED_VALUE"""),"Self")</f>
        <v>Self</v>
      </c>
      <c r="H538" s="16" t="str">
        <f>IFERROR(__xludf.DUMMYFUNCTION("""COMPUTED_VALUE"""),"Water")</f>
        <v>Water</v>
      </c>
      <c r="I538" s="16" t="str">
        <f>IFERROR(__xludf.DUMMYFUNCTION("""COMPUTED_VALUE"""),"Player")</f>
        <v>Player</v>
      </c>
      <c r="J538" s="16" t="b">
        <f>IFERROR(__xludf.DUMMYFUNCTION("""COMPUTED_VALUE"""),TRUE)</f>
        <v>1</v>
      </c>
      <c r="K538" s="16" t="str">
        <f>IFERROR(__xludf.DUMMYFUNCTION("""COMPUTED_VALUE"""),"shop spell")</f>
        <v>shop spell</v>
      </c>
      <c r="L538" s="16" t="b">
        <f>IFERROR(__xludf.DUMMYFUNCTION("""COMPUTED_VALUE"""),TRUE)</f>
        <v>1</v>
      </c>
      <c r="M538" s="16" t="b">
        <f>IFERROR(__xludf.DUMMYFUNCTION("""COMPUTED_VALUE"""),FALSE)</f>
        <v>0</v>
      </c>
      <c r="N538" s="16"/>
    </row>
    <row r="539">
      <c r="A539" s="16" t="str">
        <f>IFERROR(__xludf.DUMMYFUNCTION("""COMPUTED_VALUE"""),"Rapid Frost Peck")</f>
        <v>Rapid Frost Peck</v>
      </c>
      <c r="B539" s="120">
        <f>IFERROR(__xludf.DUMMYFUNCTION("""COMPUTED_VALUE"""),1.0)</f>
        <v>1</v>
      </c>
      <c r="C539" s="16">
        <f>IFERROR(__xludf.DUMMYFUNCTION("""COMPUTED_VALUE"""),0.0)</f>
        <v>0</v>
      </c>
      <c r="D539" s="16"/>
      <c r="E539" s="16" t="str">
        <f>IFERROR(__xludf.DUMMYFUNCTION("""COMPUTED_VALUE"""),"d20x1000 water damage. 50% chance to freeze the target.")</f>
        <v>d20x1000 water damage. 50% chance to freeze the target.</v>
      </c>
      <c r="F539" s="16" t="str">
        <f>IFERROR(__xludf.DUMMYFUNCTION("""COMPUTED_VALUE"""),"Natural/Hit Or Miss")</f>
        <v>Natural/Hit Or Miss</v>
      </c>
      <c r="G539" s="16">
        <f>IFERROR(__xludf.DUMMYFUNCTION("""COMPUTED_VALUE"""),1.0)</f>
        <v>1</v>
      </c>
      <c r="H539" s="16" t="str">
        <f>IFERROR(__xludf.DUMMYFUNCTION("""COMPUTED_VALUE"""),"Water")</f>
        <v>Water</v>
      </c>
      <c r="I539" s="16" t="str">
        <f>IFERROR(__xludf.DUMMYFUNCTION("""COMPUTED_VALUE"""),"Mob")</f>
        <v>Mob</v>
      </c>
      <c r="J539" s="16" t="b">
        <f>IFERROR(__xludf.DUMMYFUNCTION("""COMPUTED_VALUE"""),TRUE)</f>
        <v>1</v>
      </c>
      <c r="K539" s="16"/>
      <c r="L539" s="16" t="b">
        <f>IFERROR(__xludf.DUMMYFUNCTION("""COMPUTED_VALUE"""),TRUE)</f>
        <v>1</v>
      </c>
      <c r="M539" s="16" t="b">
        <f>IFERROR(__xludf.DUMMYFUNCTION("""COMPUTED_VALUE"""),FALSE)</f>
        <v>0</v>
      </c>
      <c r="N539" s="16"/>
    </row>
    <row r="540">
      <c r="A540" s="16" t="str">
        <f>IFERROR(__xludf.DUMMYFUNCTION("""COMPUTED_VALUE"""),"Snowmans Wrath")</f>
        <v>Snowmans Wrath</v>
      </c>
      <c r="B540" s="120">
        <f>IFERROR(__xludf.DUMMYFUNCTION("""COMPUTED_VALUE"""),9.0)</f>
        <v>9</v>
      </c>
      <c r="C540" s="16">
        <f>IFERROR(__xludf.DUMMYFUNCTION("""COMPUTED_VALUE"""),1000.0)</f>
        <v>1000</v>
      </c>
      <c r="D540" s="16"/>
      <c r="E540" s="16" t="str">
        <f>IFERROR(__xludf.DUMMYFUNCTION("""COMPUTED_VALUE"""),"20,000 damage, 50% chance to freeze the target for 3 rounds. ")</f>
        <v>20,000 damage, 50% chance to freeze the target for 3 rounds. </v>
      </c>
      <c r="F540" s="16" t="str">
        <f>IFERROR(__xludf.DUMMYFUNCTION("""COMPUTED_VALUE"""),"Hit/Miss")</f>
        <v>Hit/Miss</v>
      </c>
      <c r="G540" s="16">
        <f>IFERROR(__xludf.DUMMYFUNCTION("""COMPUTED_VALUE"""),1.0)</f>
        <v>1</v>
      </c>
      <c r="H540" s="16" t="str">
        <f>IFERROR(__xludf.DUMMYFUNCTION("""COMPUTED_VALUE"""),"Water")</f>
        <v>Water</v>
      </c>
      <c r="I540" s="16" t="str">
        <f>IFERROR(__xludf.DUMMYFUNCTION("""COMPUTED_VALUE"""),"Mob")</f>
        <v>Mob</v>
      </c>
      <c r="J540" s="16" t="b">
        <f>IFERROR(__xludf.DUMMYFUNCTION("""COMPUTED_VALUE"""),TRUE)</f>
        <v>1</v>
      </c>
      <c r="K540" s="16"/>
      <c r="L540" s="16" t="b">
        <f>IFERROR(__xludf.DUMMYFUNCTION("""COMPUTED_VALUE"""),TRUE)</f>
        <v>1</v>
      </c>
      <c r="M540" s="16" t="b">
        <f>IFERROR(__xludf.DUMMYFUNCTION("""COMPUTED_VALUE"""),FALSE)</f>
        <v>0</v>
      </c>
      <c r="N540" s="16"/>
    </row>
    <row r="541">
      <c r="A541" s="16" t="str">
        <f>IFERROR(__xludf.DUMMYFUNCTION("""COMPUTED_VALUE"""),"Storm Of Snowballs")</f>
        <v>Storm Of Snowballs</v>
      </c>
      <c r="B541" s="120">
        <f>IFERROR(__xludf.DUMMYFUNCTION("""COMPUTED_VALUE"""),9.0)</f>
        <v>9</v>
      </c>
      <c r="C541" s="16">
        <f>IFERROR(__xludf.DUMMYFUNCTION("""COMPUTED_VALUE"""),1000.0)</f>
        <v>1000</v>
      </c>
      <c r="D541" s="16"/>
      <c r="E541" s="16" t="str">
        <f>IFERROR(__xludf.DUMMYFUNCTION("""COMPUTED_VALUE"""),"20,000 water damage to all enemies, 25% chance to freeze those enemies.")</f>
        <v>20,000 water damage to all enemies, 25% chance to freeze those enemies.</v>
      </c>
      <c r="F541" s="16" t="str">
        <f>IFERROR(__xludf.DUMMYFUNCTION("""COMPUTED_VALUE"""),"Cannot Avoid")</f>
        <v>Cannot Avoid</v>
      </c>
      <c r="G541" s="16" t="str">
        <f>IFERROR(__xludf.DUMMYFUNCTION("""COMPUTED_VALUE"""),"All")</f>
        <v>All</v>
      </c>
      <c r="H541" s="16" t="str">
        <f>IFERROR(__xludf.DUMMYFUNCTION("""COMPUTED_VALUE"""),"Water")</f>
        <v>Water</v>
      </c>
      <c r="I541" s="16" t="str">
        <f>IFERROR(__xludf.DUMMYFUNCTION("""COMPUTED_VALUE"""),"Mob")</f>
        <v>Mob</v>
      </c>
      <c r="J541" s="16" t="b">
        <f>IFERROR(__xludf.DUMMYFUNCTION("""COMPUTED_VALUE"""),TRUE)</f>
        <v>1</v>
      </c>
      <c r="K541" s="16" t="str">
        <f>IFERROR(__xludf.DUMMYFUNCTION("""COMPUTED_VALUE"""),"Event Spell")</f>
        <v>Event Spell</v>
      </c>
      <c r="L541" s="16" t="b">
        <f>IFERROR(__xludf.DUMMYFUNCTION("""COMPUTED_VALUE"""),TRUE)</f>
        <v>1</v>
      </c>
      <c r="M541" s="16" t="b">
        <f>IFERROR(__xludf.DUMMYFUNCTION("""COMPUTED_VALUE"""),FALSE)</f>
        <v>0</v>
      </c>
      <c r="N541" s="16"/>
    </row>
    <row r="542">
      <c r="A542" s="16" t="str">
        <f>IFERROR(__xludf.DUMMYFUNCTION("""COMPUTED_VALUE"""),"Tower Of Atlantis")</f>
        <v>Tower Of Atlantis</v>
      </c>
      <c r="B542" s="120">
        <f>IFERROR(__xludf.DUMMYFUNCTION("""COMPUTED_VALUE"""),9.0)</f>
        <v>9</v>
      </c>
      <c r="C542" s="16">
        <f>IFERROR(__xludf.DUMMYFUNCTION("""COMPUTED_VALUE"""),500.0)</f>
        <v>500</v>
      </c>
      <c r="D542" s="16"/>
      <c r="E542" s="16" t="str">
        <f>IFERROR(__xludf.DUMMYFUNCTION("""COMPUTED_VALUE"""),"Forms a tower that rises from beneath the ground or ocean and shoots a giant beam of water energy from the tower's eye and grants X6 Water damage for all allies- 30,000 Water damage.")</f>
        <v>Forms a tower that rises from beneath the ground or ocean and shoots a giant beam of water energy from the tower's eye and grants X6 Water damage for all allies- 30,000 Water damage.</v>
      </c>
      <c r="F542" s="16" t="str">
        <f>IFERROR(__xludf.DUMMYFUNCTION("""COMPUTED_VALUE"""),"Hit/Miss")</f>
        <v>Hit/Miss</v>
      </c>
      <c r="G542" s="16">
        <f>IFERROR(__xludf.DUMMYFUNCTION("""COMPUTED_VALUE"""),1.0)</f>
        <v>1</v>
      </c>
      <c r="H542" s="16" t="str">
        <f>IFERROR(__xludf.DUMMYFUNCTION("""COMPUTED_VALUE"""),"Water")</f>
        <v>Water</v>
      </c>
      <c r="I542" s="16" t="str">
        <f>IFERROR(__xludf.DUMMYFUNCTION("""COMPUTED_VALUE"""),"Player")</f>
        <v>Player</v>
      </c>
      <c r="J542" s="16" t="b">
        <f>IFERROR(__xludf.DUMMYFUNCTION("""COMPUTED_VALUE"""),FALSE)</f>
        <v>0</v>
      </c>
      <c r="K542" s="16"/>
      <c r="L542" s="16" t="b">
        <f>IFERROR(__xludf.DUMMYFUNCTION("""COMPUTED_VALUE"""),TRUE)</f>
        <v>1</v>
      </c>
      <c r="M542" s="16" t="b">
        <f>IFERROR(__xludf.DUMMYFUNCTION("""COMPUTED_VALUE"""),FALSE)</f>
        <v>0</v>
      </c>
      <c r="N542" s="16"/>
    </row>
    <row r="543">
      <c r="A543" s="16" t="str">
        <f>IFERROR(__xludf.DUMMYFUNCTION("""COMPUTED_VALUE"""),"Water Ward")</f>
        <v>Water Ward</v>
      </c>
      <c r="B543" s="120">
        <f>IFERROR(__xludf.DUMMYFUNCTION("""COMPUTED_VALUE"""),9.0)</f>
        <v>9</v>
      </c>
      <c r="C543" s="119">
        <f>IFERROR(__xludf.DUMMYFUNCTION("""COMPUTED_VALUE"""),300.0)</f>
        <v>300</v>
      </c>
      <c r="D543" s="16"/>
      <c r="E543" s="16" t="str">
        <f>IFERROR(__xludf.DUMMYFUNCTION("""COMPUTED_VALUE"""),"Caster is unaffected by spells of rank 9 or lower for 3 rounds, Ward ends when stopping a spell that bypasses immunities/resistances.")</f>
        <v>Caster is unaffected by spells of rank 9 or lower for 3 rounds, Ward ends when stopping a spell that bypasses immunities/resistances.</v>
      </c>
      <c r="F543" s="16" t="str">
        <f>IFERROR(__xludf.DUMMYFUNCTION("""COMPUTED_VALUE"""),"Fail/Succeed")</f>
        <v>Fail/Succeed</v>
      </c>
      <c r="G543" s="16" t="str">
        <f>IFERROR(__xludf.DUMMYFUNCTION("""COMPUTED_VALUE"""),"Self")</f>
        <v>Self</v>
      </c>
      <c r="H543" s="16" t="str">
        <f>IFERROR(__xludf.DUMMYFUNCTION("""COMPUTED_VALUE"""),"Water")</f>
        <v>Water</v>
      </c>
      <c r="I543" s="16" t="str">
        <f>IFERROR(__xludf.DUMMYFUNCTION("""COMPUTED_VALUE"""),"Mob")</f>
        <v>Mob</v>
      </c>
      <c r="J543" s="16" t="b">
        <f>IFERROR(__xludf.DUMMYFUNCTION("""COMPUTED_VALUE"""),TRUE)</f>
        <v>1</v>
      </c>
      <c r="K543" s="16"/>
      <c r="L543" s="16" t="b">
        <f>IFERROR(__xludf.DUMMYFUNCTION("""COMPUTED_VALUE"""),TRUE)</f>
        <v>1</v>
      </c>
      <c r="M543" s="16" t="b">
        <f>IFERROR(__xludf.DUMMYFUNCTION("""COMPUTED_VALUE"""),FALSE)</f>
        <v>0</v>
      </c>
      <c r="N543" s="16"/>
    </row>
    <row r="544">
      <c r="A544" s="16" t="str">
        <f>IFERROR(__xludf.DUMMYFUNCTION("""COMPUTED_VALUE"""),"Waters of Tranquility")</f>
        <v>Waters of Tranquility</v>
      </c>
      <c r="B544" s="120">
        <f>IFERROR(__xludf.DUMMYFUNCTION("""COMPUTED_VALUE"""),7.0)</f>
        <v>7</v>
      </c>
      <c r="C544" s="16" t="str">
        <f>IFERROR(__xludf.DUMMYFUNCTION("""COMPUTED_VALUE"""),"X")</f>
        <v>X</v>
      </c>
      <c r="D544" s="16"/>
      <c r="E544" s="16" t="str">
        <f>IFERROR(__xludf.DUMMYFUNCTION("""COMPUTED_VALUE"""),"Negate X*4 water damage.")</f>
        <v>Negate X*4 water damage.</v>
      </c>
      <c r="F544" s="16" t="str">
        <f>IFERROR(__xludf.DUMMYFUNCTION("""COMPUTED_VALUE"""),"Fail/Succeed")</f>
        <v>Fail/Succeed</v>
      </c>
      <c r="G544" s="16"/>
      <c r="H544" s="16" t="str">
        <f>IFERROR(__xludf.DUMMYFUNCTION("""COMPUTED_VALUE"""),"Water")</f>
        <v>Water</v>
      </c>
      <c r="I544" s="16" t="str">
        <f>IFERROR(__xludf.DUMMYFUNCTION("""COMPUTED_VALUE"""),"Player")</f>
        <v>Player</v>
      </c>
      <c r="J544" s="16" t="b">
        <f>IFERROR(__xludf.DUMMYFUNCTION("""COMPUTED_VALUE"""),FALSE)</f>
        <v>0</v>
      </c>
      <c r="K544" s="16"/>
      <c r="L544" s="16" t="b">
        <f>IFERROR(__xludf.DUMMYFUNCTION("""COMPUTED_VALUE"""),TRUE)</f>
        <v>1</v>
      </c>
      <c r="M544" s="16" t="b">
        <f>IFERROR(__xludf.DUMMYFUNCTION("""COMPUTED_VALUE"""),FALSE)</f>
        <v>0</v>
      </c>
      <c r="N544" s="16"/>
    </row>
    <row r="545">
      <c r="A545" s="16" t="str">
        <f>IFERROR(__xludf.DUMMYFUNCTION("""COMPUTED_VALUE"""),"Waveless Echo")</f>
        <v>Waveless Echo</v>
      </c>
      <c r="B545" s="120">
        <f>IFERROR(__xludf.DUMMYFUNCTION("""COMPUTED_VALUE"""),1.0)</f>
        <v>1</v>
      </c>
      <c r="C545" s="119">
        <f>IFERROR(__xludf.DUMMYFUNCTION("""COMPUTED_VALUE"""),0.0)</f>
        <v>0</v>
      </c>
      <c r="D545" s="16"/>
      <c r="E545" s="16" t="str">
        <f>IFERROR(__xludf.DUMMYFUNCTION("""COMPUTED_VALUE"""),"Call in 2 sea worms to battle..")</f>
        <v>Call in 2 sea worms to battle..</v>
      </c>
      <c r="F545" s="16" t="str">
        <f>IFERROR(__xludf.DUMMYFUNCTION("""COMPUTED_VALUE"""),"Natural/Fail or Succeed")</f>
        <v>Natural/Fail or Succeed</v>
      </c>
      <c r="G545" s="16" t="str">
        <f>IFERROR(__xludf.DUMMYFUNCTION("""COMPUTED_VALUE"""),"Self")</f>
        <v>Self</v>
      </c>
      <c r="H545" s="16" t="str">
        <f>IFERROR(__xludf.DUMMYFUNCTION("""COMPUTED_VALUE"""),"Water")</f>
        <v>Water</v>
      </c>
      <c r="I545" s="16" t="str">
        <f>IFERROR(__xludf.DUMMYFUNCTION("""COMPUTED_VALUE"""),"Mob")</f>
        <v>Mob</v>
      </c>
      <c r="J545" s="16" t="b">
        <f>IFERROR(__xludf.DUMMYFUNCTION("""COMPUTED_VALUE"""),TRUE)</f>
        <v>1</v>
      </c>
      <c r="K545" s="16"/>
      <c r="L545" s="16" t="b">
        <f>IFERROR(__xludf.DUMMYFUNCTION("""COMPUTED_VALUE"""),TRUE)</f>
        <v>1</v>
      </c>
      <c r="M545" s="16" t="b">
        <f>IFERROR(__xludf.DUMMYFUNCTION("""COMPUTED_VALUE"""),FALSE)</f>
        <v>0</v>
      </c>
      <c r="N545" s="16"/>
    </row>
    <row r="546">
      <c r="A546" s="16" t="str">
        <f>IFERROR(__xludf.DUMMYFUNCTION("""COMPUTED_VALUE"""),"Water Beam")</f>
        <v>Water Beam</v>
      </c>
      <c r="B546" s="120">
        <f>IFERROR(__xludf.DUMMYFUNCTION("""COMPUTED_VALUE"""),1.0)</f>
        <v>1</v>
      </c>
      <c r="C546" s="16" t="str">
        <f>IFERROR(__xludf.DUMMYFUNCTION("""COMPUTED_VALUE"""),"X")</f>
        <v>X</v>
      </c>
      <c r="D546" s="16"/>
      <c r="E546" s="16" t="str">
        <f>IFERROR(__xludf.DUMMYFUNCTION("""COMPUTED_VALUE"""),"Deals X*100 Water undefendable damage to a single enemy where X is equal to SP spent.")</f>
        <v>Deals X*100 Water undefendable damage to a single enemy where X is equal to SP spent.</v>
      </c>
      <c r="F546" s="16" t="str">
        <f>IFERROR(__xludf.DUMMYFUNCTION("""COMPUTED_VALUE"""),"Hit/Miss")</f>
        <v>Hit/Miss</v>
      </c>
      <c r="G546" s="16">
        <f>IFERROR(__xludf.DUMMYFUNCTION("""COMPUTED_VALUE"""),1.0)</f>
        <v>1</v>
      </c>
      <c r="H546" s="16" t="str">
        <f>IFERROR(__xludf.DUMMYFUNCTION("""COMPUTED_VALUE"""),"Water")</f>
        <v>Water</v>
      </c>
      <c r="I546" s="16" t="str">
        <f>IFERROR(__xludf.DUMMYFUNCTION("""COMPUTED_VALUE"""),"Player")</f>
        <v>Player</v>
      </c>
      <c r="J546" s="16" t="b">
        <f>IFERROR(__xludf.DUMMYFUNCTION("""COMPUTED_VALUE"""),FALSE)</f>
        <v>0</v>
      </c>
      <c r="K546" s="16"/>
      <c r="L546" s="16" t="b">
        <f>IFERROR(__xludf.DUMMYFUNCTION("""COMPUTED_VALUE"""),FALSE)</f>
        <v>0</v>
      </c>
      <c r="M546" s="16" t="b">
        <f>IFERROR(__xludf.DUMMYFUNCTION("""COMPUTED_VALUE"""),FALSE)</f>
        <v>0</v>
      </c>
      <c r="N546" s="16"/>
    </row>
    <row r="547">
      <c r="A547" s="16" t="str">
        <f>IFERROR(__xludf.DUMMYFUNCTION("""COMPUTED_VALUE"""),"Frostbite")</f>
        <v>Frostbite</v>
      </c>
      <c r="B547" s="120">
        <f>IFERROR(__xludf.DUMMYFUNCTION("""COMPUTED_VALUE"""),5.0)</f>
        <v>5</v>
      </c>
      <c r="C547" s="16" t="str">
        <f>IFERROR(__xludf.DUMMYFUNCTION("""COMPUTED_VALUE"""),"X")</f>
        <v>X</v>
      </c>
      <c r="D547" s="16"/>
      <c r="E547" s="16" t="str">
        <f>IFERROR(__xludf.DUMMYFUNCTION("""COMPUTED_VALUE"""),"Deals X*50 Water damage per round for 3 rounds to a single target where X is equal to SP spent.")</f>
        <v>Deals X*50 Water damage per round for 3 rounds to a single target where X is equal to SP spent.</v>
      </c>
      <c r="F547" s="16" t="str">
        <f>IFERROR(__xludf.DUMMYFUNCTION("""COMPUTED_VALUE"""),"Hit/Miss")</f>
        <v>Hit/Miss</v>
      </c>
      <c r="G547" s="16">
        <f>IFERROR(__xludf.DUMMYFUNCTION("""COMPUTED_VALUE"""),1.0)</f>
        <v>1</v>
      </c>
      <c r="H547" s="16" t="str">
        <f>IFERROR(__xludf.DUMMYFUNCTION("""COMPUTED_VALUE"""),"Water")</f>
        <v>Water</v>
      </c>
      <c r="I547" s="16" t="str">
        <f>IFERROR(__xludf.DUMMYFUNCTION("""COMPUTED_VALUE"""),"Player")</f>
        <v>Player</v>
      </c>
      <c r="J547" s="16" t="b">
        <f>IFERROR(__xludf.DUMMYFUNCTION("""COMPUTED_VALUE"""),FALSE)</f>
        <v>0</v>
      </c>
      <c r="K547" s="16"/>
      <c r="L547" s="16" t="b">
        <f>IFERROR(__xludf.DUMMYFUNCTION("""COMPUTED_VALUE"""),FALSE)</f>
        <v>0</v>
      </c>
      <c r="M547" s="16" t="b">
        <f>IFERROR(__xludf.DUMMYFUNCTION("""COMPUTED_VALUE"""),FALSE)</f>
        <v>0</v>
      </c>
      <c r="N547" s="16"/>
    </row>
    <row r="548">
      <c r="A548" s="16" t="str">
        <f>IFERROR(__xludf.DUMMYFUNCTION("""COMPUTED_VALUE"""),"Torrential Downpour")</f>
        <v>Torrential Downpour</v>
      </c>
      <c r="B548" s="120">
        <f>IFERROR(__xludf.DUMMYFUNCTION("""COMPUTED_VALUE"""),5.0)</f>
        <v>5</v>
      </c>
      <c r="C548" s="16" t="str">
        <f>IFERROR(__xludf.DUMMYFUNCTION("""COMPUTED_VALUE"""),"X")</f>
        <v>X</v>
      </c>
      <c r="D548" s="16"/>
      <c r="E548" s="16" t="str">
        <f>IFERROR(__xludf.DUMMYFUNCTION("""COMPUTED_VALUE"""),"Deals X*25 Water undefendable damage to all enemies where X is equal to SP spent.")</f>
        <v>Deals X*25 Water undefendable damage to all enemies where X is equal to SP spent.</v>
      </c>
      <c r="F548" s="16" t="str">
        <f>IFERROR(__xludf.DUMMYFUNCTION("""COMPUTED_VALUE"""),"Cannot Avoid")</f>
        <v>Cannot Avoid</v>
      </c>
      <c r="G548" s="16" t="str">
        <f>IFERROR(__xludf.DUMMYFUNCTION("""COMPUTED_VALUE"""),"All")</f>
        <v>All</v>
      </c>
      <c r="H548" s="16" t="str">
        <f>IFERROR(__xludf.DUMMYFUNCTION("""COMPUTED_VALUE"""),"Water")</f>
        <v>Water</v>
      </c>
      <c r="I548" s="16" t="str">
        <f>IFERROR(__xludf.DUMMYFUNCTION("""COMPUTED_VALUE"""),"Player")</f>
        <v>Player</v>
      </c>
      <c r="J548" s="16" t="b">
        <f>IFERROR(__xludf.DUMMYFUNCTION("""COMPUTED_VALUE"""),FALSE)</f>
        <v>0</v>
      </c>
      <c r="K548" s="16"/>
      <c r="L548" s="16" t="b">
        <f>IFERROR(__xludf.DUMMYFUNCTION("""COMPUTED_VALUE"""),FALSE)</f>
        <v>0</v>
      </c>
      <c r="M548" s="16" t="b">
        <f>IFERROR(__xludf.DUMMYFUNCTION("""COMPUTED_VALUE"""),FALSE)</f>
        <v>0</v>
      </c>
      <c r="N548" s="16"/>
    </row>
    <row r="549">
      <c r="A549" s="16" t="str">
        <f>IFERROR(__xludf.DUMMYFUNCTION("""COMPUTED_VALUE"""),"Deep Freeze")</f>
        <v>Deep Freeze</v>
      </c>
      <c r="B549" s="120">
        <f>IFERROR(__xludf.DUMMYFUNCTION("""COMPUTED_VALUE"""),6.0)</f>
        <v>6</v>
      </c>
      <c r="C549" s="16" t="str">
        <f>IFERROR(__xludf.DUMMYFUNCTION("""COMPUTED_VALUE"""),"X")</f>
        <v>X</v>
      </c>
      <c r="D549" s="16"/>
      <c r="E549" s="16" t="str">
        <f>IFERROR(__xludf.DUMMYFUNCTION("""COMPUTED_VALUE"""),"Deals X*10 Water damage per round to all enemies for 3 rounds where X is equal to SP spent.")</f>
        <v>Deals X*10 Water damage per round to all enemies for 3 rounds where X is equal to SP spent.</v>
      </c>
      <c r="F549" s="16" t="str">
        <f>IFERROR(__xludf.DUMMYFUNCTION("""COMPUTED_VALUE"""),"Cannot Avoid")</f>
        <v>Cannot Avoid</v>
      </c>
      <c r="G549" s="16" t="str">
        <f>IFERROR(__xludf.DUMMYFUNCTION("""COMPUTED_VALUE"""),"All")</f>
        <v>All</v>
      </c>
      <c r="H549" s="16" t="str">
        <f>IFERROR(__xludf.DUMMYFUNCTION("""COMPUTED_VALUE"""),"Water")</f>
        <v>Water</v>
      </c>
      <c r="I549" s="16" t="str">
        <f>IFERROR(__xludf.DUMMYFUNCTION("""COMPUTED_VALUE"""),"Player")</f>
        <v>Player</v>
      </c>
      <c r="J549" s="16" t="b">
        <f>IFERROR(__xludf.DUMMYFUNCTION("""COMPUTED_VALUE"""),FALSE)</f>
        <v>0</v>
      </c>
      <c r="K549" s="16"/>
      <c r="L549" s="16" t="b">
        <f>IFERROR(__xludf.DUMMYFUNCTION("""COMPUTED_VALUE"""),FALSE)</f>
        <v>0</v>
      </c>
      <c r="M549" s="16" t="b">
        <f>IFERROR(__xludf.DUMMYFUNCTION("""COMPUTED_VALUE"""),FALSE)</f>
        <v>0</v>
      </c>
      <c r="N549" s="16"/>
    </row>
    <row r="550">
      <c r="A550" s="16" t="str">
        <f>IFERROR(__xludf.DUMMYFUNCTION("""COMPUTED_VALUE"""),"Tsunami")</f>
        <v>Tsunami</v>
      </c>
      <c r="B550" s="120">
        <f>IFERROR(__xludf.DUMMYFUNCTION("""COMPUTED_VALUE"""),9.0)</f>
        <v>9</v>
      </c>
      <c r="C550" s="16" t="str">
        <f>IFERROR(__xludf.DUMMYFUNCTION("""COMPUTED_VALUE"""),"d20*40")</f>
        <v>d20*40</v>
      </c>
      <c r="D550" s="16"/>
      <c r="E550" s="16" t="str">
        <f>IFERROR(__xludf.DUMMYFUNCTION("""COMPUTED_VALUE"""),"The d20 roll times 1000 is equal to the amount of Water damage this spell does to all enemies. 50% chance to remove all enemies from battle.")</f>
        <v>The d20 roll times 1000 is equal to the amount of Water damage this spell does to all enemies. 50% chance to remove all enemies from battle.</v>
      </c>
      <c r="F550" s="16" t="str">
        <f>IFERROR(__xludf.DUMMYFUNCTION("""COMPUTED_VALUE"""),"Cannot Avoid")</f>
        <v>Cannot Avoid</v>
      </c>
      <c r="G550" s="16" t="str">
        <f>IFERROR(__xludf.DUMMYFUNCTION("""COMPUTED_VALUE"""),"All")</f>
        <v>All</v>
      </c>
      <c r="H550" s="16" t="str">
        <f>IFERROR(__xludf.DUMMYFUNCTION("""COMPUTED_VALUE"""),"Water")</f>
        <v>Water</v>
      </c>
      <c r="I550" s="16" t="str">
        <f>IFERROR(__xludf.DUMMYFUNCTION("""COMPUTED_VALUE"""),"Player")</f>
        <v>Player</v>
      </c>
      <c r="J550" s="16" t="b">
        <f>IFERROR(__xludf.DUMMYFUNCTION("""COMPUTED_VALUE"""),FALSE)</f>
        <v>0</v>
      </c>
      <c r="K550" s="16"/>
      <c r="L550" s="16" t="b">
        <f>IFERROR(__xludf.DUMMYFUNCTION("""COMPUTED_VALUE"""),TRUE)</f>
        <v>1</v>
      </c>
      <c r="M550" s="16" t="b">
        <f>IFERROR(__xludf.DUMMYFUNCTION("""COMPUTED_VALUE"""),FALSE)</f>
        <v>0</v>
      </c>
      <c r="N550" s="16"/>
    </row>
    <row r="551">
      <c r="A551" s="16" t="str">
        <f>IFERROR(__xludf.DUMMYFUNCTION("""COMPUTED_VALUE"""),"Cease-Fire")</f>
        <v>Cease-Fire</v>
      </c>
      <c r="B551" s="120">
        <f>IFERROR(__xludf.DUMMYFUNCTION("""COMPUTED_VALUE"""),9.0)</f>
        <v>9</v>
      </c>
      <c r="C551" s="16" t="str">
        <f>IFERROR(__xludf.DUMMYFUNCTION("""COMPUTED_VALUE"""),"X*1000")</f>
        <v>X*1000</v>
      </c>
      <c r="D551" s="16"/>
      <c r="E551" s="16" t="str">
        <f>IFERROR(__xludf.DUMMYFUNCTION("""COMPUTED_VALUE"""),"Prevent 1 target from dealing damage for X rounds. Caster also becomes unaffected by that target's spells for X rounds. ")</f>
        <v>Prevent 1 target from dealing damage for X rounds. Caster also becomes unaffected by that target's spells for X rounds. </v>
      </c>
      <c r="F551" s="16" t="str">
        <f>IFERROR(__xludf.DUMMYFUNCTION("""COMPUTED_VALUE"""),"Fail/Succeed")</f>
        <v>Fail/Succeed</v>
      </c>
      <c r="G551" s="16"/>
      <c r="H551" s="16" t="str">
        <f>IFERROR(__xludf.DUMMYFUNCTION("""COMPUTED_VALUE"""),"Zen")</f>
        <v>Zen</v>
      </c>
      <c r="I551" s="16" t="str">
        <f>IFERROR(__xludf.DUMMYFUNCTION("""COMPUTED_VALUE"""),"Player")</f>
        <v>Player</v>
      </c>
      <c r="J551" s="16" t="b">
        <f>IFERROR(__xludf.DUMMYFUNCTION("""COMPUTED_VALUE"""),FALSE)</f>
        <v>0</v>
      </c>
      <c r="K551" s="16"/>
      <c r="L551" s="16" t="b">
        <f>IFERROR(__xludf.DUMMYFUNCTION("""COMPUTED_VALUE"""),FALSE)</f>
        <v>0</v>
      </c>
      <c r="M551" s="16" t="b">
        <f>IFERROR(__xludf.DUMMYFUNCTION("""COMPUTED_VALUE"""),FALSE)</f>
        <v>0</v>
      </c>
      <c r="N551" s="16"/>
    </row>
    <row r="552">
      <c r="A552" s="16" t="str">
        <f>IFERROR(__xludf.DUMMYFUNCTION("""COMPUTED_VALUE"""),"Elemental Fists")</f>
        <v>Elemental Fists</v>
      </c>
      <c r="B552" s="120">
        <f>IFERROR(__xludf.DUMMYFUNCTION("""COMPUTED_VALUE"""),1.0)</f>
        <v>1</v>
      </c>
      <c r="C552" s="16">
        <f>IFERROR(__xludf.DUMMYFUNCTION("""COMPUTED_VALUE"""),0.0)</f>
        <v>0</v>
      </c>
      <c r="D552" s="16"/>
      <c r="E552" s="16" t="str">
        <f>IFERROR(__xludf.DUMMYFUNCTION("""COMPUTED_VALUE"""),"1000 fire, water, storm, earth, and nature damage to one target + Increase fire, water, storm, nature, and earth damage for caster by X2 if you successfully hit the target.")</f>
        <v>1000 fire, water, storm, earth, and nature damage to one target + Increase fire, water, storm, nature, and earth damage for caster by X2 if you successfully hit the target.</v>
      </c>
      <c r="F552" s="16" t="str">
        <f>IFERROR(__xludf.DUMMYFUNCTION("""COMPUTED_VALUE"""),"Natural/Hit or Miss")</f>
        <v>Natural/Hit or Miss</v>
      </c>
      <c r="G552" s="16">
        <f>IFERROR(__xludf.DUMMYFUNCTION("""COMPUTED_VALUE"""),1.0)</f>
        <v>1</v>
      </c>
      <c r="H552" s="16" t="str">
        <f>IFERROR(__xludf.DUMMYFUNCTION("""COMPUTED_VALUE"""),"Zen")</f>
        <v>Zen</v>
      </c>
      <c r="I552" s="16" t="str">
        <f>IFERROR(__xludf.DUMMYFUNCTION("""COMPUTED_VALUE"""),"Player")</f>
        <v>Player</v>
      </c>
      <c r="J552" s="16" t="b">
        <f>IFERROR(__xludf.DUMMYFUNCTION("""COMPUTED_VALUE"""),FALSE)</f>
        <v>0</v>
      </c>
      <c r="K552" s="16"/>
      <c r="L552" s="16" t="b">
        <f>IFERROR(__xludf.DUMMYFUNCTION("""COMPUTED_VALUE"""),FALSE)</f>
        <v>0</v>
      </c>
      <c r="M552" s="16" t="b">
        <f>IFERROR(__xludf.DUMMYFUNCTION("""COMPUTED_VALUE"""),FALSE)</f>
        <v>0</v>
      </c>
      <c r="N552" s="16"/>
    </row>
    <row r="553">
      <c r="A553" s="16" t="str">
        <f>IFERROR(__xludf.DUMMYFUNCTION("""COMPUTED_VALUE"""),"Evade")</f>
        <v>Evade</v>
      </c>
      <c r="B553" s="120">
        <f>IFERROR(__xludf.DUMMYFUNCTION("""COMPUTED_VALUE"""),1.0)</f>
        <v>1</v>
      </c>
      <c r="C553" s="16">
        <f>IFERROR(__xludf.DUMMYFUNCTION("""COMPUTED_VALUE"""),10.0)</f>
        <v>10</v>
      </c>
      <c r="D553" s="16"/>
      <c r="E553" s="16" t="str">
        <f>IFERROR(__xludf.DUMMYFUNCTION("""COMPUTED_VALUE"""),"+5 to evasion until the end of battle. Can only be used once.")</f>
        <v>+5 to evasion until the end of battle. Can only be used once.</v>
      </c>
      <c r="F553" s="16" t="str">
        <f>IFERROR(__xludf.DUMMYFUNCTION("""COMPUTED_VALUE"""),"Fail/Succeed")</f>
        <v>Fail/Succeed</v>
      </c>
      <c r="G553" s="16"/>
      <c r="H553" s="16" t="str">
        <f>IFERROR(__xludf.DUMMYFUNCTION("""COMPUTED_VALUE"""),"Zen")</f>
        <v>Zen</v>
      </c>
      <c r="I553" s="16" t="str">
        <f>IFERROR(__xludf.DUMMYFUNCTION("""COMPUTED_VALUE"""),"Player")</f>
        <v>Player</v>
      </c>
      <c r="J553" s="16" t="b">
        <f>IFERROR(__xludf.DUMMYFUNCTION("""COMPUTED_VALUE"""),FALSE)</f>
        <v>0</v>
      </c>
      <c r="K553" s="16"/>
      <c r="L553" s="16" t="b">
        <f>IFERROR(__xludf.DUMMYFUNCTION("""COMPUTED_VALUE"""),FALSE)</f>
        <v>0</v>
      </c>
      <c r="M553" s="16" t="b">
        <f>IFERROR(__xludf.DUMMYFUNCTION("""COMPUTED_VALUE"""),FALSE)</f>
        <v>0</v>
      </c>
      <c r="N553" s="16"/>
    </row>
    <row r="554">
      <c r="A554" s="16" t="str">
        <f>IFERROR(__xludf.DUMMYFUNCTION("""COMPUTED_VALUE"""),"FlashStep")</f>
        <v>FlashStep</v>
      </c>
      <c r="B554" s="120">
        <f>IFERROR(__xludf.DUMMYFUNCTION("""COMPUTED_VALUE"""),9.0)</f>
        <v>9</v>
      </c>
      <c r="C554" s="16">
        <f>IFERROR(__xludf.DUMMYFUNCTION("""COMPUTED_VALUE"""),600.0)</f>
        <v>600</v>
      </c>
      <c r="D554" s="16"/>
      <c r="E554" s="16" t="str">
        <f>IFERROR(__xludf.DUMMYFUNCTION("""COMPUTED_VALUE"""),"During an enemies next attack, absorb any damage you take and lunge past the target at great speed attacking them with a weapon equipped causing a 100% chance of instant death the moment after you sheath your sword. (Add your mobility to your attack roll)")</f>
        <v>During an enemies next attack, absorb any damage you take and lunge past the target at great speed attacking them with a weapon equipped causing a 100% chance of instant death the moment after you sheath your sword. (Add your mobility to your attack roll)</v>
      </c>
      <c r="F554" s="16" t="str">
        <f>IFERROR(__xludf.DUMMYFUNCTION("""COMPUTED_VALUE"""),"Hit/Miss")</f>
        <v>Hit/Miss</v>
      </c>
      <c r="G554" s="16">
        <f>IFERROR(__xludf.DUMMYFUNCTION("""COMPUTED_VALUE"""),1.0)</f>
        <v>1</v>
      </c>
      <c r="H554" s="16" t="str">
        <f>IFERROR(__xludf.DUMMYFUNCTION("""COMPUTED_VALUE"""),"Zen")</f>
        <v>Zen</v>
      </c>
      <c r="I554" s="16" t="str">
        <f>IFERROR(__xludf.DUMMYFUNCTION("""COMPUTED_VALUE"""),"Player")</f>
        <v>Player</v>
      </c>
      <c r="J554" s="16" t="b">
        <f>IFERROR(__xludf.DUMMYFUNCTION("""COMPUTED_VALUE"""),FALSE)</f>
        <v>0</v>
      </c>
      <c r="K554" s="16"/>
      <c r="L554" s="16" t="b">
        <f>IFERROR(__xludf.DUMMYFUNCTION("""COMPUTED_VALUE"""),FALSE)</f>
        <v>0</v>
      </c>
      <c r="M554" s="16" t="b">
        <f>IFERROR(__xludf.DUMMYFUNCTION("""COMPUTED_VALUE"""),FALSE)</f>
        <v>0</v>
      </c>
      <c r="N554" s="16"/>
    </row>
    <row r="555">
      <c r="A555" s="16" t="str">
        <f>IFERROR(__xludf.DUMMYFUNCTION("""COMPUTED_VALUE"""),"Focus")</f>
        <v>Focus</v>
      </c>
      <c r="B555" s="120">
        <f>IFERROR(__xludf.DUMMYFUNCTION("""COMPUTED_VALUE"""),1.0)</f>
        <v>1</v>
      </c>
      <c r="C555" s="16">
        <f>IFERROR(__xludf.DUMMYFUNCTION("""COMPUTED_VALUE"""),10.0)</f>
        <v>10</v>
      </c>
      <c r="D555" s="16"/>
      <c r="E555" s="16" t="str">
        <f>IFERROR(__xludf.DUMMYFUNCTION("""COMPUTED_VALUE"""),"Gain X2 attack, accuracy, and defense till the end of battle.")</f>
        <v>Gain X2 attack, accuracy, and defense till the end of battle.</v>
      </c>
      <c r="F555" s="16" t="str">
        <f>IFERROR(__xludf.DUMMYFUNCTION("""COMPUTED_VALUE"""),"Fail/succeed")</f>
        <v>Fail/succeed</v>
      </c>
      <c r="G555" s="16"/>
      <c r="H555" s="16" t="str">
        <f>IFERROR(__xludf.DUMMYFUNCTION("""COMPUTED_VALUE"""),"Zen")</f>
        <v>Zen</v>
      </c>
      <c r="I555" s="16" t="str">
        <f>IFERROR(__xludf.DUMMYFUNCTION("""COMPUTED_VALUE"""),"Player")</f>
        <v>Player</v>
      </c>
      <c r="J555" s="16" t="b">
        <f>IFERROR(__xludf.DUMMYFUNCTION("""COMPUTED_VALUE"""),FALSE)</f>
        <v>0</v>
      </c>
      <c r="K555" s="16"/>
      <c r="L555" s="16" t="b">
        <f>IFERROR(__xludf.DUMMYFUNCTION("""COMPUTED_VALUE"""),FALSE)</f>
        <v>0</v>
      </c>
      <c r="M555" s="16" t="b">
        <f>IFERROR(__xludf.DUMMYFUNCTION("""COMPUTED_VALUE"""),FALSE)</f>
        <v>0</v>
      </c>
      <c r="N555" s="16"/>
    </row>
    <row r="556">
      <c r="A556" s="16" t="str">
        <f>IFERROR(__xludf.DUMMYFUNCTION("""COMPUTED_VALUE"""),"Foresight")</f>
        <v>Foresight</v>
      </c>
      <c r="B556" s="120">
        <f>IFERROR(__xludf.DUMMYFUNCTION("""COMPUTED_VALUE"""),8.0)</f>
        <v>8</v>
      </c>
      <c r="C556" s="16">
        <f>IFERROR(__xludf.DUMMYFUNCTION("""COMPUTED_VALUE"""),1000.0)</f>
        <v>1000</v>
      </c>
      <c r="D556" s="16"/>
      <c r="E556" s="16" t="str">
        <f>IFERROR(__xludf.DUMMYFUNCTION("""COMPUTED_VALUE"""),"Immune to instant death and evade all attacks the rest of the round. (Cannot avoid attacks are still avoided)")</f>
        <v>Immune to instant death and evade all attacks the rest of the round. (Cannot avoid attacks are still avoided)</v>
      </c>
      <c r="F556" s="16" t="str">
        <f>IFERROR(__xludf.DUMMYFUNCTION("""COMPUTED_VALUE"""),"Fail/Succeed")</f>
        <v>Fail/Succeed</v>
      </c>
      <c r="G556" s="16"/>
      <c r="H556" s="16" t="str">
        <f>IFERROR(__xludf.DUMMYFUNCTION("""COMPUTED_VALUE"""),"Zen")</f>
        <v>Zen</v>
      </c>
      <c r="I556" s="16" t="str">
        <f>IFERROR(__xludf.DUMMYFUNCTION("""COMPUTED_VALUE"""),"Player")</f>
        <v>Player</v>
      </c>
      <c r="J556" s="16" t="b">
        <f>IFERROR(__xludf.DUMMYFUNCTION("""COMPUTED_VALUE"""),FALSE)</f>
        <v>0</v>
      </c>
      <c r="K556" s="16"/>
      <c r="L556" s="16" t="b">
        <f>IFERROR(__xludf.DUMMYFUNCTION("""COMPUTED_VALUE"""),FALSE)</f>
        <v>0</v>
      </c>
      <c r="M556" s="16" t="b">
        <f>IFERROR(__xludf.DUMMYFUNCTION("""COMPUTED_VALUE"""),FALSE)</f>
        <v>0</v>
      </c>
      <c r="N556" s="16"/>
    </row>
    <row r="557">
      <c r="A557" s="16" t="str">
        <f>IFERROR(__xludf.DUMMYFUNCTION("""COMPUTED_VALUE"""),"Ki Blast")</f>
        <v>Ki Blast</v>
      </c>
      <c r="B557" s="120">
        <f>IFERROR(__xludf.DUMMYFUNCTION("""COMPUTED_VALUE"""),9.0)</f>
        <v>9</v>
      </c>
      <c r="C557" s="119">
        <f>IFERROR(__xludf.DUMMYFUNCTION("""COMPUTED_VALUE"""),7200.0)</f>
        <v>7200</v>
      </c>
      <c r="D557" s="16"/>
      <c r="E557" s="16" t="str">
        <f>IFERROR(__xludf.DUMMYFUNCTION("""COMPUTED_VALUE"""),"36,000 storm, earth, water, fire, and nature damage.")</f>
        <v>36,000 storm, earth, water, fire, and nature damage.</v>
      </c>
      <c r="F557" s="16" t="str">
        <f>IFERROR(__xludf.DUMMYFUNCTION("""COMPUTED_VALUE"""),"Cannot Avoid")</f>
        <v>Cannot Avoid</v>
      </c>
      <c r="G557" s="16"/>
      <c r="H557" s="16" t="str">
        <f>IFERROR(__xludf.DUMMYFUNCTION("""COMPUTED_VALUE"""),"Zen")</f>
        <v>Zen</v>
      </c>
      <c r="I557" s="16" t="str">
        <f>IFERROR(__xludf.DUMMYFUNCTION("""COMPUTED_VALUE"""),"Player")</f>
        <v>Player</v>
      </c>
      <c r="J557" s="16" t="b">
        <f>IFERROR(__xludf.DUMMYFUNCTION("""COMPUTED_VALUE"""),FALSE)</f>
        <v>0</v>
      </c>
      <c r="K557" s="16"/>
      <c r="L557" s="16" t="b">
        <f>IFERROR(__xludf.DUMMYFUNCTION("""COMPUTED_VALUE"""),FALSE)</f>
        <v>0</v>
      </c>
      <c r="M557" s="16" t="b">
        <f>IFERROR(__xludf.DUMMYFUNCTION("""COMPUTED_VALUE"""),FALSE)</f>
        <v>0</v>
      </c>
      <c r="N557" s="16"/>
    </row>
    <row r="558">
      <c r="A558" s="16" t="str">
        <f>IFERROR(__xludf.DUMMYFUNCTION("""COMPUTED_VALUE"""),"Ki Charge")</f>
        <v>Ki Charge</v>
      </c>
      <c r="B558" s="120">
        <f>IFERROR(__xludf.DUMMYFUNCTION("""COMPUTED_VALUE"""),7.0)</f>
        <v>7</v>
      </c>
      <c r="C558" s="16">
        <f>IFERROR(__xludf.DUMMYFUNCTION("""COMPUTED_VALUE"""),400.0)</f>
        <v>400</v>
      </c>
      <c r="D558" s="16"/>
      <c r="E558" s="16" t="str">
        <f>IFERROR(__xludf.DUMMYFUNCTION("""COMPUTED_VALUE"""),"X2 additional storm, earth, water, fire, and nature damage.")</f>
        <v>X2 additional storm, earth, water, fire, and nature damage.</v>
      </c>
      <c r="F558" s="16" t="str">
        <f>IFERROR(__xludf.DUMMYFUNCTION("""COMPUTED_VALUE"""),"Will Suceed.")</f>
        <v>Will Suceed.</v>
      </c>
      <c r="G558" s="16" t="str">
        <f>IFERROR(__xludf.DUMMYFUNCTION("""COMPUTED_VALUE"""),"Self")</f>
        <v>Self</v>
      </c>
      <c r="H558" s="16" t="str">
        <f>IFERROR(__xludf.DUMMYFUNCTION("""COMPUTED_VALUE"""),"Zen")</f>
        <v>Zen</v>
      </c>
      <c r="I558" s="16" t="str">
        <f>IFERROR(__xludf.DUMMYFUNCTION("""COMPUTED_VALUE"""),"Player")</f>
        <v>Player</v>
      </c>
      <c r="J558" s="16" t="b">
        <f>IFERROR(__xludf.DUMMYFUNCTION("""COMPUTED_VALUE"""),FALSE)</f>
        <v>0</v>
      </c>
      <c r="K558" s="16"/>
      <c r="L558" s="16" t="b">
        <f>IFERROR(__xludf.DUMMYFUNCTION("""COMPUTED_VALUE"""),FALSE)</f>
        <v>0</v>
      </c>
      <c r="M558" s="16" t="b">
        <f>IFERROR(__xludf.DUMMYFUNCTION("""COMPUTED_VALUE"""),FALSE)</f>
        <v>0</v>
      </c>
      <c r="N558" s="16"/>
    </row>
    <row r="559">
      <c r="A559" s="16" t="str">
        <f>IFERROR(__xludf.DUMMYFUNCTION("""COMPUTED_VALUE"""),"Max Evade")</f>
        <v>Max Evade</v>
      </c>
      <c r="B559" s="120">
        <f>IFERROR(__xludf.DUMMYFUNCTION("""COMPUTED_VALUE"""),6.0)</f>
        <v>6</v>
      </c>
      <c r="C559" s="16">
        <f>IFERROR(__xludf.DUMMYFUNCTION("""COMPUTED_VALUE"""),60.0)</f>
        <v>60</v>
      </c>
      <c r="D559" s="16"/>
      <c r="E559" s="16" t="str">
        <f>IFERROR(__xludf.DUMMYFUNCTION("""COMPUTED_VALUE"""),"+5 evasion and mobility for 3 rounds.")</f>
        <v>+5 evasion and mobility for 3 rounds.</v>
      </c>
      <c r="F559" s="16" t="str">
        <f>IFERROR(__xludf.DUMMYFUNCTION("""COMPUTED_VALUE"""),"Will Succeed")</f>
        <v>Will Succeed</v>
      </c>
      <c r="G559" s="16"/>
      <c r="H559" s="16" t="str">
        <f>IFERROR(__xludf.DUMMYFUNCTION("""COMPUTED_VALUE"""),"Zen")</f>
        <v>Zen</v>
      </c>
      <c r="I559" s="16" t="str">
        <f>IFERROR(__xludf.DUMMYFUNCTION("""COMPUTED_VALUE"""),"Player")</f>
        <v>Player</v>
      </c>
      <c r="J559" s="16" t="b">
        <f>IFERROR(__xludf.DUMMYFUNCTION("""COMPUTED_VALUE"""),FALSE)</f>
        <v>0</v>
      </c>
      <c r="K559" s="16"/>
      <c r="L559" s="16" t="b">
        <f>IFERROR(__xludf.DUMMYFUNCTION("""COMPUTED_VALUE"""),FALSE)</f>
        <v>0</v>
      </c>
      <c r="M559" s="16" t="b">
        <f>IFERROR(__xludf.DUMMYFUNCTION("""COMPUTED_VALUE"""),FALSE)</f>
        <v>0</v>
      </c>
      <c r="N559" s="16"/>
    </row>
    <row r="560">
      <c r="A560" s="16" t="str">
        <f>IFERROR(__xludf.DUMMYFUNCTION("""COMPUTED_VALUE"""),"Max Focus")</f>
        <v>Max Focus</v>
      </c>
      <c r="B560" s="120">
        <f>IFERROR(__xludf.DUMMYFUNCTION("""COMPUTED_VALUE"""),9.0)</f>
        <v>9</v>
      </c>
      <c r="C560" s="16" t="str">
        <f>IFERROR(__xludf.DUMMYFUNCTION("""COMPUTED_VALUE"""),"X*2000")</f>
        <v>X*2000</v>
      </c>
      <c r="D560" s="16"/>
      <c r="E560" s="16" t="str">
        <f>IFERROR(__xludf.DUMMYFUNCTION("""COMPUTED_VALUE"""),"You gain X Evasion, Mobility, and Intimidation where X is equal to the SP you pay (Max 5) for 3 rounds.")</f>
        <v>You gain X Evasion, Mobility, and Intimidation where X is equal to the SP you pay (Max 5) for 3 rounds.</v>
      </c>
      <c r="F560" s="16" t="str">
        <f>IFERROR(__xludf.DUMMYFUNCTION("""COMPUTED_VALUE"""),"Fail/Succeed")</f>
        <v>Fail/Succeed</v>
      </c>
      <c r="G560" s="16" t="str">
        <f>IFERROR(__xludf.DUMMYFUNCTION("""COMPUTED_VALUE"""),"Self")</f>
        <v>Self</v>
      </c>
      <c r="H560" s="16" t="str">
        <f>IFERROR(__xludf.DUMMYFUNCTION("""COMPUTED_VALUE"""),"Zen")</f>
        <v>Zen</v>
      </c>
      <c r="I560" s="16" t="str">
        <f>IFERROR(__xludf.DUMMYFUNCTION("""COMPUTED_VALUE"""),"Player")</f>
        <v>Player</v>
      </c>
      <c r="J560" s="16" t="b">
        <f>IFERROR(__xludf.DUMMYFUNCTION("""COMPUTED_VALUE"""),FALSE)</f>
        <v>0</v>
      </c>
      <c r="K560" s="16"/>
      <c r="L560" s="16" t="b">
        <f>IFERROR(__xludf.DUMMYFUNCTION("""COMPUTED_VALUE"""),FALSE)</f>
        <v>0</v>
      </c>
      <c r="M560" s="16" t="b">
        <f>IFERROR(__xludf.DUMMYFUNCTION("""COMPUTED_VALUE"""),FALSE)</f>
        <v>0</v>
      </c>
      <c r="N560" s="16"/>
    </row>
    <row r="561">
      <c r="A561" s="16" t="str">
        <f>IFERROR(__xludf.DUMMYFUNCTION("""COMPUTED_VALUE"""),"Mind Press")</f>
        <v>Mind Press</v>
      </c>
      <c r="B561" s="120">
        <f>IFERROR(__xludf.DUMMYFUNCTION("""COMPUTED_VALUE"""),9.0)</f>
        <v>9</v>
      </c>
      <c r="C561" s="119">
        <f>IFERROR(__xludf.DUMMYFUNCTION("""COMPUTED_VALUE"""),12000.0)</f>
        <v>12000</v>
      </c>
      <c r="D561" s="16"/>
      <c r="E561" s="16" t="str">
        <f>IFERROR(__xludf.DUMMYFUNCTION("""COMPUTED_VALUE"""),"30,000 damage to all enemies. Cannot resist or be immune to.")</f>
        <v>30,000 damage to all enemies. Cannot resist or be immune to.</v>
      </c>
      <c r="F561" s="16" t="str">
        <f>IFERROR(__xludf.DUMMYFUNCTION("""COMPUTED_VALUE"""),"Will Succeed")</f>
        <v>Will Succeed</v>
      </c>
      <c r="G561" s="16"/>
      <c r="H561" s="16" t="str">
        <f>IFERROR(__xludf.DUMMYFUNCTION("""COMPUTED_VALUE"""),"Zen")</f>
        <v>Zen</v>
      </c>
      <c r="I561" s="16" t="str">
        <f>IFERROR(__xludf.DUMMYFUNCTION("""COMPUTED_VALUE"""),"Player")</f>
        <v>Player</v>
      </c>
      <c r="J561" s="16" t="b">
        <f>IFERROR(__xludf.DUMMYFUNCTION("""COMPUTED_VALUE"""),FALSE)</f>
        <v>0</v>
      </c>
      <c r="K561" s="16"/>
      <c r="L561" s="16" t="b">
        <f>IFERROR(__xludf.DUMMYFUNCTION("""COMPUTED_VALUE"""),FALSE)</f>
        <v>0</v>
      </c>
      <c r="M561" s="16" t="b">
        <f>IFERROR(__xludf.DUMMYFUNCTION("""COMPUTED_VALUE"""),FALSE)</f>
        <v>0</v>
      </c>
      <c r="N561" s="16"/>
    </row>
    <row r="562">
      <c r="A562" s="16" t="str">
        <f>IFERROR(__xludf.DUMMYFUNCTION("""COMPUTED_VALUE"""),"Monks Blessing")</f>
        <v>Monks Blessing</v>
      </c>
      <c r="B562" s="120">
        <f>IFERROR(__xludf.DUMMYFUNCTION("""COMPUTED_VALUE"""),6.0)</f>
        <v>6</v>
      </c>
      <c r="C562" s="16">
        <f>IFERROR(__xludf.DUMMYFUNCTION("""COMPUTED_VALUE"""),60.0)</f>
        <v>60</v>
      </c>
      <c r="D562" s="16"/>
      <c r="E562" s="16" t="str">
        <f>IFERROR(__xludf.DUMMYFUNCTION("""COMPUTED_VALUE"""),"Roll a d3 to Summon one of the following to help you in battle. (1) Elder Monk Kenyu, (2) Blood Monk, And (3) Master Monk Warrior. Level of Summon = total level of all party members combined.")</f>
        <v>Roll a d3 to Summon one of the following to help you in battle. (1) Elder Monk Kenyu, (2) Blood Monk, And (3) Master Monk Warrior. Level of Summon = total level of all party members combined.</v>
      </c>
      <c r="F562" s="16" t="str">
        <f>IFERROR(__xludf.DUMMYFUNCTION("""COMPUTED_VALUE"""),"Fail/Succeed")</f>
        <v>Fail/Succeed</v>
      </c>
      <c r="G562" s="16"/>
      <c r="H562" s="16" t="str">
        <f>IFERROR(__xludf.DUMMYFUNCTION("""COMPUTED_VALUE"""),"Zen")</f>
        <v>Zen</v>
      </c>
      <c r="I562" s="16" t="str">
        <f>IFERROR(__xludf.DUMMYFUNCTION("""COMPUTED_VALUE"""),"Player")</f>
        <v>Player</v>
      </c>
      <c r="J562" s="16" t="b">
        <f>IFERROR(__xludf.DUMMYFUNCTION("""COMPUTED_VALUE"""),FALSE)</f>
        <v>0</v>
      </c>
      <c r="K562" s="16"/>
      <c r="L562" s="16" t="b">
        <f>IFERROR(__xludf.DUMMYFUNCTION("""COMPUTED_VALUE"""),FALSE)</f>
        <v>0</v>
      </c>
      <c r="M562" s="16" t="b">
        <f>IFERROR(__xludf.DUMMYFUNCTION("""COMPUTED_VALUE"""),FALSE)</f>
        <v>0</v>
      </c>
      <c r="N562" s="16"/>
    </row>
    <row r="563">
      <c r="A563" s="16" t="str">
        <f>IFERROR(__xludf.DUMMYFUNCTION("""COMPUTED_VALUE"""),"The All Knowing Eye")</f>
        <v>The All Knowing Eye</v>
      </c>
      <c r="B563" s="120">
        <f>IFERROR(__xludf.DUMMYFUNCTION("""COMPUTED_VALUE"""),8.0)</f>
        <v>8</v>
      </c>
      <c r="C563" s="16">
        <f>IFERROR(__xludf.DUMMYFUNCTION("""COMPUTED_VALUE"""),500.0)</f>
        <v>500</v>
      </c>
      <c r="D563" s="16"/>
      <c r="E563" s="16" t="str">
        <f>IFERROR(__xludf.DUMMYFUNCTION("""COMPUTED_VALUE"""),"Increase your roll number by 5 for 3 rounds and take no damage from the next incoming attack. (Battle Only)")</f>
        <v>Increase your roll number by 5 for 3 rounds and take no damage from the next incoming attack. (Battle Only)</v>
      </c>
      <c r="F563" s="16" t="str">
        <f>IFERROR(__xludf.DUMMYFUNCTION("""COMPUTED_VALUE"""),"Fail/Succeed")</f>
        <v>Fail/Succeed</v>
      </c>
      <c r="G563" s="16"/>
      <c r="H563" s="16" t="str">
        <f>IFERROR(__xludf.DUMMYFUNCTION("""COMPUTED_VALUE"""),"Zen")</f>
        <v>Zen</v>
      </c>
      <c r="I563" s="16" t="str">
        <f>IFERROR(__xludf.DUMMYFUNCTION("""COMPUTED_VALUE"""),"Player")</f>
        <v>Player</v>
      </c>
      <c r="J563" s="16" t="b">
        <f>IFERROR(__xludf.DUMMYFUNCTION("""COMPUTED_VALUE"""),FALSE)</f>
        <v>0</v>
      </c>
      <c r="K563" s="16"/>
      <c r="L563" s="16" t="b">
        <f>IFERROR(__xludf.DUMMYFUNCTION("""COMPUTED_VALUE"""),FALSE)</f>
        <v>0</v>
      </c>
      <c r="M563" s="16" t="b">
        <f>IFERROR(__xludf.DUMMYFUNCTION("""COMPUTED_VALUE"""),FALSE)</f>
        <v>0</v>
      </c>
      <c r="N563" s="16"/>
    </row>
    <row r="564">
      <c r="A564" s="16" t="str">
        <f>IFERROR(__xludf.DUMMYFUNCTION("""COMPUTED_VALUE"""),"Insanity Pulse")</f>
        <v>Insanity Pulse</v>
      </c>
      <c r="B564" s="120">
        <f>IFERROR(__xludf.DUMMYFUNCTION("""COMPUTED_VALUE"""),9.0)</f>
        <v>9</v>
      </c>
      <c r="C564" s="16">
        <f>IFERROR(__xludf.DUMMYFUNCTION("""COMPUTED_VALUE"""),10000.0)</f>
        <v>10000</v>
      </c>
      <c r="D564" s="16"/>
      <c r="E564" s="16" t="str">
        <f>IFERROR(__xludf.DUMMYFUNCTION("""COMPUTED_VALUE"""),"Lathom summons 5 elementals of a d5 type (1-water, 2-fire, 3-nature, 4-earth, 5-storm) and retreats behind him. As long as the elementals are alive, Lathom cannot be targeted and is unaffected by all spells, natural powers, and item effects. This spell ha"&amp;"s a 5 round cooldown.")</f>
        <v>Lathom summons 5 elementals of a d5 type (1-water, 2-fire, 3-nature, 4-earth, 5-storm) and retreats behind him. As long as the elementals are alive, Lathom cannot be targeted and is unaffected by all spells, natural powers, and item effects. This spell has a 5 round cooldown.</v>
      </c>
      <c r="F564" s="16" t="str">
        <f>IFERROR(__xludf.DUMMYFUNCTION("""COMPUTED_VALUE"""),"Fail/Succeed")</f>
        <v>Fail/Succeed</v>
      </c>
      <c r="G564" s="16" t="str">
        <f>IFERROR(__xludf.DUMMYFUNCTION("""COMPUTED_VALUE"""),"Self")</f>
        <v>Self</v>
      </c>
      <c r="H564" s="16" t="str">
        <f>IFERROR(__xludf.DUMMYFUNCTION("""COMPUTED_VALUE"""),"Chaos")</f>
        <v>Chaos</v>
      </c>
      <c r="I564" s="16" t="str">
        <f>IFERROR(__xludf.DUMMYFUNCTION("""COMPUTED_VALUE"""),"Mob")</f>
        <v>Mob</v>
      </c>
      <c r="J564" s="16" t="b">
        <f>IFERROR(__xludf.DUMMYFUNCTION("""COMPUTED_VALUE"""),TRUE)</f>
        <v>1</v>
      </c>
      <c r="K564" s="16" t="str">
        <f>IFERROR(__xludf.DUMMYFUNCTION("""COMPUTED_VALUE"""),"Lathom Only")</f>
        <v>Lathom Only</v>
      </c>
      <c r="L564" s="16" t="b">
        <f>IFERROR(__xludf.DUMMYFUNCTION("""COMPUTED_VALUE"""),FALSE)</f>
        <v>0</v>
      </c>
      <c r="M564" s="16" t="b">
        <f>IFERROR(__xludf.DUMMYFUNCTION("""COMPUTED_VALUE"""),FALSE)</f>
        <v>0</v>
      </c>
      <c r="N564" s="16"/>
    </row>
    <row r="565">
      <c r="A565" s="16" t="str">
        <f>IFERROR(__xludf.DUMMYFUNCTION("""COMPUTED_VALUE"""),"Defender's Tenacity")</f>
        <v>Defender's Tenacity</v>
      </c>
      <c r="B565" s="120">
        <f>IFERROR(__xludf.DUMMYFUNCTION("""COMPUTED_VALUE"""),5.0)</f>
        <v>5</v>
      </c>
      <c r="C565" s="16" t="str">
        <f>IFERROR(__xludf.DUMMYFUNCTION("""COMPUTED_VALUE"""),"X")</f>
        <v>X</v>
      </c>
      <c r="D565" s="16"/>
      <c r="E565" s="16" t="str">
        <f>IFERROR(__xludf.DUMMYFUNCTION("""COMPUTED_VALUE"""),"Roll a D20 for additional defense, times it by the amount of mana you pay.")</f>
        <v>Roll a D20 for additional defense, times it by the amount of mana you pay.</v>
      </c>
      <c r="F565" s="16" t="str">
        <f>IFERROR(__xludf.DUMMYFUNCTION("""COMPUTED_VALUE"""),"Will Succeed")</f>
        <v>Will Succeed</v>
      </c>
      <c r="G565" s="16" t="str">
        <f>IFERROR(__xludf.DUMMYFUNCTION("""COMPUTED_VALUE"""),"Self")</f>
        <v>Self</v>
      </c>
      <c r="H565" s="16" t="str">
        <f>IFERROR(__xludf.DUMMYFUNCTION("""COMPUTED_VALUE"""),"Physical")</f>
        <v>Physical</v>
      </c>
      <c r="I565" s="16" t="str">
        <f>IFERROR(__xludf.DUMMYFUNCTION("""COMPUTED_VALUE"""),"Player")</f>
        <v>Player</v>
      </c>
      <c r="J565" s="16" t="b">
        <f>IFERROR(__xludf.DUMMYFUNCTION("""COMPUTED_VALUE"""),FALSE)</f>
        <v>0</v>
      </c>
      <c r="K565" s="16"/>
      <c r="L565" s="16" t="b">
        <f>IFERROR(__xludf.DUMMYFUNCTION("""COMPUTED_VALUE"""),FALSE)</f>
        <v>0</v>
      </c>
      <c r="M565" s="16" t="b">
        <f>IFERROR(__xludf.DUMMYFUNCTION("""COMPUTED_VALUE"""),FALSE)</f>
        <v>0</v>
      </c>
      <c r="N565" s="16"/>
    </row>
    <row r="566">
      <c r="A566" s="16" t="str">
        <f>IFERROR(__xludf.DUMMYFUNCTION("""COMPUTED_VALUE"""),"Marauder's Rage")</f>
        <v>Marauder's Rage</v>
      </c>
      <c r="B566" s="120">
        <f>IFERROR(__xludf.DUMMYFUNCTION("""COMPUTED_VALUE"""),5.0)</f>
        <v>5</v>
      </c>
      <c r="C566" s="16" t="str">
        <f>IFERROR(__xludf.DUMMYFUNCTION("""COMPUTED_VALUE"""),"X")</f>
        <v>X</v>
      </c>
      <c r="D566" s="16"/>
      <c r="E566" s="16" t="str">
        <f>IFERROR(__xludf.DUMMYFUNCTION("""COMPUTED_VALUE"""),"Roll a D20 for additional attack, times it by the amount of mana you pay.")</f>
        <v>Roll a D20 for additional attack, times it by the amount of mana you pay.</v>
      </c>
      <c r="F566" s="16" t="str">
        <f>IFERROR(__xludf.DUMMYFUNCTION("""COMPUTED_VALUE"""),"Will Succeed")</f>
        <v>Will Succeed</v>
      </c>
      <c r="G566" s="16" t="str">
        <f>IFERROR(__xludf.DUMMYFUNCTION("""COMPUTED_VALUE"""),"Self")</f>
        <v>Self</v>
      </c>
      <c r="H566" s="16" t="str">
        <f>IFERROR(__xludf.DUMMYFUNCTION("""COMPUTED_VALUE"""),"Melee")</f>
        <v>Melee</v>
      </c>
      <c r="I566" s="16"/>
      <c r="J566" s="16" t="b">
        <f>IFERROR(__xludf.DUMMYFUNCTION("""COMPUTED_VALUE"""),FALSE)</f>
        <v>0</v>
      </c>
      <c r="K566" s="16"/>
      <c r="L566" s="16" t="b">
        <f>IFERROR(__xludf.DUMMYFUNCTION("""COMPUTED_VALUE"""),FALSE)</f>
        <v>0</v>
      </c>
      <c r="M566" s="16" t="b">
        <f>IFERROR(__xludf.DUMMYFUNCTION("""COMPUTED_VALUE"""),FALSE)</f>
        <v>0</v>
      </c>
      <c r="N566" s="16"/>
    </row>
    <row r="567">
      <c r="A567" s="16" t="str">
        <f>IFERROR(__xludf.DUMMYFUNCTION("""COMPUTED_VALUE"""),"Warden Call")</f>
        <v>Warden Call</v>
      </c>
      <c r="B567" s="120">
        <f>IFERROR(__xludf.DUMMYFUNCTION("""COMPUTED_VALUE"""),1.0)</f>
        <v>1</v>
      </c>
      <c r="C567" s="16">
        <f>IFERROR(__xludf.DUMMYFUNCTION("""COMPUTED_VALUE"""),0.0)</f>
        <v>0</v>
      </c>
      <c r="D567" s="16"/>
      <c r="E567" s="16" t="str">
        <f>IFERROR(__xludf.DUMMYFUNCTION("""COMPUTED_VALUE"""),"Call a d4 of Dragonian Wardens to battle.")</f>
        <v>Call a d4 of Dragonian Wardens to battle.</v>
      </c>
      <c r="F567" s="16" t="str">
        <f>IFERROR(__xludf.DUMMYFUNCTION("""COMPUTED_VALUE"""),"Natural/Fail or Succeed")</f>
        <v>Natural/Fail or Succeed</v>
      </c>
      <c r="G567" s="16" t="str">
        <f>IFERROR(__xludf.DUMMYFUNCTION("""COMPUTED_VALUE"""),"Self")</f>
        <v>Self</v>
      </c>
      <c r="H567" s="16" t="str">
        <f>IFERROR(__xludf.DUMMYFUNCTION("""COMPUTED_VALUE"""),"Order")</f>
        <v>Order</v>
      </c>
      <c r="I567" s="16" t="str">
        <f>IFERROR(__xludf.DUMMYFUNCTION("""COMPUTED_VALUE"""),"Mob")</f>
        <v>Mob</v>
      </c>
      <c r="J567" s="16" t="b">
        <f>IFERROR(__xludf.DUMMYFUNCTION("""COMPUTED_VALUE"""),TRUE)</f>
        <v>1</v>
      </c>
      <c r="K567" s="16"/>
      <c r="L567" s="16" t="b">
        <f>IFERROR(__xludf.DUMMYFUNCTION("""COMPUTED_VALUE"""),FALSE)</f>
        <v>0</v>
      </c>
      <c r="M567" s="16" t="b">
        <f>IFERROR(__xludf.DUMMYFUNCTION("""COMPUTED_VALUE"""),FALSE)</f>
        <v>0</v>
      </c>
      <c r="N567" s="16"/>
    </row>
    <row r="568">
      <c r="A568" s="16" t="str">
        <f>IFERROR(__xludf.DUMMYFUNCTION("""COMPUTED_VALUE"""),"Confine")</f>
        <v>Confine</v>
      </c>
      <c r="B568" s="120">
        <f>IFERROR(__xludf.DUMMYFUNCTION("""COMPUTED_VALUE"""),1.0)</f>
        <v>1</v>
      </c>
      <c r="C568" s="16">
        <f>IFERROR(__xludf.DUMMYFUNCTION("""COMPUTED_VALUE"""),0.0)</f>
        <v>0</v>
      </c>
      <c r="D568" s="16"/>
      <c r="E568" s="16" t="str">
        <f>IFERROR(__xludf.DUMMYFUNCTION("""COMPUTED_VALUE"""),"Attempt to fit a Confining collar around a target's neck, if this power hits the target must equip the Confining Collar in an open neck slot. If they do not have an open neck slot they must replace the item in their first neck slot with the confining coll"&amp;"ar.")</f>
        <v>Attempt to fit a Confining collar around a target's neck, if this power hits the target must equip the Confining Collar in an open neck slot. If they do not have an open neck slot they must replace the item in their first neck slot with the confining collar.</v>
      </c>
      <c r="F568" s="16" t="str">
        <f>IFERROR(__xludf.DUMMYFUNCTION("""COMPUTED_VALUE"""),"Natural/Hit or Miss")</f>
        <v>Natural/Hit or Miss</v>
      </c>
      <c r="G568" s="16">
        <f>IFERROR(__xludf.DUMMYFUNCTION("""COMPUTED_VALUE"""),1.0)</f>
        <v>1</v>
      </c>
      <c r="H568" s="16" t="str">
        <f>IFERROR(__xludf.DUMMYFUNCTION("""COMPUTED_VALUE"""),"Melee")</f>
        <v>Melee</v>
      </c>
      <c r="I568" s="16" t="str">
        <f>IFERROR(__xludf.DUMMYFUNCTION("""COMPUTED_VALUE"""),"Mob")</f>
        <v>Mob</v>
      </c>
      <c r="J568" s="16" t="b">
        <f>IFERROR(__xludf.DUMMYFUNCTION("""COMPUTED_VALUE"""),TRUE)</f>
        <v>1</v>
      </c>
      <c r="K568" s="16"/>
      <c r="L568" s="16" t="b">
        <f>IFERROR(__xludf.DUMMYFUNCTION("""COMPUTED_VALUE"""),FALSE)</f>
        <v>0</v>
      </c>
      <c r="M568" s="16" t="b">
        <f>IFERROR(__xludf.DUMMYFUNCTION("""COMPUTED_VALUE"""),FALSE)</f>
        <v>0</v>
      </c>
      <c r="N568" s="16"/>
    </row>
    <row r="569">
      <c r="A569" s="16" t="str">
        <f>IFERROR(__xludf.DUMMYFUNCTION("""COMPUTED_VALUE"""),"Flames of the Undead")</f>
        <v>Flames of the Undead</v>
      </c>
      <c r="B569" s="120">
        <f>IFERROR(__xludf.DUMMYFUNCTION("""COMPUTED_VALUE"""),3.0)</f>
        <v>3</v>
      </c>
      <c r="C569" s="16" t="str">
        <f>IFERROR(__xludf.DUMMYFUNCTION("""COMPUTED_VALUE"""),"X")</f>
        <v>X</v>
      </c>
      <c r="D569" s="16"/>
      <c r="E569" s="16" t="str">
        <f>IFERROR(__xludf.DUMMYFUNCTION("""COMPUTED_VALUE"""),"Can only be used by Undead, deals X*10 damage to all non-undead enemies, and X*100 to all Undead enemies.")</f>
        <v>Can only be used by Undead, deals X*10 damage to all non-undead enemies, and X*100 to all Undead enemies.</v>
      </c>
      <c r="F569" s="16" t="str">
        <f>IFERROR(__xludf.DUMMYFUNCTION("""COMPUTED_VALUE"""),"Cannot Avoid")</f>
        <v>Cannot Avoid</v>
      </c>
      <c r="G569" s="16" t="str">
        <f>IFERROR(__xludf.DUMMYFUNCTION("""COMPUTED_VALUE"""),"All")</f>
        <v>All</v>
      </c>
      <c r="H569" s="16" t="str">
        <f>IFERROR(__xludf.DUMMYFUNCTION("""COMPUTED_VALUE"""),"Fire")</f>
        <v>Fire</v>
      </c>
      <c r="I569" s="16" t="str">
        <f>IFERROR(__xludf.DUMMYFUNCTION("""COMPUTED_VALUE"""),"Player")</f>
        <v>Player</v>
      </c>
      <c r="J569" s="16" t="b">
        <f>IFERROR(__xludf.DUMMYFUNCTION("""COMPUTED_VALUE"""),FALSE)</f>
        <v>0</v>
      </c>
      <c r="K569" s="16"/>
      <c r="L569" s="16" t="b">
        <f>IFERROR(__xludf.DUMMYFUNCTION("""COMPUTED_VALUE"""),FALSE)</f>
        <v>0</v>
      </c>
      <c r="M569" s="16" t="b">
        <f>IFERROR(__xludf.DUMMYFUNCTION("""COMPUTED_VALUE"""),FALSE)</f>
        <v>0</v>
      </c>
      <c r="N569" s="16"/>
    </row>
    <row r="570">
      <c r="A570" s="16" t="str">
        <f>IFERROR(__xludf.DUMMYFUNCTION("""COMPUTED_VALUE"""),"Chameldrian Camoflauge")</f>
        <v>Chameldrian Camoflauge</v>
      </c>
      <c r="B570" s="120">
        <f>IFERROR(__xludf.DUMMYFUNCTION("""COMPUTED_VALUE"""),1.0)</f>
        <v>1</v>
      </c>
      <c r="C570" s="119">
        <f>IFERROR(__xludf.DUMMYFUNCTION("""COMPUTED_VALUE"""),0.0)</f>
        <v>0</v>
      </c>
      <c r="D570" s="16"/>
      <c r="E570" s="16" t="str">
        <f>IFERROR(__xludf.DUMMYFUNCTION("""COMPUTED_VALUE"""),"Blend into the surroundings, becoming invisible and silent so long as you don’t attack. You cannot be attacked or affected by spells while invisible.")</f>
        <v>Blend into the surroundings, becoming invisible and silent so long as you don’t attack. You cannot be attacked or affected by spells while invisible.</v>
      </c>
      <c r="F570" s="16" t="str">
        <f>IFERROR(__xludf.DUMMYFUNCTION("""COMPUTED_VALUE"""),"Natural/Fail or Succeed")</f>
        <v>Natural/Fail or Succeed</v>
      </c>
      <c r="G570" s="16" t="str">
        <f>IFERROR(__xludf.DUMMYFUNCTION("""COMPUTED_VALUE"""),"Self")</f>
        <v>Self</v>
      </c>
      <c r="H570" s="16" t="str">
        <f>IFERROR(__xludf.DUMMYFUNCTION("""COMPUTED_VALUE"""),"Nature")</f>
        <v>Nature</v>
      </c>
      <c r="I570" s="16" t="str">
        <f>IFERROR(__xludf.DUMMYFUNCTION("""COMPUTED_VALUE"""),"Mob")</f>
        <v>Mob</v>
      </c>
      <c r="J570" s="16" t="b">
        <f>IFERROR(__xludf.DUMMYFUNCTION("""COMPUTED_VALUE"""),TRUE)</f>
        <v>1</v>
      </c>
      <c r="K570" s="16"/>
      <c r="L570" s="16" t="b">
        <f>IFERROR(__xludf.DUMMYFUNCTION("""COMPUTED_VALUE"""),FALSE)</f>
        <v>0</v>
      </c>
      <c r="M570" s="16" t="b">
        <f>IFERROR(__xludf.DUMMYFUNCTION("""COMPUTED_VALUE"""),FALSE)</f>
        <v>0</v>
      </c>
      <c r="N570" s="16"/>
    </row>
    <row r="571">
      <c r="A571" s="16"/>
      <c r="B571" s="16"/>
      <c r="C571" s="16"/>
      <c r="D571" s="16"/>
      <c r="E571" s="16"/>
      <c r="F571" s="16"/>
      <c r="G571" s="16"/>
      <c r="H571" s="16"/>
      <c r="I571" s="16"/>
      <c r="J571" s="16" t="b">
        <f>IFERROR(__xludf.DUMMYFUNCTION("""COMPUTED_VALUE"""),FALSE)</f>
        <v>0</v>
      </c>
      <c r="K571" s="16"/>
      <c r="L571" s="16" t="b">
        <f>IFERROR(__xludf.DUMMYFUNCTION("""COMPUTED_VALUE"""),FALSE)</f>
        <v>0</v>
      </c>
      <c r="M571" s="16" t="b">
        <f>IFERROR(__xludf.DUMMYFUNCTION("""COMPUTED_VALUE"""),FALSE)</f>
        <v>0</v>
      </c>
      <c r="N571" s="16"/>
    </row>
    <row r="572">
      <c r="A572" s="16"/>
      <c r="B572" s="16"/>
      <c r="C572" s="16"/>
      <c r="D572" s="16"/>
      <c r="E572" s="16"/>
      <c r="F572" s="16"/>
      <c r="G572" s="16"/>
      <c r="H572" s="16"/>
      <c r="I572" s="16"/>
      <c r="J572" s="16" t="b">
        <f>IFERROR(__xludf.DUMMYFUNCTION("""COMPUTED_VALUE"""),FALSE)</f>
        <v>0</v>
      </c>
      <c r="K572" s="16"/>
      <c r="L572" s="16" t="b">
        <f>IFERROR(__xludf.DUMMYFUNCTION("""COMPUTED_VALUE"""),FALSE)</f>
        <v>0</v>
      </c>
      <c r="M572" s="16" t="b">
        <f>IFERROR(__xludf.DUMMYFUNCTION("""COMPUTED_VALUE"""),FALSE)</f>
        <v>0</v>
      </c>
      <c r="N572" s="16"/>
    </row>
    <row r="573">
      <c r="A573" s="16"/>
      <c r="B573" s="16"/>
      <c r="C573" s="16"/>
      <c r="D573" s="16"/>
      <c r="E573" s="16"/>
      <c r="F573" s="16"/>
      <c r="G573" s="16"/>
      <c r="H573" s="16"/>
      <c r="I573" s="16"/>
      <c r="J573" s="16" t="b">
        <f>IFERROR(__xludf.DUMMYFUNCTION("""COMPUTED_VALUE"""),FALSE)</f>
        <v>0</v>
      </c>
      <c r="K573" s="16"/>
      <c r="L573" s="16" t="b">
        <f>IFERROR(__xludf.DUMMYFUNCTION("""COMPUTED_VALUE"""),FALSE)</f>
        <v>0</v>
      </c>
      <c r="M573" s="16" t="b">
        <f>IFERROR(__xludf.DUMMYFUNCTION("""COMPUTED_VALUE"""),FALSE)</f>
        <v>0</v>
      </c>
      <c r="N573" s="16"/>
    </row>
    <row r="574">
      <c r="A574" s="16"/>
      <c r="B574" s="16"/>
      <c r="C574" s="16"/>
      <c r="D574" s="16"/>
      <c r="E574" s="16"/>
      <c r="F574" s="16"/>
      <c r="G574" s="16"/>
      <c r="H574" s="16"/>
      <c r="I574" s="16"/>
      <c r="J574" s="16" t="b">
        <f>IFERROR(__xludf.DUMMYFUNCTION("""COMPUTED_VALUE"""),FALSE)</f>
        <v>0</v>
      </c>
      <c r="K574" s="16"/>
      <c r="L574" s="16" t="b">
        <f>IFERROR(__xludf.DUMMYFUNCTION("""COMPUTED_VALUE"""),FALSE)</f>
        <v>0</v>
      </c>
      <c r="M574" s="16" t="b">
        <f>IFERROR(__xludf.DUMMYFUNCTION("""COMPUTED_VALUE"""),FALSE)</f>
        <v>0</v>
      </c>
      <c r="N574" s="16"/>
    </row>
    <row r="575">
      <c r="A575" s="16"/>
      <c r="B575" s="16"/>
      <c r="C575" s="16"/>
      <c r="D575" s="16"/>
      <c r="E575" s="16"/>
      <c r="F575" s="16"/>
      <c r="G575" s="16"/>
      <c r="H575" s="16"/>
      <c r="I575" s="16"/>
      <c r="J575" s="16" t="b">
        <f>IFERROR(__xludf.DUMMYFUNCTION("""COMPUTED_VALUE"""),FALSE)</f>
        <v>0</v>
      </c>
      <c r="K575" s="16"/>
      <c r="L575" s="16" t="b">
        <f>IFERROR(__xludf.DUMMYFUNCTION("""COMPUTED_VALUE"""),FALSE)</f>
        <v>0</v>
      </c>
      <c r="M575" s="16" t="b">
        <f>IFERROR(__xludf.DUMMYFUNCTION("""COMPUTED_VALUE"""),FALSE)</f>
        <v>0</v>
      </c>
      <c r="N575" s="16"/>
    </row>
    <row r="576">
      <c r="A576" s="16"/>
      <c r="B576" s="16"/>
      <c r="C576" s="16"/>
      <c r="D576" s="16"/>
      <c r="E576" s="16"/>
      <c r="F576" s="16"/>
      <c r="G576" s="16"/>
      <c r="H576" s="16"/>
      <c r="I576" s="16"/>
      <c r="J576" s="16" t="b">
        <f>IFERROR(__xludf.DUMMYFUNCTION("""COMPUTED_VALUE"""),FALSE)</f>
        <v>0</v>
      </c>
      <c r="K576" s="16"/>
      <c r="L576" s="16" t="b">
        <f>IFERROR(__xludf.DUMMYFUNCTION("""COMPUTED_VALUE"""),FALSE)</f>
        <v>0</v>
      </c>
      <c r="M576" s="16" t="b">
        <f>IFERROR(__xludf.DUMMYFUNCTION("""COMPUTED_VALUE"""),FALSE)</f>
        <v>0</v>
      </c>
      <c r="N576" s="16"/>
    </row>
    <row r="577">
      <c r="A577" s="16"/>
      <c r="B577" s="16"/>
      <c r="C577" s="16"/>
      <c r="D577" s="16"/>
      <c r="E577" s="16"/>
      <c r="F577" s="16"/>
      <c r="G577" s="16"/>
      <c r="H577" s="16"/>
      <c r="I577" s="16"/>
      <c r="J577" s="16" t="b">
        <f>IFERROR(__xludf.DUMMYFUNCTION("""COMPUTED_VALUE"""),FALSE)</f>
        <v>0</v>
      </c>
      <c r="K577" s="16"/>
      <c r="L577" s="16" t="b">
        <f>IFERROR(__xludf.DUMMYFUNCTION("""COMPUTED_VALUE"""),FALSE)</f>
        <v>0</v>
      </c>
      <c r="M577" s="16" t="b">
        <f>IFERROR(__xludf.DUMMYFUNCTION("""COMPUTED_VALUE"""),FALSE)</f>
        <v>0</v>
      </c>
      <c r="N577" s="16"/>
    </row>
    <row r="578">
      <c r="A578" s="16"/>
      <c r="B578" s="16"/>
      <c r="C578" s="16"/>
      <c r="D578" s="16"/>
      <c r="E578" s="16"/>
      <c r="F578" s="16"/>
      <c r="G578" s="16"/>
      <c r="H578" s="16"/>
      <c r="I578" s="16"/>
      <c r="J578" s="16" t="b">
        <f>IFERROR(__xludf.DUMMYFUNCTION("""COMPUTED_VALUE"""),FALSE)</f>
        <v>0</v>
      </c>
      <c r="K578" s="16"/>
      <c r="L578" s="16" t="b">
        <f>IFERROR(__xludf.DUMMYFUNCTION("""COMPUTED_VALUE"""),FALSE)</f>
        <v>0</v>
      </c>
      <c r="M578" s="16" t="b">
        <f>IFERROR(__xludf.DUMMYFUNCTION("""COMPUTED_VALUE"""),FALSE)</f>
        <v>0</v>
      </c>
      <c r="N578" s="16"/>
    </row>
    <row r="579">
      <c r="A579" s="16"/>
      <c r="B579" s="16"/>
      <c r="C579" s="16"/>
      <c r="D579" s="16"/>
      <c r="E579" s="16"/>
      <c r="F579" s="16"/>
      <c r="G579" s="16"/>
      <c r="H579" s="16"/>
      <c r="I579" s="16"/>
      <c r="J579" s="16" t="b">
        <f>IFERROR(__xludf.DUMMYFUNCTION("""COMPUTED_VALUE"""),FALSE)</f>
        <v>0</v>
      </c>
      <c r="K579" s="16"/>
      <c r="L579" s="16" t="b">
        <f>IFERROR(__xludf.DUMMYFUNCTION("""COMPUTED_VALUE"""),FALSE)</f>
        <v>0</v>
      </c>
      <c r="M579" s="16" t="b">
        <f>IFERROR(__xludf.DUMMYFUNCTION("""COMPUTED_VALUE"""),FALSE)</f>
        <v>0</v>
      </c>
      <c r="N579" s="16"/>
    </row>
    <row r="580">
      <c r="A580" s="16"/>
      <c r="B580" s="16"/>
      <c r="C580" s="16"/>
      <c r="D580" s="16"/>
      <c r="E580" s="16"/>
      <c r="F580" s="16"/>
      <c r="G580" s="16"/>
      <c r="H580" s="16"/>
      <c r="I580" s="16"/>
      <c r="J580" s="16" t="b">
        <f>IFERROR(__xludf.DUMMYFUNCTION("""COMPUTED_VALUE"""),FALSE)</f>
        <v>0</v>
      </c>
      <c r="K580" s="16"/>
      <c r="L580" s="16" t="b">
        <f>IFERROR(__xludf.DUMMYFUNCTION("""COMPUTED_VALUE"""),FALSE)</f>
        <v>0</v>
      </c>
      <c r="M580" s="16" t="b">
        <f>IFERROR(__xludf.DUMMYFUNCTION("""COMPUTED_VALUE"""),FALSE)</f>
        <v>0</v>
      </c>
      <c r="N580" s="16"/>
    </row>
    <row r="581">
      <c r="A581" s="16"/>
      <c r="B581" s="16"/>
      <c r="C581" s="16"/>
      <c r="D581" s="16"/>
      <c r="E581" s="16"/>
      <c r="F581" s="16"/>
      <c r="G581" s="16"/>
      <c r="H581" s="16"/>
      <c r="I581" s="16"/>
      <c r="J581" s="16" t="b">
        <f>IFERROR(__xludf.DUMMYFUNCTION("""COMPUTED_VALUE"""),FALSE)</f>
        <v>0</v>
      </c>
      <c r="K581" s="16"/>
      <c r="L581" s="16" t="b">
        <f>IFERROR(__xludf.DUMMYFUNCTION("""COMPUTED_VALUE"""),FALSE)</f>
        <v>0</v>
      </c>
      <c r="M581" s="16" t="b">
        <f>IFERROR(__xludf.DUMMYFUNCTION("""COMPUTED_VALUE"""),FALSE)</f>
        <v>0</v>
      </c>
      <c r="N581" s="16"/>
    </row>
    <row r="582">
      <c r="A582" s="16"/>
      <c r="B582" s="16"/>
      <c r="C582" s="16"/>
      <c r="D582" s="16"/>
      <c r="E582" s="16"/>
      <c r="F582" s="16"/>
      <c r="G582" s="16"/>
      <c r="H582" s="16"/>
      <c r="I582" s="16"/>
      <c r="J582" s="16" t="b">
        <f>IFERROR(__xludf.DUMMYFUNCTION("""COMPUTED_VALUE"""),FALSE)</f>
        <v>0</v>
      </c>
      <c r="K582" s="16"/>
      <c r="L582" s="16" t="b">
        <f>IFERROR(__xludf.DUMMYFUNCTION("""COMPUTED_VALUE"""),FALSE)</f>
        <v>0</v>
      </c>
      <c r="M582" s="16" t="b">
        <f>IFERROR(__xludf.DUMMYFUNCTION("""COMPUTED_VALUE"""),FALSE)</f>
        <v>0</v>
      </c>
      <c r="N582" s="16"/>
    </row>
    <row r="583">
      <c r="A583" s="16"/>
      <c r="B583" s="16"/>
      <c r="C583" s="16"/>
      <c r="D583" s="16"/>
      <c r="E583" s="16"/>
      <c r="F583" s="16"/>
      <c r="G583" s="16"/>
      <c r="H583" s="16"/>
      <c r="I583" s="16"/>
      <c r="J583" s="16" t="b">
        <f>IFERROR(__xludf.DUMMYFUNCTION("""COMPUTED_VALUE"""),FALSE)</f>
        <v>0</v>
      </c>
      <c r="K583" s="16"/>
      <c r="L583" s="16" t="b">
        <f>IFERROR(__xludf.DUMMYFUNCTION("""COMPUTED_VALUE"""),FALSE)</f>
        <v>0</v>
      </c>
      <c r="M583" s="16" t="b">
        <f>IFERROR(__xludf.DUMMYFUNCTION("""COMPUTED_VALUE"""),FALSE)</f>
        <v>0</v>
      </c>
      <c r="N583" s="16"/>
    </row>
    <row r="584">
      <c r="A584" s="16"/>
      <c r="B584" s="16"/>
      <c r="C584" s="16"/>
      <c r="D584" s="16"/>
      <c r="E584" s="16"/>
      <c r="F584" s="16"/>
      <c r="G584" s="16"/>
      <c r="H584" s="16"/>
      <c r="I584" s="16"/>
      <c r="J584" s="16" t="b">
        <f>IFERROR(__xludf.DUMMYFUNCTION("""COMPUTED_VALUE"""),FALSE)</f>
        <v>0</v>
      </c>
      <c r="K584" s="16"/>
      <c r="L584" s="16" t="b">
        <f>IFERROR(__xludf.DUMMYFUNCTION("""COMPUTED_VALUE"""),FALSE)</f>
        <v>0</v>
      </c>
      <c r="M584" s="16" t="b">
        <f>IFERROR(__xludf.DUMMYFUNCTION("""COMPUTED_VALUE"""),FALSE)</f>
        <v>0</v>
      </c>
      <c r="N584" s="16"/>
    </row>
    <row r="585">
      <c r="A585" s="16"/>
      <c r="B585" s="16"/>
      <c r="C585" s="16"/>
      <c r="D585" s="16"/>
      <c r="E585" s="16"/>
      <c r="F585" s="16"/>
      <c r="G585" s="16"/>
      <c r="H585" s="16"/>
      <c r="I585" s="16"/>
      <c r="J585" s="16" t="b">
        <f>IFERROR(__xludf.DUMMYFUNCTION("""COMPUTED_VALUE"""),FALSE)</f>
        <v>0</v>
      </c>
      <c r="K585" s="16"/>
      <c r="L585" s="16" t="b">
        <f>IFERROR(__xludf.DUMMYFUNCTION("""COMPUTED_VALUE"""),FALSE)</f>
        <v>0</v>
      </c>
      <c r="M585" s="16" t="b">
        <f>IFERROR(__xludf.DUMMYFUNCTION("""COMPUTED_VALUE"""),FALSE)</f>
        <v>0</v>
      </c>
      <c r="N585" s="16"/>
    </row>
    <row r="586">
      <c r="A586" s="16"/>
      <c r="B586" s="16"/>
      <c r="C586" s="16"/>
      <c r="D586" s="16"/>
      <c r="E586" s="16"/>
      <c r="F586" s="16"/>
      <c r="G586" s="16"/>
      <c r="H586" s="16"/>
      <c r="I586" s="16"/>
      <c r="J586" s="16" t="b">
        <f>IFERROR(__xludf.DUMMYFUNCTION("""COMPUTED_VALUE"""),FALSE)</f>
        <v>0</v>
      </c>
      <c r="K586" s="16"/>
      <c r="L586" s="16" t="b">
        <f>IFERROR(__xludf.DUMMYFUNCTION("""COMPUTED_VALUE"""),FALSE)</f>
        <v>0</v>
      </c>
      <c r="M586" s="16" t="b">
        <f>IFERROR(__xludf.DUMMYFUNCTION("""COMPUTED_VALUE"""),FALSE)</f>
        <v>0</v>
      </c>
      <c r="N586" s="16"/>
    </row>
    <row r="587">
      <c r="A587" s="16"/>
      <c r="B587" s="16"/>
      <c r="C587" s="16"/>
      <c r="D587" s="16"/>
      <c r="E587" s="16"/>
      <c r="F587" s="16"/>
      <c r="G587" s="16"/>
      <c r="H587" s="16"/>
      <c r="I587" s="16"/>
      <c r="J587" s="16" t="b">
        <f>IFERROR(__xludf.DUMMYFUNCTION("""COMPUTED_VALUE"""),TRUE)</f>
        <v>1</v>
      </c>
      <c r="K587" s="16"/>
      <c r="L587" s="16" t="b">
        <f>IFERROR(__xludf.DUMMYFUNCTION("""COMPUTED_VALUE"""),FALSE)</f>
        <v>0</v>
      </c>
      <c r="M587" s="16" t="b">
        <f>IFERROR(__xludf.DUMMYFUNCTION("""COMPUTED_VALUE"""),FALSE)</f>
        <v>0</v>
      </c>
      <c r="N587" s="16"/>
    </row>
    <row r="588">
      <c r="A588" s="16"/>
      <c r="B588" s="16"/>
      <c r="C588" s="16"/>
      <c r="D588" s="16"/>
      <c r="E588" s="16"/>
      <c r="F588" s="16"/>
      <c r="G588" s="16"/>
      <c r="H588" s="16"/>
      <c r="I588" s="16"/>
      <c r="J588" s="16" t="b">
        <f>IFERROR(__xludf.DUMMYFUNCTION("""COMPUTED_VALUE"""),TRUE)</f>
        <v>1</v>
      </c>
      <c r="K588" s="16"/>
      <c r="L588" s="16" t="b">
        <f>IFERROR(__xludf.DUMMYFUNCTION("""COMPUTED_VALUE"""),FALSE)</f>
        <v>0</v>
      </c>
      <c r="M588" s="16" t="b">
        <f>IFERROR(__xludf.DUMMYFUNCTION("""COMPUTED_VALUE"""),FALSE)</f>
        <v>0</v>
      </c>
      <c r="N588" s="16"/>
    </row>
    <row r="589">
      <c r="A589" s="16"/>
      <c r="B589" s="16"/>
      <c r="C589" s="16"/>
      <c r="D589" s="16"/>
      <c r="E589" s="16"/>
      <c r="F589" s="16"/>
      <c r="G589" s="16"/>
      <c r="H589" s="16"/>
      <c r="I589" s="16"/>
      <c r="J589" s="16" t="b">
        <f>IFERROR(__xludf.DUMMYFUNCTION("""COMPUTED_VALUE"""),FALSE)</f>
        <v>0</v>
      </c>
      <c r="K589" s="16"/>
      <c r="L589" s="16" t="b">
        <f>IFERROR(__xludf.DUMMYFUNCTION("""COMPUTED_VALUE"""),FALSE)</f>
        <v>0</v>
      </c>
      <c r="M589" s="16" t="b">
        <f>IFERROR(__xludf.DUMMYFUNCTION("""COMPUTED_VALUE"""),FALSE)</f>
        <v>0</v>
      </c>
      <c r="N589" s="16"/>
    </row>
    <row r="590">
      <c r="A590" s="16"/>
      <c r="B590" s="16"/>
      <c r="C590" s="16"/>
      <c r="D590" s="16"/>
      <c r="E590" s="16"/>
      <c r="F590" s="16"/>
      <c r="G590" s="16"/>
      <c r="H590" s="16"/>
      <c r="I590" s="16"/>
      <c r="J590" s="16" t="b">
        <f>IFERROR(__xludf.DUMMYFUNCTION("""COMPUTED_VALUE"""),FALSE)</f>
        <v>0</v>
      </c>
      <c r="K590" s="16"/>
      <c r="L590" s="16" t="b">
        <f>IFERROR(__xludf.DUMMYFUNCTION("""COMPUTED_VALUE"""),FALSE)</f>
        <v>0</v>
      </c>
      <c r="M590" s="16" t="b">
        <f>IFERROR(__xludf.DUMMYFUNCTION("""COMPUTED_VALUE"""),FALSE)</f>
        <v>0</v>
      </c>
      <c r="N590" s="16"/>
    </row>
    <row r="591">
      <c r="A591" s="16"/>
      <c r="B591" s="16"/>
      <c r="C591" s="16"/>
      <c r="D591" s="16"/>
      <c r="E591" s="16"/>
      <c r="F591" s="16"/>
      <c r="G591" s="16"/>
      <c r="H591" s="16"/>
      <c r="I591" s="16"/>
      <c r="J591" s="16" t="b">
        <f>IFERROR(__xludf.DUMMYFUNCTION("""COMPUTED_VALUE"""),FALSE)</f>
        <v>0</v>
      </c>
      <c r="K591" s="16"/>
      <c r="L591" s="16" t="b">
        <f>IFERROR(__xludf.DUMMYFUNCTION("""COMPUTED_VALUE"""),FALSE)</f>
        <v>0</v>
      </c>
      <c r="M591" s="16" t="b">
        <f>IFERROR(__xludf.DUMMYFUNCTION("""COMPUTED_VALUE"""),FALSE)</f>
        <v>0</v>
      </c>
      <c r="N591" s="16"/>
    </row>
    <row r="592">
      <c r="A592" s="16"/>
      <c r="B592" s="16"/>
      <c r="C592" s="16"/>
      <c r="D592" s="16"/>
      <c r="E592" s="16"/>
      <c r="F592" s="16"/>
      <c r="G592" s="16"/>
      <c r="H592" s="16"/>
      <c r="I592" s="16"/>
      <c r="J592" s="16" t="b">
        <f>IFERROR(__xludf.DUMMYFUNCTION("""COMPUTED_VALUE"""),FALSE)</f>
        <v>0</v>
      </c>
      <c r="K592" s="16"/>
      <c r="L592" s="16" t="b">
        <f>IFERROR(__xludf.DUMMYFUNCTION("""COMPUTED_VALUE"""),FALSE)</f>
        <v>0</v>
      </c>
      <c r="M592" s="16" t="b">
        <f>IFERROR(__xludf.DUMMYFUNCTION("""COMPUTED_VALUE"""),FALSE)</f>
        <v>0</v>
      </c>
      <c r="N592" s="16"/>
    </row>
    <row r="593">
      <c r="A593" s="16"/>
      <c r="B593" s="16"/>
      <c r="C593" s="16"/>
      <c r="D593" s="16"/>
      <c r="E593" s="16"/>
      <c r="F593" s="16"/>
      <c r="G593" s="16"/>
      <c r="H593" s="16"/>
      <c r="I593" s="16"/>
      <c r="J593" s="16" t="b">
        <f>IFERROR(__xludf.DUMMYFUNCTION("""COMPUTED_VALUE"""),FALSE)</f>
        <v>0</v>
      </c>
      <c r="K593" s="16"/>
      <c r="L593" s="16" t="b">
        <f>IFERROR(__xludf.DUMMYFUNCTION("""COMPUTED_VALUE"""),FALSE)</f>
        <v>0</v>
      </c>
      <c r="M593" s="16" t="b">
        <f>IFERROR(__xludf.DUMMYFUNCTION("""COMPUTED_VALUE"""),FALSE)</f>
        <v>0</v>
      </c>
      <c r="N593" s="16"/>
    </row>
    <row r="594">
      <c r="A594" s="16"/>
      <c r="B594" s="16"/>
      <c r="C594" s="16"/>
      <c r="D594" s="16"/>
      <c r="E594" s="16"/>
      <c r="F594" s="16"/>
      <c r="G594" s="16"/>
      <c r="H594" s="16"/>
      <c r="I594" s="16"/>
      <c r="J594" s="16" t="b">
        <f>IFERROR(__xludf.DUMMYFUNCTION("""COMPUTED_VALUE"""),TRUE)</f>
        <v>1</v>
      </c>
      <c r="K594" s="16"/>
      <c r="L594" s="16" t="b">
        <f>IFERROR(__xludf.DUMMYFUNCTION("""COMPUTED_VALUE"""),FALSE)</f>
        <v>0</v>
      </c>
      <c r="M594" s="16" t="b">
        <f>IFERROR(__xludf.DUMMYFUNCTION("""COMPUTED_VALUE"""),FALSE)</f>
        <v>0</v>
      </c>
      <c r="N594" s="16"/>
    </row>
    <row r="595">
      <c r="A595" s="16"/>
      <c r="B595" s="16"/>
      <c r="C595" s="16"/>
      <c r="D595" s="16"/>
      <c r="E595" s="16"/>
      <c r="F595" s="16"/>
      <c r="G595" s="16"/>
      <c r="H595" s="16"/>
      <c r="I595" s="16"/>
      <c r="J595" s="16" t="b">
        <f>IFERROR(__xludf.DUMMYFUNCTION("""COMPUTED_VALUE"""),FALSE)</f>
        <v>0</v>
      </c>
      <c r="K595" s="16"/>
      <c r="L595" s="16" t="b">
        <f>IFERROR(__xludf.DUMMYFUNCTION("""COMPUTED_VALUE"""),FALSE)</f>
        <v>0</v>
      </c>
      <c r="M595" s="16" t="b">
        <f>IFERROR(__xludf.DUMMYFUNCTION("""COMPUTED_VALUE"""),FALSE)</f>
        <v>0</v>
      </c>
      <c r="N595" s="16"/>
    </row>
    <row r="596">
      <c r="A596" s="16"/>
      <c r="B596" s="16"/>
      <c r="C596" s="16"/>
      <c r="D596" s="16"/>
      <c r="E596" s="16"/>
      <c r="F596" s="16"/>
      <c r="G596" s="16"/>
      <c r="H596" s="16"/>
      <c r="I596" s="16"/>
      <c r="J596" s="16" t="b">
        <f>IFERROR(__xludf.DUMMYFUNCTION("""COMPUTED_VALUE"""),TRUE)</f>
        <v>1</v>
      </c>
      <c r="K596" s="16"/>
      <c r="L596" s="16" t="b">
        <f>IFERROR(__xludf.DUMMYFUNCTION("""COMPUTED_VALUE"""),FALSE)</f>
        <v>0</v>
      </c>
      <c r="M596" s="16" t="b">
        <f>IFERROR(__xludf.DUMMYFUNCTION("""COMPUTED_VALUE"""),FALSE)</f>
        <v>0</v>
      </c>
      <c r="N596" s="16"/>
    </row>
    <row r="597">
      <c r="A597" s="16"/>
      <c r="B597" s="16"/>
      <c r="C597" s="16"/>
      <c r="D597" s="16"/>
      <c r="E597" s="16"/>
      <c r="F597" s="16"/>
      <c r="G597" s="16"/>
      <c r="H597" s="16"/>
      <c r="I597" s="16"/>
      <c r="J597" s="16" t="b">
        <f>IFERROR(__xludf.DUMMYFUNCTION("""COMPUTED_VALUE"""),FALSE)</f>
        <v>0</v>
      </c>
      <c r="K597" s="16"/>
      <c r="L597" s="16" t="b">
        <f>IFERROR(__xludf.DUMMYFUNCTION("""COMPUTED_VALUE"""),FALSE)</f>
        <v>0</v>
      </c>
      <c r="M597" s="16" t="b">
        <f>IFERROR(__xludf.DUMMYFUNCTION("""COMPUTED_VALUE"""),FALSE)</f>
        <v>0</v>
      </c>
      <c r="N597" s="16"/>
    </row>
    <row r="598">
      <c r="A598" s="16"/>
      <c r="B598" s="16"/>
      <c r="C598" s="16"/>
      <c r="D598" s="16"/>
      <c r="E598" s="16"/>
      <c r="F598" s="16"/>
      <c r="G598" s="16"/>
      <c r="H598" s="16"/>
      <c r="I598" s="16"/>
      <c r="J598" s="16" t="b">
        <f>IFERROR(__xludf.DUMMYFUNCTION("""COMPUTED_VALUE"""),FALSE)</f>
        <v>0</v>
      </c>
      <c r="K598" s="16"/>
      <c r="L598" s="16" t="b">
        <f>IFERROR(__xludf.DUMMYFUNCTION("""COMPUTED_VALUE"""),FALSE)</f>
        <v>0</v>
      </c>
      <c r="M598" s="16" t="b">
        <f>IFERROR(__xludf.DUMMYFUNCTION("""COMPUTED_VALUE"""),FALSE)</f>
        <v>0</v>
      </c>
      <c r="N598" s="16"/>
    </row>
    <row r="599">
      <c r="A599" s="16"/>
      <c r="B599" s="16"/>
      <c r="C599" s="16"/>
      <c r="D599" s="16"/>
      <c r="E599" s="16"/>
      <c r="F599" s="16"/>
      <c r="G599" s="16"/>
      <c r="H599" s="16"/>
      <c r="I599" s="16"/>
      <c r="J599" s="16" t="b">
        <f>IFERROR(__xludf.DUMMYFUNCTION("""COMPUTED_VALUE"""),FALSE)</f>
        <v>0</v>
      </c>
      <c r="K599" s="16"/>
      <c r="L599" s="16" t="b">
        <f>IFERROR(__xludf.DUMMYFUNCTION("""COMPUTED_VALUE"""),FALSE)</f>
        <v>0</v>
      </c>
      <c r="M599" s="16" t="b">
        <f>IFERROR(__xludf.DUMMYFUNCTION("""COMPUTED_VALUE"""),FALSE)</f>
        <v>0</v>
      </c>
      <c r="N599" s="16"/>
    </row>
    <row r="600">
      <c r="A600" s="16"/>
      <c r="B600" s="16"/>
      <c r="C600" s="16"/>
      <c r="D600" s="16"/>
      <c r="E600" s="16"/>
      <c r="F600" s="16"/>
      <c r="G600" s="16"/>
      <c r="H600" s="16"/>
      <c r="I600" s="16"/>
      <c r="J600" s="16" t="b">
        <f>IFERROR(__xludf.DUMMYFUNCTION("""COMPUTED_VALUE"""),FALSE)</f>
        <v>0</v>
      </c>
      <c r="K600" s="16"/>
      <c r="L600" s="16" t="b">
        <f>IFERROR(__xludf.DUMMYFUNCTION("""COMPUTED_VALUE"""),FALSE)</f>
        <v>0</v>
      </c>
      <c r="M600" s="16" t="b">
        <f>IFERROR(__xludf.DUMMYFUNCTION("""COMPUTED_VALUE"""),FALSE)</f>
        <v>0</v>
      </c>
      <c r="N600" s="16"/>
    </row>
    <row r="601">
      <c r="A601" s="16"/>
      <c r="B601" s="16"/>
      <c r="C601" s="16"/>
      <c r="D601" s="16"/>
      <c r="E601" s="16"/>
      <c r="F601" s="16"/>
      <c r="G601" s="16"/>
      <c r="H601" s="16"/>
      <c r="I601" s="16"/>
      <c r="J601" s="16" t="b">
        <f>IFERROR(__xludf.DUMMYFUNCTION("""COMPUTED_VALUE"""),FALSE)</f>
        <v>0</v>
      </c>
      <c r="K601" s="16"/>
      <c r="L601" s="16" t="b">
        <f>IFERROR(__xludf.DUMMYFUNCTION("""COMPUTED_VALUE"""),FALSE)</f>
        <v>0</v>
      </c>
      <c r="M601" s="16" t="b">
        <f>IFERROR(__xludf.DUMMYFUNCTION("""COMPUTED_VALUE"""),FALSE)</f>
        <v>0</v>
      </c>
      <c r="N601" s="16"/>
    </row>
    <row r="602">
      <c r="A602" s="16"/>
      <c r="B602" s="16"/>
      <c r="C602" s="16"/>
      <c r="D602" s="16"/>
      <c r="E602" s="16"/>
      <c r="F602" s="16"/>
      <c r="G602" s="16"/>
      <c r="H602" s="16"/>
      <c r="I602" s="16"/>
      <c r="J602" s="16" t="b">
        <f>IFERROR(__xludf.DUMMYFUNCTION("""COMPUTED_VALUE"""),FALSE)</f>
        <v>0</v>
      </c>
      <c r="K602" s="16"/>
      <c r="L602" s="16" t="b">
        <f>IFERROR(__xludf.DUMMYFUNCTION("""COMPUTED_VALUE"""),FALSE)</f>
        <v>0</v>
      </c>
      <c r="M602" s="16" t="b">
        <f>IFERROR(__xludf.DUMMYFUNCTION("""COMPUTED_VALUE"""),FALSE)</f>
        <v>0</v>
      </c>
      <c r="N602" s="16"/>
    </row>
    <row r="603">
      <c r="A603" s="16"/>
      <c r="B603" s="16"/>
      <c r="C603" s="16"/>
      <c r="D603" s="16"/>
      <c r="E603" s="16"/>
      <c r="F603" s="16"/>
      <c r="G603" s="16"/>
      <c r="H603" s="16"/>
      <c r="I603" s="16"/>
      <c r="J603" s="16" t="b">
        <f>IFERROR(__xludf.DUMMYFUNCTION("""COMPUTED_VALUE"""),FALSE)</f>
        <v>0</v>
      </c>
      <c r="K603" s="16"/>
      <c r="L603" s="16" t="b">
        <f>IFERROR(__xludf.DUMMYFUNCTION("""COMPUTED_VALUE"""),FALSE)</f>
        <v>0</v>
      </c>
      <c r="M603" s="16" t="b">
        <f>IFERROR(__xludf.DUMMYFUNCTION("""COMPUTED_VALUE"""),FALSE)</f>
        <v>0</v>
      </c>
      <c r="N603" s="16"/>
    </row>
    <row r="604">
      <c r="A604" s="16"/>
      <c r="B604" s="16"/>
      <c r="C604" s="16"/>
      <c r="D604" s="16"/>
      <c r="E604" s="16"/>
      <c r="F604" s="16"/>
      <c r="G604" s="16"/>
      <c r="H604" s="16"/>
      <c r="I604" s="16"/>
      <c r="J604" s="16" t="b">
        <f>IFERROR(__xludf.DUMMYFUNCTION("""COMPUTED_VALUE"""),FALSE)</f>
        <v>0</v>
      </c>
      <c r="K604" s="16"/>
      <c r="L604" s="16" t="b">
        <f>IFERROR(__xludf.DUMMYFUNCTION("""COMPUTED_VALUE"""),FALSE)</f>
        <v>0</v>
      </c>
      <c r="M604" s="16" t="b">
        <f>IFERROR(__xludf.DUMMYFUNCTION("""COMPUTED_VALUE"""),FALSE)</f>
        <v>0</v>
      </c>
      <c r="N604" s="16"/>
    </row>
    <row r="605">
      <c r="A605" s="16"/>
      <c r="B605" s="16"/>
      <c r="C605" s="16"/>
      <c r="D605" s="16"/>
      <c r="E605" s="16"/>
      <c r="F605" s="16"/>
      <c r="G605" s="16"/>
      <c r="H605" s="16"/>
      <c r="I605" s="16"/>
      <c r="J605" s="16" t="b">
        <f>IFERROR(__xludf.DUMMYFUNCTION("""COMPUTED_VALUE"""),FALSE)</f>
        <v>0</v>
      </c>
      <c r="K605" s="16"/>
      <c r="L605" s="16" t="b">
        <f>IFERROR(__xludf.DUMMYFUNCTION("""COMPUTED_VALUE"""),FALSE)</f>
        <v>0</v>
      </c>
      <c r="M605" s="16" t="b">
        <f>IFERROR(__xludf.DUMMYFUNCTION("""COMPUTED_VALUE"""),FALSE)</f>
        <v>0</v>
      </c>
      <c r="N605" s="16"/>
    </row>
    <row r="606">
      <c r="A606" s="16"/>
      <c r="B606" s="16"/>
      <c r="C606" s="16"/>
      <c r="D606" s="16"/>
      <c r="E606" s="16"/>
      <c r="F606" s="16"/>
      <c r="G606" s="16"/>
      <c r="H606" s="16"/>
      <c r="I606" s="16"/>
      <c r="J606" s="16" t="b">
        <f>IFERROR(__xludf.DUMMYFUNCTION("""COMPUTED_VALUE"""),FALSE)</f>
        <v>0</v>
      </c>
      <c r="K606" s="16"/>
      <c r="L606" s="16" t="b">
        <f>IFERROR(__xludf.DUMMYFUNCTION("""COMPUTED_VALUE"""),FALSE)</f>
        <v>0</v>
      </c>
      <c r="M606" s="16" t="b">
        <f>IFERROR(__xludf.DUMMYFUNCTION("""COMPUTED_VALUE"""),FALSE)</f>
        <v>0</v>
      </c>
      <c r="N606" s="16"/>
    </row>
    <row r="607">
      <c r="A607" s="16"/>
      <c r="B607" s="16"/>
      <c r="C607" s="16"/>
      <c r="D607" s="16"/>
      <c r="E607" s="16"/>
      <c r="F607" s="16"/>
      <c r="G607" s="16"/>
      <c r="H607" s="16"/>
      <c r="I607" s="16"/>
      <c r="J607" s="16" t="b">
        <f>IFERROR(__xludf.DUMMYFUNCTION("""COMPUTED_VALUE"""),FALSE)</f>
        <v>0</v>
      </c>
      <c r="K607" s="16"/>
      <c r="L607" s="16" t="b">
        <f>IFERROR(__xludf.DUMMYFUNCTION("""COMPUTED_VALUE"""),FALSE)</f>
        <v>0</v>
      </c>
      <c r="M607" s="16" t="b">
        <f>IFERROR(__xludf.DUMMYFUNCTION("""COMPUTED_VALUE"""),FALSE)</f>
        <v>0</v>
      </c>
      <c r="N607" s="16"/>
    </row>
    <row r="608">
      <c r="A608" s="16"/>
      <c r="B608" s="16"/>
      <c r="C608" s="16"/>
      <c r="D608" s="16"/>
      <c r="E608" s="16"/>
      <c r="F608" s="16"/>
      <c r="G608" s="16"/>
      <c r="H608" s="16"/>
      <c r="I608" s="16"/>
      <c r="J608" s="16" t="b">
        <f>IFERROR(__xludf.DUMMYFUNCTION("""COMPUTED_VALUE"""),TRUE)</f>
        <v>1</v>
      </c>
      <c r="K608" s="16"/>
      <c r="L608" s="16" t="b">
        <f>IFERROR(__xludf.DUMMYFUNCTION("""COMPUTED_VALUE"""),FALSE)</f>
        <v>0</v>
      </c>
      <c r="M608" s="16" t="b">
        <f>IFERROR(__xludf.DUMMYFUNCTION("""COMPUTED_VALUE"""),FALSE)</f>
        <v>0</v>
      </c>
      <c r="N608" s="16"/>
    </row>
    <row r="609">
      <c r="A609" s="16"/>
      <c r="B609" s="16"/>
      <c r="C609" s="16"/>
      <c r="D609" s="16"/>
      <c r="E609" s="16"/>
      <c r="F609" s="16"/>
      <c r="G609" s="16"/>
      <c r="H609" s="16"/>
      <c r="I609" s="16"/>
      <c r="J609" s="16" t="b">
        <f>IFERROR(__xludf.DUMMYFUNCTION("""COMPUTED_VALUE"""),TRUE)</f>
        <v>1</v>
      </c>
      <c r="K609" s="16" t="str">
        <f>IFERROR(__xludf.DUMMYFUNCTION("""COMPUTED_VALUE"""),"mob power")</f>
        <v>mob power</v>
      </c>
      <c r="L609" s="16" t="b">
        <f>IFERROR(__xludf.DUMMYFUNCTION("""COMPUTED_VALUE"""),FALSE)</f>
        <v>0</v>
      </c>
      <c r="M609" s="16" t="b">
        <f>IFERROR(__xludf.DUMMYFUNCTION("""COMPUTED_VALUE"""),FALSE)</f>
        <v>0</v>
      </c>
      <c r="N609" s="16"/>
    </row>
    <row r="610">
      <c r="A610" s="16"/>
      <c r="B610" s="16"/>
      <c r="C610" s="16"/>
      <c r="D610" s="16"/>
      <c r="E610" s="16"/>
      <c r="F610" s="16"/>
      <c r="G610" s="16"/>
      <c r="H610" s="16"/>
      <c r="I610" s="16"/>
      <c r="J610" s="16" t="b">
        <f>IFERROR(__xludf.DUMMYFUNCTION("""COMPUTED_VALUE"""),FALSE)</f>
        <v>0</v>
      </c>
      <c r="K610" s="16"/>
      <c r="L610" s="16" t="b">
        <f>IFERROR(__xludf.DUMMYFUNCTION("""COMPUTED_VALUE"""),TRUE)</f>
        <v>1</v>
      </c>
      <c r="M610" s="16" t="b">
        <f>IFERROR(__xludf.DUMMYFUNCTION("""COMPUTED_VALUE"""),FALSE)</f>
        <v>0</v>
      </c>
      <c r="N610" s="16"/>
    </row>
    <row r="611">
      <c r="A611" s="16"/>
      <c r="B611" s="16"/>
      <c r="C611" s="16"/>
      <c r="D611" s="16"/>
      <c r="E611" s="16"/>
      <c r="F611" s="16"/>
      <c r="G611" s="16"/>
      <c r="H611" s="16"/>
      <c r="I611" s="16"/>
      <c r="J611" s="16" t="b">
        <f>IFERROR(__xludf.DUMMYFUNCTION("""COMPUTED_VALUE"""),FALSE)</f>
        <v>0</v>
      </c>
      <c r="K611" s="16"/>
      <c r="L611" s="16" t="b">
        <f>IFERROR(__xludf.DUMMYFUNCTION("""COMPUTED_VALUE"""),TRUE)</f>
        <v>1</v>
      </c>
      <c r="M611" s="16" t="b">
        <f>IFERROR(__xludf.DUMMYFUNCTION("""COMPUTED_VALUE"""),FALSE)</f>
        <v>0</v>
      </c>
      <c r="N611" s="16"/>
    </row>
    <row r="612">
      <c r="A612" s="16"/>
      <c r="B612" s="16"/>
      <c r="C612" s="16"/>
      <c r="D612" s="16"/>
      <c r="E612" s="16"/>
      <c r="F612" s="16"/>
      <c r="G612" s="16"/>
      <c r="H612" s="16"/>
      <c r="I612" s="16"/>
      <c r="J612" s="16" t="b">
        <f>IFERROR(__xludf.DUMMYFUNCTION("""COMPUTED_VALUE"""),FALSE)</f>
        <v>0</v>
      </c>
      <c r="K612" s="16"/>
      <c r="L612" s="16" t="b">
        <f>IFERROR(__xludf.DUMMYFUNCTION("""COMPUTED_VALUE"""),TRUE)</f>
        <v>1</v>
      </c>
      <c r="M612" s="16" t="b">
        <f>IFERROR(__xludf.DUMMYFUNCTION("""COMPUTED_VALUE"""),FALSE)</f>
        <v>0</v>
      </c>
      <c r="N612" s="16"/>
    </row>
    <row r="613">
      <c r="A613" s="16"/>
      <c r="B613" s="16"/>
      <c r="C613" s="16"/>
      <c r="D613" s="16"/>
      <c r="E613" s="16"/>
      <c r="F613" s="16"/>
      <c r="G613" s="16"/>
      <c r="H613" s="16"/>
      <c r="I613" s="16"/>
      <c r="J613" s="16" t="b">
        <f>IFERROR(__xludf.DUMMYFUNCTION("""COMPUTED_VALUE"""),FALSE)</f>
        <v>0</v>
      </c>
      <c r="K613" s="16"/>
      <c r="L613" s="16" t="b">
        <f>IFERROR(__xludf.DUMMYFUNCTION("""COMPUTED_VALUE"""),TRUE)</f>
        <v>1</v>
      </c>
      <c r="M613" s="16" t="b">
        <f>IFERROR(__xludf.DUMMYFUNCTION("""COMPUTED_VALUE"""),FALSE)</f>
        <v>0</v>
      </c>
      <c r="N613" s="16"/>
    </row>
    <row r="614">
      <c r="A614" s="16"/>
      <c r="B614" s="16"/>
      <c r="C614" s="16"/>
      <c r="D614" s="16"/>
      <c r="E614" s="16"/>
      <c r="F614" s="16"/>
      <c r="G614" s="16"/>
      <c r="H614" s="16"/>
      <c r="I614" s="16"/>
      <c r="J614" s="16" t="b">
        <f>IFERROR(__xludf.DUMMYFUNCTION("""COMPUTED_VALUE"""),FALSE)</f>
        <v>0</v>
      </c>
      <c r="K614" s="16"/>
      <c r="L614" s="16" t="b">
        <f>IFERROR(__xludf.DUMMYFUNCTION("""COMPUTED_VALUE"""),TRUE)</f>
        <v>1</v>
      </c>
      <c r="M614" s="16" t="b">
        <f>IFERROR(__xludf.DUMMYFUNCTION("""COMPUTED_VALUE"""),FALSE)</f>
        <v>0</v>
      </c>
      <c r="N614" s="16"/>
    </row>
    <row r="615">
      <c r="A615" s="16"/>
      <c r="B615" s="16"/>
      <c r="C615" s="16"/>
      <c r="D615" s="16"/>
      <c r="E615" s="16"/>
      <c r="F615" s="16"/>
      <c r="G615" s="16"/>
      <c r="H615" s="16"/>
      <c r="I615" s="16"/>
      <c r="J615" s="16" t="b">
        <f>IFERROR(__xludf.DUMMYFUNCTION("""COMPUTED_VALUE"""),FALSE)</f>
        <v>0</v>
      </c>
      <c r="K615" s="16"/>
      <c r="L615" s="16" t="b">
        <f>IFERROR(__xludf.DUMMYFUNCTION("""COMPUTED_VALUE"""),FALSE)</f>
        <v>0</v>
      </c>
      <c r="M615" s="16" t="b">
        <f>IFERROR(__xludf.DUMMYFUNCTION("""COMPUTED_VALUE"""),FALSE)</f>
        <v>0</v>
      </c>
      <c r="N615" s="16"/>
    </row>
    <row r="616">
      <c r="A616" s="16"/>
      <c r="B616" s="16"/>
      <c r="C616" s="16"/>
      <c r="D616" s="16"/>
      <c r="E616" s="16"/>
      <c r="F616" s="16"/>
      <c r="G616" s="16"/>
      <c r="H616" s="16"/>
      <c r="I616" s="16"/>
      <c r="J616" s="16" t="b">
        <f>IFERROR(__xludf.DUMMYFUNCTION("""COMPUTED_VALUE"""),FALSE)</f>
        <v>0</v>
      </c>
      <c r="K616" s="16"/>
      <c r="L616" s="16" t="b">
        <f>IFERROR(__xludf.DUMMYFUNCTION("""COMPUTED_VALUE"""),FALSE)</f>
        <v>0</v>
      </c>
      <c r="M616" s="16" t="b">
        <f>IFERROR(__xludf.DUMMYFUNCTION("""COMPUTED_VALUE"""),FALSE)</f>
        <v>0</v>
      </c>
      <c r="N616" s="16"/>
    </row>
    <row r="617">
      <c r="A617" s="16"/>
      <c r="B617" s="16"/>
      <c r="C617" s="16"/>
      <c r="D617" s="16"/>
      <c r="E617" s="16"/>
      <c r="F617" s="16"/>
      <c r="G617" s="16"/>
      <c r="H617" s="16"/>
      <c r="I617" s="16"/>
      <c r="J617" s="16" t="b">
        <f>IFERROR(__xludf.DUMMYFUNCTION("""COMPUTED_VALUE"""),FALSE)</f>
        <v>0</v>
      </c>
      <c r="K617" s="16"/>
      <c r="L617" s="16" t="b">
        <f>IFERROR(__xludf.DUMMYFUNCTION("""COMPUTED_VALUE"""),FALSE)</f>
        <v>0</v>
      </c>
      <c r="M617" s="16" t="b">
        <f>IFERROR(__xludf.DUMMYFUNCTION("""COMPUTED_VALUE"""),FALSE)</f>
        <v>0</v>
      </c>
      <c r="N617" s="16"/>
    </row>
    <row r="618">
      <c r="A618" s="16"/>
      <c r="B618" s="16"/>
      <c r="C618" s="16"/>
      <c r="D618" s="16"/>
      <c r="E618" s="16"/>
      <c r="F618" s="16"/>
      <c r="G618" s="16"/>
      <c r="H618" s="16"/>
      <c r="I618" s="16"/>
      <c r="J618" s="16" t="b">
        <f>IFERROR(__xludf.DUMMYFUNCTION("""COMPUTED_VALUE"""),FALSE)</f>
        <v>0</v>
      </c>
      <c r="K618" s="16"/>
      <c r="L618" s="16" t="b">
        <f>IFERROR(__xludf.DUMMYFUNCTION("""COMPUTED_VALUE"""),FALSE)</f>
        <v>0</v>
      </c>
      <c r="M618" s="16" t="b">
        <f>IFERROR(__xludf.DUMMYFUNCTION("""COMPUTED_VALUE"""),FALSE)</f>
        <v>0</v>
      </c>
      <c r="N618" s="16"/>
    </row>
    <row r="619">
      <c r="A619" s="16"/>
      <c r="B619" s="16"/>
      <c r="C619" s="16"/>
      <c r="D619" s="16"/>
      <c r="E619" s="16"/>
      <c r="F619" s="16"/>
      <c r="G619" s="16"/>
      <c r="H619" s="16"/>
      <c r="I619" s="16"/>
      <c r="J619" s="16" t="b">
        <f>IFERROR(__xludf.DUMMYFUNCTION("""COMPUTED_VALUE"""),FALSE)</f>
        <v>0</v>
      </c>
      <c r="K619" s="16"/>
      <c r="L619" s="16" t="b">
        <f>IFERROR(__xludf.DUMMYFUNCTION("""COMPUTED_VALUE"""),FALSE)</f>
        <v>0</v>
      </c>
      <c r="M619" s="16" t="b">
        <f>IFERROR(__xludf.DUMMYFUNCTION("""COMPUTED_VALUE"""),FALSE)</f>
        <v>0</v>
      </c>
      <c r="N619" s="16"/>
    </row>
    <row r="620">
      <c r="A620" s="16"/>
      <c r="B620" s="16"/>
      <c r="C620" s="16"/>
      <c r="D620" s="16"/>
      <c r="E620" s="16"/>
      <c r="F620" s="16"/>
      <c r="G620" s="16"/>
      <c r="H620" s="16"/>
      <c r="I620" s="16"/>
      <c r="J620" s="16" t="b">
        <f>IFERROR(__xludf.DUMMYFUNCTION("""COMPUTED_VALUE"""),FALSE)</f>
        <v>0</v>
      </c>
      <c r="K620" s="16"/>
      <c r="L620" s="16" t="b">
        <f>IFERROR(__xludf.DUMMYFUNCTION("""COMPUTED_VALUE"""),FALSE)</f>
        <v>0</v>
      </c>
      <c r="M620" s="16" t="b">
        <f>IFERROR(__xludf.DUMMYFUNCTION("""COMPUTED_VALUE"""),FALSE)</f>
        <v>0</v>
      </c>
      <c r="N620" s="16"/>
    </row>
    <row r="621">
      <c r="A621" s="16"/>
      <c r="B621" s="16"/>
      <c r="C621" s="16"/>
      <c r="D621" s="16"/>
      <c r="E621" s="16"/>
      <c r="F621" s="16"/>
      <c r="G621" s="16"/>
      <c r="H621" s="16"/>
      <c r="I621" s="16"/>
      <c r="J621" s="16" t="b">
        <f>IFERROR(__xludf.DUMMYFUNCTION("""COMPUTED_VALUE"""),FALSE)</f>
        <v>0</v>
      </c>
      <c r="K621" s="16"/>
      <c r="L621" s="16" t="b">
        <f>IFERROR(__xludf.DUMMYFUNCTION("""COMPUTED_VALUE"""),FALSE)</f>
        <v>0</v>
      </c>
      <c r="M621" s="16" t="b">
        <f>IFERROR(__xludf.DUMMYFUNCTION("""COMPUTED_VALUE"""),FALSE)</f>
        <v>0</v>
      </c>
      <c r="N621" s="16"/>
    </row>
    <row r="622">
      <c r="A622" s="16"/>
      <c r="B622" s="16"/>
      <c r="C622" s="16"/>
      <c r="D622" s="16"/>
      <c r="E622" s="16"/>
      <c r="F622" s="16"/>
      <c r="G622" s="16"/>
      <c r="H622" s="16"/>
      <c r="I622" s="16"/>
      <c r="J622" s="16" t="b">
        <f>IFERROR(__xludf.DUMMYFUNCTION("""COMPUTED_VALUE"""),FALSE)</f>
        <v>0</v>
      </c>
      <c r="K622" s="16"/>
      <c r="L622" s="16" t="b">
        <f>IFERROR(__xludf.DUMMYFUNCTION("""COMPUTED_VALUE"""),FALSE)</f>
        <v>0</v>
      </c>
      <c r="M622" s="16" t="b">
        <f>IFERROR(__xludf.DUMMYFUNCTION("""COMPUTED_VALUE"""),FALSE)</f>
        <v>0</v>
      </c>
      <c r="N622" s="16"/>
    </row>
    <row r="623">
      <c r="A623" s="16"/>
      <c r="B623" s="16"/>
      <c r="C623" s="16"/>
      <c r="D623" s="16"/>
      <c r="E623" s="16"/>
      <c r="F623" s="16"/>
      <c r="G623" s="16"/>
      <c r="H623" s="16"/>
      <c r="I623" s="16"/>
      <c r="J623" s="16" t="b">
        <f>IFERROR(__xludf.DUMMYFUNCTION("""COMPUTED_VALUE"""),FALSE)</f>
        <v>0</v>
      </c>
      <c r="K623" s="16"/>
      <c r="L623" s="16" t="b">
        <f>IFERROR(__xludf.DUMMYFUNCTION("""COMPUTED_VALUE"""),FALSE)</f>
        <v>0</v>
      </c>
      <c r="M623" s="16" t="b">
        <f>IFERROR(__xludf.DUMMYFUNCTION("""COMPUTED_VALUE"""),FALSE)</f>
        <v>0</v>
      </c>
      <c r="N623" s="16"/>
    </row>
    <row r="624">
      <c r="A624" s="16"/>
      <c r="B624" s="16"/>
      <c r="C624" s="16"/>
      <c r="D624" s="16"/>
      <c r="E624" s="16"/>
      <c r="F624" s="16"/>
      <c r="G624" s="16"/>
      <c r="H624" s="16"/>
      <c r="I624" s="16"/>
      <c r="J624" s="16" t="b">
        <f>IFERROR(__xludf.DUMMYFUNCTION("""COMPUTED_VALUE"""),FALSE)</f>
        <v>0</v>
      </c>
      <c r="K624" s="16"/>
      <c r="L624" s="16" t="b">
        <f>IFERROR(__xludf.DUMMYFUNCTION("""COMPUTED_VALUE"""),FALSE)</f>
        <v>0</v>
      </c>
      <c r="M624" s="16" t="b">
        <f>IFERROR(__xludf.DUMMYFUNCTION("""COMPUTED_VALUE"""),FALSE)</f>
        <v>0</v>
      </c>
      <c r="N624" s="16"/>
    </row>
    <row r="625">
      <c r="A625" s="16"/>
      <c r="B625" s="16"/>
      <c r="C625" s="16"/>
      <c r="D625" s="16"/>
      <c r="E625" s="16"/>
      <c r="F625" s="16"/>
      <c r="G625" s="16"/>
      <c r="H625" s="16"/>
      <c r="I625" s="16"/>
      <c r="J625" s="16" t="b">
        <f>IFERROR(__xludf.DUMMYFUNCTION("""COMPUTED_VALUE"""),FALSE)</f>
        <v>0</v>
      </c>
      <c r="K625" s="16"/>
      <c r="L625" s="16" t="b">
        <f>IFERROR(__xludf.DUMMYFUNCTION("""COMPUTED_VALUE"""),FALSE)</f>
        <v>0</v>
      </c>
      <c r="M625" s="16" t="b">
        <f>IFERROR(__xludf.DUMMYFUNCTION("""COMPUTED_VALUE"""),FALSE)</f>
        <v>0</v>
      </c>
      <c r="N625" s="16"/>
    </row>
    <row r="626">
      <c r="A626" s="16"/>
      <c r="B626" s="16"/>
      <c r="C626" s="16"/>
      <c r="D626" s="16"/>
      <c r="E626" s="16"/>
      <c r="F626" s="16"/>
      <c r="G626" s="16"/>
      <c r="H626" s="16"/>
      <c r="I626" s="16"/>
      <c r="J626" s="16" t="b">
        <f>IFERROR(__xludf.DUMMYFUNCTION("""COMPUTED_VALUE"""),FALSE)</f>
        <v>0</v>
      </c>
      <c r="K626" s="16"/>
      <c r="L626" s="16" t="b">
        <f>IFERROR(__xludf.DUMMYFUNCTION("""COMPUTED_VALUE"""),FALSE)</f>
        <v>0</v>
      </c>
      <c r="M626" s="16" t="b">
        <f>IFERROR(__xludf.DUMMYFUNCTION("""COMPUTED_VALUE"""),FALSE)</f>
        <v>0</v>
      </c>
      <c r="N626" s="16"/>
    </row>
    <row r="627">
      <c r="A627" s="16"/>
      <c r="B627" s="16"/>
      <c r="C627" s="16"/>
      <c r="D627" s="16"/>
      <c r="E627" s="16"/>
      <c r="F627" s="16"/>
      <c r="G627" s="16"/>
      <c r="H627" s="16"/>
      <c r="I627" s="16"/>
      <c r="J627" s="16" t="b">
        <f>IFERROR(__xludf.DUMMYFUNCTION("""COMPUTED_VALUE"""),FALSE)</f>
        <v>0</v>
      </c>
      <c r="K627" s="16"/>
      <c r="L627" s="16" t="b">
        <f>IFERROR(__xludf.DUMMYFUNCTION("""COMPUTED_VALUE"""),FALSE)</f>
        <v>0</v>
      </c>
      <c r="M627" s="16" t="b">
        <f>IFERROR(__xludf.DUMMYFUNCTION("""COMPUTED_VALUE"""),FALSE)</f>
        <v>0</v>
      </c>
      <c r="N627" s="16"/>
    </row>
    <row r="628">
      <c r="A628" s="16"/>
      <c r="B628" s="16"/>
      <c r="C628" s="16"/>
      <c r="D628" s="16"/>
      <c r="E628" s="16"/>
      <c r="F628" s="16"/>
      <c r="G628" s="16"/>
      <c r="H628" s="16"/>
      <c r="I628" s="16"/>
      <c r="J628" s="16" t="b">
        <f>IFERROR(__xludf.DUMMYFUNCTION("""COMPUTED_VALUE"""),FALSE)</f>
        <v>0</v>
      </c>
      <c r="K628" s="16"/>
      <c r="L628" s="16" t="b">
        <f>IFERROR(__xludf.DUMMYFUNCTION("""COMPUTED_VALUE"""),FALSE)</f>
        <v>0</v>
      </c>
      <c r="M628" s="16" t="b">
        <f>IFERROR(__xludf.DUMMYFUNCTION("""COMPUTED_VALUE"""),FALSE)</f>
        <v>0</v>
      </c>
      <c r="N628" s="16"/>
    </row>
    <row r="629">
      <c r="A629" s="16"/>
      <c r="B629" s="16"/>
      <c r="C629" s="16"/>
      <c r="D629" s="16"/>
      <c r="E629" s="16"/>
      <c r="F629" s="16"/>
      <c r="G629" s="16"/>
      <c r="H629" s="16"/>
      <c r="I629" s="16"/>
      <c r="J629" s="16" t="b">
        <f>IFERROR(__xludf.DUMMYFUNCTION("""COMPUTED_VALUE"""),FALSE)</f>
        <v>0</v>
      </c>
      <c r="K629" s="16"/>
      <c r="L629" s="16" t="b">
        <f>IFERROR(__xludf.DUMMYFUNCTION("""COMPUTED_VALUE"""),FALSE)</f>
        <v>0</v>
      </c>
      <c r="M629" s="16" t="b">
        <f>IFERROR(__xludf.DUMMYFUNCTION("""COMPUTED_VALUE"""),FALSE)</f>
        <v>0</v>
      </c>
      <c r="N629" s="16"/>
    </row>
    <row r="630">
      <c r="A630" s="16"/>
      <c r="B630" s="16"/>
      <c r="C630" s="16"/>
      <c r="D630" s="16"/>
      <c r="E630" s="16"/>
      <c r="F630" s="16"/>
      <c r="G630" s="16"/>
      <c r="H630" s="16"/>
      <c r="I630" s="16"/>
      <c r="J630" s="16" t="b">
        <f>IFERROR(__xludf.DUMMYFUNCTION("""COMPUTED_VALUE"""),FALSE)</f>
        <v>0</v>
      </c>
      <c r="K630" s="16"/>
      <c r="L630" s="16" t="b">
        <f>IFERROR(__xludf.DUMMYFUNCTION("""COMPUTED_VALUE"""),FALSE)</f>
        <v>0</v>
      </c>
      <c r="M630" s="16" t="b">
        <f>IFERROR(__xludf.DUMMYFUNCTION("""COMPUTED_VALUE"""),FALSE)</f>
        <v>0</v>
      </c>
      <c r="N630" s="16"/>
    </row>
    <row r="631">
      <c r="A631" s="16"/>
      <c r="B631" s="16"/>
      <c r="C631" s="16"/>
      <c r="D631" s="16"/>
      <c r="E631" s="16"/>
      <c r="F631" s="16"/>
      <c r="G631" s="16"/>
      <c r="H631" s="16"/>
      <c r="I631" s="16"/>
      <c r="J631" s="16" t="b">
        <f>IFERROR(__xludf.DUMMYFUNCTION("""COMPUTED_VALUE"""),FALSE)</f>
        <v>0</v>
      </c>
      <c r="K631" s="16"/>
      <c r="L631" s="16" t="b">
        <f>IFERROR(__xludf.DUMMYFUNCTION("""COMPUTED_VALUE"""),FALSE)</f>
        <v>0</v>
      </c>
      <c r="M631" s="16" t="b">
        <f>IFERROR(__xludf.DUMMYFUNCTION("""COMPUTED_VALUE"""),FALSE)</f>
        <v>0</v>
      </c>
      <c r="N631" s="16"/>
    </row>
    <row r="632">
      <c r="A632" s="16"/>
      <c r="B632" s="16"/>
      <c r="C632" s="16"/>
      <c r="D632" s="16"/>
      <c r="E632" s="16"/>
      <c r="F632" s="16"/>
      <c r="G632" s="16"/>
      <c r="H632" s="16"/>
      <c r="I632" s="16"/>
      <c r="J632" s="16" t="b">
        <f>IFERROR(__xludf.DUMMYFUNCTION("""COMPUTED_VALUE"""),FALSE)</f>
        <v>0</v>
      </c>
      <c r="K632" s="16"/>
      <c r="L632" s="16" t="b">
        <f>IFERROR(__xludf.DUMMYFUNCTION("""COMPUTED_VALUE"""),FALSE)</f>
        <v>0</v>
      </c>
      <c r="M632" s="16" t="b">
        <f>IFERROR(__xludf.DUMMYFUNCTION("""COMPUTED_VALUE"""),FALSE)</f>
        <v>0</v>
      </c>
      <c r="N632" s="16"/>
    </row>
    <row r="633">
      <c r="A633" s="16"/>
      <c r="B633" s="16"/>
      <c r="C633" s="16"/>
      <c r="D633" s="16"/>
      <c r="E633" s="16"/>
      <c r="F633" s="16"/>
      <c r="G633" s="16"/>
      <c r="H633" s="16"/>
      <c r="I633" s="16"/>
      <c r="J633" s="16" t="b">
        <f>IFERROR(__xludf.DUMMYFUNCTION("""COMPUTED_VALUE"""),FALSE)</f>
        <v>0</v>
      </c>
      <c r="K633" s="16"/>
      <c r="L633" s="16" t="b">
        <f>IFERROR(__xludf.DUMMYFUNCTION("""COMPUTED_VALUE"""),FALSE)</f>
        <v>0</v>
      </c>
      <c r="M633" s="16" t="b">
        <f>IFERROR(__xludf.DUMMYFUNCTION("""COMPUTED_VALUE"""),FALSE)</f>
        <v>0</v>
      </c>
      <c r="N633" s="16"/>
    </row>
    <row r="634">
      <c r="A634" s="16"/>
      <c r="B634" s="16"/>
      <c r="C634" s="16"/>
      <c r="D634" s="16"/>
      <c r="E634" s="16"/>
      <c r="F634" s="16"/>
      <c r="G634" s="16"/>
      <c r="H634" s="16"/>
      <c r="I634" s="16"/>
      <c r="J634" s="16" t="b">
        <f>IFERROR(__xludf.DUMMYFUNCTION("""COMPUTED_VALUE"""),FALSE)</f>
        <v>0</v>
      </c>
      <c r="K634" s="16"/>
      <c r="L634" s="16" t="b">
        <f>IFERROR(__xludf.DUMMYFUNCTION("""COMPUTED_VALUE"""),TRUE)</f>
        <v>1</v>
      </c>
      <c r="M634" s="16" t="b">
        <f>IFERROR(__xludf.DUMMYFUNCTION("""COMPUTED_VALUE"""),FALSE)</f>
        <v>0</v>
      </c>
      <c r="N634" s="16"/>
    </row>
    <row r="635">
      <c r="A635" s="16"/>
      <c r="B635" s="16"/>
      <c r="C635" s="16"/>
      <c r="D635" s="16"/>
      <c r="E635" s="16"/>
      <c r="F635" s="16"/>
      <c r="G635" s="16"/>
      <c r="H635" s="16"/>
      <c r="I635" s="16"/>
      <c r="J635" s="16" t="b">
        <f>IFERROR(__xludf.DUMMYFUNCTION("""COMPUTED_VALUE"""),FALSE)</f>
        <v>0</v>
      </c>
      <c r="K635" s="16"/>
      <c r="L635" s="16" t="b">
        <f>IFERROR(__xludf.DUMMYFUNCTION("""COMPUTED_VALUE"""),FALSE)</f>
        <v>0</v>
      </c>
      <c r="M635" s="16" t="b">
        <f>IFERROR(__xludf.DUMMYFUNCTION("""COMPUTED_VALUE"""),FALSE)</f>
        <v>0</v>
      </c>
      <c r="N635" s="16"/>
    </row>
    <row r="636">
      <c r="A636" s="16"/>
      <c r="B636" s="16"/>
      <c r="C636" s="16"/>
      <c r="D636" s="16"/>
      <c r="E636" s="16"/>
      <c r="F636" s="16"/>
      <c r="G636" s="16"/>
      <c r="H636" s="16"/>
      <c r="I636" s="16"/>
      <c r="J636" s="16" t="b">
        <f>IFERROR(__xludf.DUMMYFUNCTION("""COMPUTED_VALUE"""),FALSE)</f>
        <v>0</v>
      </c>
      <c r="K636" s="16"/>
      <c r="L636" s="16" t="b">
        <f>IFERROR(__xludf.DUMMYFUNCTION("""COMPUTED_VALUE"""),TRUE)</f>
        <v>1</v>
      </c>
      <c r="M636" s="16" t="b">
        <f>IFERROR(__xludf.DUMMYFUNCTION("""COMPUTED_VALUE"""),FALSE)</f>
        <v>0</v>
      </c>
      <c r="N636" s="16"/>
    </row>
    <row r="637">
      <c r="A637" s="16"/>
      <c r="B637" s="16"/>
      <c r="C637" s="16"/>
      <c r="D637" s="16"/>
      <c r="E637" s="16"/>
      <c r="F637" s="16"/>
      <c r="G637" s="16"/>
      <c r="H637" s="16"/>
      <c r="I637" s="16"/>
      <c r="J637" s="16" t="b">
        <f>IFERROR(__xludf.DUMMYFUNCTION("""COMPUTED_VALUE"""),FALSE)</f>
        <v>0</v>
      </c>
      <c r="K637" s="16"/>
      <c r="L637" s="16" t="b">
        <f>IFERROR(__xludf.DUMMYFUNCTION("""COMPUTED_VALUE"""),TRUE)</f>
        <v>1</v>
      </c>
      <c r="M637" s="16" t="b">
        <f>IFERROR(__xludf.DUMMYFUNCTION("""COMPUTED_VALUE"""),FALSE)</f>
        <v>0</v>
      </c>
      <c r="N637" s="16"/>
    </row>
    <row r="638">
      <c r="A638" s="16"/>
      <c r="B638" s="16"/>
      <c r="C638" s="16"/>
      <c r="D638" s="16"/>
      <c r="E638" s="16"/>
      <c r="F638" s="16"/>
      <c r="G638" s="16"/>
      <c r="H638" s="16"/>
      <c r="I638" s="16"/>
      <c r="J638" s="16" t="b">
        <f>IFERROR(__xludf.DUMMYFUNCTION("""COMPUTED_VALUE"""),FALSE)</f>
        <v>0</v>
      </c>
      <c r="K638" s="16"/>
      <c r="L638" s="16" t="b">
        <f>IFERROR(__xludf.DUMMYFUNCTION("""COMPUTED_VALUE"""),TRUE)</f>
        <v>1</v>
      </c>
      <c r="M638" s="16" t="b">
        <f>IFERROR(__xludf.DUMMYFUNCTION("""COMPUTED_VALUE"""),FALSE)</f>
        <v>0</v>
      </c>
      <c r="N638" s="16"/>
    </row>
    <row r="639">
      <c r="A639" s="16"/>
      <c r="B639" s="16"/>
      <c r="C639" s="16"/>
      <c r="D639" s="16"/>
      <c r="E639" s="16"/>
      <c r="F639" s="16"/>
      <c r="G639" s="16"/>
      <c r="H639" s="16"/>
      <c r="I639" s="16"/>
      <c r="J639" s="16" t="b">
        <f>IFERROR(__xludf.DUMMYFUNCTION("""COMPUTED_VALUE"""),TRUE)</f>
        <v>1</v>
      </c>
      <c r="K639" s="16" t="str">
        <f>IFERROR(__xludf.DUMMYFUNCTION("""COMPUTED_VALUE"""),"Mob spell")</f>
        <v>Mob spell</v>
      </c>
      <c r="L639" s="16" t="b">
        <f>IFERROR(__xludf.DUMMYFUNCTION("""COMPUTED_VALUE"""),TRUE)</f>
        <v>1</v>
      </c>
      <c r="M639" s="16" t="b">
        <f>IFERROR(__xludf.DUMMYFUNCTION("""COMPUTED_VALUE"""),FALSE)</f>
        <v>0</v>
      </c>
      <c r="N639" s="16"/>
    </row>
    <row r="640">
      <c r="A640" s="16"/>
      <c r="B640" s="16"/>
      <c r="C640" s="16"/>
      <c r="D640" s="16"/>
      <c r="E640" s="16"/>
      <c r="F640" s="16"/>
      <c r="G640" s="16"/>
      <c r="H640" s="16"/>
      <c r="I640" s="16"/>
      <c r="J640" s="16" t="b">
        <f>IFERROR(__xludf.DUMMYFUNCTION("""COMPUTED_VALUE"""),FALSE)</f>
        <v>0</v>
      </c>
      <c r="K640" s="16"/>
      <c r="L640" s="16" t="b">
        <f>IFERROR(__xludf.DUMMYFUNCTION("""COMPUTED_VALUE"""),TRUE)</f>
        <v>1</v>
      </c>
      <c r="M640" s="16" t="b">
        <f>IFERROR(__xludf.DUMMYFUNCTION("""COMPUTED_VALUE"""),FALSE)</f>
        <v>0</v>
      </c>
      <c r="N640" s="16"/>
    </row>
    <row r="641">
      <c r="A641" s="16"/>
      <c r="B641" s="16"/>
      <c r="C641" s="16"/>
      <c r="D641" s="16"/>
      <c r="E641" s="16"/>
      <c r="F641" s="16"/>
      <c r="G641" s="16"/>
      <c r="H641" s="16"/>
      <c r="I641" s="16"/>
      <c r="J641" s="16" t="b">
        <f>IFERROR(__xludf.DUMMYFUNCTION("""COMPUTED_VALUE"""),FALSE)</f>
        <v>0</v>
      </c>
      <c r="K641" s="16"/>
      <c r="L641" s="16" t="b">
        <f>IFERROR(__xludf.DUMMYFUNCTION("""COMPUTED_VALUE"""),TRUE)</f>
        <v>1</v>
      </c>
      <c r="M641" s="16" t="b">
        <f>IFERROR(__xludf.DUMMYFUNCTION("""COMPUTED_VALUE"""),FALSE)</f>
        <v>0</v>
      </c>
      <c r="N641" s="16"/>
    </row>
    <row r="642">
      <c r="A642" s="16"/>
      <c r="B642" s="16"/>
      <c r="C642" s="16"/>
      <c r="D642" s="16"/>
      <c r="E642" s="16"/>
      <c r="F642" s="16"/>
      <c r="G642" s="16"/>
      <c r="H642" s="16"/>
      <c r="I642" s="16"/>
      <c r="J642" s="16" t="b">
        <f>IFERROR(__xludf.DUMMYFUNCTION("""COMPUTED_VALUE"""),FALSE)</f>
        <v>0</v>
      </c>
      <c r="K642" s="16"/>
      <c r="L642" s="16" t="b">
        <f>IFERROR(__xludf.DUMMYFUNCTION("""COMPUTED_VALUE"""),TRUE)</f>
        <v>1</v>
      </c>
      <c r="M642" s="16" t="b">
        <f>IFERROR(__xludf.DUMMYFUNCTION("""COMPUTED_VALUE"""),FALSE)</f>
        <v>0</v>
      </c>
      <c r="N642" s="16"/>
    </row>
    <row r="643">
      <c r="A643" s="16"/>
      <c r="B643" s="16"/>
      <c r="C643" s="16"/>
      <c r="D643" s="16"/>
      <c r="E643" s="16"/>
      <c r="F643" s="16"/>
      <c r="G643" s="16"/>
      <c r="H643" s="16"/>
      <c r="I643" s="16"/>
      <c r="J643" s="16" t="b">
        <f>IFERROR(__xludf.DUMMYFUNCTION("""COMPUTED_VALUE"""),FALSE)</f>
        <v>0</v>
      </c>
      <c r="K643" s="16"/>
      <c r="L643" s="16" t="b">
        <f>IFERROR(__xludf.DUMMYFUNCTION("""COMPUTED_VALUE"""),FALSE)</f>
        <v>0</v>
      </c>
      <c r="M643" s="16" t="b">
        <f>IFERROR(__xludf.DUMMYFUNCTION("""COMPUTED_VALUE"""),FALSE)</f>
        <v>0</v>
      </c>
      <c r="N643" s="16"/>
    </row>
    <row r="644">
      <c r="A644" s="16"/>
      <c r="B644" s="16"/>
      <c r="C644" s="16"/>
      <c r="D644" s="16"/>
      <c r="E644" s="16"/>
      <c r="F644" s="16"/>
      <c r="G644" s="16"/>
      <c r="H644" s="16"/>
      <c r="I644" s="16"/>
      <c r="J644" s="16" t="b">
        <f>IFERROR(__xludf.DUMMYFUNCTION("""COMPUTED_VALUE"""),FALSE)</f>
        <v>0</v>
      </c>
      <c r="K644" s="16"/>
      <c r="L644" s="16" t="b">
        <f>IFERROR(__xludf.DUMMYFUNCTION("""COMPUTED_VALUE"""),FALSE)</f>
        <v>0</v>
      </c>
      <c r="M644" s="16" t="b">
        <f>IFERROR(__xludf.DUMMYFUNCTION("""COMPUTED_VALUE"""),FALSE)</f>
        <v>0</v>
      </c>
      <c r="N644" s="16"/>
    </row>
    <row r="645">
      <c r="A645" s="16"/>
      <c r="B645" s="16"/>
      <c r="C645" s="16"/>
      <c r="D645" s="16"/>
      <c r="E645" s="16"/>
      <c r="F645" s="16"/>
      <c r="G645" s="16"/>
      <c r="H645" s="16"/>
      <c r="I645" s="16"/>
      <c r="J645" s="16" t="b">
        <f>IFERROR(__xludf.DUMMYFUNCTION("""COMPUTED_VALUE"""),FALSE)</f>
        <v>0</v>
      </c>
      <c r="K645" s="16"/>
      <c r="L645" s="16" t="b">
        <f>IFERROR(__xludf.DUMMYFUNCTION("""COMPUTED_VALUE"""),FALSE)</f>
        <v>0</v>
      </c>
      <c r="M645" s="16" t="b">
        <f>IFERROR(__xludf.DUMMYFUNCTION("""COMPUTED_VALUE"""),FALSE)</f>
        <v>0</v>
      </c>
      <c r="N645" s="16"/>
    </row>
    <row r="646">
      <c r="A646" s="16"/>
      <c r="B646" s="16"/>
      <c r="C646" s="16"/>
      <c r="D646" s="16"/>
      <c r="E646" s="16"/>
      <c r="F646" s="16"/>
      <c r="G646" s="16"/>
      <c r="H646" s="16"/>
      <c r="I646" s="16"/>
      <c r="J646" s="16" t="b">
        <f>IFERROR(__xludf.DUMMYFUNCTION("""COMPUTED_VALUE"""),FALSE)</f>
        <v>0</v>
      </c>
      <c r="K646" s="16"/>
      <c r="L646" s="16" t="b">
        <f>IFERROR(__xludf.DUMMYFUNCTION("""COMPUTED_VALUE"""),FALSE)</f>
        <v>0</v>
      </c>
      <c r="M646" s="16" t="b">
        <f>IFERROR(__xludf.DUMMYFUNCTION("""COMPUTED_VALUE"""),FALSE)</f>
        <v>0</v>
      </c>
      <c r="N646" s="16"/>
    </row>
    <row r="647">
      <c r="A647" s="16"/>
      <c r="B647" s="16"/>
      <c r="C647" s="16"/>
      <c r="D647" s="16"/>
      <c r="E647" s="16"/>
      <c r="F647" s="16"/>
      <c r="G647" s="16"/>
      <c r="H647" s="16"/>
      <c r="I647" s="16"/>
      <c r="J647" s="16" t="b">
        <f>IFERROR(__xludf.DUMMYFUNCTION("""COMPUTED_VALUE"""),FALSE)</f>
        <v>0</v>
      </c>
      <c r="K647" s="16"/>
      <c r="L647" s="16" t="b">
        <f>IFERROR(__xludf.DUMMYFUNCTION("""COMPUTED_VALUE"""),FALSE)</f>
        <v>0</v>
      </c>
      <c r="M647" s="16" t="b">
        <f>IFERROR(__xludf.DUMMYFUNCTION("""COMPUTED_VALUE"""),FALSE)</f>
        <v>0</v>
      </c>
      <c r="N647" s="16"/>
    </row>
    <row r="648">
      <c r="A648" s="16"/>
      <c r="B648" s="16"/>
      <c r="C648" s="16"/>
      <c r="D648" s="16"/>
      <c r="E648" s="16"/>
      <c r="F648" s="16"/>
      <c r="G648" s="16"/>
      <c r="H648" s="16"/>
      <c r="I648" s="16"/>
      <c r="J648" s="16" t="b">
        <f>IFERROR(__xludf.DUMMYFUNCTION("""COMPUTED_VALUE"""),FALSE)</f>
        <v>0</v>
      </c>
      <c r="K648" s="16"/>
      <c r="L648" s="16" t="b">
        <f>IFERROR(__xludf.DUMMYFUNCTION("""COMPUTED_VALUE"""),FALSE)</f>
        <v>0</v>
      </c>
      <c r="M648" s="16" t="b">
        <f>IFERROR(__xludf.DUMMYFUNCTION("""COMPUTED_VALUE"""),FALSE)</f>
        <v>0</v>
      </c>
      <c r="N648" s="16"/>
    </row>
    <row r="649">
      <c r="A649" s="16"/>
      <c r="B649" s="16"/>
      <c r="C649" s="16"/>
      <c r="D649" s="16"/>
      <c r="E649" s="16"/>
      <c r="F649" s="16"/>
      <c r="G649" s="16"/>
      <c r="H649" s="16"/>
      <c r="I649" s="16"/>
      <c r="J649" s="16" t="b">
        <f>IFERROR(__xludf.DUMMYFUNCTION("""COMPUTED_VALUE"""),FALSE)</f>
        <v>0</v>
      </c>
      <c r="K649" s="16"/>
      <c r="L649" s="16" t="b">
        <f>IFERROR(__xludf.DUMMYFUNCTION("""COMPUTED_VALUE"""),FALSE)</f>
        <v>0</v>
      </c>
      <c r="M649" s="16" t="b">
        <f>IFERROR(__xludf.DUMMYFUNCTION("""COMPUTED_VALUE"""),FALSE)</f>
        <v>0</v>
      </c>
      <c r="N649" s="16"/>
    </row>
    <row r="650">
      <c r="A650" s="16"/>
      <c r="B650" s="16"/>
      <c r="C650" s="16"/>
      <c r="D650" s="16"/>
      <c r="E650" s="16"/>
      <c r="F650" s="16"/>
      <c r="G650" s="16"/>
      <c r="H650" s="16"/>
      <c r="I650" s="16"/>
      <c r="J650" s="16" t="b">
        <f>IFERROR(__xludf.DUMMYFUNCTION("""COMPUTED_VALUE"""),FALSE)</f>
        <v>0</v>
      </c>
      <c r="K650" s="16"/>
      <c r="L650" s="16" t="b">
        <f>IFERROR(__xludf.DUMMYFUNCTION("""COMPUTED_VALUE"""),FALSE)</f>
        <v>0</v>
      </c>
      <c r="M650" s="16" t="b">
        <f>IFERROR(__xludf.DUMMYFUNCTION("""COMPUTED_VALUE"""),FALSE)</f>
        <v>0</v>
      </c>
      <c r="N650" s="16"/>
    </row>
    <row r="651">
      <c r="A651" s="16"/>
      <c r="B651" s="16"/>
      <c r="C651" s="16"/>
      <c r="D651" s="16"/>
      <c r="E651" s="16"/>
      <c r="F651" s="16"/>
      <c r="G651" s="16"/>
      <c r="H651" s="16"/>
      <c r="I651" s="16"/>
      <c r="J651" s="16" t="b">
        <f>IFERROR(__xludf.DUMMYFUNCTION("""COMPUTED_VALUE"""),FALSE)</f>
        <v>0</v>
      </c>
      <c r="K651" s="16"/>
      <c r="L651" s="16" t="b">
        <f>IFERROR(__xludf.DUMMYFUNCTION("""COMPUTED_VALUE"""),FALSE)</f>
        <v>0</v>
      </c>
      <c r="M651" s="16" t="b">
        <f>IFERROR(__xludf.DUMMYFUNCTION("""COMPUTED_VALUE"""),FALSE)</f>
        <v>0</v>
      </c>
      <c r="N651" s="16"/>
    </row>
    <row r="652">
      <c r="A652" s="16"/>
      <c r="B652" s="16"/>
      <c r="C652" s="16"/>
      <c r="D652" s="16"/>
      <c r="E652" s="16"/>
      <c r="F652" s="16"/>
      <c r="G652" s="16"/>
      <c r="H652" s="16"/>
      <c r="I652" s="16"/>
      <c r="J652" s="16" t="b">
        <f>IFERROR(__xludf.DUMMYFUNCTION("""COMPUTED_VALUE"""),FALSE)</f>
        <v>0</v>
      </c>
      <c r="K652" s="16"/>
      <c r="L652" s="16" t="b">
        <f>IFERROR(__xludf.DUMMYFUNCTION("""COMPUTED_VALUE"""),FALSE)</f>
        <v>0</v>
      </c>
      <c r="M652" s="16" t="b">
        <f>IFERROR(__xludf.DUMMYFUNCTION("""COMPUTED_VALUE"""),FALSE)</f>
        <v>0</v>
      </c>
      <c r="N652" s="16"/>
    </row>
    <row r="653">
      <c r="A653" s="16"/>
      <c r="B653" s="16"/>
      <c r="C653" s="16"/>
      <c r="D653" s="16"/>
      <c r="E653" s="16"/>
      <c r="F653" s="16"/>
      <c r="G653" s="16"/>
      <c r="H653" s="16"/>
      <c r="I653" s="16"/>
      <c r="J653" s="16" t="b">
        <f>IFERROR(__xludf.DUMMYFUNCTION("""COMPUTED_VALUE"""),FALSE)</f>
        <v>0</v>
      </c>
      <c r="K653" s="16"/>
      <c r="L653" s="16" t="b">
        <f>IFERROR(__xludf.DUMMYFUNCTION("""COMPUTED_VALUE"""),FALSE)</f>
        <v>0</v>
      </c>
      <c r="M653" s="16" t="b">
        <f>IFERROR(__xludf.DUMMYFUNCTION("""COMPUTED_VALUE"""),FALSE)</f>
        <v>0</v>
      </c>
      <c r="N653" s="16"/>
    </row>
    <row r="654">
      <c r="A654" s="16"/>
      <c r="B654" s="16"/>
      <c r="C654" s="16"/>
      <c r="D654" s="16"/>
      <c r="E654" s="16"/>
      <c r="F654" s="16"/>
      <c r="G654" s="16"/>
      <c r="H654" s="16"/>
      <c r="I654" s="16"/>
      <c r="J654" s="16" t="b">
        <f>IFERROR(__xludf.DUMMYFUNCTION("""COMPUTED_VALUE"""),FALSE)</f>
        <v>0</v>
      </c>
      <c r="K654" s="16"/>
      <c r="L654" s="16" t="b">
        <f>IFERROR(__xludf.DUMMYFUNCTION("""COMPUTED_VALUE"""),FALSE)</f>
        <v>0</v>
      </c>
      <c r="M654" s="16" t="b">
        <f>IFERROR(__xludf.DUMMYFUNCTION("""COMPUTED_VALUE"""),FALSE)</f>
        <v>0</v>
      </c>
      <c r="N654" s="16"/>
    </row>
    <row r="655">
      <c r="A655" s="16"/>
      <c r="B655" s="16"/>
      <c r="C655" s="16"/>
      <c r="D655" s="16"/>
      <c r="E655" s="16"/>
      <c r="F655" s="16"/>
      <c r="G655" s="16"/>
      <c r="H655" s="16"/>
      <c r="I655" s="16"/>
      <c r="J655" s="16" t="b">
        <f>IFERROR(__xludf.DUMMYFUNCTION("""COMPUTED_VALUE"""),FALSE)</f>
        <v>0</v>
      </c>
      <c r="K655" s="16"/>
      <c r="L655" s="16" t="b">
        <f>IFERROR(__xludf.DUMMYFUNCTION("""COMPUTED_VALUE"""),FALSE)</f>
        <v>0</v>
      </c>
      <c r="M655" s="16" t="b">
        <f>IFERROR(__xludf.DUMMYFUNCTION("""COMPUTED_VALUE"""),FALSE)</f>
        <v>0</v>
      </c>
      <c r="N655" s="16"/>
    </row>
    <row r="656">
      <c r="A656" s="16"/>
      <c r="B656" s="16"/>
      <c r="C656" s="16"/>
      <c r="D656" s="16"/>
      <c r="E656" s="16"/>
      <c r="F656" s="16"/>
      <c r="G656" s="16"/>
      <c r="H656" s="16"/>
      <c r="I656" s="16"/>
      <c r="J656" s="16" t="b">
        <f>IFERROR(__xludf.DUMMYFUNCTION("""COMPUTED_VALUE"""),FALSE)</f>
        <v>0</v>
      </c>
      <c r="K656" s="16"/>
      <c r="L656" s="16" t="b">
        <f>IFERROR(__xludf.DUMMYFUNCTION("""COMPUTED_VALUE"""),FALSE)</f>
        <v>0</v>
      </c>
      <c r="M656" s="16" t="b">
        <f>IFERROR(__xludf.DUMMYFUNCTION("""COMPUTED_VALUE"""),FALSE)</f>
        <v>0</v>
      </c>
      <c r="N656" s="16"/>
    </row>
    <row r="657">
      <c r="A657" s="16"/>
      <c r="B657" s="16"/>
      <c r="C657" s="16"/>
      <c r="D657" s="16"/>
      <c r="E657" s="16"/>
      <c r="F657" s="16"/>
      <c r="G657" s="16"/>
      <c r="H657" s="16"/>
      <c r="I657" s="16"/>
      <c r="J657" s="16" t="b">
        <f>IFERROR(__xludf.DUMMYFUNCTION("""COMPUTED_VALUE"""),FALSE)</f>
        <v>0</v>
      </c>
      <c r="K657" s="16"/>
      <c r="L657" s="16" t="b">
        <f>IFERROR(__xludf.DUMMYFUNCTION("""COMPUTED_VALUE"""),FALSE)</f>
        <v>0</v>
      </c>
      <c r="M657" s="16" t="b">
        <f>IFERROR(__xludf.DUMMYFUNCTION("""COMPUTED_VALUE"""),FALSE)</f>
        <v>0</v>
      </c>
      <c r="N657" s="16"/>
    </row>
    <row r="658">
      <c r="A658" s="16"/>
      <c r="B658" s="16"/>
      <c r="C658" s="16"/>
      <c r="D658" s="16"/>
      <c r="E658" s="16"/>
      <c r="F658" s="16"/>
      <c r="G658" s="16"/>
      <c r="H658" s="16"/>
      <c r="I658" s="16"/>
      <c r="J658" s="16" t="b">
        <f>IFERROR(__xludf.DUMMYFUNCTION("""COMPUTED_VALUE"""),FALSE)</f>
        <v>0</v>
      </c>
      <c r="K658" s="16"/>
      <c r="L658" s="16" t="b">
        <f>IFERROR(__xludf.DUMMYFUNCTION("""COMPUTED_VALUE"""),FALSE)</f>
        <v>0</v>
      </c>
      <c r="M658" s="16" t="b">
        <f>IFERROR(__xludf.DUMMYFUNCTION("""COMPUTED_VALUE"""),FALSE)</f>
        <v>0</v>
      </c>
      <c r="N658" s="16"/>
    </row>
    <row r="659">
      <c r="A659" s="16"/>
      <c r="B659" s="16"/>
      <c r="C659" s="16"/>
      <c r="D659" s="16"/>
      <c r="E659" s="16"/>
      <c r="F659" s="16"/>
      <c r="G659" s="16"/>
      <c r="H659" s="16"/>
      <c r="I659" s="16"/>
      <c r="J659" s="16" t="b">
        <f>IFERROR(__xludf.DUMMYFUNCTION("""COMPUTED_VALUE"""),FALSE)</f>
        <v>0</v>
      </c>
      <c r="K659" s="16"/>
      <c r="L659" s="16" t="b">
        <f>IFERROR(__xludf.DUMMYFUNCTION("""COMPUTED_VALUE"""),FALSE)</f>
        <v>0</v>
      </c>
      <c r="M659" s="16" t="b">
        <f>IFERROR(__xludf.DUMMYFUNCTION("""COMPUTED_VALUE"""),FALSE)</f>
        <v>0</v>
      </c>
      <c r="N659" s="16"/>
    </row>
    <row r="660">
      <c r="A660" s="16"/>
      <c r="B660" s="16"/>
      <c r="C660" s="16"/>
      <c r="D660" s="16"/>
      <c r="E660" s="16"/>
      <c r="F660" s="16"/>
      <c r="G660" s="16"/>
      <c r="H660" s="16"/>
      <c r="I660" s="16"/>
      <c r="J660" s="16" t="b">
        <f>IFERROR(__xludf.DUMMYFUNCTION("""COMPUTED_VALUE"""),FALSE)</f>
        <v>0</v>
      </c>
      <c r="K660" s="16"/>
      <c r="L660" s="16" t="b">
        <f>IFERROR(__xludf.DUMMYFUNCTION("""COMPUTED_VALUE"""),FALSE)</f>
        <v>0</v>
      </c>
      <c r="M660" s="16" t="b">
        <f>IFERROR(__xludf.DUMMYFUNCTION("""COMPUTED_VALUE"""),FALSE)</f>
        <v>0</v>
      </c>
      <c r="N660" s="16"/>
    </row>
    <row r="661">
      <c r="A661" s="16"/>
      <c r="B661" s="16"/>
      <c r="C661" s="16"/>
      <c r="D661" s="16"/>
      <c r="E661" s="16"/>
      <c r="F661" s="16"/>
      <c r="G661" s="16"/>
      <c r="H661" s="16"/>
      <c r="I661" s="16"/>
      <c r="J661" s="16" t="b">
        <f>IFERROR(__xludf.DUMMYFUNCTION("""COMPUTED_VALUE"""),FALSE)</f>
        <v>0</v>
      </c>
      <c r="K661" s="16"/>
      <c r="L661" s="16" t="b">
        <f>IFERROR(__xludf.DUMMYFUNCTION("""COMPUTED_VALUE"""),FALSE)</f>
        <v>0</v>
      </c>
      <c r="M661" s="16" t="b">
        <f>IFERROR(__xludf.DUMMYFUNCTION("""COMPUTED_VALUE"""),FALSE)</f>
        <v>0</v>
      </c>
      <c r="N661" s="16"/>
    </row>
    <row r="662">
      <c r="A662" s="16"/>
      <c r="B662" s="16"/>
      <c r="C662" s="16"/>
      <c r="D662" s="16"/>
      <c r="E662" s="16"/>
      <c r="F662" s="16"/>
      <c r="G662" s="16"/>
      <c r="H662" s="16"/>
      <c r="I662" s="16"/>
      <c r="J662" s="16" t="b">
        <f>IFERROR(__xludf.DUMMYFUNCTION("""COMPUTED_VALUE"""),FALSE)</f>
        <v>0</v>
      </c>
      <c r="K662" s="16"/>
      <c r="L662" s="16" t="b">
        <f>IFERROR(__xludf.DUMMYFUNCTION("""COMPUTED_VALUE"""),FALSE)</f>
        <v>0</v>
      </c>
      <c r="M662" s="16" t="b">
        <f>IFERROR(__xludf.DUMMYFUNCTION("""COMPUTED_VALUE"""),FALSE)</f>
        <v>0</v>
      </c>
      <c r="N662" s="16"/>
    </row>
    <row r="663">
      <c r="A663" s="16"/>
      <c r="B663" s="16"/>
      <c r="C663" s="16"/>
      <c r="D663" s="16"/>
      <c r="E663" s="16"/>
      <c r="F663" s="16"/>
      <c r="G663" s="16"/>
      <c r="H663" s="16"/>
      <c r="I663" s="16"/>
      <c r="J663" s="16" t="b">
        <f>IFERROR(__xludf.DUMMYFUNCTION("""COMPUTED_VALUE"""),FALSE)</f>
        <v>0</v>
      </c>
      <c r="K663" s="16"/>
      <c r="L663" s="16" t="b">
        <f>IFERROR(__xludf.DUMMYFUNCTION("""COMPUTED_VALUE"""),FALSE)</f>
        <v>0</v>
      </c>
      <c r="M663" s="16" t="b">
        <f>IFERROR(__xludf.DUMMYFUNCTION("""COMPUTED_VALUE"""),FALSE)</f>
        <v>0</v>
      </c>
      <c r="N663" s="16"/>
    </row>
    <row r="664">
      <c r="A664" s="16"/>
      <c r="B664" s="16"/>
      <c r="C664" s="16"/>
      <c r="D664" s="16"/>
      <c r="E664" s="16"/>
      <c r="F664" s="16"/>
      <c r="G664" s="16"/>
      <c r="H664" s="16"/>
      <c r="I664" s="16"/>
      <c r="J664" s="16" t="b">
        <f>IFERROR(__xludf.DUMMYFUNCTION("""COMPUTED_VALUE"""),FALSE)</f>
        <v>0</v>
      </c>
      <c r="K664" s="16"/>
      <c r="L664" s="16" t="b">
        <f>IFERROR(__xludf.DUMMYFUNCTION("""COMPUTED_VALUE"""),FALSE)</f>
        <v>0</v>
      </c>
      <c r="M664" s="16" t="b">
        <f>IFERROR(__xludf.DUMMYFUNCTION("""COMPUTED_VALUE"""),FALSE)</f>
        <v>0</v>
      </c>
      <c r="N664" s="16"/>
    </row>
    <row r="665">
      <c r="A665" s="16"/>
      <c r="B665" s="16"/>
      <c r="C665" s="16"/>
      <c r="D665" s="16"/>
      <c r="E665" s="16"/>
      <c r="F665" s="16"/>
      <c r="G665" s="16"/>
      <c r="H665" s="16"/>
      <c r="I665" s="16"/>
      <c r="J665" s="16" t="b">
        <f>IFERROR(__xludf.DUMMYFUNCTION("""COMPUTED_VALUE"""),FALSE)</f>
        <v>0</v>
      </c>
      <c r="K665" s="16"/>
      <c r="L665" s="16" t="b">
        <f>IFERROR(__xludf.DUMMYFUNCTION("""COMPUTED_VALUE"""),FALSE)</f>
        <v>0</v>
      </c>
      <c r="M665" s="16" t="b">
        <f>IFERROR(__xludf.DUMMYFUNCTION("""COMPUTED_VALUE"""),FALSE)</f>
        <v>0</v>
      </c>
      <c r="N665" s="16"/>
    </row>
    <row r="666">
      <c r="A666" s="16"/>
      <c r="B666" s="16"/>
      <c r="C666" s="16"/>
      <c r="D666" s="16"/>
      <c r="E666" s="16"/>
      <c r="F666" s="16"/>
      <c r="G666" s="16"/>
      <c r="H666" s="16"/>
      <c r="I666" s="16"/>
      <c r="J666" s="16" t="b">
        <f>IFERROR(__xludf.DUMMYFUNCTION("""COMPUTED_VALUE"""),FALSE)</f>
        <v>0</v>
      </c>
      <c r="K666" s="16"/>
      <c r="L666" s="16" t="b">
        <f>IFERROR(__xludf.DUMMYFUNCTION("""COMPUTED_VALUE"""),FALSE)</f>
        <v>0</v>
      </c>
      <c r="M666" s="16" t="b">
        <f>IFERROR(__xludf.DUMMYFUNCTION("""COMPUTED_VALUE"""),FALSE)</f>
        <v>0</v>
      </c>
      <c r="N666" s="16"/>
    </row>
    <row r="667">
      <c r="A667" s="16"/>
      <c r="B667" s="16"/>
      <c r="C667" s="16"/>
      <c r="D667" s="16"/>
      <c r="E667" s="16"/>
      <c r="F667" s="16"/>
      <c r="G667" s="16"/>
      <c r="H667" s="16"/>
      <c r="I667" s="16"/>
      <c r="J667" s="16" t="b">
        <f>IFERROR(__xludf.DUMMYFUNCTION("""COMPUTED_VALUE"""),FALSE)</f>
        <v>0</v>
      </c>
      <c r="K667" s="16"/>
      <c r="L667" s="16" t="b">
        <f>IFERROR(__xludf.DUMMYFUNCTION("""COMPUTED_VALUE"""),FALSE)</f>
        <v>0</v>
      </c>
      <c r="M667" s="16" t="b">
        <f>IFERROR(__xludf.DUMMYFUNCTION("""COMPUTED_VALUE"""),FALSE)</f>
        <v>0</v>
      </c>
      <c r="N667" s="16"/>
    </row>
    <row r="668">
      <c r="A668" s="16"/>
      <c r="B668" s="16"/>
      <c r="C668" s="16"/>
      <c r="D668" s="16"/>
      <c r="E668" s="16"/>
      <c r="F668" s="16"/>
      <c r="G668" s="16"/>
      <c r="H668" s="16"/>
      <c r="I668" s="16"/>
      <c r="J668" s="16" t="b">
        <f>IFERROR(__xludf.DUMMYFUNCTION("""COMPUTED_VALUE"""),FALSE)</f>
        <v>0</v>
      </c>
      <c r="K668" s="16"/>
      <c r="L668" s="16" t="b">
        <f>IFERROR(__xludf.DUMMYFUNCTION("""COMPUTED_VALUE"""),FALSE)</f>
        <v>0</v>
      </c>
      <c r="M668" s="16" t="b">
        <f>IFERROR(__xludf.DUMMYFUNCTION("""COMPUTED_VALUE"""),FALSE)</f>
        <v>0</v>
      </c>
      <c r="N668" s="16"/>
    </row>
    <row r="669">
      <c r="A669" s="16"/>
      <c r="B669" s="16"/>
      <c r="C669" s="16"/>
      <c r="D669" s="16"/>
      <c r="E669" s="16"/>
      <c r="F669" s="16"/>
      <c r="G669" s="16"/>
      <c r="H669" s="16"/>
      <c r="I669" s="16"/>
      <c r="J669" s="16" t="b">
        <f>IFERROR(__xludf.DUMMYFUNCTION("""COMPUTED_VALUE"""),FALSE)</f>
        <v>0</v>
      </c>
      <c r="K669" s="16"/>
      <c r="L669" s="16" t="b">
        <f>IFERROR(__xludf.DUMMYFUNCTION("""COMPUTED_VALUE"""),FALSE)</f>
        <v>0</v>
      </c>
      <c r="M669" s="16" t="b">
        <f>IFERROR(__xludf.DUMMYFUNCTION("""COMPUTED_VALUE"""),FALSE)</f>
        <v>0</v>
      </c>
      <c r="N669" s="16"/>
    </row>
    <row r="670">
      <c r="A670" s="16"/>
      <c r="B670" s="16"/>
      <c r="C670" s="16"/>
      <c r="D670" s="16"/>
      <c r="E670" s="16"/>
      <c r="F670" s="16"/>
      <c r="G670" s="16"/>
      <c r="H670" s="16"/>
      <c r="I670" s="16"/>
      <c r="J670" s="16" t="b">
        <f>IFERROR(__xludf.DUMMYFUNCTION("""COMPUTED_VALUE"""),FALSE)</f>
        <v>0</v>
      </c>
      <c r="K670" s="16"/>
      <c r="L670" s="16" t="b">
        <f>IFERROR(__xludf.DUMMYFUNCTION("""COMPUTED_VALUE"""),FALSE)</f>
        <v>0</v>
      </c>
      <c r="M670" s="16" t="b">
        <f>IFERROR(__xludf.DUMMYFUNCTION("""COMPUTED_VALUE"""),FALSE)</f>
        <v>0</v>
      </c>
      <c r="N670" s="16"/>
    </row>
    <row r="671">
      <c r="A671" s="16"/>
      <c r="B671" s="16"/>
      <c r="C671" s="16"/>
      <c r="D671" s="16"/>
      <c r="E671" s="16"/>
      <c r="F671" s="16"/>
      <c r="G671" s="16"/>
      <c r="H671" s="16"/>
      <c r="I671" s="16"/>
      <c r="J671" s="16" t="b">
        <f>IFERROR(__xludf.DUMMYFUNCTION("""COMPUTED_VALUE"""),FALSE)</f>
        <v>0</v>
      </c>
      <c r="K671" s="16"/>
      <c r="L671" s="16" t="b">
        <f>IFERROR(__xludf.DUMMYFUNCTION("""COMPUTED_VALUE"""),FALSE)</f>
        <v>0</v>
      </c>
      <c r="M671" s="16" t="b">
        <f>IFERROR(__xludf.DUMMYFUNCTION("""COMPUTED_VALUE"""),FALSE)</f>
        <v>0</v>
      </c>
      <c r="N671" s="16"/>
    </row>
    <row r="672">
      <c r="A672" s="16"/>
      <c r="B672" s="16"/>
      <c r="C672" s="16"/>
      <c r="D672" s="16"/>
      <c r="E672" s="16"/>
      <c r="F672" s="16"/>
      <c r="G672" s="16"/>
      <c r="H672" s="16"/>
      <c r="I672" s="16"/>
      <c r="J672" s="16" t="b">
        <f>IFERROR(__xludf.DUMMYFUNCTION("""COMPUTED_VALUE"""),FALSE)</f>
        <v>0</v>
      </c>
      <c r="K672" s="16"/>
      <c r="L672" s="16" t="b">
        <f>IFERROR(__xludf.DUMMYFUNCTION("""COMPUTED_VALUE"""),FALSE)</f>
        <v>0</v>
      </c>
      <c r="M672" s="16" t="b">
        <f>IFERROR(__xludf.DUMMYFUNCTION("""COMPUTED_VALUE"""),FALSE)</f>
        <v>0</v>
      </c>
      <c r="N672" s="16"/>
    </row>
    <row r="673">
      <c r="A673" s="16"/>
      <c r="B673" s="16"/>
      <c r="C673" s="16"/>
      <c r="D673" s="16"/>
      <c r="E673" s="16"/>
      <c r="F673" s="16"/>
      <c r="G673" s="16"/>
      <c r="H673" s="16"/>
      <c r="I673" s="16"/>
      <c r="J673" s="16" t="b">
        <f>IFERROR(__xludf.DUMMYFUNCTION("""COMPUTED_VALUE"""),FALSE)</f>
        <v>0</v>
      </c>
      <c r="K673" s="16"/>
      <c r="L673" s="16" t="b">
        <f>IFERROR(__xludf.DUMMYFUNCTION("""COMPUTED_VALUE"""),FALSE)</f>
        <v>0</v>
      </c>
      <c r="M673" s="16" t="b">
        <f>IFERROR(__xludf.DUMMYFUNCTION("""COMPUTED_VALUE"""),FALSE)</f>
        <v>0</v>
      </c>
      <c r="N673" s="16"/>
    </row>
    <row r="674">
      <c r="A674" s="16"/>
      <c r="B674" s="16"/>
      <c r="C674" s="16"/>
      <c r="D674" s="16"/>
      <c r="E674" s="16"/>
      <c r="F674" s="16"/>
      <c r="G674" s="16"/>
      <c r="H674" s="16"/>
      <c r="I674" s="16"/>
      <c r="J674" s="16" t="b">
        <f>IFERROR(__xludf.DUMMYFUNCTION("""COMPUTED_VALUE"""),FALSE)</f>
        <v>0</v>
      </c>
      <c r="K674" s="16"/>
      <c r="L674" s="16" t="b">
        <f>IFERROR(__xludf.DUMMYFUNCTION("""COMPUTED_VALUE"""),FALSE)</f>
        <v>0</v>
      </c>
      <c r="M674" s="16" t="b">
        <f>IFERROR(__xludf.DUMMYFUNCTION("""COMPUTED_VALUE"""),FALSE)</f>
        <v>0</v>
      </c>
      <c r="N674" s="16"/>
    </row>
    <row r="675">
      <c r="A675" s="16"/>
      <c r="B675" s="16"/>
      <c r="C675" s="16"/>
      <c r="D675" s="16"/>
      <c r="E675" s="16"/>
      <c r="F675" s="16"/>
      <c r="G675" s="16"/>
      <c r="H675" s="16"/>
      <c r="I675" s="16"/>
      <c r="J675" s="16" t="b">
        <f>IFERROR(__xludf.DUMMYFUNCTION("""COMPUTED_VALUE"""),FALSE)</f>
        <v>0</v>
      </c>
      <c r="K675" s="16"/>
      <c r="L675" s="16" t="b">
        <f>IFERROR(__xludf.DUMMYFUNCTION("""COMPUTED_VALUE"""),FALSE)</f>
        <v>0</v>
      </c>
      <c r="M675" s="16" t="b">
        <f>IFERROR(__xludf.DUMMYFUNCTION("""COMPUTED_VALUE"""),FALSE)</f>
        <v>0</v>
      </c>
      <c r="N675" s="16"/>
    </row>
    <row r="676">
      <c r="A676" s="16"/>
      <c r="B676" s="16"/>
      <c r="C676" s="16"/>
      <c r="D676" s="16"/>
      <c r="E676" s="16"/>
      <c r="F676" s="16"/>
      <c r="G676" s="16"/>
      <c r="H676" s="16"/>
      <c r="I676" s="16"/>
      <c r="J676" s="16" t="b">
        <f>IFERROR(__xludf.DUMMYFUNCTION("""COMPUTED_VALUE"""),FALSE)</f>
        <v>0</v>
      </c>
      <c r="K676" s="16"/>
      <c r="L676" s="16" t="b">
        <f>IFERROR(__xludf.DUMMYFUNCTION("""COMPUTED_VALUE"""),FALSE)</f>
        <v>0</v>
      </c>
      <c r="M676" s="16" t="b">
        <f>IFERROR(__xludf.DUMMYFUNCTION("""COMPUTED_VALUE"""),FALSE)</f>
        <v>0</v>
      </c>
      <c r="N676" s="16"/>
    </row>
    <row r="677">
      <c r="A677" s="16"/>
      <c r="B677" s="16"/>
      <c r="C677" s="16"/>
      <c r="D677" s="16"/>
      <c r="E677" s="16"/>
      <c r="F677" s="16"/>
      <c r="G677" s="16"/>
      <c r="H677" s="16"/>
      <c r="I677" s="16"/>
      <c r="J677" s="16" t="b">
        <f>IFERROR(__xludf.DUMMYFUNCTION("""COMPUTED_VALUE"""),FALSE)</f>
        <v>0</v>
      </c>
      <c r="K677" s="16"/>
      <c r="L677" s="16" t="b">
        <f>IFERROR(__xludf.DUMMYFUNCTION("""COMPUTED_VALUE"""),FALSE)</f>
        <v>0</v>
      </c>
      <c r="M677" s="16" t="b">
        <f>IFERROR(__xludf.DUMMYFUNCTION("""COMPUTED_VALUE"""),FALSE)</f>
        <v>0</v>
      </c>
      <c r="N677" s="16"/>
    </row>
    <row r="678">
      <c r="A678" s="16"/>
      <c r="B678" s="16"/>
      <c r="C678" s="16"/>
      <c r="D678" s="16"/>
      <c r="E678" s="16"/>
      <c r="F678" s="16"/>
      <c r="G678" s="16"/>
      <c r="H678" s="16"/>
      <c r="I678" s="16"/>
      <c r="J678" s="16" t="b">
        <f>IFERROR(__xludf.DUMMYFUNCTION("""COMPUTED_VALUE"""),FALSE)</f>
        <v>0</v>
      </c>
      <c r="K678" s="16"/>
      <c r="L678" s="16" t="b">
        <f>IFERROR(__xludf.DUMMYFUNCTION("""COMPUTED_VALUE"""),FALSE)</f>
        <v>0</v>
      </c>
      <c r="M678" s="16" t="b">
        <f>IFERROR(__xludf.DUMMYFUNCTION("""COMPUTED_VALUE"""),FALSE)</f>
        <v>0</v>
      </c>
      <c r="N678" s="16"/>
    </row>
    <row r="679">
      <c r="A679" s="16"/>
      <c r="B679" s="16"/>
      <c r="C679" s="16"/>
      <c r="D679" s="16"/>
      <c r="E679" s="16"/>
      <c r="F679" s="16"/>
      <c r="G679" s="16"/>
      <c r="H679" s="16"/>
      <c r="I679" s="16"/>
      <c r="J679" s="16" t="b">
        <f>IFERROR(__xludf.DUMMYFUNCTION("""COMPUTED_VALUE"""),FALSE)</f>
        <v>0</v>
      </c>
      <c r="K679" s="16"/>
      <c r="L679" s="16" t="b">
        <f>IFERROR(__xludf.DUMMYFUNCTION("""COMPUTED_VALUE"""),FALSE)</f>
        <v>0</v>
      </c>
      <c r="M679" s="16" t="b">
        <f>IFERROR(__xludf.DUMMYFUNCTION("""COMPUTED_VALUE"""),FALSE)</f>
        <v>0</v>
      </c>
      <c r="N679" s="16"/>
    </row>
    <row r="680">
      <c r="A680" s="16"/>
      <c r="B680" s="16"/>
      <c r="C680" s="16"/>
      <c r="D680" s="16"/>
      <c r="E680" s="16"/>
      <c r="F680" s="16"/>
      <c r="G680" s="16"/>
      <c r="H680" s="16"/>
      <c r="I680" s="16"/>
      <c r="J680" s="16" t="b">
        <f>IFERROR(__xludf.DUMMYFUNCTION("""COMPUTED_VALUE"""),FALSE)</f>
        <v>0</v>
      </c>
      <c r="K680" s="16"/>
      <c r="L680" s="16" t="b">
        <f>IFERROR(__xludf.DUMMYFUNCTION("""COMPUTED_VALUE"""),FALSE)</f>
        <v>0</v>
      </c>
      <c r="M680" s="16" t="b">
        <f>IFERROR(__xludf.DUMMYFUNCTION("""COMPUTED_VALUE"""),FALSE)</f>
        <v>0</v>
      </c>
      <c r="N680" s="16"/>
    </row>
    <row r="681">
      <c r="A681" s="16"/>
      <c r="B681" s="16"/>
      <c r="C681" s="16"/>
      <c r="D681" s="16"/>
      <c r="E681" s="16"/>
      <c r="F681" s="16"/>
      <c r="G681" s="16"/>
      <c r="H681" s="16"/>
      <c r="I681" s="16"/>
      <c r="J681" s="16" t="b">
        <f>IFERROR(__xludf.DUMMYFUNCTION("""COMPUTED_VALUE"""),FALSE)</f>
        <v>0</v>
      </c>
      <c r="K681" s="16"/>
      <c r="L681" s="16" t="b">
        <f>IFERROR(__xludf.DUMMYFUNCTION("""COMPUTED_VALUE"""),FALSE)</f>
        <v>0</v>
      </c>
      <c r="M681" s="16" t="b">
        <f>IFERROR(__xludf.DUMMYFUNCTION("""COMPUTED_VALUE"""),FALSE)</f>
        <v>0</v>
      </c>
      <c r="N681" s="16"/>
    </row>
    <row r="682">
      <c r="A682" s="16"/>
      <c r="B682" s="16"/>
      <c r="C682" s="16"/>
      <c r="D682" s="16"/>
      <c r="E682" s="16"/>
      <c r="F682" s="16"/>
      <c r="G682" s="16"/>
      <c r="H682" s="16"/>
      <c r="I682" s="16"/>
      <c r="J682" s="16" t="b">
        <f>IFERROR(__xludf.DUMMYFUNCTION("""COMPUTED_VALUE"""),FALSE)</f>
        <v>0</v>
      </c>
      <c r="K682" s="16"/>
      <c r="L682" s="16" t="b">
        <f>IFERROR(__xludf.DUMMYFUNCTION("""COMPUTED_VALUE"""),FALSE)</f>
        <v>0</v>
      </c>
      <c r="M682" s="16" t="b">
        <f>IFERROR(__xludf.DUMMYFUNCTION("""COMPUTED_VALUE"""),FALSE)</f>
        <v>0</v>
      </c>
      <c r="N682" s="16"/>
    </row>
    <row r="683">
      <c r="A683" s="16"/>
      <c r="B683" s="16"/>
      <c r="C683" s="16"/>
      <c r="D683" s="16"/>
      <c r="E683" s="16"/>
      <c r="F683" s="16"/>
      <c r="G683" s="16"/>
      <c r="H683" s="16"/>
      <c r="I683" s="16"/>
      <c r="J683" s="16" t="b">
        <f>IFERROR(__xludf.DUMMYFUNCTION("""COMPUTED_VALUE"""),FALSE)</f>
        <v>0</v>
      </c>
      <c r="K683" s="16"/>
      <c r="L683" s="16" t="b">
        <f>IFERROR(__xludf.DUMMYFUNCTION("""COMPUTED_VALUE"""),FALSE)</f>
        <v>0</v>
      </c>
      <c r="M683" s="16" t="b">
        <f>IFERROR(__xludf.DUMMYFUNCTION("""COMPUTED_VALUE"""),FALSE)</f>
        <v>0</v>
      </c>
      <c r="N683" s="16"/>
    </row>
    <row r="684">
      <c r="A684" s="16"/>
      <c r="B684" s="16"/>
      <c r="C684" s="16"/>
      <c r="D684" s="16"/>
      <c r="E684" s="16"/>
      <c r="F684" s="16"/>
      <c r="G684" s="16"/>
      <c r="H684" s="16"/>
      <c r="I684" s="16"/>
      <c r="J684" s="16" t="b">
        <f>IFERROR(__xludf.DUMMYFUNCTION("""COMPUTED_VALUE"""),FALSE)</f>
        <v>0</v>
      </c>
      <c r="K684" s="16"/>
      <c r="L684" s="16" t="b">
        <f>IFERROR(__xludf.DUMMYFUNCTION("""COMPUTED_VALUE"""),FALSE)</f>
        <v>0</v>
      </c>
      <c r="M684" s="16" t="b">
        <f>IFERROR(__xludf.DUMMYFUNCTION("""COMPUTED_VALUE"""),FALSE)</f>
        <v>0</v>
      </c>
      <c r="N684" s="16"/>
    </row>
    <row r="685">
      <c r="A685" s="16"/>
      <c r="B685" s="16"/>
      <c r="C685" s="16"/>
      <c r="D685" s="16"/>
      <c r="E685" s="16"/>
      <c r="F685" s="16"/>
      <c r="G685" s="16"/>
      <c r="H685" s="16"/>
      <c r="I685" s="16"/>
      <c r="J685" s="16" t="b">
        <f>IFERROR(__xludf.DUMMYFUNCTION("""COMPUTED_VALUE"""),FALSE)</f>
        <v>0</v>
      </c>
      <c r="K685" s="16"/>
      <c r="L685" s="16" t="b">
        <f>IFERROR(__xludf.DUMMYFUNCTION("""COMPUTED_VALUE"""),FALSE)</f>
        <v>0</v>
      </c>
      <c r="M685" s="16" t="b">
        <f>IFERROR(__xludf.DUMMYFUNCTION("""COMPUTED_VALUE"""),FALSE)</f>
        <v>0</v>
      </c>
      <c r="N685" s="16"/>
    </row>
    <row r="686">
      <c r="A686" s="16"/>
      <c r="B686" s="16"/>
      <c r="C686" s="16"/>
      <c r="D686" s="16"/>
      <c r="E686" s="16"/>
      <c r="F686" s="16"/>
      <c r="G686" s="16"/>
      <c r="H686" s="16"/>
      <c r="I686" s="16"/>
      <c r="J686" s="16" t="b">
        <f>IFERROR(__xludf.DUMMYFUNCTION("""COMPUTED_VALUE"""),FALSE)</f>
        <v>0</v>
      </c>
      <c r="K686" s="16"/>
      <c r="L686" s="16" t="b">
        <f>IFERROR(__xludf.DUMMYFUNCTION("""COMPUTED_VALUE"""),FALSE)</f>
        <v>0</v>
      </c>
      <c r="M686" s="16" t="b">
        <f>IFERROR(__xludf.DUMMYFUNCTION("""COMPUTED_VALUE"""),FALSE)</f>
        <v>0</v>
      </c>
      <c r="N686" s="16"/>
    </row>
    <row r="687">
      <c r="A687" s="16"/>
      <c r="B687" s="16"/>
      <c r="C687" s="16"/>
      <c r="D687" s="16"/>
      <c r="E687" s="16"/>
      <c r="F687" s="16"/>
      <c r="G687" s="16"/>
      <c r="H687" s="16"/>
      <c r="I687" s="16"/>
      <c r="J687" s="16" t="b">
        <f>IFERROR(__xludf.DUMMYFUNCTION("""COMPUTED_VALUE"""),FALSE)</f>
        <v>0</v>
      </c>
      <c r="K687" s="16"/>
      <c r="L687" s="16" t="b">
        <f>IFERROR(__xludf.DUMMYFUNCTION("""COMPUTED_VALUE"""),FALSE)</f>
        <v>0</v>
      </c>
      <c r="M687" s="16" t="b">
        <f>IFERROR(__xludf.DUMMYFUNCTION("""COMPUTED_VALUE"""),FALSE)</f>
        <v>0</v>
      </c>
      <c r="N687" s="16"/>
    </row>
    <row r="688">
      <c r="A688" s="16"/>
      <c r="B688" s="16"/>
      <c r="C688" s="16"/>
      <c r="D688" s="16"/>
      <c r="E688" s="16"/>
      <c r="F688" s="16"/>
      <c r="G688" s="16"/>
      <c r="H688" s="16"/>
      <c r="I688" s="16"/>
      <c r="J688" s="16" t="b">
        <f>IFERROR(__xludf.DUMMYFUNCTION("""COMPUTED_VALUE"""),FALSE)</f>
        <v>0</v>
      </c>
      <c r="K688" s="16"/>
      <c r="L688" s="16" t="b">
        <f>IFERROR(__xludf.DUMMYFUNCTION("""COMPUTED_VALUE"""),FALSE)</f>
        <v>0</v>
      </c>
      <c r="M688" s="16" t="b">
        <f>IFERROR(__xludf.DUMMYFUNCTION("""COMPUTED_VALUE"""),FALSE)</f>
        <v>0</v>
      </c>
      <c r="N688" s="16"/>
    </row>
    <row r="689">
      <c r="A689" s="16"/>
      <c r="B689" s="16"/>
      <c r="C689" s="16"/>
      <c r="D689" s="16"/>
      <c r="E689" s="16"/>
      <c r="F689" s="16"/>
      <c r="G689" s="16"/>
      <c r="H689" s="16"/>
      <c r="I689" s="16"/>
      <c r="J689" s="16" t="b">
        <f>IFERROR(__xludf.DUMMYFUNCTION("""COMPUTED_VALUE"""),FALSE)</f>
        <v>0</v>
      </c>
      <c r="K689" s="16"/>
      <c r="L689" s="16" t="b">
        <f>IFERROR(__xludf.DUMMYFUNCTION("""COMPUTED_VALUE"""),FALSE)</f>
        <v>0</v>
      </c>
      <c r="M689" s="16" t="b">
        <f>IFERROR(__xludf.DUMMYFUNCTION("""COMPUTED_VALUE"""),FALSE)</f>
        <v>0</v>
      </c>
      <c r="N689" s="16"/>
    </row>
    <row r="690">
      <c r="A690" s="16"/>
      <c r="B690" s="16"/>
      <c r="C690" s="16"/>
      <c r="D690" s="16"/>
      <c r="E690" s="16"/>
      <c r="F690" s="16"/>
      <c r="G690" s="16"/>
      <c r="H690" s="16"/>
      <c r="I690" s="16"/>
      <c r="J690" s="16" t="b">
        <f>IFERROR(__xludf.DUMMYFUNCTION("""COMPUTED_VALUE"""),FALSE)</f>
        <v>0</v>
      </c>
      <c r="K690" s="16"/>
      <c r="L690" s="16" t="b">
        <f>IFERROR(__xludf.DUMMYFUNCTION("""COMPUTED_VALUE"""),FALSE)</f>
        <v>0</v>
      </c>
      <c r="M690" s="16" t="b">
        <f>IFERROR(__xludf.DUMMYFUNCTION("""COMPUTED_VALUE"""),FALSE)</f>
        <v>0</v>
      </c>
      <c r="N690" s="16"/>
    </row>
    <row r="691">
      <c r="A691" s="16"/>
      <c r="B691" s="16"/>
      <c r="C691" s="16"/>
      <c r="D691" s="16"/>
      <c r="E691" s="16"/>
      <c r="F691" s="16"/>
      <c r="G691" s="16"/>
      <c r="H691" s="16"/>
      <c r="I691" s="16"/>
      <c r="J691" s="16" t="b">
        <f>IFERROR(__xludf.DUMMYFUNCTION("""COMPUTED_VALUE"""),FALSE)</f>
        <v>0</v>
      </c>
      <c r="K691" s="16"/>
      <c r="L691" s="16" t="b">
        <f>IFERROR(__xludf.DUMMYFUNCTION("""COMPUTED_VALUE"""),FALSE)</f>
        <v>0</v>
      </c>
      <c r="M691" s="16" t="b">
        <f>IFERROR(__xludf.DUMMYFUNCTION("""COMPUTED_VALUE"""),FALSE)</f>
        <v>0</v>
      </c>
      <c r="N691" s="16"/>
    </row>
    <row r="692">
      <c r="A692" s="16"/>
      <c r="B692" s="16"/>
      <c r="C692" s="16"/>
      <c r="D692" s="16"/>
      <c r="E692" s="16"/>
      <c r="F692" s="16"/>
      <c r="G692" s="16"/>
      <c r="H692" s="16"/>
      <c r="I692" s="16"/>
      <c r="J692" s="16" t="b">
        <f>IFERROR(__xludf.DUMMYFUNCTION("""COMPUTED_VALUE"""),FALSE)</f>
        <v>0</v>
      </c>
      <c r="K692" s="16"/>
      <c r="L692" s="16" t="b">
        <f>IFERROR(__xludf.DUMMYFUNCTION("""COMPUTED_VALUE"""),FALSE)</f>
        <v>0</v>
      </c>
      <c r="M692" s="16" t="b">
        <f>IFERROR(__xludf.DUMMYFUNCTION("""COMPUTED_VALUE"""),FALSE)</f>
        <v>0</v>
      </c>
      <c r="N692" s="16"/>
    </row>
    <row r="693">
      <c r="A693" s="16"/>
      <c r="B693" s="16"/>
      <c r="C693" s="16"/>
      <c r="D693" s="16"/>
      <c r="E693" s="16"/>
      <c r="F693" s="16"/>
      <c r="G693" s="16"/>
      <c r="H693" s="16"/>
      <c r="I693" s="16"/>
      <c r="J693" s="16" t="b">
        <f>IFERROR(__xludf.DUMMYFUNCTION("""COMPUTED_VALUE"""),FALSE)</f>
        <v>0</v>
      </c>
      <c r="K693" s="16"/>
      <c r="L693" s="16" t="b">
        <f>IFERROR(__xludf.DUMMYFUNCTION("""COMPUTED_VALUE"""),FALSE)</f>
        <v>0</v>
      </c>
      <c r="M693" s="16" t="b">
        <f>IFERROR(__xludf.DUMMYFUNCTION("""COMPUTED_VALUE"""),FALSE)</f>
        <v>0</v>
      </c>
      <c r="N693" s="16"/>
    </row>
    <row r="694">
      <c r="A694" s="16"/>
      <c r="B694" s="16"/>
      <c r="C694" s="16"/>
      <c r="D694" s="16"/>
      <c r="E694" s="16"/>
      <c r="F694" s="16"/>
      <c r="G694" s="16"/>
      <c r="H694" s="16"/>
      <c r="I694" s="16"/>
      <c r="J694" s="16" t="b">
        <f>IFERROR(__xludf.DUMMYFUNCTION("""COMPUTED_VALUE"""),FALSE)</f>
        <v>0</v>
      </c>
      <c r="K694" s="16"/>
      <c r="L694" s="16" t="b">
        <f>IFERROR(__xludf.DUMMYFUNCTION("""COMPUTED_VALUE"""),FALSE)</f>
        <v>0</v>
      </c>
      <c r="M694" s="16" t="b">
        <f>IFERROR(__xludf.DUMMYFUNCTION("""COMPUTED_VALUE"""),FALSE)</f>
        <v>0</v>
      </c>
      <c r="N694" s="16"/>
    </row>
    <row r="695">
      <c r="A695" s="16"/>
      <c r="B695" s="16"/>
      <c r="C695" s="16"/>
      <c r="D695" s="16"/>
      <c r="E695" s="16"/>
      <c r="F695" s="16"/>
      <c r="G695" s="16"/>
      <c r="H695" s="16"/>
      <c r="I695" s="16"/>
      <c r="J695" s="16" t="b">
        <f>IFERROR(__xludf.DUMMYFUNCTION("""COMPUTED_VALUE"""),FALSE)</f>
        <v>0</v>
      </c>
      <c r="K695" s="16"/>
      <c r="L695" s="16" t="b">
        <f>IFERROR(__xludf.DUMMYFUNCTION("""COMPUTED_VALUE"""),FALSE)</f>
        <v>0</v>
      </c>
      <c r="M695" s="16" t="b">
        <f>IFERROR(__xludf.DUMMYFUNCTION("""COMPUTED_VALUE"""),FALSE)</f>
        <v>0</v>
      </c>
      <c r="N695" s="16"/>
    </row>
    <row r="696">
      <c r="A696" s="16"/>
      <c r="B696" s="16"/>
      <c r="C696" s="16"/>
      <c r="D696" s="16"/>
      <c r="E696" s="16"/>
      <c r="F696" s="16"/>
      <c r="G696" s="16"/>
      <c r="H696" s="16"/>
      <c r="I696" s="16"/>
      <c r="J696" s="16" t="b">
        <f>IFERROR(__xludf.DUMMYFUNCTION("""COMPUTED_VALUE"""),FALSE)</f>
        <v>0</v>
      </c>
      <c r="K696" s="16"/>
      <c r="L696" s="16" t="b">
        <f>IFERROR(__xludf.DUMMYFUNCTION("""COMPUTED_VALUE"""),FALSE)</f>
        <v>0</v>
      </c>
      <c r="M696" s="16" t="b">
        <f>IFERROR(__xludf.DUMMYFUNCTION("""COMPUTED_VALUE"""),FALSE)</f>
        <v>0</v>
      </c>
      <c r="N696" s="16"/>
    </row>
    <row r="697">
      <c r="A697" s="16"/>
      <c r="B697" s="16"/>
      <c r="C697" s="16"/>
      <c r="D697" s="16"/>
      <c r="E697" s="16"/>
      <c r="F697" s="16"/>
      <c r="G697" s="16"/>
      <c r="H697" s="16"/>
      <c r="I697" s="16"/>
      <c r="J697" s="16" t="b">
        <f>IFERROR(__xludf.DUMMYFUNCTION("""COMPUTED_VALUE"""),FALSE)</f>
        <v>0</v>
      </c>
      <c r="K697" s="16"/>
      <c r="L697" s="16" t="b">
        <f>IFERROR(__xludf.DUMMYFUNCTION("""COMPUTED_VALUE"""),FALSE)</f>
        <v>0</v>
      </c>
      <c r="M697" s="16" t="b">
        <f>IFERROR(__xludf.DUMMYFUNCTION("""COMPUTED_VALUE"""),FALSE)</f>
        <v>0</v>
      </c>
      <c r="N697" s="16"/>
    </row>
    <row r="698">
      <c r="A698" s="16"/>
      <c r="B698" s="16"/>
      <c r="C698" s="16"/>
      <c r="D698" s="16"/>
      <c r="E698" s="16"/>
      <c r="F698" s="16"/>
      <c r="G698" s="16"/>
      <c r="H698" s="16"/>
      <c r="I698" s="16"/>
      <c r="J698" s="16" t="b">
        <f>IFERROR(__xludf.DUMMYFUNCTION("""COMPUTED_VALUE"""),FALSE)</f>
        <v>0</v>
      </c>
      <c r="K698" s="16"/>
      <c r="L698" s="16" t="b">
        <f>IFERROR(__xludf.DUMMYFUNCTION("""COMPUTED_VALUE"""),FALSE)</f>
        <v>0</v>
      </c>
      <c r="M698" s="16" t="b">
        <f>IFERROR(__xludf.DUMMYFUNCTION("""COMPUTED_VALUE"""),FALSE)</f>
        <v>0</v>
      </c>
      <c r="N698" s="16"/>
    </row>
    <row r="699">
      <c r="A699" s="16"/>
      <c r="B699" s="16"/>
      <c r="C699" s="16"/>
      <c r="D699" s="16"/>
      <c r="E699" s="16"/>
      <c r="F699" s="16"/>
      <c r="G699" s="16"/>
      <c r="H699" s="16"/>
      <c r="I699" s="16"/>
      <c r="J699" s="16" t="b">
        <f>IFERROR(__xludf.DUMMYFUNCTION("""COMPUTED_VALUE"""),FALSE)</f>
        <v>0</v>
      </c>
      <c r="K699" s="16"/>
      <c r="L699" s="16" t="b">
        <f>IFERROR(__xludf.DUMMYFUNCTION("""COMPUTED_VALUE"""),FALSE)</f>
        <v>0</v>
      </c>
      <c r="M699" s="16" t="b">
        <f>IFERROR(__xludf.DUMMYFUNCTION("""COMPUTED_VALUE"""),FALSE)</f>
        <v>0</v>
      </c>
      <c r="N699" s="16"/>
    </row>
    <row r="700">
      <c r="A700" s="16"/>
      <c r="B700" s="16"/>
      <c r="C700" s="16"/>
      <c r="D700" s="16"/>
      <c r="E700" s="16"/>
      <c r="F700" s="16"/>
      <c r="G700" s="16"/>
      <c r="H700" s="16"/>
      <c r="I700" s="16"/>
      <c r="J700" s="16" t="b">
        <f>IFERROR(__xludf.DUMMYFUNCTION("""COMPUTED_VALUE"""),FALSE)</f>
        <v>0</v>
      </c>
      <c r="K700" s="16"/>
      <c r="L700" s="16" t="b">
        <f>IFERROR(__xludf.DUMMYFUNCTION("""COMPUTED_VALUE"""),FALSE)</f>
        <v>0</v>
      </c>
      <c r="M700" s="16" t="b">
        <f>IFERROR(__xludf.DUMMYFUNCTION("""COMPUTED_VALUE"""),FALSE)</f>
        <v>0</v>
      </c>
      <c r="N700" s="16"/>
    </row>
    <row r="701">
      <c r="A701" s="16"/>
      <c r="B701" s="16"/>
      <c r="C701" s="16"/>
      <c r="D701" s="16"/>
      <c r="E701" s="16"/>
      <c r="F701" s="16"/>
      <c r="G701" s="16"/>
      <c r="H701" s="16"/>
      <c r="I701" s="16"/>
      <c r="J701" s="16" t="b">
        <f>IFERROR(__xludf.DUMMYFUNCTION("""COMPUTED_VALUE"""),FALSE)</f>
        <v>0</v>
      </c>
      <c r="K701" s="16"/>
      <c r="L701" s="16" t="b">
        <f>IFERROR(__xludf.DUMMYFUNCTION("""COMPUTED_VALUE"""),FALSE)</f>
        <v>0</v>
      </c>
      <c r="M701" s="16" t="b">
        <f>IFERROR(__xludf.DUMMYFUNCTION("""COMPUTED_VALUE"""),FALSE)</f>
        <v>0</v>
      </c>
      <c r="N701" s="16"/>
    </row>
    <row r="702">
      <c r="A702" s="16"/>
      <c r="B702" s="16"/>
      <c r="C702" s="16"/>
      <c r="D702" s="16"/>
      <c r="E702" s="16"/>
      <c r="F702" s="16"/>
      <c r="G702" s="16"/>
      <c r="H702" s="16"/>
      <c r="I702" s="16"/>
      <c r="J702" s="16" t="b">
        <f>IFERROR(__xludf.DUMMYFUNCTION("""COMPUTED_VALUE"""),FALSE)</f>
        <v>0</v>
      </c>
      <c r="K702" s="16"/>
      <c r="L702" s="16" t="b">
        <f>IFERROR(__xludf.DUMMYFUNCTION("""COMPUTED_VALUE"""),FALSE)</f>
        <v>0</v>
      </c>
      <c r="M702" s="16" t="b">
        <f>IFERROR(__xludf.DUMMYFUNCTION("""COMPUTED_VALUE"""),FALSE)</f>
        <v>0</v>
      </c>
      <c r="N702" s="16"/>
    </row>
    <row r="703">
      <c r="A703" s="16"/>
      <c r="B703" s="16"/>
      <c r="C703" s="16"/>
      <c r="D703" s="16"/>
      <c r="E703" s="16"/>
      <c r="F703" s="16"/>
      <c r="G703" s="16"/>
      <c r="H703" s="16"/>
      <c r="I703" s="16"/>
      <c r="J703" s="16" t="b">
        <f>IFERROR(__xludf.DUMMYFUNCTION("""COMPUTED_VALUE"""),FALSE)</f>
        <v>0</v>
      </c>
      <c r="K703" s="16"/>
      <c r="L703" s="16" t="b">
        <f>IFERROR(__xludf.DUMMYFUNCTION("""COMPUTED_VALUE"""),FALSE)</f>
        <v>0</v>
      </c>
      <c r="M703" s="16" t="b">
        <f>IFERROR(__xludf.DUMMYFUNCTION("""COMPUTED_VALUE"""),FALSE)</f>
        <v>0</v>
      </c>
      <c r="N703" s="16"/>
    </row>
    <row r="704">
      <c r="A704" s="16"/>
      <c r="B704" s="16"/>
      <c r="C704" s="16"/>
      <c r="D704" s="16"/>
      <c r="E704" s="16"/>
      <c r="F704" s="16"/>
      <c r="G704" s="16"/>
      <c r="H704" s="16"/>
      <c r="I704" s="16"/>
      <c r="J704" s="16" t="b">
        <f>IFERROR(__xludf.DUMMYFUNCTION("""COMPUTED_VALUE"""),FALSE)</f>
        <v>0</v>
      </c>
      <c r="K704" s="16"/>
      <c r="L704" s="16" t="b">
        <f>IFERROR(__xludf.DUMMYFUNCTION("""COMPUTED_VALUE"""),FALSE)</f>
        <v>0</v>
      </c>
      <c r="M704" s="16" t="b">
        <f>IFERROR(__xludf.DUMMYFUNCTION("""COMPUTED_VALUE"""),FALSE)</f>
        <v>0</v>
      </c>
      <c r="N704" s="16"/>
    </row>
    <row r="705">
      <c r="A705" s="16"/>
      <c r="B705" s="16"/>
      <c r="C705" s="16"/>
      <c r="D705" s="16"/>
      <c r="E705" s="16"/>
      <c r="F705" s="16"/>
      <c r="G705" s="16"/>
      <c r="H705" s="16"/>
      <c r="I705" s="16"/>
      <c r="J705" s="16" t="b">
        <f>IFERROR(__xludf.DUMMYFUNCTION("""COMPUTED_VALUE"""),FALSE)</f>
        <v>0</v>
      </c>
      <c r="K705" s="16"/>
      <c r="L705" s="16" t="b">
        <f>IFERROR(__xludf.DUMMYFUNCTION("""COMPUTED_VALUE"""),FALSE)</f>
        <v>0</v>
      </c>
      <c r="M705" s="16" t="b">
        <f>IFERROR(__xludf.DUMMYFUNCTION("""COMPUTED_VALUE"""),FALSE)</f>
        <v>0</v>
      </c>
      <c r="N705" s="16"/>
    </row>
    <row r="706">
      <c r="A706" s="16"/>
      <c r="B706" s="16"/>
      <c r="C706" s="16"/>
      <c r="D706" s="16"/>
      <c r="E706" s="16"/>
      <c r="F706" s="16"/>
      <c r="G706" s="16"/>
      <c r="H706" s="16"/>
      <c r="I706" s="16"/>
      <c r="J706" s="16" t="b">
        <f>IFERROR(__xludf.DUMMYFUNCTION("""COMPUTED_VALUE"""),FALSE)</f>
        <v>0</v>
      </c>
      <c r="K706" s="16"/>
      <c r="L706" s="16" t="b">
        <f>IFERROR(__xludf.DUMMYFUNCTION("""COMPUTED_VALUE"""),FALSE)</f>
        <v>0</v>
      </c>
      <c r="M706" s="16" t="b">
        <f>IFERROR(__xludf.DUMMYFUNCTION("""COMPUTED_VALUE"""),FALSE)</f>
        <v>0</v>
      </c>
      <c r="N706" s="16"/>
    </row>
    <row r="707">
      <c r="A707" s="16"/>
      <c r="B707" s="16"/>
      <c r="C707" s="16"/>
      <c r="D707" s="16"/>
      <c r="E707" s="16"/>
      <c r="F707" s="16"/>
      <c r="G707" s="16"/>
      <c r="H707" s="16"/>
      <c r="I707" s="16"/>
      <c r="J707" s="16" t="b">
        <f>IFERROR(__xludf.DUMMYFUNCTION("""COMPUTED_VALUE"""),FALSE)</f>
        <v>0</v>
      </c>
      <c r="K707" s="16"/>
      <c r="L707" s="16" t="b">
        <f>IFERROR(__xludf.DUMMYFUNCTION("""COMPUTED_VALUE"""),FALSE)</f>
        <v>0</v>
      </c>
      <c r="M707" s="16" t="b">
        <f>IFERROR(__xludf.DUMMYFUNCTION("""COMPUTED_VALUE"""),FALSE)</f>
        <v>0</v>
      </c>
      <c r="N707" s="16"/>
    </row>
    <row r="708">
      <c r="A708" s="16"/>
      <c r="B708" s="16"/>
      <c r="C708" s="16"/>
      <c r="D708" s="16"/>
      <c r="E708" s="16"/>
      <c r="F708" s="16"/>
      <c r="G708" s="16"/>
      <c r="H708" s="16"/>
      <c r="I708" s="16"/>
      <c r="J708" s="16" t="b">
        <f>IFERROR(__xludf.DUMMYFUNCTION("""COMPUTED_VALUE"""),FALSE)</f>
        <v>0</v>
      </c>
      <c r="K708" s="16"/>
      <c r="L708" s="16" t="b">
        <f>IFERROR(__xludf.DUMMYFUNCTION("""COMPUTED_VALUE"""),FALSE)</f>
        <v>0</v>
      </c>
      <c r="M708" s="16" t="b">
        <f>IFERROR(__xludf.DUMMYFUNCTION("""COMPUTED_VALUE"""),FALSE)</f>
        <v>0</v>
      </c>
      <c r="N708" s="16"/>
    </row>
    <row r="709">
      <c r="A709" s="16"/>
      <c r="B709" s="16"/>
      <c r="C709" s="16"/>
      <c r="D709" s="16"/>
      <c r="E709" s="16"/>
      <c r="F709" s="16"/>
      <c r="G709" s="16"/>
      <c r="H709" s="16"/>
      <c r="I709" s="16"/>
      <c r="J709" s="16" t="b">
        <f>IFERROR(__xludf.DUMMYFUNCTION("""COMPUTED_VALUE"""),FALSE)</f>
        <v>0</v>
      </c>
      <c r="K709" s="16"/>
      <c r="L709" s="16" t="b">
        <f>IFERROR(__xludf.DUMMYFUNCTION("""COMPUTED_VALUE"""),FALSE)</f>
        <v>0</v>
      </c>
      <c r="M709" s="16" t="b">
        <f>IFERROR(__xludf.DUMMYFUNCTION("""COMPUTED_VALUE"""),FALSE)</f>
        <v>0</v>
      </c>
      <c r="N709" s="16"/>
    </row>
    <row r="710">
      <c r="A710" s="16"/>
      <c r="B710" s="16"/>
      <c r="C710" s="16"/>
      <c r="D710" s="16"/>
      <c r="E710" s="16"/>
      <c r="F710" s="16"/>
      <c r="G710" s="16"/>
      <c r="H710" s="16"/>
      <c r="I710" s="16"/>
      <c r="J710" s="16" t="b">
        <f>IFERROR(__xludf.DUMMYFUNCTION("""COMPUTED_VALUE"""),FALSE)</f>
        <v>0</v>
      </c>
      <c r="K710" s="16"/>
      <c r="L710" s="16" t="b">
        <f>IFERROR(__xludf.DUMMYFUNCTION("""COMPUTED_VALUE"""),FALSE)</f>
        <v>0</v>
      </c>
      <c r="M710" s="16" t="b">
        <f>IFERROR(__xludf.DUMMYFUNCTION("""COMPUTED_VALUE"""),FALSE)</f>
        <v>0</v>
      </c>
      <c r="N710" s="16"/>
    </row>
    <row r="711">
      <c r="A711" s="16"/>
      <c r="B711" s="16"/>
      <c r="C711" s="16"/>
      <c r="D711" s="16"/>
      <c r="E711" s="16"/>
      <c r="F711" s="16"/>
      <c r="G711" s="16"/>
      <c r="H711" s="16"/>
      <c r="I711" s="16"/>
      <c r="J711" s="16" t="b">
        <f>IFERROR(__xludf.DUMMYFUNCTION("""COMPUTED_VALUE"""),FALSE)</f>
        <v>0</v>
      </c>
      <c r="K711" s="16"/>
      <c r="L711" s="16" t="b">
        <f>IFERROR(__xludf.DUMMYFUNCTION("""COMPUTED_VALUE"""),FALSE)</f>
        <v>0</v>
      </c>
      <c r="M711" s="16" t="b">
        <f>IFERROR(__xludf.DUMMYFUNCTION("""COMPUTED_VALUE"""),FALSE)</f>
        <v>0</v>
      </c>
      <c r="N711" s="16"/>
    </row>
    <row r="712">
      <c r="A712" s="16"/>
      <c r="B712" s="16"/>
      <c r="C712" s="16"/>
      <c r="D712" s="16"/>
      <c r="E712" s="16"/>
      <c r="F712" s="16"/>
      <c r="G712" s="16"/>
      <c r="H712" s="16"/>
      <c r="I712" s="16"/>
      <c r="J712" s="16" t="b">
        <f>IFERROR(__xludf.DUMMYFUNCTION("""COMPUTED_VALUE"""),FALSE)</f>
        <v>0</v>
      </c>
      <c r="K712" s="16"/>
      <c r="L712" s="16" t="b">
        <f>IFERROR(__xludf.DUMMYFUNCTION("""COMPUTED_VALUE"""),FALSE)</f>
        <v>0</v>
      </c>
      <c r="M712" s="16" t="b">
        <f>IFERROR(__xludf.DUMMYFUNCTION("""COMPUTED_VALUE"""),FALSE)</f>
        <v>0</v>
      </c>
      <c r="N712" s="16"/>
    </row>
    <row r="713">
      <c r="A713" s="16"/>
      <c r="B713" s="16"/>
      <c r="C713" s="16"/>
      <c r="D713" s="16"/>
      <c r="E713" s="16"/>
      <c r="F713" s="16"/>
      <c r="G713" s="16"/>
      <c r="H713" s="16"/>
      <c r="I713" s="16"/>
      <c r="J713" s="16" t="b">
        <f>IFERROR(__xludf.DUMMYFUNCTION("""COMPUTED_VALUE"""),FALSE)</f>
        <v>0</v>
      </c>
      <c r="K713" s="16"/>
      <c r="L713" s="16" t="b">
        <f>IFERROR(__xludf.DUMMYFUNCTION("""COMPUTED_VALUE"""),FALSE)</f>
        <v>0</v>
      </c>
      <c r="M713" s="16" t="b">
        <f>IFERROR(__xludf.DUMMYFUNCTION("""COMPUTED_VALUE"""),FALSE)</f>
        <v>0</v>
      </c>
      <c r="N713" s="16"/>
    </row>
    <row r="714">
      <c r="A714" s="16"/>
      <c r="B714" s="16"/>
      <c r="C714" s="16"/>
      <c r="D714" s="16"/>
      <c r="E714" s="16"/>
      <c r="F714" s="16"/>
      <c r="G714" s="16"/>
      <c r="H714" s="16"/>
      <c r="I714" s="16"/>
      <c r="J714" s="16" t="b">
        <f>IFERROR(__xludf.DUMMYFUNCTION("""COMPUTED_VALUE"""),FALSE)</f>
        <v>0</v>
      </c>
      <c r="K714" s="16"/>
      <c r="L714" s="16" t="b">
        <f>IFERROR(__xludf.DUMMYFUNCTION("""COMPUTED_VALUE"""),FALSE)</f>
        <v>0</v>
      </c>
      <c r="M714" s="16" t="b">
        <f>IFERROR(__xludf.DUMMYFUNCTION("""COMPUTED_VALUE"""),FALSE)</f>
        <v>0</v>
      </c>
      <c r="N714" s="16"/>
    </row>
    <row r="715">
      <c r="A715" s="16"/>
      <c r="B715" s="16"/>
      <c r="C715" s="16"/>
      <c r="D715" s="16"/>
      <c r="E715" s="16"/>
      <c r="F715" s="16"/>
      <c r="G715" s="16"/>
      <c r="H715" s="16"/>
      <c r="I715" s="16"/>
      <c r="J715" s="16" t="b">
        <f>IFERROR(__xludf.DUMMYFUNCTION("""COMPUTED_VALUE"""),FALSE)</f>
        <v>0</v>
      </c>
      <c r="K715" s="16"/>
      <c r="L715" s="16" t="b">
        <f>IFERROR(__xludf.DUMMYFUNCTION("""COMPUTED_VALUE"""),FALSE)</f>
        <v>0</v>
      </c>
      <c r="M715" s="16" t="b">
        <f>IFERROR(__xludf.DUMMYFUNCTION("""COMPUTED_VALUE"""),FALSE)</f>
        <v>0</v>
      </c>
      <c r="N715" s="16"/>
    </row>
    <row r="716">
      <c r="A716" s="16"/>
      <c r="B716" s="16"/>
      <c r="C716" s="16"/>
      <c r="D716" s="16"/>
      <c r="E716" s="16"/>
      <c r="F716" s="16"/>
      <c r="G716" s="16"/>
      <c r="H716" s="16"/>
      <c r="I716" s="16"/>
      <c r="J716" s="16" t="b">
        <f>IFERROR(__xludf.DUMMYFUNCTION("""COMPUTED_VALUE"""),FALSE)</f>
        <v>0</v>
      </c>
      <c r="K716" s="16"/>
      <c r="L716" s="16" t="b">
        <f>IFERROR(__xludf.DUMMYFUNCTION("""COMPUTED_VALUE"""),FALSE)</f>
        <v>0</v>
      </c>
      <c r="M716" s="16" t="b">
        <f>IFERROR(__xludf.DUMMYFUNCTION("""COMPUTED_VALUE"""),FALSE)</f>
        <v>0</v>
      </c>
      <c r="N716" s="16"/>
    </row>
    <row r="717">
      <c r="A717" s="16"/>
      <c r="B717" s="16"/>
      <c r="C717" s="16"/>
      <c r="D717" s="16"/>
      <c r="E717" s="16"/>
      <c r="F717" s="16"/>
      <c r="G717" s="16"/>
      <c r="H717" s="16"/>
      <c r="I717" s="16"/>
      <c r="J717" s="16" t="b">
        <f>IFERROR(__xludf.DUMMYFUNCTION("""COMPUTED_VALUE"""),FALSE)</f>
        <v>0</v>
      </c>
      <c r="K717" s="16"/>
      <c r="L717" s="16" t="b">
        <f>IFERROR(__xludf.DUMMYFUNCTION("""COMPUTED_VALUE"""),FALSE)</f>
        <v>0</v>
      </c>
      <c r="M717" s="16" t="b">
        <f>IFERROR(__xludf.DUMMYFUNCTION("""COMPUTED_VALUE"""),FALSE)</f>
        <v>0</v>
      </c>
      <c r="N717" s="16"/>
    </row>
    <row r="718">
      <c r="A718" s="16"/>
      <c r="B718" s="16"/>
      <c r="C718" s="16"/>
      <c r="D718" s="16"/>
      <c r="E718" s="16"/>
      <c r="F718" s="16"/>
      <c r="G718" s="16"/>
      <c r="H718" s="16"/>
      <c r="I718" s="16"/>
      <c r="J718" s="16" t="b">
        <f>IFERROR(__xludf.DUMMYFUNCTION("""COMPUTED_VALUE"""),FALSE)</f>
        <v>0</v>
      </c>
      <c r="K718" s="16"/>
      <c r="L718" s="16" t="b">
        <f>IFERROR(__xludf.DUMMYFUNCTION("""COMPUTED_VALUE"""),FALSE)</f>
        <v>0</v>
      </c>
      <c r="M718" s="16" t="b">
        <f>IFERROR(__xludf.DUMMYFUNCTION("""COMPUTED_VALUE"""),FALSE)</f>
        <v>0</v>
      </c>
      <c r="N718" s="16"/>
    </row>
    <row r="719">
      <c r="A719" s="16"/>
      <c r="B719" s="16"/>
      <c r="C719" s="16"/>
      <c r="D719" s="16"/>
      <c r="E719" s="16"/>
      <c r="F719" s="16"/>
      <c r="G719" s="16"/>
      <c r="H719" s="16"/>
      <c r="I719" s="16"/>
      <c r="J719" s="16" t="b">
        <f>IFERROR(__xludf.DUMMYFUNCTION("""COMPUTED_VALUE"""),FALSE)</f>
        <v>0</v>
      </c>
      <c r="K719" s="16"/>
      <c r="L719" s="16" t="b">
        <f>IFERROR(__xludf.DUMMYFUNCTION("""COMPUTED_VALUE"""),FALSE)</f>
        <v>0</v>
      </c>
      <c r="M719" s="16" t="b">
        <f>IFERROR(__xludf.DUMMYFUNCTION("""COMPUTED_VALUE"""),FALSE)</f>
        <v>0</v>
      </c>
      <c r="N719" s="16"/>
    </row>
    <row r="720">
      <c r="A720" s="16"/>
      <c r="B720" s="16"/>
      <c r="C720" s="16"/>
      <c r="D720" s="16"/>
      <c r="E720" s="16"/>
      <c r="F720" s="16"/>
      <c r="G720" s="16"/>
      <c r="H720" s="16"/>
      <c r="I720" s="16"/>
      <c r="J720" s="16" t="b">
        <f>IFERROR(__xludf.DUMMYFUNCTION("""COMPUTED_VALUE"""),FALSE)</f>
        <v>0</v>
      </c>
      <c r="K720" s="16"/>
      <c r="L720" s="16" t="b">
        <f>IFERROR(__xludf.DUMMYFUNCTION("""COMPUTED_VALUE"""),FALSE)</f>
        <v>0</v>
      </c>
      <c r="M720" s="16" t="b">
        <f>IFERROR(__xludf.DUMMYFUNCTION("""COMPUTED_VALUE"""),FALSE)</f>
        <v>0</v>
      </c>
      <c r="N720" s="16"/>
    </row>
    <row r="721">
      <c r="A721" s="16"/>
      <c r="B721" s="16"/>
      <c r="C721" s="16"/>
      <c r="D721" s="16"/>
      <c r="E721" s="16"/>
      <c r="F721" s="16"/>
      <c r="G721" s="16"/>
      <c r="H721" s="16"/>
      <c r="I721" s="16"/>
      <c r="J721" s="16" t="b">
        <f>IFERROR(__xludf.DUMMYFUNCTION("""COMPUTED_VALUE"""),FALSE)</f>
        <v>0</v>
      </c>
      <c r="K721" s="16"/>
      <c r="L721" s="16" t="b">
        <f>IFERROR(__xludf.DUMMYFUNCTION("""COMPUTED_VALUE"""),FALSE)</f>
        <v>0</v>
      </c>
      <c r="M721" s="16" t="b">
        <f>IFERROR(__xludf.DUMMYFUNCTION("""COMPUTED_VALUE"""),FALSE)</f>
        <v>0</v>
      </c>
      <c r="N721" s="16"/>
    </row>
    <row r="722">
      <c r="A722" s="16"/>
      <c r="B722" s="16"/>
      <c r="C722" s="16"/>
      <c r="D722" s="16"/>
      <c r="E722" s="16"/>
      <c r="F722" s="16"/>
      <c r="G722" s="16"/>
      <c r="H722" s="16"/>
      <c r="I722" s="16"/>
      <c r="J722" s="16" t="b">
        <f>IFERROR(__xludf.DUMMYFUNCTION("""COMPUTED_VALUE"""),FALSE)</f>
        <v>0</v>
      </c>
      <c r="K722" s="16"/>
      <c r="L722" s="16" t="b">
        <f>IFERROR(__xludf.DUMMYFUNCTION("""COMPUTED_VALUE"""),FALSE)</f>
        <v>0</v>
      </c>
      <c r="M722" s="16" t="b">
        <f>IFERROR(__xludf.DUMMYFUNCTION("""COMPUTED_VALUE"""),FALSE)</f>
        <v>0</v>
      </c>
      <c r="N722" s="16"/>
    </row>
    <row r="723">
      <c r="A723" s="16"/>
      <c r="B723" s="16"/>
      <c r="C723" s="16"/>
      <c r="D723" s="16"/>
      <c r="E723" s="16"/>
      <c r="F723" s="16"/>
      <c r="G723" s="16"/>
      <c r="H723" s="16"/>
      <c r="I723" s="16"/>
      <c r="J723" s="16" t="b">
        <f>IFERROR(__xludf.DUMMYFUNCTION("""COMPUTED_VALUE"""),FALSE)</f>
        <v>0</v>
      </c>
      <c r="K723" s="16"/>
      <c r="L723" s="16" t="b">
        <f>IFERROR(__xludf.DUMMYFUNCTION("""COMPUTED_VALUE"""),FALSE)</f>
        <v>0</v>
      </c>
      <c r="M723" s="16" t="b">
        <f>IFERROR(__xludf.DUMMYFUNCTION("""COMPUTED_VALUE"""),FALSE)</f>
        <v>0</v>
      </c>
      <c r="N723" s="16"/>
    </row>
    <row r="724">
      <c r="A724" s="16"/>
      <c r="B724" s="16"/>
      <c r="C724" s="16"/>
      <c r="D724" s="16"/>
      <c r="E724" s="16"/>
      <c r="F724" s="16"/>
      <c r="G724" s="16"/>
      <c r="H724" s="16"/>
      <c r="I724" s="16"/>
      <c r="J724" s="16" t="b">
        <f>IFERROR(__xludf.DUMMYFUNCTION("""COMPUTED_VALUE"""),FALSE)</f>
        <v>0</v>
      </c>
      <c r="K724" s="16"/>
      <c r="L724" s="16" t="b">
        <f>IFERROR(__xludf.DUMMYFUNCTION("""COMPUTED_VALUE"""),FALSE)</f>
        <v>0</v>
      </c>
      <c r="M724" s="16" t="b">
        <f>IFERROR(__xludf.DUMMYFUNCTION("""COMPUTED_VALUE"""),FALSE)</f>
        <v>0</v>
      </c>
      <c r="N724" s="16"/>
    </row>
    <row r="725">
      <c r="A725" s="16"/>
      <c r="B725" s="16"/>
      <c r="C725" s="16"/>
      <c r="D725" s="16"/>
      <c r="E725" s="16"/>
      <c r="F725" s="16"/>
      <c r="G725" s="16"/>
      <c r="H725" s="16"/>
      <c r="I725" s="16"/>
      <c r="J725" s="16" t="b">
        <f>IFERROR(__xludf.DUMMYFUNCTION("""COMPUTED_VALUE"""),FALSE)</f>
        <v>0</v>
      </c>
      <c r="K725" s="16"/>
      <c r="L725" s="16" t="b">
        <f>IFERROR(__xludf.DUMMYFUNCTION("""COMPUTED_VALUE"""),FALSE)</f>
        <v>0</v>
      </c>
      <c r="M725" s="16" t="b">
        <f>IFERROR(__xludf.DUMMYFUNCTION("""COMPUTED_VALUE"""),FALSE)</f>
        <v>0</v>
      </c>
      <c r="N725" s="16"/>
    </row>
    <row r="726">
      <c r="A726" s="16"/>
      <c r="B726" s="16"/>
      <c r="C726" s="16"/>
      <c r="D726" s="16"/>
      <c r="E726" s="16"/>
      <c r="F726" s="16"/>
      <c r="G726" s="16"/>
      <c r="H726" s="16"/>
      <c r="I726" s="16"/>
      <c r="J726" s="16" t="b">
        <f>IFERROR(__xludf.DUMMYFUNCTION("""COMPUTED_VALUE"""),FALSE)</f>
        <v>0</v>
      </c>
      <c r="K726" s="16"/>
      <c r="L726" s="16" t="b">
        <f>IFERROR(__xludf.DUMMYFUNCTION("""COMPUTED_VALUE"""),FALSE)</f>
        <v>0</v>
      </c>
      <c r="M726" s="16" t="b">
        <f>IFERROR(__xludf.DUMMYFUNCTION("""COMPUTED_VALUE"""),FALSE)</f>
        <v>0</v>
      </c>
      <c r="N726" s="16"/>
    </row>
    <row r="727">
      <c r="A727" s="16"/>
      <c r="B727" s="16"/>
      <c r="C727" s="16"/>
      <c r="D727" s="16"/>
      <c r="E727" s="16"/>
      <c r="F727" s="16"/>
      <c r="G727" s="16"/>
      <c r="H727" s="16"/>
      <c r="I727" s="16"/>
      <c r="J727" s="16" t="b">
        <f>IFERROR(__xludf.DUMMYFUNCTION("""COMPUTED_VALUE"""),FALSE)</f>
        <v>0</v>
      </c>
      <c r="K727" s="16"/>
      <c r="L727" s="16" t="b">
        <f>IFERROR(__xludf.DUMMYFUNCTION("""COMPUTED_VALUE"""),FALSE)</f>
        <v>0</v>
      </c>
      <c r="M727" s="16" t="b">
        <f>IFERROR(__xludf.DUMMYFUNCTION("""COMPUTED_VALUE"""),FALSE)</f>
        <v>0</v>
      </c>
      <c r="N727" s="16"/>
    </row>
    <row r="728">
      <c r="A728" s="16"/>
      <c r="B728" s="16"/>
      <c r="C728" s="16"/>
      <c r="D728" s="16"/>
      <c r="E728" s="16"/>
      <c r="F728" s="16"/>
      <c r="G728" s="16"/>
      <c r="H728" s="16"/>
      <c r="I728" s="16"/>
      <c r="J728" s="16" t="b">
        <f>IFERROR(__xludf.DUMMYFUNCTION("""COMPUTED_VALUE"""),FALSE)</f>
        <v>0</v>
      </c>
      <c r="K728" s="16"/>
      <c r="L728" s="16" t="b">
        <f>IFERROR(__xludf.DUMMYFUNCTION("""COMPUTED_VALUE"""),FALSE)</f>
        <v>0</v>
      </c>
      <c r="M728" s="16" t="b">
        <f>IFERROR(__xludf.DUMMYFUNCTION("""COMPUTED_VALUE"""),FALSE)</f>
        <v>0</v>
      </c>
      <c r="N728" s="16"/>
    </row>
    <row r="729">
      <c r="A729" s="16"/>
      <c r="B729" s="16"/>
      <c r="C729" s="16"/>
      <c r="D729" s="16"/>
      <c r="E729" s="16"/>
      <c r="F729" s="16"/>
      <c r="G729" s="16"/>
      <c r="H729" s="16"/>
      <c r="I729" s="16"/>
      <c r="J729" s="16" t="b">
        <f>IFERROR(__xludf.DUMMYFUNCTION("""COMPUTED_VALUE"""),FALSE)</f>
        <v>0</v>
      </c>
      <c r="K729" s="16"/>
      <c r="L729" s="16" t="b">
        <f>IFERROR(__xludf.DUMMYFUNCTION("""COMPUTED_VALUE"""),FALSE)</f>
        <v>0</v>
      </c>
      <c r="M729" s="16" t="b">
        <f>IFERROR(__xludf.DUMMYFUNCTION("""COMPUTED_VALUE"""),FALSE)</f>
        <v>0</v>
      </c>
      <c r="N729" s="16"/>
    </row>
    <row r="730">
      <c r="A730" s="16"/>
      <c r="B730" s="16"/>
      <c r="C730" s="16"/>
      <c r="D730" s="16"/>
      <c r="E730" s="16"/>
      <c r="F730" s="16"/>
      <c r="G730" s="16"/>
      <c r="H730" s="16"/>
      <c r="I730" s="16"/>
      <c r="J730" s="16" t="b">
        <f>IFERROR(__xludf.DUMMYFUNCTION("""COMPUTED_VALUE"""),FALSE)</f>
        <v>0</v>
      </c>
      <c r="K730" s="16"/>
      <c r="L730" s="16" t="b">
        <f>IFERROR(__xludf.DUMMYFUNCTION("""COMPUTED_VALUE"""),FALSE)</f>
        <v>0</v>
      </c>
      <c r="M730" s="16" t="b">
        <f>IFERROR(__xludf.DUMMYFUNCTION("""COMPUTED_VALUE"""),FALSE)</f>
        <v>0</v>
      </c>
      <c r="N730" s="16"/>
    </row>
    <row r="731">
      <c r="A731" s="16"/>
      <c r="B731" s="16"/>
      <c r="C731" s="16"/>
      <c r="D731" s="16"/>
      <c r="E731" s="16"/>
      <c r="F731" s="16"/>
      <c r="G731" s="16"/>
      <c r="H731" s="16"/>
      <c r="I731" s="16"/>
      <c r="J731" s="16" t="b">
        <f>IFERROR(__xludf.DUMMYFUNCTION("""COMPUTED_VALUE"""),FALSE)</f>
        <v>0</v>
      </c>
      <c r="K731" s="16"/>
      <c r="L731" s="16" t="b">
        <f>IFERROR(__xludf.DUMMYFUNCTION("""COMPUTED_VALUE"""),FALSE)</f>
        <v>0</v>
      </c>
      <c r="M731" s="16" t="b">
        <f>IFERROR(__xludf.DUMMYFUNCTION("""COMPUTED_VALUE"""),FALSE)</f>
        <v>0</v>
      </c>
      <c r="N731" s="16"/>
    </row>
    <row r="732">
      <c r="A732" s="16"/>
      <c r="B732" s="16"/>
      <c r="C732" s="16"/>
      <c r="D732" s="16"/>
      <c r="E732" s="16"/>
      <c r="F732" s="16"/>
      <c r="G732" s="16"/>
      <c r="H732" s="16"/>
      <c r="I732" s="16"/>
      <c r="J732" s="16" t="b">
        <f>IFERROR(__xludf.DUMMYFUNCTION("""COMPUTED_VALUE"""),FALSE)</f>
        <v>0</v>
      </c>
      <c r="K732" s="16"/>
      <c r="L732" s="16" t="b">
        <f>IFERROR(__xludf.DUMMYFUNCTION("""COMPUTED_VALUE"""),FALSE)</f>
        <v>0</v>
      </c>
      <c r="M732" s="16" t="b">
        <f>IFERROR(__xludf.DUMMYFUNCTION("""COMPUTED_VALUE"""),FALSE)</f>
        <v>0</v>
      </c>
      <c r="N732" s="16"/>
    </row>
    <row r="733">
      <c r="A733" s="16"/>
      <c r="B733" s="16"/>
      <c r="C733" s="16"/>
      <c r="D733" s="16"/>
      <c r="E733" s="16"/>
      <c r="F733" s="16"/>
      <c r="G733" s="16"/>
      <c r="H733" s="16"/>
      <c r="I733" s="16"/>
      <c r="J733" s="16" t="b">
        <f>IFERROR(__xludf.DUMMYFUNCTION("""COMPUTED_VALUE"""),FALSE)</f>
        <v>0</v>
      </c>
      <c r="K733" s="16"/>
      <c r="L733" s="16" t="b">
        <f>IFERROR(__xludf.DUMMYFUNCTION("""COMPUTED_VALUE"""),FALSE)</f>
        <v>0</v>
      </c>
      <c r="M733" s="16" t="b">
        <f>IFERROR(__xludf.DUMMYFUNCTION("""COMPUTED_VALUE"""),FALSE)</f>
        <v>0</v>
      </c>
      <c r="N733" s="16"/>
    </row>
    <row r="734">
      <c r="A734" s="16"/>
      <c r="B734" s="16"/>
      <c r="C734" s="16"/>
      <c r="D734" s="16"/>
      <c r="E734" s="16"/>
      <c r="F734" s="16"/>
      <c r="G734" s="16"/>
      <c r="H734" s="16"/>
      <c r="I734" s="16"/>
      <c r="J734" s="16" t="b">
        <f>IFERROR(__xludf.DUMMYFUNCTION("""COMPUTED_VALUE"""),FALSE)</f>
        <v>0</v>
      </c>
      <c r="K734" s="16"/>
      <c r="L734" s="16" t="b">
        <f>IFERROR(__xludf.DUMMYFUNCTION("""COMPUTED_VALUE"""),FALSE)</f>
        <v>0</v>
      </c>
      <c r="M734" s="16" t="b">
        <f>IFERROR(__xludf.DUMMYFUNCTION("""COMPUTED_VALUE"""),FALSE)</f>
        <v>0</v>
      </c>
      <c r="N734" s="16"/>
    </row>
    <row r="735">
      <c r="A735" s="16"/>
      <c r="B735" s="16"/>
      <c r="C735" s="16"/>
      <c r="D735" s="16"/>
      <c r="E735" s="16"/>
      <c r="F735" s="16"/>
      <c r="G735" s="16"/>
      <c r="H735" s="16"/>
      <c r="I735" s="16"/>
      <c r="J735" s="16" t="b">
        <f>IFERROR(__xludf.DUMMYFUNCTION("""COMPUTED_VALUE"""),FALSE)</f>
        <v>0</v>
      </c>
      <c r="K735" s="16"/>
      <c r="L735" s="16" t="b">
        <f>IFERROR(__xludf.DUMMYFUNCTION("""COMPUTED_VALUE"""),FALSE)</f>
        <v>0</v>
      </c>
      <c r="M735" s="16" t="b">
        <f>IFERROR(__xludf.DUMMYFUNCTION("""COMPUTED_VALUE"""),FALSE)</f>
        <v>0</v>
      </c>
      <c r="N735" s="16"/>
    </row>
    <row r="736">
      <c r="A736" s="16"/>
      <c r="B736" s="16"/>
      <c r="C736" s="16"/>
      <c r="D736" s="16"/>
      <c r="E736" s="16"/>
      <c r="F736" s="16"/>
      <c r="G736" s="16"/>
      <c r="H736" s="16"/>
      <c r="I736" s="16"/>
      <c r="J736" s="16" t="b">
        <f>IFERROR(__xludf.DUMMYFUNCTION("""COMPUTED_VALUE"""),FALSE)</f>
        <v>0</v>
      </c>
      <c r="K736" s="16"/>
      <c r="L736" s="16" t="b">
        <f>IFERROR(__xludf.DUMMYFUNCTION("""COMPUTED_VALUE"""),FALSE)</f>
        <v>0</v>
      </c>
      <c r="M736" s="16" t="b">
        <f>IFERROR(__xludf.DUMMYFUNCTION("""COMPUTED_VALUE"""),FALSE)</f>
        <v>0</v>
      </c>
      <c r="N736" s="16"/>
    </row>
    <row r="737">
      <c r="A737" s="16"/>
      <c r="B737" s="16"/>
      <c r="C737" s="16"/>
      <c r="D737" s="16"/>
      <c r="E737" s="16"/>
      <c r="F737" s="16"/>
      <c r="G737" s="16"/>
      <c r="H737" s="16"/>
      <c r="I737" s="16"/>
      <c r="J737" s="16" t="b">
        <f>IFERROR(__xludf.DUMMYFUNCTION("""COMPUTED_VALUE"""),FALSE)</f>
        <v>0</v>
      </c>
      <c r="K737" s="16"/>
      <c r="L737" s="16" t="b">
        <f>IFERROR(__xludf.DUMMYFUNCTION("""COMPUTED_VALUE"""),FALSE)</f>
        <v>0</v>
      </c>
      <c r="M737" s="16" t="b">
        <f>IFERROR(__xludf.DUMMYFUNCTION("""COMPUTED_VALUE"""),FALSE)</f>
        <v>0</v>
      </c>
      <c r="N737" s="16"/>
    </row>
    <row r="738">
      <c r="A738" s="16"/>
      <c r="B738" s="16"/>
      <c r="C738" s="16"/>
      <c r="D738" s="16"/>
      <c r="E738" s="16"/>
      <c r="F738" s="16"/>
      <c r="G738" s="16"/>
      <c r="H738" s="16"/>
      <c r="I738" s="16"/>
      <c r="J738" s="16" t="b">
        <f>IFERROR(__xludf.DUMMYFUNCTION("""COMPUTED_VALUE"""),FALSE)</f>
        <v>0</v>
      </c>
      <c r="K738" s="16"/>
      <c r="L738" s="16" t="b">
        <f>IFERROR(__xludf.DUMMYFUNCTION("""COMPUTED_VALUE"""),FALSE)</f>
        <v>0</v>
      </c>
      <c r="M738" s="16" t="b">
        <f>IFERROR(__xludf.DUMMYFUNCTION("""COMPUTED_VALUE"""),FALSE)</f>
        <v>0</v>
      </c>
      <c r="N738" s="16"/>
    </row>
    <row r="739">
      <c r="A739" s="16"/>
      <c r="B739" s="16"/>
      <c r="C739" s="16"/>
      <c r="D739" s="16"/>
      <c r="E739" s="16"/>
      <c r="F739" s="16"/>
      <c r="G739" s="16"/>
      <c r="H739" s="16"/>
      <c r="I739" s="16"/>
      <c r="J739" s="16" t="b">
        <f>IFERROR(__xludf.DUMMYFUNCTION("""COMPUTED_VALUE"""),FALSE)</f>
        <v>0</v>
      </c>
      <c r="K739" s="16"/>
      <c r="L739" s="16" t="b">
        <f>IFERROR(__xludf.DUMMYFUNCTION("""COMPUTED_VALUE"""),FALSE)</f>
        <v>0</v>
      </c>
      <c r="M739" s="16" t="b">
        <f>IFERROR(__xludf.DUMMYFUNCTION("""COMPUTED_VALUE"""),FALSE)</f>
        <v>0</v>
      </c>
      <c r="N739" s="16"/>
    </row>
    <row r="740">
      <c r="A740" s="16"/>
      <c r="B740" s="16"/>
      <c r="C740" s="16"/>
      <c r="D740" s="16"/>
      <c r="E740" s="16"/>
      <c r="F740" s="16"/>
      <c r="G740" s="16"/>
      <c r="H740" s="16"/>
      <c r="I740" s="16"/>
      <c r="J740" s="16" t="b">
        <f>IFERROR(__xludf.DUMMYFUNCTION("""COMPUTED_VALUE"""),FALSE)</f>
        <v>0</v>
      </c>
      <c r="K740" s="16"/>
      <c r="L740" s="16" t="b">
        <f>IFERROR(__xludf.DUMMYFUNCTION("""COMPUTED_VALUE"""),FALSE)</f>
        <v>0</v>
      </c>
      <c r="M740" s="16" t="b">
        <f>IFERROR(__xludf.DUMMYFUNCTION("""COMPUTED_VALUE"""),FALSE)</f>
        <v>0</v>
      </c>
      <c r="N740" s="16"/>
    </row>
    <row r="741">
      <c r="A741" s="16"/>
      <c r="B741" s="16"/>
      <c r="C741" s="16"/>
      <c r="D741" s="16"/>
      <c r="E741" s="16"/>
      <c r="F741" s="16"/>
      <c r="G741" s="16"/>
      <c r="H741" s="16"/>
      <c r="I741" s="16"/>
      <c r="J741" s="16" t="b">
        <f>IFERROR(__xludf.DUMMYFUNCTION("""COMPUTED_VALUE"""),FALSE)</f>
        <v>0</v>
      </c>
      <c r="K741" s="16"/>
      <c r="L741" s="16" t="b">
        <f>IFERROR(__xludf.DUMMYFUNCTION("""COMPUTED_VALUE"""),FALSE)</f>
        <v>0</v>
      </c>
      <c r="M741" s="16" t="b">
        <f>IFERROR(__xludf.DUMMYFUNCTION("""COMPUTED_VALUE"""),FALSE)</f>
        <v>0</v>
      </c>
      <c r="N741" s="16"/>
    </row>
    <row r="742">
      <c r="A742" s="16"/>
      <c r="B742" s="16"/>
      <c r="C742" s="16"/>
      <c r="D742" s="16"/>
      <c r="E742" s="16"/>
      <c r="F742" s="16"/>
      <c r="G742" s="16"/>
      <c r="H742" s="16"/>
      <c r="I742" s="16"/>
      <c r="J742" s="16" t="b">
        <f>IFERROR(__xludf.DUMMYFUNCTION("""COMPUTED_VALUE"""),FALSE)</f>
        <v>0</v>
      </c>
      <c r="K742" s="16"/>
      <c r="L742" s="16" t="b">
        <f>IFERROR(__xludf.DUMMYFUNCTION("""COMPUTED_VALUE"""),FALSE)</f>
        <v>0</v>
      </c>
      <c r="M742" s="16" t="b">
        <f>IFERROR(__xludf.DUMMYFUNCTION("""COMPUTED_VALUE"""),FALSE)</f>
        <v>0</v>
      </c>
      <c r="N742" s="16"/>
    </row>
    <row r="743">
      <c r="A743" s="16"/>
      <c r="B743" s="16"/>
      <c r="C743" s="16"/>
      <c r="D743" s="16"/>
      <c r="E743" s="16"/>
      <c r="F743" s="16"/>
      <c r="G743" s="16"/>
      <c r="H743" s="16"/>
      <c r="I743" s="16"/>
      <c r="J743" s="16" t="b">
        <f>IFERROR(__xludf.DUMMYFUNCTION("""COMPUTED_VALUE"""),FALSE)</f>
        <v>0</v>
      </c>
      <c r="K743" s="16"/>
      <c r="L743" s="16" t="b">
        <f>IFERROR(__xludf.DUMMYFUNCTION("""COMPUTED_VALUE"""),FALSE)</f>
        <v>0</v>
      </c>
      <c r="M743" s="16" t="b">
        <f>IFERROR(__xludf.DUMMYFUNCTION("""COMPUTED_VALUE"""),FALSE)</f>
        <v>0</v>
      </c>
      <c r="N743" s="16"/>
    </row>
    <row r="744">
      <c r="A744" s="16"/>
      <c r="B744" s="16"/>
      <c r="C744" s="16"/>
      <c r="D744" s="16"/>
      <c r="E744" s="16"/>
      <c r="F744" s="16"/>
      <c r="G744" s="16"/>
      <c r="H744" s="16"/>
      <c r="I744" s="16"/>
      <c r="J744" s="16" t="b">
        <f>IFERROR(__xludf.DUMMYFUNCTION("""COMPUTED_VALUE"""),FALSE)</f>
        <v>0</v>
      </c>
      <c r="K744" s="16"/>
      <c r="L744" s="16" t="b">
        <f>IFERROR(__xludf.DUMMYFUNCTION("""COMPUTED_VALUE"""),FALSE)</f>
        <v>0</v>
      </c>
      <c r="M744" s="16" t="b">
        <f>IFERROR(__xludf.DUMMYFUNCTION("""COMPUTED_VALUE"""),FALSE)</f>
        <v>0</v>
      </c>
      <c r="N744" s="16"/>
    </row>
    <row r="745">
      <c r="A745" s="16"/>
      <c r="B745" s="16"/>
      <c r="C745" s="16"/>
      <c r="D745" s="16"/>
      <c r="E745" s="16"/>
      <c r="F745" s="16"/>
      <c r="G745" s="16"/>
      <c r="H745" s="16"/>
      <c r="I745" s="16"/>
      <c r="J745" s="16" t="b">
        <f>IFERROR(__xludf.DUMMYFUNCTION("""COMPUTED_VALUE"""),FALSE)</f>
        <v>0</v>
      </c>
      <c r="K745" s="16"/>
      <c r="L745" s="16" t="b">
        <f>IFERROR(__xludf.DUMMYFUNCTION("""COMPUTED_VALUE"""),FALSE)</f>
        <v>0</v>
      </c>
      <c r="M745" s="16" t="b">
        <f>IFERROR(__xludf.DUMMYFUNCTION("""COMPUTED_VALUE"""),FALSE)</f>
        <v>0</v>
      </c>
      <c r="N745" s="16"/>
    </row>
    <row r="746">
      <c r="A746" s="16"/>
      <c r="B746" s="16"/>
      <c r="C746" s="16"/>
      <c r="D746" s="16"/>
      <c r="E746" s="16"/>
      <c r="F746" s="16"/>
      <c r="G746" s="16"/>
      <c r="H746" s="16"/>
      <c r="I746" s="16"/>
      <c r="J746" s="16" t="b">
        <f>IFERROR(__xludf.DUMMYFUNCTION("""COMPUTED_VALUE"""),FALSE)</f>
        <v>0</v>
      </c>
      <c r="K746" s="16"/>
      <c r="L746" s="16" t="b">
        <f>IFERROR(__xludf.DUMMYFUNCTION("""COMPUTED_VALUE"""),FALSE)</f>
        <v>0</v>
      </c>
      <c r="M746" s="16" t="b">
        <f>IFERROR(__xludf.DUMMYFUNCTION("""COMPUTED_VALUE"""),FALSE)</f>
        <v>0</v>
      </c>
      <c r="N746" s="16"/>
    </row>
    <row r="747">
      <c r="A747" s="16"/>
      <c r="B747" s="16"/>
      <c r="C747" s="16"/>
      <c r="D747" s="16"/>
      <c r="E747" s="16"/>
      <c r="F747" s="16"/>
      <c r="G747" s="16"/>
      <c r="H747" s="16"/>
      <c r="I747" s="16"/>
      <c r="J747" s="16" t="b">
        <f>IFERROR(__xludf.DUMMYFUNCTION("""COMPUTED_VALUE"""),FALSE)</f>
        <v>0</v>
      </c>
      <c r="K747" s="16"/>
      <c r="L747" s="16" t="b">
        <f>IFERROR(__xludf.DUMMYFUNCTION("""COMPUTED_VALUE"""),FALSE)</f>
        <v>0</v>
      </c>
      <c r="M747" s="16" t="b">
        <f>IFERROR(__xludf.DUMMYFUNCTION("""COMPUTED_VALUE"""),FALSE)</f>
        <v>0</v>
      </c>
      <c r="N747" s="16"/>
    </row>
    <row r="748">
      <c r="A748" s="16"/>
      <c r="B748" s="16"/>
      <c r="C748" s="16"/>
      <c r="D748" s="16"/>
      <c r="E748" s="16"/>
      <c r="F748" s="16"/>
      <c r="G748" s="16"/>
      <c r="H748" s="16"/>
      <c r="I748" s="16"/>
      <c r="J748" s="16" t="b">
        <f>IFERROR(__xludf.DUMMYFUNCTION("""COMPUTED_VALUE"""),FALSE)</f>
        <v>0</v>
      </c>
      <c r="K748" s="16"/>
      <c r="L748" s="16" t="b">
        <f>IFERROR(__xludf.DUMMYFUNCTION("""COMPUTED_VALUE"""),FALSE)</f>
        <v>0</v>
      </c>
      <c r="M748" s="16" t="b">
        <f>IFERROR(__xludf.DUMMYFUNCTION("""COMPUTED_VALUE"""),FALSE)</f>
        <v>0</v>
      </c>
      <c r="N748" s="16"/>
    </row>
    <row r="749">
      <c r="A749" s="16"/>
      <c r="B749" s="16"/>
      <c r="C749" s="16"/>
      <c r="D749" s="16"/>
      <c r="E749" s="16"/>
      <c r="F749" s="16"/>
      <c r="G749" s="16"/>
      <c r="H749" s="16"/>
      <c r="I749" s="16"/>
      <c r="J749" s="16" t="b">
        <f>IFERROR(__xludf.DUMMYFUNCTION("""COMPUTED_VALUE"""),FALSE)</f>
        <v>0</v>
      </c>
      <c r="K749" s="16"/>
      <c r="L749" s="16" t="b">
        <f>IFERROR(__xludf.DUMMYFUNCTION("""COMPUTED_VALUE"""),FALSE)</f>
        <v>0</v>
      </c>
      <c r="M749" s="16" t="b">
        <f>IFERROR(__xludf.DUMMYFUNCTION("""COMPUTED_VALUE"""),FALSE)</f>
        <v>0</v>
      </c>
      <c r="N749" s="16"/>
    </row>
    <row r="750">
      <c r="A750" s="16"/>
      <c r="B750" s="16"/>
      <c r="C750" s="16"/>
      <c r="D750" s="16"/>
      <c r="E750" s="16"/>
      <c r="F750" s="16"/>
      <c r="G750" s="16"/>
      <c r="H750" s="16"/>
      <c r="I750" s="16"/>
      <c r="J750" s="16" t="b">
        <f>IFERROR(__xludf.DUMMYFUNCTION("""COMPUTED_VALUE"""),FALSE)</f>
        <v>0</v>
      </c>
      <c r="K750" s="16"/>
      <c r="L750" s="16" t="b">
        <f>IFERROR(__xludf.DUMMYFUNCTION("""COMPUTED_VALUE"""),FALSE)</f>
        <v>0</v>
      </c>
      <c r="M750" s="16" t="b">
        <f>IFERROR(__xludf.DUMMYFUNCTION("""COMPUTED_VALUE"""),FALSE)</f>
        <v>0</v>
      </c>
      <c r="N750" s="16"/>
    </row>
    <row r="751">
      <c r="A751" s="16"/>
      <c r="B751" s="16"/>
      <c r="C751" s="16"/>
      <c r="D751" s="16"/>
      <c r="E751" s="16"/>
      <c r="F751" s="16"/>
      <c r="G751" s="16"/>
      <c r="H751" s="16"/>
      <c r="I751" s="16"/>
      <c r="J751" s="16" t="b">
        <f>IFERROR(__xludf.DUMMYFUNCTION("""COMPUTED_VALUE"""),FALSE)</f>
        <v>0</v>
      </c>
      <c r="K751" s="16"/>
      <c r="L751" s="16" t="b">
        <f>IFERROR(__xludf.DUMMYFUNCTION("""COMPUTED_VALUE"""),FALSE)</f>
        <v>0</v>
      </c>
      <c r="M751" s="16" t="b">
        <f>IFERROR(__xludf.DUMMYFUNCTION("""COMPUTED_VALUE"""),FALSE)</f>
        <v>0</v>
      </c>
      <c r="N751" s="16"/>
    </row>
    <row r="752">
      <c r="A752" s="16"/>
      <c r="B752" s="16"/>
      <c r="C752" s="16"/>
      <c r="D752" s="16"/>
      <c r="E752" s="16"/>
      <c r="F752" s="16"/>
      <c r="G752" s="16"/>
      <c r="H752" s="16"/>
      <c r="I752" s="16"/>
      <c r="J752" s="16" t="b">
        <f>IFERROR(__xludf.DUMMYFUNCTION("""COMPUTED_VALUE"""),FALSE)</f>
        <v>0</v>
      </c>
      <c r="K752" s="16"/>
      <c r="L752" s="16" t="b">
        <f>IFERROR(__xludf.DUMMYFUNCTION("""COMPUTED_VALUE"""),FALSE)</f>
        <v>0</v>
      </c>
      <c r="M752" s="16" t="b">
        <f>IFERROR(__xludf.DUMMYFUNCTION("""COMPUTED_VALUE"""),FALSE)</f>
        <v>0</v>
      </c>
      <c r="N752" s="16"/>
    </row>
    <row r="753">
      <c r="A753" s="16"/>
      <c r="B753" s="16"/>
      <c r="C753" s="16"/>
      <c r="D753" s="16"/>
      <c r="E753" s="16"/>
      <c r="F753" s="16"/>
      <c r="G753" s="16"/>
      <c r="H753" s="16"/>
      <c r="I753" s="16"/>
      <c r="J753" s="16" t="b">
        <f>IFERROR(__xludf.DUMMYFUNCTION("""COMPUTED_VALUE"""),FALSE)</f>
        <v>0</v>
      </c>
      <c r="K753" s="16"/>
      <c r="L753" s="16" t="b">
        <f>IFERROR(__xludf.DUMMYFUNCTION("""COMPUTED_VALUE"""),FALSE)</f>
        <v>0</v>
      </c>
      <c r="M753" s="16" t="b">
        <f>IFERROR(__xludf.DUMMYFUNCTION("""COMPUTED_VALUE"""),FALSE)</f>
        <v>0</v>
      </c>
      <c r="N753" s="16"/>
    </row>
    <row r="754">
      <c r="A754" s="16"/>
      <c r="B754" s="16"/>
      <c r="C754" s="16"/>
      <c r="D754" s="16"/>
      <c r="E754" s="16"/>
      <c r="F754" s="16"/>
      <c r="G754" s="16"/>
      <c r="H754" s="16"/>
      <c r="I754" s="16"/>
      <c r="J754" s="16" t="b">
        <f>IFERROR(__xludf.DUMMYFUNCTION("""COMPUTED_VALUE"""),FALSE)</f>
        <v>0</v>
      </c>
      <c r="K754" s="16"/>
      <c r="L754" s="16" t="b">
        <f>IFERROR(__xludf.DUMMYFUNCTION("""COMPUTED_VALUE"""),FALSE)</f>
        <v>0</v>
      </c>
      <c r="M754" s="16" t="b">
        <f>IFERROR(__xludf.DUMMYFUNCTION("""COMPUTED_VALUE"""),FALSE)</f>
        <v>0</v>
      </c>
      <c r="N754" s="16"/>
    </row>
    <row r="755">
      <c r="A755" s="16"/>
      <c r="B755" s="16"/>
      <c r="C755" s="16"/>
      <c r="D755" s="16"/>
      <c r="E755" s="16"/>
      <c r="F755" s="16"/>
      <c r="G755" s="16"/>
      <c r="H755" s="16"/>
      <c r="I755" s="16"/>
      <c r="J755" s="16" t="b">
        <f>IFERROR(__xludf.DUMMYFUNCTION("""COMPUTED_VALUE"""),FALSE)</f>
        <v>0</v>
      </c>
      <c r="K755" s="16"/>
      <c r="L755" s="16" t="b">
        <f>IFERROR(__xludf.DUMMYFUNCTION("""COMPUTED_VALUE"""),FALSE)</f>
        <v>0</v>
      </c>
      <c r="M755" s="16" t="b">
        <f>IFERROR(__xludf.DUMMYFUNCTION("""COMPUTED_VALUE"""),FALSE)</f>
        <v>0</v>
      </c>
      <c r="N755" s="16"/>
    </row>
    <row r="756">
      <c r="A756" s="16"/>
      <c r="B756" s="16"/>
      <c r="C756" s="16"/>
      <c r="D756" s="16"/>
      <c r="E756" s="16"/>
      <c r="F756" s="16"/>
      <c r="G756" s="16"/>
      <c r="H756" s="16"/>
      <c r="I756" s="16"/>
      <c r="J756" s="16" t="b">
        <f>IFERROR(__xludf.DUMMYFUNCTION("""COMPUTED_VALUE"""),FALSE)</f>
        <v>0</v>
      </c>
      <c r="K756" s="16"/>
      <c r="L756" s="16" t="b">
        <f>IFERROR(__xludf.DUMMYFUNCTION("""COMPUTED_VALUE"""),FALSE)</f>
        <v>0</v>
      </c>
      <c r="M756" s="16" t="b">
        <f>IFERROR(__xludf.DUMMYFUNCTION("""COMPUTED_VALUE"""),FALSE)</f>
        <v>0</v>
      </c>
      <c r="N756" s="16"/>
    </row>
    <row r="757">
      <c r="A757" s="16"/>
      <c r="B757" s="16"/>
      <c r="C757" s="16"/>
      <c r="D757" s="16"/>
      <c r="E757" s="16"/>
      <c r="F757" s="16"/>
      <c r="G757" s="16"/>
      <c r="H757" s="16"/>
      <c r="I757" s="16"/>
      <c r="J757" s="16" t="b">
        <f>IFERROR(__xludf.DUMMYFUNCTION("""COMPUTED_VALUE"""),FALSE)</f>
        <v>0</v>
      </c>
      <c r="K757" s="16"/>
      <c r="L757" s="16" t="b">
        <f>IFERROR(__xludf.DUMMYFUNCTION("""COMPUTED_VALUE"""),FALSE)</f>
        <v>0</v>
      </c>
      <c r="M757" s="16" t="b">
        <f>IFERROR(__xludf.DUMMYFUNCTION("""COMPUTED_VALUE"""),FALSE)</f>
        <v>0</v>
      </c>
      <c r="N757" s="16"/>
    </row>
    <row r="758">
      <c r="A758" s="16"/>
      <c r="B758" s="16"/>
      <c r="C758" s="16"/>
      <c r="D758" s="16"/>
      <c r="E758" s="16"/>
      <c r="F758" s="16"/>
      <c r="G758" s="16"/>
      <c r="H758" s="16"/>
      <c r="I758" s="16"/>
      <c r="J758" s="16" t="b">
        <f>IFERROR(__xludf.DUMMYFUNCTION("""COMPUTED_VALUE"""),FALSE)</f>
        <v>0</v>
      </c>
      <c r="K758" s="16"/>
      <c r="L758" s="16" t="b">
        <f>IFERROR(__xludf.DUMMYFUNCTION("""COMPUTED_VALUE"""),FALSE)</f>
        <v>0</v>
      </c>
      <c r="M758" s="16" t="b">
        <f>IFERROR(__xludf.DUMMYFUNCTION("""COMPUTED_VALUE"""),FALSE)</f>
        <v>0</v>
      </c>
      <c r="N758" s="16"/>
    </row>
    <row r="759">
      <c r="A759" s="16"/>
      <c r="B759" s="16"/>
      <c r="C759" s="16"/>
      <c r="D759" s="16"/>
      <c r="E759" s="16"/>
      <c r="F759" s="16"/>
      <c r="G759" s="16"/>
      <c r="H759" s="16"/>
      <c r="I759" s="16"/>
      <c r="J759" s="16" t="b">
        <f>IFERROR(__xludf.DUMMYFUNCTION("""COMPUTED_VALUE"""),FALSE)</f>
        <v>0</v>
      </c>
      <c r="K759" s="16"/>
      <c r="L759" s="16" t="b">
        <f>IFERROR(__xludf.DUMMYFUNCTION("""COMPUTED_VALUE"""),FALSE)</f>
        <v>0</v>
      </c>
      <c r="M759" s="16" t="b">
        <f>IFERROR(__xludf.DUMMYFUNCTION("""COMPUTED_VALUE"""),FALSE)</f>
        <v>0</v>
      </c>
      <c r="N759" s="16"/>
    </row>
    <row r="760">
      <c r="A760" s="16"/>
      <c r="B760" s="16"/>
      <c r="C760" s="16"/>
      <c r="D760" s="16"/>
      <c r="E760" s="16"/>
      <c r="F760" s="16"/>
      <c r="G760" s="16"/>
      <c r="H760" s="16"/>
      <c r="I760" s="16"/>
      <c r="J760" s="16" t="b">
        <f>IFERROR(__xludf.DUMMYFUNCTION("""COMPUTED_VALUE"""),FALSE)</f>
        <v>0</v>
      </c>
      <c r="K760" s="16"/>
      <c r="L760" s="16" t="b">
        <f>IFERROR(__xludf.DUMMYFUNCTION("""COMPUTED_VALUE"""),FALSE)</f>
        <v>0</v>
      </c>
      <c r="M760" s="16" t="b">
        <f>IFERROR(__xludf.DUMMYFUNCTION("""COMPUTED_VALUE"""),FALSE)</f>
        <v>0</v>
      </c>
      <c r="N760" s="16"/>
    </row>
    <row r="761">
      <c r="A761" s="16"/>
      <c r="B761" s="16"/>
      <c r="C761" s="16"/>
      <c r="D761" s="16"/>
      <c r="E761" s="16"/>
      <c r="F761" s="16"/>
      <c r="G761" s="16"/>
      <c r="H761" s="16"/>
      <c r="I761" s="16"/>
      <c r="J761" s="16" t="b">
        <f>IFERROR(__xludf.DUMMYFUNCTION("""COMPUTED_VALUE"""),FALSE)</f>
        <v>0</v>
      </c>
      <c r="K761" s="16"/>
      <c r="L761" s="16" t="b">
        <f>IFERROR(__xludf.DUMMYFUNCTION("""COMPUTED_VALUE"""),FALSE)</f>
        <v>0</v>
      </c>
      <c r="M761" s="16" t="b">
        <f>IFERROR(__xludf.DUMMYFUNCTION("""COMPUTED_VALUE"""),FALSE)</f>
        <v>0</v>
      </c>
      <c r="N761" s="16"/>
    </row>
    <row r="762">
      <c r="A762" s="16"/>
      <c r="B762" s="16"/>
      <c r="C762" s="16"/>
      <c r="D762" s="16"/>
      <c r="E762" s="16"/>
      <c r="F762" s="16"/>
      <c r="G762" s="16"/>
      <c r="H762" s="16"/>
      <c r="I762" s="16"/>
      <c r="J762" s="16" t="b">
        <f>IFERROR(__xludf.DUMMYFUNCTION("""COMPUTED_VALUE"""),FALSE)</f>
        <v>0</v>
      </c>
      <c r="K762" s="16"/>
      <c r="L762" s="16" t="b">
        <f>IFERROR(__xludf.DUMMYFUNCTION("""COMPUTED_VALUE"""),FALSE)</f>
        <v>0</v>
      </c>
      <c r="M762" s="16" t="b">
        <f>IFERROR(__xludf.DUMMYFUNCTION("""COMPUTED_VALUE"""),FALSE)</f>
        <v>0</v>
      </c>
      <c r="N762" s="16"/>
    </row>
    <row r="763">
      <c r="A763" s="16"/>
      <c r="B763" s="16"/>
      <c r="C763" s="16"/>
      <c r="D763" s="16"/>
      <c r="E763" s="16"/>
      <c r="F763" s="16"/>
      <c r="G763" s="16"/>
      <c r="H763" s="16"/>
      <c r="I763" s="16"/>
      <c r="J763" s="16" t="b">
        <f>IFERROR(__xludf.DUMMYFUNCTION("""COMPUTED_VALUE"""),FALSE)</f>
        <v>0</v>
      </c>
      <c r="K763" s="16"/>
      <c r="L763" s="16" t="b">
        <f>IFERROR(__xludf.DUMMYFUNCTION("""COMPUTED_VALUE"""),FALSE)</f>
        <v>0</v>
      </c>
      <c r="M763" s="16" t="b">
        <f>IFERROR(__xludf.DUMMYFUNCTION("""COMPUTED_VALUE"""),FALSE)</f>
        <v>0</v>
      </c>
      <c r="N763" s="16"/>
    </row>
    <row r="764">
      <c r="A764" s="16"/>
      <c r="B764" s="16"/>
      <c r="C764" s="16"/>
      <c r="D764" s="16"/>
      <c r="E764" s="16"/>
      <c r="F764" s="16"/>
      <c r="G764" s="16"/>
      <c r="H764" s="16"/>
      <c r="I764" s="16"/>
      <c r="J764" s="16" t="b">
        <f>IFERROR(__xludf.DUMMYFUNCTION("""COMPUTED_VALUE"""),FALSE)</f>
        <v>0</v>
      </c>
      <c r="K764" s="16"/>
      <c r="L764" s="16" t="b">
        <f>IFERROR(__xludf.DUMMYFUNCTION("""COMPUTED_VALUE"""),FALSE)</f>
        <v>0</v>
      </c>
      <c r="M764" s="16" t="b">
        <f>IFERROR(__xludf.DUMMYFUNCTION("""COMPUTED_VALUE"""),FALSE)</f>
        <v>0</v>
      </c>
      <c r="N764" s="16"/>
    </row>
    <row r="765">
      <c r="A765" s="16"/>
      <c r="B765" s="16"/>
      <c r="C765" s="16"/>
      <c r="D765" s="16"/>
      <c r="E765" s="16"/>
      <c r="F765" s="16"/>
      <c r="G765" s="16"/>
      <c r="H765" s="16"/>
      <c r="I765" s="16"/>
      <c r="J765" s="16" t="b">
        <f>IFERROR(__xludf.DUMMYFUNCTION("""COMPUTED_VALUE"""),FALSE)</f>
        <v>0</v>
      </c>
      <c r="K765" s="16"/>
      <c r="L765" s="16" t="b">
        <f>IFERROR(__xludf.DUMMYFUNCTION("""COMPUTED_VALUE"""),FALSE)</f>
        <v>0</v>
      </c>
      <c r="M765" s="16" t="b">
        <f>IFERROR(__xludf.DUMMYFUNCTION("""COMPUTED_VALUE"""),FALSE)</f>
        <v>0</v>
      </c>
      <c r="N765" s="16"/>
    </row>
    <row r="766">
      <c r="A766" s="16"/>
      <c r="B766" s="16"/>
      <c r="C766" s="16"/>
      <c r="D766" s="16"/>
      <c r="E766" s="16"/>
      <c r="F766" s="16"/>
      <c r="G766" s="16"/>
      <c r="H766" s="16"/>
      <c r="I766" s="16"/>
      <c r="J766" s="16" t="b">
        <f>IFERROR(__xludf.DUMMYFUNCTION("""COMPUTED_VALUE"""),FALSE)</f>
        <v>0</v>
      </c>
      <c r="K766" s="16"/>
      <c r="L766" s="16" t="b">
        <f>IFERROR(__xludf.DUMMYFUNCTION("""COMPUTED_VALUE"""),FALSE)</f>
        <v>0</v>
      </c>
      <c r="M766" s="16" t="b">
        <f>IFERROR(__xludf.DUMMYFUNCTION("""COMPUTED_VALUE"""),FALSE)</f>
        <v>0</v>
      </c>
      <c r="N766" s="16"/>
    </row>
    <row r="767">
      <c r="A767" s="16"/>
      <c r="B767" s="16"/>
      <c r="C767" s="16"/>
      <c r="D767" s="16"/>
      <c r="E767" s="16"/>
      <c r="F767" s="16"/>
      <c r="G767" s="16"/>
      <c r="H767" s="16"/>
      <c r="I767" s="16"/>
      <c r="J767" s="16" t="b">
        <f>IFERROR(__xludf.DUMMYFUNCTION("""COMPUTED_VALUE"""),FALSE)</f>
        <v>0</v>
      </c>
      <c r="K767" s="16"/>
      <c r="L767" s="16" t="b">
        <f>IFERROR(__xludf.DUMMYFUNCTION("""COMPUTED_VALUE"""),FALSE)</f>
        <v>0</v>
      </c>
      <c r="M767" s="16" t="b">
        <f>IFERROR(__xludf.DUMMYFUNCTION("""COMPUTED_VALUE"""),FALSE)</f>
        <v>0</v>
      </c>
      <c r="N767" s="16"/>
    </row>
    <row r="768">
      <c r="A768" s="16"/>
      <c r="B768" s="16"/>
      <c r="C768" s="16"/>
      <c r="D768" s="16"/>
      <c r="E768" s="16"/>
      <c r="F768" s="16"/>
      <c r="G768" s="16"/>
      <c r="H768" s="16"/>
      <c r="I768" s="16"/>
      <c r="J768" s="16" t="b">
        <f>IFERROR(__xludf.DUMMYFUNCTION("""COMPUTED_VALUE"""),FALSE)</f>
        <v>0</v>
      </c>
      <c r="K768" s="16"/>
      <c r="L768" s="16" t="b">
        <f>IFERROR(__xludf.DUMMYFUNCTION("""COMPUTED_VALUE"""),FALSE)</f>
        <v>0</v>
      </c>
      <c r="M768" s="16" t="b">
        <f>IFERROR(__xludf.DUMMYFUNCTION("""COMPUTED_VALUE"""),FALSE)</f>
        <v>0</v>
      </c>
      <c r="N768" s="16"/>
    </row>
    <row r="769">
      <c r="A769" s="16"/>
      <c r="B769" s="16"/>
      <c r="C769" s="16"/>
      <c r="D769" s="16"/>
      <c r="E769" s="16"/>
      <c r="F769" s="16"/>
      <c r="G769" s="16"/>
      <c r="H769" s="16"/>
      <c r="I769" s="16"/>
      <c r="J769" s="16" t="b">
        <f>IFERROR(__xludf.DUMMYFUNCTION("""COMPUTED_VALUE"""),FALSE)</f>
        <v>0</v>
      </c>
      <c r="K769" s="16"/>
      <c r="L769" s="16" t="b">
        <f>IFERROR(__xludf.DUMMYFUNCTION("""COMPUTED_VALUE"""),FALSE)</f>
        <v>0</v>
      </c>
      <c r="M769" s="16" t="b">
        <f>IFERROR(__xludf.DUMMYFUNCTION("""COMPUTED_VALUE"""),FALSE)</f>
        <v>0</v>
      </c>
      <c r="N769" s="16"/>
    </row>
    <row r="770">
      <c r="A770" s="16"/>
      <c r="B770" s="16"/>
      <c r="C770" s="16"/>
      <c r="D770" s="16"/>
      <c r="E770" s="16"/>
      <c r="F770" s="16"/>
      <c r="G770" s="16"/>
      <c r="H770" s="16"/>
      <c r="I770" s="16"/>
      <c r="J770" s="16" t="b">
        <f>IFERROR(__xludf.DUMMYFUNCTION("""COMPUTED_VALUE"""),FALSE)</f>
        <v>0</v>
      </c>
      <c r="K770" s="16"/>
      <c r="L770" s="16" t="b">
        <f>IFERROR(__xludf.DUMMYFUNCTION("""COMPUTED_VALUE"""),FALSE)</f>
        <v>0</v>
      </c>
      <c r="M770" s="16" t="b">
        <f>IFERROR(__xludf.DUMMYFUNCTION("""COMPUTED_VALUE"""),FALSE)</f>
        <v>0</v>
      </c>
      <c r="N770" s="16"/>
    </row>
    <row r="771">
      <c r="A771" s="16"/>
      <c r="B771" s="16"/>
      <c r="C771" s="16"/>
      <c r="D771" s="16"/>
      <c r="E771" s="16"/>
      <c r="F771" s="16"/>
      <c r="G771" s="16"/>
      <c r="H771" s="16"/>
      <c r="I771" s="16"/>
      <c r="J771" s="16" t="b">
        <f>IFERROR(__xludf.DUMMYFUNCTION("""COMPUTED_VALUE"""),FALSE)</f>
        <v>0</v>
      </c>
      <c r="K771" s="16"/>
      <c r="L771" s="16" t="b">
        <f>IFERROR(__xludf.DUMMYFUNCTION("""COMPUTED_VALUE"""),FALSE)</f>
        <v>0</v>
      </c>
      <c r="M771" s="16" t="b">
        <f>IFERROR(__xludf.DUMMYFUNCTION("""COMPUTED_VALUE"""),FALSE)</f>
        <v>0</v>
      </c>
      <c r="N771" s="16"/>
    </row>
    <row r="772">
      <c r="A772" s="16"/>
      <c r="B772" s="16"/>
      <c r="C772" s="16"/>
      <c r="D772" s="16"/>
      <c r="E772" s="16"/>
      <c r="F772" s="16"/>
      <c r="G772" s="16"/>
      <c r="H772" s="16"/>
      <c r="I772" s="16"/>
      <c r="J772" s="16" t="b">
        <f>IFERROR(__xludf.DUMMYFUNCTION("""COMPUTED_VALUE"""),FALSE)</f>
        <v>0</v>
      </c>
      <c r="K772" s="16"/>
      <c r="L772" s="16" t="b">
        <f>IFERROR(__xludf.DUMMYFUNCTION("""COMPUTED_VALUE"""),FALSE)</f>
        <v>0</v>
      </c>
      <c r="M772" s="16" t="b">
        <f>IFERROR(__xludf.DUMMYFUNCTION("""COMPUTED_VALUE"""),FALSE)</f>
        <v>0</v>
      </c>
      <c r="N772" s="16"/>
    </row>
    <row r="773">
      <c r="A773" s="16"/>
      <c r="B773" s="16"/>
      <c r="C773" s="16"/>
      <c r="D773" s="16"/>
      <c r="E773" s="16"/>
      <c r="F773" s="16"/>
      <c r="G773" s="16"/>
      <c r="H773" s="16"/>
      <c r="I773" s="16"/>
      <c r="J773" s="16" t="b">
        <f>IFERROR(__xludf.DUMMYFUNCTION("""COMPUTED_VALUE"""),FALSE)</f>
        <v>0</v>
      </c>
      <c r="K773" s="16"/>
      <c r="L773" s="16" t="b">
        <f>IFERROR(__xludf.DUMMYFUNCTION("""COMPUTED_VALUE"""),FALSE)</f>
        <v>0</v>
      </c>
      <c r="M773" s="16" t="b">
        <f>IFERROR(__xludf.DUMMYFUNCTION("""COMPUTED_VALUE"""),FALSE)</f>
        <v>0</v>
      </c>
      <c r="N773" s="16"/>
    </row>
    <row r="774">
      <c r="A774" s="16"/>
      <c r="B774" s="16"/>
      <c r="C774" s="16"/>
      <c r="D774" s="16"/>
      <c r="E774" s="16"/>
      <c r="F774" s="16"/>
      <c r="G774" s="16"/>
      <c r="H774" s="16"/>
      <c r="I774" s="16"/>
      <c r="J774" s="16" t="b">
        <f>IFERROR(__xludf.DUMMYFUNCTION("""COMPUTED_VALUE"""),FALSE)</f>
        <v>0</v>
      </c>
      <c r="K774" s="16"/>
      <c r="L774" s="16" t="b">
        <f>IFERROR(__xludf.DUMMYFUNCTION("""COMPUTED_VALUE"""),FALSE)</f>
        <v>0</v>
      </c>
      <c r="M774" s="16" t="b">
        <f>IFERROR(__xludf.DUMMYFUNCTION("""COMPUTED_VALUE"""),FALSE)</f>
        <v>0</v>
      </c>
      <c r="N774" s="16"/>
    </row>
    <row r="775">
      <c r="A775" s="16"/>
      <c r="B775" s="16"/>
      <c r="C775" s="16"/>
      <c r="D775" s="16"/>
      <c r="E775" s="16"/>
      <c r="F775" s="16"/>
      <c r="G775" s="16"/>
      <c r="H775" s="16"/>
      <c r="I775" s="16"/>
      <c r="J775" s="16" t="b">
        <f>IFERROR(__xludf.DUMMYFUNCTION("""COMPUTED_VALUE"""),FALSE)</f>
        <v>0</v>
      </c>
      <c r="K775" s="16"/>
      <c r="L775" s="16" t="b">
        <f>IFERROR(__xludf.DUMMYFUNCTION("""COMPUTED_VALUE"""),FALSE)</f>
        <v>0</v>
      </c>
      <c r="M775" s="16" t="b">
        <f>IFERROR(__xludf.DUMMYFUNCTION("""COMPUTED_VALUE"""),FALSE)</f>
        <v>0</v>
      </c>
      <c r="N775" s="16"/>
    </row>
    <row r="776">
      <c r="A776" s="16"/>
      <c r="B776" s="16"/>
      <c r="C776" s="16"/>
      <c r="D776" s="16"/>
      <c r="E776" s="16"/>
      <c r="F776" s="16"/>
      <c r="G776" s="16"/>
      <c r="H776" s="16"/>
      <c r="I776" s="16"/>
      <c r="J776" s="16" t="b">
        <f>IFERROR(__xludf.DUMMYFUNCTION("""COMPUTED_VALUE"""),FALSE)</f>
        <v>0</v>
      </c>
      <c r="K776" s="16"/>
      <c r="L776" s="16" t="b">
        <f>IFERROR(__xludf.DUMMYFUNCTION("""COMPUTED_VALUE"""),FALSE)</f>
        <v>0</v>
      </c>
      <c r="M776" s="16" t="b">
        <f>IFERROR(__xludf.DUMMYFUNCTION("""COMPUTED_VALUE"""),FALSE)</f>
        <v>0</v>
      </c>
      <c r="N776" s="16"/>
    </row>
    <row r="777">
      <c r="A777" s="16"/>
      <c r="B777" s="16"/>
      <c r="C777" s="16"/>
      <c r="D777" s="16"/>
      <c r="E777" s="16"/>
      <c r="F777" s="16"/>
      <c r="G777" s="16"/>
      <c r="H777" s="16"/>
      <c r="I777" s="16"/>
      <c r="J777" s="16" t="b">
        <f>IFERROR(__xludf.DUMMYFUNCTION("""COMPUTED_VALUE"""),FALSE)</f>
        <v>0</v>
      </c>
      <c r="K777" s="16"/>
      <c r="L777" s="16" t="b">
        <f>IFERROR(__xludf.DUMMYFUNCTION("""COMPUTED_VALUE"""),FALSE)</f>
        <v>0</v>
      </c>
      <c r="M777" s="16" t="b">
        <f>IFERROR(__xludf.DUMMYFUNCTION("""COMPUTED_VALUE"""),FALSE)</f>
        <v>0</v>
      </c>
      <c r="N777" s="16"/>
    </row>
    <row r="778">
      <c r="A778" s="16"/>
      <c r="B778" s="16"/>
      <c r="C778" s="16"/>
      <c r="D778" s="16"/>
      <c r="E778" s="16"/>
      <c r="F778" s="16"/>
      <c r="G778" s="16"/>
      <c r="H778" s="16"/>
      <c r="I778" s="16"/>
      <c r="J778" s="16" t="b">
        <f>IFERROR(__xludf.DUMMYFUNCTION("""COMPUTED_VALUE"""),FALSE)</f>
        <v>0</v>
      </c>
      <c r="K778" s="16"/>
      <c r="L778" s="16" t="b">
        <f>IFERROR(__xludf.DUMMYFUNCTION("""COMPUTED_VALUE"""),FALSE)</f>
        <v>0</v>
      </c>
      <c r="M778" s="16" t="b">
        <f>IFERROR(__xludf.DUMMYFUNCTION("""COMPUTED_VALUE"""),FALSE)</f>
        <v>0</v>
      </c>
      <c r="N778" s="16"/>
    </row>
    <row r="779">
      <c r="A779" s="16"/>
      <c r="B779" s="16"/>
      <c r="C779" s="16"/>
      <c r="D779" s="16"/>
      <c r="E779" s="16"/>
      <c r="F779" s="16"/>
      <c r="G779" s="16"/>
      <c r="H779" s="16"/>
      <c r="I779" s="16"/>
      <c r="J779" s="16" t="b">
        <f>IFERROR(__xludf.DUMMYFUNCTION("""COMPUTED_VALUE"""),FALSE)</f>
        <v>0</v>
      </c>
      <c r="K779" s="16"/>
      <c r="L779" s="16" t="b">
        <f>IFERROR(__xludf.DUMMYFUNCTION("""COMPUTED_VALUE"""),FALSE)</f>
        <v>0</v>
      </c>
      <c r="M779" s="16" t="b">
        <f>IFERROR(__xludf.DUMMYFUNCTION("""COMPUTED_VALUE"""),FALSE)</f>
        <v>0</v>
      </c>
      <c r="N779" s="16"/>
    </row>
    <row r="780">
      <c r="A780" s="16"/>
      <c r="B780" s="16"/>
      <c r="C780" s="16"/>
      <c r="D780" s="16"/>
      <c r="E780" s="16"/>
      <c r="F780" s="16"/>
      <c r="G780" s="16"/>
      <c r="H780" s="16"/>
      <c r="I780" s="16"/>
      <c r="J780" s="16" t="b">
        <f>IFERROR(__xludf.DUMMYFUNCTION("""COMPUTED_VALUE"""),FALSE)</f>
        <v>0</v>
      </c>
      <c r="K780" s="16"/>
      <c r="L780" s="16" t="b">
        <f>IFERROR(__xludf.DUMMYFUNCTION("""COMPUTED_VALUE"""),FALSE)</f>
        <v>0</v>
      </c>
      <c r="M780" s="16" t="b">
        <f>IFERROR(__xludf.DUMMYFUNCTION("""COMPUTED_VALUE"""),FALSE)</f>
        <v>0</v>
      </c>
      <c r="N780" s="16"/>
    </row>
    <row r="781">
      <c r="A781" s="16"/>
      <c r="B781" s="16"/>
      <c r="C781" s="16"/>
      <c r="D781" s="16"/>
      <c r="E781" s="16"/>
      <c r="F781" s="16"/>
      <c r="G781" s="16"/>
      <c r="H781" s="16"/>
      <c r="I781" s="16"/>
      <c r="J781" s="16" t="b">
        <f>IFERROR(__xludf.DUMMYFUNCTION("""COMPUTED_VALUE"""),FALSE)</f>
        <v>0</v>
      </c>
      <c r="K781" s="16"/>
      <c r="L781" s="16" t="b">
        <f>IFERROR(__xludf.DUMMYFUNCTION("""COMPUTED_VALUE"""),FALSE)</f>
        <v>0</v>
      </c>
      <c r="M781" s="16" t="b">
        <f>IFERROR(__xludf.DUMMYFUNCTION("""COMPUTED_VALUE"""),FALSE)</f>
        <v>0</v>
      </c>
      <c r="N781" s="16"/>
    </row>
    <row r="782">
      <c r="A782" s="16"/>
      <c r="B782" s="16"/>
      <c r="C782" s="16"/>
      <c r="D782" s="16"/>
      <c r="E782" s="16"/>
      <c r="F782" s="16"/>
      <c r="G782" s="16"/>
      <c r="H782" s="16"/>
      <c r="I782" s="16"/>
      <c r="J782" s="16" t="b">
        <f>IFERROR(__xludf.DUMMYFUNCTION("""COMPUTED_VALUE"""),FALSE)</f>
        <v>0</v>
      </c>
      <c r="K782" s="16"/>
      <c r="L782" s="16" t="b">
        <f>IFERROR(__xludf.DUMMYFUNCTION("""COMPUTED_VALUE"""),FALSE)</f>
        <v>0</v>
      </c>
      <c r="M782" s="16" t="b">
        <f>IFERROR(__xludf.DUMMYFUNCTION("""COMPUTED_VALUE"""),FALSE)</f>
        <v>0</v>
      </c>
      <c r="N782" s="16"/>
    </row>
    <row r="783">
      <c r="A783" s="16"/>
      <c r="B783" s="16"/>
      <c r="C783" s="16"/>
      <c r="D783" s="16"/>
      <c r="E783" s="16"/>
      <c r="F783" s="16"/>
      <c r="G783" s="16"/>
      <c r="H783" s="16"/>
      <c r="I783" s="16"/>
      <c r="J783" s="16" t="b">
        <f>IFERROR(__xludf.DUMMYFUNCTION("""COMPUTED_VALUE"""),FALSE)</f>
        <v>0</v>
      </c>
      <c r="K783" s="16"/>
      <c r="L783" s="16" t="b">
        <f>IFERROR(__xludf.DUMMYFUNCTION("""COMPUTED_VALUE"""),FALSE)</f>
        <v>0</v>
      </c>
      <c r="M783" s="16" t="b">
        <f>IFERROR(__xludf.DUMMYFUNCTION("""COMPUTED_VALUE"""),FALSE)</f>
        <v>0</v>
      </c>
      <c r="N783" s="16"/>
    </row>
    <row r="784">
      <c r="A784" s="16"/>
      <c r="B784" s="16"/>
      <c r="C784" s="16"/>
      <c r="D784" s="16"/>
      <c r="E784" s="16"/>
      <c r="F784" s="16"/>
      <c r="G784" s="16"/>
      <c r="H784" s="16"/>
      <c r="I784" s="16"/>
      <c r="J784" s="16" t="b">
        <f>IFERROR(__xludf.DUMMYFUNCTION("""COMPUTED_VALUE"""),FALSE)</f>
        <v>0</v>
      </c>
      <c r="K784" s="16"/>
      <c r="L784" s="16" t="b">
        <f>IFERROR(__xludf.DUMMYFUNCTION("""COMPUTED_VALUE"""),FALSE)</f>
        <v>0</v>
      </c>
      <c r="M784" s="16" t="b">
        <f>IFERROR(__xludf.DUMMYFUNCTION("""COMPUTED_VALUE"""),FALSE)</f>
        <v>0</v>
      </c>
      <c r="N784" s="16"/>
    </row>
    <row r="785">
      <c r="A785" s="16"/>
      <c r="B785" s="16"/>
      <c r="C785" s="16"/>
      <c r="D785" s="16"/>
      <c r="E785" s="16"/>
      <c r="F785" s="16"/>
      <c r="G785" s="16"/>
      <c r="H785" s="16"/>
      <c r="I785" s="16"/>
      <c r="J785" s="16" t="b">
        <f>IFERROR(__xludf.DUMMYFUNCTION("""COMPUTED_VALUE"""),FALSE)</f>
        <v>0</v>
      </c>
      <c r="K785" s="16"/>
      <c r="L785" s="16" t="b">
        <f>IFERROR(__xludf.DUMMYFUNCTION("""COMPUTED_VALUE"""),FALSE)</f>
        <v>0</v>
      </c>
      <c r="M785" s="16" t="b">
        <f>IFERROR(__xludf.DUMMYFUNCTION("""COMPUTED_VALUE"""),FALSE)</f>
        <v>0</v>
      </c>
      <c r="N785" s="16"/>
    </row>
    <row r="786">
      <c r="A786" s="16"/>
      <c r="B786" s="16"/>
      <c r="C786" s="16"/>
      <c r="D786" s="16"/>
      <c r="E786" s="16"/>
      <c r="F786" s="16"/>
      <c r="G786" s="16"/>
      <c r="H786" s="16"/>
      <c r="I786" s="16"/>
      <c r="J786" s="16" t="b">
        <f>IFERROR(__xludf.DUMMYFUNCTION("""COMPUTED_VALUE"""),FALSE)</f>
        <v>0</v>
      </c>
      <c r="K786" s="16"/>
      <c r="L786" s="16" t="b">
        <f>IFERROR(__xludf.DUMMYFUNCTION("""COMPUTED_VALUE"""),FALSE)</f>
        <v>0</v>
      </c>
      <c r="M786" s="16" t="b">
        <f>IFERROR(__xludf.DUMMYFUNCTION("""COMPUTED_VALUE"""),FALSE)</f>
        <v>0</v>
      </c>
      <c r="N786" s="16"/>
    </row>
    <row r="787">
      <c r="A787" s="16"/>
      <c r="B787" s="16"/>
      <c r="C787" s="16"/>
      <c r="D787" s="16"/>
      <c r="E787" s="16"/>
      <c r="F787" s="16"/>
      <c r="G787" s="16"/>
      <c r="H787" s="16"/>
      <c r="I787" s="16"/>
      <c r="J787" s="16" t="b">
        <f>IFERROR(__xludf.DUMMYFUNCTION("""COMPUTED_VALUE"""),FALSE)</f>
        <v>0</v>
      </c>
      <c r="K787" s="16"/>
      <c r="L787" s="16" t="b">
        <f>IFERROR(__xludf.DUMMYFUNCTION("""COMPUTED_VALUE"""),FALSE)</f>
        <v>0</v>
      </c>
      <c r="M787" s="16" t="b">
        <f>IFERROR(__xludf.DUMMYFUNCTION("""COMPUTED_VALUE"""),FALSE)</f>
        <v>0</v>
      </c>
      <c r="N787" s="16"/>
    </row>
    <row r="788">
      <c r="A788" s="16"/>
      <c r="B788" s="16"/>
      <c r="C788" s="16"/>
      <c r="D788" s="16"/>
      <c r="E788" s="16"/>
      <c r="F788" s="16"/>
      <c r="G788" s="16"/>
      <c r="H788" s="16"/>
      <c r="I788" s="16"/>
      <c r="J788" s="16" t="b">
        <f>IFERROR(__xludf.DUMMYFUNCTION("""COMPUTED_VALUE"""),FALSE)</f>
        <v>0</v>
      </c>
      <c r="K788" s="16"/>
      <c r="L788" s="16" t="b">
        <f>IFERROR(__xludf.DUMMYFUNCTION("""COMPUTED_VALUE"""),FALSE)</f>
        <v>0</v>
      </c>
      <c r="M788" s="16" t="b">
        <f>IFERROR(__xludf.DUMMYFUNCTION("""COMPUTED_VALUE"""),FALSE)</f>
        <v>0</v>
      </c>
      <c r="N788" s="16"/>
    </row>
    <row r="789">
      <c r="A789" s="16"/>
      <c r="B789" s="16"/>
      <c r="C789" s="16"/>
      <c r="D789" s="16"/>
      <c r="E789" s="16"/>
      <c r="F789" s="16"/>
      <c r="G789" s="16"/>
      <c r="H789" s="16"/>
      <c r="I789" s="16"/>
      <c r="J789" s="16" t="b">
        <f>IFERROR(__xludf.DUMMYFUNCTION("""COMPUTED_VALUE"""),FALSE)</f>
        <v>0</v>
      </c>
      <c r="K789" s="16"/>
      <c r="L789" s="16" t="b">
        <f>IFERROR(__xludf.DUMMYFUNCTION("""COMPUTED_VALUE"""),FALSE)</f>
        <v>0</v>
      </c>
      <c r="M789" s="16" t="b">
        <f>IFERROR(__xludf.DUMMYFUNCTION("""COMPUTED_VALUE"""),FALSE)</f>
        <v>0</v>
      </c>
      <c r="N789" s="16"/>
    </row>
    <row r="790">
      <c r="A790" s="16"/>
      <c r="B790" s="16"/>
      <c r="C790" s="16"/>
      <c r="D790" s="16"/>
      <c r="E790" s="16"/>
      <c r="F790" s="16"/>
      <c r="G790" s="16"/>
      <c r="H790" s="16"/>
      <c r="I790" s="16"/>
      <c r="J790" s="16" t="b">
        <f>IFERROR(__xludf.DUMMYFUNCTION("""COMPUTED_VALUE"""),FALSE)</f>
        <v>0</v>
      </c>
      <c r="K790" s="16"/>
      <c r="L790" s="16" t="b">
        <f>IFERROR(__xludf.DUMMYFUNCTION("""COMPUTED_VALUE"""),FALSE)</f>
        <v>0</v>
      </c>
      <c r="M790" s="16" t="b">
        <f>IFERROR(__xludf.DUMMYFUNCTION("""COMPUTED_VALUE"""),FALSE)</f>
        <v>0</v>
      </c>
      <c r="N790" s="16"/>
    </row>
    <row r="791">
      <c r="A791" s="16"/>
      <c r="B791" s="16"/>
      <c r="C791" s="16"/>
      <c r="D791" s="16"/>
      <c r="E791" s="16"/>
      <c r="F791" s="16"/>
      <c r="G791" s="16"/>
      <c r="H791" s="16"/>
      <c r="I791" s="16"/>
      <c r="J791" s="16" t="b">
        <f>IFERROR(__xludf.DUMMYFUNCTION("""COMPUTED_VALUE"""),FALSE)</f>
        <v>0</v>
      </c>
      <c r="K791" s="16"/>
      <c r="L791" s="16" t="b">
        <f>IFERROR(__xludf.DUMMYFUNCTION("""COMPUTED_VALUE"""),FALSE)</f>
        <v>0</v>
      </c>
      <c r="M791" s="16" t="b">
        <f>IFERROR(__xludf.DUMMYFUNCTION("""COMPUTED_VALUE"""),FALSE)</f>
        <v>0</v>
      </c>
      <c r="N791" s="16"/>
    </row>
    <row r="792">
      <c r="A792" s="16"/>
      <c r="B792" s="16"/>
      <c r="C792" s="16"/>
      <c r="D792" s="16"/>
      <c r="E792" s="16"/>
      <c r="F792" s="16"/>
      <c r="G792" s="16"/>
      <c r="H792" s="16"/>
      <c r="I792" s="16"/>
      <c r="J792" s="16" t="b">
        <f>IFERROR(__xludf.DUMMYFUNCTION("""COMPUTED_VALUE"""),FALSE)</f>
        <v>0</v>
      </c>
      <c r="K792" s="16"/>
      <c r="L792" s="16" t="b">
        <f>IFERROR(__xludf.DUMMYFUNCTION("""COMPUTED_VALUE"""),FALSE)</f>
        <v>0</v>
      </c>
      <c r="M792" s="16" t="b">
        <f>IFERROR(__xludf.DUMMYFUNCTION("""COMPUTED_VALUE"""),FALSE)</f>
        <v>0</v>
      </c>
      <c r="N792" s="16"/>
    </row>
    <row r="793">
      <c r="A793" s="16"/>
      <c r="B793" s="16"/>
      <c r="C793" s="16"/>
      <c r="D793" s="16"/>
      <c r="E793" s="16"/>
      <c r="F793" s="16"/>
      <c r="G793" s="16"/>
      <c r="H793" s="16"/>
      <c r="I793" s="16"/>
      <c r="J793" s="16" t="b">
        <f>IFERROR(__xludf.DUMMYFUNCTION("""COMPUTED_VALUE"""),FALSE)</f>
        <v>0</v>
      </c>
      <c r="K793" s="16"/>
      <c r="L793" s="16" t="b">
        <f>IFERROR(__xludf.DUMMYFUNCTION("""COMPUTED_VALUE"""),FALSE)</f>
        <v>0</v>
      </c>
      <c r="M793" s="16" t="b">
        <f>IFERROR(__xludf.DUMMYFUNCTION("""COMPUTED_VALUE"""),FALSE)</f>
        <v>0</v>
      </c>
      <c r="N793" s="16"/>
    </row>
    <row r="794">
      <c r="A794" s="16"/>
      <c r="B794" s="16"/>
      <c r="C794" s="16"/>
      <c r="D794" s="16"/>
      <c r="E794" s="16"/>
      <c r="F794" s="16"/>
      <c r="G794" s="16"/>
      <c r="H794" s="16"/>
      <c r="I794" s="16"/>
      <c r="J794" s="16" t="b">
        <f>IFERROR(__xludf.DUMMYFUNCTION("""COMPUTED_VALUE"""),FALSE)</f>
        <v>0</v>
      </c>
      <c r="K794" s="16"/>
      <c r="L794" s="16" t="b">
        <f>IFERROR(__xludf.DUMMYFUNCTION("""COMPUTED_VALUE"""),FALSE)</f>
        <v>0</v>
      </c>
      <c r="M794" s="16" t="b">
        <f>IFERROR(__xludf.DUMMYFUNCTION("""COMPUTED_VALUE"""),FALSE)</f>
        <v>0</v>
      </c>
      <c r="N794" s="16"/>
    </row>
    <row r="795">
      <c r="A795" s="16"/>
      <c r="B795" s="16"/>
      <c r="C795" s="16"/>
      <c r="D795" s="16"/>
      <c r="E795" s="16"/>
      <c r="F795" s="16"/>
      <c r="G795" s="16"/>
      <c r="H795" s="16"/>
      <c r="I795" s="16"/>
      <c r="J795" s="16" t="b">
        <f>IFERROR(__xludf.DUMMYFUNCTION("""COMPUTED_VALUE"""),FALSE)</f>
        <v>0</v>
      </c>
      <c r="K795" s="16"/>
      <c r="L795" s="16" t="b">
        <f>IFERROR(__xludf.DUMMYFUNCTION("""COMPUTED_VALUE"""),FALSE)</f>
        <v>0</v>
      </c>
      <c r="M795" s="16" t="b">
        <f>IFERROR(__xludf.DUMMYFUNCTION("""COMPUTED_VALUE"""),FALSE)</f>
        <v>0</v>
      </c>
      <c r="N795" s="16"/>
    </row>
    <row r="796">
      <c r="A796" s="16"/>
      <c r="B796" s="16"/>
      <c r="C796" s="16"/>
      <c r="D796" s="16"/>
      <c r="E796" s="16"/>
      <c r="F796" s="16"/>
      <c r="G796" s="16"/>
      <c r="H796" s="16"/>
      <c r="I796" s="16"/>
      <c r="J796" s="16" t="b">
        <f>IFERROR(__xludf.DUMMYFUNCTION("""COMPUTED_VALUE"""),FALSE)</f>
        <v>0</v>
      </c>
      <c r="K796" s="16"/>
      <c r="L796" s="16" t="b">
        <f>IFERROR(__xludf.DUMMYFUNCTION("""COMPUTED_VALUE"""),FALSE)</f>
        <v>0</v>
      </c>
      <c r="M796" s="16" t="b">
        <f>IFERROR(__xludf.DUMMYFUNCTION("""COMPUTED_VALUE"""),FALSE)</f>
        <v>0</v>
      </c>
      <c r="N796" s="16"/>
    </row>
    <row r="797">
      <c r="A797" s="16"/>
      <c r="B797" s="16"/>
      <c r="C797" s="16"/>
      <c r="D797" s="16"/>
      <c r="E797" s="16"/>
      <c r="F797" s="16"/>
      <c r="G797" s="16"/>
      <c r="H797" s="16"/>
      <c r="I797" s="16"/>
      <c r="J797" s="16" t="b">
        <f>IFERROR(__xludf.DUMMYFUNCTION("""COMPUTED_VALUE"""),FALSE)</f>
        <v>0</v>
      </c>
      <c r="K797" s="16"/>
      <c r="L797" s="16" t="b">
        <f>IFERROR(__xludf.DUMMYFUNCTION("""COMPUTED_VALUE"""),FALSE)</f>
        <v>0</v>
      </c>
      <c r="M797" s="16" t="b">
        <f>IFERROR(__xludf.DUMMYFUNCTION("""COMPUTED_VALUE"""),FALSE)</f>
        <v>0</v>
      </c>
      <c r="N797" s="16"/>
    </row>
    <row r="798">
      <c r="A798" s="16"/>
      <c r="B798" s="16"/>
      <c r="C798" s="16"/>
      <c r="D798" s="16"/>
      <c r="E798" s="16"/>
      <c r="F798" s="16"/>
      <c r="G798" s="16"/>
      <c r="H798" s="16"/>
      <c r="I798" s="16"/>
      <c r="J798" s="16" t="b">
        <f>IFERROR(__xludf.DUMMYFUNCTION("""COMPUTED_VALUE"""),FALSE)</f>
        <v>0</v>
      </c>
      <c r="K798" s="16"/>
      <c r="L798" s="16" t="b">
        <f>IFERROR(__xludf.DUMMYFUNCTION("""COMPUTED_VALUE"""),FALSE)</f>
        <v>0</v>
      </c>
      <c r="M798" s="16" t="b">
        <f>IFERROR(__xludf.DUMMYFUNCTION("""COMPUTED_VALUE"""),FALSE)</f>
        <v>0</v>
      </c>
      <c r="N798" s="16"/>
    </row>
    <row r="799">
      <c r="A799" s="16"/>
      <c r="B799" s="16"/>
      <c r="C799" s="16"/>
      <c r="D799" s="16"/>
      <c r="E799" s="16"/>
      <c r="F799" s="16"/>
      <c r="G799" s="16"/>
      <c r="H799" s="16"/>
      <c r="I799" s="16"/>
      <c r="J799" s="16" t="b">
        <f>IFERROR(__xludf.DUMMYFUNCTION("""COMPUTED_VALUE"""),FALSE)</f>
        <v>0</v>
      </c>
      <c r="K799" s="16"/>
      <c r="L799" s="16" t="b">
        <f>IFERROR(__xludf.DUMMYFUNCTION("""COMPUTED_VALUE"""),FALSE)</f>
        <v>0</v>
      </c>
      <c r="M799" s="16" t="b">
        <f>IFERROR(__xludf.DUMMYFUNCTION("""COMPUTED_VALUE"""),FALSE)</f>
        <v>0</v>
      </c>
      <c r="N799" s="16"/>
    </row>
    <row r="800">
      <c r="A800" s="16"/>
      <c r="B800" s="16"/>
      <c r="C800" s="16"/>
      <c r="D800" s="16"/>
      <c r="E800" s="16"/>
      <c r="F800" s="16"/>
      <c r="G800" s="16"/>
      <c r="H800" s="16"/>
      <c r="I800" s="16"/>
      <c r="J800" s="16" t="b">
        <f>IFERROR(__xludf.DUMMYFUNCTION("""COMPUTED_VALUE"""),FALSE)</f>
        <v>0</v>
      </c>
      <c r="K800" s="16"/>
      <c r="L800" s="16" t="b">
        <f>IFERROR(__xludf.DUMMYFUNCTION("""COMPUTED_VALUE"""),FALSE)</f>
        <v>0</v>
      </c>
      <c r="M800" s="16" t="b">
        <f>IFERROR(__xludf.DUMMYFUNCTION("""COMPUTED_VALUE"""),FALSE)</f>
        <v>0</v>
      </c>
      <c r="N800" s="16"/>
    </row>
    <row r="801">
      <c r="A801" s="16"/>
      <c r="B801" s="16"/>
      <c r="C801" s="16"/>
      <c r="D801" s="16"/>
      <c r="E801" s="16"/>
      <c r="F801" s="16"/>
      <c r="G801" s="16"/>
      <c r="H801" s="16"/>
      <c r="I801" s="16"/>
      <c r="J801" s="16" t="b">
        <f>IFERROR(__xludf.DUMMYFUNCTION("""COMPUTED_VALUE"""),FALSE)</f>
        <v>0</v>
      </c>
      <c r="K801" s="16"/>
      <c r="L801" s="16" t="b">
        <f>IFERROR(__xludf.DUMMYFUNCTION("""COMPUTED_VALUE"""),FALSE)</f>
        <v>0</v>
      </c>
      <c r="M801" s="16" t="b">
        <f>IFERROR(__xludf.DUMMYFUNCTION("""COMPUTED_VALUE"""),FALSE)</f>
        <v>0</v>
      </c>
      <c r="N801" s="16"/>
    </row>
    <row r="802">
      <c r="A802" s="16"/>
      <c r="B802" s="16"/>
      <c r="C802" s="16"/>
      <c r="D802" s="16"/>
      <c r="E802" s="16"/>
      <c r="F802" s="16"/>
      <c r="G802" s="16"/>
      <c r="H802" s="16"/>
      <c r="I802" s="16"/>
      <c r="J802" s="16" t="b">
        <f>IFERROR(__xludf.DUMMYFUNCTION("""COMPUTED_VALUE"""),FALSE)</f>
        <v>0</v>
      </c>
      <c r="K802" s="16"/>
      <c r="L802" s="16" t="b">
        <f>IFERROR(__xludf.DUMMYFUNCTION("""COMPUTED_VALUE"""),FALSE)</f>
        <v>0</v>
      </c>
      <c r="M802" s="16" t="b">
        <f>IFERROR(__xludf.DUMMYFUNCTION("""COMPUTED_VALUE"""),FALSE)</f>
        <v>0</v>
      </c>
      <c r="N802" s="16"/>
    </row>
    <row r="803">
      <c r="A803" s="16"/>
      <c r="B803" s="16"/>
      <c r="C803" s="16"/>
      <c r="D803" s="16"/>
      <c r="E803" s="16"/>
      <c r="F803" s="16"/>
      <c r="G803" s="16"/>
      <c r="H803" s="16"/>
      <c r="I803" s="16"/>
      <c r="J803" s="16" t="b">
        <f>IFERROR(__xludf.DUMMYFUNCTION("""COMPUTED_VALUE"""),FALSE)</f>
        <v>0</v>
      </c>
      <c r="K803" s="16"/>
      <c r="L803" s="16" t="b">
        <f>IFERROR(__xludf.DUMMYFUNCTION("""COMPUTED_VALUE"""),FALSE)</f>
        <v>0</v>
      </c>
      <c r="M803" s="16" t="b">
        <f>IFERROR(__xludf.DUMMYFUNCTION("""COMPUTED_VALUE"""),FALSE)</f>
        <v>0</v>
      </c>
      <c r="N803" s="16"/>
    </row>
    <row r="804">
      <c r="A804" s="16"/>
      <c r="B804" s="16"/>
      <c r="C804" s="16"/>
      <c r="D804" s="16"/>
      <c r="E804" s="16"/>
      <c r="F804" s="16"/>
      <c r="G804" s="16"/>
      <c r="H804" s="16"/>
      <c r="I804" s="16"/>
      <c r="J804" s="16" t="b">
        <f>IFERROR(__xludf.DUMMYFUNCTION("""COMPUTED_VALUE"""),FALSE)</f>
        <v>0</v>
      </c>
      <c r="K804" s="16"/>
      <c r="L804" s="16" t="b">
        <f>IFERROR(__xludf.DUMMYFUNCTION("""COMPUTED_VALUE"""),FALSE)</f>
        <v>0</v>
      </c>
      <c r="M804" s="16" t="b">
        <f>IFERROR(__xludf.DUMMYFUNCTION("""COMPUTED_VALUE"""),FALSE)</f>
        <v>0</v>
      </c>
      <c r="N804" s="16"/>
    </row>
    <row r="805">
      <c r="A805" s="16"/>
      <c r="B805" s="16"/>
      <c r="C805" s="16"/>
      <c r="D805" s="16"/>
      <c r="E805" s="16"/>
      <c r="F805" s="16"/>
      <c r="G805" s="16"/>
      <c r="H805" s="16"/>
      <c r="I805" s="16"/>
      <c r="J805" s="16" t="b">
        <f>IFERROR(__xludf.DUMMYFUNCTION("""COMPUTED_VALUE"""),FALSE)</f>
        <v>0</v>
      </c>
      <c r="K805" s="16"/>
      <c r="L805" s="16" t="b">
        <f>IFERROR(__xludf.DUMMYFUNCTION("""COMPUTED_VALUE"""),FALSE)</f>
        <v>0</v>
      </c>
      <c r="M805" s="16" t="b">
        <f>IFERROR(__xludf.DUMMYFUNCTION("""COMPUTED_VALUE"""),FALSE)</f>
        <v>0</v>
      </c>
      <c r="N805" s="16"/>
    </row>
    <row r="806">
      <c r="A806" s="16"/>
      <c r="B806" s="16"/>
      <c r="C806" s="16"/>
      <c r="D806" s="16"/>
      <c r="E806" s="16"/>
      <c r="F806" s="16"/>
      <c r="G806" s="16"/>
      <c r="H806" s="16"/>
      <c r="I806" s="16"/>
      <c r="J806" s="16" t="b">
        <f>IFERROR(__xludf.DUMMYFUNCTION("""COMPUTED_VALUE"""),FALSE)</f>
        <v>0</v>
      </c>
      <c r="K806" s="16"/>
      <c r="L806" s="16" t="b">
        <f>IFERROR(__xludf.DUMMYFUNCTION("""COMPUTED_VALUE"""),FALSE)</f>
        <v>0</v>
      </c>
      <c r="M806" s="16" t="b">
        <f>IFERROR(__xludf.DUMMYFUNCTION("""COMPUTED_VALUE"""),FALSE)</f>
        <v>0</v>
      </c>
      <c r="N806" s="16"/>
    </row>
    <row r="807">
      <c r="A807" s="16"/>
      <c r="B807" s="16"/>
      <c r="C807" s="16"/>
      <c r="D807" s="16"/>
      <c r="E807" s="16"/>
      <c r="F807" s="16"/>
      <c r="G807" s="16"/>
      <c r="H807" s="16"/>
      <c r="I807" s="16"/>
      <c r="J807" s="16" t="b">
        <f>IFERROR(__xludf.DUMMYFUNCTION("""COMPUTED_VALUE"""),FALSE)</f>
        <v>0</v>
      </c>
      <c r="K807" s="16"/>
      <c r="L807" s="16" t="b">
        <f>IFERROR(__xludf.DUMMYFUNCTION("""COMPUTED_VALUE"""),FALSE)</f>
        <v>0</v>
      </c>
      <c r="M807" s="16" t="b">
        <f>IFERROR(__xludf.DUMMYFUNCTION("""COMPUTED_VALUE"""),FALSE)</f>
        <v>0</v>
      </c>
      <c r="N807" s="16"/>
    </row>
    <row r="808">
      <c r="A808" s="16"/>
      <c r="B808" s="16"/>
      <c r="C808" s="16"/>
      <c r="D808" s="16"/>
      <c r="E808" s="16"/>
      <c r="F808" s="16"/>
      <c r="G808" s="16"/>
      <c r="H808" s="16"/>
      <c r="I808" s="16"/>
      <c r="J808" s="16" t="b">
        <f>IFERROR(__xludf.DUMMYFUNCTION("""COMPUTED_VALUE"""),FALSE)</f>
        <v>0</v>
      </c>
      <c r="K808" s="16"/>
      <c r="L808" s="16" t="b">
        <f>IFERROR(__xludf.DUMMYFUNCTION("""COMPUTED_VALUE"""),FALSE)</f>
        <v>0</v>
      </c>
      <c r="M808" s="16" t="b">
        <f>IFERROR(__xludf.DUMMYFUNCTION("""COMPUTED_VALUE"""),FALSE)</f>
        <v>0</v>
      </c>
      <c r="N808" s="16"/>
    </row>
    <row r="809">
      <c r="A809" s="16"/>
      <c r="B809" s="16"/>
      <c r="C809" s="16"/>
      <c r="D809" s="16"/>
      <c r="E809" s="16"/>
      <c r="F809" s="16"/>
      <c r="G809" s="16"/>
      <c r="H809" s="16"/>
      <c r="I809" s="16"/>
      <c r="J809" s="16" t="b">
        <f>IFERROR(__xludf.DUMMYFUNCTION("""COMPUTED_VALUE"""),FALSE)</f>
        <v>0</v>
      </c>
      <c r="K809" s="16"/>
      <c r="L809" s="16" t="b">
        <f>IFERROR(__xludf.DUMMYFUNCTION("""COMPUTED_VALUE"""),FALSE)</f>
        <v>0</v>
      </c>
      <c r="M809" s="16" t="b">
        <f>IFERROR(__xludf.DUMMYFUNCTION("""COMPUTED_VALUE"""),FALSE)</f>
        <v>0</v>
      </c>
      <c r="N809" s="16"/>
    </row>
    <row r="810">
      <c r="A810" s="16"/>
      <c r="B810" s="16"/>
      <c r="C810" s="16"/>
      <c r="D810" s="16"/>
      <c r="E810" s="16"/>
      <c r="F810" s="16"/>
      <c r="G810" s="16"/>
      <c r="H810" s="16"/>
      <c r="I810" s="16"/>
      <c r="J810" s="16" t="b">
        <f>IFERROR(__xludf.DUMMYFUNCTION("""COMPUTED_VALUE"""),FALSE)</f>
        <v>0</v>
      </c>
      <c r="K810" s="16"/>
      <c r="L810" s="16" t="b">
        <f>IFERROR(__xludf.DUMMYFUNCTION("""COMPUTED_VALUE"""),FALSE)</f>
        <v>0</v>
      </c>
      <c r="M810" s="16" t="b">
        <f>IFERROR(__xludf.DUMMYFUNCTION("""COMPUTED_VALUE"""),FALSE)</f>
        <v>0</v>
      </c>
      <c r="N810" s="16"/>
    </row>
    <row r="811">
      <c r="A811" s="16"/>
      <c r="B811" s="16"/>
      <c r="C811" s="16"/>
      <c r="D811" s="16"/>
      <c r="E811" s="16"/>
      <c r="F811" s="16"/>
      <c r="G811" s="16"/>
      <c r="H811" s="16"/>
      <c r="I811" s="16"/>
      <c r="J811" s="16" t="b">
        <f>IFERROR(__xludf.DUMMYFUNCTION("""COMPUTED_VALUE"""),FALSE)</f>
        <v>0</v>
      </c>
      <c r="K811" s="16"/>
      <c r="L811" s="16" t="b">
        <f>IFERROR(__xludf.DUMMYFUNCTION("""COMPUTED_VALUE"""),FALSE)</f>
        <v>0</v>
      </c>
      <c r="M811" s="16" t="b">
        <f>IFERROR(__xludf.DUMMYFUNCTION("""COMPUTED_VALUE"""),FALSE)</f>
        <v>0</v>
      </c>
      <c r="N811" s="16"/>
    </row>
    <row r="812">
      <c r="A812" s="16"/>
      <c r="B812" s="16"/>
      <c r="C812" s="16"/>
      <c r="D812" s="16"/>
      <c r="E812" s="16"/>
      <c r="F812" s="16"/>
      <c r="G812" s="16"/>
      <c r="H812" s="16"/>
      <c r="I812" s="16"/>
      <c r="J812" s="16" t="b">
        <f>IFERROR(__xludf.DUMMYFUNCTION("""COMPUTED_VALUE"""),FALSE)</f>
        <v>0</v>
      </c>
      <c r="K812" s="16"/>
      <c r="L812" s="16" t="b">
        <f>IFERROR(__xludf.DUMMYFUNCTION("""COMPUTED_VALUE"""),FALSE)</f>
        <v>0</v>
      </c>
      <c r="M812" s="16" t="b">
        <f>IFERROR(__xludf.DUMMYFUNCTION("""COMPUTED_VALUE"""),FALSE)</f>
        <v>0</v>
      </c>
      <c r="N812" s="16"/>
    </row>
    <row r="813">
      <c r="A813" s="16"/>
      <c r="B813" s="16"/>
      <c r="C813" s="16"/>
      <c r="D813" s="16"/>
      <c r="E813" s="16"/>
      <c r="F813" s="16"/>
      <c r="G813" s="16"/>
      <c r="H813" s="16"/>
      <c r="I813" s="16"/>
      <c r="J813" s="16" t="b">
        <f>IFERROR(__xludf.DUMMYFUNCTION("""COMPUTED_VALUE"""),FALSE)</f>
        <v>0</v>
      </c>
      <c r="K813" s="16"/>
      <c r="L813" s="16" t="b">
        <f>IFERROR(__xludf.DUMMYFUNCTION("""COMPUTED_VALUE"""),FALSE)</f>
        <v>0</v>
      </c>
      <c r="M813" s="16" t="b">
        <f>IFERROR(__xludf.DUMMYFUNCTION("""COMPUTED_VALUE"""),FALSE)</f>
        <v>0</v>
      </c>
      <c r="N813" s="16"/>
    </row>
    <row r="814">
      <c r="A814" s="16"/>
      <c r="B814" s="16"/>
      <c r="C814" s="16"/>
      <c r="D814" s="16"/>
      <c r="E814" s="16"/>
      <c r="F814" s="16"/>
      <c r="G814" s="16"/>
      <c r="H814" s="16"/>
      <c r="I814" s="16"/>
      <c r="J814" s="16" t="b">
        <f>IFERROR(__xludf.DUMMYFUNCTION("""COMPUTED_VALUE"""),FALSE)</f>
        <v>0</v>
      </c>
      <c r="K814" s="16"/>
      <c r="L814" s="16" t="b">
        <f>IFERROR(__xludf.DUMMYFUNCTION("""COMPUTED_VALUE"""),FALSE)</f>
        <v>0</v>
      </c>
      <c r="M814" s="16" t="b">
        <f>IFERROR(__xludf.DUMMYFUNCTION("""COMPUTED_VALUE"""),FALSE)</f>
        <v>0</v>
      </c>
      <c r="N814" s="16"/>
    </row>
    <row r="815">
      <c r="A815" s="16"/>
      <c r="B815" s="16"/>
      <c r="C815" s="16"/>
      <c r="D815" s="16"/>
      <c r="E815" s="16"/>
      <c r="F815" s="16"/>
      <c r="G815" s="16"/>
      <c r="H815" s="16"/>
      <c r="I815" s="16"/>
      <c r="J815" s="16" t="b">
        <f>IFERROR(__xludf.DUMMYFUNCTION("""COMPUTED_VALUE"""),FALSE)</f>
        <v>0</v>
      </c>
      <c r="K815" s="16"/>
      <c r="L815" s="16" t="b">
        <f>IFERROR(__xludf.DUMMYFUNCTION("""COMPUTED_VALUE"""),FALSE)</f>
        <v>0</v>
      </c>
      <c r="M815" s="16" t="b">
        <f>IFERROR(__xludf.DUMMYFUNCTION("""COMPUTED_VALUE"""),FALSE)</f>
        <v>0</v>
      </c>
      <c r="N815" s="16"/>
    </row>
    <row r="816">
      <c r="A816" s="16"/>
      <c r="B816" s="16"/>
      <c r="C816" s="16"/>
      <c r="D816" s="16"/>
      <c r="E816" s="16"/>
      <c r="F816" s="16"/>
      <c r="G816" s="16"/>
      <c r="H816" s="16"/>
      <c r="I816" s="16"/>
      <c r="J816" s="16" t="b">
        <f>IFERROR(__xludf.DUMMYFUNCTION("""COMPUTED_VALUE"""),FALSE)</f>
        <v>0</v>
      </c>
      <c r="K816" s="16"/>
      <c r="L816" s="16" t="b">
        <f>IFERROR(__xludf.DUMMYFUNCTION("""COMPUTED_VALUE"""),FALSE)</f>
        <v>0</v>
      </c>
      <c r="M816" s="16" t="b">
        <f>IFERROR(__xludf.DUMMYFUNCTION("""COMPUTED_VALUE"""),FALSE)</f>
        <v>0</v>
      </c>
      <c r="N816" s="16"/>
    </row>
    <row r="817">
      <c r="A817" s="16"/>
      <c r="B817" s="16"/>
      <c r="C817" s="16"/>
      <c r="D817" s="16"/>
      <c r="E817" s="16"/>
      <c r="F817" s="16"/>
      <c r="G817" s="16"/>
      <c r="H817" s="16"/>
      <c r="I817" s="16"/>
      <c r="J817" s="16" t="b">
        <f>IFERROR(__xludf.DUMMYFUNCTION("""COMPUTED_VALUE"""),FALSE)</f>
        <v>0</v>
      </c>
      <c r="K817" s="16"/>
      <c r="L817" s="16" t="b">
        <f>IFERROR(__xludf.DUMMYFUNCTION("""COMPUTED_VALUE"""),FALSE)</f>
        <v>0</v>
      </c>
      <c r="M817" s="16" t="b">
        <f>IFERROR(__xludf.DUMMYFUNCTION("""COMPUTED_VALUE"""),FALSE)</f>
        <v>0</v>
      </c>
      <c r="N817" s="16"/>
    </row>
    <row r="818">
      <c r="A818" s="16"/>
      <c r="B818" s="16"/>
      <c r="C818" s="16"/>
      <c r="D818" s="16"/>
      <c r="E818" s="16"/>
      <c r="F818" s="16"/>
      <c r="G818" s="16"/>
      <c r="H818" s="16"/>
      <c r="I818" s="16"/>
      <c r="J818" s="16" t="b">
        <f>IFERROR(__xludf.DUMMYFUNCTION("""COMPUTED_VALUE"""),FALSE)</f>
        <v>0</v>
      </c>
      <c r="K818" s="16"/>
      <c r="L818" s="16" t="b">
        <f>IFERROR(__xludf.DUMMYFUNCTION("""COMPUTED_VALUE"""),FALSE)</f>
        <v>0</v>
      </c>
      <c r="M818" s="16" t="b">
        <f>IFERROR(__xludf.DUMMYFUNCTION("""COMPUTED_VALUE"""),FALSE)</f>
        <v>0</v>
      </c>
      <c r="N818" s="16"/>
    </row>
    <row r="819">
      <c r="A819" s="16"/>
      <c r="B819" s="16"/>
      <c r="C819" s="16"/>
      <c r="D819" s="16"/>
      <c r="E819" s="16"/>
      <c r="F819" s="16"/>
      <c r="G819" s="16"/>
      <c r="H819" s="16"/>
      <c r="I819" s="16"/>
      <c r="J819" s="16" t="b">
        <f>IFERROR(__xludf.DUMMYFUNCTION("""COMPUTED_VALUE"""),FALSE)</f>
        <v>0</v>
      </c>
      <c r="K819" s="16"/>
      <c r="L819" s="16" t="b">
        <f>IFERROR(__xludf.DUMMYFUNCTION("""COMPUTED_VALUE"""),FALSE)</f>
        <v>0</v>
      </c>
      <c r="M819" s="16" t="b">
        <f>IFERROR(__xludf.DUMMYFUNCTION("""COMPUTED_VALUE"""),FALSE)</f>
        <v>0</v>
      </c>
      <c r="N819" s="16"/>
    </row>
    <row r="820">
      <c r="A820" s="16"/>
      <c r="B820" s="16"/>
      <c r="C820" s="16"/>
      <c r="D820" s="16"/>
      <c r="E820" s="16"/>
      <c r="F820" s="16"/>
      <c r="G820" s="16"/>
      <c r="H820" s="16"/>
      <c r="I820" s="16"/>
      <c r="J820" s="16" t="b">
        <f>IFERROR(__xludf.DUMMYFUNCTION("""COMPUTED_VALUE"""),FALSE)</f>
        <v>0</v>
      </c>
      <c r="K820" s="16"/>
      <c r="L820" s="16" t="b">
        <f>IFERROR(__xludf.DUMMYFUNCTION("""COMPUTED_VALUE"""),FALSE)</f>
        <v>0</v>
      </c>
      <c r="M820" s="16" t="b">
        <f>IFERROR(__xludf.DUMMYFUNCTION("""COMPUTED_VALUE"""),FALSE)</f>
        <v>0</v>
      </c>
      <c r="N820" s="16"/>
    </row>
    <row r="821">
      <c r="A821" s="16"/>
      <c r="B821" s="16"/>
      <c r="C821" s="16"/>
      <c r="D821" s="16"/>
      <c r="E821" s="16"/>
      <c r="F821" s="16"/>
      <c r="G821" s="16"/>
      <c r="H821" s="16"/>
      <c r="I821" s="16"/>
      <c r="J821" s="16" t="b">
        <f>IFERROR(__xludf.DUMMYFUNCTION("""COMPUTED_VALUE"""),FALSE)</f>
        <v>0</v>
      </c>
      <c r="K821" s="16"/>
      <c r="L821" s="16" t="b">
        <f>IFERROR(__xludf.DUMMYFUNCTION("""COMPUTED_VALUE"""),FALSE)</f>
        <v>0</v>
      </c>
      <c r="M821" s="16" t="b">
        <f>IFERROR(__xludf.DUMMYFUNCTION("""COMPUTED_VALUE"""),FALSE)</f>
        <v>0</v>
      </c>
      <c r="N821" s="16"/>
    </row>
    <row r="822">
      <c r="A822" s="16"/>
      <c r="B822" s="16"/>
      <c r="C822" s="16"/>
      <c r="D822" s="16"/>
      <c r="E822" s="16"/>
      <c r="F822" s="16"/>
      <c r="G822" s="16"/>
      <c r="H822" s="16"/>
      <c r="I822" s="16"/>
      <c r="J822" s="16" t="b">
        <f>IFERROR(__xludf.DUMMYFUNCTION("""COMPUTED_VALUE"""),FALSE)</f>
        <v>0</v>
      </c>
      <c r="K822" s="16"/>
      <c r="L822" s="16" t="b">
        <f>IFERROR(__xludf.DUMMYFUNCTION("""COMPUTED_VALUE"""),FALSE)</f>
        <v>0</v>
      </c>
      <c r="M822" s="16" t="b">
        <f>IFERROR(__xludf.DUMMYFUNCTION("""COMPUTED_VALUE"""),FALSE)</f>
        <v>0</v>
      </c>
      <c r="N822" s="16"/>
    </row>
    <row r="823">
      <c r="A823" s="16"/>
      <c r="B823" s="16"/>
      <c r="C823" s="16"/>
      <c r="D823" s="16"/>
      <c r="E823" s="16"/>
      <c r="F823" s="16"/>
      <c r="G823" s="16"/>
      <c r="H823" s="16"/>
      <c r="I823" s="16"/>
      <c r="J823" s="16" t="b">
        <f>IFERROR(__xludf.DUMMYFUNCTION("""COMPUTED_VALUE"""),FALSE)</f>
        <v>0</v>
      </c>
      <c r="K823" s="16"/>
      <c r="L823" s="16" t="b">
        <f>IFERROR(__xludf.DUMMYFUNCTION("""COMPUTED_VALUE"""),FALSE)</f>
        <v>0</v>
      </c>
      <c r="M823" s="16" t="b">
        <f>IFERROR(__xludf.DUMMYFUNCTION("""COMPUTED_VALUE"""),FALSE)</f>
        <v>0</v>
      </c>
      <c r="N823" s="16"/>
    </row>
    <row r="824">
      <c r="A824" s="16"/>
      <c r="B824" s="16"/>
      <c r="C824" s="16"/>
      <c r="D824" s="16"/>
      <c r="E824" s="16"/>
      <c r="F824" s="16"/>
      <c r="G824" s="16"/>
      <c r="H824" s="16"/>
      <c r="I824" s="16"/>
      <c r="J824" s="16" t="b">
        <f>IFERROR(__xludf.DUMMYFUNCTION("""COMPUTED_VALUE"""),FALSE)</f>
        <v>0</v>
      </c>
      <c r="K824" s="16"/>
      <c r="L824" s="16" t="b">
        <f>IFERROR(__xludf.DUMMYFUNCTION("""COMPUTED_VALUE"""),FALSE)</f>
        <v>0</v>
      </c>
      <c r="M824" s="16" t="b">
        <f>IFERROR(__xludf.DUMMYFUNCTION("""COMPUTED_VALUE"""),FALSE)</f>
        <v>0</v>
      </c>
      <c r="N824" s="16"/>
    </row>
    <row r="825">
      <c r="A825" s="16"/>
      <c r="B825" s="16"/>
      <c r="C825" s="16"/>
      <c r="D825" s="16"/>
      <c r="E825" s="16"/>
      <c r="F825" s="16"/>
      <c r="G825" s="16"/>
      <c r="H825" s="16"/>
      <c r="I825" s="16"/>
      <c r="J825" s="16" t="b">
        <f>IFERROR(__xludf.DUMMYFUNCTION("""COMPUTED_VALUE"""),FALSE)</f>
        <v>0</v>
      </c>
      <c r="K825" s="16"/>
      <c r="L825" s="16" t="b">
        <f>IFERROR(__xludf.DUMMYFUNCTION("""COMPUTED_VALUE"""),FALSE)</f>
        <v>0</v>
      </c>
      <c r="M825" s="16" t="b">
        <f>IFERROR(__xludf.DUMMYFUNCTION("""COMPUTED_VALUE"""),FALSE)</f>
        <v>0</v>
      </c>
      <c r="N825" s="16"/>
    </row>
    <row r="826">
      <c r="A826" s="16"/>
      <c r="B826" s="16"/>
      <c r="C826" s="16"/>
      <c r="D826" s="16"/>
      <c r="E826" s="16"/>
      <c r="F826" s="16"/>
      <c r="G826" s="16"/>
      <c r="H826" s="16"/>
      <c r="I826" s="16"/>
      <c r="J826" s="16" t="b">
        <f>IFERROR(__xludf.DUMMYFUNCTION("""COMPUTED_VALUE"""),FALSE)</f>
        <v>0</v>
      </c>
      <c r="K826" s="16"/>
      <c r="L826" s="16" t="b">
        <f>IFERROR(__xludf.DUMMYFUNCTION("""COMPUTED_VALUE"""),FALSE)</f>
        <v>0</v>
      </c>
      <c r="M826" s="16" t="b">
        <f>IFERROR(__xludf.DUMMYFUNCTION("""COMPUTED_VALUE"""),FALSE)</f>
        <v>0</v>
      </c>
      <c r="N826" s="16"/>
    </row>
    <row r="827">
      <c r="A827" s="16"/>
      <c r="B827" s="16"/>
      <c r="C827" s="16"/>
      <c r="D827" s="16"/>
      <c r="E827" s="16"/>
      <c r="F827" s="16"/>
      <c r="G827" s="16"/>
      <c r="H827" s="16"/>
      <c r="I827" s="16"/>
      <c r="J827" s="16" t="b">
        <f>IFERROR(__xludf.DUMMYFUNCTION("""COMPUTED_VALUE"""),FALSE)</f>
        <v>0</v>
      </c>
      <c r="K827" s="16"/>
      <c r="L827" s="16" t="b">
        <f>IFERROR(__xludf.DUMMYFUNCTION("""COMPUTED_VALUE"""),FALSE)</f>
        <v>0</v>
      </c>
      <c r="M827" s="16" t="b">
        <f>IFERROR(__xludf.DUMMYFUNCTION("""COMPUTED_VALUE"""),FALSE)</f>
        <v>0</v>
      </c>
      <c r="N827" s="16"/>
    </row>
    <row r="828">
      <c r="A828" s="16"/>
      <c r="B828" s="16"/>
      <c r="C828" s="16"/>
      <c r="D828" s="16"/>
      <c r="E828" s="16"/>
      <c r="F828" s="16"/>
      <c r="G828" s="16"/>
      <c r="H828" s="16"/>
      <c r="I828" s="16"/>
      <c r="J828" s="16" t="b">
        <f>IFERROR(__xludf.DUMMYFUNCTION("""COMPUTED_VALUE"""),FALSE)</f>
        <v>0</v>
      </c>
      <c r="K828" s="16"/>
      <c r="L828" s="16" t="b">
        <f>IFERROR(__xludf.DUMMYFUNCTION("""COMPUTED_VALUE"""),FALSE)</f>
        <v>0</v>
      </c>
      <c r="M828" s="16" t="b">
        <f>IFERROR(__xludf.DUMMYFUNCTION("""COMPUTED_VALUE"""),FALSE)</f>
        <v>0</v>
      </c>
      <c r="N828" s="16"/>
    </row>
    <row r="829">
      <c r="A829" s="16"/>
      <c r="B829" s="16"/>
      <c r="C829" s="16"/>
      <c r="D829" s="16"/>
      <c r="E829" s="16"/>
      <c r="F829" s="16"/>
      <c r="G829" s="16"/>
      <c r="H829" s="16"/>
      <c r="I829" s="16"/>
      <c r="J829" s="16" t="b">
        <f>IFERROR(__xludf.DUMMYFUNCTION("""COMPUTED_VALUE"""),FALSE)</f>
        <v>0</v>
      </c>
      <c r="K829" s="16"/>
      <c r="L829" s="16" t="b">
        <f>IFERROR(__xludf.DUMMYFUNCTION("""COMPUTED_VALUE"""),FALSE)</f>
        <v>0</v>
      </c>
      <c r="M829" s="16" t="b">
        <f>IFERROR(__xludf.DUMMYFUNCTION("""COMPUTED_VALUE"""),FALSE)</f>
        <v>0</v>
      </c>
      <c r="N829" s="16"/>
    </row>
    <row r="830">
      <c r="A830" s="16"/>
      <c r="B830" s="16"/>
      <c r="C830" s="16"/>
      <c r="D830" s="16"/>
      <c r="E830" s="16"/>
      <c r="F830" s="16"/>
      <c r="G830" s="16"/>
      <c r="H830" s="16"/>
      <c r="I830" s="16"/>
      <c r="J830" s="16" t="b">
        <f>IFERROR(__xludf.DUMMYFUNCTION("""COMPUTED_VALUE"""),FALSE)</f>
        <v>0</v>
      </c>
      <c r="K830" s="16"/>
      <c r="L830" s="16" t="b">
        <f>IFERROR(__xludf.DUMMYFUNCTION("""COMPUTED_VALUE"""),FALSE)</f>
        <v>0</v>
      </c>
      <c r="M830" s="16" t="b">
        <f>IFERROR(__xludf.DUMMYFUNCTION("""COMPUTED_VALUE"""),FALSE)</f>
        <v>0</v>
      </c>
      <c r="N830" s="16"/>
    </row>
    <row r="831">
      <c r="A831" s="16"/>
      <c r="B831" s="16"/>
      <c r="C831" s="16"/>
      <c r="D831" s="16"/>
      <c r="E831" s="16"/>
      <c r="F831" s="16"/>
      <c r="G831" s="16"/>
      <c r="H831" s="16"/>
      <c r="I831" s="16"/>
      <c r="J831" s="16" t="b">
        <f>IFERROR(__xludf.DUMMYFUNCTION("""COMPUTED_VALUE"""),FALSE)</f>
        <v>0</v>
      </c>
      <c r="K831" s="16"/>
      <c r="L831" s="16" t="b">
        <f>IFERROR(__xludf.DUMMYFUNCTION("""COMPUTED_VALUE"""),FALSE)</f>
        <v>0</v>
      </c>
      <c r="M831" s="16" t="b">
        <f>IFERROR(__xludf.DUMMYFUNCTION("""COMPUTED_VALUE"""),FALSE)</f>
        <v>0</v>
      </c>
      <c r="N831" s="16"/>
    </row>
    <row r="832">
      <c r="A832" s="16"/>
      <c r="B832" s="16"/>
      <c r="C832" s="16"/>
      <c r="D832" s="16"/>
      <c r="E832" s="16"/>
      <c r="F832" s="16"/>
      <c r="G832" s="16"/>
      <c r="H832" s="16"/>
      <c r="I832" s="16"/>
      <c r="J832" s="16" t="b">
        <f>IFERROR(__xludf.DUMMYFUNCTION("""COMPUTED_VALUE"""),FALSE)</f>
        <v>0</v>
      </c>
      <c r="K832" s="16"/>
      <c r="L832" s="16" t="b">
        <f>IFERROR(__xludf.DUMMYFUNCTION("""COMPUTED_VALUE"""),FALSE)</f>
        <v>0</v>
      </c>
      <c r="M832" s="16" t="b">
        <f>IFERROR(__xludf.DUMMYFUNCTION("""COMPUTED_VALUE"""),FALSE)</f>
        <v>0</v>
      </c>
      <c r="N832" s="16"/>
    </row>
    <row r="833">
      <c r="A833" s="16"/>
      <c r="B833" s="16"/>
      <c r="C833" s="16"/>
      <c r="D833" s="16"/>
      <c r="E833" s="16"/>
      <c r="F833" s="16"/>
      <c r="G833" s="16"/>
      <c r="H833" s="16"/>
      <c r="I833" s="16"/>
      <c r="J833" s="16" t="b">
        <f>IFERROR(__xludf.DUMMYFUNCTION("""COMPUTED_VALUE"""),FALSE)</f>
        <v>0</v>
      </c>
      <c r="K833" s="16"/>
      <c r="L833" s="16" t="b">
        <f>IFERROR(__xludf.DUMMYFUNCTION("""COMPUTED_VALUE"""),FALSE)</f>
        <v>0</v>
      </c>
      <c r="M833" s="16" t="b">
        <f>IFERROR(__xludf.DUMMYFUNCTION("""COMPUTED_VALUE"""),FALSE)</f>
        <v>0</v>
      </c>
      <c r="N833" s="16"/>
    </row>
    <row r="834">
      <c r="A834" s="16"/>
      <c r="B834" s="16"/>
      <c r="C834" s="16"/>
      <c r="D834" s="16"/>
      <c r="E834" s="16"/>
      <c r="F834" s="16"/>
      <c r="G834" s="16"/>
      <c r="H834" s="16"/>
      <c r="I834" s="16"/>
      <c r="J834" s="16" t="b">
        <f>IFERROR(__xludf.DUMMYFUNCTION("""COMPUTED_VALUE"""),FALSE)</f>
        <v>0</v>
      </c>
      <c r="K834" s="16"/>
      <c r="L834" s="16" t="b">
        <f>IFERROR(__xludf.DUMMYFUNCTION("""COMPUTED_VALUE"""),FALSE)</f>
        <v>0</v>
      </c>
      <c r="M834" s="16" t="b">
        <f>IFERROR(__xludf.DUMMYFUNCTION("""COMPUTED_VALUE"""),FALSE)</f>
        <v>0</v>
      </c>
      <c r="N834" s="16"/>
    </row>
    <row r="835">
      <c r="A835" s="16"/>
      <c r="B835" s="16"/>
      <c r="C835" s="16"/>
      <c r="D835" s="16"/>
      <c r="E835" s="16"/>
      <c r="F835" s="16"/>
      <c r="G835" s="16"/>
      <c r="H835" s="16"/>
      <c r="I835" s="16"/>
      <c r="J835" s="16" t="b">
        <f>IFERROR(__xludf.DUMMYFUNCTION("""COMPUTED_VALUE"""),FALSE)</f>
        <v>0</v>
      </c>
      <c r="K835" s="16"/>
      <c r="L835" s="16" t="b">
        <f>IFERROR(__xludf.DUMMYFUNCTION("""COMPUTED_VALUE"""),FALSE)</f>
        <v>0</v>
      </c>
      <c r="M835" s="16" t="b">
        <f>IFERROR(__xludf.DUMMYFUNCTION("""COMPUTED_VALUE"""),FALSE)</f>
        <v>0</v>
      </c>
      <c r="N835" s="16"/>
    </row>
    <row r="836">
      <c r="A836" s="16"/>
      <c r="B836" s="16"/>
      <c r="C836" s="16"/>
      <c r="D836" s="16"/>
      <c r="E836" s="16"/>
      <c r="F836" s="16"/>
      <c r="G836" s="16"/>
      <c r="H836" s="16"/>
      <c r="I836" s="16"/>
      <c r="J836" s="16" t="b">
        <f>IFERROR(__xludf.DUMMYFUNCTION("""COMPUTED_VALUE"""),FALSE)</f>
        <v>0</v>
      </c>
      <c r="K836" s="16"/>
      <c r="L836" s="16" t="b">
        <f>IFERROR(__xludf.DUMMYFUNCTION("""COMPUTED_VALUE"""),FALSE)</f>
        <v>0</v>
      </c>
      <c r="M836" s="16" t="b">
        <f>IFERROR(__xludf.DUMMYFUNCTION("""COMPUTED_VALUE"""),FALSE)</f>
        <v>0</v>
      </c>
      <c r="N836" s="16"/>
    </row>
    <row r="837">
      <c r="A837" s="16"/>
      <c r="B837" s="16"/>
      <c r="C837" s="16"/>
      <c r="D837" s="16"/>
      <c r="E837" s="16"/>
      <c r="F837" s="16"/>
      <c r="G837" s="16"/>
      <c r="H837" s="16"/>
      <c r="I837" s="16"/>
      <c r="J837" s="16" t="b">
        <f>IFERROR(__xludf.DUMMYFUNCTION("""COMPUTED_VALUE"""),FALSE)</f>
        <v>0</v>
      </c>
      <c r="K837" s="16"/>
      <c r="L837" s="16" t="b">
        <f>IFERROR(__xludf.DUMMYFUNCTION("""COMPUTED_VALUE"""),FALSE)</f>
        <v>0</v>
      </c>
      <c r="M837" s="16" t="b">
        <f>IFERROR(__xludf.DUMMYFUNCTION("""COMPUTED_VALUE"""),FALSE)</f>
        <v>0</v>
      </c>
      <c r="N837" s="16"/>
    </row>
    <row r="838">
      <c r="A838" s="16"/>
      <c r="B838" s="16"/>
      <c r="C838" s="16"/>
      <c r="D838" s="16"/>
      <c r="E838" s="16"/>
      <c r="F838" s="16"/>
      <c r="G838" s="16"/>
      <c r="H838" s="16"/>
      <c r="I838" s="16"/>
      <c r="J838" s="16" t="b">
        <f>IFERROR(__xludf.DUMMYFUNCTION("""COMPUTED_VALUE"""),FALSE)</f>
        <v>0</v>
      </c>
      <c r="K838" s="16"/>
      <c r="L838" s="16" t="b">
        <f>IFERROR(__xludf.DUMMYFUNCTION("""COMPUTED_VALUE"""),FALSE)</f>
        <v>0</v>
      </c>
      <c r="M838" s="16" t="b">
        <f>IFERROR(__xludf.DUMMYFUNCTION("""COMPUTED_VALUE"""),FALSE)</f>
        <v>0</v>
      </c>
      <c r="N838" s="16"/>
    </row>
    <row r="839">
      <c r="A839" s="16"/>
      <c r="B839" s="16"/>
      <c r="C839" s="16"/>
      <c r="D839" s="16"/>
      <c r="E839" s="16"/>
      <c r="F839" s="16"/>
      <c r="G839" s="16"/>
      <c r="H839" s="16"/>
      <c r="I839" s="16"/>
      <c r="J839" s="16" t="b">
        <f>IFERROR(__xludf.DUMMYFUNCTION("""COMPUTED_VALUE"""),FALSE)</f>
        <v>0</v>
      </c>
      <c r="K839" s="16"/>
      <c r="L839" s="16" t="b">
        <f>IFERROR(__xludf.DUMMYFUNCTION("""COMPUTED_VALUE"""),FALSE)</f>
        <v>0</v>
      </c>
      <c r="M839" s="16" t="b">
        <f>IFERROR(__xludf.DUMMYFUNCTION("""COMPUTED_VALUE"""),FALSE)</f>
        <v>0</v>
      </c>
      <c r="N839" s="16"/>
    </row>
    <row r="840">
      <c r="A840" s="16"/>
      <c r="B840" s="16"/>
      <c r="C840" s="16"/>
      <c r="D840" s="16"/>
      <c r="E840" s="16"/>
      <c r="F840" s="16"/>
      <c r="G840" s="16"/>
      <c r="H840" s="16"/>
      <c r="I840" s="16"/>
      <c r="J840" s="16" t="b">
        <f>IFERROR(__xludf.DUMMYFUNCTION("""COMPUTED_VALUE"""),FALSE)</f>
        <v>0</v>
      </c>
      <c r="K840" s="16"/>
      <c r="L840" s="16" t="b">
        <f>IFERROR(__xludf.DUMMYFUNCTION("""COMPUTED_VALUE"""),FALSE)</f>
        <v>0</v>
      </c>
      <c r="M840" s="16" t="b">
        <f>IFERROR(__xludf.DUMMYFUNCTION("""COMPUTED_VALUE"""),FALSE)</f>
        <v>0</v>
      </c>
      <c r="N840" s="16"/>
    </row>
    <row r="841">
      <c r="A841" s="16"/>
      <c r="B841" s="16"/>
      <c r="C841" s="16"/>
      <c r="D841" s="16"/>
      <c r="E841" s="16"/>
      <c r="F841" s="16"/>
      <c r="G841" s="16"/>
      <c r="H841" s="16"/>
      <c r="I841" s="16"/>
      <c r="J841" s="16" t="b">
        <f>IFERROR(__xludf.DUMMYFUNCTION("""COMPUTED_VALUE"""),FALSE)</f>
        <v>0</v>
      </c>
      <c r="K841" s="16"/>
      <c r="L841" s="16" t="b">
        <f>IFERROR(__xludf.DUMMYFUNCTION("""COMPUTED_VALUE"""),FALSE)</f>
        <v>0</v>
      </c>
      <c r="M841" s="16" t="b">
        <f>IFERROR(__xludf.DUMMYFUNCTION("""COMPUTED_VALUE"""),FALSE)</f>
        <v>0</v>
      </c>
      <c r="N841" s="16"/>
    </row>
    <row r="842">
      <c r="A842" s="16"/>
      <c r="B842" s="16"/>
      <c r="C842" s="16"/>
      <c r="D842" s="16"/>
      <c r="E842" s="16"/>
      <c r="F842" s="16"/>
      <c r="G842" s="16"/>
      <c r="H842" s="16"/>
      <c r="I842" s="16"/>
      <c r="J842" s="16" t="b">
        <f>IFERROR(__xludf.DUMMYFUNCTION("""COMPUTED_VALUE"""),FALSE)</f>
        <v>0</v>
      </c>
      <c r="K842" s="16"/>
      <c r="L842" s="16" t="b">
        <f>IFERROR(__xludf.DUMMYFUNCTION("""COMPUTED_VALUE"""),FALSE)</f>
        <v>0</v>
      </c>
      <c r="M842" s="16" t="b">
        <f>IFERROR(__xludf.DUMMYFUNCTION("""COMPUTED_VALUE"""),FALSE)</f>
        <v>0</v>
      </c>
      <c r="N842" s="16"/>
    </row>
    <row r="843">
      <c r="A843" s="16"/>
      <c r="B843" s="16"/>
      <c r="C843" s="16"/>
      <c r="D843" s="16"/>
      <c r="E843" s="16"/>
      <c r="F843" s="16"/>
      <c r="G843" s="16"/>
      <c r="H843" s="16"/>
      <c r="I843" s="16"/>
      <c r="J843" s="16" t="b">
        <f>IFERROR(__xludf.DUMMYFUNCTION("""COMPUTED_VALUE"""),FALSE)</f>
        <v>0</v>
      </c>
      <c r="K843" s="16"/>
      <c r="L843" s="16" t="b">
        <f>IFERROR(__xludf.DUMMYFUNCTION("""COMPUTED_VALUE"""),FALSE)</f>
        <v>0</v>
      </c>
      <c r="M843" s="16" t="b">
        <f>IFERROR(__xludf.DUMMYFUNCTION("""COMPUTED_VALUE"""),FALSE)</f>
        <v>0</v>
      </c>
      <c r="N843" s="16"/>
    </row>
    <row r="844">
      <c r="A844" s="16"/>
      <c r="B844" s="16"/>
      <c r="C844" s="16"/>
      <c r="D844" s="16"/>
      <c r="E844" s="16"/>
      <c r="F844" s="16"/>
      <c r="G844" s="16"/>
      <c r="H844" s="16"/>
      <c r="I844" s="16"/>
      <c r="J844" s="16" t="b">
        <f>IFERROR(__xludf.DUMMYFUNCTION("""COMPUTED_VALUE"""),FALSE)</f>
        <v>0</v>
      </c>
      <c r="K844" s="16"/>
      <c r="L844" s="16" t="b">
        <f>IFERROR(__xludf.DUMMYFUNCTION("""COMPUTED_VALUE"""),FALSE)</f>
        <v>0</v>
      </c>
      <c r="M844" s="16" t="b">
        <f>IFERROR(__xludf.DUMMYFUNCTION("""COMPUTED_VALUE"""),FALSE)</f>
        <v>0</v>
      </c>
      <c r="N844" s="16"/>
    </row>
    <row r="845">
      <c r="A845" s="16"/>
      <c r="B845" s="16"/>
      <c r="C845" s="16"/>
      <c r="D845" s="16"/>
      <c r="E845" s="16"/>
      <c r="F845" s="16"/>
      <c r="G845" s="16"/>
      <c r="H845" s="16"/>
      <c r="I845" s="16"/>
      <c r="J845" s="16" t="b">
        <f>IFERROR(__xludf.DUMMYFUNCTION("""COMPUTED_VALUE"""),FALSE)</f>
        <v>0</v>
      </c>
      <c r="K845" s="16"/>
      <c r="L845" s="16" t="b">
        <f>IFERROR(__xludf.DUMMYFUNCTION("""COMPUTED_VALUE"""),FALSE)</f>
        <v>0</v>
      </c>
      <c r="M845" s="16" t="b">
        <f>IFERROR(__xludf.DUMMYFUNCTION("""COMPUTED_VALUE"""),FALSE)</f>
        <v>0</v>
      </c>
      <c r="N845" s="16"/>
    </row>
    <row r="846">
      <c r="A846" s="16"/>
      <c r="B846" s="16"/>
      <c r="C846" s="16"/>
      <c r="D846" s="16"/>
      <c r="E846" s="16"/>
      <c r="F846" s="16"/>
      <c r="G846" s="16"/>
      <c r="H846" s="16"/>
      <c r="I846" s="16"/>
      <c r="J846" s="16" t="b">
        <f>IFERROR(__xludf.DUMMYFUNCTION("""COMPUTED_VALUE"""),FALSE)</f>
        <v>0</v>
      </c>
      <c r="K846" s="16"/>
      <c r="L846" s="16" t="b">
        <f>IFERROR(__xludf.DUMMYFUNCTION("""COMPUTED_VALUE"""),FALSE)</f>
        <v>0</v>
      </c>
      <c r="M846" s="16" t="b">
        <f>IFERROR(__xludf.DUMMYFUNCTION("""COMPUTED_VALUE"""),FALSE)</f>
        <v>0</v>
      </c>
      <c r="N846" s="16"/>
    </row>
    <row r="847">
      <c r="A847" s="16"/>
      <c r="B847" s="16"/>
      <c r="C847" s="16"/>
      <c r="D847" s="16"/>
      <c r="E847" s="16"/>
      <c r="F847" s="16"/>
      <c r="G847" s="16"/>
      <c r="H847" s="16"/>
      <c r="I847" s="16"/>
      <c r="J847" s="16" t="b">
        <f>IFERROR(__xludf.DUMMYFUNCTION("""COMPUTED_VALUE"""),FALSE)</f>
        <v>0</v>
      </c>
      <c r="K847" s="16"/>
      <c r="L847" s="16" t="b">
        <f>IFERROR(__xludf.DUMMYFUNCTION("""COMPUTED_VALUE"""),FALSE)</f>
        <v>0</v>
      </c>
      <c r="M847" s="16" t="b">
        <f>IFERROR(__xludf.DUMMYFUNCTION("""COMPUTED_VALUE"""),FALSE)</f>
        <v>0</v>
      </c>
      <c r="N847" s="16"/>
    </row>
    <row r="848">
      <c r="A848" s="16"/>
      <c r="B848" s="16"/>
      <c r="C848" s="16"/>
      <c r="D848" s="16"/>
      <c r="E848" s="16"/>
      <c r="F848" s="16"/>
      <c r="G848" s="16"/>
      <c r="H848" s="16"/>
      <c r="I848" s="16"/>
      <c r="J848" s="16" t="b">
        <f>IFERROR(__xludf.DUMMYFUNCTION("""COMPUTED_VALUE"""),FALSE)</f>
        <v>0</v>
      </c>
      <c r="K848" s="16"/>
      <c r="L848" s="16" t="b">
        <f>IFERROR(__xludf.DUMMYFUNCTION("""COMPUTED_VALUE"""),FALSE)</f>
        <v>0</v>
      </c>
      <c r="M848" s="16" t="b">
        <f>IFERROR(__xludf.DUMMYFUNCTION("""COMPUTED_VALUE"""),FALSE)</f>
        <v>0</v>
      </c>
      <c r="N848" s="16"/>
    </row>
    <row r="849">
      <c r="A849" s="16"/>
      <c r="B849" s="16"/>
      <c r="C849" s="16"/>
      <c r="D849" s="16"/>
      <c r="E849" s="16"/>
      <c r="F849" s="16"/>
      <c r="G849" s="16"/>
      <c r="H849" s="16"/>
      <c r="I849" s="16"/>
      <c r="J849" s="16" t="b">
        <f>IFERROR(__xludf.DUMMYFUNCTION("""COMPUTED_VALUE"""),FALSE)</f>
        <v>0</v>
      </c>
      <c r="K849" s="16"/>
      <c r="L849" s="16" t="b">
        <f>IFERROR(__xludf.DUMMYFUNCTION("""COMPUTED_VALUE"""),FALSE)</f>
        <v>0</v>
      </c>
      <c r="M849" s="16" t="b">
        <f>IFERROR(__xludf.DUMMYFUNCTION("""COMPUTED_VALUE"""),FALSE)</f>
        <v>0</v>
      </c>
      <c r="N849" s="16"/>
    </row>
    <row r="850">
      <c r="A850" s="16"/>
      <c r="B850" s="16"/>
      <c r="C850" s="16"/>
      <c r="D850" s="16"/>
      <c r="E850" s="16"/>
      <c r="F850" s="16"/>
      <c r="G850" s="16"/>
      <c r="H850" s="16"/>
      <c r="I850" s="16"/>
      <c r="J850" s="16" t="b">
        <f>IFERROR(__xludf.DUMMYFUNCTION("""COMPUTED_VALUE"""),FALSE)</f>
        <v>0</v>
      </c>
      <c r="K850" s="16"/>
      <c r="L850" s="16" t="b">
        <f>IFERROR(__xludf.DUMMYFUNCTION("""COMPUTED_VALUE"""),FALSE)</f>
        <v>0</v>
      </c>
      <c r="M850" s="16" t="b">
        <f>IFERROR(__xludf.DUMMYFUNCTION("""COMPUTED_VALUE"""),FALSE)</f>
        <v>0</v>
      </c>
      <c r="N850" s="16"/>
    </row>
    <row r="851">
      <c r="A851" s="16"/>
      <c r="B851" s="16"/>
      <c r="C851" s="16"/>
      <c r="D851" s="16"/>
      <c r="E851" s="16"/>
      <c r="F851" s="16"/>
      <c r="G851" s="16"/>
      <c r="H851" s="16"/>
      <c r="I851" s="16"/>
      <c r="J851" s="16" t="b">
        <f>IFERROR(__xludf.DUMMYFUNCTION("""COMPUTED_VALUE"""),FALSE)</f>
        <v>0</v>
      </c>
      <c r="K851" s="16"/>
      <c r="L851" s="16" t="b">
        <f>IFERROR(__xludf.DUMMYFUNCTION("""COMPUTED_VALUE"""),FALSE)</f>
        <v>0</v>
      </c>
      <c r="M851" s="16" t="b">
        <f>IFERROR(__xludf.DUMMYFUNCTION("""COMPUTED_VALUE"""),FALSE)</f>
        <v>0</v>
      </c>
      <c r="N851" s="16"/>
    </row>
    <row r="852">
      <c r="A852" s="16"/>
      <c r="B852" s="16"/>
      <c r="C852" s="16"/>
      <c r="D852" s="16"/>
      <c r="E852" s="16"/>
      <c r="F852" s="16"/>
      <c r="G852" s="16"/>
      <c r="H852" s="16"/>
      <c r="I852" s="16"/>
      <c r="J852" s="16" t="b">
        <f>IFERROR(__xludf.DUMMYFUNCTION("""COMPUTED_VALUE"""),FALSE)</f>
        <v>0</v>
      </c>
      <c r="K852" s="16"/>
      <c r="L852" s="16" t="b">
        <f>IFERROR(__xludf.DUMMYFUNCTION("""COMPUTED_VALUE"""),FALSE)</f>
        <v>0</v>
      </c>
      <c r="M852" s="16" t="b">
        <f>IFERROR(__xludf.DUMMYFUNCTION("""COMPUTED_VALUE"""),FALSE)</f>
        <v>0</v>
      </c>
      <c r="N852" s="16"/>
    </row>
    <row r="853">
      <c r="A853" s="16"/>
      <c r="B853" s="16"/>
      <c r="C853" s="16"/>
      <c r="D853" s="16"/>
      <c r="E853" s="16"/>
      <c r="F853" s="16"/>
      <c r="G853" s="16"/>
      <c r="H853" s="16"/>
      <c r="I853" s="16"/>
      <c r="J853" s="16" t="b">
        <f>IFERROR(__xludf.DUMMYFUNCTION("""COMPUTED_VALUE"""),FALSE)</f>
        <v>0</v>
      </c>
      <c r="K853" s="16"/>
      <c r="L853" s="16" t="b">
        <f>IFERROR(__xludf.DUMMYFUNCTION("""COMPUTED_VALUE"""),FALSE)</f>
        <v>0</v>
      </c>
      <c r="M853" s="16" t="b">
        <f>IFERROR(__xludf.DUMMYFUNCTION("""COMPUTED_VALUE"""),FALSE)</f>
        <v>0</v>
      </c>
      <c r="N853" s="16"/>
    </row>
    <row r="854">
      <c r="A854" s="16"/>
      <c r="B854" s="16"/>
      <c r="C854" s="16"/>
      <c r="D854" s="16"/>
      <c r="E854" s="16"/>
      <c r="F854" s="16"/>
      <c r="G854" s="16"/>
      <c r="H854" s="16"/>
      <c r="I854" s="16"/>
      <c r="J854" s="16" t="b">
        <f>IFERROR(__xludf.DUMMYFUNCTION("""COMPUTED_VALUE"""),FALSE)</f>
        <v>0</v>
      </c>
      <c r="K854" s="16"/>
      <c r="L854" s="16" t="b">
        <f>IFERROR(__xludf.DUMMYFUNCTION("""COMPUTED_VALUE"""),FALSE)</f>
        <v>0</v>
      </c>
      <c r="M854" s="16" t="b">
        <f>IFERROR(__xludf.DUMMYFUNCTION("""COMPUTED_VALUE"""),FALSE)</f>
        <v>0</v>
      </c>
      <c r="N854" s="16"/>
    </row>
    <row r="855">
      <c r="A855" s="16"/>
      <c r="B855" s="16"/>
      <c r="C855" s="16"/>
      <c r="D855" s="16"/>
      <c r="E855" s="16"/>
      <c r="F855" s="16"/>
      <c r="G855" s="16"/>
      <c r="H855" s="16"/>
      <c r="I855" s="16"/>
      <c r="J855" s="16" t="b">
        <f>IFERROR(__xludf.DUMMYFUNCTION("""COMPUTED_VALUE"""),FALSE)</f>
        <v>0</v>
      </c>
      <c r="K855" s="16"/>
      <c r="L855" s="16" t="b">
        <f>IFERROR(__xludf.DUMMYFUNCTION("""COMPUTED_VALUE"""),FALSE)</f>
        <v>0</v>
      </c>
      <c r="M855" s="16" t="b">
        <f>IFERROR(__xludf.DUMMYFUNCTION("""COMPUTED_VALUE"""),FALSE)</f>
        <v>0</v>
      </c>
      <c r="N855" s="16"/>
    </row>
    <row r="856">
      <c r="A856" s="16"/>
      <c r="B856" s="16"/>
      <c r="C856" s="16"/>
      <c r="D856" s="16"/>
      <c r="E856" s="16"/>
      <c r="F856" s="16"/>
      <c r="G856" s="16"/>
      <c r="H856" s="16"/>
      <c r="I856" s="16"/>
      <c r="J856" s="16" t="b">
        <f>IFERROR(__xludf.DUMMYFUNCTION("""COMPUTED_VALUE"""),FALSE)</f>
        <v>0</v>
      </c>
      <c r="K856" s="16"/>
      <c r="L856" s="16" t="b">
        <f>IFERROR(__xludf.DUMMYFUNCTION("""COMPUTED_VALUE"""),FALSE)</f>
        <v>0</v>
      </c>
      <c r="M856" s="16" t="b">
        <f>IFERROR(__xludf.DUMMYFUNCTION("""COMPUTED_VALUE"""),FALSE)</f>
        <v>0</v>
      </c>
      <c r="N856" s="16"/>
    </row>
    <row r="857">
      <c r="A857" s="16"/>
      <c r="B857" s="16"/>
      <c r="C857" s="16"/>
      <c r="D857" s="16"/>
      <c r="E857" s="16"/>
      <c r="F857" s="16"/>
      <c r="G857" s="16"/>
      <c r="H857" s="16"/>
      <c r="I857" s="16"/>
      <c r="J857" s="16" t="b">
        <f>IFERROR(__xludf.DUMMYFUNCTION("""COMPUTED_VALUE"""),FALSE)</f>
        <v>0</v>
      </c>
      <c r="K857" s="16"/>
      <c r="L857" s="16" t="b">
        <f>IFERROR(__xludf.DUMMYFUNCTION("""COMPUTED_VALUE"""),FALSE)</f>
        <v>0</v>
      </c>
      <c r="M857" s="16" t="b">
        <f>IFERROR(__xludf.DUMMYFUNCTION("""COMPUTED_VALUE"""),FALSE)</f>
        <v>0</v>
      </c>
      <c r="N857" s="16"/>
    </row>
    <row r="858">
      <c r="A858" s="16"/>
      <c r="B858" s="16"/>
      <c r="C858" s="16"/>
      <c r="D858" s="16"/>
      <c r="E858" s="16"/>
      <c r="F858" s="16"/>
      <c r="G858" s="16"/>
      <c r="H858" s="16"/>
      <c r="I858" s="16"/>
      <c r="J858" s="16" t="b">
        <f>IFERROR(__xludf.DUMMYFUNCTION("""COMPUTED_VALUE"""),FALSE)</f>
        <v>0</v>
      </c>
      <c r="K858" s="16"/>
      <c r="L858" s="16" t="b">
        <f>IFERROR(__xludf.DUMMYFUNCTION("""COMPUTED_VALUE"""),FALSE)</f>
        <v>0</v>
      </c>
      <c r="M858" s="16" t="b">
        <f>IFERROR(__xludf.DUMMYFUNCTION("""COMPUTED_VALUE"""),FALSE)</f>
        <v>0</v>
      </c>
      <c r="N858" s="16"/>
    </row>
    <row r="859">
      <c r="A859" s="16"/>
      <c r="B859" s="16"/>
      <c r="C859" s="16"/>
      <c r="D859" s="16"/>
      <c r="E859" s="16"/>
      <c r="F859" s="16"/>
      <c r="G859" s="16"/>
      <c r="H859" s="16"/>
      <c r="I859" s="16"/>
      <c r="J859" s="16" t="b">
        <f>IFERROR(__xludf.DUMMYFUNCTION("""COMPUTED_VALUE"""),FALSE)</f>
        <v>0</v>
      </c>
      <c r="K859" s="16"/>
      <c r="L859" s="16" t="b">
        <f>IFERROR(__xludf.DUMMYFUNCTION("""COMPUTED_VALUE"""),FALSE)</f>
        <v>0</v>
      </c>
      <c r="M859" s="16" t="b">
        <f>IFERROR(__xludf.DUMMYFUNCTION("""COMPUTED_VALUE"""),FALSE)</f>
        <v>0</v>
      </c>
      <c r="N859" s="16"/>
    </row>
    <row r="860">
      <c r="A860" s="16"/>
      <c r="B860" s="16"/>
      <c r="C860" s="16"/>
      <c r="D860" s="16"/>
      <c r="E860" s="16"/>
      <c r="F860" s="16"/>
      <c r="G860" s="16"/>
      <c r="H860" s="16"/>
      <c r="I860" s="16"/>
      <c r="J860" s="16" t="b">
        <f>IFERROR(__xludf.DUMMYFUNCTION("""COMPUTED_VALUE"""),FALSE)</f>
        <v>0</v>
      </c>
      <c r="K860" s="16"/>
      <c r="L860" s="16" t="b">
        <f>IFERROR(__xludf.DUMMYFUNCTION("""COMPUTED_VALUE"""),FALSE)</f>
        <v>0</v>
      </c>
      <c r="M860" s="16" t="b">
        <f>IFERROR(__xludf.DUMMYFUNCTION("""COMPUTED_VALUE"""),FALSE)</f>
        <v>0</v>
      </c>
      <c r="N860" s="16"/>
    </row>
    <row r="861">
      <c r="A861" s="16"/>
      <c r="B861" s="16"/>
      <c r="C861" s="16"/>
      <c r="D861" s="16"/>
      <c r="E861" s="16"/>
      <c r="F861" s="16"/>
      <c r="G861" s="16"/>
      <c r="H861" s="16"/>
      <c r="I861" s="16"/>
      <c r="J861" s="16" t="b">
        <f>IFERROR(__xludf.DUMMYFUNCTION("""COMPUTED_VALUE"""),FALSE)</f>
        <v>0</v>
      </c>
      <c r="K861" s="16"/>
      <c r="L861" s="16" t="b">
        <f>IFERROR(__xludf.DUMMYFUNCTION("""COMPUTED_VALUE"""),FALSE)</f>
        <v>0</v>
      </c>
      <c r="M861" s="16" t="b">
        <f>IFERROR(__xludf.DUMMYFUNCTION("""COMPUTED_VALUE"""),FALSE)</f>
        <v>0</v>
      </c>
      <c r="N861" s="16"/>
    </row>
    <row r="862">
      <c r="A862" s="16"/>
      <c r="B862" s="16"/>
      <c r="C862" s="16"/>
      <c r="D862" s="16"/>
      <c r="E862" s="16"/>
      <c r="F862" s="16"/>
      <c r="G862" s="16"/>
      <c r="H862" s="16"/>
      <c r="I862" s="16"/>
      <c r="J862" s="16" t="b">
        <f>IFERROR(__xludf.DUMMYFUNCTION("""COMPUTED_VALUE"""),FALSE)</f>
        <v>0</v>
      </c>
      <c r="K862" s="16"/>
      <c r="L862" s="16" t="b">
        <f>IFERROR(__xludf.DUMMYFUNCTION("""COMPUTED_VALUE"""),FALSE)</f>
        <v>0</v>
      </c>
      <c r="M862" s="16" t="b">
        <f>IFERROR(__xludf.DUMMYFUNCTION("""COMPUTED_VALUE"""),FALSE)</f>
        <v>0</v>
      </c>
      <c r="N862" s="16"/>
    </row>
    <row r="863">
      <c r="A863" s="16"/>
      <c r="B863" s="16"/>
      <c r="C863" s="16"/>
      <c r="D863" s="16"/>
      <c r="E863" s="16"/>
      <c r="F863" s="16"/>
      <c r="G863" s="16"/>
      <c r="H863" s="16"/>
      <c r="I863" s="16"/>
      <c r="J863" s="16" t="b">
        <f>IFERROR(__xludf.DUMMYFUNCTION("""COMPUTED_VALUE"""),FALSE)</f>
        <v>0</v>
      </c>
      <c r="K863" s="16"/>
      <c r="L863" s="16" t="b">
        <f>IFERROR(__xludf.DUMMYFUNCTION("""COMPUTED_VALUE"""),FALSE)</f>
        <v>0</v>
      </c>
      <c r="M863" s="16" t="b">
        <f>IFERROR(__xludf.DUMMYFUNCTION("""COMPUTED_VALUE"""),FALSE)</f>
        <v>0</v>
      </c>
      <c r="N863" s="16"/>
    </row>
    <row r="864">
      <c r="A864" s="16"/>
      <c r="B864" s="16"/>
      <c r="C864" s="16"/>
      <c r="D864" s="16"/>
      <c r="E864" s="16"/>
      <c r="F864" s="16"/>
      <c r="G864" s="16"/>
      <c r="H864" s="16"/>
      <c r="I864" s="16"/>
      <c r="J864" s="16" t="b">
        <f>IFERROR(__xludf.DUMMYFUNCTION("""COMPUTED_VALUE"""),FALSE)</f>
        <v>0</v>
      </c>
      <c r="K864" s="16"/>
      <c r="L864" s="16" t="b">
        <f>IFERROR(__xludf.DUMMYFUNCTION("""COMPUTED_VALUE"""),FALSE)</f>
        <v>0</v>
      </c>
      <c r="M864" s="16" t="b">
        <f>IFERROR(__xludf.DUMMYFUNCTION("""COMPUTED_VALUE"""),FALSE)</f>
        <v>0</v>
      </c>
      <c r="N864" s="16"/>
    </row>
    <row r="865">
      <c r="A865" s="16"/>
      <c r="B865" s="16"/>
      <c r="C865" s="16"/>
      <c r="D865" s="16"/>
      <c r="E865" s="16"/>
      <c r="F865" s="16"/>
      <c r="G865" s="16"/>
      <c r="H865" s="16"/>
      <c r="I865" s="16"/>
      <c r="J865" s="16" t="b">
        <f>IFERROR(__xludf.DUMMYFUNCTION("""COMPUTED_VALUE"""),FALSE)</f>
        <v>0</v>
      </c>
      <c r="K865" s="16"/>
      <c r="L865" s="16" t="b">
        <f>IFERROR(__xludf.DUMMYFUNCTION("""COMPUTED_VALUE"""),FALSE)</f>
        <v>0</v>
      </c>
      <c r="M865" s="16" t="b">
        <f>IFERROR(__xludf.DUMMYFUNCTION("""COMPUTED_VALUE"""),FALSE)</f>
        <v>0</v>
      </c>
      <c r="N865" s="16"/>
    </row>
    <row r="866">
      <c r="A866" s="16"/>
      <c r="B866" s="16"/>
      <c r="C866" s="16"/>
      <c r="D866" s="16"/>
      <c r="E866" s="16"/>
      <c r="F866" s="16"/>
      <c r="G866" s="16"/>
      <c r="H866" s="16"/>
      <c r="I866" s="16"/>
      <c r="J866" s="16" t="b">
        <f>IFERROR(__xludf.DUMMYFUNCTION("""COMPUTED_VALUE"""),FALSE)</f>
        <v>0</v>
      </c>
      <c r="K866" s="16"/>
      <c r="L866" s="16" t="b">
        <f>IFERROR(__xludf.DUMMYFUNCTION("""COMPUTED_VALUE"""),FALSE)</f>
        <v>0</v>
      </c>
      <c r="M866" s="16" t="b">
        <f>IFERROR(__xludf.DUMMYFUNCTION("""COMPUTED_VALUE"""),FALSE)</f>
        <v>0</v>
      </c>
      <c r="N866" s="16"/>
    </row>
    <row r="867">
      <c r="A867" s="16"/>
      <c r="B867" s="16"/>
      <c r="C867" s="16"/>
      <c r="D867" s="16"/>
      <c r="E867" s="16"/>
      <c r="F867" s="16"/>
      <c r="G867" s="16"/>
      <c r="H867" s="16"/>
      <c r="I867" s="16"/>
      <c r="J867" s="16" t="b">
        <f>IFERROR(__xludf.DUMMYFUNCTION("""COMPUTED_VALUE"""),FALSE)</f>
        <v>0</v>
      </c>
      <c r="K867" s="16"/>
      <c r="L867" s="16" t="b">
        <f>IFERROR(__xludf.DUMMYFUNCTION("""COMPUTED_VALUE"""),FALSE)</f>
        <v>0</v>
      </c>
      <c r="M867" s="16" t="b">
        <f>IFERROR(__xludf.DUMMYFUNCTION("""COMPUTED_VALUE"""),FALSE)</f>
        <v>0</v>
      </c>
      <c r="N867" s="16"/>
    </row>
    <row r="868">
      <c r="A868" s="16"/>
      <c r="B868" s="16"/>
      <c r="C868" s="16"/>
      <c r="D868" s="16"/>
      <c r="E868" s="16"/>
      <c r="F868" s="16"/>
      <c r="G868" s="16"/>
      <c r="H868" s="16"/>
      <c r="I868" s="16"/>
      <c r="J868" s="16" t="b">
        <f>IFERROR(__xludf.DUMMYFUNCTION("""COMPUTED_VALUE"""),FALSE)</f>
        <v>0</v>
      </c>
      <c r="K868" s="16"/>
      <c r="L868" s="16" t="b">
        <f>IFERROR(__xludf.DUMMYFUNCTION("""COMPUTED_VALUE"""),FALSE)</f>
        <v>0</v>
      </c>
      <c r="M868" s="16" t="b">
        <f>IFERROR(__xludf.DUMMYFUNCTION("""COMPUTED_VALUE"""),FALSE)</f>
        <v>0</v>
      </c>
      <c r="N868" s="16"/>
    </row>
    <row r="869">
      <c r="A869" s="16"/>
      <c r="B869" s="16"/>
      <c r="C869" s="16"/>
      <c r="D869" s="16"/>
      <c r="E869" s="16"/>
      <c r="F869" s="16"/>
      <c r="G869" s="16"/>
      <c r="H869" s="16"/>
      <c r="I869" s="16"/>
      <c r="J869" s="16" t="b">
        <f>IFERROR(__xludf.DUMMYFUNCTION("""COMPUTED_VALUE"""),FALSE)</f>
        <v>0</v>
      </c>
      <c r="K869" s="16"/>
      <c r="L869" s="16" t="b">
        <f>IFERROR(__xludf.DUMMYFUNCTION("""COMPUTED_VALUE"""),FALSE)</f>
        <v>0</v>
      </c>
      <c r="M869" s="16" t="b">
        <f>IFERROR(__xludf.DUMMYFUNCTION("""COMPUTED_VALUE"""),FALSE)</f>
        <v>0</v>
      </c>
      <c r="N869" s="16"/>
    </row>
    <row r="870">
      <c r="A870" s="16"/>
      <c r="B870" s="16"/>
      <c r="C870" s="16"/>
      <c r="D870" s="16"/>
      <c r="E870" s="16"/>
      <c r="F870" s="16"/>
      <c r="G870" s="16"/>
      <c r="H870" s="16"/>
      <c r="I870" s="16"/>
      <c r="J870" s="16" t="b">
        <f>IFERROR(__xludf.DUMMYFUNCTION("""COMPUTED_VALUE"""),FALSE)</f>
        <v>0</v>
      </c>
      <c r="K870" s="16"/>
      <c r="L870" s="16" t="b">
        <f>IFERROR(__xludf.DUMMYFUNCTION("""COMPUTED_VALUE"""),FALSE)</f>
        <v>0</v>
      </c>
      <c r="M870" s="16" t="b">
        <f>IFERROR(__xludf.DUMMYFUNCTION("""COMPUTED_VALUE"""),FALSE)</f>
        <v>0</v>
      </c>
      <c r="N870" s="16"/>
    </row>
    <row r="871">
      <c r="A871" s="16"/>
      <c r="B871" s="16"/>
      <c r="C871" s="16"/>
      <c r="D871" s="16"/>
      <c r="E871" s="16"/>
      <c r="F871" s="16"/>
      <c r="G871" s="16"/>
      <c r="H871" s="16"/>
      <c r="I871" s="16"/>
      <c r="J871" s="16" t="b">
        <f>IFERROR(__xludf.DUMMYFUNCTION("""COMPUTED_VALUE"""),FALSE)</f>
        <v>0</v>
      </c>
      <c r="K871" s="16"/>
      <c r="L871" s="16" t="b">
        <f>IFERROR(__xludf.DUMMYFUNCTION("""COMPUTED_VALUE"""),FALSE)</f>
        <v>0</v>
      </c>
      <c r="M871" s="16" t="b">
        <f>IFERROR(__xludf.DUMMYFUNCTION("""COMPUTED_VALUE"""),FALSE)</f>
        <v>0</v>
      </c>
      <c r="N871" s="16"/>
    </row>
    <row r="872">
      <c r="A872" s="16"/>
      <c r="B872" s="16"/>
      <c r="C872" s="16"/>
      <c r="D872" s="16"/>
      <c r="E872" s="16"/>
      <c r="F872" s="16"/>
      <c r="G872" s="16"/>
      <c r="H872" s="16"/>
      <c r="I872" s="16"/>
      <c r="J872" s="16" t="b">
        <f>IFERROR(__xludf.DUMMYFUNCTION("""COMPUTED_VALUE"""),FALSE)</f>
        <v>0</v>
      </c>
      <c r="K872" s="16"/>
      <c r="L872" s="16" t="b">
        <f>IFERROR(__xludf.DUMMYFUNCTION("""COMPUTED_VALUE"""),FALSE)</f>
        <v>0</v>
      </c>
      <c r="M872" s="16" t="b">
        <f>IFERROR(__xludf.DUMMYFUNCTION("""COMPUTED_VALUE"""),FALSE)</f>
        <v>0</v>
      </c>
      <c r="N872" s="16"/>
    </row>
    <row r="873">
      <c r="A873" s="16"/>
      <c r="B873" s="16"/>
      <c r="C873" s="16"/>
      <c r="D873" s="16"/>
      <c r="E873" s="16"/>
      <c r="F873" s="16"/>
      <c r="G873" s="16"/>
      <c r="H873" s="16"/>
      <c r="I873" s="16"/>
      <c r="J873" s="16" t="b">
        <f>IFERROR(__xludf.DUMMYFUNCTION("""COMPUTED_VALUE"""),FALSE)</f>
        <v>0</v>
      </c>
      <c r="K873" s="16"/>
      <c r="L873" s="16" t="b">
        <f>IFERROR(__xludf.DUMMYFUNCTION("""COMPUTED_VALUE"""),FALSE)</f>
        <v>0</v>
      </c>
      <c r="M873" s="16" t="b">
        <f>IFERROR(__xludf.DUMMYFUNCTION("""COMPUTED_VALUE"""),FALSE)</f>
        <v>0</v>
      </c>
      <c r="N873" s="16"/>
    </row>
    <row r="874">
      <c r="A874" s="16"/>
      <c r="B874" s="16"/>
      <c r="C874" s="16"/>
      <c r="D874" s="16"/>
      <c r="E874" s="16"/>
      <c r="F874" s="16"/>
      <c r="G874" s="16"/>
      <c r="H874" s="16"/>
      <c r="I874" s="16"/>
      <c r="J874" s="16" t="b">
        <f>IFERROR(__xludf.DUMMYFUNCTION("""COMPUTED_VALUE"""),FALSE)</f>
        <v>0</v>
      </c>
      <c r="K874" s="16"/>
      <c r="L874" s="16" t="b">
        <f>IFERROR(__xludf.DUMMYFUNCTION("""COMPUTED_VALUE"""),FALSE)</f>
        <v>0</v>
      </c>
      <c r="M874" s="16" t="b">
        <f>IFERROR(__xludf.DUMMYFUNCTION("""COMPUTED_VALUE"""),FALSE)</f>
        <v>0</v>
      </c>
      <c r="N874" s="16"/>
    </row>
    <row r="875">
      <c r="A875" s="16"/>
      <c r="B875" s="16"/>
      <c r="C875" s="16"/>
      <c r="D875" s="16"/>
      <c r="E875" s="16"/>
      <c r="F875" s="16"/>
      <c r="G875" s="16"/>
      <c r="H875" s="16"/>
      <c r="I875" s="16"/>
      <c r="J875" s="16" t="b">
        <f>IFERROR(__xludf.DUMMYFUNCTION("""COMPUTED_VALUE"""),FALSE)</f>
        <v>0</v>
      </c>
      <c r="K875" s="16"/>
      <c r="L875" s="16" t="b">
        <f>IFERROR(__xludf.DUMMYFUNCTION("""COMPUTED_VALUE"""),FALSE)</f>
        <v>0</v>
      </c>
      <c r="M875" s="16" t="b">
        <f>IFERROR(__xludf.DUMMYFUNCTION("""COMPUTED_VALUE"""),FALSE)</f>
        <v>0</v>
      </c>
      <c r="N875" s="16"/>
    </row>
    <row r="876">
      <c r="A876" s="16"/>
      <c r="B876" s="16"/>
      <c r="C876" s="16"/>
      <c r="D876" s="16"/>
      <c r="E876" s="16"/>
      <c r="F876" s="16"/>
      <c r="G876" s="16"/>
      <c r="H876" s="16"/>
      <c r="I876" s="16"/>
      <c r="J876" s="16" t="b">
        <f>IFERROR(__xludf.DUMMYFUNCTION("""COMPUTED_VALUE"""),FALSE)</f>
        <v>0</v>
      </c>
      <c r="K876" s="16"/>
      <c r="L876" s="16" t="b">
        <f>IFERROR(__xludf.DUMMYFUNCTION("""COMPUTED_VALUE"""),FALSE)</f>
        <v>0</v>
      </c>
      <c r="M876" s="16" t="b">
        <f>IFERROR(__xludf.DUMMYFUNCTION("""COMPUTED_VALUE"""),FALSE)</f>
        <v>0</v>
      </c>
      <c r="N876" s="16"/>
    </row>
    <row r="877">
      <c r="A877" s="16"/>
      <c r="B877" s="16"/>
      <c r="C877" s="16"/>
      <c r="D877" s="16"/>
      <c r="E877" s="16"/>
      <c r="F877" s="16"/>
      <c r="G877" s="16"/>
      <c r="H877" s="16"/>
      <c r="I877" s="16"/>
      <c r="J877" s="16" t="b">
        <f>IFERROR(__xludf.DUMMYFUNCTION("""COMPUTED_VALUE"""),FALSE)</f>
        <v>0</v>
      </c>
      <c r="K877" s="16"/>
      <c r="L877" s="16" t="b">
        <f>IFERROR(__xludf.DUMMYFUNCTION("""COMPUTED_VALUE"""),FALSE)</f>
        <v>0</v>
      </c>
      <c r="M877" s="16" t="b">
        <f>IFERROR(__xludf.DUMMYFUNCTION("""COMPUTED_VALUE"""),FALSE)</f>
        <v>0</v>
      </c>
      <c r="N877" s="16"/>
    </row>
    <row r="878">
      <c r="A878" s="16"/>
      <c r="B878" s="16"/>
      <c r="C878" s="16"/>
      <c r="D878" s="16"/>
      <c r="E878" s="16"/>
      <c r="F878" s="16"/>
      <c r="G878" s="16"/>
      <c r="H878" s="16"/>
      <c r="I878" s="16"/>
      <c r="J878" s="16" t="b">
        <f>IFERROR(__xludf.DUMMYFUNCTION("""COMPUTED_VALUE"""),FALSE)</f>
        <v>0</v>
      </c>
      <c r="K878" s="16"/>
      <c r="L878" s="16" t="b">
        <f>IFERROR(__xludf.DUMMYFUNCTION("""COMPUTED_VALUE"""),FALSE)</f>
        <v>0</v>
      </c>
      <c r="M878" s="16" t="b">
        <f>IFERROR(__xludf.DUMMYFUNCTION("""COMPUTED_VALUE"""),FALSE)</f>
        <v>0</v>
      </c>
      <c r="N878" s="16"/>
    </row>
    <row r="879">
      <c r="A879" s="16"/>
      <c r="B879" s="16"/>
      <c r="C879" s="16"/>
      <c r="D879" s="16"/>
      <c r="E879" s="16"/>
      <c r="F879" s="16"/>
      <c r="G879" s="16"/>
      <c r="H879" s="16"/>
      <c r="I879" s="16"/>
      <c r="J879" s="16" t="b">
        <f>IFERROR(__xludf.DUMMYFUNCTION("""COMPUTED_VALUE"""),FALSE)</f>
        <v>0</v>
      </c>
      <c r="K879" s="16"/>
      <c r="L879" s="16" t="b">
        <f>IFERROR(__xludf.DUMMYFUNCTION("""COMPUTED_VALUE"""),FALSE)</f>
        <v>0</v>
      </c>
      <c r="M879" s="16" t="b">
        <f>IFERROR(__xludf.DUMMYFUNCTION("""COMPUTED_VALUE"""),FALSE)</f>
        <v>0</v>
      </c>
      <c r="N879" s="16"/>
    </row>
    <row r="880">
      <c r="A880" s="16"/>
      <c r="B880" s="16"/>
      <c r="C880" s="16"/>
      <c r="D880" s="16"/>
      <c r="E880" s="16"/>
      <c r="F880" s="16"/>
      <c r="G880" s="16"/>
      <c r="H880" s="16"/>
      <c r="I880" s="16"/>
      <c r="J880" s="16" t="b">
        <f>IFERROR(__xludf.DUMMYFUNCTION("""COMPUTED_VALUE"""),FALSE)</f>
        <v>0</v>
      </c>
      <c r="K880" s="16"/>
      <c r="L880" s="16" t="b">
        <f>IFERROR(__xludf.DUMMYFUNCTION("""COMPUTED_VALUE"""),FALSE)</f>
        <v>0</v>
      </c>
      <c r="M880" s="16" t="b">
        <f>IFERROR(__xludf.DUMMYFUNCTION("""COMPUTED_VALUE"""),FALSE)</f>
        <v>0</v>
      </c>
      <c r="N880" s="16"/>
    </row>
    <row r="881">
      <c r="A881" s="16"/>
      <c r="B881" s="16"/>
      <c r="C881" s="16"/>
      <c r="D881" s="16"/>
      <c r="E881" s="16"/>
      <c r="F881" s="16"/>
      <c r="G881" s="16"/>
      <c r="H881" s="16"/>
      <c r="I881" s="16"/>
      <c r="J881" s="16" t="b">
        <f>IFERROR(__xludf.DUMMYFUNCTION("""COMPUTED_VALUE"""),FALSE)</f>
        <v>0</v>
      </c>
      <c r="K881" s="16"/>
      <c r="L881" s="16" t="b">
        <f>IFERROR(__xludf.DUMMYFUNCTION("""COMPUTED_VALUE"""),FALSE)</f>
        <v>0</v>
      </c>
      <c r="M881" s="16" t="b">
        <f>IFERROR(__xludf.DUMMYFUNCTION("""COMPUTED_VALUE"""),FALSE)</f>
        <v>0</v>
      </c>
      <c r="N881" s="16"/>
    </row>
    <row r="882">
      <c r="A882" s="16"/>
      <c r="B882" s="16"/>
      <c r="C882" s="16"/>
      <c r="D882" s="16"/>
      <c r="E882" s="16"/>
      <c r="F882" s="16"/>
      <c r="G882" s="16"/>
      <c r="H882" s="16"/>
      <c r="I882" s="16"/>
      <c r="J882" s="16" t="b">
        <f>IFERROR(__xludf.DUMMYFUNCTION("""COMPUTED_VALUE"""),FALSE)</f>
        <v>0</v>
      </c>
      <c r="K882" s="16"/>
      <c r="L882" s="16" t="b">
        <f>IFERROR(__xludf.DUMMYFUNCTION("""COMPUTED_VALUE"""),FALSE)</f>
        <v>0</v>
      </c>
      <c r="M882" s="16" t="b">
        <f>IFERROR(__xludf.DUMMYFUNCTION("""COMPUTED_VALUE"""),FALSE)</f>
        <v>0</v>
      </c>
      <c r="N882" s="16"/>
    </row>
    <row r="883">
      <c r="A883" s="16"/>
      <c r="B883" s="16"/>
      <c r="C883" s="16"/>
      <c r="D883" s="16"/>
      <c r="E883" s="16"/>
      <c r="F883" s="16"/>
      <c r="G883" s="16"/>
      <c r="H883" s="16"/>
      <c r="I883" s="16"/>
      <c r="J883" s="16" t="b">
        <f>IFERROR(__xludf.DUMMYFUNCTION("""COMPUTED_VALUE"""),FALSE)</f>
        <v>0</v>
      </c>
      <c r="K883" s="16"/>
      <c r="L883" s="16" t="b">
        <f>IFERROR(__xludf.DUMMYFUNCTION("""COMPUTED_VALUE"""),FALSE)</f>
        <v>0</v>
      </c>
      <c r="M883" s="16" t="b">
        <f>IFERROR(__xludf.DUMMYFUNCTION("""COMPUTED_VALUE"""),FALSE)</f>
        <v>0</v>
      </c>
      <c r="N883" s="16"/>
    </row>
    <row r="884">
      <c r="A884" s="16"/>
      <c r="B884" s="16"/>
      <c r="C884" s="16"/>
      <c r="D884" s="16"/>
      <c r="E884" s="16"/>
      <c r="F884" s="16"/>
      <c r="G884" s="16"/>
      <c r="H884" s="16"/>
      <c r="I884" s="16"/>
      <c r="J884" s="16" t="b">
        <f>IFERROR(__xludf.DUMMYFUNCTION("""COMPUTED_VALUE"""),FALSE)</f>
        <v>0</v>
      </c>
      <c r="K884" s="16"/>
      <c r="L884" s="16" t="b">
        <f>IFERROR(__xludf.DUMMYFUNCTION("""COMPUTED_VALUE"""),FALSE)</f>
        <v>0</v>
      </c>
      <c r="M884" s="16" t="b">
        <f>IFERROR(__xludf.DUMMYFUNCTION("""COMPUTED_VALUE"""),FALSE)</f>
        <v>0</v>
      </c>
      <c r="N884" s="16"/>
    </row>
    <row r="885">
      <c r="A885" s="16"/>
      <c r="B885" s="16"/>
      <c r="C885" s="16"/>
      <c r="D885" s="16"/>
      <c r="E885" s="16"/>
      <c r="F885" s="16"/>
      <c r="G885" s="16"/>
      <c r="H885" s="16"/>
      <c r="I885" s="16"/>
      <c r="J885" s="16" t="b">
        <f>IFERROR(__xludf.DUMMYFUNCTION("""COMPUTED_VALUE"""),FALSE)</f>
        <v>0</v>
      </c>
      <c r="K885" s="16"/>
      <c r="L885" s="16" t="b">
        <f>IFERROR(__xludf.DUMMYFUNCTION("""COMPUTED_VALUE"""),FALSE)</f>
        <v>0</v>
      </c>
      <c r="M885" s="16" t="b">
        <f>IFERROR(__xludf.DUMMYFUNCTION("""COMPUTED_VALUE"""),FALSE)</f>
        <v>0</v>
      </c>
      <c r="N885" s="16"/>
    </row>
    <row r="886">
      <c r="A886" s="16"/>
      <c r="B886" s="16"/>
      <c r="C886" s="16"/>
      <c r="D886" s="16"/>
      <c r="E886" s="16"/>
      <c r="F886" s="16"/>
      <c r="G886" s="16"/>
      <c r="H886" s="16"/>
      <c r="I886" s="16"/>
      <c r="J886" s="16" t="b">
        <f>IFERROR(__xludf.DUMMYFUNCTION("""COMPUTED_VALUE"""),FALSE)</f>
        <v>0</v>
      </c>
      <c r="K886" s="16"/>
      <c r="L886" s="16" t="b">
        <f>IFERROR(__xludf.DUMMYFUNCTION("""COMPUTED_VALUE"""),FALSE)</f>
        <v>0</v>
      </c>
      <c r="M886" s="16" t="b">
        <f>IFERROR(__xludf.DUMMYFUNCTION("""COMPUTED_VALUE"""),FALSE)</f>
        <v>0</v>
      </c>
      <c r="N886" s="16"/>
    </row>
    <row r="887">
      <c r="A887" s="16"/>
      <c r="B887" s="16"/>
      <c r="C887" s="16"/>
      <c r="D887" s="16"/>
      <c r="E887" s="16"/>
      <c r="F887" s="16"/>
      <c r="G887" s="16"/>
      <c r="H887" s="16"/>
      <c r="I887" s="16"/>
      <c r="J887" s="16" t="b">
        <f>IFERROR(__xludf.DUMMYFUNCTION("""COMPUTED_VALUE"""),FALSE)</f>
        <v>0</v>
      </c>
      <c r="K887" s="16"/>
      <c r="L887" s="16" t="b">
        <f>IFERROR(__xludf.DUMMYFUNCTION("""COMPUTED_VALUE"""),FALSE)</f>
        <v>0</v>
      </c>
      <c r="M887" s="16" t="b">
        <f>IFERROR(__xludf.DUMMYFUNCTION("""COMPUTED_VALUE"""),FALSE)</f>
        <v>0</v>
      </c>
      <c r="N887" s="16"/>
    </row>
    <row r="888">
      <c r="A888" s="16"/>
      <c r="B888" s="16"/>
      <c r="C888" s="16"/>
      <c r="D888" s="16"/>
      <c r="E888" s="16"/>
      <c r="F888" s="16"/>
      <c r="G888" s="16"/>
      <c r="H888" s="16"/>
      <c r="I888" s="16"/>
      <c r="J888" s="16" t="b">
        <f>IFERROR(__xludf.DUMMYFUNCTION("""COMPUTED_VALUE"""),FALSE)</f>
        <v>0</v>
      </c>
      <c r="K888" s="16"/>
      <c r="L888" s="16" t="b">
        <f>IFERROR(__xludf.DUMMYFUNCTION("""COMPUTED_VALUE"""),FALSE)</f>
        <v>0</v>
      </c>
      <c r="M888" s="16" t="b">
        <f>IFERROR(__xludf.DUMMYFUNCTION("""COMPUTED_VALUE"""),FALSE)</f>
        <v>0</v>
      </c>
      <c r="N888" s="16"/>
    </row>
    <row r="889">
      <c r="A889" s="16"/>
      <c r="B889" s="16"/>
      <c r="C889" s="16"/>
      <c r="D889" s="16"/>
      <c r="E889" s="16"/>
      <c r="F889" s="16"/>
      <c r="G889" s="16"/>
      <c r="H889" s="16"/>
      <c r="I889" s="16"/>
      <c r="J889" s="16" t="b">
        <f>IFERROR(__xludf.DUMMYFUNCTION("""COMPUTED_VALUE"""),FALSE)</f>
        <v>0</v>
      </c>
      <c r="K889" s="16"/>
      <c r="L889" s="16" t="b">
        <f>IFERROR(__xludf.DUMMYFUNCTION("""COMPUTED_VALUE"""),FALSE)</f>
        <v>0</v>
      </c>
      <c r="M889" s="16" t="b">
        <f>IFERROR(__xludf.DUMMYFUNCTION("""COMPUTED_VALUE"""),FALSE)</f>
        <v>0</v>
      </c>
      <c r="N889" s="16"/>
    </row>
    <row r="890">
      <c r="A890" s="16"/>
      <c r="B890" s="16"/>
      <c r="C890" s="16"/>
      <c r="D890" s="16"/>
      <c r="E890" s="16"/>
      <c r="F890" s="16"/>
      <c r="G890" s="16"/>
      <c r="H890" s="16"/>
      <c r="I890" s="16"/>
      <c r="J890" s="16" t="b">
        <f>IFERROR(__xludf.DUMMYFUNCTION("""COMPUTED_VALUE"""),FALSE)</f>
        <v>0</v>
      </c>
      <c r="K890" s="16"/>
      <c r="L890" s="16" t="b">
        <f>IFERROR(__xludf.DUMMYFUNCTION("""COMPUTED_VALUE"""),FALSE)</f>
        <v>0</v>
      </c>
      <c r="M890" s="16" t="b">
        <f>IFERROR(__xludf.DUMMYFUNCTION("""COMPUTED_VALUE"""),FALSE)</f>
        <v>0</v>
      </c>
      <c r="N890" s="16"/>
    </row>
    <row r="891">
      <c r="A891" s="16"/>
      <c r="B891" s="16"/>
      <c r="C891" s="16"/>
      <c r="D891" s="16"/>
      <c r="E891" s="16"/>
      <c r="F891" s="16"/>
      <c r="G891" s="16"/>
      <c r="H891" s="16"/>
      <c r="I891" s="16"/>
      <c r="J891" s="16" t="b">
        <f>IFERROR(__xludf.DUMMYFUNCTION("""COMPUTED_VALUE"""),FALSE)</f>
        <v>0</v>
      </c>
      <c r="K891" s="16"/>
      <c r="L891" s="16" t="b">
        <f>IFERROR(__xludf.DUMMYFUNCTION("""COMPUTED_VALUE"""),FALSE)</f>
        <v>0</v>
      </c>
      <c r="M891" s="16" t="b">
        <f>IFERROR(__xludf.DUMMYFUNCTION("""COMPUTED_VALUE"""),FALSE)</f>
        <v>0</v>
      </c>
      <c r="N891" s="16"/>
    </row>
    <row r="892">
      <c r="A892" s="16"/>
      <c r="B892" s="16"/>
      <c r="C892" s="16"/>
      <c r="D892" s="16"/>
      <c r="E892" s="16"/>
      <c r="F892" s="16"/>
      <c r="G892" s="16"/>
      <c r="H892" s="16"/>
      <c r="I892" s="16"/>
      <c r="J892" s="16" t="b">
        <f>IFERROR(__xludf.DUMMYFUNCTION("""COMPUTED_VALUE"""),FALSE)</f>
        <v>0</v>
      </c>
      <c r="K892" s="16"/>
      <c r="L892" s="16" t="b">
        <f>IFERROR(__xludf.DUMMYFUNCTION("""COMPUTED_VALUE"""),FALSE)</f>
        <v>0</v>
      </c>
      <c r="M892" s="16" t="b">
        <f>IFERROR(__xludf.DUMMYFUNCTION("""COMPUTED_VALUE"""),FALSE)</f>
        <v>0</v>
      </c>
      <c r="N892" s="16"/>
    </row>
    <row r="893">
      <c r="A893" s="16"/>
      <c r="B893" s="16"/>
      <c r="C893" s="16"/>
      <c r="D893" s="16"/>
      <c r="E893" s="16"/>
      <c r="F893" s="16"/>
      <c r="G893" s="16"/>
      <c r="H893" s="16"/>
      <c r="I893" s="16"/>
      <c r="J893" s="16" t="b">
        <f>IFERROR(__xludf.DUMMYFUNCTION("""COMPUTED_VALUE"""),FALSE)</f>
        <v>0</v>
      </c>
      <c r="K893" s="16"/>
      <c r="L893" s="16" t="b">
        <f>IFERROR(__xludf.DUMMYFUNCTION("""COMPUTED_VALUE"""),FALSE)</f>
        <v>0</v>
      </c>
      <c r="M893" s="16" t="b">
        <f>IFERROR(__xludf.DUMMYFUNCTION("""COMPUTED_VALUE"""),FALSE)</f>
        <v>0</v>
      </c>
      <c r="N893" s="16"/>
    </row>
    <row r="894">
      <c r="A894" s="16"/>
      <c r="B894" s="16"/>
      <c r="C894" s="16"/>
      <c r="D894" s="16"/>
      <c r="E894" s="16"/>
      <c r="F894" s="16"/>
      <c r="G894" s="16"/>
      <c r="H894" s="16"/>
      <c r="I894" s="16"/>
      <c r="J894" s="16" t="b">
        <f>IFERROR(__xludf.DUMMYFUNCTION("""COMPUTED_VALUE"""),FALSE)</f>
        <v>0</v>
      </c>
      <c r="K894" s="16"/>
      <c r="L894" s="16" t="b">
        <f>IFERROR(__xludf.DUMMYFUNCTION("""COMPUTED_VALUE"""),FALSE)</f>
        <v>0</v>
      </c>
      <c r="M894" s="16" t="b">
        <f>IFERROR(__xludf.DUMMYFUNCTION("""COMPUTED_VALUE"""),FALSE)</f>
        <v>0</v>
      </c>
      <c r="N894" s="16"/>
    </row>
    <row r="895">
      <c r="A895" s="16"/>
      <c r="B895" s="16"/>
      <c r="C895" s="16"/>
      <c r="D895" s="16"/>
      <c r="E895" s="16"/>
      <c r="F895" s="16"/>
      <c r="G895" s="16"/>
      <c r="H895" s="16"/>
      <c r="I895" s="16"/>
      <c r="J895" s="16" t="b">
        <f>IFERROR(__xludf.DUMMYFUNCTION("""COMPUTED_VALUE"""),FALSE)</f>
        <v>0</v>
      </c>
      <c r="K895" s="16"/>
      <c r="L895" s="16" t="b">
        <f>IFERROR(__xludf.DUMMYFUNCTION("""COMPUTED_VALUE"""),FALSE)</f>
        <v>0</v>
      </c>
      <c r="M895" s="16" t="b">
        <f>IFERROR(__xludf.DUMMYFUNCTION("""COMPUTED_VALUE"""),FALSE)</f>
        <v>0</v>
      </c>
      <c r="N895" s="16"/>
    </row>
    <row r="896">
      <c r="A896" s="16"/>
      <c r="B896" s="16"/>
      <c r="C896" s="16"/>
      <c r="D896" s="16"/>
      <c r="E896" s="16"/>
      <c r="F896" s="16"/>
      <c r="G896" s="16"/>
      <c r="H896" s="16"/>
      <c r="I896" s="16"/>
      <c r="J896" s="16" t="b">
        <f>IFERROR(__xludf.DUMMYFUNCTION("""COMPUTED_VALUE"""),FALSE)</f>
        <v>0</v>
      </c>
      <c r="K896" s="16"/>
      <c r="L896" s="16" t="b">
        <f>IFERROR(__xludf.DUMMYFUNCTION("""COMPUTED_VALUE"""),FALSE)</f>
        <v>0</v>
      </c>
      <c r="M896" s="16" t="b">
        <f>IFERROR(__xludf.DUMMYFUNCTION("""COMPUTED_VALUE"""),FALSE)</f>
        <v>0</v>
      </c>
      <c r="N896" s="16"/>
    </row>
    <row r="897">
      <c r="A897" s="16"/>
      <c r="B897" s="16"/>
      <c r="C897" s="16"/>
      <c r="D897" s="16"/>
      <c r="E897" s="16"/>
      <c r="F897" s="16"/>
      <c r="G897" s="16"/>
      <c r="H897" s="16"/>
      <c r="I897" s="16"/>
      <c r="J897" s="16" t="b">
        <f>IFERROR(__xludf.DUMMYFUNCTION("""COMPUTED_VALUE"""),FALSE)</f>
        <v>0</v>
      </c>
      <c r="K897" s="16"/>
      <c r="L897" s="16" t="b">
        <f>IFERROR(__xludf.DUMMYFUNCTION("""COMPUTED_VALUE"""),FALSE)</f>
        <v>0</v>
      </c>
      <c r="M897" s="16" t="b">
        <f>IFERROR(__xludf.DUMMYFUNCTION("""COMPUTED_VALUE"""),FALSE)</f>
        <v>0</v>
      </c>
      <c r="N897" s="16"/>
    </row>
    <row r="898">
      <c r="A898" s="16"/>
      <c r="B898" s="16"/>
      <c r="C898" s="16"/>
      <c r="D898" s="16"/>
      <c r="E898" s="16"/>
      <c r="F898" s="16"/>
      <c r="G898" s="16"/>
      <c r="H898" s="16"/>
      <c r="I898" s="16"/>
      <c r="J898" s="16" t="b">
        <f>IFERROR(__xludf.DUMMYFUNCTION("""COMPUTED_VALUE"""),FALSE)</f>
        <v>0</v>
      </c>
      <c r="K898" s="16"/>
      <c r="L898" s="16" t="b">
        <f>IFERROR(__xludf.DUMMYFUNCTION("""COMPUTED_VALUE"""),FALSE)</f>
        <v>0</v>
      </c>
      <c r="M898" s="16" t="b">
        <f>IFERROR(__xludf.DUMMYFUNCTION("""COMPUTED_VALUE"""),FALSE)</f>
        <v>0</v>
      </c>
      <c r="N898" s="16"/>
    </row>
    <row r="899">
      <c r="A899" s="16"/>
      <c r="B899" s="16"/>
      <c r="C899" s="16"/>
      <c r="D899" s="16"/>
      <c r="E899" s="16"/>
      <c r="F899" s="16"/>
      <c r="G899" s="16"/>
      <c r="H899" s="16"/>
      <c r="I899" s="16"/>
      <c r="J899" s="16" t="b">
        <f>IFERROR(__xludf.DUMMYFUNCTION("""COMPUTED_VALUE"""),FALSE)</f>
        <v>0</v>
      </c>
      <c r="K899" s="16"/>
      <c r="L899" s="16" t="b">
        <f>IFERROR(__xludf.DUMMYFUNCTION("""COMPUTED_VALUE"""),FALSE)</f>
        <v>0</v>
      </c>
      <c r="M899" s="16" t="b">
        <f>IFERROR(__xludf.DUMMYFUNCTION("""COMPUTED_VALUE"""),FALSE)</f>
        <v>0</v>
      </c>
      <c r="N899" s="16"/>
    </row>
    <row r="900">
      <c r="A900" s="16"/>
      <c r="B900" s="16"/>
      <c r="C900" s="16"/>
      <c r="D900" s="16"/>
      <c r="E900" s="16"/>
      <c r="F900" s="16"/>
      <c r="G900" s="16"/>
      <c r="H900" s="16"/>
      <c r="I900" s="16"/>
      <c r="J900" s="16" t="b">
        <f>IFERROR(__xludf.DUMMYFUNCTION("""COMPUTED_VALUE"""),FALSE)</f>
        <v>0</v>
      </c>
      <c r="K900" s="16"/>
      <c r="L900" s="16" t="b">
        <f>IFERROR(__xludf.DUMMYFUNCTION("""COMPUTED_VALUE"""),FALSE)</f>
        <v>0</v>
      </c>
      <c r="M900" s="16" t="b">
        <f>IFERROR(__xludf.DUMMYFUNCTION("""COMPUTED_VALUE"""),FALSE)</f>
        <v>0</v>
      </c>
      <c r="N900" s="16"/>
    </row>
    <row r="901">
      <c r="A901" s="16"/>
      <c r="B901" s="16"/>
      <c r="C901" s="16"/>
      <c r="D901" s="16"/>
      <c r="E901" s="16"/>
      <c r="F901" s="16"/>
      <c r="G901" s="16"/>
      <c r="H901" s="16"/>
      <c r="I901" s="16"/>
      <c r="J901" s="16" t="b">
        <f>IFERROR(__xludf.DUMMYFUNCTION("""COMPUTED_VALUE"""),FALSE)</f>
        <v>0</v>
      </c>
      <c r="K901" s="16"/>
      <c r="L901" s="16" t="b">
        <f>IFERROR(__xludf.DUMMYFUNCTION("""COMPUTED_VALUE"""),FALSE)</f>
        <v>0</v>
      </c>
      <c r="M901" s="16" t="b">
        <f>IFERROR(__xludf.DUMMYFUNCTION("""COMPUTED_VALUE"""),FALSE)</f>
        <v>0</v>
      </c>
      <c r="N901" s="16"/>
    </row>
    <row r="902">
      <c r="A902" s="16"/>
      <c r="B902" s="16"/>
      <c r="C902" s="16"/>
      <c r="D902" s="16"/>
      <c r="E902" s="16"/>
      <c r="F902" s="16"/>
      <c r="G902" s="16"/>
      <c r="H902" s="16"/>
      <c r="I902" s="16"/>
      <c r="J902" s="16" t="b">
        <f>IFERROR(__xludf.DUMMYFUNCTION("""COMPUTED_VALUE"""),FALSE)</f>
        <v>0</v>
      </c>
      <c r="K902" s="16"/>
      <c r="L902" s="16" t="b">
        <f>IFERROR(__xludf.DUMMYFUNCTION("""COMPUTED_VALUE"""),FALSE)</f>
        <v>0</v>
      </c>
      <c r="M902" s="16" t="b">
        <f>IFERROR(__xludf.DUMMYFUNCTION("""COMPUTED_VALUE"""),FALSE)</f>
        <v>0</v>
      </c>
      <c r="N902" s="16"/>
    </row>
    <row r="903">
      <c r="A903" s="16"/>
      <c r="B903" s="16"/>
      <c r="C903" s="16"/>
      <c r="D903" s="16"/>
      <c r="E903" s="16"/>
      <c r="F903" s="16"/>
      <c r="G903" s="16"/>
      <c r="H903" s="16"/>
      <c r="I903" s="16"/>
      <c r="J903" s="16" t="b">
        <f>IFERROR(__xludf.DUMMYFUNCTION("""COMPUTED_VALUE"""),FALSE)</f>
        <v>0</v>
      </c>
      <c r="K903" s="16"/>
      <c r="L903" s="16" t="b">
        <f>IFERROR(__xludf.DUMMYFUNCTION("""COMPUTED_VALUE"""),FALSE)</f>
        <v>0</v>
      </c>
      <c r="M903" s="16" t="b">
        <f>IFERROR(__xludf.DUMMYFUNCTION("""COMPUTED_VALUE"""),FALSE)</f>
        <v>0</v>
      </c>
      <c r="N903" s="16"/>
    </row>
    <row r="904">
      <c r="A904" s="16"/>
      <c r="B904" s="16"/>
      <c r="C904" s="16"/>
      <c r="D904" s="16"/>
      <c r="E904" s="16"/>
      <c r="F904" s="16"/>
      <c r="G904" s="16"/>
      <c r="H904" s="16"/>
      <c r="I904" s="16"/>
      <c r="J904" s="16" t="b">
        <f>IFERROR(__xludf.DUMMYFUNCTION("""COMPUTED_VALUE"""),FALSE)</f>
        <v>0</v>
      </c>
      <c r="K904" s="16"/>
      <c r="L904" s="16" t="b">
        <f>IFERROR(__xludf.DUMMYFUNCTION("""COMPUTED_VALUE"""),FALSE)</f>
        <v>0</v>
      </c>
      <c r="M904" s="16" t="b">
        <f>IFERROR(__xludf.DUMMYFUNCTION("""COMPUTED_VALUE"""),FALSE)</f>
        <v>0</v>
      </c>
      <c r="N904" s="16"/>
    </row>
    <row r="905">
      <c r="A905" s="16"/>
      <c r="B905" s="16"/>
      <c r="C905" s="16"/>
      <c r="D905" s="16"/>
      <c r="E905" s="16"/>
      <c r="F905" s="16"/>
      <c r="G905" s="16"/>
      <c r="H905" s="16"/>
      <c r="I905" s="16"/>
      <c r="J905" s="16" t="b">
        <f>IFERROR(__xludf.DUMMYFUNCTION("""COMPUTED_VALUE"""),FALSE)</f>
        <v>0</v>
      </c>
      <c r="K905" s="16"/>
      <c r="L905" s="16" t="b">
        <f>IFERROR(__xludf.DUMMYFUNCTION("""COMPUTED_VALUE"""),FALSE)</f>
        <v>0</v>
      </c>
      <c r="M905" s="16" t="b">
        <f>IFERROR(__xludf.DUMMYFUNCTION("""COMPUTED_VALUE"""),FALSE)</f>
        <v>0</v>
      </c>
      <c r="N905" s="16"/>
    </row>
    <row r="906">
      <c r="A906" s="16"/>
      <c r="B906" s="16"/>
      <c r="C906" s="16"/>
      <c r="D906" s="16"/>
      <c r="E906" s="16"/>
      <c r="F906" s="16"/>
      <c r="G906" s="16"/>
      <c r="H906" s="16"/>
      <c r="I906" s="16"/>
      <c r="J906" s="16" t="b">
        <f>IFERROR(__xludf.DUMMYFUNCTION("""COMPUTED_VALUE"""),FALSE)</f>
        <v>0</v>
      </c>
      <c r="K906" s="16"/>
      <c r="L906" s="16" t="b">
        <f>IFERROR(__xludf.DUMMYFUNCTION("""COMPUTED_VALUE"""),FALSE)</f>
        <v>0</v>
      </c>
      <c r="M906" s="16" t="b">
        <f>IFERROR(__xludf.DUMMYFUNCTION("""COMPUTED_VALUE"""),FALSE)</f>
        <v>0</v>
      </c>
      <c r="N906" s="16"/>
    </row>
    <row r="907">
      <c r="A907" s="16"/>
      <c r="B907" s="16"/>
      <c r="C907" s="16"/>
      <c r="D907" s="16"/>
      <c r="E907" s="16"/>
      <c r="F907" s="16"/>
      <c r="G907" s="16"/>
      <c r="H907" s="16"/>
      <c r="I907" s="16"/>
      <c r="J907" s="16" t="b">
        <f>IFERROR(__xludf.DUMMYFUNCTION("""COMPUTED_VALUE"""),FALSE)</f>
        <v>0</v>
      </c>
      <c r="K907" s="16"/>
      <c r="L907" s="16" t="b">
        <f>IFERROR(__xludf.DUMMYFUNCTION("""COMPUTED_VALUE"""),FALSE)</f>
        <v>0</v>
      </c>
      <c r="M907" s="16" t="b">
        <f>IFERROR(__xludf.DUMMYFUNCTION("""COMPUTED_VALUE"""),FALSE)</f>
        <v>0</v>
      </c>
      <c r="N907" s="16"/>
    </row>
    <row r="908">
      <c r="A908" s="16"/>
      <c r="B908" s="16"/>
      <c r="C908" s="16"/>
      <c r="D908" s="16"/>
      <c r="E908" s="16"/>
      <c r="F908" s="16"/>
      <c r="G908" s="16"/>
      <c r="H908" s="16"/>
      <c r="I908" s="16"/>
      <c r="J908" s="16" t="b">
        <f>IFERROR(__xludf.DUMMYFUNCTION("""COMPUTED_VALUE"""),FALSE)</f>
        <v>0</v>
      </c>
      <c r="K908" s="16"/>
      <c r="L908" s="16" t="b">
        <f>IFERROR(__xludf.DUMMYFUNCTION("""COMPUTED_VALUE"""),FALSE)</f>
        <v>0</v>
      </c>
      <c r="M908" s="16" t="b">
        <f>IFERROR(__xludf.DUMMYFUNCTION("""COMPUTED_VALUE"""),FALSE)</f>
        <v>0</v>
      </c>
      <c r="N908" s="16"/>
    </row>
    <row r="909">
      <c r="A909" s="16"/>
      <c r="B909" s="16"/>
      <c r="C909" s="16"/>
      <c r="D909" s="16"/>
      <c r="E909" s="16"/>
      <c r="F909" s="16"/>
      <c r="G909" s="16"/>
      <c r="H909" s="16"/>
      <c r="I909" s="16"/>
      <c r="J909" s="16" t="b">
        <f>IFERROR(__xludf.DUMMYFUNCTION("""COMPUTED_VALUE"""),FALSE)</f>
        <v>0</v>
      </c>
      <c r="K909" s="16"/>
      <c r="L909" s="16" t="b">
        <f>IFERROR(__xludf.DUMMYFUNCTION("""COMPUTED_VALUE"""),FALSE)</f>
        <v>0</v>
      </c>
      <c r="M909" s="16" t="b">
        <f>IFERROR(__xludf.DUMMYFUNCTION("""COMPUTED_VALUE"""),FALSE)</f>
        <v>0</v>
      </c>
      <c r="N909" s="16"/>
    </row>
    <row r="910">
      <c r="A910" s="16"/>
      <c r="B910" s="16"/>
      <c r="C910" s="16"/>
      <c r="D910" s="16"/>
      <c r="E910" s="16"/>
      <c r="F910" s="16"/>
      <c r="G910" s="16"/>
      <c r="H910" s="16"/>
      <c r="I910" s="16"/>
      <c r="J910" s="16" t="b">
        <f>IFERROR(__xludf.DUMMYFUNCTION("""COMPUTED_VALUE"""),FALSE)</f>
        <v>0</v>
      </c>
      <c r="K910" s="16"/>
      <c r="L910" s="16" t="b">
        <f>IFERROR(__xludf.DUMMYFUNCTION("""COMPUTED_VALUE"""),FALSE)</f>
        <v>0</v>
      </c>
      <c r="M910" s="16" t="b">
        <f>IFERROR(__xludf.DUMMYFUNCTION("""COMPUTED_VALUE"""),FALSE)</f>
        <v>0</v>
      </c>
      <c r="N910" s="16"/>
    </row>
    <row r="911">
      <c r="A911" s="16"/>
      <c r="B911" s="16"/>
      <c r="C911" s="16"/>
      <c r="D911" s="16"/>
      <c r="E911" s="16"/>
      <c r="F911" s="16"/>
      <c r="G911" s="16"/>
      <c r="H911" s="16"/>
      <c r="I911" s="16"/>
      <c r="J911" s="16" t="b">
        <f>IFERROR(__xludf.DUMMYFUNCTION("""COMPUTED_VALUE"""),FALSE)</f>
        <v>0</v>
      </c>
      <c r="K911" s="16"/>
      <c r="L911" s="16" t="b">
        <f>IFERROR(__xludf.DUMMYFUNCTION("""COMPUTED_VALUE"""),FALSE)</f>
        <v>0</v>
      </c>
      <c r="M911" s="16" t="b">
        <f>IFERROR(__xludf.DUMMYFUNCTION("""COMPUTED_VALUE"""),FALSE)</f>
        <v>0</v>
      </c>
      <c r="N911" s="16"/>
    </row>
    <row r="912">
      <c r="A912" s="16"/>
      <c r="B912" s="16"/>
      <c r="C912" s="16"/>
      <c r="D912" s="16"/>
      <c r="E912" s="16"/>
      <c r="F912" s="16"/>
      <c r="G912" s="16"/>
      <c r="H912" s="16"/>
      <c r="I912" s="16"/>
      <c r="J912" s="16" t="b">
        <f>IFERROR(__xludf.DUMMYFUNCTION("""COMPUTED_VALUE"""),FALSE)</f>
        <v>0</v>
      </c>
      <c r="K912" s="16"/>
      <c r="L912" s="16" t="b">
        <f>IFERROR(__xludf.DUMMYFUNCTION("""COMPUTED_VALUE"""),FALSE)</f>
        <v>0</v>
      </c>
      <c r="M912" s="16" t="b">
        <f>IFERROR(__xludf.DUMMYFUNCTION("""COMPUTED_VALUE"""),FALSE)</f>
        <v>0</v>
      </c>
      <c r="N912" s="16"/>
    </row>
    <row r="913">
      <c r="A913" s="16"/>
      <c r="B913" s="16"/>
      <c r="C913" s="16"/>
      <c r="D913" s="16"/>
      <c r="E913" s="16"/>
      <c r="F913" s="16"/>
      <c r="G913" s="16"/>
      <c r="H913" s="16"/>
      <c r="I913" s="16"/>
      <c r="J913" s="16" t="b">
        <f>IFERROR(__xludf.DUMMYFUNCTION("""COMPUTED_VALUE"""),FALSE)</f>
        <v>0</v>
      </c>
      <c r="K913" s="16"/>
      <c r="L913" s="16" t="b">
        <f>IFERROR(__xludf.DUMMYFUNCTION("""COMPUTED_VALUE"""),FALSE)</f>
        <v>0</v>
      </c>
      <c r="M913" s="16" t="b">
        <f>IFERROR(__xludf.DUMMYFUNCTION("""COMPUTED_VALUE"""),FALSE)</f>
        <v>0</v>
      </c>
      <c r="N913" s="16"/>
    </row>
    <row r="914">
      <c r="A914" s="16"/>
      <c r="B914" s="16"/>
      <c r="C914" s="16"/>
      <c r="D914" s="16"/>
      <c r="E914" s="16"/>
      <c r="F914" s="16"/>
      <c r="G914" s="16"/>
      <c r="H914" s="16"/>
      <c r="I914" s="16"/>
      <c r="J914" s="16" t="b">
        <f>IFERROR(__xludf.DUMMYFUNCTION("""COMPUTED_VALUE"""),FALSE)</f>
        <v>0</v>
      </c>
      <c r="K914" s="16"/>
      <c r="L914" s="16" t="b">
        <f>IFERROR(__xludf.DUMMYFUNCTION("""COMPUTED_VALUE"""),FALSE)</f>
        <v>0</v>
      </c>
      <c r="M914" s="16" t="b">
        <f>IFERROR(__xludf.DUMMYFUNCTION("""COMPUTED_VALUE"""),FALSE)</f>
        <v>0</v>
      </c>
      <c r="N914" s="16"/>
    </row>
    <row r="915">
      <c r="A915" s="16"/>
      <c r="B915" s="16"/>
      <c r="C915" s="16"/>
      <c r="D915" s="16"/>
      <c r="E915" s="16"/>
      <c r="F915" s="16"/>
      <c r="G915" s="16"/>
      <c r="H915" s="16"/>
      <c r="I915" s="16"/>
      <c r="J915" s="16" t="b">
        <f>IFERROR(__xludf.DUMMYFUNCTION("""COMPUTED_VALUE"""),FALSE)</f>
        <v>0</v>
      </c>
      <c r="K915" s="16"/>
      <c r="L915" s="16" t="b">
        <f>IFERROR(__xludf.DUMMYFUNCTION("""COMPUTED_VALUE"""),FALSE)</f>
        <v>0</v>
      </c>
      <c r="M915" s="16" t="b">
        <f>IFERROR(__xludf.DUMMYFUNCTION("""COMPUTED_VALUE"""),FALSE)</f>
        <v>0</v>
      </c>
      <c r="N915" s="16"/>
    </row>
    <row r="916">
      <c r="A916" s="16"/>
      <c r="B916" s="16"/>
      <c r="C916" s="16"/>
      <c r="D916" s="16"/>
      <c r="E916" s="16"/>
      <c r="F916" s="16"/>
      <c r="G916" s="16"/>
      <c r="H916" s="16"/>
      <c r="I916" s="16"/>
      <c r="J916" s="16" t="b">
        <f>IFERROR(__xludf.DUMMYFUNCTION("""COMPUTED_VALUE"""),FALSE)</f>
        <v>0</v>
      </c>
      <c r="K916" s="16"/>
      <c r="L916" s="16" t="b">
        <f>IFERROR(__xludf.DUMMYFUNCTION("""COMPUTED_VALUE"""),FALSE)</f>
        <v>0</v>
      </c>
      <c r="M916" s="16" t="b">
        <f>IFERROR(__xludf.DUMMYFUNCTION("""COMPUTED_VALUE"""),FALSE)</f>
        <v>0</v>
      </c>
      <c r="N916" s="16"/>
    </row>
    <row r="917">
      <c r="A917" s="16"/>
      <c r="B917" s="16"/>
      <c r="C917" s="16"/>
      <c r="D917" s="16"/>
      <c r="E917" s="16"/>
      <c r="F917" s="16"/>
      <c r="G917" s="16"/>
      <c r="H917" s="16"/>
      <c r="I917" s="16"/>
      <c r="J917" s="16" t="b">
        <f>IFERROR(__xludf.DUMMYFUNCTION("""COMPUTED_VALUE"""),FALSE)</f>
        <v>0</v>
      </c>
      <c r="K917" s="16"/>
      <c r="L917" s="16" t="b">
        <f>IFERROR(__xludf.DUMMYFUNCTION("""COMPUTED_VALUE"""),FALSE)</f>
        <v>0</v>
      </c>
      <c r="M917" s="16" t="b">
        <f>IFERROR(__xludf.DUMMYFUNCTION("""COMPUTED_VALUE"""),FALSE)</f>
        <v>0</v>
      </c>
      <c r="N917" s="16"/>
    </row>
    <row r="918">
      <c r="A918" s="16"/>
      <c r="B918" s="16"/>
      <c r="C918" s="16"/>
      <c r="D918" s="16"/>
      <c r="E918" s="16"/>
      <c r="F918" s="16"/>
      <c r="G918" s="16"/>
      <c r="H918" s="16"/>
      <c r="I918" s="16"/>
      <c r="J918" s="16" t="b">
        <f>IFERROR(__xludf.DUMMYFUNCTION("""COMPUTED_VALUE"""),FALSE)</f>
        <v>0</v>
      </c>
      <c r="K918" s="16"/>
      <c r="L918" s="16" t="b">
        <f>IFERROR(__xludf.DUMMYFUNCTION("""COMPUTED_VALUE"""),FALSE)</f>
        <v>0</v>
      </c>
      <c r="M918" s="16" t="b">
        <f>IFERROR(__xludf.DUMMYFUNCTION("""COMPUTED_VALUE"""),FALSE)</f>
        <v>0</v>
      </c>
      <c r="N918" s="16"/>
    </row>
    <row r="919">
      <c r="A919" s="16"/>
      <c r="B919" s="16"/>
      <c r="C919" s="16"/>
      <c r="D919" s="16"/>
      <c r="E919" s="16"/>
      <c r="F919" s="16"/>
      <c r="G919" s="16"/>
      <c r="H919" s="16"/>
      <c r="I919" s="16"/>
      <c r="J919" s="16" t="b">
        <f>IFERROR(__xludf.DUMMYFUNCTION("""COMPUTED_VALUE"""),FALSE)</f>
        <v>0</v>
      </c>
      <c r="K919" s="16"/>
      <c r="L919" s="16" t="b">
        <f>IFERROR(__xludf.DUMMYFUNCTION("""COMPUTED_VALUE"""),FALSE)</f>
        <v>0</v>
      </c>
      <c r="M919" s="16" t="b">
        <f>IFERROR(__xludf.DUMMYFUNCTION("""COMPUTED_VALUE"""),FALSE)</f>
        <v>0</v>
      </c>
      <c r="N919" s="16"/>
    </row>
    <row r="920">
      <c r="A920" s="16"/>
      <c r="B920" s="16"/>
      <c r="C920" s="16"/>
      <c r="D920" s="16"/>
      <c r="E920" s="16"/>
      <c r="F920" s="16"/>
      <c r="G920" s="16"/>
      <c r="H920" s="16"/>
      <c r="I920" s="16"/>
      <c r="J920" s="16" t="b">
        <f>IFERROR(__xludf.DUMMYFUNCTION("""COMPUTED_VALUE"""),FALSE)</f>
        <v>0</v>
      </c>
      <c r="K920" s="16"/>
      <c r="L920" s="16" t="b">
        <f>IFERROR(__xludf.DUMMYFUNCTION("""COMPUTED_VALUE"""),FALSE)</f>
        <v>0</v>
      </c>
      <c r="M920" s="16" t="b">
        <f>IFERROR(__xludf.DUMMYFUNCTION("""COMPUTED_VALUE"""),FALSE)</f>
        <v>0</v>
      </c>
      <c r="N920" s="16"/>
    </row>
    <row r="921">
      <c r="A921" s="16"/>
      <c r="B921" s="16"/>
      <c r="C921" s="16"/>
      <c r="D921" s="16"/>
      <c r="E921" s="16"/>
      <c r="F921" s="16"/>
      <c r="G921" s="16"/>
      <c r="H921" s="16"/>
      <c r="I921" s="16"/>
      <c r="J921" s="16" t="b">
        <f>IFERROR(__xludf.DUMMYFUNCTION("""COMPUTED_VALUE"""),FALSE)</f>
        <v>0</v>
      </c>
      <c r="K921" s="16"/>
      <c r="L921" s="16" t="b">
        <f>IFERROR(__xludf.DUMMYFUNCTION("""COMPUTED_VALUE"""),FALSE)</f>
        <v>0</v>
      </c>
      <c r="M921" s="16" t="b">
        <f>IFERROR(__xludf.DUMMYFUNCTION("""COMPUTED_VALUE"""),FALSE)</f>
        <v>0</v>
      </c>
      <c r="N921" s="16"/>
    </row>
    <row r="922">
      <c r="A922" s="16"/>
      <c r="B922" s="16"/>
      <c r="C922" s="16"/>
      <c r="D922" s="16"/>
      <c r="E922" s="16"/>
      <c r="F922" s="16"/>
      <c r="G922" s="16"/>
      <c r="H922" s="16"/>
      <c r="I922" s="16"/>
      <c r="J922" s="16" t="b">
        <f>IFERROR(__xludf.DUMMYFUNCTION("""COMPUTED_VALUE"""),FALSE)</f>
        <v>0</v>
      </c>
      <c r="K922" s="16"/>
      <c r="L922" s="16" t="b">
        <f>IFERROR(__xludf.DUMMYFUNCTION("""COMPUTED_VALUE"""),FALSE)</f>
        <v>0</v>
      </c>
      <c r="M922" s="16" t="b">
        <f>IFERROR(__xludf.DUMMYFUNCTION("""COMPUTED_VALUE"""),FALSE)</f>
        <v>0</v>
      </c>
      <c r="N922" s="16"/>
    </row>
    <row r="923">
      <c r="A923" s="16"/>
      <c r="B923" s="16"/>
      <c r="C923" s="16"/>
      <c r="D923" s="16"/>
      <c r="E923" s="16"/>
      <c r="F923" s="16"/>
      <c r="G923" s="16"/>
      <c r="H923" s="16"/>
      <c r="I923" s="16"/>
      <c r="J923" s="16" t="b">
        <f>IFERROR(__xludf.DUMMYFUNCTION("""COMPUTED_VALUE"""),FALSE)</f>
        <v>0</v>
      </c>
      <c r="K923" s="16"/>
      <c r="L923" s="16" t="b">
        <f>IFERROR(__xludf.DUMMYFUNCTION("""COMPUTED_VALUE"""),FALSE)</f>
        <v>0</v>
      </c>
      <c r="M923" s="16" t="b">
        <f>IFERROR(__xludf.DUMMYFUNCTION("""COMPUTED_VALUE"""),FALSE)</f>
        <v>0</v>
      </c>
      <c r="N923" s="16"/>
    </row>
    <row r="924">
      <c r="A924" s="16"/>
      <c r="B924" s="16"/>
      <c r="C924" s="16"/>
      <c r="D924" s="16"/>
      <c r="E924" s="16"/>
      <c r="F924" s="16"/>
      <c r="G924" s="16"/>
      <c r="H924" s="16"/>
      <c r="I924" s="16"/>
      <c r="J924" s="16" t="b">
        <f>IFERROR(__xludf.DUMMYFUNCTION("""COMPUTED_VALUE"""),FALSE)</f>
        <v>0</v>
      </c>
      <c r="K924" s="16"/>
      <c r="L924" s="16" t="b">
        <f>IFERROR(__xludf.DUMMYFUNCTION("""COMPUTED_VALUE"""),FALSE)</f>
        <v>0</v>
      </c>
      <c r="M924" s="16" t="b">
        <f>IFERROR(__xludf.DUMMYFUNCTION("""COMPUTED_VALUE"""),FALSE)</f>
        <v>0</v>
      </c>
      <c r="N924" s="16"/>
    </row>
    <row r="925">
      <c r="A925" s="16"/>
      <c r="B925" s="16"/>
      <c r="C925" s="16"/>
      <c r="D925" s="16"/>
      <c r="E925" s="16"/>
      <c r="F925" s="16"/>
      <c r="G925" s="16"/>
      <c r="H925" s="16"/>
      <c r="I925" s="16"/>
      <c r="J925" s="16" t="b">
        <f>IFERROR(__xludf.DUMMYFUNCTION("""COMPUTED_VALUE"""),FALSE)</f>
        <v>0</v>
      </c>
      <c r="K925" s="16"/>
      <c r="L925" s="16" t="b">
        <f>IFERROR(__xludf.DUMMYFUNCTION("""COMPUTED_VALUE"""),FALSE)</f>
        <v>0</v>
      </c>
      <c r="M925" s="16" t="b">
        <f>IFERROR(__xludf.DUMMYFUNCTION("""COMPUTED_VALUE"""),FALSE)</f>
        <v>0</v>
      </c>
      <c r="N925" s="16"/>
    </row>
    <row r="926">
      <c r="A926" s="16"/>
      <c r="B926" s="16"/>
      <c r="C926" s="16"/>
      <c r="D926" s="16"/>
      <c r="E926" s="16"/>
      <c r="F926" s="16"/>
      <c r="G926" s="16"/>
      <c r="H926" s="16"/>
      <c r="I926" s="16"/>
      <c r="J926" s="16" t="b">
        <f>IFERROR(__xludf.DUMMYFUNCTION("""COMPUTED_VALUE"""),FALSE)</f>
        <v>0</v>
      </c>
      <c r="K926" s="16"/>
      <c r="L926" s="16" t="b">
        <f>IFERROR(__xludf.DUMMYFUNCTION("""COMPUTED_VALUE"""),FALSE)</f>
        <v>0</v>
      </c>
      <c r="M926" s="16" t="b">
        <f>IFERROR(__xludf.DUMMYFUNCTION("""COMPUTED_VALUE"""),FALSE)</f>
        <v>0</v>
      </c>
      <c r="N926" s="16"/>
    </row>
    <row r="927">
      <c r="A927" s="16"/>
      <c r="B927" s="16"/>
      <c r="C927" s="16"/>
      <c r="D927" s="16"/>
      <c r="E927" s="16"/>
      <c r="F927" s="16"/>
      <c r="G927" s="16"/>
      <c r="H927" s="16"/>
      <c r="I927" s="16"/>
      <c r="J927" s="16" t="b">
        <f>IFERROR(__xludf.DUMMYFUNCTION("""COMPUTED_VALUE"""),FALSE)</f>
        <v>0</v>
      </c>
      <c r="K927" s="16"/>
      <c r="L927" s="16" t="b">
        <f>IFERROR(__xludf.DUMMYFUNCTION("""COMPUTED_VALUE"""),FALSE)</f>
        <v>0</v>
      </c>
      <c r="M927" s="16" t="b">
        <f>IFERROR(__xludf.DUMMYFUNCTION("""COMPUTED_VALUE"""),FALSE)</f>
        <v>0</v>
      </c>
      <c r="N927" s="16"/>
    </row>
    <row r="928">
      <c r="A928" s="16"/>
      <c r="B928" s="16"/>
      <c r="C928" s="16"/>
      <c r="D928" s="16"/>
      <c r="E928" s="16"/>
      <c r="F928" s="16"/>
      <c r="G928" s="16"/>
      <c r="H928" s="16"/>
      <c r="I928" s="16"/>
      <c r="J928" s="16" t="b">
        <f>IFERROR(__xludf.DUMMYFUNCTION("""COMPUTED_VALUE"""),FALSE)</f>
        <v>0</v>
      </c>
      <c r="K928" s="16"/>
      <c r="L928" s="16" t="b">
        <f>IFERROR(__xludf.DUMMYFUNCTION("""COMPUTED_VALUE"""),FALSE)</f>
        <v>0</v>
      </c>
      <c r="M928" s="16" t="b">
        <f>IFERROR(__xludf.DUMMYFUNCTION("""COMPUTED_VALUE"""),FALSE)</f>
        <v>0</v>
      </c>
      <c r="N928" s="16"/>
    </row>
    <row r="929">
      <c r="A929" s="16"/>
      <c r="B929" s="16"/>
      <c r="C929" s="16"/>
      <c r="D929" s="16"/>
      <c r="E929" s="16"/>
      <c r="F929" s="16"/>
      <c r="G929" s="16"/>
      <c r="H929" s="16"/>
      <c r="I929" s="16"/>
      <c r="J929" s="16" t="b">
        <f>IFERROR(__xludf.DUMMYFUNCTION("""COMPUTED_VALUE"""),FALSE)</f>
        <v>0</v>
      </c>
      <c r="K929" s="16"/>
      <c r="L929" s="16" t="b">
        <f>IFERROR(__xludf.DUMMYFUNCTION("""COMPUTED_VALUE"""),FALSE)</f>
        <v>0</v>
      </c>
      <c r="M929" s="16" t="b">
        <f>IFERROR(__xludf.DUMMYFUNCTION("""COMPUTED_VALUE"""),FALSE)</f>
        <v>0</v>
      </c>
      <c r="N929" s="16"/>
    </row>
    <row r="930">
      <c r="A930" s="16"/>
      <c r="B930" s="16"/>
      <c r="C930" s="16"/>
      <c r="D930" s="16"/>
      <c r="E930" s="16"/>
      <c r="F930" s="16"/>
      <c r="G930" s="16"/>
      <c r="H930" s="16"/>
      <c r="I930" s="16"/>
      <c r="J930" s="16" t="b">
        <f>IFERROR(__xludf.DUMMYFUNCTION("""COMPUTED_VALUE"""),FALSE)</f>
        <v>0</v>
      </c>
      <c r="K930" s="16"/>
      <c r="L930" s="16" t="b">
        <f>IFERROR(__xludf.DUMMYFUNCTION("""COMPUTED_VALUE"""),FALSE)</f>
        <v>0</v>
      </c>
      <c r="M930" s="16" t="b">
        <f>IFERROR(__xludf.DUMMYFUNCTION("""COMPUTED_VALUE"""),FALSE)</f>
        <v>0</v>
      </c>
      <c r="N930" s="16"/>
    </row>
    <row r="931">
      <c r="A931" s="16"/>
      <c r="B931" s="16"/>
      <c r="C931" s="16"/>
      <c r="D931" s="16"/>
      <c r="E931" s="16"/>
      <c r="F931" s="16"/>
      <c r="G931" s="16"/>
      <c r="H931" s="16"/>
      <c r="I931" s="16"/>
      <c r="J931" s="16" t="b">
        <f>IFERROR(__xludf.DUMMYFUNCTION("""COMPUTED_VALUE"""),FALSE)</f>
        <v>0</v>
      </c>
      <c r="K931" s="16"/>
      <c r="L931" s="16" t="b">
        <f>IFERROR(__xludf.DUMMYFUNCTION("""COMPUTED_VALUE"""),FALSE)</f>
        <v>0</v>
      </c>
      <c r="M931" s="16" t="b">
        <f>IFERROR(__xludf.DUMMYFUNCTION("""COMPUTED_VALUE"""),FALSE)</f>
        <v>0</v>
      </c>
      <c r="N931" s="16"/>
    </row>
    <row r="932">
      <c r="A932" s="16"/>
      <c r="B932" s="16"/>
      <c r="C932" s="16"/>
      <c r="D932" s="16"/>
      <c r="E932" s="16"/>
      <c r="F932" s="16"/>
      <c r="G932" s="16"/>
      <c r="H932" s="16"/>
      <c r="I932" s="16"/>
      <c r="J932" s="16" t="b">
        <f>IFERROR(__xludf.DUMMYFUNCTION("""COMPUTED_VALUE"""),FALSE)</f>
        <v>0</v>
      </c>
      <c r="K932" s="16"/>
      <c r="L932" s="16" t="b">
        <f>IFERROR(__xludf.DUMMYFUNCTION("""COMPUTED_VALUE"""),FALSE)</f>
        <v>0</v>
      </c>
      <c r="M932" s="16" t="b">
        <f>IFERROR(__xludf.DUMMYFUNCTION("""COMPUTED_VALUE"""),FALSE)</f>
        <v>0</v>
      </c>
      <c r="N932" s="16"/>
    </row>
    <row r="933">
      <c r="A933" s="16"/>
      <c r="B933" s="16"/>
      <c r="C933" s="16"/>
      <c r="D933" s="16"/>
      <c r="E933" s="16"/>
      <c r="F933" s="16"/>
      <c r="G933" s="16"/>
      <c r="H933" s="16"/>
      <c r="I933" s="16"/>
      <c r="J933" s="16" t="b">
        <f>IFERROR(__xludf.DUMMYFUNCTION("""COMPUTED_VALUE"""),FALSE)</f>
        <v>0</v>
      </c>
      <c r="K933" s="16"/>
      <c r="L933" s="16" t="b">
        <f>IFERROR(__xludf.DUMMYFUNCTION("""COMPUTED_VALUE"""),FALSE)</f>
        <v>0</v>
      </c>
      <c r="M933" s="16" t="b">
        <f>IFERROR(__xludf.DUMMYFUNCTION("""COMPUTED_VALUE"""),FALSE)</f>
        <v>0</v>
      </c>
      <c r="N933" s="16"/>
    </row>
    <row r="934">
      <c r="A934" s="16"/>
      <c r="B934" s="16"/>
      <c r="C934" s="16"/>
      <c r="D934" s="16"/>
      <c r="E934" s="16"/>
      <c r="F934" s="16"/>
      <c r="G934" s="16"/>
      <c r="H934" s="16"/>
      <c r="I934" s="16"/>
      <c r="J934" s="16" t="b">
        <f>IFERROR(__xludf.DUMMYFUNCTION("""COMPUTED_VALUE"""),FALSE)</f>
        <v>0</v>
      </c>
      <c r="K934" s="16"/>
      <c r="L934" s="16" t="b">
        <f>IFERROR(__xludf.DUMMYFUNCTION("""COMPUTED_VALUE"""),FALSE)</f>
        <v>0</v>
      </c>
      <c r="M934" s="16" t="b">
        <f>IFERROR(__xludf.DUMMYFUNCTION("""COMPUTED_VALUE"""),FALSE)</f>
        <v>0</v>
      </c>
      <c r="N934" s="16"/>
    </row>
    <row r="935">
      <c r="A935" s="16"/>
      <c r="B935" s="16"/>
      <c r="C935" s="16"/>
      <c r="D935" s="16"/>
      <c r="E935" s="16"/>
      <c r="F935" s="16"/>
      <c r="G935" s="16"/>
      <c r="H935" s="16"/>
      <c r="I935" s="16"/>
      <c r="J935" s="16" t="b">
        <f>IFERROR(__xludf.DUMMYFUNCTION("""COMPUTED_VALUE"""),FALSE)</f>
        <v>0</v>
      </c>
      <c r="K935" s="16"/>
      <c r="L935" s="16" t="b">
        <f>IFERROR(__xludf.DUMMYFUNCTION("""COMPUTED_VALUE"""),FALSE)</f>
        <v>0</v>
      </c>
      <c r="M935" s="16" t="b">
        <f>IFERROR(__xludf.DUMMYFUNCTION("""COMPUTED_VALUE"""),FALSE)</f>
        <v>0</v>
      </c>
      <c r="N935" s="16"/>
    </row>
    <row r="936">
      <c r="A936" s="16"/>
      <c r="B936" s="16"/>
      <c r="C936" s="16"/>
      <c r="D936" s="16"/>
      <c r="E936" s="16"/>
      <c r="F936" s="16"/>
      <c r="G936" s="16"/>
      <c r="H936" s="16"/>
      <c r="I936" s="16"/>
      <c r="J936" s="16" t="b">
        <f>IFERROR(__xludf.DUMMYFUNCTION("""COMPUTED_VALUE"""),FALSE)</f>
        <v>0</v>
      </c>
      <c r="K936" s="16"/>
      <c r="L936" s="16" t="b">
        <f>IFERROR(__xludf.DUMMYFUNCTION("""COMPUTED_VALUE"""),FALSE)</f>
        <v>0</v>
      </c>
      <c r="M936" s="16" t="b">
        <f>IFERROR(__xludf.DUMMYFUNCTION("""COMPUTED_VALUE"""),FALSE)</f>
        <v>0</v>
      </c>
      <c r="N936" s="16"/>
    </row>
    <row r="937">
      <c r="A937" s="16"/>
      <c r="B937" s="16"/>
      <c r="C937" s="16"/>
      <c r="D937" s="16"/>
      <c r="E937" s="16"/>
      <c r="F937" s="16"/>
      <c r="G937" s="16"/>
      <c r="H937" s="16"/>
      <c r="I937" s="16"/>
      <c r="J937" s="16" t="b">
        <f>IFERROR(__xludf.DUMMYFUNCTION("""COMPUTED_VALUE"""),FALSE)</f>
        <v>0</v>
      </c>
      <c r="K937" s="16"/>
      <c r="L937" s="16" t="b">
        <f>IFERROR(__xludf.DUMMYFUNCTION("""COMPUTED_VALUE"""),FALSE)</f>
        <v>0</v>
      </c>
      <c r="M937" s="16" t="b">
        <f>IFERROR(__xludf.DUMMYFUNCTION("""COMPUTED_VALUE"""),FALSE)</f>
        <v>0</v>
      </c>
      <c r="N937" s="16"/>
    </row>
    <row r="938">
      <c r="A938" s="16"/>
      <c r="B938" s="16"/>
      <c r="C938" s="16"/>
      <c r="D938" s="16"/>
      <c r="E938" s="16"/>
      <c r="F938" s="16"/>
      <c r="G938" s="16"/>
      <c r="H938" s="16"/>
      <c r="I938" s="16"/>
      <c r="J938" s="16" t="b">
        <f>IFERROR(__xludf.DUMMYFUNCTION("""COMPUTED_VALUE"""),FALSE)</f>
        <v>0</v>
      </c>
      <c r="K938" s="16"/>
      <c r="L938" s="16" t="b">
        <f>IFERROR(__xludf.DUMMYFUNCTION("""COMPUTED_VALUE"""),FALSE)</f>
        <v>0</v>
      </c>
      <c r="M938" s="16" t="b">
        <f>IFERROR(__xludf.DUMMYFUNCTION("""COMPUTED_VALUE"""),FALSE)</f>
        <v>0</v>
      </c>
      <c r="N938" s="16"/>
    </row>
    <row r="939">
      <c r="A939" s="16"/>
      <c r="B939" s="16"/>
      <c r="C939" s="16"/>
      <c r="D939" s="16"/>
      <c r="E939" s="16"/>
      <c r="F939" s="16"/>
      <c r="G939" s="16"/>
      <c r="H939" s="16"/>
      <c r="I939" s="16"/>
      <c r="J939" s="16" t="b">
        <f>IFERROR(__xludf.DUMMYFUNCTION("""COMPUTED_VALUE"""),FALSE)</f>
        <v>0</v>
      </c>
      <c r="K939" s="16"/>
      <c r="L939" s="16" t="b">
        <f>IFERROR(__xludf.DUMMYFUNCTION("""COMPUTED_VALUE"""),FALSE)</f>
        <v>0</v>
      </c>
      <c r="M939" s="16" t="b">
        <f>IFERROR(__xludf.DUMMYFUNCTION("""COMPUTED_VALUE"""),FALSE)</f>
        <v>0</v>
      </c>
      <c r="N939" s="16"/>
    </row>
    <row r="940">
      <c r="A940" s="16"/>
      <c r="B940" s="16"/>
      <c r="C940" s="16"/>
      <c r="D940" s="16"/>
      <c r="E940" s="16"/>
      <c r="F940" s="16"/>
      <c r="G940" s="16"/>
      <c r="H940" s="16"/>
      <c r="I940" s="16"/>
      <c r="J940" s="16" t="b">
        <f>IFERROR(__xludf.DUMMYFUNCTION("""COMPUTED_VALUE"""),FALSE)</f>
        <v>0</v>
      </c>
      <c r="K940" s="16"/>
      <c r="L940" s="16" t="b">
        <f>IFERROR(__xludf.DUMMYFUNCTION("""COMPUTED_VALUE"""),FALSE)</f>
        <v>0</v>
      </c>
      <c r="M940" s="16" t="b">
        <f>IFERROR(__xludf.DUMMYFUNCTION("""COMPUTED_VALUE"""),FALSE)</f>
        <v>0</v>
      </c>
      <c r="N940" s="16"/>
    </row>
    <row r="941">
      <c r="A941" s="16"/>
      <c r="B941" s="16"/>
      <c r="C941" s="16"/>
      <c r="D941" s="16"/>
      <c r="E941" s="16"/>
      <c r="F941" s="16"/>
      <c r="G941" s="16"/>
      <c r="H941" s="16"/>
      <c r="I941" s="16"/>
      <c r="J941" s="16" t="b">
        <f>IFERROR(__xludf.DUMMYFUNCTION("""COMPUTED_VALUE"""),FALSE)</f>
        <v>0</v>
      </c>
      <c r="K941" s="16"/>
      <c r="L941" s="16" t="b">
        <f>IFERROR(__xludf.DUMMYFUNCTION("""COMPUTED_VALUE"""),FALSE)</f>
        <v>0</v>
      </c>
      <c r="M941" s="16" t="b">
        <f>IFERROR(__xludf.DUMMYFUNCTION("""COMPUTED_VALUE"""),FALSE)</f>
        <v>0</v>
      </c>
      <c r="N941" s="16"/>
    </row>
    <row r="942">
      <c r="A942" s="16"/>
      <c r="B942" s="16"/>
      <c r="C942" s="16"/>
      <c r="D942" s="16"/>
      <c r="E942" s="16"/>
      <c r="F942" s="16"/>
      <c r="G942" s="16"/>
      <c r="H942" s="16"/>
      <c r="I942" s="16"/>
      <c r="J942" s="16" t="b">
        <f>IFERROR(__xludf.DUMMYFUNCTION("""COMPUTED_VALUE"""),FALSE)</f>
        <v>0</v>
      </c>
      <c r="K942" s="16"/>
      <c r="L942" s="16" t="b">
        <f>IFERROR(__xludf.DUMMYFUNCTION("""COMPUTED_VALUE"""),FALSE)</f>
        <v>0</v>
      </c>
      <c r="M942" s="16" t="b">
        <f>IFERROR(__xludf.DUMMYFUNCTION("""COMPUTED_VALUE"""),FALSE)</f>
        <v>0</v>
      </c>
      <c r="N942" s="16"/>
    </row>
    <row r="943">
      <c r="A943" s="16"/>
      <c r="B943" s="16"/>
      <c r="C943" s="16"/>
      <c r="D943" s="16"/>
      <c r="E943" s="16"/>
      <c r="F943" s="16"/>
      <c r="G943" s="16"/>
      <c r="H943" s="16"/>
      <c r="I943" s="16"/>
      <c r="J943" s="16" t="b">
        <f>IFERROR(__xludf.DUMMYFUNCTION("""COMPUTED_VALUE"""),FALSE)</f>
        <v>0</v>
      </c>
      <c r="K943" s="16"/>
      <c r="L943" s="16" t="b">
        <f>IFERROR(__xludf.DUMMYFUNCTION("""COMPUTED_VALUE"""),FALSE)</f>
        <v>0</v>
      </c>
      <c r="M943" s="16" t="b">
        <f>IFERROR(__xludf.DUMMYFUNCTION("""COMPUTED_VALUE"""),FALSE)</f>
        <v>0</v>
      </c>
      <c r="N943" s="16"/>
    </row>
    <row r="944">
      <c r="A944" s="16"/>
      <c r="B944" s="16"/>
      <c r="C944" s="16"/>
      <c r="D944" s="16"/>
      <c r="E944" s="16"/>
      <c r="F944" s="16"/>
      <c r="G944" s="16"/>
      <c r="H944" s="16"/>
      <c r="I944" s="16"/>
      <c r="J944" s="16" t="b">
        <f>IFERROR(__xludf.DUMMYFUNCTION("""COMPUTED_VALUE"""),FALSE)</f>
        <v>0</v>
      </c>
      <c r="K944" s="16"/>
      <c r="L944" s="16" t="b">
        <f>IFERROR(__xludf.DUMMYFUNCTION("""COMPUTED_VALUE"""),FALSE)</f>
        <v>0</v>
      </c>
      <c r="M944" s="16" t="b">
        <f>IFERROR(__xludf.DUMMYFUNCTION("""COMPUTED_VALUE"""),FALSE)</f>
        <v>0</v>
      </c>
      <c r="N944" s="16"/>
    </row>
    <row r="945">
      <c r="A945" s="16"/>
      <c r="B945" s="16"/>
      <c r="C945" s="16"/>
      <c r="D945" s="16"/>
      <c r="E945" s="16"/>
      <c r="F945" s="16"/>
      <c r="G945" s="16"/>
      <c r="H945" s="16"/>
      <c r="I945" s="16"/>
      <c r="J945" s="16" t="b">
        <f>IFERROR(__xludf.DUMMYFUNCTION("""COMPUTED_VALUE"""),FALSE)</f>
        <v>0</v>
      </c>
      <c r="K945" s="16"/>
      <c r="L945" s="16" t="b">
        <f>IFERROR(__xludf.DUMMYFUNCTION("""COMPUTED_VALUE"""),FALSE)</f>
        <v>0</v>
      </c>
      <c r="M945" s="16" t="b">
        <f>IFERROR(__xludf.DUMMYFUNCTION("""COMPUTED_VALUE"""),FALSE)</f>
        <v>0</v>
      </c>
      <c r="N945" s="16"/>
    </row>
    <row r="946">
      <c r="A946" s="16"/>
      <c r="B946" s="16"/>
      <c r="C946" s="16"/>
      <c r="D946" s="16"/>
      <c r="E946" s="16"/>
      <c r="F946" s="16"/>
      <c r="G946" s="16"/>
      <c r="H946" s="16"/>
      <c r="I946" s="16"/>
      <c r="J946" s="16" t="b">
        <f>IFERROR(__xludf.DUMMYFUNCTION("""COMPUTED_VALUE"""),FALSE)</f>
        <v>0</v>
      </c>
      <c r="K946" s="16"/>
      <c r="L946" s="16" t="b">
        <f>IFERROR(__xludf.DUMMYFUNCTION("""COMPUTED_VALUE"""),FALSE)</f>
        <v>0</v>
      </c>
      <c r="M946" s="16" t="b">
        <f>IFERROR(__xludf.DUMMYFUNCTION("""COMPUTED_VALUE"""),FALSE)</f>
        <v>0</v>
      </c>
      <c r="N946" s="16"/>
    </row>
    <row r="947">
      <c r="A947" s="16"/>
      <c r="B947" s="16"/>
      <c r="C947" s="16"/>
      <c r="D947" s="16"/>
      <c r="E947" s="16"/>
      <c r="F947" s="16"/>
      <c r="G947" s="16"/>
      <c r="H947" s="16"/>
      <c r="I947" s="16"/>
      <c r="J947" s="16" t="b">
        <f>IFERROR(__xludf.DUMMYFUNCTION("""COMPUTED_VALUE"""),FALSE)</f>
        <v>0</v>
      </c>
      <c r="K947" s="16"/>
      <c r="L947" s="16" t="b">
        <f>IFERROR(__xludf.DUMMYFUNCTION("""COMPUTED_VALUE"""),FALSE)</f>
        <v>0</v>
      </c>
      <c r="M947" s="16" t="b">
        <f>IFERROR(__xludf.DUMMYFUNCTION("""COMPUTED_VALUE"""),FALSE)</f>
        <v>0</v>
      </c>
      <c r="N947" s="16"/>
    </row>
    <row r="948">
      <c r="A948" s="16"/>
      <c r="B948" s="16"/>
      <c r="C948" s="16"/>
      <c r="D948" s="16"/>
      <c r="E948" s="16"/>
      <c r="F948" s="16"/>
      <c r="G948" s="16"/>
      <c r="H948" s="16"/>
      <c r="I948" s="16"/>
      <c r="J948" s="16" t="b">
        <f>IFERROR(__xludf.DUMMYFUNCTION("""COMPUTED_VALUE"""),FALSE)</f>
        <v>0</v>
      </c>
      <c r="K948" s="16"/>
      <c r="L948" s="16" t="b">
        <f>IFERROR(__xludf.DUMMYFUNCTION("""COMPUTED_VALUE"""),FALSE)</f>
        <v>0</v>
      </c>
      <c r="M948" s="16" t="b">
        <f>IFERROR(__xludf.DUMMYFUNCTION("""COMPUTED_VALUE"""),FALSE)</f>
        <v>0</v>
      </c>
      <c r="N948" s="16"/>
    </row>
    <row r="949">
      <c r="A949" s="16"/>
      <c r="B949" s="16"/>
      <c r="C949" s="16"/>
      <c r="D949" s="16"/>
      <c r="E949" s="16"/>
      <c r="F949" s="16"/>
      <c r="G949" s="16"/>
      <c r="H949" s="16"/>
      <c r="I949" s="16"/>
      <c r="J949" s="16" t="b">
        <f>IFERROR(__xludf.DUMMYFUNCTION("""COMPUTED_VALUE"""),FALSE)</f>
        <v>0</v>
      </c>
      <c r="K949" s="16"/>
      <c r="L949" s="16" t="b">
        <f>IFERROR(__xludf.DUMMYFUNCTION("""COMPUTED_VALUE"""),FALSE)</f>
        <v>0</v>
      </c>
      <c r="M949" s="16" t="b">
        <f>IFERROR(__xludf.DUMMYFUNCTION("""COMPUTED_VALUE"""),FALSE)</f>
        <v>0</v>
      </c>
      <c r="N949" s="16"/>
    </row>
    <row r="950">
      <c r="A950" s="16"/>
      <c r="B950" s="16"/>
      <c r="C950" s="16"/>
      <c r="D950" s="16"/>
      <c r="E950" s="16"/>
      <c r="F950" s="16"/>
      <c r="G950" s="16"/>
      <c r="H950" s="16"/>
      <c r="I950" s="16"/>
      <c r="J950" s="16" t="b">
        <f>IFERROR(__xludf.DUMMYFUNCTION("""COMPUTED_VALUE"""),FALSE)</f>
        <v>0</v>
      </c>
      <c r="K950" s="16"/>
      <c r="L950" s="16" t="b">
        <f>IFERROR(__xludf.DUMMYFUNCTION("""COMPUTED_VALUE"""),FALSE)</f>
        <v>0</v>
      </c>
      <c r="M950" s="16" t="b">
        <f>IFERROR(__xludf.DUMMYFUNCTION("""COMPUTED_VALUE"""),FALSE)</f>
        <v>0</v>
      </c>
      <c r="N950" s="16"/>
    </row>
    <row r="951">
      <c r="A951" s="16"/>
      <c r="B951" s="16"/>
      <c r="C951" s="16"/>
      <c r="D951" s="16"/>
      <c r="E951" s="16"/>
      <c r="F951" s="16"/>
      <c r="G951" s="16"/>
      <c r="H951" s="16"/>
      <c r="I951" s="16"/>
      <c r="J951" s="16" t="b">
        <f>IFERROR(__xludf.DUMMYFUNCTION("""COMPUTED_VALUE"""),FALSE)</f>
        <v>0</v>
      </c>
      <c r="K951" s="16"/>
      <c r="L951" s="16" t="b">
        <f>IFERROR(__xludf.DUMMYFUNCTION("""COMPUTED_VALUE"""),FALSE)</f>
        <v>0</v>
      </c>
      <c r="M951" s="16" t="b">
        <f>IFERROR(__xludf.DUMMYFUNCTION("""COMPUTED_VALUE"""),FALSE)</f>
        <v>0</v>
      </c>
      <c r="N951" s="16"/>
    </row>
    <row r="952">
      <c r="A952" s="16"/>
      <c r="B952" s="16"/>
      <c r="C952" s="16"/>
      <c r="D952" s="16"/>
      <c r="E952" s="16"/>
      <c r="F952" s="16"/>
      <c r="G952" s="16"/>
      <c r="H952" s="16"/>
      <c r="I952" s="16"/>
      <c r="J952" s="16" t="b">
        <f>IFERROR(__xludf.DUMMYFUNCTION("""COMPUTED_VALUE"""),FALSE)</f>
        <v>0</v>
      </c>
      <c r="K952" s="16"/>
      <c r="L952" s="16" t="b">
        <f>IFERROR(__xludf.DUMMYFUNCTION("""COMPUTED_VALUE"""),FALSE)</f>
        <v>0</v>
      </c>
      <c r="M952" s="16" t="b">
        <f>IFERROR(__xludf.DUMMYFUNCTION("""COMPUTED_VALUE"""),FALSE)</f>
        <v>0</v>
      </c>
      <c r="N952" s="16"/>
    </row>
    <row r="953">
      <c r="A953" s="16"/>
      <c r="B953" s="16"/>
      <c r="C953" s="16"/>
      <c r="D953" s="16"/>
      <c r="E953" s="16"/>
      <c r="F953" s="16"/>
      <c r="G953" s="16"/>
      <c r="H953" s="16"/>
      <c r="I953" s="16"/>
      <c r="J953" s="16" t="b">
        <f>IFERROR(__xludf.DUMMYFUNCTION("""COMPUTED_VALUE"""),FALSE)</f>
        <v>0</v>
      </c>
      <c r="K953" s="16"/>
      <c r="L953" s="16" t="b">
        <f>IFERROR(__xludf.DUMMYFUNCTION("""COMPUTED_VALUE"""),FALSE)</f>
        <v>0</v>
      </c>
      <c r="M953" s="16" t="b">
        <f>IFERROR(__xludf.DUMMYFUNCTION("""COMPUTED_VALUE"""),FALSE)</f>
        <v>0</v>
      </c>
      <c r="N953" s="16"/>
    </row>
    <row r="954">
      <c r="A954" s="16"/>
      <c r="B954" s="16"/>
      <c r="C954" s="16"/>
      <c r="D954" s="16"/>
      <c r="E954" s="16"/>
      <c r="F954" s="16"/>
      <c r="G954" s="16"/>
      <c r="H954" s="16"/>
      <c r="I954" s="16"/>
      <c r="J954" s="16" t="b">
        <f>IFERROR(__xludf.DUMMYFUNCTION("""COMPUTED_VALUE"""),FALSE)</f>
        <v>0</v>
      </c>
      <c r="K954" s="16"/>
      <c r="L954" s="16" t="b">
        <f>IFERROR(__xludf.DUMMYFUNCTION("""COMPUTED_VALUE"""),FALSE)</f>
        <v>0</v>
      </c>
      <c r="M954" s="16" t="b">
        <f>IFERROR(__xludf.DUMMYFUNCTION("""COMPUTED_VALUE"""),FALSE)</f>
        <v>0</v>
      </c>
      <c r="N954" s="16"/>
    </row>
    <row r="955">
      <c r="A955" s="16"/>
      <c r="B955" s="16"/>
      <c r="C955" s="16"/>
      <c r="D955" s="16"/>
      <c r="E955" s="16"/>
      <c r="F955" s="16"/>
      <c r="G955" s="16"/>
      <c r="H955" s="16"/>
      <c r="I955" s="16"/>
      <c r="J955" s="16" t="b">
        <f>IFERROR(__xludf.DUMMYFUNCTION("""COMPUTED_VALUE"""),FALSE)</f>
        <v>0</v>
      </c>
      <c r="K955" s="16"/>
      <c r="L955" s="16" t="b">
        <f>IFERROR(__xludf.DUMMYFUNCTION("""COMPUTED_VALUE"""),FALSE)</f>
        <v>0</v>
      </c>
      <c r="M955" s="16" t="b">
        <f>IFERROR(__xludf.DUMMYFUNCTION("""COMPUTED_VALUE"""),FALSE)</f>
        <v>0</v>
      </c>
      <c r="N955" s="16"/>
    </row>
    <row r="956">
      <c r="A956" s="16"/>
      <c r="B956" s="16"/>
      <c r="C956" s="16"/>
      <c r="D956" s="16"/>
      <c r="E956" s="16"/>
      <c r="F956" s="16"/>
      <c r="G956" s="16"/>
      <c r="H956" s="16"/>
      <c r="I956" s="16"/>
      <c r="J956" s="16" t="b">
        <f>IFERROR(__xludf.DUMMYFUNCTION("""COMPUTED_VALUE"""),FALSE)</f>
        <v>0</v>
      </c>
      <c r="K956" s="16"/>
      <c r="L956" s="16" t="b">
        <f>IFERROR(__xludf.DUMMYFUNCTION("""COMPUTED_VALUE"""),FALSE)</f>
        <v>0</v>
      </c>
      <c r="M956" s="16" t="b">
        <f>IFERROR(__xludf.DUMMYFUNCTION("""COMPUTED_VALUE"""),FALSE)</f>
        <v>0</v>
      </c>
      <c r="N956" s="16"/>
    </row>
    <row r="957">
      <c r="A957" s="16"/>
      <c r="B957" s="16"/>
      <c r="C957" s="16"/>
      <c r="D957" s="16"/>
      <c r="E957" s="16"/>
      <c r="F957" s="16"/>
      <c r="G957" s="16"/>
      <c r="H957" s="16"/>
      <c r="I957" s="16"/>
      <c r="J957" s="16" t="b">
        <f>IFERROR(__xludf.DUMMYFUNCTION("""COMPUTED_VALUE"""),FALSE)</f>
        <v>0</v>
      </c>
      <c r="K957" s="16"/>
      <c r="L957" s="16" t="b">
        <f>IFERROR(__xludf.DUMMYFUNCTION("""COMPUTED_VALUE"""),FALSE)</f>
        <v>0</v>
      </c>
      <c r="M957" s="16" t="b">
        <f>IFERROR(__xludf.DUMMYFUNCTION("""COMPUTED_VALUE"""),FALSE)</f>
        <v>0</v>
      </c>
      <c r="N957" s="16"/>
    </row>
    <row r="958">
      <c r="A958" s="16"/>
      <c r="B958" s="16"/>
      <c r="C958" s="16"/>
      <c r="D958" s="16"/>
      <c r="E958" s="16"/>
      <c r="F958" s="16"/>
      <c r="G958" s="16"/>
      <c r="H958" s="16"/>
      <c r="I958" s="16"/>
      <c r="J958" s="16" t="b">
        <f>IFERROR(__xludf.DUMMYFUNCTION("""COMPUTED_VALUE"""),FALSE)</f>
        <v>0</v>
      </c>
      <c r="K958" s="16"/>
      <c r="L958" s="16" t="b">
        <f>IFERROR(__xludf.DUMMYFUNCTION("""COMPUTED_VALUE"""),FALSE)</f>
        <v>0</v>
      </c>
      <c r="M958" s="16" t="b">
        <f>IFERROR(__xludf.DUMMYFUNCTION("""COMPUTED_VALUE"""),FALSE)</f>
        <v>0</v>
      </c>
      <c r="N958" s="16"/>
    </row>
    <row r="959">
      <c r="A959" s="16"/>
      <c r="B959" s="16"/>
      <c r="C959" s="16"/>
      <c r="D959" s="16"/>
      <c r="E959" s="16"/>
      <c r="F959" s="16"/>
      <c r="G959" s="16"/>
      <c r="H959" s="16"/>
      <c r="I959" s="16"/>
      <c r="J959" s="16" t="b">
        <f>IFERROR(__xludf.DUMMYFUNCTION("""COMPUTED_VALUE"""),FALSE)</f>
        <v>0</v>
      </c>
      <c r="K959" s="16"/>
      <c r="L959" s="16" t="b">
        <f>IFERROR(__xludf.DUMMYFUNCTION("""COMPUTED_VALUE"""),FALSE)</f>
        <v>0</v>
      </c>
      <c r="M959" s="16" t="b">
        <f>IFERROR(__xludf.DUMMYFUNCTION("""COMPUTED_VALUE"""),FALSE)</f>
        <v>0</v>
      </c>
      <c r="N959" s="16"/>
    </row>
    <row r="960">
      <c r="A960" s="16"/>
      <c r="B960" s="16"/>
      <c r="C960" s="16"/>
      <c r="D960" s="16"/>
      <c r="E960" s="16"/>
      <c r="F960" s="16"/>
      <c r="G960" s="16"/>
      <c r="H960" s="16"/>
      <c r="I960" s="16"/>
      <c r="J960" s="16" t="b">
        <f>IFERROR(__xludf.DUMMYFUNCTION("""COMPUTED_VALUE"""),FALSE)</f>
        <v>0</v>
      </c>
      <c r="K960" s="16"/>
      <c r="L960" s="16" t="b">
        <f>IFERROR(__xludf.DUMMYFUNCTION("""COMPUTED_VALUE"""),FALSE)</f>
        <v>0</v>
      </c>
      <c r="M960" s="16" t="b">
        <f>IFERROR(__xludf.DUMMYFUNCTION("""COMPUTED_VALUE"""),FALSE)</f>
        <v>0</v>
      </c>
      <c r="N960" s="16"/>
    </row>
    <row r="961">
      <c r="A961" s="16"/>
      <c r="B961" s="16"/>
      <c r="C961" s="16"/>
      <c r="D961" s="16"/>
      <c r="E961" s="16"/>
      <c r="F961" s="16"/>
      <c r="G961" s="16"/>
      <c r="H961" s="16"/>
      <c r="I961" s="16"/>
      <c r="J961" s="16" t="b">
        <f>IFERROR(__xludf.DUMMYFUNCTION("""COMPUTED_VALUE"""),FALSE)</f>
        <v>0</v>
      </c>
      <c r="K961" s="16"/>
      <c r="L961" s="16" t="b">
        <f>IFERROR(__xludf.DUMMYFUNCTION("""COMPUTED_VALUE"""),FALSE)</f>
        <v>0</v>
      </c>
      <c r="M961" s="16" t="b">
        <f>IFERROR(__xludf.DUMMYFUNCTION("""COMPUTED_VALUE"""),FALSE)</f>
        <v>0</v>
      </c>
      <c r="N961" s="16"/>
    </row>
    <row r="962">
      <c r="A962" s="16"/>
      <c r="B962" s="16"/>
      <c r="C962" s="16"/>
      <c r="D962" s="16"/>
      <c r="E962" s="16"/>
      <c r="F962" s="16"/>
      <c r="G962" s="16"/>
      <c r="H962" s="16"/>
      <c r="I962" s="16"/>
      <c r="J962" s="16" t="b">
        <f>IFERROR(__xludf.DUMMYFUNCTION("""COMPUTED_VALUE"""),FALSE)</f>
        <v>0</v>
      </c>
      <c r="K962" s="16"/>
      <c r="L962" s="16" t="b">
        <f>IFERROR(__xludf.DUMMYFUNCTION("""COMPUTED_VALUE"""),FALSE)</f>
        <v>0</v>
      </c>
      <c r="M962" s="16" t="b">
        <f>IFERROR(__xludf.DUMMYFUNCTION("""COMPUTED_VALUE"""),FALSE)</f>
        <v>0</v>
      </c>
      <c r="N962" s="16"/>
    </row>
    <row r="963">
      <c r="A963" s="16"/>
      <c r="B963" s="16"/>
      <c r="C963" s="16"/>
      <c r="D963" s="16"/>
      <c r="E963" s="16"/>
      <c r="F963" s="16"/>
      <c r="G963" s="16"/>
      <c r="H963" s="16"/>
      <c r="I963" s="16"/>
      <c r="J963" s="16" t="b">
        <f>IFERROR(__xludf.DUMMYFUNCTION("""COMPUTED_VALUE"""),FALSE)</f>
        <v>0</v>
      </c>
      <c r="K963" s="16"/>
      <c r="L963" s="16" t="b">
        <f>IFERROR(__xludf.DUMMYFUNCTION("""COMPUTED_VALUE"""),FALSE)</f>
        <v>0</v>
      </c>
      <c r="M963" s="16" t="b">
        <f>IFERROR(__xludf.DUMMYFUNCTION("""COMPUTED_VALUE"""),FALSE)</f>
        <v>0</v>
      </c>
      <c r="N963" s="16"/>
    </row>
    <row r="964">
      <c r="A964" s="16"/>
      <c r="B964" s="16"/>
      <c r="C964" s="16"/>
      <c r="D964" s="16"/>
      <c r="E964" s="16"/>
      <c r="F964" s="16"/>
      <c r="G964" s="16"/>
      <c r="H964" s="16"/>
      <c r="I964" s="16"/>
      <c r="J964" s="16" t="b">
        <f>IFERROR(__xludf.DUMMYFUNCTION("""COMPUTED_VALUE"""),FALSE)</f>
        <v>0</v>
      </c>
      <c r="K964" s="16"/>
      <c r="L964" s="16" t="b">
        <f>IFERROR(__xludf.DUMMYFUNCTION("""COMPUTED_VALUE"""),FALSE)</f>
        <v>0</v>
      </c>
      <c r="M964" s="16" t="b">
        <f>IFERROR(__xludf.DUMMYFUNCTION("""COMPUTED_VALUE"""),FALSE)</f>
        <v>0</v>
      </c>
      <c r="N964" s="16"/>
    </row>
    <row r="965">
      <c r="A965" s="16"/>
      <c r="B965" s="16"/>
      <c r="C965" s="16"/>
      <c r="D965" s="16"/>
      <c r="E965" s="16"/>
      <c r="F965" s="16"/>
      <c r="G965" s="16"/>
      <c r="H965" s="16"/>
      <c r="I965" s="16"/>
      <c r="J965" s="16" t="b">
        <f>IFERROR(__xludf.DUMMYFUNCTION("""COMPUTED_VALUE"""),FALSE)</f>
        <v>0</v>
      </c>
      <c r="K965" s="16"/>
      <c r="L965" s="16" t="b">
        <f>IFERROR(__xludf.DUMMYFUNCTION("""COMPUTED_VALUE"""),FALSE)</f>
        <v>0</v>
      </c>
      <c r="M965" s="16" t="b">
        <f>IFERROR(__xludf.DUMMYFUNCTION("""COMPUTED_VALUE"""),FALSE)</f>
        <v>0</v>
      </c>
      <c r="N965" s="16"/>
    </row>
    <row r="966">
      <c r="A966" s="16"/>
      <c r="B966" s="16"/>
      <c r="C966" s="16"/>
      <c r="D966" s="16"/>
      <c r="E966" s="16"/>
      <c r="F966" s="16"/>
      <c r="G966" s="16"/>
      <c r="H966" s="16"/>
      <c r="I966" s="16"/>
      <c r="J966" s="16" t="b">
        <f>IFERROR(__xludf.DUMMYFUNCTION("""COMPUTED_VALUE"""),FALSE)</f>
        <v>0</v>
      </c>
      <c r="K966" s="16"/>
      <c r="L966" s="16" t="b">
        <f>IFERROR(__xludf.DUMMYFUNCTION("""COMPUTED_VALUE"""),FALSE)</f>
        <v>0</v>
      </c>
      <c r="M966" s="16" t="b">
        <f>IFERROR(__xludf.DUMMYFUNCTION("""COMPUTED_VALUE"""),FALSE)</f>
        <v>0</v>
      </c>
      <c r="N966" s="16"/>
    </row>
    <row r="967">
      <c r="A967" s="16"/>
      <c r="B967" s="16"/>
      <c r="C967" s="16"/>
      <c r="D967" s="16"/>
      <c r="E967" s="16"/>
      <c r="F967" s="16"/>
      <c r="G967" s="16"/>
      <c r="H967" s="16"/>
      <c r="I967" s="16"/>
      <c r="J967" s="16" t="b">
        <f>IFERROR(__xludf.DUMMYFUNCTION("""COMPUTED_VALUE"""),FALSE)</f>
        <v>0</v>
      </c>
      <c r="K967" s="16"/>
      <c r="L967" s="16" t="b">
        <f>IFERROR(__xludf.DUMMYFUNCTION("""COMPUTED_VALUE"""),FALSE)</f>
        <v>0</v>
      </c>
      <c r="M967" s="16" t="b">
        <f>IFERROR(__xludf.DUMMYFUNCTION("""COMPUTED_VALUE"""),FALSE)</f>
        <v>0</v>
      </c>
      <c r="N967" s="16"/>
    </row>
    <row r="968">
      <c r="A968" s="16"/>
      <c r="B968" s="16"/>
      <c r="C968" s="16"/>
      <c r="D968" s="16"/>
      <c r="E968" s="16"/>
      <c r="F968" s="16"/>
      <c r="G968" s="16"/>
      <c r="H968" s="16"/>
      <c r="I968" s="16"/>
      <c r="J968" s="16" t="b">
        <f>IFERROR(__xludf.DUMMYFUNCTION("""COMPUTED_VALUE"""),FALSE)</f>
        <v>0</v>
      </c>
      <c r="K968" s="16"/>
      <c r="L968" s="16" t="b">
        <f>IFERROR(__xludf.DUMMYFUNCTION("""COMPUTED_VALUE"""),FALSE)</f>
        <v>0</v>
      </c>
      <c r="M968" s="16" t="b">
        <f>IFERROR(__xludf.DUMMYFUNCTION("""COMPUTED_VALUE"""),FALSE)</f>
        <v>0</v>
      </c>
      <c r="N968" s="16"/>
    </row>
    <row r="969">
      <c r="A969" s="16"/>
      <c r="B969" s="16"/>
      <c r="C969" s="16"/>
      <c r="D969" s="16"/>
      <c r="E969" s="16"/>
      <c r="F969" s="16"/>
      <c r="G969" s="16"/>
      <c r="H969" s="16"/>
      <c r="I969" s="16"/>
      <c r="J969" s="16" t="b">
        <f>IFERROR(__xludf.DUMMYFUNCTION("""COMPUTED_VALUE"""),FALSE)</f>
        <v>0</v>
      </c>
      <c r="K969" s="16"/>
      <c r="L969" s="16" t="b">
        <f>IFERROR(__xludf.DUMMYFUNCTION("""COMPUTED_VALUE"""),FALSE)</f>
        <v>0</v>
      </c>
      <c r="M969" s="16" t="b">
        <f>IFERROR(__xludf.DUMMYFUNCTION("""COMPUTED_VALUE"""),FALSE)</f>
        <v>0</v>
      </c>
      <c r="N969" s="16"/>
    </row>
    <row r="970">
      <c r="A970" s="16"/>
      <c r="B970" s="16"/>
      <c r="C970" s="16"/>
      <c r="D970" s="16"/>
      <c r="E970" s="16"/>
      <c r="F970" s="16"/>
      <c r="G970" s="16"/>
      <c r="H970" s="16"/>
      <c r="I970" s="16"/>
      <c r="J970" s="16" t="b">
        <f>IFERROR(__xludf.DUMMYFUNCTION("""COMPUTED_VALUE"""),FALSE)</f>
        <v>0</v>
      </c>
      <c r="K970" s="16"/>
      <c r="L970" s="16" t="b">
        <f>IFERROR(__xludf.DUMMYFUNCTION("""COMPUTED_VALUE"""),FALSE)</f>
        <v>0</v>
      </c>
      <c r="M970" s="16" t="b">
        <f>IFERROR(__xludf.DUMMYFUNCTION("""COMPUTED_VALUE"""),FALSE)</f>
        <v>0</v>
      </c>
      <c r="N970" s="16"/>
    </row>
    <row r="971">
      <c r="A971" s="16"/>
      <c r="B971" s="16"/>
      <c r="C971" s="16"/>
      <c r="D971" s="16"/>
      <c r="E971" s="16"/>
      <c r="F971" s="16"/>
      <c r="G971" s="16"/>
      <c r="H971" s="16"/>
      <c r="I971" s="16"/>
      <c r="J971" s="16" t="b">
        <f>IFERROR(__xludf.DUMMYFUNCTION("""COMPUTED_VALUE"""),FALSE)</f>
        <v>0</v>
      </c>
      <c r="K971" s="16"/>
      <c r="L971" s="16" t="b">
        <f>IFERROR(__xludf.DUMMYFUNCTION("""COMPUTED_VALUE"""),FALSE)</f>
        <v>0</v>
      </c>
      <c r="M971" s="16" t="b">
        <f>IFERROR(__xludf.DUMMYFUNCTION("""COMPUTED_VALUE"""),FALSE)</f>
        <v>0</v>
      </c>
      <c r="N971" s="16"/>
    </row>
    <row r="972">
      <c r="A972" s="16"/>
      <c r="B972" s="16"/>
      <c r="C972" s="16"/>
      <c r="D972" s="16"/>
      <c r="E972" s="16"/>
      <c r="F972" s="16"/>
      <c r="G972" s="16"/>
      <c r="H972" s="16"/>
      <c r="I972" s="16"/>
      <c r="J972" s="16" t="b">
        <f>IFERROR(__xludf.DUMMYFUNCTION("""COMPUTED_VALUE"""),FALSE)</f>
        <v>0</v>
      </c>
      <c r="K972" s="16"/>
      <c r="L972" s="16" t="b">
        <f>IFERROR(__xludf.DUMMYFUNCTION("""COMPUTED_VALUE"""),FALSE)</f>
        <v>0</v>
      </c>
      <c r="M972" s="16" t="b">
        <f>IFERROR(__xludf.DUMMYFUNCTION("""COMPUTED_VALUE"""),FALSE)</f>
        <v>0</v>
      </c>
      <c r="N972" s="16"/>
    </row>
    <row r="973">
      <c r="A973" s="16"/>
      <c r="B973" s="16"/>
      <c r="C973" s="16"/>
      <c r="D973" s="16"/>
      <c r="E973" s="16"/>
      <c r="F973" s="16"/>
      <c r="G973" s="16"/>
      <c r="H973" s="16"/>
      <c r="I973" s="16"/>
      <c r="J973" s="16" t="b">
        <f>IFERROR(__xludf.DUMMYFUNCTION("""COMPUTED_VALUE"""),FALSE)</f>
        <v>0</v>
      </c>
      <c r="K973" s="16"/>
      <c r="L973" s="16" t="b">
        <f>IFERROR(__xludf.DUMMYFUNCTION("""COMPUTED_VALUE"""),FALSE)</f>
        <v>0</v>
      </c>
      <c r="M973" s="16" t="b">
        <f>IFERROR(__xludf.DUMMYFUNCTION("""COMPUTED_VALUE"""),FALSE)</f>
        <v>0</v>
      </c>
      <c r="N973" s="16"/>
    </row>
    <row r="974">
      <c r="A974" s="16"/>
      <c r="B974" s="16"/>
      <c r="C974" s="16"/>
      <c r="D974" s="16"/>
      <c r="E974" s="16"/>
      <c r="F974" s="16"/>
      <c r="G974" s="16"/>
      <c r="H974" s="16"/>
      <c r="I974" s="16"/>
      <c r="J974" s="16" t="b">
        <f>IFERROR(__xludf.DUMMYFUNCTION("""COMPUTED_VALUE"""),FALSE)</f>
        <v>0</v>
      </c>
      <c r="K974" s="16"/>
      <c r="L974" s="16" t="b">
        <f>IFERROR(__xludf.DUMMYFUNCTION("""COMPUTED_VALUE"""),FALSE)</f>
        <v>0</v>
      </c>
      <c r="M974" s="16" t="b">
        <f>IFERROR(__xludf.DUMMYFUNCTION("""COMPUTED_VALUE"""),FALSE)</f>
        <v>0</v>
      </c>
      <c r="N974" s="16"/>
    </row>
    <row r="975">
      <c r="A975" s="16"/>
      <c r="B975" s="16"/>
      <c r="C975" s="16"/>
      <c r="D975" s="16"/>
      <c r="E975" s="16"/>
      <c r="F975" s="16"/>
      <c r="G975" s="16"/>
      <c r="H975" s="16"/>
      <c r="I975" s="16"/>
      <c r="J975" s="16" t="b">
        <f>IFERROR(__xludf.DUMMYFUNCTION("""COMPUTED_VALUE"""),FALSE)</f>
        <v>0</v>
      </c>
      <c r="K975" s="16"/>
      <c r="L975" s="16" t="b">
        <f>IFERROR(__xludf.DUMMYFUNCTION("""COMPUTED_VALUE"""),FALSE)</f>
        <v>0</v>
      </c>
      <c r="M975" s="16" t="b">
        <f>IFERROR(__xludf.DUMMYFUNCTION("""COMPUTED_VALUE"""),FALSE)</f>
        <v>0</v>
      </c>
      <c r="N975" s="16"/>
    </row>
    <row r="976">
      <c r="A976" s="16"/>
      <c r="B976" s="16"/>
      <c r="C976" s="16"/>
      <c r="D976" s="16"/>
      <c r="E976" s="16"/>
      <c r="F976" s="16"/>
      <c r="G976" s="16"/>
      <c r="H976" s="16"/>
      <c r="I976" s="16"/>
      <c r="J976" s="16" t="b">
        <f>IFERROR(__xludf.DUMMYFUNCTION("""COMPUTED_VALUE"""),FALSE)</f>
        <v>0</v>
      </c>
      <c r="K976" s="16"/>
      <c r="L976" s="16" t="b">
        <f>IFERROR(__xludf.DUMMYFUNCTION("""COMPUTED_VALUE"""),FALSE)</f>
        <v>0</v>
      </c>
      <c r="M976" s="16" t="b">
        <f>IFERROR(__xludf.DUMMYFUNCTION("""COMPUTED_VALUE"""),FALSE)</f>
        <v>0</v>
      </c>
      <c r="N976" s="16"/>
    </row>
    <row r="977">
      <c r="A977" s="16"/>
      <c r="B977" s="16"/>
      <c r="C977" s="16"/>
      <c r="D977" s="16"/>
      <c r="E977" s="16"/>
      <c r="F977" s="16"/>
      <c r="G977" s="16"/>
      <c r="H977" s="16"/>
      <c r="I977" s="16"/>
      <c r="J977" s="16" t="b">
        <f>IFERROR(__xludf.DUMMYFUNCTION("""COMPUTED_VALUE"""),FALSE)</f>
        <v>0</v>
      </c>
      <c r="K977" s="16"/>
      <c r="L977" s="16" t="b">
        <f>IFERROR(__xludf.DUMMYFUNCTION("""COMPUTED_VALUE"""),FALSE)</f>
        <v>0</v>
      </c>
      <c r="M977" s="16" t="b">
        <f>IFERROR(__xludf.DUMMYFUNCTION("""COMPUTED_VALUE"""),FALSE)</f>
        <v>0</v>
      </c>
      <c r="N977" s="16"/>
    </row>
    <row r="978">
      <c r="A978" s="16"/>
      <c r="B978" s="16"/>
      <c r="C978" s="16"/>
      <c r="D978" s="16"/>
      <c r="E978" s="16"/>
      <c r="F978" s="16"/>
      <c r="G978" s="16"/>
      <c r="H978" s="16"/>
      <c r="I978" s="16"/>
      <c r="J978" s="16" t="b">
        <f>IFERROR(__xludf.DUMMYFUNCTION("""COMPUTED_VALUE"""),FALSE)</f>
        <v>0</v>
      </c>
      <c r="K978" s="16"/>
      <c r="L978" s="16" t="b">
        <f>IFERROR(__xludf.DUMMYFUNCTION("""COMPUTED_VALUE"""),FALSE)</f>
        <v>0</v>
      </c>
      <c r="M978" s="16" t="b">
        <f>IFERROR(__xludf.DUMMYFUNCTION("""COMPUTED_VALUE"""),FALSE)</f>
        <v>0</v>
      </c>
      <c r="N978" s="16"/>
    </row>
    <row r="979">
      <c r="A979" s="16"/>
      <c r="B979" s="16"/>
      <c r="C979" s="16"/>
      <c r="D979" s="16"/>
      <c r="E979" s="16"/>
      <c r="F979" s="16"/>
      <c r="G979" s="16"/>
      <c r="H979" s="16"/>
      <c r="I979" s="16"/>
      <c r="J979" s="16" t="b">
        <f>IFERROR(__xludf.DUMMYFUNCTION("""COMPUTED_VALUE"""),FALSE)</f>
        <v>0</v>
      </c>
      <c r="K979" s="16"/>
      <c r="L979" s="16" t="b">
        <f>IFERROR(__xludf.DUMMYFUNCTION("""COMPUTED_VALUE"""),FALSE)</f>
        <v>0</v>
      </c>
      <c r="M979" s="16" t="b">
        <f>IFERROR(__xludf.DUMMYFUNCTION("""COMPUTED_VALUE"""),FALSE)</f>
        <v>0</v>
      </c>
      <c r="N979" s="16"/>
    </row>
    <row r="980">
      <c r="A980" s="16"/>
      <c r="B980" s="16"/>
      <c r="C980" s="16"/>
      <c r="D980" s="16"/>
      <c r="E980" s="16"/>
      <c r="F980" s="16"/>
      <c r="G980" s="16"/>
      <c r="H980" s="16"/>
      <c r="I980" s="16"/>
      <c r="J980" s="16" t="b">
        <f>IFERROR(__xludf.DUMMYFUNCTION("""COMPUTED_VALUE"""),FALSE)</f>
        <v>0</v>
      </c>
      <c r="K980" s="16"/>
      <c r="L980" s="16" t="b">
        <f>IFERROR(__xludf.DUMMYFUNCTION("""COMPUTED_VALUE"""),FALSE)</f>
        <v>0</v>
      </c>
      <c r="M980" s="16" t="b">
        <f>IFERROR(__xludf.DUMMYFUNCTION("""COMPUTED_VALUE"""),FALSE)</f>
        <v>0</v>
      </c>
      <c r="N980" s="16"/>
    </row>
    <row r="981">
      <c r="A981" s="16"/>
      <c r="B981" s="16"/>
      <c r="C981" s="16"/>
      <c r="D981" s="16"/>
      <c r="E981" s="16"/>
      <c r="F981" s="16"/>
      <c r="G981" s="16"/>
      <c r="H981" s="16"/>
      <c r="I981" s="16"/>
      <c r="J981" s="16" t="b">
        <f>IFERROR(__xludf.DUMMYFUNCTION("""COMPUTED_VALUE"""),FALSE)</f>
        <v>0</v>
      </c>
      <c r="K981" s="16"/>
      <c r="L981" s="16" t="b">
        <f>IFERROR(__xludf.DUMMYFUNCTION("""COMPUTED_VALUE"""),FALSE)</f>
        <v>0</v>
      </c>
      <c r="M981" s="16" t="b">
        <f>IFERROR(__xludf.DUMMYFUNCTION("""COMPUTED_VALUE"""),FALSE)</f>
        <v>0</v>
      </c>
      <c r="N981" s="16"/>
    </row>
    <row r="982">
      <c r="A982" s="16"/>
      <c r="B982" s="16"/>
      <c r="C982" s="16"/>
      <c r="D982" s="16"/>
      <c r="E982" s="16"/>
      <c r="F982" s="16"/>
      <c r="G982" s="16"/>
      <c r="H982" s="16"/>
      <c r="I982" s="16"/>
      <c r="J982" s="16" t="b">
        <f>IFERROR(__xludf.DUMMYFUNCTION("""COMPUTED_VALUE"""),FALSE)</f>
        <v>0</v>
      </c>
      <c r="K982" s="16"/>
      <c r="L982" s="16" t="b">
        <f>IFERROR(__xludf.DUMMYFUNCTION("""COMPUTED_VALUE"""),FALSE)</f>
        <v>0</v>
      </c>
      <c r="M982" s="16" t="b">
        <f>IFERROR(__xludf.DUMMYFUNCTION("""COMPUTED_VALUE"""),FALSE)</f>
        <v>0</v>
      </c>
      <c r="N982" s="16"/>
    </row>
    <row r="983">
      <c r="A983" s="16"/>
      <c r="B983" s="16"/>
      <c r="C983" s="16"/>
      <c r="D983" s="16"/>
      <c r="E983" s="16"/>
      <c r="F983" s="16"/>
      <c r="G983" s="16"/>
      <c r="H983" s="16"/>
      <c r="I983" s="16"/>
      <c r="J983" s="16" t="b">
        <f>IFERROR(__xludf.DUMMYFUNCTION("""COMPUTED_VALUE"""),FALSE)</f>
        <v>0</v>
      </c>
      <c r="K983" s="16"/>
      <c r="L983" s="16" t="b">
        <f>IFERROR(__xludf.DUMMYFUNCTION("""COMPUTED_VALUE"""),FALSE)</f>
        <v>0</v>
      </c>
      <c r="M983" s="16" t="b">
        <f>IFERROR(__xludf.DUMMYFUNCTION("""COMPUTED_VALUE"""),FALSE)</f>
        <v>0</v>
      </c>
      <c r="N983" s="16"/>
    </row>
    <row r="984">
      <c r="A984" s="16"/>
      <c r="B984" s="16"/>
      <c r="C984" s="16"/>
      <c r="D984" s="16"/>
      <c r="E984" s="16"/>
      <c r="F984" s="16"/>
      <c r="G984" s="16"/>
      <c r="H984" s="16"/>
      <c r="I984" s="16"/>
      <c r="J984" s="16" t="b">
        <f>IFERROR(__xludf.DUMMYFUNCTION("""COMPUTED_VALUE"""),FALSE)</f>
        <v>0</v>
      </c>
      <c r="K984" s="16"/>
      <c r="L984" s="16" t="b">
        <f>IFERROR(__xludf.DUMMYFUNCTION("""COMPUTED_VALUE"""),FALSE)</f>
        <v>0</v>
      </c>
      <c r="M984" s="16" t="b">
        <f>IFERROR(__xludf.DUMMYFUNCTION("""COMPUTED_VALUE"""),FALSE)</f>
        <v>0</v>
      </c>
      <c r="N984" s="16"/>
    </row>
    <row r="985">
      <c r="A985" s="16"/>
      <c r="B985" s="16"/>
      <c r="C985" s="16"/>
      <c r="D985" s="16"/>
      <c r="E985" s="16"/>
      <c r="F985" s="16"/>
      <c r="G985" s="16"/>
      <c r="H985" s="16"/>
      <c r="I985" s="16"/>
      <c r="J985" s="16" t="b">
        <f>IFERROR(__xludf.DUMMYFUNCTION("""COMPUTED_VALUE"""),FALSE)</f>
        <v>0</v>
      </c>
      <c r="K985" s="16"/>
      <c r="L985" s="16" t="b">
        <f>IFERROR(__xludf.DUMMYFUNCTION("""COMPUTED_VALUE"""),FALSE)</f>
        <v>0</v>
      </c>
      <c r="M985" s="16" t="b">
        <f>IFERROR(__xludf.DUMMYFUNCTION("""COMPUTED_VALUE"""),FALSE)</f>
        <v>0</v>
      </c>
      <c r="N985" s="16"/>
    </row>
    <row r="986">
      <c r="A986" s="16"/>
      <c r="B986" s="16"/>
      <c r="C986" s="16"/>
      <c r="D986" s="16"/>
      <c r="E986" s="16"/>
      <c r="F986" s="16"/>
      <c r="G986" s="16"/>
      <c r="H986" s="16"/>
      <c r="I986" s="16"/>
      <c r="J986" s="16" t="b">
        <f>IFERROR(__xludf.DUMMYFUNCTION("""COMPUTED_VALUE"""),FALSE)</f>
        <v>0</v>
      </c>
      <c r="K986" s="16"/>
      <c r="L986" s="16" t="b">
        <f>IFERROR(__xludf.DUMMYFUNCTION("""COMPUTED_VALUE"""),FALSE)</f>
        <v>0</v>
      </c>
      <c r="M986" s="16" t="b">
        <f>IFERROR(__xludf.DUMMYFUNCTION("""COMPUTED_VALUE"""),FALSE)</f>
        <v>0</v>
      </c>
      <c r="N986" s="16"/>
    </row>
    <row r="987">
      <c r="A987" s="16"/>
      <c r="B987" s="16"/>
      <c r="C987" s="16"/>
      <c r="D987" s="16"/>
      <c r="E987" s="16"/>
      <c r="F987" s="16"/>
      <c r="G987" s="16"/>
      <c r="H987" s="16"/>
      <c r="I987" s="16"/>
      <c r="J987" s="16" t="b">
        <f>IFERROR(__xludf.DUMMYFUNCTION("""COMPUTED_VALUE"""),FALSE)</f>
        <v>0</v>
      </c>
      <c r="K987" s="16"/>
      <c r="L987" s="16" t="b">
        <f>IFERROR(__xludf.DUMMYFUNCTION("""COMPUTED_VALUE"""),FALSE)</f>
        <v>0</v>
      </c>
      <c r="M987" s="16" t="b">
        <f>IFERROR(__xludf.DUMMYFUNCTION("""COMPUTED_VALUE"""),FALSE)</f>
        <v>0</v>
      </c>
      <c r="N987" s="16"/>
    </row>
    <row r="988">
      <c r="A988" s="16"/>
      <c r="B988" s="16"/>
      <c r="C988" s="16"/>
      <c r="D988" s="16"/>
      <c r="E988" s="16"/>
      <c r="F988" s="16"/>
      <c r="G988" s="16"/>
      <c r="H988" s="16"/>
      <c r="I988" s="16"/>
      <c r="J988" s="16" t="b">
        <f>IFERROR(__xludf.DUMMYFUNCTION("""COMPUTED_VALUE"""),FALSE)</f>
        <v>0</v>
      </c>
      <c r="K988" s="16"/>
      <c r="L988" s="16" t="b">
        <f>IFERROR(__xludf.DUMMYFUNCTION("""COMPUTED_VALUE"""),FALSE)</f>
        <v>0</v>
      </c>
      <c r="M988" s="16" t="b">
        <f>IFERROR(__xludf.DUMMYFUNCTION("""COMPUTED_VALUE"""),FALSE)</f>
        <v>0</v>
      </c>
      <c r="N988" s="16"/>
    </row>
    <row r="989">
      <c r="A989" s="16"/>
      <c r="B989" s="16"/>
      <c r="C989" s="16"/>
      <c r="D989" s="16"/>
      <c r="E989" s="16"/>
      <c r="F989" s="16"/>
      <c r="G989" s="16"/>
      <c r="H989" s="16"/>
      <c r="I989" s="16"/>
      <c r="J989" s="16" t="b">
        <f>IFERROR(__xludf.DUMMYFUNCTION("""COMPUTED_VALUE"""),FALSE)</f>
        <v>0</v>
      </c>
      <c r="K989" s="16"/>
      <c r="L989" s="16" t="b">
        <f>IFERROR(__xludf.DUMMYFUNCTION("""COMPUTED_VALUE"""),FALSE)</f>
        <v>0</v>
      </c>
      <c r="M989" s="16" t="b">
        <f>IFERROR(__xludf.DUMMYFUNCTION("""COMPUTED_VALUE"""),FALSE)</f>
        <v>0</v>
      </c>
      <c r="N989" s="16"/>
    </row>
    <row r="990">
      <c r="A990" s="16"/>
      <c r="B990" s="16"/>
      <c r="C990" s="16"/>
      <c r="D990" s="16"/>
      <c r="E990" s="16"/>
      <c r="F990" s="16"/>
      <c r="G990" s="16"/>
      <c r="H990" s="16"/>
      <c r="I990" s="16"/>
      <c r="J990" s="16" t="b">
        <f>IFERROR(__xludf.DUMMYFUNCTION("""COMPUTED_VALUE"""),FALSE)</f>
        <v>0</v>
      </c>
      <c r="K990" s="16"/>
      <c r="L990" s="16" t="b">
        <f>IFERROR(__xludf.DUMMYFUNCTION("""COMPUTED_VALUE"""),FALSE)</f>
        <v>0</v>
      </c>
      <c r="M990" s="16" t="b">
        <f>IFERROR(__xludf.DUMMYFUNCTION("""COMPUTED_VALUE"""),FALSE)</f>
        <v>0</v>
      </c>
      <c r="N990" s="16"/>
    </row>
    <row r="991">
      <c r="A991" s="16"/>
      <c r="B991" s="16"/>
      <c r="C991" s="16"/>
      <c r="D991" s="16"/>
      <c r="E991" s="16"/>
      <c r="F991" s="16"/>
      <c r="G991" s="16"/>
      <c r="H991" s="16"/>
      <c r="I991" s="16"/>
      <c r="J991" s="16" t="b">
        <f>IFERROR(__xludf.DUMMYFUNCTION("""COMPUTED_VALUE"""),FALSE)</f>
        <v>0</v>
      </c>
      <c r="K991" s="16"/>
      <c r="L991" s="16" t="b">
        <f>IFERROR(__xludf.DUMMYFUNCTION("""COMPUTED_VALUE"""),FALSE)</f>
        <v>0</v>
      </c>
      <c r="M991" s="16" t="b">
        <f>IFERROR(__xludf.DUMMYFUNCTION("""COMPUTED_VALUE"""),FALSE)</f>
        <v>0</v>
      </c>
      <c r="N991" s="16"/>
    </row>
    <row r="992">
      <c r="A992" s="16"/>
      <c r="B992" s="16"/>
      <c r="C992" s="16"/>
      <c r="D992" s="16"/>
      <c r="E992" s="16"/>
      <c r="F992" s="16"/>
      <c r="G992" s="16"/>
      <c r="H992" s="16"/>
      <c r="I992" s="16"/>
      <c r="J992" s="16" t="b">
        <f>IFERROR(__xludf.DUMMYFUNCTION("""COMPUTED_VALUE"""),FALSE)</f>
        <v>0</v>
      </c>
      <c r="K992" s="16"/>
      <c r="L992" s="16" t="b">
        <f>IFERROR(__xludf.DUMMYFUNCTION("""COMPUTED_VALUE"""),FALSE)</f>
        <v>0</v>
      </c>
      <c r="M992" s="16" t="b">
        <f>IFERROR(__xludf.DUMMYFUNCTION("""COMPUTED_VALUE"""),FALSE)</f>
        <v>0</v>
      </c>
      <c r="N992" s="16"/>
    </row>
    <row r="993">
      <c r="A993" s="16"/>
      <c r="B993" s="16"/>
      <c r="C993" s="16"/>
      <c r="D993" s="16"/>
      <c r="E993" s="16"/>
      <c r="F993" s="16"/>
      <c r="G993" s="16"/>
      <c r="H993" s="16"/>
      <c r="I993" s="16"/>
      <c r="J993" s="16" t="b">
        <f>IFERROR(__xludf.DUMMYFUNCTION("""COMPUTED_VALUE"""),FALSE)</f>
        <v>0</v>
      </c>
      <c r="K993" s="16"/>
      <c r="L993" s="16" t="b">
        <f>IFERROR(__xludf.DUMMYFUNCTION("""COMPUTED_VALUE"""),FALSE)</f>
        <v>0</v>
      </c>
      <c r="M993" s="16" t="b">
        <f>IFERROR(__xludf.DUMMYFUNCTION("""COMPUTED_VALUE"""),FALSE)</f>
        <v>0</v>
      </c>
      <c r="N993" s="16"/>
    </row>
    <row r="994">
      <c r="A994" s="16"/>
      <c r="B994" s="16"/>
      <c r="C994" s="16"/>
      <c r="D994" s="16"/>
      <c r="E994" s="16"/>
      <c r="F994" s="16"/>
      <c r="G994" s="16"/>
      <c r="H994" s="16"/>
      <c r="I994" s="16"/>
      <c r="J994" s="16" t="b">
        <f>IFERROR(__xludf.DUMMYFUNCTION("""COMPUTED_VALUE"""),FALSE)</f>
        <v>0</v>
      </c>
      <c r="K994" s="16"/>
      <c r="L994" s="16" t="b">
        <f>IFERROR(__xludf.DUMMYFUNCTION("""COMPUTED_VALUE"""),FALSE)</f>
        <v>0</v>
      </c>
      <c r="M994" s="16" t="b">
        <f>IFERROR(__xludf.DUMMYFUNCTION("""COMPUTED_VALUE"""),FALSE)</f>
        <v>0</v>
      </c>
      <c r="N994" s="16"/>
    </row>
    <row r="995">
      <c r="A995" s="16"/>
      <c r="B995" s="16"/>
      <c r="C995" s="16"/>
      <c r="D995" s="16"/>
      <c r="E995" s="16"/>
      <c r="F995" s="16"/>
      <c r="G995" s="16"/>
      <c r="H995" s="16"/>
      <c r="I995" s="16"/>
      <c r="J995" s="16" t="b">
        <f>IFERROR(__xludf.DUMMYFUNCTION("""COMPUTED_VALUE"""),FALSE)</f>
        <v>0</v>
      </c>
      <c r="K995" s="16"/>
      <c r="L995" s="16" t="b">
        <f>IFERROR(__xludf.DUMMYFUNCTION("""COMPUTED_VALUE"""),FALSE)</f>
        <v>0</v>
      </c>
      <c r="M995" s="16" t="b">
        <f>IFERROR(__xludf.DUMMYFUNCTION("""COMPUTED_VALUE"""),FALSE)</f>
        <v>0</v>
      </c>
      <c r="N995" s="16"/>
    </row>
    <row r="996">
      <c r="A996" s="16"/>
      <c r="B996" s="16"/>
      <c r="C996" s="16"/>
      <c r="D996" s="16"/>
      <c r="E996" s="16"/>
      <c r="F996" s="16"/>
      <c r="G996" s="16"/>
      <c r="H996" s="16"/>
      <c r="I996" s="16"/>
      <c r="J996" s="16" t="b">
        <f>IFERROR(__xludf.DUMMYFUNCTION("""COMPUTED_VALUE"""),FALSE)</f>
        <v>0</v>
      </c>
      <c r="K996" s="16"/>
      <c r="L996" s="16" t="b">
        <f>IFERROR(__xludf.DUMMYFUNCTION("""COMPUTED_VALUE"""),FALSE)</f>
        <v>0</v>
      </c>
      <c r="M996" s="16" t="b">
        <f>IFERROR(__xludf.DUMMYFUNCTION("""COMPUTED_VALUE"""),FALSE)</f>
        <v>0</v>
      </c>
      <c r="N996" s="16"/>
    </row>
    <row r="997">
      <c r="A997" s="16"/>
      <c r="B997" s="16"/>
      <c r="C997" s="16"/>
      <c r="D997" s="16"/>
      <c r="E997" s="16"/>
      <c r="F997" s="16"/>
      <c r="G997" s="16"/>
      <c r="H997" s="16"/>
      <c r="I997" s="16"/>
      <c r="J997" s="16" t="b">
        <f>IFERROR(__xludf.DUMMYFUNCTION("""COMPUTED_VALUE"""),FALSE)</f>
        <v>0</v>
      </c>
      <c r="K997" s="16"/>
      <c r="L997" s="16" t="b">
        <f>IFERROR(__xludf.DUMMYFUNCTION("""COMPUTED_VALUE"""),FALSE)</f>
        <v>0</v>
      </c>
      <c r="M997" s="16" t="b">
        <f>IFERROR(__xludf.DUMMYFUNCTION("""COMPUTED_VALUE"""),FALSE)</f>
        <v>0</v>
      </c>
      <c r="N997" s="16"/>
    </row>
    <row r="998">
      <c r="A998" s="16"/>
      <c r="B998" s="16"/>
      <c r="C998" s="16"/>
      <c r="D998" s="16"/>
      <c r="E998" s="16"/>
      <c r="F998" s="16"/>
      <c r="G998" s="16"/>
      <c r="H998" s="16"/>
      <c r="I998" s="16"/>
      <c r="J998" s="16" t="b">
        <f>IFERROR(__xludf.DUMMYFUNCTION("""COMPUTED_VALUE"""),FALSE)</f>
        <v>0</v>
      </c>
      <c r="K998" s="16"/>
      <c r="L998" s="16" t="b">
        <f>IFERROR(__xludf.DUMMYFUNCTION("""COMPUTED_VALUE"""),FALSE)</f>
        <v>0</v>
      </c>
      <c r="M998" s="16" t="b">
        <f>IFERROR(__xludf.DUMMYFUNCTION("""COMPUTED_VALUE"""),FALSE)</f>
        <v>0</v>
      </c>
      <c r="N998" s="16"/>
    </row>
    <row r="999">
      <c r="A999" s="16"/>
      <c r="B999" s="16"/>
      <c r="C999" s="16"/>
      <c r="D999" s="16"/>
      <c r="E999" s="16"/>
      <c r="F999" s="16"/>
      <c r="G999" s="16"/>
      <c r="H999" s="16"/>
      <c r="I999" s="16"/>
      <c r="J999" s="16" t="b">
        <f>IFERROR(__xludf.DUMMYFUNCTION("""COMPUTED_VALUE"""),FALSE)</f>
        <v>0</v>
      </c>
      <c r="K999" s="16"/>
      <c r="L999" s="16" t="b">
        <f>IFERROR(__xludf.DUMMYFUNCTION("""COMPUTED_VALUE"""),FALSE)</f>
        <v>0</v>
      </c>
      <c r="M999" s="16" t="b">
        <f>IFERROR(__xludf.DUMMYFUNCTION("""COMPUTED_VALUE"""),FALSE)</f>
        <v>0</v>
      </c>
      <c r="N999" s="16"/>
    </row>
    <row r="1000">
      <c r="A1000" s="16"/>
      <c r="B1000" s="16"/>
      <c r="C1000" s="16"/>
      <c r="D1000" s="16"/>
      <c r="E1000" s="16"/>
      <c r="F1000" s="16"/>
      <c r="G1000" s="16"/>
      <c r="H1000" s="16"/>
      <c r="I1000" s="16"/>
      <c r="J1000" s="16" t="b">
        <f>IFERROR(__xludf.DUMMYFUNCTION("""COMPUTED_VALUE"""),FALSE)</f>
        <v>0</v>
      </c>
      <c r="K1000" s="16"/>
      <c r="L1000" s="16" t="b">
        <f>IFERROR(__xludf.DUMMYFUNCTION("""COMPUTED_VALUE"""),FALSE)</f>
        <v>0</v>
      </c>
      <c r="M1000" s="16" t="b">
        <f>IFERROR(__xludf.DUMMYFUNCTION("""COMPUTED_VALUE"""),FALSE)</f>
        <v>0</v>
      </c>
      <c r="N1000" s="16"/>
    </row>
    <row r="1001">
      <c r="A1001" s="16"/>
      <c r="B1001" s="16"/>
      <c r="C1001" s="16"/>
      <c r="D1001" s="16"/>
      <c r="E1001" s="16"/>
      <c r="F1001" s="16"/>
      <c r="G1001" s="16"/>
      <c r="H1001" s="16"/>
      <c r="I1001" s="16"/>
      <c r="J1001" s="16" t="b">
        <f>IFERROR(__xludf.DUMMYFUNCTION("""COMPUTED_VALUE"""),FALSE)</f>
        <v>0</v>
      </c>
      <c r="K1001" s="16"/>
      <c r="L1001" s="16" t="b">
        <f>IFERROR(__xludf.DUMMYFUNCTION("""COMPUTED_VALUE"""),FALSE)</f>
        <v>0</v>
      </c>
      <c r="M1001" s="16" t="b">
        <f>IFERROR(__xludf.DUMMYFUNCTION("""COMPUTED_VALUE"""),FALSE)</f>
        <v>0</v>
      </c>
      <c r="N1001" s="16"/>
    </row>
    <row r="1002">
      <c r="A1002" s="16"/>
      <c r="B1002" s="16"/>
      <c r="C1002" s="16"/>
      <c r="D1002" s="16"/>
      <c r="E1002" s="16"/>
      <c r="F1002" s="16"/>
      <c r="G1002" s="16"/>
      <c r="H1002" s="16"/>
      <c r="I1002" s="16"/>
      <c r="J1002" s="16" t="b">
        <f>IFERROR(__xludf.DUMMYFUNCTION("""COMPUTED_VALUE"""),FALSE)</f>
        <v>0</v>
      </c>
      <c r="K1002" s="16"/>
      <c r="L1002" s="16" t="b">
        <f>IFERROR(__xludf.DUMMYFUNCTION("""COMPUTED_VALUE"""),FALSE)</f>
        <v>0</v>
      </c>
      <c r="M1002" s="16" t="b">
        <f>IFERROR(__xludf.DUMMYFUNCTION("""COMPUTED_VALUE"""),FALSE)</f>
        <v>0</v>
      </c>
      <c r="N1002" s="16"/>
    </row>
    <row r="1003">
      <c r="A1003" s="16"/>
      <c r="B1003" s="16"/>
      <c r="C1003" s="16"/>
      <c r="D1003" s="16"/>
      <c r="E1003" s="16"/>
      <c r="F1003" s="16"/>
      <c r="G1003" s="16"/>
      <c r="H1003" s="16"/>
      <c r="I1003" s="16"/>
      <c r="J1003" s="16" t="b">
        <f>IFERROR(__xludf.DUMMYFUNCTION("""COMPUTED_VALUE"""),FALSE)</f>
        <v>0</v>
      </c>
      <c r="K1003" s="16"/>
      <c r="L1003" s="16" t="b">
        <f>IFERROR(__xludf.DUMMYFUNCTION("""COMPUTED_VALUE"""),FALSE)</f>
        <v>0</v>
      </c>
      <c r="M1003" s="16" t="b">
        <f>IFERROR(__xludf.DUMMYFUNCTION("""COMPUTED_VALUE"""),FALSE)</f>
        <v>0</v>
      </c>
      <c r="N1003" s="16"/>
    </row>
    <row r="1004">
      <c r="A1004" s="16"/>
      <c r="B1004" s="16"/>
      <c r="C1004" s="16"/>
      <c r="D1004" s="16"/>
      <c r="E1004" s="16"/>
      <c r="F1004" s="16"/>
      <c r="G1004" s="16"/>
      <c r="H1004" s="16"/>
      <c r="I1004" s="16"/>
      <c r="J1004" s="16" t="b">
        <f>IFERROR(__xludf.DUMMYFUNCTION("""COMPUTED_VALUE"""),FALSE)</f>
        <v>0</v>
      </c>
      <c r="K1004" s="16"/>
      <c r="L1004" s="16" t="b">
        <f>IFERROR(__xludf.DUMMYFUNCTION("""COMPUTED_VALUE"""),FALSE)</f>
        <v>0</v>
      </c>
      <c r="M1004" s="16" t="b">
        <f>IFERROR(__xludf.DUMMYFUNCTION("""COMPUTED_VALUE"""),FALSE)</f>
        <v>0</v>
      </c>
      <c r="N1004" s="16"/>
    </row>
    <row r="1005">
      <c r="A1005" s="16"/>
      <c r="B1005" s="16"/>
      <c r="C1005" s="16"/>
      <c r="D1005" s="16"/>
      <c r="E1005" s="16"/>
      <c r="F1005" s="16"/>
      <c r="G1005" s="16"/>
      <c r="H1005" s="16"/>
      <c r="I1005" s="16"/>
      <c r="J1005" s="16" t="b">
        <f>IFERROR(__xludf.DUMMYFUNCTION("""COMPUTED_VALUE"""),FALSE)</f>
        <v>0</v>
      </c>
      <c r="K1005" s="16"/>
      <c r="L1005" s="16" t="b">
        <f>IFERROR(__xludf.DUMMYFUNCTION("""COMPUTED_VALUE"""),FALSE)</f>
        <v>0</v>
      </c>
      <c r="M1005" s="16" t="b">
        <f>IFERROR(__xludf.DUMMYFUNCTION("""COMPUTED_VALUE"""),FALSE)</f>
        <v>0</v>
      </c>
      <c r="N1005" s="16"/>
    </row>
    <row r="1006">
      <c r="A1006" s="16"/>
      <c r="B1006" s="16"/>
      <c r="C1006" s="16"/>
      <c r="D1006" s="16"/>
      <c r="E1006" s="16"/>
      <c r="F1006" s="16"/>
      <c r="G1006" s="16"/>
      <c r="H1006" s="16"/>
      <c r="I1006" s="16"/>
      <c r="J1006" s="16" t="b">
        <f>IFERROR(__xludf.DUMMYFUNCTION("""COMPUTED_VALUE"""),FALSE)</f>
        <v>0</v>
      </c>
      <c r="K1006" s="16"/>
      <c r="L1006" s="16" t="b">
        <f>IFERROR(__xludf.DUMMYFUNCTION("""COMPUTED_VALUE"""),FALSE)</f>
        <v>0</v>
      </c>
      <c r="M1006" s="16" t="b">
        <f>IFERROR(__xludf.DUMMYFUNCTION("""COMPUTED_VALUE"""),FALSE)</f>
        <v>0</v>
      </c>
      <c r="N1006" s="16"/>
    </row>
    <row r="1007">
      <c r="A1007" s="16"/>
      <c r="B1007" s="16"/>
      <c r="C1007" s="16"/>
      <c r="D1007" s="16"/>
      <c r="E1007" s="16"/>
      <c r="F1007" s="16"/>
      <c r="G1007" s="16"/>
      <c r="H1007" s="16"/>
      <c r="I1007" s="16"/>
      <c r="J1007" s="16" t="b">
        <f>IFERROR(__xludf.DUMMYFUNCTION("""COMPUTED_VALUE"""),FALSE)</f>
        <v>0</v>
      </c>
      <c r="K1007" s="16"/>
      <c r="L1007" s="16" t="b">
        <f>IFERROR(__xludf.DUMMYFUNCTION("""COMPUTED_VALUE"""),FALSE)</f>
        <v>0</v>
      </c>
      <c r="M1007" s="16" t="b">
        <f>IFERROR(__xludf.DUMMYFUNCTION("""COMPUTED_VALUE"""),FALSE)</f>
        <v>0</v>
      </c>
      <c r="N1007" s="16"/>
    </row>
    <row r="1008">
      <c r="A1008" s="16"/>
      <c r="B1008" s="16"/>
      <c r="C1008" s="16"/>
      <c r="D1008" s="16"/>
      <c r="E1008" s="16"/>
      <c r="F1008" s="16"/>
      <c r="G1008" s="16"/>
      <c r="H1008" s="16"/>
      <c r="I1008" s="16"/>
      <c r="J1008" s="16" t="b">
        <f>IFERROR(__xludf.DUMMYFUNCTION("""COMPUTED_VALUE"""),FALSE)</f>
        <v>0</v>
      </c>
      <c r="K1008" s="16"/>
      <c r="L1008" s="16" t="b">
        <f>IFERROR(__xludf.DUMMYFUNCTION("""COMPUTED_VALUE"""),FALSE)</f>
        <v>0</v>
      </c>
      <c r="M1008" s="16" t="b">
        <f>IFERROR(__xludf.DUMMYFUNCTION("""COMPUTED_VALUE"""),FALSE)</f>
        <v>0</v>
      </c>
      <c r="N1008" s="16"/>
    </row>
    <row r="1009">
      <c r="A1009" s="16"/>
      <c r="B1009" s="16"/>
      <c r="C1009" s="16"/>
      <c r="D1009" s="16"/>
      <c r="E1009" s="16"/>
      <c r="F1009" s="16"/>
      <c r="G1009" s="16"/>
      <c r="H1009" s="16"/>
      <c r="I1009" s="16"/>
      <c r="J1009" s="16" t="b">
        <f>IFERROR(__xludf.DUMMYFUNCTION("""COMPUTED_VALUE"""),FALSE)</f>
        <v>0</v>
      </c>
      <c r="K1009" s="16"/>
      <c r="L1009" s="16" t="b">
        <f>IFERROR(__xludf.DUMMYFUNCTION("""COMPUTED_VALUE"""),FALSE)</f>
        <v>0</v>
      </c>
      <c r="M1009" s="16" t="b">
        <f>IFERROR(__xludf.DUMMYFUNCTION("""COMPUTED_VALUE"""),FALSE)</f>
        <v>0</v>
      </c>
      <c r="N1009" s="16"/>
    </row>
    <row r="1010">
      <c r="A1010" s="16"/>
      <c r="B1010" s="16"/>
      <c r="C1010" s="16"/>
      <c r="D1010" s="16"/>
      <c r="E1010" s="16"/>
      <c r="F1010" s="16"/>
      <c r="G1010" s="16"/>
      <c r="H1010" s="16"/>
      <c r="I1010" s="16"/>
      <c r="J1010" s="16" t="b">
        <f>IFERROR(__xludf.DUMMYFUNCTION("""COMPUTED_VALUE"""),FALSE)</f>
        <v>0</v>
      </c>
      <c r="K1010" s="16"/>
      <c r="L1010" s="16" t="b">
        <f>IFERROR(__xludf.DUMMYFUNCTION("""COMPUTED_VALUE"""),FALSE)</f>
        <v>0</v>
      </c>
      <c r="M1010" s="16" t="b">
        <f>IFERROR(__xludf.DUMMYFUNCTION("""COMPUTED_VALUE"""),FALSE)</f>
        <v>0</v>
      </c>
      <c r="N1010" s="16"/>
    </row>
    <row r="1011">
      <c r="A1011" s="16"/>
      <c r="B1011" s="16"/>
      <c r="C1011" s="16"/>
      <c r="D1011" s="16"/>
      <c r="E1011" s="16"/>
      <c r="F1011" s="16"/>
      <c r="G1011" s="16"/>
      <c r="H1011" s="16"/>
      <c r="I1011" s="16"/>
      <c r="J1011" s="16" t="b">
        <f>IFERROR(__xludf.DUMMYFUNCTION("""COMPUTED_VALUE"""),FALSE)</f>
        <v>0</v>
      </c>
      <c r="K1011" s="16"/>
      <c r="L1011" s="16" t="b">
        <f>IFERROR(__xludf.DUMMYFUNCTION("""COMPUTED_VALUE"""),FALSE)</f>
        <v>0</v>
      </c>
      <c r="M1011" s="16" t="b">
        <f>IFERROR(__xludf.DUMMYFUNCTION("""COMPUTED_VALUE"""),FALSE)</f>
        <v>0</v>
      </c>
      <c r="N1011" s="16"/>
    </row>
    <row r="1012">
      <c r="A1012" s="16"/>
      <c r="B1012" s="16"/>
      <c r="C1012" s="16"/>
      <c r="D1012" s="16"/>
      <c r="E1012" s="16"/>
      <c r="F1012" s="16"/>
      <c r="G1012" s="16"/>
      <c r="H1012" s="16"/>
      <c r="I1012" s="16"/>
      <c r="J1012" s="16" t="b">
        <f>IFERROR(__xludf.DUMMYFUNCTION("""COMPUTED_VALUE"""),FALSE)</f>
        <v>0</v>
      </c>
      <c r="K1012" s="16"/>
      <c r="L1012" s="16" t="b">
        <f>IFERROR(__xludf.DUMMYFUNCTION("""COMPUTED_VALUE"""),FALSE)</f>
        <v>0</v>
      </c>
      <c r="M1012" s="16" t="b">
        <f>IFERROR(__xludf.DUMMYFUNCTION("""COMPUTED_VALUE"""),FALSE)</f>
        <v>0</v>
      </c>
      <c r="N1012" s="16"/>
    </row>
    <row r="1013">
      <c r="A1013" s="16"/>
      <c r="B1013" s="16"/>
      <c r="C1013" s="16"/>
      <c r="D1013" s="16"/>
      <c r="E1013" s="16"/>
      <c r="F1013" s="16"/>
      <c r="G1013" s="16"/>
      <c r="H1013" s="16"/>
      <c r="I1013" s="16"/>
      <c r="J1013" s="16" t="b">
        <f>IFERROR(__xludf.DUMMYFUNCTION("""COMPUTED_VALUE"""),FALSE)</f>
        <v>0</v>
      </c>
      <c r="K1013" s="16"/>
      <c r="L1013" s="16" t="b">
        <f>IFERROR(__xludf.DUMMYFUNCTION("""COMPUTED_VALUE"""),FALSE)</f>
        <v>0</v>
      </c>
      <c r="M1013" s="16" t="b">
        <f>IFERROR(__xludf.DUMMYFUNCTION("""COMPUTED_VALUE"""),FALSE)</f>
        <v>0</v>
      </c>
      <c r="N1013" s="16"/>
    </row>
    <row r="1014">
      <c r="A1014" s="16"/>
      <c r="B1014" s="16"/>
      <c r="C1014" s="16"/>
      <c r="D1014" s="16"/>
      <c r="E1014" s="16"/>
      <c r="F1014" s="16"/>
      <c r="G1014" s="16"/>
      <c r="H1014" s="16"/>
      <c r="I1014" s="16"/>
      <c r="J1014" s="16" t="b">
        <f>IFERROR(__xludf.DUMMYFUNCTION("""COMPUTED_VALUE"""),FALSE)</f>
        <v>0</v>
      </c>
      <c r="K1014" s="16"/>
      <c r="L1014" s="16" t="b">
        <f>IFERROR(__xludf.DUMMYFUNCTION("""COMPUTED_VALUE"""),FALSE)</f>
        <v>0</v>
      </c>
      <c r="M1014" s="16" t="b">
        <f>IFERROR(__xludf.DUMMYFUNCTION("""COMPUTED_VALUE"""),FALSE)</f>
        <v>0</v>
      </c>
      <c r="N1014" s="16"/>
    </row>
    <row r="1015">
      <c r="A1015" s="16"/>
      <c r="B1015" s="16"/>
      <c r="C1015" s="16"/>
      <c r="D1015" s="16"/>
      <c r="E1015" s="16"/>
      <c r="F1015" s="16"/>
      <c r="G1015" s="16"/>
      <c r="H1015" s="16"/>
      <c r="I1015" s="16"/>
      <c r="J1015" s="16" t="b">
        <f>IFERROR(__xludf.DUMMYFUNCTION("""COMPUTED_VALUE"""),FALSE)</f>
        <v>0</v>
      </c>
      <c r="K1015" s="16"/>
      <c r="L1015" s="16" t="b">
        <f>IFERROR(__xludf.DUMMYFUNCTION("""COMPUTED_VALUE"""),FALSE)</f>
        <v>0</v>
      </c>
      <c r="M1015" s="16" t="b">
        <f>IFERROR(__xludf.DUMMYFUNCTION("""COMPUTED_VALUE"""),FALSE)</f>
        <v>0</v>
      </c>
      <c r="N1015" s="16"/>
    </row>
    <row r="1016">
      <c r="A1016" s="16"/>
      <c r="B1016" s="16"/>
      <c r="C1016" s="16"/>
      <c r="D1016" s="16"/>
      <c r="E1016" s="16"/>
      <c r="F1016" s="16"/>
      <c r="G1016" s="16"/>
      <c r="H1016" s="16"/>
      <c r="I1016" s="16"/>
      <c r="J1016" s="16" t="b">
        <f>IFERROR(__xludf.DUMMYFUNCTION("""COMPUTED_VALUE"""),FALSE)</f>
        <v>0</v>
      </c>
      <c r="K1016" s="16"/>
      <c r="L1016" s="16" t="b">
        <f>IFERROR(__xludf.DUMMYFUNCTION("""COMPUTED_VALUE"""),FALSE)</f>
        <v>0</v>
      </c>
      <c r="M1016" s="16" t="b">
        <f>IFERROR(__xludf.DUMMYFUNCTION("""COMPUTED_VALUE"""),FALSE)</f>
        <v>0</v>
      </c>
      <c r="N1016" s="16"/>
    </row>
    <row r="1017">
      <c r="A1017" s="16"/>
      <c r="B1017" s="16"/>
      <c r="C1017" s="16"/>
      <c r="D1017" s="16"/>
      <c r="E1017" s="16"/>
      <c r="F1017" s="16"/>
      <c r="G1017" s="16"/>
      <c r="H1017" s="16"/>
      <c r="I1017" s="16"/>
      <c r="J1017" s="16" t="b">
        <f>IFERROR(__xludf.DUMMYFUNCTION("""COMPUTED_VALUE"""),FALSE)</f>
        <v>0</v>
      </c>
      <c r="K1017" s="16"/>
      <c r="L1017" s="16" t="b">
        <f>IFERROR(__xludf.DUMMYFUNCTION("""COMPUTED_VALUE"""),FALSE)</f>
        <v>0</v>
      </c>
      <c r="M1017" s="16" t="b">
        <f>IFERROR(__xludf.DUMMYFUNCTION("""COMPUTED_VALUE"""),FALSE)</f>
        <v>0</v>
      </c>
      <c r="N1017" s="16"/>
    </row>
    <row r="1018">
      <c r="A1018" s="16"/>
      <c r="B1018" s="16"/>
      <c r="C1018" s="16"/>
      <c r="D1018" s="16"/>
      <c r="E1018" s="16"/>
      <c r="F1018" s="16"/>
      <c r="G1018" s="16"/>
      <c r="H1018" s="16"/>
      <c r="I1018" s="16"/>
      <c r="J1018" s="16" t="b">
        <f>IFERROR(__xludf.DUMMYFUNCTION("""COMPUTED_VALUE"""),FALSE)</f>
        <v>0</v>
      </c>
      <c r="K1018" s="16"/>
      <c r="L1018" s="16" t="b">
        <f>IFERROR(__xludf.DUMMYFUNCTION("""COMPUTED_VALUE"""),FALSE)</f>
        <v>0</v>
      </c>
      <c r="M1018" s="16" t="b">
        <f>IFERROR(__xludf.DUMMYFUNCTION("""COMPUTED_VALUE"""),FALSE)</f>
        <v>0</v>
      </c>
      <c r="N1018" s="16"/>
    </row>
    <row r="1019">
      <c r="A1019" s="16"/>
      <c r="B1019" s="16"/>
      <c r="C1019" s="16"/>
      <c r="D1019" s="16"/>
      <c r="E1019" s="16"/>
      <c r="F1019" s="16"/>
      <c r="G1019" s="16"/>
      <c r="H1019" s="16"/>
      <c r="I1019" s="16"/>
      <c r="J1019" s="16" t="b">
        <f>IFERROR(__xludf.DUMMYFUNCTION("""COMPUTED_VALUE"""),FALSE)</f>
        <v>0</v>
      </c>
      <c r="K1019" s="16"/>
      <c r="L1019" s="16" t="b">
        <f>IFERROR(__xludf.DUMMYFUNCTION("""COMPUTED_VALUE"""),FALSE)</f>
        <v>0</v>
      </c>
      <c r="M1019" s="16" t="b">
        <f>IFERROR(__xludf.DUMMYFUNCTION("""COMPUTED_VALUE"""),FALSE)</f>
        <v>0</v>
      </c>
      <c r="N1019" s="16"/>
    </row>
    <row r="1020">
      <c r="A1020" s="16"/>
      <c r="B1020" s="16"/>
      <c r="C1020" s="16"/>
      <c r="D1020" s="16"/>
      <c r="E1020" s="16"/>
      <c r="F1020" s="16"/>
      <c r="G1020" s="16"/>
      <c r="H1020" s="16"/>
      <c r="I1020" s="16"/>
      <c r="J1020" s="16" t="b">
        <f>IFERROR(__xludf.DUMMYFUNCTION("""COMPUTED_VALUE"""),FALSE)</f>
        <v>0</v>
      </c>
      <c r="K1020" s="16"/>
      <c r="L1020" s="16" t="b">
        <f>IFERROR(__xludf.DUMMYFUNCTION("""COMPUTED_VALUE"""),FALSE)</f>
        <v>0</v>
      </c>
      <c r="M1020" s="16" t="b">
        <f>IFERROR(__xludf.DUMMYFUNCTION("""COMPUTED_VALUE"""),FALSE)</f>
        <v>0</v>
      </c>
      <c r="N1020" s="16"/>
    </row>
    <row r="1021">
      <c r="A1021" s="16"/>
      <c r="B1021" s="16"/>
      <c r="C1021" s="16"/>
      <c r="D1021" s="16"/>
      <c r="E1021" s="16"/>
      <c r="F1021" s="16"/>
      <c r="G1021" s="16"/>
      <c r="H1021" s="16"/>
      <c r="I1021" s="16"/>
      <c r="J1021" s="16" t="b">
        <f>IFERROR(__xludf.DUMMYFUNCTION("""COMPUTED_VALUE"""),FALSE)</f>
        <v>0</v>
      </c>
      <c r="K1021" s="16"/>
      <c r="L1021" s="16" t="b">
        <f>IFERROR(__xludf.DUMMYFUNCTION("""COMPUTED_VALUE"""),FALSE)</f>
        <v>0</v>
      </c>
      <c r="M1021" s="16" t="b">
        <f>IFERROR(__xludf.DUMMYFUNCTION("""COMPUTED_VALUE"""),FALSE)</f>
        <v>0</v>
      </c>
      <c r="N1021" s="16"/>
    </row>
    <row r="1022">
      <c r="A1022" s="16"/>
      <c r="B1022" s="16"/>
      <c r="C1022" s="16"/>
      <c r="D1022" s="16"/>
      <c r="E1022" s="16"/>
      <c r="F1022" s="16"/>
      <c r="G1022" s="16"/>
      <c r="H1022" s="16"/>
      <c r="I1022" s="16"/>
      <c r="J1022" s="16" t="b">
        <f>IFERROR(__xludf.DUMMYFUNCTION("""COMPUTED_VALUE"""),FALSE)</f>
        <v>0</v>
      </c>
      <c r="K1022" s="16"/>
      <c r="L1022" s="16" t="b">
        <f>IFERROR(__xludf.DUMMYFUNCTION("""COMPUTED_VALUE"""),FALSE)</f>
        <v>0</v>
      </c>
      <c r="M1022" s="16" t="b">
        <f>IFERROR(__xludf.DUMMYFUNCTION("""COMPUTED_VALUE"""),FALSE)</f>
        <v>0</v>
      </c>
      <c r="N1022" s="16"/>
    </row>
    <row r="1023">
      <c r="A1023" s="16"/>
      <c r="B1023" s="16"/>
      <c r="C1023" s="16"/>
      <c r="D1023" s="16"/>
      <c r="E1023" s="16"/>
      <c r="F1023" s="16"/>
      <c r="G1023" s="16"/>
      <c r="H1023" s="16"/>
      <c r="I1023" s="16"/>
      <c r="J1023" s="16" t="b">
        <f>IFERROR(__xludf.DUMMYFUNCTION("""COMPUTED_VALUE"""),FALSE)</f>
        <v>0</v>
      </c>
      <c r="K1023" s="16"/>
      <c r="L1023" s="16" t="b">
        <f>IFERROR(__xludf.DUMMYFUNCTION("""COMPUTED_VALUE"""),FALSE)</f>
        <v>0</v>
      </c>
      <c r="M1023" s="16" t="b">
        <f>IFERROR(__xludf.DUMMYFUNCTION("""COMPUTED_VALUE"""),FALSE)</f>
        <v>0</v>
      </c>
      <c r="N1023" s="16"/>
    </row>
    <row r="1024">
      <c r="A1024" s="16"/>
      <c r="B1024" s="16"/>
      <c r="C1024" s="16"/>
      <c r="D1024" s="16"/>
      <c r="E1024" s="16"/>
      <c r="F1024" s="16"/>
      <c r="G1024" s="16"/>
      <c r="H1024" s="16"/>
      <c r="I1024" s="16"/>
      <c r="J1024" s="16" t="b">
        <f>IFERROR(__xludf.DUMMYFUNCTION("""COMPUTED_VALUE"""),FALSE)</f>
        <v>0</v>
      </c>
      <c r="K1024" s="16"/>
      <c r="L1024" s="16" t="b">
        <f>IFERROR(__xludf.DUMMYFUNCTION("""COMPUTED_VALUE"""),FALSE)</f>
        <v>0</v>
      </c>
      <c r="M1024" s="16" t="b">
        <f>IFERROR(__xludf.DUMMYFUNCTION("""COMPUTED_VALUE"""),FALSE)</f>
        <v>0</v>
      </c>
      <c r="N1024" s="16"/>
    </row>
    <row r="1025">
      <c r="A1025" s="16"/>
      <c r="B1025" s="16"/>
      <c r="C1025" s="16"/>
      <c r="D1025" s="16"/>
      <c r="E1025" s="16"/>
      <c r="F1025" s="16"/>
      <c r="G1025" s="16"/>
      <c r="H1025" s="16"/>
      <c r="I1025" s="16"/>
      <c r="J1025" s="16" t="b">
        <f>IFERROR(__xludf.DUMMYFUNCTION("""COMPUTED_VALUE"""),FALSE)</f>
        <v>0</v>
      </c>
      <c r="K1025" s="16"/>
      <c r="L1025" s="16" t="b">
        <f>IFERROR(__xludf.DUMMYFUNCTION("""COMPUTED_VALUE"""),FALSE)</f>
        <v>0</v>
      </c>
      <c r="M1025" s="16" t="b">
        <f>IFERROR(__xludf.DUMMYFUNCTION("""COMPUTED_VALUE"""),FALSE)</f>
        <v>0</v>
      </c>
      <c r="N1025" s="16"/>
    </row>
    <row r="1026">
      <c r="A1026" s="16"/>
      <c r="B1026" s="16"/>
      <c r="C1026" s="16"/>
      <c r="D1026" s="16"/>
      <c r="E1026" s="16"/>
      <c r="F1026" s="16"/>
      <c r="G1026" s="16"/>
      <c r="H1026" s="16"/>
      <c r="I1026" s="16"/>
      <c r="J1026" s="16" t="b">
        <f>IFERROR(__xludf.DUMMYFUNCTION("""COMPUTED_VALUE"""),FALSE)</f>
        <v>0</v>
      </c>
      <c r="K1026" s="16"/>
      <c r="L1026" s="16" t="b">
        <f>IFERROR(__xludf.DUMMYFUNCTION("""COMPUTED_VALUE"""),FALSE)</f>
        <v>0</v>
      </c>
      <c r="M1026" s="16" t="b">
        <f>IFERROR(__xludf.DUMMYFUNCTION("""COMPUTED_VALUE"""),FALSE)</f>
        <v>0</v>
      </c>
      <c r="N1026" s="16"/>
    </row>
    <row r="1027">
      <c r="A1027" s="16"/>
      <c r="B1027" s="16"/>
      <c r="C1027" s="16"/>
      <c r="D1027" s="16"/>
      <c r="E1027" s="16"/>
      <c r="F1027" s="16"/>
      <c r="G1027" s="16"/>
      <c r="H1027" s="16"/>
      <c r="I1027" s="16"/>
      <c r="J1027" s="16" t="b">
        <f>IFERROR(__xludf.DUMMYFUNCTION("""COMPUTED_VALUE"""),FALSE)</f>
        <v>0</v>
      </c>
      <c r="K1027" s="16"/>
      <c r="L1027" s="16" t="b">
        <f>IFERROR(__xludf.DUMMYFUNCTION("""COMPUTED_VALUE"""),FALSE)</f>
        <v>0</v>
      </c>
      <c r="M1027" s="16" t="b">
        <f>IFERROR(__xludf.DUMMYFUNCTION("""COMPUTED_VALUE"""),FALSE)</f>
        <v>0</v>
      </c>
      <c r="N1027" s="16"/>
    </row>
    <row r="1028">
      <c r="A1028" s="16"/>
      <c r="B1028" s="16"/>
      <c r="C1028" s="16"/>
      <c r="D1028" s="16"/>
      <c r="E1028" s="16"/>
      <c r="F1028" s="16"/>
      <c r="G1028" s="16"/>
      <c r="H1028" s="16"/>
      <c r="I1028" s="16"/>
      <c r="J1028" s="16" t="b">
        <f>IFERROR(__xludf.DUMMYFUNCTION("""COMPUTED_VALUE"""),FALSE)</f>
        <v>0</v>
      </c>
      <c r="K1028" s="16"/>
      <c r="L1028" s="16" t="b">
        <f>IFERROR(__xludf.DUMMYFUNCTION("""COMPUTED_VALUE"""),FALSE)</f>
        <v>0</v>
      </c>
      <c r="M1028" s="16" t="b">
        <f>IFERROR(__xludf.DUMMYFUNCTION("""COMPUTED_VALUE"""),FALSE)</f>
        <v>0</v>
      </c>
      <c r="N1028" s="16"/>
    </row>
    <row r="1029">
      <c r="A1029" s="16"/>
      <c r="B1029" s="16"/>
      <c r="C1029" s="16"/>
      <c r="D1029" s="16"/>
      <c r="E1029" s="16"/>
      <c r="F1029" s="16"/>
      <c r="G1029" s="16"/>
      <c r="H1029" s="16"/>
      <c r="I1029" s="16"/>
      <c r="J1029" s="16" t="b">
        <f>IFERROR(__xludf.DUMMYFUNCTION("""COMPUTED_VALUE"""),FALSE)</f>
        <v>0</v>
      </c>
      <c r="K1029" s="16"/>
      <c r="L1029" s="16" t="b">
        <f>IFERROR(__xludf.DUMMYFUNCTION("""COMPUTED_VALUE"""),FALSE)</f>
        <v>0</v>
      </c>
      <c r="M1029" s="16" t="b">
        <f>IFERROR(__xludf.DUMMYFUNCTION("""COMPUTED_VALUE"""),FALSE)</f>
        <v>0</v>
      </c>
      <c r="N1029" s="16"/>
    </row>
    <row r="1030">
      <c r="A1030" s="16"/>
      <c r="B1030" s="16"/>
      <c r="C1030" s="16"/>
      <c r="D1030" s="16"/>
      <c r="E1030" s="16"/>
      <c r="F1030" s="16"/>
      <c r="G1030" s="16"/>
      <c r="H1030" s="16"/>
      <c r="I1030" s="16"/>
      <c r="J1030" s="16" t="b">
        <f>IFERROR(__xludf.DUMMYFUNCTION("""COMPUTED_VALUE"""),FALSE)</f>
        <v>0</v>
      </c>
      <c r="K1030" s="16"/>
      <c r="L1030" s="16" t="b">
        <f>IFERROR(__xludf.DUMMYFUNCTION("""COMPUTED_VALUE"""),FALSE)</f>
        <v>0</v>
      </c>
      <c r="M1030" s="16" t="b">
        <f>IFERROR(__xludf.DUMMYFUNCTION("""COMPUTED_VALUE"""),FALSE)</f>
        <v>0</v>
      </c>
      <c r="N1030" s="16"/>
    </row>
    <row r="1031">
      <c r="A1031" s="16"/>
      <c r="B1031" s="16"/>
      <c r="C1031" s="16"/>
      <c r="D1031" s="16"/>
      <c r="E1031" s="16"/>
      <c r="F1031" s="16"/>
      <c r="G1031" s="16"/>
      <c r="H1031" s="16"/>
      <c r="I1031" s="16"/>
      <c r="J1031" s="16" t="b">
        <f>IFERROR(__xludf.DUMMYFUNCTION("""COMPUTED_VALUE"""),FALSE)</f>
        <v>0</v>
      </c>
      <c r="K1031" s="16"/>
      <c r="L1031" s="16" t="b">
        <f>IFERROR(__xludf.DUMMYFUNCTION("""COMPUTED_VALUE"""),FALSE)</f>
        <v>0</v>
      </c>
      <c r="M1031" s="16" t="b">
        <f>IFERROR(__xludf.DUMMYFUNCTION("""COMPUTED_VALUE"""),FALSE)</f>
        <v>0</v>
      </c>
      <c r="N1031" s="16"/>
    </row>
    <row r="1032">
      <c r="A1032" s="16"/>
      <c r="B1032" s="16"/>
      <c r="C1032" s="16"/>
      <c r="D1032" s="16"/>
      <c r="E1032" s="16"/>
      <c r="F1032" s="16"/>
      <c r="G1032" s="16"/>
      <c r="H1032" s="16"/>
      <c r="I1032" s="16"/>
      <c r="J1032" s="16" t="b">
        <f>IFERROR(__xludf.DUMMYFUNCTION("""COMPUTED_VALUE"""),FALSE)</f>
        <v>0</v>
      </c>
      <c r="K1032" s="16"/>
      <c r="L1032" s="16" t="b">
        <f>IFERROR(__xludf.DUMMYFUNCTION("""COMPUTED_VALUE"""),FALSE)</f>
        <v>0</v>
      </c>
      <c r="M1032" s="16" t="b">
        <f>IFERROR(__xludf.DUMMYFUNCTION("""COMPUTED_VALUE"""),FALSE)</f>
        <v>0</v>
      </c>
      <c r="N1032" s="16"/>
    </row>
    <row r="1033">
      <c r="A1033" s="16"/>
      <c r="B1033" s="16"/>
      <c r="C1033" s="16"/>
      <c r="D1033" s="16"/>
      <c r="E1033" s="16"/>
      <c r="F1033" s="16"/>
      <c r="G1033" s="16"/>
      <c r="H1033" s="16"/>
      <c r="I1033" s="16"/>
      <c r="J1033" s="16" t="b">
        <f>IFERROR(__xludf.DUMMYFUNCTION("""COMPUTED_VALUE"""),FALSE)</f>
        <v>0</v>
      </c>
      <c r="K1033" s="16"/>
      <c r="L1033" s="16" t="b">
        <f>IFERROR(__xludf.DUMMYFUNCTION("""COMPUTED_VALUE"""),FALSE)</f>
        <v>0</v>
      </c>
      <c r="M1033" s="16" t="b">
        <f>IFERROR(__xludf.DUMMYFUNCTION("""COMPUTED_VALUE"""),FALSE)</f>
        <v>0</v>
      </c>
      <c r="N1033" s="16"/>
    </row>
    <row r="1034">
      <c r="A1034" s="16"/>
      <c r="B1034" s="16"/>
      <c r="C1034" s="16"/>
      <c r="D1034" s="16"/>
      <c r="E1034" s="16"/>
      <c r="F1034" s="16"/>
      <c r="G1034" s="16"/>
      <c r="H1034" s="16"/>
      <c r="I1034" s="16"/>
      <c r="J1034" s="16" t="b">
        <f>IFERROR(__xludf.DUMMYFUNCTION("""COMPUTED_VALUE"""),FALSE)</f>
        <v>0</v>
      </c>
      <c r="K1034" s="16"/>
      <c r="L1034" s="16" t="b">
        <f>IFERROR(__xludf.DUMMYFUNCTION("""COMPUTED_VALUE"""),FALSE)</f>
        <v>0</v>
      </c>
      <c r="M1034" s="16" t="b">
        <f>IFERROR(__xludf.DUMMYFUNCTION("""COMPUTED_VALUE"""),FALSE)</f>
        <v>0</v>
      </c>
      <c r="N1034" s="16"/>
    </row>
    <row r="1035">
      <c r="A1035" s="16"/>
      <c r="B1035" s="16"/>
      <c r="C1035" s="16"/>
      <c r="D1035" s="16"/>
      <c r="E1035" s="16"/>
      <c r="F1035" s="16"/>
      <c r="G1035" s="16"/>
      <c r="H1035" s="16"/>
      <c r="I1035" s="16"/>
      <c r="J1035" s="16" t="b">
        <f>IFERROR(__xludf.DUMMYFUNCTION("""COMPUTED_VALUE"""),FALSE)</f>
        <v>0</v>
      </c>
      <c r="K1035" s="16"/>
      <c r="L1035" s="16" t="b">
        <f>IFERROR(__xludf.DUMMYFUNCTION("""COMPUTED_VALUE"""),FALSE)</f>
        <v>0</v>
      </c>
      <c r="M1035" s="16" t="b">
        <f>IFERROR(__xludf.DUMMYFUNCTION("""COMPUTED_VALUE"""),FALSE)</f>
        <v>0</v>
      </c>
      <c r="N1035" s="16"/>
    </row>
    <row r="1036">
      <c r="A1036" s="16"/>
      <c r="B1036" s="16"/>
      <c r="C1036" s="16"/>
      <c r="D1036" s="16"/>
      <c r="E1036" s="16"/>
      <c r="F1036" s="16"/>
      <c r="G1036" s="16"/>
      <c r="H1036" s="16"/>
      <c r="I1036" s="16"/>
      <c r="J1036" s="16" t="b">
        <f>IFERROR(__xludf.DUMMYFUNCTION("""COMPUTED_VALUE"""),FALSE)</f>
        <v>0</v>
      </c>
      <c r="K1036" s="16"/>
      <c r="L1036" s="16" t="b">
        <f>IFERROR(__xludf.DUMMYFUNCTION("""COMPUTED_VALUE"""),FALSE)</f>
        <v>0</v>
      </c>
      <c r="M1036" s="16" t="b">
        <f>IFERROR(__xludf.DUMMYFUNCTION("""COMPUTED_VALUE"""),FALSE)</f>
        <v>0</v>
      </c>
      <c r="N1036" s="16"/>
    </row>
    <row r="1037">
      <c r="A1037" s="16"/>
      <c r="B1037" s="16"/>
      <c r="C1037" s="16"/>
      <c r="D1037" s="16"/>
      <c r="E1037" s="16"/>
      <c r="F1037" s="16"/>
      <c r="G1037" s="16"/>
      <c r="H1037" s="16"/>
      <c r="I1037" s="16"/>
      <c r="J1037" s="16" t="b">
        <f>IFERROR(__xludf.DUMMYFUNCTION("""COMPUTED_VALUE"""),FALSE)</f>
        <v>0</v>
      </c>
      <c r="K1037" s="16"/>
      <c r="L1037" s="16" t="b">
        <f>IFERROR(__xludf.DUMMYFUNCTION("""COMPUTED_VALUE"""),FALSE)</f>
        <v>0</v>
      </c>
      <c r="M1037" s="16" t="b">
        <f>IFERROR(__xludf.DUMMYFUNCTION("""COMPUTED_VALUE"""),FALSE)</f>
        <v>0</v>
      </c>
      <c r="N1037" s="16"/>
    </row>
    <row r="1038">
      <c r="A1038" s="16"/>
      <c r="B1038" s="16"/>
      <c r="C1038" s="16"/>
      <c r="D1038" s="16"/>
      <c r="E1038" s="16"/>
      <c r="F1038" s="16"/>
      <c r="G1038" s="16"/>
      <c r="H1038" s="16"/>
      <c r="I1038" s="16"/>
      <c r="J1038" s="16" t="b">
        <f>IFERROR(__xludf.DUMMYFUNCTION("""COMPUTED_VALUE"""),FALSE)</f>
        <v>0</v>
      </c>
      <c r="K1038" s="16"/>
      <c r="L1038" s="16" t="b">
        <f>IFERROR(__xludf.DUMMYFUNCTION("""COMPUTED_VALUE"""),FALSE)</f>
        <v>0</v>
      </c>
      <c r="M1038" s="16" t="b">
        <f>IFERROR(__xludf.DUMMYFUNCTION("""COMPUTED_VALUE"""),FALSE)</f>
        <v>0</v>
      </c>
      <c r="N1038" s="16"/>
    </row>
    <row r="1039">
      <c r="A1039" s="16"/>
      <c r="B1039" s="16"/>
      <c r="C1039" s="16"/>
      <c r="D1039" s="16"/>
      <c r="E1039" s="16"/>
      <c r="F1039" s="16"/>
      <c r="G1039" s="16"/>
      <c r="H1039" s="16"/>
      <c r="I1039" s="16"/>
      <c r="J1039" s="16" t="b">
        <f>IFERROR(__xludf.DUMMYFUNCTION("""COMPUTED_VALUE"""),FALSE)</f>
        <v>0</v>
      </c>
      <c r="K1039" s="16"/>
      <c r="L1039" s="16" t="b">
        <f>IFERROR(__xludf.DUMMYFUNCTION("""COMPUTED_VALUE"""),FALSE)</f>
        <v>0</v>
      </c>
      <c r="M1039" s="16" t="b">
        <f>IFERROR(__xludf.DUMMYFUNCTION("""COMPUTED_VALUE"""),FALSE)</f>
        <v>0</v>
      </c>
      <c r="N1039" s="16"/>
    </row>
    <row r="1040">
      <c r="A1040" s="16"/>
      <c r="B1040" s="16"/>
      <c r="C1040" s="16"/>
      <c r="D1040" s="16"/>
      <c r="E1040" s="16"/>
      <c r="F1040" s="16"/>
      <c r="G1040" s="16"/>
      <c r="H1040" s="16"/>
      <c r="I1040" s="16"/>
      <c r="J1040" s="16" t="b">
        <f>IFERROR(__xludf.DUMMYFUNCTION("""COMPUTED_VALUE"""),FALSE)</f>
        <v>0</v>
      </c>
      <c r="K1040" s="16"/>
      <c r="L1040" s="16" t="b">
        <f>IFERROR(__xludf.DUMMYFUNCTION("""COMPUTED_VALUE"""),FALSE)</f>
        <v>0</v>
      </c>
      <c r="M1040" s="16" t="b">
        <f>IFERROR(__xludf.DUMMYFUNCTION("""COMPUTED_VALUE"""),FALSE)</f>
        <v>0</v>
      </c>
      <c r="N1040" s="16"/>
    </row>
    <row r="1041">
      <c r="A1041" s="16"/>
      <c r="B1041" s="16"/>
      <c r="C1041" s="16"/>
      <c r="D1041" s="16"/>
      <c r="E1041" s="16"/>
      <c r="F1041" s="16"/>
      <c r="G1041" s="16"/>
      <c r="H1041" s="16"/>
      <c r="I1041" s="16"/>
      <c r="J1041" s="16" t="b">
        <f>IFERROR(__xludf.DUMMYFUNCTION("""COMPUTED_VALUE"""),FALSE)</f>
        <v>0</v>
      </c>
      <c r="K1041" s="16"/>
      <c r="L1041" s="16" t="b">
        <f>IFERROR(__xludf.DUMMYFUNCTION("""COMPUTED_VALUE"""),FALSE)</f>
        <v>0</v>
      </c>
      <c r="M1041" s="16" t="b">
        <f>IFERROR(__xludf.DUMMYFUNCTION("""COMPUTED_VALUE"""),FALSE)</f>
        <v>0</v>
      </c>
      <c r="N1041" s="16"/>
    </row>
    <row r="1042">
      <c r="A1042" s="16"/>
      <c r="B1042" s="16"/>
      <c r="C1042" s="16"/>
      <c r="D1042" s="16"/>
      <c r="E1042" s="16"/>
      <c r="F1042" s="16"/>
      <c r="G1042" s="16"/>
      <c r="H1042" s="16"/>
      <c r="I1042" s="16"/>
      <c r="J1042" s="16" t="b">
        <f>IFERROR(__xludf.DUMMYFUNCTION("""COMPUTED_VALUE"""),FALSE)</f>
        <v>0</v>
      </c>
      <c r="K1042" s="16"/>
      <c r="L1042" s="16" t="b">
        <f>IFERROR(__xludf.DUMMYFUNCTION("""COMPUTED_VALUE"""),FALSE)</f>
        <v>0</v>
      </c>
      <c r="M1042" s="16" t="b">
        <f>IFERROR(__xludf.DUMMYFUNCTION("""COMPUTED_VALUE"""),FALSE)</f>
        <v>0</v>
      </c>
      <c r="N1042" s="16"/>
    </row>
    <row r="1043">
      <c r="A1043" s="16"/>
      <c r="B1043" s="16"/>
      <c r="C1043" s="16"/>
      <c r="D1043" s="16"/>
      <c r="E1043" s="16"/>
      <c r="F1043" s="16"/>
      <c r="G1043" s="16"/>
      <c r="H1043" s="16"/>
      <c r="I1043" s="16"/>
      <c r="J1043" s="16" t="b">
        <f>IFERROR(__xludf.DUMMYFUNCTION("""COMPUTED_VALUE"""),FALSE)</f>
        <v>0</v>
      </c>
      <c r="K1043" s="16"/>
      <c r="L1043" s="16" t="b">
        <f>IFERROR(__xludf.DUMMYFUNCTION("""COMPUTED_VALUE"""),FALSE)</f>
        <v>0</v>
      </c>
      <c r="M1043" s="16" t="b">
        <f>IFERROR(__xludf.DUMMYFUNCTION("""COMPUTED_VALUE"""),FALSE)</f>
        <v>0</v>
      </c>
      <c r="N1043" s="16"/>
    </row>
    <row r="1044">
      <c r="A1044" s="16"/>
      <c r="B1044" s="16"/>
      <c r="C1044" s="16"/>
      <c r="D1044" s="16"/>
      <c r="E1044" s="16"/>
      <c r="F1044" s="16"/>
      <c r="G1044" s="16"/>
      <c r="H1044" s="16"/>
      <c r="I1044" s="16"/>
      <c r="J1044" s="16" t="b">
        <f>IFERROR(__xludf.DUMMYFUNCTION("""COMPUTED_VALUE"""),FALSE)</f>
        <v>0</v>
      </c>
      <c r="K1044" s="16"/>
      <c r="L1044" s="16" t="b">
        <f>IFERROR(__xludf.DUMMYFUNCTION("""COMPUTED_VALUE"""),FALSE)</f>
        <v>0</v>
      </c>
      <c r="M1044" s="16" t="b">
        <f>IFERROR(__xludf.DUMMYFUNCTION("""COMPUTED_VALUE"""),FALSE)</f>
        <v>0</v>
      </c>
      <c r="N1044" s="16"/>
    </row>
    <row r="1045">
      <c r="A1045" s="16"/>
      <c r="B1045" s="16"/>
      <c r="C1045" s="16"/>
      <c r="D1045" s="16"/>
      <c r="E1045" s="16"/>
      <c r="F1045" s="16"/>
      <c r="G1045" s="16"/>
      <c r="H1045" s="16"/>
      <c r="I1045" s="16"/>
      <c r="J1045" s="16" t="b">
        <f>IFERROR(__xludf.DUMMYFUNCTION("""COMPUTED_VALUE"""),FALSE)</f>
        <v>0</v>
      </c>
      <c r="K1045" s="16"/>
      <c r="L1045" s="16" t="b">
        <f>IFERROR(__xludf.DUMMYFUNCTION("""COMPUTED_VALUE"""),FALSE)</f>
        <v>0</v>
      </c>
      <c r="M1045" s="16" t="b">
        <f>IFERROR(__xludf.DUMMYFUNCTION("""COMPUTED_VALUE"""),FALSE)</f>
        <v>0</v>
      </c>
      <c r="N1045" s="16"/>
    </row>
    <row r="1046">
      <c r="A1046" s="16"/>
      <c r="B1046" s="16"/>
      <c r="C1046" s="16"/>
      <c r="D1046" s="16"/>
      <c r="E1046" s="16"/>
      <c r="F1046" s="16"/>
      <c r="G1046" s="16"/>
      <c r="H1046" s="16"/>
      <c r="I1046" s="16"/>
      <c r="J1046" s="16" t="b">
        <f>IFERROR(__xludf.DUMMYFUNCTION("""COMPUTED_VALUE"""),FALSE)</f>
        <v>0</v>
      </c>
      <c r="K1046" s="16"/>
      <c r="L1046" s="16" t="b">
        <f>IFERROR(__xludf.DUMMYFUNCTION("""COMPUTED_VALUE"""),FALSE)</f>
        <v>0</v>
      </c>
      <c r="M1046" s="16" t="b">
        <f>IFERROR(__xludf.DUMMYFUNCTION("""COMPUTED_VALUE"""),FALSE)</f>
        <v>0</v>
      </c>
      <c r="N1046" s="16"/>
    </row>
    <row r="1047">
      <c r="A1047" s="16"/>
      <c r="B1047" s="16"/>
      <c r="C1047" s="16"/>
      <c r="D1047" s="16"/>
      <c r="E1047" s="16"/>
      <c r="F1047" s="16"/>
      <c r="G1047" s="16"/>
      <c r="H1047" s="16"/>
      <c r="I1047" s="16"/>
      <c r="J1047" s="16" t="b">
        <f>IFERROR(__xludf.DUMMYFUNCTION("""COMPUTED_VALUE"""),FALSE)</f>
        <v>0</v>
      </c>
      <c r="K1047" s="16"/>
      <c r="L1047" s="16" t="b">
        <f>IFERROR(__xludf.DUMMYFUNCTION("""COMPUTED_VALUE"""),FALSE)</f>
        <v>0</v>
      </c>
      <c r="M1047" s="16" t="b">
        <f>IFERROR(__xludf.DUMMYFUNCTION("""COMPUTED_VALUE"""),FALSE)</f>
        <v>0</v>
      </c>
      <c r="N1047" s="16"/>
    </row>
    <row r="1048">
      <c r="A1048" s="16"/>
      <c r="B1048" s="16"/>
      <c r="C1048" s="16"/>
      <c r="D1048" s="16"/>
      <c r="E1048" s="16"/>
      <c r="F1048" s="16"/>
      <c r="G1048" s="16"/>
      <c r="H1048" s="16"/>
      <c r="I1048" s="16"/>
      <c r="J1048" s="16" t="b">
        <f>IFERROR(__xludf.DUMMYFUNCTION("""COMPUTED_VALUE"""),FALSE)</f>
        <v>0</v>
      </c>
      <c r="K1048" s="16"/>
      <c r="L1048" s="16" t="b">
        <f>IFERROR(__xludf.DUMMYFUNCTION("""COMPUTED_VALUE"""),FALSE)</f>
        <v>0</v>
      </c>
      <c r="M1048" s="16" t="b">
        <f>IFERROR(__xludf.DUMMYFUNCTION("""COMPUTED_VALUE"""),FALSE)</f>
        <v>0</v>
      </c>
      <c r="N1048" s="16"/>
    </row>
    <row r="1049">
      <c r="A1049" s="16"/>
      <c r="B1049" s="16"/>
      <c r="C1049" s="16"/>
      <c r="D1049" s="16"/>
      <c r="E1049" s="16"/>
      <c r="F1049" s="16"/>
      <c r="G1049" s="16"/>
      <c r="H1049" s="16"/>
      <c r="I1049" s="16"/>
      <c r="J1049" s="16" t="b">
        <f>IFERROR(__xludf.DUMMYFUNCTION("""COMPUTED_VALUE"""),FALSE)</f>
        <v>0</v>
      </c>
      <c r="K1049" s="16"/>
      <c r="L1049" s="16" t="b">
        <f>IFERROR(__xludf.DUMMYFUNCTION("""COMPUTED_VALUE"""),FALSE)</f>
        <v>0</v>
      </c>
      <c r="M1049" s="16" t="b">
        <f>IFERROR(__xludf.DUMMYFUNCTION("""COMPUTED_VALUE"""),FALSE)</f>
        <v>0</v>
      </c>
      <c r="N1049" s="16"/>
    </row>
    <row r="1050">
      <c r="A1050" s="16"/>
      <c r="B1050" s="16"/>
      <c r="C1050" s="16"/>
      <c r="D1050" s="16"/>
      <c r="E1050" s="16"/>
      <c r="F1050" s="16"/>
      <c r="G1050" s="16"/>
      <c r="H1050" s="16"/>
      <c r="I1050" s="16"/>
      <c r="J1050" s="16" t="b">
        <f>IFERROR(__xludf.DUMMYFUNCTION("""COMPUTED_VALUE"""),FALSE)</f>
        <v>0</v>
      </c>
      <c r="K1050" s="16"/>
      <c r="L1050" s="16" t="b">
        <f>IFERROR(__xludf.DUMMYFUNCTION("""COMPUTED_VALUE"""),FALSE)</f>
        <v>0</v>
      </c>
      <c r="M1050" s="16" t="b">
        <f>IFERROR(__xludf.DUMMYFUNCTION("""COMPUTED_VALUE"""),FALSE)</f>
        <v>0</v>
      </c>
      <c r="N1050" s="16"/>
    </row>
    <row r="1051">
      <c r="A1051" s="16"/>
      <c r="B1051" s="16"/>
      <c r="C1051" s="16"/>
      <c r="D1051" s="16"/>
      <c r="E1051" s="16"/>
      <c r="F1051" s="16"/>
      <c r="G1051" s="16"/>
      <c r="H1051" s="16"/>
      <c r="I1051" s="16"/>
      <c r="J1051" s="16" t="b">
        <f>IFERROR(__xludf.DUMMYFUNCTION("""COMPUTED_VALUE"""),FALSE)</f>
        <v>0</v>
      </c>
      <c r="K1051" s="16"/>
      <c r="L1051" s="16" t="b">
        <f>IFERROR(__xludf.DUMMYFUNCTION("""COMPUTED_VALUE"""),FALSE)</f>
        <v>0</v>
      </c>
      <c r="M1051" s="16" t="b">
        <f>IFERROR(__xludf.DUMMYFUNCTION("""COMPUTED_VALUE"""),FALSE)</f>
        <v>0</v>
      </c>
      <c r="N1051" s="16"/>
    </row>
    <row r="1052">
      <c r="A1052" s="16"/>
      <c r="B1052" s="16"/>
      <c r="C1052" s="16"/>
      <c r="D1052" s="16"/>
      <c r="E1052" s="16"/>
      <c r="F1052" s="16"/>
      <c r="G1052" s="16"/>
      <c r="H1052" s="16"/>
      <c r="I1052" s="16"/>
      <c r="J1052" s="16" t="b">
        <f>IFERROR(__xludf.DUMMYFUNCTION("""COMPUTED_VALUE"""),FALSE)</f>
        <v>0</v>
      </c>
      <c r="K1052" s="16"/>
      <c r="L1052" s="16" t="b">
        <f>IFERROR(__xludf.DUMMYFUNCTION("""COMPUTED_VALUE"""),FALSE)</f>
        <v>0</v>
      </c>
      <c r="M1052" s="16" t="b">
        <f>IFERROR(__xludf.DUMMYFUNCTION("""COMPUTED_VALUE"""),FALSE)</f>
        <v>0</v>
      </c>
      <c r="N1052" s="16"/>
    </row>
    <row r="1053">
      <c r="A1053" s="16"/>
      <c r="B1053" s="16"/>
      <c r="C1053" s="16"/>
      <c r="D1053" s="16"/>
      <c r="E1053" s="16"/>
      <c r="F1053" s="16"/>
      <c r="G1053" s="16"/>
      <c r="H1053" s="16"/>
      <c r="I1053" s="16"/>
      <c r="J1053" s="16" t="b">
        <f>IFERROR(__xludf.DUMMYFUNCTION("""COMPUTED_VALUE"""),FALSE)</f>
        <v>0</v>
      </c>
      <c r="K1053" s="16"/>
      <c r="L1053" s="16" t="b">
        <f>IFERROR(__xludf.DUMMYFUNCTION("""COMPUTED_VALUE"""),FALSE)</f>
        <v>0</v>
      </c>
      <c r="M1053" s="16" t="b">
        <f>IFERROR(__xludf.DUMMYFUNCTION("""COMPUTED_VALUE"""),FALSE)</f>
        <v>0</v>
      </c>
      <c r="N1053" s="16"/>
    </row>
    <row r="1054">
      <c r="A1054" s="16"/>
      <c r="B1054" s="16"/>
      <c r="C1054" s="16"/>
      <c r="D1054" s="16"/>
      <c r="E1054" s="16"/>
      <c r="F1054" s="16"/>
      <c r="G1054" s="16"/>
      <c r="H1054" s="16"/>
      <c r="I1054" s="16"/>
      <c r="J1054" s="16" t="b">
        <f>IFERROR(__xludf.DUMMYFUNCTION("""COMPUTED_VALUE"""),FALSE)</f>
        <v>0</v>
      </c>
      <c r="K1054" s="16"/>
      <c r="L1054" s="16" t="b">
        <f>IFERROR(__xludf.DUMMYFUNCTION("""COMPUTED_VALUE"""),FALSE)</f>
        <v>0</v>
      </c>
      <c r="M1054" s="16" t="b">
        <f>IFERROR(__xludf.DUMMYFUNCTION("""COMPUTED_VALUE"""),FALSE)</f>
        <v>0</v>
      </c>
      <c r="N1054" s="16"/>
    </row>
    <row r="1055">
      <c r="A1055" s="16"/>
      <c r="B1055" s="16"/>
      <c r="C1055" s="16"/>
      <c r="D1055" s="16"/>
      <c r="E1055" s="16"/>
      <c r="F1055" s="16"/>
      <c r="G1055" s="16"/>
      <c r="H1055" s="16"/>
      <c r="I1055" s="16"/>
      <c r="J1055" s="16" t="b">
        <f>IFERROR(__xludf.DUMMYFUNCTION("""COMPUTED_VALUE"""),FALSE)</f>
        <v>0</v>
      </c>
      <c r="K1055" s="16"/>
      <c r="L1055" s="16" t="b">
        <f>IFERROR(__xludf.DUMMYFUNCTION("""COMPUTED_VALUE"""),FALSE)</f>
        <v>0</v>
      </c>
      <c r="M1055" s="16" t="b">
        <f>IFERROR(__xludf.DUMMYFUNCTION("""COMPUTED_VALUE"""),FALSE)</f>
        <v>0</v>
      </c>
      <c r="N1055" s="16"/>
    </row>
    <row r="1056">
      <c r="A1056" s="16"/>
      <c r="B1056" s="16"/>
      <c r="C1056" s="16"/>
      <c r="D1056" s="16"/>
      <c r="E1056" s="16"/>
      <c r="F1056" s="16"/>
      <c r="G1056" s="16"/>
      <c r="H1056" s="16"/>
      <c r="I1056" s="16"/>
      <c r="J1056" s="16" t="b">
        <f>IFERROR(__xludf.DUMMYFUNCTION("""COMPUTED_VALUE"""),FALSE)</f>
        <v>0</v>
      </c>
      <c r="K1056" s="16"/>
      <c r="L1056" s="16" t="b">
        <f>IFERROR(__xludf.DUMMYFUNCTION("""COMPUTED_VALUE"""),FALSE)</f>
        <v>0</v>
      </c>
      <c r="M1056" s="16" t="b">
        <f>IFERROR(__xludf.DUMMYFUNCTION("""COMPUTED_VALUE"""),FALSE)</f>
        <v>0</v>
      </c>
      <c r="N1056" s="16"/>
    </row>
    <row r="1057">
      <c r="A1057" s="16"/>
      <c r="B1057" s="16"/>
      <c r="C1057" s="16"/>
      <c r="D1057" s="16"/>
      <c r="E1057" s="16"/>
      <c r="F1057" s="16"/>
      <c r="G1057" s="16"/>
      <c r="H1057" s="16"/>
      <c r="I1057" s="16"/>
      <c r="J1057" s="16" t="b">
        <f>IFERROR(__xludf.DUMMYFUNCTION("""COMPUTED_VALUE"""),FALSE)</f>
        <v>0</v>
      </c>
      <c r="K1057" s="16"/>
      <c r="L1057" s="16" t="b">
        <f>IFERROR(__xludf.DUMMYFUNCTION("""COMPUTED_VALUE"""),FALSE)</f>
        <v>0</v>
      </c>
      <c r="M1057" s="16" t="b">
        <f>IFERROR(__xludf.DUMMYFUNCTION("""COMPUTED_VALUE"""),FALSE)</f>
        <v>0</v>
      </c>
      <c r="N1057" s="16"/>
    </row>
    <row r="1058">
      <c r="A1058" s="16"/>
      <c r="B1058" s="16"/>
      <c r="C1058" s="16"/>
      <c r="D1058" s="16"/>
      <c r="E1058" s="16"/>
      <c r="F1058" s="16"/>
      <c r="G1058" s="16"/>
      <c r="H1058" s="16"/>
      <c r="I1058" s="16"/>
      <c r="J1058" s="16" t="b">
        <f>IFERROR(__xludf.DUMMYFUNCTION("""COMPUTED_VALUE"""),FALSE)</f>
        <v>0</v>
      </c>
      <c r="K1058" s="16"/>
      <c r="L1058" s="16" t="b">
        <f>IFERROR(__xludf.DUMMYFUNCTION("""COMPUTED_VALUE"""),FALSE)</f>
        <v>0</v>
      </c>
      <c r="M1058" s="16" t="b">
        <f>IFERROR(__xludf.DUMMYFUNCTION("""COMPUTED_VALUE"""),FALSE)</f>
        <v>0</v>
      </c>
      <c r="N1058" s="16"/>
    </row>
    <row r="1059">
      <c r="A1059" s="16"/>
      <c r="B1059" s="16"/>
      <c r="C1059" s="16"/>
      <c r="D1059" s="16"/>
      <c r="E1059" s="16"/>
      <c r="F1059" s="16"/>
      <c r="G1059" s="16"/>
      <c r="H1059" s="16"/>
      <c r="I1059" s="16"/>
      <c r="J1059" s="16" t="b">
        <f>IFERROR(__xludf.DUMMYFUNCTION("""COMPUTED_VALUE"""),FALSE)</f>
        <v>0</v>
      </c>
      <c r="K1059" s="16"/>
      <c r="L1059" s="16" t="b">
        <f>IFERROR(__xludf.DUMMYFUNCTION("""COMPUTED_VALUE"""),FALSE)</f>
        <v>0</v>
      </c>
      <c r="M1059" s="16" t="b">
        <f>IFERROR(__xludf.DUMMYFUNCTION("""COMPUTED_VALUE"""),FALSE)</f>
        <v>0</v>
      </c>
      <c r="N1059" s="16"/>
    </row>
    <row r="1060">
      <c r="A1060" s="16"/>
      <c r="B1060" s="16"/>
      <c r="C1060" s="16"/>
      <c r="D1060" s="16"/>
      <c r="E1060" s="16"/>
      <c r="F1060" s="16"/>
      <c r="G1060" s="16"/>
      <c r="H1060" s="16"/>
      <c r="I1060" s="16"/>
      <c r="J1060" s="16" t="b">
        <f>IFERROR(__xludf.DUMMYFUNCTION("""COMPUTED_VALUE"""),FALSE)</f>
        <v>0</v>
      </c>
      <c r="K1060" s="16"/>
      <c r="L1060" s="16" t="b">
        <f>IFERROR(__xludf.DUMMYFUNCTION("""COMPUTED_VALUE"""),FALSE)</f>
        <v>0</v>
      </c>
      <c r="M1060" s="16" t="b">
        <f>IFERROR(__xludf.DUMMYFUNCTION("""COMPUTED_VALUE"""),FALSE)</f>
        <v>0</v>
      </c>
      <c r="N1060" s="16"/>
    </row>
    <row r="1061">
      <c r="A1061" s="16"/>
      <c r="B1061" s="16"/>
      <c r="C1061" s="16"/>
      <c r="D1061" s="16"/>
      <c r="E1061" s="16"/>
      <c r="F1061" s="16"/>
      <c r="G1061" s="16"/>
      <c r="H1061" s="16"/>
      <c r="I1061" s="16"/>
      <c r="J1061" s="16" t="b">
        <f>IFERROR(__xludf.DUMMYFUNCTION("""COMPUTED_VALUE"""),FALSE)</f>
        <v>0</v>
      </c>
      <c r="K1061" s="16"/>
      <c r="L1061" s="16" t="b">
        <f>IFERROR(__xludf.DUMMYFUNCTION("""COMPUTED_VALUE"""),FALSE)</f>
        <v>0</v>
      </c>
      <c r="M1061" s="16" t="b">
        <f>IFERROR(__xludf.DUMMYFUNCTION("""COMPUTED_VALUE"""),FALSE)</f>
        <v>0</v>
      </c>
      <c r="N1061" s="16"/>
    </row>
    <row r="1062">
      <c r="A1062" s="16"/>
      <c r="B1062" s="16"/>
      <c r="C1062" s="16"/>
      <c r="D1062" s="16"/>
      <c r="E1062" s="16"/>
      <c r="F1062" s="16"/>
      <c r="G1062" s="16"/>
      <c r="H1062" s="16"/>
      <c r="I1062" s="16"/>
      <c r="J1062" s="16" t="b">
        <f>IFERROR(__xludf.DUMMYFUNCTION("""COMPUTED_VALUE"""),FALSE)</f>
        <v>0</v>
      </c>
      <c r="K1062" s="16"/>
      <c r="L1062" s="16" t="b">
        <f>IFERROR(__xludf.DUMMYFUNCTION("""COMPUTED_VALUE"""),FALSE)</f>
        <v>0</v>
      </c>
      <c r="M1062" s="16" t="b">
        <f>IFERROR(__xludf.DUMMYFUNCTION("""COMPUTED_VALUE"""),FALSE)</f>
        <v>0</v>
      </c>
      <c r="N1062" s="16"/>
    </row>
    <row r="1063">
      <c r="A1063" s="16"/>
      <c r="B1063" s="16"/>
      <c r="C1063" s="16"/>
      <c r="D1063" s="16"/>
      <c r="E1063" s="16"/>
      <c r="F1063" s="16"/>
      <c r="G1063" s="16"/>
      <c r="H1063" s="16"/>
      <c r="I1063" s="16"/>
      <c r="J1063" s="16" t="b">
        <f>IFERROR(__xludf.DUMMYFUNCTION("""COMPUTED_VALUE"""),FALSE)</f>
        <v>0</v>
      </c>
      <c r="K1063" s="16"/>
      <c r="L1063" s="16" t="b">
        <f>IFERROR(__xludf.DUMMYFUNCTION("""COMPUTED_VALUE"""),FALSE)</f>
        <v>0</v>
      </c>
      <c r="M1063" s="16" t="b">
        <f>IFERROR(__xludf.DUMMYFUNCTION("""COMPUTED_VALUE"""),FALSE)</f>
        <v>0</v>
      </c>
      <c r="N1063" s="16"/>
    </row>
    <row r="1064">
      <c r="A1064" s="16"/>
      <c r="B1064" s="16"/>
      <c r="C1064" s="16"/>
      <c r="D1064" s="16"/>
      <c r="E1064" s="16"/>
      <c r="F1064" s="16"/>
      <c r="G1064" s="16"/>
      <c r="H1064" s="16"/>
      <c r="I1064" s="16"/>
      <c r="J1064" s="16" t="b">
        <f>IFERROR(__xludf.DUMMYFUNCTION("""COMPUTED_VALUE"""),FALSE)</f>
        <v>0</v>
      </c>
      <c r="K1064" s="16"/>
      <c r="L1064" s="16" t="b">
        <f>IFERROR(__xludf.DUMMYFUNCTION("""COMPUTED_VALUE"""),FALSE)</f>
        <v>0</v>
      </c>
      <c r="M1064" s="16" t="b">
        <f>IFERROR(__xludf.DUMMYFUNCTION("""COMPUTED_VALUE"""),FALSE)</f>
        <v>0</v>
      </c>
      <c r="N1064" s="16"/>
    </row>
    <row r="1065">
      <c r="A1065" s="16"/>
      <c r="B1065" s="16"/>
      <c r="C1065" s="16"/>
      <c r="D1065" s="16"/>
      <c r="E1065" s="16"/>
      <c r="F1065" s="16"/>
      <c r="G1065" s="16"/>
      <c r="H1065" s="16"/>
      <c r="I1065" s="16"/>
      <c r="J1065" s="16" t="b">
        <f>IFERROR(__xludf.DUMMYFUNCTION("""COMPUTED_VALUE"""),FALSE)</f>
        <v>0</v>
      </c>
      <c r="K1065" s="16"/>
      <c r="L1065" s="16" t="b">
        <f>IFERROR(__xludf.DUMMYFUNCTION("""COMPUTED_VALUE"""),FALSE)</f>
        <v>0</v>
      </c>
      <c r="M1065" s="16" t="b">
        <f>IFERROR(__xludf.DUMMYFUNCTION("""COMPUTED_VALUE"""),FALSE)</f>
        <v>0</v>
      </c>
      <c r="N1065" s="16"/>
    </row>
    <row r="1066">
      <c r="A1066" s="16"/>
      <c r="B1066" s="16"/>
      <c r="C1066" s="16"/>
      <c r="D1066" s="16"/>
      <c r="E1066" s="16"/>
      <c r="F1066" s="16"/>
      <c r="G1066" s="16"/>
      <c r="H1066" s="16"/>
      <c r="I1066" s="16"/>
      <c r="J1066" s="16" t="b">
        <f>IFERROR(__xludf.DUMMYFUNCTION("""COMPUTED_VALUE"""),FALSE)</f>
        <v>0</v>
      </c>
      <c r="K1066" s="16"/>
      <c r="L1066" s="16" t="b">
        <f>IFERROR(__xludf.DUMMYFUNCTION("""COMPUTED_VALUE"""),FALSE)</f>
        <v>0</v>
      </c>
      <c r="M1066" s="16" t="b">
        <f>IFERROR(__xludf.DUMMYFUNCTION("""COMPUTED_VALUE"""),FALSE)</f>
        <v>0</v>
      </c>
      <c r="N1066" s="16"/>
    </row>
    <row r="1067">
      <c r="A1067" s="16"/>
      <c r="B1067" s="16"/>
      <c r="C1067" s="16"/>
      <c r="D1067" s="16"/>
      <c r="E1067" s="16"/>
      <c r="F1067" s="16"/>
      <c r="G1067" s="16"/>
      <c r="H1067" s="16"/>
      <c r="I1067" s="16"/>
      <c r="J1067" s="16" t="b">
        <f>IFERROR(__xludf.DUMMYFUNCTION("""COMPUTED_VALUE"""),FALSE)</f>
        <v>0</v>
      </c>
      <c r="K1067" s="16"/>
      <c r="L1067" s="16" t="b">
        <f>IFERROR(__xludf.DUMMYFUNCTION("""COMPUTED_VALUE"""),FALSE)</f>
        <v>0</v>
      </c>
      <c r="M1067" s="16" t="b">
        <f>IFERROR(__xludf.DUMMYFUNCTION("""COMPUTED_VALUE"""),FALSE)</f>
        <v>0</v>
      </c>
      <c r="N1067" s="16"/>
    </row>
    <row r="1068">
      <c r="A1068" s="16"/>
      <c r="B1068" s="16"/>
      <c r="C1068" s="16"/>
      <c r="D1068" s="16"/>
      <c r="E1068" s="16"/>
      <c r="F1068" s="16"/>
      <c r="G1068" s="16"/>
      <c r="H1068" s="16"/>
      <c r="I1068" s="16"/>
      <c r="J1068" s="16" t="b">
        <f>IFERROR(__xludf.DUMMYFUNCTION("""COMPUTED_VALUE"""),FALSE)</f>
        <v>0</v>
      </c>
      <c r="K1068" s="16"/>
      <c r="L1068" s="16" t="b">
        <f>IFERROR(__xludf.DUMMYFUNCTION("""COMPUTED_VALUE"""),FALSE)</f>
        <v>0</v>
      </c>
      <c r="M1068" s="16" t="b">
        <f>IFERROR(__xludf.DUMMYFUNCTION("""COMPUTED_VALUE"""),FALSE)</f>
        <v>0</v>
      </c>
      <c r="N1068" s="16"/>
    </row>
    <row r="1069">
      <c r="A1069" s="16"/>
      <c r="B1069" s="16"/>
      <c r="C1069" s="16"/>
      <c r="D1069" s="16"/>
      <c r="E1069" s="16"/>
      <c r="F1069" s="16"/>
      <c r="G1069" s="16"/>
      <c r="H1069" s="16"/>
      <c r="I1069" s="16"/>
      <c r="J1069" s="16" t="b">
        <f>IFERROR(__xludf.DUMMYFUNCTION("""COMPUTED_VALUE"""),FALSE)</f>
        <v>0</v>
      </c>
      <c r="K1069" s="16"/>
      <c r="L1069" s="16" t="b">
        <f>IFERROR(__xludf.DUMMYFUNCTION("""COMPUTED_VALUE"""),FALSE)</f>
        <v>0</v>
      </c>
      <c r="M1069" s="16" t="b">
        <f>IFERROR(__xludf.DUMMYFUNCTION("""COMPUTED_VALUE"""),FALSE)</f>
        <v>0</v>
      </c>
      <c r="N1069" s="16"/>
    </row>
    <row r="1070">
      <c r="A1070" s="16"/>
      <c r="B1070" s="16"/>
      <c r="C1070" s="16"/>
      <c r="D1070" s="16"/>
      <c r="E1070" s="16"/>
      <c r="F1070" s="16"/>
      <c r="G1070" s="16"/>
      <c r="H1070" s="16"/>
      <c r="I1070" s="16"/>
      <c r="J1070" s="16" t="b">
        <f>IFERROR(__xludf.DUMMYFUNCTION("""COMPUTED_VALUE"""),FALSE)</f>
        <v>0</v>
      </c>
      <c r="K1070" s="16"/>
      <c r="L1070" s="16" t="b">
        <f>IFERROR(__xludf.DUMMYFUNCTION("""COMPUTED_VALUE"""),FALSE)</f>
        <v>0</v>
      </c>
      <c r="M1070" s="16" t="b">
        <f>IFERROR(__xludf.DUMMYFUNCTION("""COMPUTED_VALUE"""),FALSE)</f>
        <v>0</v>
      </c>
      <c r="N1070" s="16"/>
    </row>
    <row r="1071">
      <c r="A1071" s="16"/>
      <c r="B1071" s="16"/>
      <c r="C1071" s="16"/>
      <c r="D1071" s="16"/>
      <c r="E1071" s="16"/>
      <c r="F1071" s="16"/>
      <c r="G1071" s="16"/>
      <c r="H1071" s="16"/>
      <c r="I1071" s="16"/>
      <c r="J1071" s="16" t="b">
        <f>IFERROR(__xludf.DUMMYFUNCTION("""COMPUTED_VALUE"""),FALSE)</f>
        <v>0</v>
      </c>
      <c r="K1071" s="16"/>
      <c r="L1071" s="16" t="b">
        <f>IFERROR(__xludf.DUMMYFUNCTION("""COMPUTED_VALUE"""),FALSE)</f>
        <v>0</v>
      </c>
      <c r="M1071" s="16" t="b">
        <f>IFERROR(__xludf.DUMMYFUNCTION("""COMPUTED_VALUE"""),FALSE)</f>
        <v>0</v>
      </c>
      <c r="N1071" s="16"/>
    </row>
    <row r="1072">
      <c r="A1072" s="16"/>
      <c r="B1072" s="16"/>
      <c r="C1072" s="16"/>
      <c r="D1072" s="16"/>
      <c r="E1072" s="16"/>
      <c r="F1072" s="16"/>
      <c r="G1072" s="16"/>
      <c r="H1072" s="16"/>
      <c r="I1072" s="16"/>
      <c r="J1072" s="16" t="b">
        <f>IFERROR(__xludf.DUMMYFUNCTION("""COMPUTED_VALUE"""),FALSE)</f>
        <v>0</v>
      </c>
      <c r="K1072" s="16"/>
      <c r="L1072" s="16" t="b">
        <f>IFERROR(__xludf.DUMMYFUNCTION("""COMPUTED_VALUE"""),FALSE)</f>
        <v>0</v>
      </c>
      <c r="M1072" s="16" t="b">
        <f>IFERROR(__xludf.DUMMYFUNCTION("""COMPUTED_VALUE"""),FALSE)</f>
        <v>0</v>
      </c>
      <c r="N1072" s="16"/>
    </row>
    <row r="1073">
      <c r="A1073" s="16"/>
      <c r="B1073" s="16"/>
      <c r="C1073" s="16"/>
      <c r="D1073" s="16"/>
      <c r="E1073" s="16"/>
      <c r="F1073" s="16"/>
      <c r="G1073" s="16"/>
      <c r="H1073" s="16"/>
      <c r="I1073" s="16"/>
      <c r="J1073" s="16" t="b">
        <f>IFERROR(__xludf.DUMMYFUNCTION("""COMPUTED_VALUE"""),FALSE)</f>
        <v>0</v>
      </c>
      <c r="K1073" s="16"/>
      <c r="L1073" s="16" t="b">
        <f>IFERROR(__xludf.DUMMYFUNCTION("""COMPUTED_VALUE"""),FALSE)</f>
        <v>0</v>
      </c>
      <c r="M1073" s="16" t="b">
        <f>IFERROR(__xludf.DUMMYFUNCTION("""COMPUTED_VALUE"""),FALSE)</f>
        <v>0</v>
      </c>
      <c r="N1073" s="16"/>
    </row>
    <row r="1074">
      <c r="A1074" s="16"/>
      <c r="B1074" s="16"/>
      <c r="C1074" s="16"/>
      <c r="D1074" s="16"/>
      <c r="E1074" s="16"/>
      <c r="F1074" s="16"/>
      <c r="G1074" s="16"/>
      <c r="H1074" s="16"/>
      <c r="I1074" s="16"/>
      <c r="J1074" s="16" t="b">
        <f>IFERROR(__xludf.DUMMYFUNCTION("""COMPUTED_VALUE"""),FALSE)</f>
        <v>0</v>
      </c>
      <c r="K1074" s="16"/>
      <c r="L1074" s="16" t="b">
        <f>IFERROR(__xludf.DUMMYFUNCTION("""COMPUTED_VALUE"""),FALSE)</f>
        <v>0</v>
      </c>
      <c r="M1074" s="16" t="b">
        <f>IFERROR(__xludf.DUMMYFUNCTION("""COMPUTED_VALUE"""),FALSE)</f>
        <v>0</v>
      </c>
      <c r="N1074" s="16"/>
    </row>
    <row r="1075">
      <c r="A1075" s="16"/>
      <c r="B1075" s="16"/>
      <c r="C1075" s="16"/>
      <c r="D1075" s="16"/>
      <c r="E1075" s="16"/>
      <c r="F1075" s="16"/>
      <c r="G1075" s="16"/>
      <c r="H1075" s="16"/>
      <c r="I1075" s="16"/>
      <c r="J1075" s="16" t="b">
        <f>IFERROR(__xludf.DUMMYFUNCTION("""COMPUTED_VALUE"""),FALSE)</f>
        <v>0</v>
      </c>
      <c r="K1075" s="16"/>
      <c r="L1075" s="16" t="b">
        <f>IFERROR(__xludf.DUMMYFUNCTION("""COMPUTED_VALUE"""),FALSE)</f>
        <v>0</v>
      </c>
      <c r="M1075" s="16" t="b">
        <f>IFERROR(__xludf.DUMMYFUNCTION("""COMPUTED_VALUE"""),FALSE)</f>
        <v>0</v>
      </c>
      <c r="N1075" s="16"/>
    </row>
    <row r="1076">
      <c r="A1076" s="16"/>
      <c r="B1076" s="16"/>
      <c r="C1076" s="16"/>
      <c r="D1076" s="16"/>
      <c r="E1076" s="16"/>
      <c r="F1076" s="16"/>
      <c r="G1076" s="16"/>
      <c r="H1076" s="16"/>
      <c r="I1076" s="16"/>
      <c r="J1076" s="16" t="b">
        <f>IFERROR(__xludf.DUMMYFUNCTION("""COMPUTED_VALUE"""),FALSE)</f>
        <v>0</v>
      </c>
      <c r="K1076" s="16"/>
      <c r="L1076" s="16" t="b">
        <f>IFERROR(__xludf.DUMMYFUNCTION("""COMPUTED_VALUE"""),FALSE)</f>
        <v>0</v>
      </c>
      <c r="M1076" s="16" t="b">
        <f>IFERROR(__xludf.DUMMYFUNCTION("""COMPUTED_VALUE"""),FALSE)</f>
        <v>0</v>
      </c>
      <c r="N1076" s="16"/>
    </row>
    <row r="1077">
      <c r="A1077" s="16"/>
      <c r="B1077" s="16"/>
      <c r="C1077" s="16"/>
      <c r="D1077" s="16"/>
      <c r="E1077" s="16"/>
      <c r="F1077" s="16"/>
      <c r="G1077" s="16"/>
      <c r="H1077" s="16"/>
      <c r="I1077" s="16"/>
      <c r="J1077" s="16" t="b">
        <f>IFERROR(__xludf.DUMMYFUNCTION("""COMPUTED_VALUE"""),FALSE)</f>
        <v>0</v>
      </c>
      <c r="K1077" s="16"/>
      <c r="L1077" s="16" t="b">
        <f>IFERROR(__xludf.DUMMYFUNCTION("""COMPUTED_VALUE"""),FALSE)</f>
        <v>0</v>
      </c>
      <c r="M1077" s="16" t="b">
        <f>IFERROR(__xludf.DUMMYFUNCTION("""COMPUTED_VALUE"""),FALSE)</f>
        <v>0</v>
      </c>
      <c r="N1077" s="16"/>
    </row>
    <row r="1078">
      <c r="A1078" s="16"/>
      <c r="B1078" s="16"/>
      <c r="C1078" s="16"/>
      <c r="D1078" s="16"/>
      <c r="E1078" s="16"/>
      <c r="F1078" s="16"/>
      <c r="G1078" s="16"/>
      <c r="H1078" s="16"/>
      <c r="I1078" s="16"/>
      <c r="J1078" s="16" t="b">
        <f>IFERROR(__xludf.DUMMYFUNCTION("""COMPUTED_VALUE"""),FALSE)</f>
        <v>0</v>
      </c>
      <c r="K1078" s="16"/>
      <c r="L1078" s="16" t="b">
        <f>IFERROR(__xludf.DUMMYFUNCTION("""COMPUTED_VALUE"""),FALSE)</f>
        <v>0</v>
      </c>
      <c r="M1078" s="16" t="b">
        <f>IFERROR(__xludf.DUMMYFUNCTION("""COMPUTED_VALUE"""),FALSE)</f>
        <v>0</v>
      </c>
      <c r="N1078" s="16"/>
    </row>
    <row r="1079">
      <c r="A1079" s="16"/>
      <c r="B1079" s="16"/>
      <c r="C1079" s="16"/>
      <c r="D1079" s="16"/>
      <c r="E1079" s="16"/>
      <c r="F1079" s="16"/>
      <c r="G1079" s="16"/>
      <c r="H1079" s="16"/>
      <c r="I1079" s="16"/>
      <c r="J1079" s="16" t="b">
        <f>IFERROR(__xludf.DUMMYFUNCTION("""COMPUTED_VALUE"""),FALSE)</f>
        <v>0</v>
      </c>
      <c r="K1079" s="16"/>
      <c r="L1079" s="16" t="b">
        <f>IFERROR(__xludf.DUMMYFUNCTION("""COMPUTED_VALUE"""),FALSE)</f>
        <v>0</v>
      </c>
      <c r="M1079" s="16" t="b">
        <f>IFERROR(__xludf.DUMMYFUNCTION("""COMPUTED_VALUE"""),FALSE)</f>
        <v>0</v>
      </c>
      <c r="N1079" s="16"/>
    </row>
    <row r="1080">
      <c r="A1080" s="16"/>
      <c r="B1080" s="16"/>
      <c r="C1080" s="16"/>
      <c r="D1080" s="16"/>
      <c r="E1080" s="16"/>
      <c r="F1080" s="16"/>
      <c r="G1080" s="16"/>
      <c r="H1080" s="16"/>
      <c r="I1080" s="16"/>
      <c r="J1080" s="16" t="b">
        <f>IFERROR(__xludf.DUMMYFUNCTION("""COMPUTED_VALUE"""),FALSE)</f>
        <v>0</v>
      </c>
      <c r="K1080" s="16"/>
      <c r="L1080" s="16" t="b">
        <f>IFERROR(__xludf.DUMMYFUNCTION("""COMPUTED_VALUE"""),FALSE)</f>
        <v>0</v>
      </c>
      <c r="M1080" s="16" t="b">
        <f>IFERROR(__xludf.DUMMYFUNCTION("""COMPUTED_VALUE"""),FALSE)</f>
        <v>0</v>
      </c>
      <c r="N1080" s="16"/>
    </row>
    <row r="1081">
      <c r="A1081" s="16"/>
      <c r="B1081" s="16"/>
      <c r="C1081" s="16"/>
      <c r="D1081" s="16"/>
      <c r="E1081" s="16"/>
      <c r="F1081" s="16"/>
      <c r="G1081" s="16"/>
      <c r="H1081" s="16"/>
      <c r="I1081" s="16"/>
      <c r="J1081" s="16" t="b">
        <f>IFERROR(__xludf.DUMMYFUNCTION("""COMPUTED_VALUE"""),FALSE)</f>
        <v>0</v>
      </c>
      <c r="K1081" s="16"/>
      <c r="L1081" s="16" t="b">
        <f>IFERROR(__xludf.DUMMYFUNCTION("""COMPUTED_VALUE"""),FALSE)</f>
        <v>0</v>
      </c>
      <c r="M1081" s="16" t="b">
        <f>IFERROR(__xludf.DUMMYFUNCTION("""COMPUTED_VALUE"""),FALSE)</f>
        <v>0</v>
      </c>
      <c r="N1081" s="16"/>
    </row>
    <row r="1082">
      <c r="A1082" s="16"/>
      <c r="B1082" s="16"/>
      <c r="C1082" s="16"/>
      <c r="D1082" s="16"/>
      <c r="E1082" s="16"/>
      <c r="F1082" s="16"/>
      <c r="G1082" s="16"/>
      <c r="H1082" s="16"/>
      <c r="I1082" s="16"/>
      <c r="J1082" s="16" t="b">
        <f>IFERROR(__xludf.DUMMYFUNCTION("""COMPUTED_VALUE"""),FALSE)</f>
        <v>0</v>
      </c>
      <c r="K1082" s="16"/>
      <c r="L1082" s="16" t="b">
        <f>IFERROR(__xludf.DUMMYFUNCTION("""COMPUTED_VALUE"""),FALSE)</f>
        <v>0</v>
      </c>
      <c r="M1082" s="16" t="b">
        <f>IFERROR(__xludf.DUMMYFUNCTION("""COMPUTED_VALUE"""),FALSE)</f>
        <v>0</v>
      </c>
      <c r="N1082" s="16"/>
    </row>
    <row r="1083">
      <c r="A1083" s="16"/>
      <c r="B1083" s="16"/>
      <c r="C1083" s="16"/>
      <c r="D1083" s="16"/>
      <c r="E1083" s="16"/>
      <c r="F1083" s="16"/>
      <c r="G1083" s="16"/>
      <c r="H1083" s="16"/>
      <c r="I1083" s="16"/>
      <c r="J1083" s="16" t="b">
        <f>IFERROR(__xludf.DUMMYFUNCTION("""COMPUTED_VALUE"""),FALSE)</f>
        <v>0</v>
      </c>
      <c r="K1083" s="16"/>
      <c r="L1083" s="16" t="b">
        <f>IFERROR(__xludf.DUMMYFUNCTION("""COMPUTED_VALUE"""),FALSE)</f>
        <v>0</v>
      </c>
      <c r="M1083" s="16" t="b">
        <f>IFERROR(__xludf.DUMMYFUNCTION("""COMPUTED_VALUE"""),FALSE)</f>
        <v>0</v>
      </c>
      <c r="N1083" s="16"/>
    </row>
    <row r="1084">
      <c r="A1084" s="16"/>
      <c r="B1084" s="16"/>
      <c r="C1084" s="16"/>
      <c r="D1084" s="16"/>
      <c r="E1084" s="16"/>
      <c r="F1084" s="16"/>
      <c r="G1084" s="16"/>
      <c r="H1084" s="16"/>
      <c r="I1084" s="16"/>
      <c r="J1084" s="16" t="b">
        <f>IFERROR(__xludf.DUMMYFUNCTION("""COMPUTED_VALUE"""),FALSE)</f>
        <v>0</v>
      </c>
      <c r="K1084" s="16"/>
      <c r="L1084" s="16" t="b">
        <f>IFERROR(__xludf.DUMMYFUNCTION("""COMPUTED_VALUE"""),FALSE)</f>
        <v>0</v>
      </c>
      <c r="M1084" s="16" t="b">
        <f>IFERROR(__xludf.DUMMYFUNCTION("""COMPUTED_VALUE"""),FALSE)</f>
        <v>0</v>
      </c>
      <c r="N1084" s="16"/>
    </row>
    <row r="1085">
      <c r="A1085" s="16"/>
      <c r="B1085" s="16"/>
      <c r="C1085" s="16"/>
      <c r="D1085" s="16"/>
      <c r="E1085" s="16"/>
      <c r="F1085" s="16"/>
      <c r="G1085" s="16"/>
      <c r="H1085" s="16"/>
      <c r="I1085" s="16"/>
      <c r="J1085" s="16" t="b">
        <f>IFERROR(__xludf.DUMMYFUNCTION("""COMPUTED_VALUE"""),FALSE)</f>
        <v>0</v>
      </c>
      <c r="K1085" s="16"/>
      <c r="L1085" s="16" t="b">
        <f>IFERROR(__xludf.DUMMYFUNCTION("""COMPUTED_VALUE"""),FALSE)</f>
        <v>0</v>
      </c>
      <c r="M1085" s="16" t="b">
        <f>IFERROR(__xludf.DUMMYFUNCTION("""COMPUTED_VALUE"""),FALSE)</f>
        <v>0</v>
      </c>
      <c r="N1085" s="16"/>
    </row>
    <row r="1086">
      <c r="A1086" s="16"/>
      <c r="B1086" s="16"/>
      <c r="C1086" s="16"/>
      <c r="D1086" s="16"/>
      <c r="E1086" s="16"/>
      <c r="F1086" s="16"/>
      <c r="G1086" s="16"/>
      <c r="H1086" s="16"/>
      <c r="I1086" s="16"/>
      <c r="J1086" s="16" t="b">
        <f>IFERROR(__xludf.DUMMYFUNCTION("""COMPUTED_VALUE"""),FALSE)</f>
        <v>0</v>
      </c>
      <c r="K1086" s="16"/>
      <c r="L1086" s="16" t="b">
        <f>IFERROR(__xludf.DUMMYFUNCTION("""COMPUTED_VALUE"""),FALSE)</f>
        <v>0</v>
      </c>
      <c r="M1086" s="16" t="b">
        <f>IFERROR(__xludf.DUMMYFUNCTION("""COMPUTED_VALUE"""),FALSE)</f>
        <v>0</v>
      </c>
      <c r="N1086" s="16"/>
    </row>
    <row r="1087">
      <c r="A1087" s="16"/>
      <c r="B1087" s="16"/>
      <c r="C1087" s="16"/>
      <c r="D1087" s="16"/>
      <c r="E1087" s="16"/>
      <c r="F1087" s="16"/>
      <c r="G1087" s="16"/>
      <c r="H1087" s="16"/>
      <c r="I1087" s="16"/>
      <c r="J1087" s="16" t="b">
        <f>IFERROR(__xludf.DUMMYFUNCTION("""COMPUTED_VALUE"""),FALSE)</f>
        <v>0</v>
      </c>
      <c r="K1087" s="16"/>
      <c r="L1087" s="16" t="b">
        <f>IFERROR(__xludf.DUMMYFUNCTION("""COMPUTED_VALUE"""),FALSE)</f>
        <v>0</v>
      </c>
      <c r="M1087" s="16" t="b">
        <f>IFERROR(__xludf.DUMMYFUNCTION("""COMPUTED_VALUE"""),FALSE)</f>
        <v>0</v>
      </c>
      <c r="N1087" s="16"/>
    </row>
    <row r="1088">
      <c r="A1088" s="16"/>
      <c r="B1088" s="16"/>
      <c r="C1088" s="16"/>
      <c r="D1088" s="16"/>
      <c r="E1088" s="16"/>
      <c r="F1088" s="16"/>
      <c r="G1088" s="16"/>
      <c r="H1088" s="16"/>
      <c r="I1088" s="16"/>
      <c r="J1088" s="16" t="b">
        <f>IFERROR(__xludf.DUMMYFUNCTION("""COMPUTED_VALUE"""),FALSE)</f>
        <v>0</v>
      </c>
      <c r="K1088" s="16"/>
      <c r="L1088" s="16" t="b">
        <f>IFERROR(__xludf.DUMMYFUNCTION("""COMPUTED_VALUE"""),FALSE)</f>
        <v>0</v>
      </c>
      <c r="M1088" s="16" t="b">
        <f>IFERROR(__xludf.DUMMYFUNCTION("""COMPUTED_VALUE"""),FALSE)</f>
        <v>0</v>
      </c>
      <c r="N1088" s="16"/>
    </row>
    <row r="1089">
      <c r="A1089" s="16"/>
      <c r="B1089" s="16"/>
      <c r="C1089" s="16"/>
      <c r="D1089" s="16"/>
      <c r="E1089" s="16"/>
      <c r="F1089" s="16"/>
      <c r="G1089" s="16"/>
      <c r="H1089" s="16"/>
      <c r="I1089" s="16"/>
      <c r="J1089" s="16" t="b">
        <f>IFERROR(__xludf.DUMMYFUNCTION("""COMPUTED_VALUE"""),FALSE)</f>
        <v>0</v>
      </c>
      <c r="K1089" s="16"/>
      <c r="L1089" s="16" t="b">
        <f>IFERROR(__xludf.DUMMYFUNCTION("""COMPUTED_VALUE"""),FALSE)</f>
        <v>0</v>
      </c>
      <c r="M1089" s="16" t="b">
        <f>IFERROR(__xludf.DUMMYFUNCTION("""COMPUTED_VALUE"""),FALSE)</f>
        <v>0</v>
      </c>
      <c r="N1089" s="16"/>
    </row>
    <row r="1090">
      <c r="A1090" s="16"/>
      <c r="B1090" s="16"/>
      <c r="C1090" s="16"/>
      <c r="D1090" s="16"/>
      <c r="E1090" s="16"/>
      <c r="F1090" s="16"/>
      <c r="G1090" s="16"/>
      <c r="H1090" s="16"/>
      <c r="I1090" s="16"/>
      <c r="J1090" s="16" t="b">
        <f>IFERROR(__xludf.DUMMYFUNCTION("""COMPUTED_VALUE"""),FALSE)</f>
        <v>0</v>
      </c>
      <c r="K1090" s="16"/>
      <c r="L1090" s="16" t="b">
        <f>IFERROR(__xludf.DUMMYFUNCTION("""COMPUTED_VALUE"""),FALSE)</f>
        <v>0</v>
      </c>
      <c r="M1090" s="16" t="b">
        <f>IFERROR(__xludf.DUMMYFUNCTION("""COMPUTED_VALUE"""),FALSE)</f>
        <v>0</v>
      </c>
      <c r="N1090" s="16"/>
    </row>
    <row r="1091">
      <c r="A1091" s="16"/>
      <c r="B1091" s="16"/>
      <c r="C1091" s="16"/>
      <c r="D1091" s="16"/>
      <c r="E1091" s="16"/>
      <c r="F1091" s="16"/>
      <c r="G1091" s="16"/>
      <c r="H1091" s="16"/>
      <c r="I1091" s="16"/>
      <c r="J1091" s="16" t="b">
        <f>IFERROR(__xludf.DUMMYFUNCTION("""COMPUTED_VALUE"""),FALSE)</f>
        <v>0</v>
      </c>
      <c r="K1091" s="16"/>
      <c r="L1091" s="16" t="b">
        <f>IFERROR(__xludf.DUMMYFUNCTION("""COMPUTED_VALUE"""),FALSE)</f>
        <v>0</v>
      </c>
      <c r="M1091" s="16" t="b">
        <f>IFERROR(__xludf.DUMMYFUNCTION("""COMPUTED_VALUE"""),FALSE)</f>
        <v>0</v>
      </c>
      <c r="N1091" s="16"/>
    </row>
    <row r="1092">
      <c r="A1092" s="16"/>
      <c r="B1092" s="16"/>
      <c r="C1092" s="16"/>
      <c r="D1092" s="16"/>
      <c r="E1092" s="16"/>
      <c r="F1092" s="16"/>
      <c r="G1092" s="16"/>
      <c r="H1092" s="16"/>
      <c r="I1092" s="16"/>
      <c r="J1092" s="16" t="b">
        <f>IFERROR(__xludf.DUMMYFUNCTION("""COMPUTED_VALUE"""),FALSE)</f>
        <v>0</v>
      </c>
      <c r="K1092" s="16"/>
      <c r="L1092" s="16" t="b">
        <f>IFERROR(__xludf.DUMMYFUNCTION("""COMPUTED_VALUE"""),FALSE)</f>
        <v>0</v>
      </c>
      <c r="M1092" s="16" t="b">
        <f>IFERROR(__xludf.DUMMYFUNCTION("""COMPUTED_VALUE"""),FALSE)</f>
        <v>0</v>
      </c>
      <c r="N1092" s="16"/>
    </row>
    <row r="1093">
      <c r="A1093" s="16"/>
      <c r="B1093" s="16"/>
      <c r="C1093" s="16"/>
      <c r="D1093" s="16"/>
      <c r="E1093" s="16"/>
      <c r="F1093" s="16"/>
      <c r="G1093" s="16"/>
      <c r="H1093" s="16"/>
      <c r="I1093" s="16"/>
      <c r="J1093" s="16" t="b">
        <f>IFERROR(__xludf.DUMMYFUNCTION("""COMPUTED_VALUE"""),FALSE)</f>
        <v>0</v>
      </c>
      <c r="K1093" s="16"/>
      <c r="L1093" s="16" t="b">
        <f>IFERROR(__xludf.DUMMYFUNCTION("""COMPUTED_VALUE"""),FALSE)</f>
        <v>0</v>
      </c>
      <c r="M1093" s="16" t="b">
        <f>IFERROR(__xludf.DUMMYFUNCTION("""COMPUTED_VALUE"""),FALSE)</f>
        <v>0</v>
      </c>
      <c r="N1093" s="16"/>
    </row>
    <row r="1094">
      <c r="A1094" s="16"/>
      <c r="B1094" s="16"/>
      <c r="C1094" s="16"/>
      <c r="D1094" s="16"/>
      <c r="E1094" s="16"/>
      <c r="F1094" s="16"/>
      <c r="G1094" s="16"/>
      <c r="H1094" s="16"/>
      <c r="I1094" s="16"/>
      <c r="J1094" s="16" t="b">
        <f>IFERROR(__xludf.DUMMYFUNCTION("""COMPUTED_VALUE"""),FALSE)</f>
        <v>0</v>
      </c>
      <c r="K1094" s="16"/>
      <c r="L1094" s="16" t="b">
        <f>IFERROR(__xludf.DUMMYFUNCTION("""COMPUTED_VALUE"""),FALSE)</f>
        <v>0</v>
      </c>
      <c r="M1094" s="16" t="b">
        <f>IFERROR(__xludf.DUMMYFUNCTION("""COMPUTED_VALUE"""),FALSE)</f>
        <v>0</v>
      </c>
      <c r="N1094" s="16"/>
    </row>
    <row r="1095">
      <c r="A1095" s="16"/>
      <c r="B1095" s="16"/>
      <c r="C1095" s="16"/>
      <c r="D1095" s="16"/>
      <c r="E1095" s="16"/>
      <c r="F1095" s="16"/>
      <c r="G1095" s="16"/>
      <c r="H1095" s="16"/>
      <c r="I1095" s="16"/>
      <c r="J1095" s="16" t="b">
        <f>IFERROR(__xludf.DUMMYFUNCTION("""COMPUTED_VALUE"""),FALSE)</f>
        <v>0</v>
      </c>
      <c r="K1095" s="16"/>
      <c r="L1095" s="16" t="b">
        <f>IFERROR(__xludf.DUMMYFUNCTION("""COMPUTED_VALUE"""),FALSE)</f>
        <v>0</v>
      </c>
      <c r="M1095" s="16" t="b">
        <f>IFERROR(__xludf.DUMMYFUNCTION("""COMPUTED_VALUE"""),FALSE)</f>
        <v>0</v>
      </c>
      <c r="N1095" s="16"/>
    </row>
    <row r="1096">
      <c r="A1096" s="16"/>
      <c r="B1096" s="16"/>
      <c r="C1096" s="16"/>
      <c r="D1096" s="16"/>
      <c r="E1096" s="16"/>
      <c r="F1096" s="16"/>
      <c r="G1096" s="16"/>
      <c r="H1096" s="16"/>
      <c r="I1096" s="16"/>
      <c r="J1096" s="16" t="b">
        <f>IFERROR(__xludf.DUMMYFUNCTION("""COMPUTED_VALUE"""),FALSE)</f>
        <v>0</v>
      </c>
      <c r="K1096" s="16"/>
      <c r="L1096" s="16" t="b">
        <f>IFERROR(__xludf.DUMMYFUNCTION("""COMPUTED_VALUE"""),FALSE)</f>
        <v>0</v>
      </c>
      <c r="M1096" s="16" t="b">
        <f>IFERROR(__xludf.DUMMYFUNCTION("""COMPUTED_VALUE"""),FALSE)</f>
        <v>0</v>
      </c>
      <c r="N1096" s="16"/>
    </row>
    <row r="1097">
      <c r="A1097" s="16"/>
      <c r="B1097" s="16"/>
      <c r="C1097" s="16"/>
      <c r="D1097" s="16"/>
      <c r="E1097" s="16"/>
      <c r="F1097" s="16"/>
      <c r="G1097" s="16"/>
      <c r="H1097" s="16"/>
      <c r="I1097" s="16"/>
      <c r="J1097" s="16" t="b">
        <f>IFERROR(__xludf.DUMMYFUNCTION("""COMPUTED_VALUE"""),FALSE)</f>
        <v>0</v>
      </c>
      <c r="K1097" s="16"/>
      <c r="L1097" s="16" t="b">
        <f>IFERROR(__xludf.DUMMYFUNCTION("""COMPUTED_VALUE"""),FALSE)</f>
        <v>0</v>
      </c>
      <c r="M1097" s="16" t="b">
        <f>IFERROR(__xludf.DUMMYFUNCTION("""COMPUTED_VALUE"""),FALSE)</f>
        <v>0</v>
      </c>
      <c r="N1097" s="16"/>
    </row>
    <row r="1098">
      <c r="A1098" s="16"/>
      <c r="B1098" s="16"/>
      <c r="C1098" s="16"/>
      <c r="D1098" s="16"/>
      <c r="E1098" s="16"/>
      <c r="F1098" s="16"/>
      <c r="G1098" s="16"/>
      <c r="H1098" s="16"/>
      <c r="I1098" s="16"/>
      <c r="J1098" s="16" t="b">
        <f>IFERROR(__xludf.DUMMYFUNCTION("""COMPUTED_VALUE"""),FALSE)</f>
        <v>0</v>
      </c>
      <c r="K1098" s="16"/>
      <c r="L1098" s="16" t="b">
        <f>IFERROR(__xludf.DUMMYFUNCTION("""COMPUTED_VALUE"""),FALSE)</f>
        <v>0</v>
      </c>
      <c r="M1098" s="16" t="b">
        <f>IFERROR(__xludf.DUMMYFUNCTION("""COMPUTED_VALUE"""),FALSE)</f>
        <v>0</v>
      </c>
      <c r="N1098" s="16"/>
    </row>
    <row r="1099">
      <c r="A1099" s="16"/>
      <c r="B1099" s="16"/>
      <c r="C1099" s="16"/>
      <c r="D1099" s="16"/>
      <c r="E1099" s="16"/>
      <c r="F1099" s="16"/>
      <c r="G1099" s="16"/>
      <c r="H1099" s="16"/>
      <c r="I1099" s="16"/>
      <c r="J1099" s="16" t="b">
        <f>IFERROR(__xludf.DUMMYFUNCTION("""COMPUTED_VALUE"""),FALSE)</f>
        <v>0</v>
      </c>
      <c r="K1099" s="16"/>
      <c r="L1099" s="16" t="b">
        <f>IFERROR(__xludf.DUMMYFUNCTION("""COMPUTED_VALUE"""),FALSE)</f>
        <v>0</v>
      </c>
      <c r="M1099" s="16" t="b">
        <f>IFERROR(__xludf.DUMMYFUNCTION("""COMPUTED_VALUE"""),FALSE)</f>
        <v>0</v>
      </c>
      <c r="N1099" s="16"/>
    </row>
    <row r="1100">
      <c r="A1100" s="16"/>
      <c r="B1100" s="16"/>
      <c r="C1100" s="16"/>
      <c r="D1100" s="16"/>
      <c r="E1100" s="16"/>
      <c r="F1100" s="16"/>
      <c r="G1100" s="16"/>
      <c r="H1100" s="16"/>
      <c r="I1100" s="16"/>
      <c r="J1100" s="16" t="b">
        <f>IFERROR(__xludf.DUMMYFUNCTION("""COMPUTED_VALUE"""),FALSE)</f>
        <v>0</v>
      </c>
      <c r="K1100" s="16"/>
      <c r="L1100" s="16" t="b">
        <f>IFERROR(__xludf.DUMMYFUNCTION("""COMPUTED_VALUE"""),FALSE)</f>
        <v>0</v>
      </c>
      <c r="M1100" s="16" t="b">
        <f>IFERROR(__xludf.DUMMYFUNCTION("""COMPUTED_VALUE"""),FALSE)</f>
        <v>0</v>
      </c>
      <c r="N1100" s="16"/>
    </row>
    <row r="1101">
      <c r="A1101" s="16"/>
      <c r="B1101" s="16"/>
      <c r="C1101" s="16"/>
      <c r="D1101" s="16"/>
      <c r="E1101" s="16"/>
      <c r="F1101" s="16"/>
      <c r="G1101" s="16"/>
      <c r="H1101" s="16"/>
      <c r="I1101" s="16"/>
      <c r="J1101" s="16" t="b">
        <f>IFERROR(__xludf.DUMMYFUNCTION("""COMPUTED_VALUE"""),FALSE)</f>
        <v>0</v>
      </c>
      <c r="K1101" s="16"/>
      <c r="L1101" s="16" t="b">
        <f>IFERROR(__xludf.DUMMYFUNCTION("""COMPUTED_VALUE"""),FALSE)</f>
        <v>0</v>
      </c>
      <c r="M1101" s="16" t="b">
        <f>IFERROR(__xludf.DUMMYFUNCTION("""COMPUTED_VALUE"""),FALSE)</f>
        <v>0</v>
      </c>
      <c r="N1101" s="16"/>
    </row>
    <row r="1102">
      <c r="A1102" s="16"/>
      <c r="B1102" s="16"/>
      <c r="C1102" s="16"/>
      <c r="D1102" s="16"/>
      <c r="E1102" s="16"/>
      <c r="F1102" s="16"/>
      <c r="G1102" s="16"/>
      <c r="H1102" s="16"/>
      <c r="I1102" s="16"/>
      <c r="J1102" s="16" t="b">
        <f>IFERROR(__xludf.DUMMYFUNCTION("""COMPUTED_VALUE"""),FALSE)</f>
        <v>0</v>
      </c>
      <c r="K1102" s="16"/>
      <c r="L1102" s="16" t="b">
        <f>IFERROR(__xludf.DUMMYFUNCTION("""COMPUTED_VALUE"""),FALSE)</f>
        <v>0</v>
      </c>
      <c r="M1102" s="16" t="b">
        <f>IFERROR(__xludf.DUMMYFUNCTION("""COMPUTED_VALUE"""),FALSE)</f>
        <v>0</v>
      </c>
      <c r="N1102" s="16"/>
    </row>
    <row r="1103">
      <c r="A1103" s="16"/>
      <c r="B1103" s="16"/>
      <c r="C1103" s="16"/>
      <c r="D1103" s="16"/>
      <c r="E1103" s="16"/>
      <c r="F1103" s="16"/>
      <c r="G1103" s="16"/>
      <c r="H1103" s="16"/>
      <c r="I1103" s="16"/>
      <c r="J1103" s="16" t="b">
        <f>IFERROR(__xludf.DUMMYFUNCTION("""COMPUTED_VALUE"""),FALSE)</f>
        <v>0</v>
      </c>
      <c r="K1103" s="16"/>
      <c r="L1103" s="16" t="b">
        <f>IFERROR(__xludf.DUMMYFUNCTION("""COMPUTED_VALUE"""),FALSE)</f>
        <v>0</v>
      </c>
      <c r="M1103" s="16" t="b">
        <f>IFERROR(__xludf.DUMMYFUNCTION("""COMPUTED_VALUE"""),FALSE)</f>
        <v>0</v>
      </c>
      <c r="N1103" s="16"/>
    </row>
    <row r="1104">
      <c r="A1104" s="16"/>
      <c r="B1104" s="16"/>
      <c r="C1104" s="16"/>
      <c r="D1104" s="16"/>
      <c r="E1104" s="16"/>
      <c r="F1104" s="16"/>
      <c r="G1104" s="16"/>
      <c r="H1104" s="16"/>
      <c r="I1104" s="16"/>
      <c r="J1104" s="16" t="b">
        <f>IFERROR(__xludf.DUMMYFUNCTION("""COMPUTED_VALUE"""),FALSE)</f>
        <v>0</v>
      </c>
      <c r="K1104" s="16"/>
      <c r="L1104" s="16" t="b">
        <f>IFERROR(__xludf.DUMMYFUNCTION("""COMPUTED_VALUE"""),FALSE)</f>
        <v>0</v>
      </c>
      <c r="M1104" s="16" t="b">
        <f>IFERROR(__xludf.DUMMYFUNCTION("""COMPUTED_VALUE"""),FALSE)</f>
        <v>0</v>
      </c>
      <c r="N1104" s="16"/>
    </row>
    <row r="1105">
      <c r="A1105" s="16"/>
      <c r="B1105" s="16"/>
      <c r="C1105" s="16"/>
      <c r="D1105" s="16"/>
      <c r="E1105" s="16"/>
      <c r="F1105" s="16"/>
      <c r="G1105" s="16"/>
      <c r="H1105" s="16"/>
      <c r="I1105" s="16"/>
      <c r="J1105" s="16" t="b">
        <f>IFERROR(__xludf.DUMMYFUNCTION("""COMPUTED_VALUE"""),FALSE)</f>
        <v>0</v>
      </c>
      <c r="K1105" s="16"/>
      <c r="L1105" s="16" t="b">
        <f>IFERROR(__xludf.DUMMYFUNCTION("""COMPUTED_VALUE"""),FALSE)</f>
        <v>0</v>
      </c>
      <c r="M1105" s="16" t="b">
        <f>IFERROR(__xludf.DUMMYFUNCTION("""COMPUTED_VALUE"""),FALSE)</f>
        <v>0</v>
      </c>
      <c r="N1105" s="16"/>
    </row>
    <row r="1106">
      <c r="A1106" s="16"/>
      <c r="B1106" s="16"/>
      <c r="C1106" s="16"/>
      <c r="D1106" s="16"/>
      <c r="E1106" s="16"/>
      <c r="F1106" s="16"/>
      <c r="G1106" s="16"/>
      <c r="H1106" s="16"/>
      <c r="I1106" s="16"/>
      <c r="J1106" s="16" t="b">
        <f>IFERROR(__xludf.DUMMYFUNCTION("""COMPUTED_VALUE"""),FALSE)</f>
        <v>0</v>
      </c>
      <c r="K1106" s="16"/>
      <c r="L1106" s="16" t="b">
        <f>IFERROR(__xludf.DUMMYFUNCTION("""COMPUTED_VALUE"""),FALSE)</f>
        <v>0</v>
      </c>
      <c r="M1106" s="16" t="b">
        <f>IFERROR(__xludf.DUMMYFUNCTION("""COMPUTED_VALUE"""),FALSE)</f>
        <v>0</v>
      </c>
      <c r="N1106" s="16"/>
    </row>
    <row r="1107">
      <c r="A1107" s="16"/>
      <c r="B1107" s="16"/>
      <c r="C1107" s="16"/>
      <c r="D1107" s="16"/>
      <c r="E1107" s="16"/>
      <c r="F1107" s="16"/>
      <c r="G1107" s="16"/>
      <c r="H1107" s="16"/>
      <c r="I1107" s="16"/>
      <c r="J1107" s="16" t="b">
        <f>IFERROR(__xludf.DUMMYFUNCTION("""COMPUTED_VALUE"""),FALSE)</f>
        <v>0</v>
      </c>
      <c r="K1107" s="16"/>
      <c r="L1107" s="16" t="b">
        <f>IFERROR(__xludf.DUMMYFUNCTION("""COMPUTED_VALUE"""),FALSE)</f>
        <v>0</v>
      </c>
      <c r="M1107" s="16" t="b">
        <f>IFERROR(__xludf.DUMMYFUNCTION("""COMPUTED_VALUE"""),FALSE)</f>
        <v>0</v>
      </c>
      <c r="N1107" s="16"/>
    </row>
    <row r="1108">
      <c r="A1108" s="16"/>
      <c r="B1108" s="16"/>
      <c r="C1108" s="16"/>
      <c r="D1108" s="16"/>
      <c r="E1108" s="16"/>
      <c r="F1108" s="16"/>
      <c r="G1108" s="16"/>
      <c r="H1108" s="16"/>
      <c r="I1108" s="16"/>
      <c r="J1108" s="16" t="b">
        <f>IFERROR(__xludf.DUMMYFUNCTION("""COMPUTED_VALUE"""),FALSE)</f>
        <v>0</v>
      </c>
      <c r="K1108" s="16"/>
      <c r="L1108" s="16" t="b">
        <f>IFERROR(__xludf.DUMMYFUNCTION("""COMPUTED_VALUE"""),FALSE)</f>
        <v>0</v>
      </c>
      <c r="M1108" s="16" t="b">
        <f>IFERROR(__xludf.DUMMYFUNCTION("""COMPUTED_VALUE"""),FALSE)</f>
        <v>0</v>
      </c>
      <c r="N1108" s="16"/>
    </row>
    <row r="1109">
      <c r="A1109" s="16"/>
      <c r="B1109" s="16"/>
      <c r="C1109" s="16"/>
      <c r="D1109" s="16"/>
      <c r="E1109" s="16"/>
      <c r="F1109" s="16"/>
      <c r="G1109" s="16"/>
      <c r="H1109" s="16"/>
      <c r="I1109" s="16"/>
      <c r="J1109" s="16" t="b">
        <f>IFERROR(__xludf.DUMMYFUNCTION("""COMPUTED_VALUE"""),FALSE)</f>
        <v>0</v>
      </c>
      <c r="K1109" s="16"/>
      <c r="L1109" s="16" t="b">
        <f>IFERROR(__xludf.DUMMYFUNCTION("""COMPUTED_VALUE"""),FALSE)</f>
        <v>0</v>
      </c>
      <c r="M1109" s="16" t="b">
        <f>IFERROR(__xludf.DUMMYFUNCTION("""COMPUTED_VALUE"""),FALSE)</f>
        <v>0</v>
      </c>
      <c r="N1109" s="16"/>
    </row>
    <row r="1110">
      <c r="A1110" s="16"/>
      <c r="B1110" s="16"/>
      <c r="C1110" s="16"/>
      <c r="D1110" s="16"/>
      <c r="E1110" s="16"/>
      <c r="F1110" s="16"/>
      <c r="G1110" s="16"/>
      <c r="H1110" s="16"/>
      <c r="I1110" s="16"/>
      <c r="J1110" s="16" t="b">
        <f>IFERROR(__xludf.DUMMYFUNCTION("""COMPUTED_VALUE"""),FALSE)</f>
        <v>0</v>
      </c>
      <c r="K1110" s="16"/>
      <c r="L1110" s="16" t="b">
        <f>IFERROR(__xludf.DUMMYFUNCTION("""COMPUTED_VALUE"""),FALSE)</f>
        <v>0</v>
      </c>
      <c r="M1110" s="16" t="b">
        <f>IFERROR(__xludf.DUMMYFUNCTION("""COMPUTED_VALUE"""),FALSE)</f>
        <v>0</v>
      </c>
      <c r="N1110" s="16"/>
    </row>
    <row r="1111">
      <c r="A1111" s="16"/>
      <c r="B1111" s="16"/>
      <c r="C1111" s="16"/>
      <c r="D1111" s="16"/>
      <c r="E1111" s="16"/>
      <c r="F1111" s="16"/>
      <c r="G1111" s="16"/>
      <c r="H1111" s="16"/>
      <c r="I1111" s="16"/>
      <c r="J1111" s="16" t="b">
        <f>IFERROR(__xludf.DUMMYFUNCTION("""COMPUTED_VALUE"""),FALSE)</f>
        <v>0</v>
      </c>
      <c r="K1111" s="16"/>
      <c r="L1111" s="16" t="b">
        <f>IFERROR(__xludf.DUMMYFUNCTION("""COMPUTED_VALUE"""),FALSE)</f>
        <v>0</v>
      </c>
      <c r="M1111" s="16" t="b">
        <f>IFERROR(__xludf.DUMMYFUNCTION("""COMPUTED_VALUE"""),FALSE)</f>
        <v>0</v>
      </c>
      <c r="N1111" s="16"/>
    </row>
    <row r="1112">
      <c r="A1112" s="16"/>
      <c r="B1112" s="16"/>
      <c r="C1112" s="16"/>
      <c r="D1112" s="16"/>
      <c r="E1112" s="16"/>
      <c r="F1112" s="16"/>
      <c r="G1112" s="16"/>
      <c r="H1112" s="16"/>
      <c r="I1112" s="16"/>
      <c r="J1112" s="16" t="b">
        <f>IFERROR(__xludf.DUMMYFUNCTION("""COMPUTED_VALUE"""),FALSE)</f>
        <v>0</v>
      </c>
      <c r="K1112" s="16"/>
      <c r="L1112" s="16" t="b">
        <f>IFERROR(__xludf.DUMMYFUNCTION("""COMPUTED_VALUE"""),FALSE)</f>
        <v>0</v>
      </c>
      <c r="M1112" s="16" t="b">
        <f>IFERROR(__xludf.DUMMYFUNCTION("""COMPUTED_VALUE"""),FALSE)</f>
        <v>0</v>
      </c>
      <c r="N1112" s="16"/>
    </row>
    <row r="1113">
      <c r="A1113" s="16"/>
      <c r="B1113" s="16"/>
      <c r="C1113" s="16"/>
      <c r="D1113" s="16"/>
      <c r="E1113" s="16"/>
      <c r="F1113" s="16"/>
      <c r="G1113" s="16"/>
      <c r="H1113" s="16"/>
      <c r="I1113" s="16"/>
      <c r="J1113" s="16" t="b">
        <f>IFERROR(__xludf.DUMMYFUNCTION("""COMPUTED_VALUE"""),FALSE)</f>
        <v>0</v>
      </c>
      <c r="K1113" s="16"/>
      <c r="L1113" s="16" t="b">
        <f>IFERROR(__xludf.DUMMYFUNCTION("""COMPUTED_VALUE"""),FALSE)</f>
        <v>0</v>
      </c>
      <c r="M1113" s="16" t="b">
        <f>IFERROR(__xludf.DUMMYFUNCTION("""COMPUTED_VALUE"""),FALSE)</f>
        <v>0</v>
      </c>
      <c r="N1113" s="16"/>
    </row>
    <row r="1114">
      <c r="A1114" s="16"/>
      <c r="B1114" s="16"/>
      <c r="C1114" s="16"/>
      <c r="D1114" s="16"/>
      <c r="E1114" s="16"/>
      <c r="F1114" s="16"/>
      <c r="G1114" s="16"/>
      <c r="H1114" s="16"/>
      <c r="I1114" s="16"/>
      <c r="J1114" s="16" t="b">
        <f>IFERROR(__xludf.DUMMYFUNCTION("""COMPUTED_VALUE"""),FALSE)</f>
        <v>0</v>
      </c>
      <c r="K1114" s="16"/>
      <c r="L1114" s="16" t="b">
        <f>IFERROR(__xludf.DUMMYFUNCTION("""COMPUTED_VALUE"""),FALSE)</f>
        <v>0</v>
      </c>
      <c r="M1114" s="16" t="b">
        <f>IFERROR(__xludf.DUMMYFUNCTION("""COMPUTED_VALUE"""),FALSE)</f>
        <v>0</v>
      </c>
      <c r="N1114" s="16"/>
    </row>
    <row r="1115">
      <c r="A1115" s="16"/>
      <c r="B1115" s="16"/>
      <c r="C1115" s="16"/>
      <c r="D1115" s="16"/>
      <c r="E1115" s="16"/>
      <c r="F1115" s="16"/>
      <c r="G1115" s="16"/>
      <c r="H1115" s="16"/>
      <c r="I1115" s="16"/>
      <c r="J1115" s="16" t="b">
        <f>IFERROR(__xludf.DUMMYFUNCTION("""COMPUTED_VALUE"""),FALSE)</f>
        <v>0</v>
      </c>
      <c r="K1115" s="16"/>
      <c r="L1115" s="16" t="b">
        <f>IFERROR(__xludf.DUMMYFUNCTION("""COMPUTED_VALUE"""),FALSE)</f>
        <v>0</v>
      </c>
      <c r="M1115" s="16" t="b">
        <f>IFERROR(__xludf.DUMMYFUNCTION("""COMPUTED_VALUE"""),FALSE)</f>
        <v>0</v>
      </c>
      <c r="N1115" s="16"/>
    </row>
    <row r="1116">
      <c r="A1116" s="16"/>
      <c r="B1116" s="16"/>
      <c r="C1116" s="16"/>
      <c r="D1116" s="16"/>
      <c r="E1116" s="16"/>
      <c r="F1116" s="16"/>
      <c r="G1116" s="16"/>
      <c r="H1116" s="16"/>
      <c r="I1116" s="16"/>
      <c r="J1116" s="16" t="b">
        <f>IFERROR(__xludf.DUMMYFUNCTION("""COMPUTED_VALUE"""),FALSE)</f>
        <v>0</v>
      </c>
      <c r="K1116" s="16"/>
      <c r="L1116" s="16" t="b">
        <f>IFERROR(__xludf.DUMMYFUNCTION("""COMPUTED_VALUE"""),FALSE)</f>
        <v>0</v>
      </c>
      <c r="M1116" s="16" t="b">
        <f>IFERROR(__xludf.DUMMYFUNCTION("""COMPUTED_VALUE"""),FALSE)</f>
        <v>0</v>
      </c>
      <c r="N1116" s="16"/>
    </row>
    <row r="1117">
      <c r="A1117" s="16"/>
      <c r="B1117" s="16"/>
      <c r="C1117" s="16"/>
      <c r="D1117" s="16"/>
      <c r="E1117" s="16"/>
      <c r="F1117" s="16"/>
      <c r="G1117" s="16"/>
      <c r="H1117" s="16"/>
      <c r="I1117" s="16"/>
      <c r="J1117" s="16" t="b">
        <f>IFERROR(__xludf.DUMMYFUNCTION("""COMPUTED_VALUE"""),FALSE)</f>
        <v>0</v>
      </c>
      <c r="K1117" s="16"/>
      <c r="L1117" s="16" t="b">
        <f>IFERROR(__xludf.DUMMYFUNCTION("""COMPUTED_VALUE"""),FALSE)</f>
        <v>0</v>
      </c>
      <c r="M1117" s="16" t="b">
        <f>IFERROR(__xludf.DUMMYFUNCTION("""COMPUTED_VALUE"""),FALSE)</f>
        <v>0</v>
      </c>
      <c r="N1117" s="16"/>
    </row>
    <row r="1118">
      <c r="A1118" s="16"/>
      <c r="B1118" s="16"/>
      <c r="C1118" s="16"/>
      <c r="D1118" s="16"/>
      <c r="E1118" s="16"/>
      <c r="F1118" s="16"/>
      <c r="G1118" s="16"/>
      <c r="H1118" s="16"/>
      <c r="I1118" s="16"/>
      <c r="J1118" s="16" t="b">
        <f>IFERROR(__xludf.DUMMYFUNCTION("""COMPUTED_VALUE"""),FALSE)</f>
        <v>0</v>
      </c>
      <c r="K1118" s="16"/>
      <c r="L1118" s="16" t="b">
        <f>IFERROR(__xludf.DUMMYFUNCTION("""COMPUTED_VALUE"""),FALSE)</f>
        <v>0</v>
      </c>
      <c r="M1118" s="16" t="b">
        <f>IFERROR(__xludf.DUMMYFUNCTION("""COMPUTED_VALUE"""),FALSE)</f>
        <v>0</v>
      </c>
      <c r="N1118" s="16"/>
    </row>
    <row r="1119">
      <c r="A1119" s="16"/>
      <c r="B1119" s="16"/>
      <c r="C1119" s="16"/>
      <c r="D1119" s="16"/>
      <c r="E1119" s="16"/>
      <c r="F1119" s="16"/>
      <c r="G1119" s="16"/>
      <c r="H1119" s="16"/>
      <c r="I1119" s="16"/>
      <c r="J1119" s="16" t="b">
        <f>IFERROR(__xludf.DUMMYFUNCTION("""COMPUTED_VALUE"""),FALSE)</f>
        <v>0</v>
      </c>
      <c r="K1119" s="16"/>
      <c r="L1119" s="16" t="b">
        <f>IFERROR(__xludf.DUMMYFUNCTION("""COMPUTED_VALUE"""),FALSE)</f>
        <v>0</v>
      </c>
      <c r="M1119" s="16" t="b">
        <f>IFERROR(__xludf.DUMMYFUNCTION("""COMPUTED_VALUE"""),FALSE)</f>
        <v>0</v>
      </c>
      <c r="N1119" s="16"/>
    </row>
    <row r="1120">
      <c r="A1120" s="16"/>
      <c r="B1120" s="16"/>
      <c r="C1120" s="16"/>
      <c r="D1120" s="16"/>
      <c r="E1120" s="16"/>
      <c r="F1120" s="16"/>
      <c r="G1120" s="16"/>
      <c r="H1120" s="16"/>
      <c r="I1120" s="16"/>
      <c r="J1120" s="16" t="b">
        <f>IFERROR(__xludf.DUMMYFUNCTION("""COMPUTED_VALUE"""),FALSE)</f>
        <v>0</v>
      </c>
      <c r="K1120" s="16"/>
      <c r="L1120" s="16" t="b">
        <f>IFERROR(__xludf.DUMMYFUNCTION("""COMPUTED_VALUE"""),FALSE)</f>
        <v>0</v>
      </c>
      <c r="M1120" s="16" t="b">
        <f>IFERROR(__xludf.DUMMYFUNCTION("""COMPUTED_VALUE"""),FALSE)</f>
        <v>0</v>
      </c>
      <c r="N1120" s="16"/>
    </row>
    <row r="1121">
      <c r="A1121" s="16"/>
      <c r="B1121" s="16"/>
      <c r="C1121" s="16"/>
      <c r="D1121" s="16"/>
      <c r="E1121" s="16"/>
      <c r="F1121" s="16"/>
      <c r="G1121" s="16"/>
      <c r="H1121" s="16"/>
      <c r="I1121" s="16"/>
      <c r="J1121" s="16" t="b">
        <f>IFERROR(__xludf.DUMMYFUNCTION("""COMPUTED_VALUE"""),FALSE)</f>
        <v>0</v>
      </c>
      <c r="K1121" s="16"/>
      <c r="L1121" s="16" t="b">
        <f>IFERROR(__xludf.DUMMYFUNCTION("""COMPUTED_VALUE"""),FALSE)</f>
        <v>0</v>
      </c>
      <c r="M1121" s="16" t="b">
        <f>IFERROR(__xludf.DUMMYFUNCTION("""COMPUTED_VALUE"""),FALSE)</f>
        <v>0</v>
      </c>
      <c r="N1121" s="16"/>
    </row>
    <row r="1122">
      <c r="A1122" s="16"/>
      <c r="B1122" s="16"/>
      <c r="C1122" s="16"/>
      <c r="D1122" s="16"/>
      <c r="E1122" s="16"/>
      <c r="F1122" s="16"/>
      <c r="G1122" s="16"/>
      <c r="H1122" s="16"/>
      <c r="I1122" s="16"/>
      <c r="J1122" s="16" t="b">
        <f>IFERROR(__xludf.DUMMYFUNCTION("""COMPUTED_VALUE"""),FALSE)</f>
        <v>0</v>
      </c>
      <c r="K1122" s="16"/>
      <c r="L1122" s="16" t="b">
        <f>IFERROR(__xludf.DUMMYFUNCTION("""COMPUTED_VALUE"""),FALSE)</f>
        <v>0</v>
      </c>
      <c r="M1122" s="16" t="b">
        <f>IFERROR(__xludf.DUMMYFUNCTION("""COMPUTED_VALUE"""),FALSE)</f>
        <v>0</v>
      </c>
      <c r="N1122" s="16"/>
    </row>
    <row r="1123">
      <c r="A1123" s="16"/>
      <c r="B1123" s="16"/>
      <c r="C1123" s="16"/>
      <c r="D1123" s="16"/>
      <c r="E1123" s="16"/>
      <c r="F1123" s="16"/>
      <c r="G1123" s="16"/>
      <c r="H1123" s="16"/>
      <c r="I1123" s="16"/>
      <c r="J1123" s="16" t="b">
        <f>IFERROR(__xludf.DUMMYFUNCTION("""COMPUTED_VALUE"""),FALSE)</f>
        <v>0</v>
      </c>
      <c r="K1123" s="16"/>
      <c r="L1123" s="16" t="b">
        <f>IFERROR(__xludf.DUMMYFUNCTION("""COMPUTED_VALUE"""),FALSE)</f>
        <v>0</v>
      </c>
      <c r="M1123" s="16" t="b">
        <f>IFERROR(__xludf.DUMMYFUNCTION("""COMPUTED_VALUE"""),FALSE)</f>
        <v>0</v>
      </c>
      <c r="N1123" s="16"/>
    </row>
    <row r="1124">
      <c r="A1124" s="16"/>
      <c r="B1124" s="16"/>
      <c r="C1124" s="16"/>
      <c r="D1124" s="16"/>
      <c r="E1124" s="16"/>
      <c r="F1124" s="16"/>
      <c r="G1124" s="16"/>
      <c r="H1124" s="16"/>
      <c r="I1124" s="16"/>
      <c r="J1124" s="16" t="b">
        <f>IFERROR(__xludf.DUMMYFUNCTION("""COMPUTED_VALUE"""),FALSE)</f>
        <v>0</v>
      </c>
      <c r="K1124" s="16"/>
      <c r="L1124" s="16" t="b">
        <f>IFERROR(__xludf.DUMMYFUNCTION("""COMPUTED_VALUE"""),FALSE)</f>
        <v>0</v>
      </c>
      <c r="M1124" s="16" t="b">
        <f>IFERROR(__xludf.DUMMYFUNCTION("""COMPUTED_VALUE"""),FALSE)</f>
        <v>0</v>
      </c>
      <c r="N1124" s="16"/>
    </row>
    <row r="1125">
      <c r="A1125" s="16"/>
      <c r="B1125" s="16"/>
      <c r="C1125" s="16"/>
      <c r="D1125" s="16"/>
      <c r="E1125" s="16"/>
      <c r="F1125" s="16"/>
      <c r="G1125" s="16"/>
      <c r="H1125" s="16"/>
      <c r="I1125" s="16"/>
      <c r="J1125" s="16" t="b">
        <f>IFERROR(__xludf.DUMMYFUNCTION("""COMPUTED_VALUE"""),FALSE)</f>
        <v>0</v>
      </c>
      <c r="K1125" s="16"/>
      <c r="L1125" s="16" t="b">
        <f>IFERROR(__xludf.DUMMYFUNCTION("""COMPUTED_VALUE"""),FALSE)</f>
        <v>0</v>
      </c>
      <c r="M1125" s="16" t="b">
        <f>IFERROR(__xludf.DUMMYFUNCTION("""COMPUTED_VALUE"""),FALSE)</f>
        <v>0</v>
      </c>
      <c r="N1125" s="16"/>
    </row>
    <row r="1126">
      <c r="A1126" s="16"/>
      <c r="B1126" s="16"/>
      <c r="C1126" s="16"/>
      <c r="D1126" s="16"/>
      <c r="E1126" s="16"/>
      <c r="F1126" s="16"/>
      <c r="G1126" s="16"/>
      <c r="H1126" s="16"/>
      <c r="I1126" s="16"/>
      <c r="J1126" s="16" t="b">
        <f>IFERROR(__xludf.DUMMYFUNCTION("""COMPUTED_VALUE"""),FALSE)</f>
        <v>0</v>
      </c>
      <c r="K1126" s="16"/>
      <c r="L1126" s="16" t="b">
        <f>IFERROR(__xludf.DUMMYFUNCTION("""COMPUTED_VALUE"""),FALSE)</f>
        <v>0</v>
      </c>
      <c r="M1126" s="16" t="b">
        <f>IFERROR(__xludf.DUMMYFUNCTION("""COMPUTED_VALUE"""),FALSE)</f>
        <v>0</v>
      </c>
      <c r="N1126" s="16"/>
    </row>
    <row r="1127">
      <c r="A1127" s="16"/>
      <c r="B1127" s="16"/>
      <c r="C1127" s="16"/>
      <c r="D1127" s="16"/>
      <c r="E1127" s="16"/>
      <c r="F1127" s="16"/>
      <c r="G1127" s="16"/>
      <c r="H1127" s="16"/>
      <c r="I1127" s="16"/>
      <c r="J1127" s="16" t="b">
        <f>IFERROR(__xludf.DUMMYFUNCTION("""COMPUTED_VALUE"""),FALSE)</f>
        <v>0</v>
      </c>
      <c r="K1127" s="16"/>
      <c r="L1127" s="16" t="b">
        <f>IFERROR(__xludf.DUMMYFUNCTION("""COMPUTED_VALUE"""),FALSE)</f>
        <v>0</v>
      </c>
      <c r="M1127" s="16" t="b">
        <f>IFERROR(__xludf.DUMMYFUNCTION("""COMPUTED_VALUE"""),FALSE)</f>
        <v>0</v>
      </c>
      <c r="N1127" s="16"/>
    </row>
    <row r="1128">
      <c r="A1128" s="16"/>
      <c r="B1128" s="16"/>
      <c r="C1128" s="16"/>
      <c r="D1128" s="16"/>
      <c r="E1128" s="16"/>
      <c r="F1128" s="16"/>
      <c r="G1128" s="16"/>
      <c r="H1128" s="16"/>
      <c r="I1128" s="16"/>
      <c r="J1128" s="16" t="b">
        <f>IFERROR(__xludf.DUMMYFUNCTION("""COMPUTED_VALUE"""),FALSE)</f>
        <v>0</v>
      </c>
      <c r="K1128" s="16"/>
      <c r="L1128" s="16" t="b">
        <f>IFERROR(__xludf.DUMMYFUNCTION("""COMPUTED_VALUE"""),FALSE)</f>
        <v>0</v>
      </c>
      <c r="M1128" s="16" t="b">
        <f>IFERROR(__xludf.DUMMYFUNCTION("""COMPUTED_VALUE"""),FALSE)</f>
        <v>0</v>
      </c>
      <c r="N1128" s="16"/>
    </row>
    <row r="1129">
      <c r="A1129" s="16"/>
      <c r="B1129" s="16"/>
      <c r="C1129" s="16"/>
      <c r="D1129" s="16"/>
      <c r="E1129" s="16"/>
      <c r="F1129" s="16"/>
      <c r="G1129" s="16"/>
      <c r="H1129" s="16"/>
      <c r="I1129" s="16"/>
      <c r="J1129" s="16" t="b">
        <f>IFERROR(__xludf.DUMMYFUNCTION("""COMPUTED_VALUE"""),FALSE)</f>
        <v>0</v>
      </c>
      <c r="K1129" s="16"/>
      <c r="L1129" s="16" t="b">
        <f>IFERROR(__xludf.DUMMYFUNCTION("""COMPUTED_VALUE"""),FALSE)</f>
        <v>0</v>
      </c>
      <c r="M1129" s="16" t="b">
        <f>IFERROR(__xludf.DUMMYFUNCTION("""COMPUTED_VALUE"""),FALSE)</f>
        <v>0</v>
      </c>
      <c r="N1129" s="16"/>
    </row>
    <row r="1130">
      <c r="A1130" s="16"/>
      <c r="B1130" s="16"/>
      <c r="C1130" s="16"/>
      <c r="D1130" s="16"/>
      <c r="E1130" s="16"/>
      <c r="F1130" s="16"/>
      <c r="G1130" s="16"/>
      <c r="H1130" s="16"/>
      <c r="I1130" s="16"/>
      <c r="J1130" s="16" t="b">
        <f>IFERROR(__xludf.DUMMYFUNCTION("""COMPUTED_VALUE"""),FALSE)</f>
        <v>0</v>
      </c>
      <c r="K1130" s="16"/>
      <c r="L1130" s="16" t="b">
        <f>IFERROR(__xludf.DUMMYFUNCTION("""COMPUTED_VALUE"""),FALSE)</f>
        <v>0</v>
      </c>
      <c r="M1130" s="16" t="b">
        <f>IFERROR(__xludf.DUMMYFUNCTION("""COMPUTED_VALUE"""),FALSE)</f>
        <v>0</v>
      </c>
      <c r="N1130" s="16"/>
    </row>
    <row r="1131">
      <c r="A1131" s="16"/>
      <c r="B1131" s="16"/>
      <c r="C1131" s="16"/>
      <c r="D1131" s="16"/>
      <c r="E1131" s="16"/>
      <c r="F1131" s="16"/>
      <c r="G1131" s="16"/>
      <c r="H1131" s="16"/>
      <c r="I1131" s="16"/>
      <c r="J1131" s="16" t="b">
        <f>IFERROR(__xludf.DUMMYFUNCTION("""COMPUTED_VALUE"""),FALSE)</f>
        <v>0</v>
      </c>
      <c r="K1131" s="16"/>
      <c r="L1131" s="16" t="b">
        <f>IFERROR(__xludf.DUMMYFUNCTION("""COMPUTED_VALUE"""),FALSE)</f>
        <v>0</v>
      </c>
      <c r="M1131" s="16" t="b">
        <f>IFERROR(__xludf.DUMMYFUNCTION("""COMPUTED_VALUE"""),FALSE)</f>
        <v>0</v>
      </c>
      <c r="N1131" s="16"/>
    </row>
    <row r="1132">
      <c r="A1132" s="16"/>
      <c r="B1132" s="16"/>
      <c r="C1132" s="16"/>
      <c r="D1132" s="16"/>
      <c r="E1132" s="16"/>
      <c r="F1132" s="16"/>
      <c r="G1132" s="16"/>
      <c r="H1132" s="16"/>
      <c r="I1132" s="16"/>
      <c r="J1132" s="16" t="b">
        <f>IFERROR(__xludf.DUMMYFUNCTION("""COMPUTED_VALUE"""),FALSE)</f>
        <v>0</v>
      </c>
      <c r="K1132" s="16"/>
      <c r="L1132" s="16" t="b">
        <f>IFERROR(__xludf.DUMMYFUNCTION("""COMPUTED_VALUE"""),FALSE)</f>
        <v>0</v>
      </c>
      <c r="M1132" s="16" t="b">
        <f>IFERROR(__xludf.DUMMYFUNCTION("""COMPUTED_VALUE"""),FALSE)</f>
        <v>0</v>
      </c>
      <c r="N1132" s="16"/>
    </row>
    <row r="1133">
      <c r="A1133" s="16"/>
      <c r="B1133" s="16"/>
      <c r="C1133" s="16"/>
      <c r="D1133" s="16"/>
      <c r="E1133" s="16"/>
      <c r="F1133" s="16"/>
      <c r="G1133" s="16"/>
      <c r="H1133" s="16"/>
      <c r="I1133" s="16"/>
      <c r="J1133" s="16" t="b">
        <f>IFERROR(__xludf.DUMMYFUNCTION("""COMPUTED_VALUE"""),FALSE)</f>
        <v>0</v>
      </c>
      <c r="K1133" s="16"/>
      <c r="L1133" s="16" t="b">
        <f>IFERROR(__xludf.DUMMYFUNCTION("""COMPUTED_VALUE"""),FALSE)</f>
        <v>0</v>
      </c>
      <c r="M1133" s="16" t="b">
        <f>IFERROR(__xludf.DUMMYFUNCTION("""COMPUTED_VALUE"""),FALSE)</f>
        <v>0</v>
      </c>
      <c r="N1133" s="16"/>
    </row>
    <row r="1134">
      <c r="A1134" s="16"/>
      <c r="B1134" s="16"/>
      <c r="C1134" s="16"/>
      <c r="D1134" s="16"/>
      <c r="E1134" s="16"/>
      <c r="F1134" s="16"/>
      <c r="G1134" s="16"/>
      <c r="H1134" s="16"/>
      <c r="I1134" s="16"/>
      <c r="J1134" s="16" t="b">
        <f>IFERROR(__xludf.DUMMYFUNCTION("""COMPUTED_VALUE"""),FALSE)</f>
        <v>0</v>
      </c>
      <c r="K1134" s="16"/>
      <c r="L1134" s="16" t="b">
        <f>IFERROR(__xludf.DUMMYFUNCTION("""COMPUTED_VALUE"""),FALSE)</f>
        <v>0</v>
      </c>
      <c r="M1134" s="16" t="b">
        <f>IFERROR(__xludf.DUMMYFUNCTION("""COMPUTED_VALUE"""),FALSE)</f>
        <v>0</v>
      </c>
      <c r="N1134" s="16"/>
    </row>
    <row r="1135">
      <c r="A1135" s="16"/>
      <c r="B1135" s="16"/>
      <c r="C1135" s="16"/>
      <c r="D1135" s="16"/>
      <c r="E1135" s="16"/>
      <c r="F1135" s="16"/>
      <c r="G1135" s="16"/>
      <c r="H1135" s="16"/>
      <c r="I1135" s="16"/>
      <c r="J1135" s="16" t="b">
        <f>IFERROR(__xludf.DUMMYFUNCTION("""COMPUTED_VALUE"""),FALSE)</f>
        <v>0</v>
      </c>
      <c r="K1135" s="16"/>
      <c r="L1135" s="16" t="b">
        <f>IFERROR(__xludf.DUMMYFUNCTION("""COMPUTED_VALUE"""),FALSE)</f>
        <v>0</v>
      </c>
      <c r="M1135" s="16" t="b">
        <f>IFERROR(__xludf.DUMMYFUNCTION("""COMPUTED_VALUE"""),FALSE)</f>
        <v>0</v>
      </c>
      <c r="N1135" s="16"/>
    </row>
    <row r="1136">
      <c r="A1136" s="16"/>
      <c r="B1136" s="16"/>
      <c r="C1136" s="16"/>
      <c r="D1136" s="16"/>
      <c r="E1136" s="16"/>
      <c r="F1136" s="16"/>
      <c r="G1136" s="16"/>
      <c r="H1136" s="16"/>
      <c r="I1136" s="16"/>
      <c r="J1136" s="16" t="b">
        <f>IFERROR(__xludf.DUMMYFUNCTION("""COMPUTED_VALUE"""),FALSE)</f>
        <v>0</v>
      </c>
      <c r="K1136" s="16"/>
      <c r="L1136" s="16" t="b">
        <f>IFERROR(__xludf.DUMMYFUNCTION("""COMPUTED_VALUE"""),FALSE)</f>
        <v>0</v>
      </c>
      <c r="M1136" s="16" t="b">
        <f>IFERROR(__xludf.DUMMYFUNCTION("""COMPUTED_VALUE"""),FALSE)</f>
        <v>0</v>
      </c>
      <c r="N1136" s="16"/>
    </row>
    <row r="1137">
      <c r="A1137" s="16"/>
      <c r="B1137" s="16"/>
      <c r="C1137" s="16"/>
      <c r="D1137" s="16"/>
      <c r="E1137" s="16"/>
      <c r="F1137" s="16"/>
      <c r="G1137" s="16"/>
      <c r="H1137" s="16"/>
      <c r="I1137" s="16"/>
      <c r="J1137" s="16" t="b">
        <f>IFERROR(__xludf.DUMMYFUNCTION("""COMPUTED_VALUE"""),FALSE)</f>
        <v>0</v>
      </c>
      <c r="K1137" s="16"/>
      <c r="L1137" s="16" t="b">
        <f>IFERROR(__xludf.DUMMYFUNCTION("""COMPUTED_VALUE"""),FALSE)</f>
        <v>0</v>
      </c>
      <c r="M1137" s="16" t="b">
        <f>IFERROR(__xludf.DUMMYFUNCTION("""COMPUTED_VALUE"""),FALSE)</f>
        <v>0</v>
      </c>
      <c r="N1137" s="16"/>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8" width="20.38"/>
  </cols>
  <sheetData>
    <row r="1">
      <c r="A1" s="16" t="str">
        <f>IFERROR(__xludf.DUMMYFUNCTION("IMPORTRANGE(""https://docs.google.com/spreadsheets/d/""&amp;Config!B1,""ClassCombo!A:AX"")"),"")</f>
        <v/>
      </c>
      <c r="B1" s="16"/>
      <c r="C1" s="16" t="str">
        <f>IFERROR(__xludf.DUMMYFUNCTION("""COMPUTED_VALUE"""),"Fire")</f>
        <v>Fire</v>
      </c>
      <c r="D1" s="16" t="str">
        <f>IFERROR(__xludf.DUMMYFUNCTION("""COMPUTED_VALUE"""),"Water")</f>
        <v>Water</v>
      </c>
      <c r="E1" s="16" t="str">
        <f>IFERROR(__xludf.DUMMYFUNCTION("""COMPUTED_VALUE"""),"Storm")</f>
        <v>Storm</v>
      </c>
      <c r="F1" s="16" t="str">
        <f>IFERROR(__xludf.DUMMYFUNCTION("""COMPUTED_VALUE"""),"Earth")</f>
        <v>Earth</v>
      </c>
      <c r="G1" s="16" t="str">
        <f>IFERROR(__xludf.DUMMYFUNCTION("""COMPUTED_VALUE"""),"Light")</f>
        <v>Light</v>
      </c>
      <c r="H1" s="16" t="str">
        <f>IFERROR(__xludf.DUMMYFUNCTION("""COMPUTED_VALUE"""),"Dark")</f>
        <v>Dark</v>
      </c>
      <c r="I1" s="16" t="str">
        <f>IFERROR(__xludf.DUMMYFUNCTION("""COMPUTED_VALUE"""),"Spirit")</f>
        <v>Spirit</v>
      </c>
      <c r="J1" s="16" t="str">
        <f>IFERROR(__xludf.DUMMYFUNCTION("""COMPUTED_VALUE"""),"Order")</f>
        <v>Order</v>
      </c>
      <c r="K1" s="16" t="str">
        <f>IFERROR(__xludf.DUMMYFUNCTION("""COMPUTED_VALUE"""),"Chaos")</f>
        <v>Chaos</v>
      </c>
      <c r="L1" s="16" t="str">
        <f>IFERROR(__xludf.DUMMYFUNCTION("""COMPUTED_VALUE"""),"Nature")</f>
        <v>Nature</v>
      </c>
      <c r="M1" s="16" t="str">
        <f>IFERROR(__xludf.DUMMYFUNCTION("""COMPUTED_VALUE"""),"Physical")</f>
        <v>Physical</v>
      </c>
      <c r="N1" s="16" t="str">
        <f>IFERROR(__xludf.DUMMYFUNCTION("""COMPUTED_VALUE"""),"Melee")</f>
        <v>Melee</v>
      </c>
      <c r="O1" s="16" t="str">
        <f>IFERROR(__xludf.DUMMYFUNCTION("""COMPUTED_VALUE"""),"Ranged")</f>
        <v>Ranged</v>
      </c>
      <c r="P1" s="16" t="str">
        <f>IFERROR(__xludf.DUMMYFUNCTION("""COMPUTED_VALUE"""),"Stasis")</f>
        <v>Stasis</v>
      </c>
      <c r="Q1" s="16" t="str">
        <f>IFERROR(__xludf.DUMMYFUNCTION("""COMPUTED_VALUE"""),"Twilight")</f>
        <v>Twilight</v>
      </c>
      <c r="R1" s="16" t="str">
        <f>IFERROR(__xludf.DUMMYFUNCTION("""COMPUTED_VALUE"""),"Voodoo")</f>
        <v>Voodoo</v>
      </c>
      <c r="S1" s="16" t="str">
        <f>IFERROR(__xludf.DUMMYFUNCTION("""COMPUTED_VALUE"""),"Blood")</f>
        <v>Blood</v>
      </c>
      <c r="T1" s="16" t="str">
        <f>IFERROR(__xludf.DUMMYFUNCTION("""COMPUTED_VALUE"""),"Delta")</f>
        <v>Delta</v>
      </c>
      <c r="U1" s="16" t="str">
        <f>IFERROR(__xludf.DUMMYFUNCTION("""COMPUTED_VALUE"""),"Zen")</f>
        <v>Zen</v>
      </c>
      <c r="V1" s="16" t="str">
        <f>IFERROR(__xludf.DUMMYFUNCTION("""COMPUTED_VALUE"""),"Time")</f>
        <v>Time</v>
      </c>
      <c r="W1" s="16" t="str">
        <f>IFERROR(__xludf.DUMMYFUNCTION("""COMPUTED_VALUE"""),"Astral")</f>
        <v>Astral</v>
      </c>
      <c r="X1" s="16" t="str">
        <f>IFERROR(__xludf.DUMMYFUNCTION("""COMPUTED_VALUE"""),"Celestial")</f>
        <v>Celestial</v>
      </c>
      <c r="Y1" s="16" t="str">
        <f>IFERROR(__xludf.DUMMYFUNCTION("""COMPUTED_VALUE"""),"Acoustic")</f>
        <v>Acoustic</v>
      </c>
      <c r="Z1" s="16"/>
      <c r="AA1" s="16"/>
      <c r="AB1" s="16"/>
      <c r="AC1" s="16"/>
      <c r="AD1" s="16"/>
      <c r="AE1" s="16"/>
      <c r="AF1" s="16"/>
      <c r="AG1" s="16"/>
      <c r="AH1" s="16"/>
      <c r="AI1" s="16"/>
      <c r="AJ1" s="16"/>
      <c r="AK1" s="16"/>
      <c r="AL1" s="16"/>
      <c r="AM1" s="16"/>
      <c r="AN1" s="16"/>
      <c r="AO1" s="16"/>
      <c r="AP1" s="16"/>
      <c r="AQ1" s="16"/>
      <c r="AR1" s="16"/>
      <c r="AS1" s="16"/>
      <c r="AT1" s="16"/>
      <c r="AU1" s="16"/>
      <c r="AV1" s="16"/>
      <c r="AW1" s="16"/>
      <c r="AX1" s="16"/>
    </row>
    <row r="2">
      <c r="A2" s="16" t="str">
        <f>IFERROR(__xludf.DUMMYFUNCTION("""COMPUTED_VALUE"""),"Archer")</f>
        <v>Archer</v>
      </c>
      <c r="B2" s="16" t="str">
        <f>IFERROR(__xludf.DUMMYFUNCTION("""COMPUTED_VALUE"""),"Skilled Archer")</f>
        <v>Skilled Archer</v>
      </c>
      <c r="C2" s="16"/>
      <c r="D2" s="16"/>
      <c r="E2" s="16"/>
      <c r="F2" s="16"/>
      <c r="G2" s="16"/>
      <c r="H2" s="16"/>
      <c r="I2" s="16"/>
      <c r="J2" s="16"/>
      <c r="K2" s="16"/>
      <c r="L2" s="16"/>
      <c r="M2" s="16">
        <f>IFERROR(__xludf.DUMMYFUNCTION("""COMPUTED_VALUE"""),9.0)</f>
        <v>9</v>
      </c>
      <c r="N2" s="16"/>
      <c r="O2" s="16">
        <f>IFERROR(__xludf.DUMMYFUNCTION("""COMPUTED_VALUE"""),9.0)</f>
        <v>9</v>
      </c>
      <c r="P2" s="16"/>
      <c r="Q2" s="16"/>
      <c r="R2" s="16"/>
      <c r="S2" s="16"/>
      <c r="T2" s="16"/>
      <c r="U2" s="16"/>
      <c r="V2" s="16"/>
      <c r="W2" s="16"/>
      <c r="X2" s="16"/>
      <c r="Y2" s="16"/>
      <c r="Z2" s="16"/>
      <c r="AA2" s="16"/>
      <c r="AB2" s="16"/>
      <c r="AC2" s="16"/>
      <c r="AD2" s="16"/>
      <c r="AE2" s="16"/>
      <c r="AF2" s="16"/>
      <c r="AG2" s="16"/>
      <c r="AH2" s="16"/>
      <c r="AI2" s="16"/>
      <c r="AJ2" s="16"/>
      <c r="AK2" s="16"/>
      <c r="AL2" s="16"/>
      <c r="AM2" s="16"/>
      <c r="AN2" s="16"/>
      <c r="AO2" s="16"/>
      <c r="AP2" s="16"/>
      <c r="AQ2" s="16"/>
      <c r="AR2" s="16"/>
      <c r="AS2" s="16"/>
      <c r="AT2" s="16"/>
      <c r="AU2" s="16"/>
      <c r="AV2" s="16"/>
      <c r="AW2" s="16"/>
      <c r="AX2" s="16"/>
    </row>
    <row r="3">
      <c r="A3" s="16" t="str">
        <f>IFERROR(__xludf.DUMMYFUNCTION("""COMPUTED_VALUE"""),"Archer")</f>
        <v>Archer</v>
      </c>
      <c r="B3" s="16" t="str">
        <f>IFERROR(__xludf.DUMMYFUNCTION("""COMPUTED_VALUE"""),"Javelineer")</f>
        <v>Javelineer</v>
      </c>
      <c r="C3" s="16"/>
      <c r="D3" s="16"/>
      <c r="E3" s="16"/>
      <c r="F3" s="16"/>
      <c r="G3" s="16"/>
      <c r="H3" s="16"/>
      <c r="I3" s="16"/>
      <c r="J3" s="16"/>
      <c r="K3" s="16"/>
      <c r="L3" s="16"/>
      <c r="M3" s="16">
        <f>IFERROR(__xludf.DUMMYFUNCTION("""COMPUTED_VALUE"""),9.0)</f>
        <v>9</v>
      </c>
      <c r="N3" s="16"/>
      <c r="O3" s="16">
        <f>IFERROR(__xludf.DUMMYFUNCTION("""COMPUTED_VALUE"""),9.0)</f>
        <v>9</v>
      </c>
      <c r="P3" s="16"/>
      <c r="Q3" s="16"/>
      <c r="R3" s="16"/>
      <c r="S3" s="16"/>
      <c r="T3" s="16"/>
      <c r="U3" s="16"/>
      <c r="V3" s="16"/>
      <c r="W3" s="16"/>
      <c r="X3" s="16"/>
      <c r="Y3" s="16"/>
      <c r="Z3" s="16"/>
      <c r="AA3" s="16"/>
      <c r="AB3" s="16"/>
      <c r="AC3" s="16"/>
      <c r="AD3" s="16"/>
      <c r="AE3" s="16"/>
      <c r="AF3" s="16"/>
      <c r="AG3" s="16"/>
      <c r="AH3" s="16"/>
      <c r="AI3" s="16"/>
      <c r="AJ3" s="16"/>
      <c r="AK3" s="16"/>
      <c r="AL3" s="16"/>
      <c r="AM3" s="16"/>
      <c r="AN3" s="16"/>
      <c r="AO3" s="16"/>
      <c r="AP3" s="16"/>
      <c r="AQ3" s="16"/>
      <c r="AR3" s="16"/>
      <c r="AS3" s="16"/>
      <c r="AT3" s="16"/>
      <c r="AU3" s="16"/>
      <c r="AV3" s="16"/>
      <c r="AW3" s="16"/>
      <c r="AX3" s="16"/>
    </row>
    <row r="4">
      <c r="A4" s="16" t="str">
        <f>IFERROR(__xludf.DUMMYFUNCTION("""COMPUTED_VALUE"""),"Bard")</f>
        <v>Bard</v>
      </c>
      <c r="B4" s="16" t="str">
        <f>IFERROR(__xludf.DUMMYFUNCTION("""COMPUTED_VALUE"""),"Master Bard")</f>
        <v>Master Bard</v>
      </c>
      <c r="C4" s="16">
        <f>IFERROR(__xludf.DUMMYFUNCTION("""COMPUTED_VALUE"""),9.0)</f>
        <v>9</v>
      </c>
      <c r="D4" s="16">
        <f>IFERROR(__xludf.DUMMYFUNCTION("""COMPUTED_VALUE"""),9.0)</f>
        <v>9</v>
      </c>
      <c r="E4" s="16">
        <f>IFERROR(__xludf.DUMMYFUNCTION("""COMPUTED_VALUE"""),9.0)</f>
        <v>9</v>
      </c>
      <c r="F4" s="16">
        <f>IFERROR(__xludf.DUMMYFUNCTION("""COMPUTED_VALUE"""),9.0)</f>
        <v>9</v>
      </c>
      <c r="G4" s="16">
        <f>IFERROR(__xludf.DUMMYFUNCTION("""COMPUTED_VALUE"""),9.0)</f>
        <v>9</v>
      </c>
      <c r="H4" s="16">
        <f>IFERROR(__xludf.DUMMYFUNCTION("""COMPUTED_VALUE"""),9.0)</f>
        <v>9</v>
      </c>
      <c r="I4" s="16">
        <f>IFERROR(__xludf.DUMMYFUNCTION("""COMPUTED_VALUE"""),9.0)</f>
        <v>9</v>
      </c>
      <c r="J4" s="16">
        <f>IFERROR(__xludf.DUMMYFUNCTION("""COMPUTED_VALUE"""),9.0)</f>
        <v>9</v>
      </c>
      <c r="K4" s="16">
        <f>IFERROR(__xludf.DUMMYFUNCTION("""COMPUTED_VALUE"""),9.0)</f>
        <v>9</v>
      </c>
      <c r="L4" s="16">
        <f>IFERROR(__xludf.DUMMYFUNCTION("""COMPUTED_VALUE"""),9.0)</f>
        <v>9</v>
      </c>
      <c r="M4" s="16">
        <f>IFERROR(__xludf.DUMMYFUNCTION("""COMPUTED_VALUE"""),9.0)</f>
        <v>9</v>
      </c>
      <c r="N4" s="16">
        <f>IFERROR(__xludf.DUMMYFUNCTION("""COMPUTED_VALUE"""),9.0)</f>
        <v>9</v>
      </c>
      <c r="O4" s="16">
        <f>IFERROR(__xludf.DUMMYFUNCTION("""COMPUTED_VALUE"""),9.0)</f>
        <v>9</v>
      </c>
      <c r="P4" s="16">
        <f>IFERROR(__xludf.DUMMYFUNCTION("""COMPUTED_VALUE"""),9.0)</f>
        <v>9</v>
      </c>
      <c r="Q4" s="16">
        <f>IFERROR(__xludf.DUMMYFUNCTION("""COMPUTED_VALUE"""),9.0)</f>
        <v>9</v>
      </c>
      <c r="R4" s="16">
        <f>IFERROR(__xludf.DUMMYFUNCTION("""COMPUTED_VALUE"""),9.0)</f>
        <v>9</v>
      </c>
      <c r="S4" s="16">
        <f>IFERROR(__xludf.DUMMYFUNCTION("""COMPUTED_VALUE"""),9.0)</f>
        <v>9</v>
      </c>
      <c r="T4" s="16">
        <f>IFERROR(__xludf.DUMMYFUNCTION("""COMPUTED_VALUE"""),9.0)</f>
        <v>9</v>
      </c>
      <c r="U4" s="16"/>
      <c r="V4" s="16"/>
      <c r="W4" s="16">
        <f>IFERROR(__xludf.DUMMYFUNCTION("""COMPUTED_VALUE"""),9.0)</f>
        <v>9</v>
      </c>
      <c r="X4" s="16"/>
      <c r="Y4" s="16">
        <f>IFERROR(__xludf.DUMMYFUNCTION("""COMPUTED_VALUE"""),9.0)</f>
        <v>9</v>
      </c>
      <c r="Z4" s="16"/>
      <c r="AA4" s="16"/>
      <c r="AB4" s="16"/>
      <c r="AC4" s="16"/>
      <c r="AD4" s="16"/>
      <c r="AE4" s="16"/>
      <c r="AF4" s="16"/>
      <c r="AG4" s="16"/>
      <c r="AH4" s="16"/>
      <c r="AI4" s="16"/>
      <c r="AJ4" s="16"/>
      <c r="AK4" s="16"/>
      <c r="AL4" s="16"/>
      <c r="AM4" s="16"/>
      <c r="AN4" s="16"/>
      <c r="AO4" s="16"/>
      <c r="AP4" s="16"/>
      <c r="AQ4" s="16"/>
      <c r="AR4" s="16"/>
      <c r="AS4" s="16"/>
      <c r="AT4" s="16"/>
      <c r="AU4" s="16"/>
      <c r="AV4" s="16"/>
      <c r="AW4" s="16"/>
      <c r="AX4" s="16"/>
    </row>
    <row r="5">
      <c r="A5" s="16" t="str">
        <f>IFERROR(__xludf.DUMMYFUNCTION("""COMPUTED_VALUE"""),"Bombadier")</f>
        <v>Bombadier</v>
      </c>
      <c r="B5" s="16" t="str">
        <f>IFERROR(__xludf.DUMMYFUNCTION("""COMPUTED_VALUE"""),"Grenadier")</f>
        <v>Grenadier</v>
      </c>
      <c r="C5" s="16">
        <f>IFERROR(__xludf.DUMMYFUNCTION("""COMPUTED_VALUE"""),9.0)</f>
        <v>9</v>
      </c>
      <c r="D5" s="16"/>
      <c r="E5" s="16"/>
      <c r="F5" s="16"/>
      <c r="G5" s="16"/>
      <c r="H5" s="16"/>
      <c r="I5" s="16"/>
      <c r="J5" s="16"/>
      <c r="K5" s="16"/>
      <c r="L5" s="16"/>
      <c r="M5" s="16">
        <f>IFERROR(__xludf.DUMMYFUNCTION("""COMPUTED_VALUE"""),9.0)</f>
        <v>9</v>
      </c>
      <c r="N5" s="16">
        <f>IFERROR(__xludf.DUMMYFUNCTION("""COMPUTED_VALUE"""),9.0)</f>
        <v>9</v>
      </c>
      <c r="O5" s="16">
        <f>IFERROR(__xludf.DUMMYFUNCTION("""COMPUTED_VALUE"""),9.0)</f>
        <v>9</v>
      </c>
      <c r="P5" s="16"/>
      <c r="Q5" s="16"/>
      <c r="R5" s="16"/>
      <c r="S5" s="16"/>
      <c r="T5" s="16"/>
      <c r="U5" s="16"/>
      <c r="V5" s="16"/>
      <c r="W5" s="16"/>
      <c r="X5" s="16"/>
      <c r="Y5" s="16"/>
      <c r="Z5" s="16"/>
      <c r="AA5" s="16"/>
      <c r="AB5" s="16"/>
      <c r="AC5" s="16"/>
      <c r="AD5" s="16"/>
      <c r="AE5" s="16"/>
      <c r="AF5" s="16"/>
      <c r="AG5" s="16"/>
      <c r="AH5" s="16"/>
      <c r="AI5" s="16"/>
      <c r="AJ5" s="16"/>
      <c r="AK5" s="16"/>
      <c r="AL5" s="16"/>
      <c r="AM5" s="16"/>
      <c r="AN5" s="16"/>
      <c r="AO5" s="16"/>
      <c r="AP5" s="16"/>
      <c r="AQ5" s="16"/>
      <c r="AR5" s="16"/>
      <c r="AS5" s="16"/>
      <c r="AT5" s="16"/>
      <c r="AU5" s="16"/>
      <c r="AV5" s="16"/>
      <c r="AW5" s="16"/>
      <c r="AX5" s="16"/>
    </row>
    <row r="6">
      <c r="A6" s="16" t="str">
        <f>IFERROR(__xludf.DUMMYFUNCTION("""COMPUTED_VALUE"""),"Bombadier")</f>
        <v>Bombadier</v>
      </c>
      <c r="B6" s="16" t="str">
        <f>IFERROR(__xludf.DUMMYFUNCTION("""COMPUTED_VALUE"""),"Cannonier")</f>
        <v>Cannonier</v>
      </c>
      <c r="C6" s="16"/>
      <c r="D6" s="16"/>
      <c r="E6" s="16"/>
      <c r="F6" s="16"/>
      <c r="G6" s="16">
        <f>IFERROR(__xludf.DUMMYFUNCTION("""COMPUTED_VALUE"""),9.0)</f>
        <v>9</v>
      </c>
      <c r="H6" s="16"/>
      <c r="I6" s="16"/>
      <c r="J6" s="16"/>
      <c r="K6" s="16"/>
      <c r="L6" s="16"/>
      <c r="M6" s="16">
        <f>IFERROR(__xludf.DUMMYFUNCTION("""COMPUTED_VALUE"""),9.0)</f>
        <v>9</v>
      </c>
      <c r="N6" s="16">
        <f>IFERROR(__xludf.DUMMYFUNCTION("""COMPUTED_VALUE"""),9.0)</f>
        <v>9</v>
      </c>
      <c r="O6" s="16">
        <f>IFERROR(__xludf.DUMMYFUNCTION("""COMPUTED_VALUE"""),9.0)</f>
        <v>9</v>
      </c>
      <c r="P6" s="16"/>
      <c r="Q6" s="16"/>
      <c r="R6" s="16"/>
      <c r="S6" s="16"/>
      <c r="T6" s="16"/>
      <c r="U6" s="16"/>
      <c r="V6" s="16"/>
      <c r="W6" s="16"/>
      <c r="X6" s="16"/>
      <c r="Y6" s="16"/>
      <c r="Z6" s="16"/>
      <c r="AA6" s="16"/>
      <c r="AB6" s="16"/>
      <c r="AC6" s="16"/>
      <c r="AD6" s="16"/>
      <c r="AE6" s="16"/>
      <c r="AF6" s="16"/>
      <c r="AG6" s="16"/>
      <c r="AH6" s="16"/>
      <c r="AI6" s="16"/>
      <c r="AJ6" s="16"/>
      <c r="AK6" s="16"/>
      <c r="AL6" s="16"/>
      <c r="AM6" s="16"/>
      <c r="AN6" s="16"/>
      <c r="AO6" s="16"/>
      <c r="AP6" s="16"/>
      <c r="AQ6" s="16"/>
      <c r="AR6" s="16"/>
      <c r="AS6" s="16"/>
      <c r="AT6" s="16"/>
      <c r="AU6" s="16"/>
      <c r="AV6" s="16"/>
      <c r="AW6" s="16"/>
      <c r="AX6" s="16"/>
    </row>
    <row r="7">
      <c r="A7" s="16" t="str">
        <f>IFERROR(__xludf.DUMMYFUNCTION("""COMPUTED_VALUE"""),"Brawler")</f>
        <v>Brawler</v>
      </c>
      <c r="B7" s="16" t="str">
        <f>IFERROR(__xludf.DUMMYFUNCTION("""COMPUTED_VALUE"""),"Skilled Fighter")</f>
        <v>Skilled Fighter</v>
      </c>
      <c r="C7" s="16"/>
      <c r="D7" s="16"/>
      <c r="E7" s="16"/>
      <c r="F7" s="16"/>
      <c r="G7" s="16"/>
      <c r="H7" s="16"/>
      <c r="I7" s="16"/>
      <c r="J7" s="16"/>
      <c r="K7" s="16"/>
      <c r="L7" s="16"/>
      <c r="M7" s="16">
        <f>IFERROR(__xludf.DUMMYFUNCTION("""COMPUTED_VALUE"""),9.0)</f>
        <v>9</v>
      </c>
      <c r="N7" s="16">
        <f>IFERROR(__xludf.DUMMYFUNCTION("""COMPUTED_VALUE"""),9.0)</f>
        <v>9</v>
      </c>
      <c r="O7" s="16">
        <f>IFERROR(__xludf.DUMMYFUNCTION("""COMPUTED_VALUE"""),9.0)</f>
        <v>9</v>
      </c>
      <c r="P7" s="16"/>
      <c r="Q7" s="16"/>
      <c r="R7" s="16"/>
      <c r="S7" s="16"/>
      <c r="T7" s="16"/>
      <c r="U7" s="16"/>
      <c r="V7" s="16"/>
      <c r="W7" s="16"/>
      <c r="X7" s="16"/>
      <c r="Y7" s="16"/>
      <c r="Z7" s="16"/>
      <c r="AA7" s="16"/>
      <c r="AB7" s="16"/>
      <c r="AC7" s="16"/>
      <c r="AD7" s="16"/>
      <c r="AE7" s="16"/>
      <c r="AF7" s="16"/>
      <c r="AG7" s="16"/>
      <c r="AH7" s="16"/>
      <c r="AI7" s="16"/>
      <c r="AJ7" s="16"/>
      <c r="AK7" s="16"/>
      <c r="AL7" s="16"/>
      <c r="AM7" s="16"/>
      <c r="AN7" s="16"/>
      <c r="AO7" s="16"/>
      <c r="AP7" s="16"/>
      <c r="AQ7" s="16"/>
      <c r="AR7" s="16"/>
      <c r="AS7" s="16"/>
      <c r="AT7" s="16"/>
      <c r="AU7" s="16"/>
      <c r="AV7" s="16"/>
      <c r="AW7" s="16"/>
      <c r="AX7" s="16"/>
    </row>
    <row r="8">
      <c r="A8" s="16" t="str">
        <f>IFERROR(__xludf.DUMMYFUNCTION("""COMPUTED_VALUE"""),"Cavalier")</f>
        <v>Cavalier</v>
      </c>
      <c r="B8" s="16" t="str">
        <f>IFERROR(__xludf.DUMMYFUNCTION("""COMPUTED_VALUE"""),"Dragon Rider")</f>
        <v>Dragon Rider</v>
      </c>
      <c r="C8" s="16">
        <f>IFERROR(__xludf.DUMMYFUNCTION("""COMPUTED_VALUE"""),3.0)</f>
        <v>3</v>
      </c>
      <c r="D8" s="16">
        <f>IFERROR(__xludf.DUMMYFUNCTION("""COMPUTED_VALUE"""),3.0)</f>
        <v>3</v>
      </c>
      <c r="E8" s="16">
        <f>IFERROR(__xludf.DUMMYFUNCTION("""COMPUTED_VALUE"""),3.0)</f>
        <v>3</v>
      </c>
      <c r="F8" s="16">
        <f>IFERROR(__xludf.DUMMYFUNCTION("""COMPUTED_VALUE"""),3.0)</f>
        <v>3</v>
      </c>
      <c r="G8" s="16">
        <f>IFERROR(__xludf.DUMMYFUNCTION("""COMPUTED_VALUE"""),3.0)</f>
        <v>3</v>
      </c>
      <c r="H8" s="16">
        <f>IFERROR(__xludf.DUMMYFUNCTION("""COMPUTED_VALUE"""),3.0)</f>
        <v>3</v>
      </c>
      <c r="I8" s="16">
        <f>IFERROR(__xludf.DUMMYFUNCTION("""COMPUTED_VALUE"""),3.0)</f>
        <v>3</v>
      </c>
      <c r="J8" s="16">
        <f>IFERROR(__xludf.DUMMYFUNCTION("""COMPUTED_VALUE"""),3.0)</f>
        <v>3</v>
      </c>
      <c r="K8" s="16">
        <f>IFERROR(__xludf.DUMMYFUNCTION("""COMPUTED_VALUE"""),3.0)</f>
        <v>3</v>
      </c>
      <c r="L8" s="16">
        <f>IFERROR(__xludf.DUMMYFUNCTION("""COMPUTED_VALUE"""),3.0)</f>
        <v>3</v>
      </c>
      <c r="M8" s="16">
        <f>IFERROR(__xludf.DUMMYFUNCTION("""COMPUTED_VALUE"""),3.0)</f>
        <v>3</v>
      </c>
      <c r="N8" s="16">
        <f>IFERROR(__xludf.DUMMYFUNCTION("""COMPUTED_VALUE"""),3.0)</f>
        <v>3</v>
      </c>
      <c r="O8" s="16">
        <f>IFERROR(__xludf.DUMMYFUNCTION("""COMPUTED_VALUE"""),3.0)</f>
        <v>3</v>
      </c>
      <c r="P8" s="16">
        <f>IFERROR(__xludf.DUMMYFUNCTION("""COMPUTED_VALUE"""),3.0)</f>
        <v>3</v>
      </c>
      <c r="Q8" s="16">
        <f>IFERROR(__xludf.DUMMYFUNCTION("""COMPUTED_VALUE"""),3.0)</f>
        <v>3</v>
      </c>
      <c r="R8" s="16">
        <f>IFERROR(__xludf.DUMMYFUNCTION("""COMPUTED_VALUE"""),3.0)</f>
        <v>3</v>
      </c>
      <c r="S8" s="16">
        <f>IFERROR(__xludf.DUMMYFUNCTION("""COMPUTED_VALUE"""),3.0)</f>
        <v>3</v>
      </c>
      <c r="T8" s="16">
        <f>IFERROR(__xludf.DUMMYFUNCTION("""COMPUTED_VALUE"""),3.0)</f>
        <v>3</v>
      </c>
      <c r="U8" s="16"/>
      <c r="V8" s="16"/>
      <c r="W8" s="16">
        <f>IFERROR(__xludf.DUMMYFUNCTION("""COMPUTED_VALUE"""),3.0)</f>
        <v>3</v>
      </c>
      <c r="X8" s="16"/>
      <c r="Y8" s="16"/>
      <c r="Z8" s="16"/>
      <c r="AA8" s="16"/>
      <c r="AB8" s="16"/>
      <c r="AC8" s="16"/>
      <c r="AD8" s="16"/>
      <c r="AE8" s="16"/>
      <c r="AF8" s="16"/>
      <c r="AG8" s="16"/>
      <c r="AH8" s="16"/>
      <c r="AI8" s="16"/>
      <c r="AJ8" s="16"/>
      <c r="AK8" s="16"/>
      <c r="AL8" s="16"/>
      <c r="AM8" s="16"/>
      <c r="AN8" s="16"/>
      <c r="AO8" s="16"/>
      <c r="AP8" s="16"/>
      <c r="AQ8" s="16"/>
      <c r="AR8" s="16"/>
      <c r="AS8" s="16"/>
      <c r="AT8" s="16"/>
      <c r="AU8" s="16"/>
      <c r="AV8" s="16"/>
      <c r="AW8" s="16"/>
      <c r="AX8" s="16"/>
    </row>
    <row r="9">
      <c r="A9" s="16" t="str">
        <f>IFERROR(__xludf.DUMMYFUNCTION("""COMPUTED_VALUE"""),"Cavalier")</f>
        <v>Cavalier</v>
      </c>
      <c r="B9" s="16" t="str">
        <f>IFERROR(__xludf.DUMMYFUNCTION("""COMPUTED_VALUE"""),"Beast Master")</f>
        <v>Beast Master</v>
      </c>
      <c r="C9" s="16">
        <f>IFERROR(__xludf.DUMMYFUNCTION("""COMPUTED_VALUE"""),3.0)</f>
        <v>3</v>
      </c>
      <c r="D9" s="16">
        <f>IFERROR(__xludf.DUMMYFUNCTION("""COMPUTED_VALUE"""),3.0)</f>
        <v>3</v>
      </c>
      <c r="E9" s="16">
        <f>IFERROR(__xludf.DUMMYFUNCTION("""COMPUTED_VALUE"""),3.0)</f>
        <v>3</v>
      </c>
      <c r="F9" s="16">
        <f>IFERROR(__xludf.DUMMYFUNCTION("""COMPUTED_VALUE"""),3.0)</f>
        <v>3</v>
      </c>
      <c r="G9" s="16">
        <f>IFERROR(__xludf.DUMMYFUNCTION("""COMPUTED_VALUE"""),3.0)</f>
        <v>3</v>
      </c>
      <c r="H9" s="16">
        <f>IFERROR(__xludf.DUMMYFUNCTION("""COMPUTED_VALUE"""),3.0)</f>
        <v>3</v>
      </c>
      <c r="I9" s="16">
        <f>IFERROR(__xludf.DUMMYFUNCTION("""COMPUTED_VALUE"""),3.0)</f>
        <v>3</v>
      </c>
      <c r="J9" s="16">
        <f>IFERROR(__xludf.DUMMYFUNCTION("""COMPUTED_VALUE"""),3.0)</f>
        <v>3</v>
      </c>
      <c r="K9" s="16">
        <f>IFERROR(__xludf.DUMMYFUNCTION("""COMPUTED_VALUE"""),3.0)</f>
        <v>3</v>
      </c>
      <c r="L9" s="16">
        <f>IFERROR(__xludf.DUMMYFUNCTION("""COMPUTED_VALUE"""),3.0)</f>
        <v>3</v>
      </c>
      <c r="M9" s="16">
        <f>IFERROR(__xludf.DUMMYFUNCTION("""COMPUTED_VALUE"""),3.0)</f>
        <v>3</v>
      </c>
      <c r="N9" s="16">
        <f>IFERROR(__xludf.DUMMYFUNCTION("""COMPUTED_VALUE"""),3.0)</f>
        <v>3</v>
      </c>
      <c r="O9" s="16">
        <f>IFERROR(__xludf.DUMMYFUNCTION("""COMPUTED_VALUE"""),3.0)</f>
        <v>3</v>
      </c>
      <c r="P9" s="16">
        <f>IFERROR(__xludf.DUMMYFUNCTION("""COMPUTED_VALUE"""),3.0)</f>
        <v>3</v>
      </c>
      <c r="Q9" s="16">
        <f>IFERROR(__xludf.DUMMYFUNCTION("""COMPUTED_VALUE"""),3.0)</f>
        <v>3</v>
      </c>
      <c r="R9" s="16">
        <f>IFERROR(__xludf.DUMMYFUNCTION("""COMPUTED_VALUE"""),3.0)</f>
        <v>3</v>
      </c>
      <c r="S9" s="16">
        <f>IFERROR(__xludf.DUMMYFUNCTION("""COMPUTED_VALUE"""),3.0)</f>
        <v>3</v>
      </c>
      <c r="T9" s="16">
        <f>IFERROR(__xludf.DUMMYFUNCTION("""COMPUTED_VALUE"""),3.0)</f>
        <v>3</v>
      </c>
      <c r="U9" s="16"/>
      <c r="V9" s="16"/>
      <c r="W9" s="16">
        <f>IFERROR(__xludf.DUMMYFUNCTION("""COMPUTED_VALUE"""),3.0)</f>
        <v>3</v>
      </c>
      <c r="X9" s="16"/>
      <c r="Y9" s="16"/>
      <c r="Z9" s="16"/>
      <c r="AA9" s="16"/>
      <c r="AB9" s="16"/>
      <c r="AC9" s="16"/>
      <c r="AD9" s="16"/>
      <c r="AE9" s="16"/>
      <c r="AF9" s="16"/>
      <c r="AG9" s="16"/>
      <c r="AH9" s="16"/>
      <c r="AI9" s="16"/>
      <c r="AJ9" s="16"/>
      <c r="AK9" s="16"/>
      <c r="AL9" s="16"/>
      <c r="AM9" s="16"/>
      <c r="AN9" s="16"/>
      <c r="AO9" s="16"/>
      <c r="AP9" s="16"/>
      <c r="AQ9" s="16"/>
      <c r="AR9" s="16"/>
      <c r="AS9" s="16"/>
      <c r="AT9" s="16"/>
      <c r="AU9" s="16"/>
      <c r="AV9" s="16"/>
      <c r="AW9" s="16"/>
      <c r="AX9" s="16"/>
    </row>
    <row r="10">
      <c r="A10" s="16" t="str">
        <f>IFERROR(__xludf.DUMMYFUNCTION("""COMPUTED_VALUE"""),"Cavalier")</f>
        <v>Cavalier</v>
      </c>
      <c r="B10" s="16" t="str">
        <f>IFERROR(__xludf.DUMMYFUNCTION("""COMPUTED_VALUE"""),"Blood Bound")</f>
        <v>Blood Bound</v>
      </c>
      <c r="C10" s="16">
        <f>IFERROR(__xludf.DUMMYFUNCTION("""COMPUTED_VALUE"""),3.0)</f>
        <v>3</v>
      </c>
      <c r="D10" s="16">
        <f>IFERROR(__xludf.DUMMYFUNCTION("""COMPUTED_VALUE"""),3.0)</f>
        <v>3</v>
      </c>
      <c r="E10" s="16">
        <f>IFERROR(__xludf.DUMMYFUNCTION("""COMPUTED_VALUE"""),3.0)</f>
        <v>3</v>
      </c>
      <c r="F10" s="16">
        <f>IFERROR(__xludf.DUMMYFUNCTION("""COMPUTED_VALUE"""),3.0)</f>
        <v>3</v>
      </c>
      <c r="G10" s="16">
        <f>IFERROR(__xludf.DUMMYFUNCTION("""COMPUTED_VALUE"""),3.0)</f>
        <v>3</v>
      </c>
      <c r="H10" s="16">
        <f>IFERROR(__xludf.DUMMYFUNCTION("""COMPUTED_VALUE"""),3.0)</f>
        <v>3</v>
      </c>
      <c r="I10" s="16">
        <f>IFERROR(__xludf.DUMMYFUNCTION("""COMPUTED_VALUE"""),3.0)</f>
        <v>3</v>
      </c>
      <c r="J10" s="16">
        <f>IFERROR(__xludf.DUMMYFUNCTION("""COMPUTED_VALUE"""),3.0)</f>
        <v>3</v>
      </c>
      <c r="K10" s="16">
        <f>IFERROR(__xludf.DUMMYFUNCTION("""COMPUTED_VALUE"""),3.0)</f>
        <v>3</v>
      </c>
      <c r="L10" s="16">
        <f>IFERROR(__xludf.DUMMYFUNCTION("""COMPUTED_VALUE"""),3.0)</f>
        <v>3</v>
      </c>
      <c r="M10" s="16">
        <f>IFERROR(__xludf.DUMMYFUNCTION("""COMPUTED_VALUE"""),3.0)</f>
        <v>3</v>
      </c>
      <c r="N10" s="16">
        <f>IFERROR(__xludf.DUMMYFUNCTION("""COMPUTED_VALUE"""),3.0)</f>
        <v>3</v>
      </c>
      <c r="O10" s="16">
        <f>IFERROR(__xludf.DUMMYFUNCTION("""COMPUTED_VALUE"""),3.0)</f>
        <v>3</v>
      </c>
      <c r="P10" s="16">
        <f>IFERROR(__xludf.DUMMYFUNCTION("""COMPUTED_VALUE"""),3.0)</f>
        <v>3</v>
      </c>
      <c r="Q10" s="16">
        <f>IFERROR(__xludf.DUMMYFUNCTION("""COMPUTED_VALUE"""),3.0)</f>
        <v>3</v>
      </c>
      <c r="R10" s="16">
        <f>IFERROR(__xludf.DUMMYFUNCTION("""COMPUTED_VALUE"""),3.0)</f>
        <v>3</v>
      </c>
      <c r="S10" s="16">
        <f>IFERROR(__xludf.DUMMYFUNCTION("""COMPUTED_VALUE"""),3.0)</f>
        <v>3</v>
      </c>
      <c r="T10" s="16">
        <f>IFERROR(__xludf.DUMMYFUNCTION("""COMPUTED_VALUE"""),3.0)</f>
        <v>3</v>
      </c>
      <c r="U10" s="16"/>
      <c r="V10" s="16"/>
      <c r="W10" s="16">
        <f>IFERROR(__xludf.DUMMYFUNCTION("""COMPUTED_VALUE"""),3.0)</f>
        <v>3</v>
      </c>
      <c r="X10" s="16"/>
      <c r="Y10" s="16"/>
      <c r="Z10" s="16"/>
      <c r="AA10" s="16"/>
      <c r="AB10" s="16"/>
      <c r="AC10" s="16"/>
      <c r="AD10" s="16"/>
      <c r="AE10" s="16"/>
      <c r="AF10" s="16"/>
      <c r="AG10" s="16"/>
      <c r="AH10" s="16"/>
      <c r="AI10" s="16"/>
      <c r="AJ10" s="16"/>
      <c r="AK10" s="16"/>
      <c r="AL10" s="16"/>
      <c r="AM10" s="16"/>
      <c r="AN10" s="16"/>
      <c r="AO10" s="16"/>
      <c r="AP10" s="16"/>
      <c r="AQ10" s="16"/>
      <c r="AR10" s="16"/>
      <c r="AS10" s="16"/>
      <c r="AT10" s="16"/>
      <c r="AU10" s="16"/>
      <c r="AV10" s="16"/>
      <c r="AW10" s="16"/>
      <c r="AX10" s="16"/>
    </row>
    <row r="11">
      <c r="A11" s="16" t="str">
        <f>IFERROR(__xludf.DUMMYFUNCTION("""COMPUTED_VALUE"""),"Cavalier")</f>
        <v>Cavalier</v>
      </c>
      <c r="B11" s="16" t="str">
        <f>IFERROR(__xludf.DUMMYFUNCTION("""COMPUTED_VALUE"""),"Heavenly Herald")</f>
        <v>Heavenly Herald</v>
      </c>
      <c r="C11" s="16">
        <f>IFERROR(__xludf.DUMMYFUNCTION("""COMPUTED_VALUE"""),3.0)</f>
        <v>3</v>
      </c>
      <c r="D11" s="16">
        <f>IFERROR(__xludf.DUMMYFUNCTION("""COMPUTED_VALUE"""),3.0)</f>
        <v>3</v>
      </c>
      <c r="E11" s="16">
        <f>IFERROR(__xludf.DUMMYFUNCTION("""COMPUTED_VALUE"""),3.0)</f>
        <v>3</v>
      </c>
      <c r="F11" s="16">
        <f>IFERROR(__xludf.DUMMYFUNCTION("""COMPUTED_VALUE"""),3.0)</f>
        <v>3</v>
      </c>
      <c r="G11" s="16">
        <f>IFERROR(__xludf.DUMMYFUNCTION("""COMPUTED_VALUE"""),3.0)</f>
        <v>3</v>
      </c>
      <c r="H11" s="16">
        <f>IFERROR(__xludf.DUMMYFUNCTION("""COMPUTED_VALUE"""),3.0)</f>
        <v>3</v>
      </c>
      <c r="I11" s="16">
        <f>IFERROR(__xludf.DUMMYFUNCTION("""COMPUTED_VALUE"""),3.0)</f>
        <v>3</v>
      </c>
      <c r="J11" s="16">
        <f>IFERROR(__xludf.DUMMYFUNCTION("""COMPUTED_VALUE"""),3.0)</f>
        <v>3</v>
      </c>
      <c r="K11" s="16">
        <f>IFERROR(__xludf.DUMMYFUNCTION("""COMPUTED_VALUE"""),3.0)</f>
        <v>3</v>
      </c>
      <c r="L11" s="16">
        <f>IFERROR(__xludf.DUMMYFUNCTION("""COMPUTED_VALUE"""),3.0)</f>
        <v>3</v>
      </c>
      <c r="M11" s="16">
        <f>IFERROR(__xludf.DUMMYFUNCTION("""COMPUTED_VALUE"""),3.0)</f>
        <v>3</v>
      </c>
      <c r="N11" s="16">
        <f>IFERROR(__xludf.DUMMYFUNCTION("""COMPUTED_VALUE"""),3.0)</f>
        <v>3</v>
      </c>
      <c r="O11" s="16">
        <f>IFERROR(__xludf.DUMMYFUNCTION("""COMPUTED_VALUE"""),3.0)</f>
        <v>3</v>
      </c>
      <c r="P11" s="16">
        <f>IFERROR(__xludf.DUMMYFUNCTION("""COMPUTED_VALUE"""),3.0)</f>
        <v>3</v>
      </c>
      <c r="Q11" s="16">
        <f>IFERROR(__xludf.DUMMYFUNCTION("""COMPUTED_VALUE"""),3.0)</f>
        <v>3</v>
      </c>
      <c r="R11" s="16">
        <f>IFERROR(__xludf.DUMMYFUNCTION("""COMPUTED_VALUE"""),3.0)</f>
        <v>3</v>
      </c>
      <c r="S11" s="16">
        <f>IFERROR(__xludf.DUMMYFUNCTION("""COMPUTED_VALUE"""),3.0)</f>
        <v>3</v>
      </c>
      <c r="T11" s="16">
        <f>IFERROR(__xludf.DUMMYFUNCTION("""COMPUTED_VALUE"""),3.0)</f>
        <v>3</v>
      </c>
      <c r="U11" s="16"/>
      <c r="V11" s="16"/>
      <c r="W11" s="16">
        <f>IFERROR(__xludf.DUMMYFUNCTION("""COMPUTED_VALUE"""),3.0)</f>
        <v>3</v>
      </c>
      <c r="X11" s="16"/>
      <c r="Y11" s="16"/>
      <c r="Z11" s="16"/>
      <c r="AA11" s="16"/>
      <c r="AB11" s="16"/>
      <c r="AC11" s="16"/>
      <c r="AD11" s="16"/>
      <c r="AE11" s="16"/>
      <c r="AF11" s="16"/>
      <c r="AG11" s="16"/>
      <c r="AH11" s="16"/>
      <c r="AI11" s="16"/>
      <c r="AJ11" s="16"/>
      <c r="AK11" s="16"/>
      <c r="AL11" s="16"/>
      <c r="AM11" s="16"/>
      <c r="AN11" s="16"/>
      <c r="AO11" s="16"/>
      <c r="AP11" s="16"/>
      <c r="AQ11" s="16"/>
      <c r="AR11" s="16"/>
      <c r="AS11" s="16"/>
      <c r="AT11" s="16"/>
      <c r="AU11" s="16"/>
      <c r="AV11" s="16"/>
      <c r="AW11" s="16"/>
      <c r="AX11" s="16"/>
    </row>
    <row r="12">
      <c r="A12" s="16" t="str">
        <f>IFERROR(__xludf.DUMMYFUNCTION("""COMPUTED_VALUE"""),"Cultist")</f>
        <v>Cultist</v>
      </c>
      <c r="B12" s="16" t="str">
        <f>IFERROR(__xludf.DUMMYFUNCTION("""COMPUTED_VALUE"""),"Disciple of Darkness")</f>
        <v>Disciple of Darkness</v>
      </c>
      <c r="C12" s="16"/>
      <c r="D12" s="16"/>
      <c r="E12" s="16"/>
      <c r="F12" s="16"/>
      <c r="G12" s="16"/>
      <c r="H12" s="16">
        <f>IFERROR(__xludf.DUMMYFUNCTION("""COMPUTED_VALUE"""),9.0)</f>
        <v>9</v>
      </c>
      <c r="I12" s="16"/>
      <c r="J12" s="16"/>
      <c r="K12" s="16">
        <f>IFERROR(__xludf.DUMMYFUNCTION("""COMPUTED_VALUE"""),9.0)</f>
        <v>9</v>
      </c>
      <c r="L12" s="16"/>
      <c r="M12" s="16"/>
      <c r="N12" s="16"/>
      <c r="O12" s="16"/>
      <c r="P12" s="16"/>
      <c r="Q12" s="16"/>
      <c r="R12" s="16">
        <f>IFERROR(__xludf.DUMMYFUNCTION("""COMPUTED_VALUE"""),9.0)</f>
        <v>9</v>
      </c>
      <c r="S12" s="16">
        <f>IFERROR(__xludf.DUMMYFUNCTION("""COMPUTED_VALUE"""),9.0)</f>
        <v>9</v>
      </c>
      <c r="T12" s="16"/>
      <c r="U12" s="16"/>
      <c r="V12" s="16"/>
      <c r="W12" s="16"/>
      <c r="X12" s="16"/>
      <c r="Y12" s="16"/>
      <c r="Z12" s="16"/>
      <c r="AA12" s="16"/>
      <c r="AB12" s="16"/>
      <c r="AC12" s="16"/>
      <c r="AD12" s="16"/>
      <c r="AE12" s="16"/>
      <c r="AF12" s="16"/>
      <c r="AG12" s="16"/>
      <c r="AH12" s="16"/>
      <c r="AI12" s="16"/>
      <c r="AJ12" s="16"/>
      <c r="AK12" s="16"/>
      <c r="AL12" s="16"/>
      <c r="AM12" s="16"/>
      <c r="AN12" s="16"/>
      <c r="AO12" s="16"/>
      <c r="AP12" s="16"/>
      <c r="AQ12" s="16"/>
      <c r="AR12" s="16"/>
      <c r="AS12" s="16"/>
      <c r="AT12" s="16"/>
      <c r="AU12" s="16"/>
      <c r="AV12" s="16"/>
      <c r="AW12" s="16"/>
      <c r="AX12" s="16"/>
    </row>
    <row r="13">
      <c r="A13" s="16" t="str">
        <f>IFERROR(__xludf.DUMMYFUNCTION("""COMPUTED_VALUE"""),"Cultist")</f>
        <v>Cultist</v>
      </c>
      <c r="B13" s="16" t="str">
        <f>IFERROR(__xludf.DUMMYFUNCTION("""COMPUTED_VALUE"""),"Elemental Cultist")</f>
        <v>Elemental Cultist</v>
      </c>
      <c r="C13" s="16">
        <f>IFERROR(__xludf.DUMMYFUNCTION("""COMPUTED_VALUE"""),9.0)</f>
        <v>9</v>
      </c>
      <c r="D13" s="16">
        <f>IFERROR(__xludf.DUMMYFUNCTION("""COMPUTED_VALUE"""),9.0)</f>
        <v>9</v>
      </c>
      <c r="E13" s="16"/>
      <c r="F13" s="16">
        <f>IFERROR(__xludf.DUMMYFUNCTION("""COMPUTED_VALUE"""),9.0)</f>
        <v>9</v>
      </c>
      <c r="G13" s="16"/>
      <c r="H13" s="16">
        <f>IFERROR(__xludf.DUMMYFUNCTION("""COMPUTED_VALUE"""),9.0)</f>
        <v>9</v>
      </c>
      <c r="I13" s="16"/>
      <c r="J13" s="16"/>
      <c r="K13" s="16">
        <f>IFERROR(__xludf.DUMMYFUNCTION("""COMPUTED_VALUE"""),9.0)</f>
        <v>9</v>
      </c>
      <c r="L13" s="16"/>
      <c r="M13" s="16"/>
      <c r="N13" s="16"/>
      <c r="O13" s="16"/>
      <c r="P13" s="16"/>
      <c r="Q13" s="16"/>
      <c r="R13" s="16"/>
      <c r="S13" s="16">
        <f>IFERROR(__xludf.DUMMYFUNCTION("""COMPUTED_VALUE"""),6.0)</f>
        <v>6</v>
      </c>
      <c r="T13" s="16"/>
      <c r="U13" s="16"/>
      <c r="V13" s="16"/>
      <c r="W13" s="16"/>
      <c r="X13" s="16"/>
      <c r="Y13" s="16"/>
      <c r="Z13" s="16"/>
      <c r="AA13" s="16"/>
      <c r="AB13" s="16"/>
      <c r="AC13" s="16"/>
      <c r="AD13" s="16"/>
      <c r="AE13" s="16"/>
      <c r="AF13" s="16"/>
      <c r="AG13" s="16"/>
      <c r="AH13" s="16"/>
      <c r="AI13" s="16"/>
      <c r="AJ13" s="16"/>
      <c r="AK13" s="16"/>
      <c r="AL13" s="16"/>
      <c r="AM13" s="16"/>
      <c r="AN13" s="16"/>
      <c r="AO13" s="16"/>
      <c r="AP13" s="16"/>
      <c r="AQ13" s="16"/>
      <c r="AR13" s="16"/>
      <c r="AS13" s="16"/>
      <c r="AT13" s="16"/>
      <c r="AU13" s="16"/>
      <c r="AV13" s="16"/>
      <c r="AW13" s="16"/>
      <c r="AX13" s="16"/>
    </row>
    <row r="14">
      <c r="A14" s="16" t="str">
        <f>IFERROR(__xludf.DUMMYFUNCTION("""COMPUTED_VALUE"""),"Cultist")</f>
        <v>Cultist</v>
      </c>
      <c r="B14" s="16" t="str">
        <f>IFERROR(__xludf.DUMMYFUNCTION("""COMPUTED_VALUE"""),"Necromancer")</f>
        <v>Necromancer</v>
      </c>
      <c r="C14" s="16"/>
      <c r="D14" s="16"/>
      <c r="E14" s="16"/>
      <c r="F14" s="16"/>
      <c r="G14" s="16"/>
      <c r="H14" s="16">
        <f>IFERROR(__xludf.DUMMYFUNCTION("""COMPUTED_VALUE"""),9.0)</f>
        <v>9</v>
      </c>
      <c r="I14" s="16"/>
      <c r="J14" s="16"/>
      <c r="K14" s="16">
        <f>IFERROR(__xludf.DUMMYFUNCTION("""COMPUTED_VALUE"""),9.0)</f>
        <v>9</v>
      </c>
      <c r="L14" s="16"/>
      <c r="M14" s="16"/>
      <c r="N14" s="16"/>
      <c r="O14" s="16"/>
      <c r="P14" s="16"/>
      <c r="Q14" s="16"/>
      <c r="R14" s="16">
        <f>IFERROR(__xludf.DUMMYFUNCTION("""COMPUTED_VALUE"""),9.0)</f>
        <v>9</v>
      </c>
      <c r="S14" s="16">
        <f>IFERROR(__xludf.DUMMYFUNCTION("""COMPUTED_VALUE"""),9.0)</f>
        <v>9</v>
      </c>
      <c r="T14" s="16"/>
      <c r="U14" s="16"/>
      <c r="V14" s="16"/>
      <c r="W14" s="16"/>
      <c r="X14" s="16"/>
      <c r="Y14" s="16"/>
      <c r="Z14" s="16"/>
      <c r="AA14" s="16"/>
      <c r="AB14" s="16"/>
      <c r="AC14" s="16"/>
      <c r="AD14" s="16"/>
      <c r="AE14" s="16"/>
      <c r="AF14" s="16"/>
      <c r="AG14" s="16"/>
      <c r="AH14" s="16"/>
      <c r="AI14" s="16"/>
      <c r="AJ14" s="16"/>
      <c r="AK14" s="16"/>
      <c r="AL14" s="16"/>
      <c r="AM14" s="16"/>
      <c r="AN14" s="16"/>
      <c r="AO14" s="16"/>
      <c r="AP14" s="16"/>
      <c r="AQ14" s="16"/>
      <c r="AR14" s="16"/>
      <c r="AS14" s="16"/>
      <c r="AT14" s="16"/>
      <c r="AU14" s="16"/>
      <c r="AV14" s="16"/>
      <c r="AW14" s="16"/>
      <c r="AX14" s="16"/>
    </row>
    <row r="15">
      <c r="A15" s="16" t="str">
        <f>IFERROR(__xludf.DUMMYFUNCTION("""COMPUTED_VALUE"""),"Druid")</f>
        <v>Druid</v>
      </c>
      <c r="B15" s="16" t="str">
        <f>IFERROR(__xludf.DUMMYFUNCTION("""COMPUTED_VALUE"""),"High Druid")</f>
        <v>High Druid</v>
      </c>
      <c r="C15" s="16"/>
      <c r="D15" s="16">
        <f>IFERROR(__xludf.DUMMYFUNCTION("""COMPUTED_VALUE"""),9.0)</f>
        <v>9</v>
      </c>
      <c r="E15" s="16"/>
      <c r="F15" s="16">
        <f>IFERROR(__xludf.DUMMYFUNCTION("""COMPUTED_VALUE"""),9.0)</f>
        <v>9</v>
      </c>
      <c r="G15" s="16">
        <f>IFERROR(__xludf.DUMMYFUNCTION("""COMPUTED_VALUE"""),9.0)</f>
        <v>9</v>
      </c>
      <c r="H15" s="16"/>
      <c r="I15" s="16"/>
      <c r="J15" s="16">
        <f>IFERROR(__xludf.DUMMYFUNCTION("""COMPUTED_VALUE"""),9.0)</f>
        <v>9</v>
      </c>
      <c r="K15" s="16"/>
      <c r="L15" s="16">
        <f>IFERROR(__xludf.DUMMYFUNCTION("""COMPUTED_VALUE"""),9.0)</f>
        <v>9</v>
      </c>
      <c r="M15" s="16"/>
      <c r="N15" s="16"/>
      <c r="O15" s="16">
        <f>IFERROR(__xludf.DUMMYFUNCTION("""COMPUTED_VALUE"""),9.0)</f>
        <v>9</v>
      </c>
      <c r="P15" s="16"/>
      <c r="Q15" s="16"/>
      <c r="R15" s="16"/>
      <c r="S15" s="16"/>
      <c r="T15" s="16"/>
      <c r="U15" s="16"/>
      <c r="V15" s="16"/>
      <c r="W15" s="16"/>
      <c r="X15" s="16"/>
      <c r="Y15" s="16"/>
      <c r="Z15" s="16"/>
      <c r="AA15" s="16"/>
      <c r="AB15" s="16"/>
      <c r="AC15" s="16"/>
      <c r="AD15" s="16"/>
      <c r="AE15" s="16"/>
      <c r="AF15" s="16"/>
      <c r="AG15" s="16"/>
      <c r="AH15" s="16"/>
      <c r="AI15" s="16"/>
      <c r="AJ15" s="16"/>
      <c r="AK15" s="16"/>
      <c r="AL15" s="16"/>
      <c r="AM15" s="16"/>
      <c r="AN15" s="16"/>
      <c r="AO15" s="16"/>
      <c r="AP15" s="16"/>
      <c r="AQ15" s="16"/>
      <c r="AR15" s="16"/>
      <c r="AS15" s="16"/>
      <c r="AT15" s="16"/>
      <c r="AU15" s="16"/>
      <c r="AV15" s="16"/>
      <c r="AW15" s="16"/>
      <c r="AX15" s="16"/>
    </row>
    <row r="16">
      <c r="A16" s="16" t="str">
        <f>IFERROR(__xludf.DUMMYFUNCTION("""COMPUTED_VALUE"""),"Gunslinger")</f>
        <v>Gunslinger</v>
      </c>
      <c r="B16" s="16" t="str">
        <f>IFERROR(__xludf.DUMMYFUNCTION("""COMPUTED_VALUE"""),"Dead Eye")</f>
        <v>Dead Eye</v>
      </c>
      <c r="C16" s="16"/>
      <c r="D16" s="16"/>
      <c r="E16" s="16"/>
      <c r="F16" s="16"/>
      <c r="G16" s="16"/>
      <c r="H16" s="16"/>
      <c r="I16" s="16"/>
      <c r="J16" s="16"/>
      <c r="K16" s="16"/>
      <c r="L16" s="16"/>
      <c r="M16" s="16">
        <f>IFERROR(__xludf.DUMMYFUNCTION("""COMPUTED_VALUE"""),9.0)</f>
        <v>9</v>
      </c>
      <c r="N16" s="16">
        <f>IFERROR(__xludf.DUMMYFUNCTION("""COMPUTED_VALUE"""),9.0)</f>
        <v>9</v>
      </c>
      <c r="O16" s="16">
        <f>IFERROR(__xludf.DUMMYFUNCTION("""COMPUTED_VALUE"""),9.0)</f>
        <v>9</v>
      </c>
      <c r="P16" s="16"/>
      <c r="Q16" s="16"/>
      <c r="R16" s="16"/>
      <c r="S16" s="16"/>
      <c r="T16" s="16"/>
      <c r="U16" s="16"/>
      <c r="V16" s="16"/>
      <c r="W16" s="16"/>
      <c r="X16" s="16"/>
      <c r="Y16" s="16"/>
      <c r="Z16" s="16"/>
      <c r="AA16" s="16"/>
      <c r="AB16" s="16"/>
      <c r="AC16" s="16"/>
      <c r="AD16" s="16"/>
      <c r="AE16" s="16"/>
      <c r="AF16" s="16"/>
      <c r="AG16" s="16"/>
      <c r="AH16" s="16"/>
      <c r="AI16" s="16"/>
      <c r="AJ16" s="16"/>
      <c r="AK16" s="16"/>
      <c r="AL16" s="16"/>
      <c r="AM16" s="16"/>
      <c r="AN16" s="16"/>
      <c r="AO16" s="16"/>
      <c r="AP16" s="16"/>
      <c r="AQ16" s="16"/>
      <c r="AR16" s="16"/>
      <c r="AS16" s="16"/>
      <c r="AT16" s="16"/>
      <c r="AU16" s="16"/>
      <c r="AV16" s="16"/>
      <c r="AW16" s="16"/>
      <c r="AX16" s="16"/>
    </row>
    <row r="17">
      <c r="A17" s="16" t="str">
        <f>IFERROR(__xludf.DUMMYFUNCTION("""COMPUTED_VALUE"""),"Hunter")</f>
        <v>Hunter</v>
      </c>
      <c r="B17" s="16" t="str">
        <f>IFERROR(__xludf.DUMMYFUNCTION("""COMPUTED_VALUE"""),"Hunting Specialist")</f>
        <v>Hunting Specialist</v>
      </c>
      <c r="C17" s="16"/>
      <c r="D17" s="16"/>
      <c r="E17" s="16"/>
      <c r="F17" s="16"/>
      <c r="G17" s="16"/>
      <c r="H17" s="16"/>
      <c r="I17" s="16"/>
      <c r="J17" s="16"/>
      <c r="K17" s="16"/>
      <c r="L17" s="16">
        <f>IFERROR(__xludf.DUMMYFUNCTION("""COMPUTED_VALUE"""),9.0)</f>
        <v>9</v>
      </c>
      <c r="M17" s="16">
        <f>IFERROR(__xludf.DUMMYFUNCTION("""COMPUTED_VALUE"""),9.0)</f>
        <v>9</v>
      </c>
      <c r="N17" s="16">
        <f>IFERROR(__xludf.DUMMYFUNCTION("""COMPUTED_VALUE"""),9.0)</f>
        <v>9</v>
      </c>
      <c r="O17" s="16">
        <f>IFERROR(__xludf.DUMMYFUNCTION("""COMPUTED_VALUE"""),9.0)</f>
        <v>9</v>
      </c>
      <c r="P17" s="16"/>
      <c r="Q17" s="16"/>
      <c r="R17" s="16"/>
      <c r="S17" s="16"/>
      <c r="T17" s="16"/>
      <c r="U17" s="16"/>
      <c r="V17" s="16"/>
      <c r="W17" s="16"/>
      <c r="X17" s="16"/>
      <c r="Y17" s="16"/>
      <c r="Z17" s="16"/>
      <c r="AA17" s="16"/>
      <c r="AB17" s="16"/>
      <c r="AC17" s="16"/>
      <c r="AD17" s="16"/>
      <c r="AE17" s="16"/>
      <c r="AF17" s="16"/>
      <c r="AG17" s="16"/>
      <c r="AH17" s="16"/>
      <c r="AI17" s="16"/>
      <c r="AJ17" s="16"/>
      <c r="AK17" s="16"/>
      <c r="AL17" s="16"/>
      <c r="AM17" s="16"/>
      <c r="AN17" s="16"/>
      <c r="AO17" s="16"/>
      <c r="AP17" s="16"/>
      <c r="AQ17" s="16"/>
      <c r="AR17" s="16"/>
      <c r="AS17" s="16"/>
      <c r="AT17" s="16"/>
      <c r="AU17" s="16"/>
      <c r="AV17" s="16"/>
      <c r="AW17" s="16"/>
      <c r="AX17" s="16"/>
    </row>
    <row r="18">
      <c r="A18" s="16" t="str">
        <f>IFERROR(__xludf.DUMMYFUNCTION("""COMPUTED_VALUE"""),"Jack of all Trades")</f>
        <v>Jack of all Trades</v>
      </c>
      <c r="B18" s="16" t="str">
        <f>IFERROR(__xludf.DUMMYFUNCTION("""COMPUTED_VALUE"""),"Master of all Trades")</f>
        <v>Master of all Trades</v>
      </c>
      <c r="C18" s="16">
        <f>IFERROR(__xludf.DUMMYFUNCTION("""COMPUTED_VALUE"""),9.0)</f>
        <v>9</v>
      </c>
      <c r="D18" s="16">
        <f>IFERROR(__xludf.DUMMYFUNCTION("""COMPUTED_VALUE"""),9.0)</f>
        <v>9</v>
      </c>
      <c r="E18" s="16">
        <f>IFERROR(__xludf.DUMMYFUNCTION("""COMPUTED_VALUE"""),9.0)</f>
        <v>9</v>
      </c>
      <c r="F18" s="16">
        <f>IFERROR(__xludf.DUMMYFUNCTION("""COMPUTED_VALUE"""),9.0)</f>
        <v>9</v>
      </c>
      <c r="G18" s="16">
        <f>IFERROR(__xludf.DUMMYFUNCTION("""COMPUTED_VALUE"""),9.0)</f>
        <v>9</v>
      </c>
      <c r="H18" s="16">
        <f>IFERROR(__xludf.DUMMYFUNCTION("""COMPUTED_VALUE"""),9.0)</f>
        <v>9</v>
      </c>
      <c r="I18" s="16">
        <f>IFERROR(__xludf.DUMMYFUNCTION("""COMPUTED_VALUE"""),9.0)</f>
        <v>9</v>
      </c>
      <c r="J18" s="16">
        <f>IFERROR(__xludf.DUMMYFUNCTION("""COMPUTED_VALUE"""),9.0)</f>
        <v>9</v>
      </c>
      <c r="K18" s="16">
        <f>IFERROR(__xludf.DUMMYFUNCTION("""COMPUTED_VALUE"""),9.0)</f>
        <v>9</v>
      </c>
      <c r="L18" s="16">
        <f>IFERROR(__xludf.DUMMYFUNCTION("""COMPUTED_VALUE"""),9.0)</f>
        <v>9</v>
      </c>
      <c r="M18" s="16">
        <f>IFERROR(__xludf.DUMMYFUNCTION("""COMPUTED_VALUE"""),9.0)</f>
        <v>9</v>
      </c>
      <c r="N18" s="16">
        <f>IFERROR(__xludf.DUMMYFUNCTION("""COMPUTED_VALUE"""),9.0)</f>
        <v>9</v>
      </c>
      <c r="O18" s="16">
        <f>IFERROR(__xludf.DUMMYFUNCTION("""COMPUTED_VALUE"""),9.0)</f>
        <v>9</v>
      </c>
      <c r="P18" s="16">
        <f>IFERROR(__xludf.DUMMYFUNCTION("""COMPUTED_VALUE"""),9.0)</f>
        <v>9</v>
      </c>
      <c r="Q18" s="16">
        <f>IFERROR(__xludf.DUMMYFUNCTION("""COMPUTED_VALUE"""),9.0)</f>
        <v>9</v>
      </c>
      <c r="R18" s="16">
        <f>IFERROR(__xludf.DUMMYFUNCTION("""COMPUTED_VALUE"""),9.0)</f>
        <v>9</v>
      </c>
      <c r="S18" s="16">
        <f>IFERROR(__xludf.DUMMYFUNCTION("""COMPUTED_VALUE"""),9.0)</f>
        <v>9</v>
      </c>
      <c r="T18" s="16">
        <f>IFERROR(__xludf.DUMMYFUNCTION("""COMPUTED_VALUE"""),9.0)</f>
        <v>9</v>
      </c>
      <c r="U18" s="16">
        <f>IFERROR(__xludf.DUMMYFUNCTION("""COMPUTED_VALUE"""),6.0)</f>
        <v>6</v>
      </c>
      <c r="V18" s="16"/>
      <c r="W18" s="16">
        <f>IFERROR(__xludf.DUMMYFUNCTION("""COMPUTED_VALUE"""),9.0)</f>
        <v>9</v>
      </c>
      <c r="X18" s="16"/>
      <c r="Y18" s="16"/>
      <c r="Z18" s="16"/>
      <c r="AA18" s="16"/>
      <c r="AB18" s="16"/>
      <c r="AC18" s="16"/>
      <c r="AD18" s="16"/>
      <c r="AE18" s="16"/>
      <c r="AF18" s="16"/>
      <c r="AG18" s="16"/>
      <c r="AH18" s="16"/>
      <c r="AI18" s="16"/>
      <c r="AJ18" s="16"/>
      <c r="AK18" s="16"/>
      <c r="AL18" s="16"/>
      <c r="AM18" s="16"/>
      <c r="AN18" s="16"/>
      <c r="AO18" s="16"/>
      <c r="AP18" s="16"/>
      <c r="AQ18" s="16"/>
      <c r="AR18" s="16"/>
      <c r="AS18" s="16"/>
      <c r="AT18" s="16"/>
      <c r="AU18" s="16"/>
      <c r="AV18" s="16"/>
      <c r="AW18" s="16"/>
      <c r="AX18" s="16"/>
    </row>
    <row r="19">
      <c r="A19" s="16" t="str">
        <f>IFERROR(__xludf.DUMMYFUNCTION("""COMPUTED_VALUE"""),"Knight")</f>
        <v>Knight</v>
      </c>
      <c r="B19" s="16" t="str">
        <f>IFERROR(__xludf.DUMMYFUNCTION("""COMPUTED_VALUE"""),"Elemental Knight")</f>
        <v>Elemental Knight</v>
      </c>
      <c r="C19" s="16">
        <f>IFERROR(__xludf.DUMMYFUNCTION("""COMPUTED_VALUE"""),9.0)</f>
        <v>9</v>
      </c>
      <c r="D19" s="16">
        <f>IFERROR(__xludf.DUMMYFUNCTION("""COMPUTED_VALUE"""),9.0)</f>
        <v>9</v>
      </c>
      <c r="E19" s="16">
        <f>IFERROR(__xludf.DUMMYFUNCTION("""COMPUTED_VALUE"""),9.0)</f>
        <v>9</v>
      </c>
      <c r="F19" s="16">
        <f>IFERROR(__xludf.DUMMYFUNCTION("""COMPUTED_VALUE"""),9.0)</f>
        <v>9</v>
      </c>
      <c r="G19" s="16">
        <f>IFERROR(__xludf.DUMMYFUNCTION("""COMPUTED_VALUE"""),9.0)</f>
        <v>9</v>
      </c>
      <c r="H19" s="16"/>
      <c r="I19" s="16"/>
      <c r="J19" s="16">
        <f>IFERROR(__xludf.DUMMYFUNCTION("""COMPUTED_VALUE"""),9.0)</f>
        <v>9</v>
      </c>
      <c r="K19" s="16"/>
      <c r="L19" s="16">
        <f>IFERROR(__xludf.DUMMYFUNCTION("""COMPUTED_VALUE"""),9.0)</f>
        <v>9</v>
      </c>
      <c r="M19" s="16">
        <f>IFERROR(__xludf.DUMMYFUNCTION("""COMPUTED_VALUE"""),6.0)</f>
        <v>6</v>
      </c>
      <c r="N19" s="16">
        <f>IFERROR(__xludf.DUMMYFUNCTION("""COMPUTED_VALUE"""),6.0)</f>
        <v>6</v>
      </c>
      <c r="O19" s="16">
        <f>IFERROR(__xludf.DUMMYFUNCTION("""COMPUTED_VALUE"""),6.0)</f>
        <v>6</v>
      </c>
      <c r="P19" s="16"/>
      <c r="Q19" s="16"/>
      <c r="R19" s="16"/>
      <c r="S19" s="16"/>
      <c r="T19" s="16"/>
      <c r="U19" s="16"/>
      <c r="V19" s="16"/>
      <c r="W19" s="16"/>
      <c r="X19" s="16"/>
      <c r="Y19" s="16"/>
      <c r="Z19" s="16"/>
      <c r="AA19" s="16"/>
      <c r="AB19" s="16"/>
      <c r="AC19" s="16"/>
      <c r="AD19" s="16"/>
      <c r="AE19" s="16"/>
      <c r="AF19" s="16"/>
      <c r="AG19" s="16"/>
      <c r="AH19" s="16"/>
      <c r="AI19" s="16"/>
      <c r="AJ19" s="16"/>
      <c r="AK19" s="16"/>
      <c r="AL19" s="16"/>
      <c r="AM19" s="16"/>
      <c r="AN19" s="16"/>
      <c r="AO19" s="16"/>
      <c r="AP19" s="16"/>
      <c r="AQ19" s="16"/>
      <c r="AR19" s="16"/>
      <c r="AS19" s="16"/>
      <c r="AT19" s="16"/>
      <c r="AU19" s="16"/>
      <c r="AV19" s="16"/>
      <c r="AW19" s="16"/>
      <c r="AX19" s="16"/>
    </row>
    <row r="20">
      <c r="A20" s="16" t="str">
        <f>IFERROR(__xludf.DUMMYFUNCTION("""COMPUTED_VALUE"""),"Knight")</f>
        <v>Knight</v>
      </c>
      <c r="B20" s="16" t="str">
        <f>IFERROR(__xludf.DUMMYFUNCTION("""COMPUTED_VALUE"""),"Defensive Knight")</f>
        <v>Defensive Knight</v>
      </c>
      <c r="C20" s="16"/>
      <c r="D20" s="16"/>
      <c r="E20" s="16"/>
      <c r="F20" s="16"/>
      <c r="G20" s="16">
        <f>IFERROR(__xludf.DUMMYFUNCTION("""COMPUTED_VALUE"""),9.0)</f>
        <v>9</v>
      </c>
      <c r="H20" s="16"/>
      <c r="I20" s="16"/>
      <c r="J20" s="16">
        <f>IFERROR(__xludf.DUMMYFUNCTION("""COMPUTED_VALUE"""),9.0)</f>
        <v>9</v>
      </c>
      <c r="K20" s="16"/>
      <c r="L20" s="16"/>
      <c r="M20" s="16">
        <f>IFERROR(__xludf.DUMMYFUNCTION("""COMPUTED_VALUE"""),9.0)</f>
        <v>9</v>
      </c>
      <c r="N20" s="16">
        <f>IFERROR(__xludf.DUMMYFUNCTION("""COMPUTED_VALUE"""),9.0)</f>
        <v>9</v>
      </c>
      <c r="O20" s="16">
        <f>IFERROR(__xludf.DUMMYFUNCTION("""COMPUTED_VALUE"""),9.0)</f>
        <v>9</v>
      </c>
      <c r="P20" s="16"/>
      <c r="Q20" s="16"/>
      <c r="R20" s="16"/>
      <c r="S20" s="16"/>
      <c r="T20" s="16"/>
      <c r="U20" s="16"/>
      <c r="V20" s="16"/>
      <c r="W20" s="16"/>
      <c r="X20" s="16"/>
      <c r="Y20" s="16"/>
      <c r="Z20" s="16"/>
      <c r="AA20" s="16"/>
      <c r="AB20" s="16"/>
      <c r="AC20" s="16"/>
      <c r="AD20" s="16"/>
      <c r="AE20" s="16"/>
      <c r="AF20" s="16"/>
      <c r="AG20" s="16"/>
      <c r="AH20" s="16"/>
      <c r="AI20" s="16"/>
      <c r="AJ20" s="16"/>
      <c r="AK20" s="16"/>
      <c r="AL20" s="16"/>
      <c r="AM20" s="16"/>
      <c r="AN20" s="16"/>
      <c r="AO20" s="16"/>
      <c r="AP20" s="16"/>
      <c r="AQ20" s="16"/>
      <c r="AR20" s="16"/>
      <c r="AS20" s="16"/>
      <c r="AT20" s="16"/>
      <c r="AU20" s="16"/>
      <c r="AV20" s="16"/>
      <c r="AW20" s="16"/>
      <c r="AX20" s="16"/>
    </row>
    <row r="21">
      <c r="A21" s="16" t="str">
        <f>IFERROR(__xludf.DUMMYFUNCTION("""COMPUTED_VALUE"""),"Knight")</f>
        <v>Knight</v>
      </c>
      <c r="B21" s="16" t="str">
        <f>IFERROR(__xludf.DUMMYFUNCTION("""COMPUTED_VALUE"""),"Offensive Knight")</f>
        <v>Offensive Knight</v>
      </c>
      <c r="C21" s="16"/>
      <c r="D21" s="16"/>
      <c r="E21" s="16"/>
      <c r="F21" s="16"/>
      <c r="G21" s="16">
        <f>IFERROR(__xludf.DUMMYFUNCTION("""COMPUTED_VALUE"""),9.0)</f>
        <v>9</v>
      </c>
      <c r="H21" s="16"/>
      <c r="I21" s="16"/>
      <c r="J21" s="16">
        <f>IFERROR(__xludf.DUMMYFUNCTION("""COMPUTED_VALUE"""),9.0)</f>
        <v>9</v>
      </c>
      <c r="K21" s="16"/>
      <c r="L21" s="16"/>
      <c r="M21" s="16">
        <f>IFERROR(__xludf.DUMMYFUNCTION("""COMPUTED_VALUE"""),9.0)</f>
        <v>9</v>
      </c>
      <c r="N21" s="16">
        <f>IFERROR(__xludf.DUMMYFUNCTION("""COMPUTED_VALUE"""),9.0)</f>
        <v>9</v>
      </c>
      <c r="O21" s="16">
        <f>IFERROR(__xludf.DUMMYFUNCTION("""COMPUTED_VALUE"""),9.0)</f>
        <v>9</v>
      </c>
      <c r="P21" s="16"/>
      <c r="Q21" s="16"/>
      <c r="R21" s="16"/>
      <c r="S21" s="16"/>
      <c r="T21" s="16"/>
      <c r="U21" s="16"/>
      <c r="V21" s="16"/>
      <c r="W21" s="16"/>
      <c r="X21" s="16"/>
      <c r="Y21" s="16"/>
      <c r="Z21" s="16"/>
      <c r="AA21" s="16"/>
      <c r="AB21" s="16"/>
      <c r="AC21" s="16"/>
      <c r="AD21" s="16"/>
      <c r="AE21" s="16"/>
      <c r="AF21" s="16"/>
      <c r="AG21" s="16"/>
      <c r="AH21" s="16"/>
      <c r="AI21" s="16"/>
      <c r="AJ21" s="16"/>
      <c r="AK21" s="16"/>
      <c r="AL21" s="16"/>
      <c r="AM21" s="16"/>
      <c r="AN21" s="16"/>
      <c r="AO21" s="16"/>
      <c r="AP21" s="16"/>
      <c r="AQ21" s="16"/>
      <c r="AR21" s="16"/>
      <c r="AS21" s="16"/>
      <c r="AT21" s="16"/>
      <c r="AU21" s="16"/>
      <c r="AV21" s="16"/>
      <c r="AW21" s="16"/>
      <c r="AX21" s="16"/>
    </row>
    <row r="22">
      <c r="A22" s="16" t="str">
        <f>IFERROR(__xludf.DUMMYFUNCTION("""COMPUTED_VALUE"""),"Knight")</f>
        <v>Knight</v>
      </c>
      <c r="B22" s="16" t="str">
        <f>IFERROR(__xludf.DUMMYFUNCTION("""COMPUTED_VALUE"""),"Warden")</f>
        <v>Warden</v>
      </c>
      <c r="C22" s="16"/>
      <c r="D22" s="16"/>
      <c r="E22" s="16"/>
      <c r="F22" s="16"/>
      <c r="G22" s="16">
        <f>IFERROR(__xludf.DUMMYFUNCTION("""COMPUTED_VALUE"""),6.0)</f>
        <v>6</v>
      </c>
      <c r="H22" s="16"/>
      <c r="I22" s="16"/>
      <c r="J22" s="16">
        <f>IFERROR(__xludf.DUMMYFUNCTION("""COMPUTED_VALUE"""),6.0)</f>
        <v>6</v>
      </c>
      <c r="K22" s="16"/>
      <c r="L22" s="16"/>
      <c r="M22" s="16">
        <f>IFERROR(__xludf.DUMMYFUNCTION("""COMPUTED_VALUE"""),9.0)</f>
        <v>9</v>
      </c>
      <c r="N22" s="16">
        <f>IFERROR(__xludf.DUMMYFUNCTION("""COMPUTED_VALUE"""),9.0)</f>
        <v>9</v>
      </c>
      <c r="O22" s="16">
        <f>IFERROR(__xludf.DUMMYFUNCTION("""COMPUTED_VALUE"""),9.0)</f>
        <v>9</v>
      </c>
      <c r="P22" s="16">
        <f>IFERROR(__xludf.DUMMYFUNCTION("""COMPUTED_VALUE"""),9.0)</f>
        <v>9</v>
      </c>
      <c r="Q22" s="16">
        <f>IFERROR(__xludf.DUMMYFUNCTION("""COMPUTED_VALUE"""),9.0)</f>
        <v>9</v>
      </c>
      <c r="R22" s="16"/>
      <c r="S22" s="16"/>
      <c r="T22" s="16"/>
      <c r="U22" s="16"/>
      <c r="V22" s="16"/>
      <c r="W22" s="16"/>
      <c r="X22" s="16"/>
      <c r="Y22" s="16"/>
      <c r="Z22" s="16"/>
      <c r="AA22" s="16"/>
      <c r="AB22" s="16"/>
      <c r="AC22" s="16"/>
      <c r="AD22" s="16"/>
      <c r="AE22" s="16"/>
      <c r="AF22" s="16"/>
      <c r="AG22" s="16"/>
      <c r="AH22" s="16"/>
      <c r="AI22" s="16"/>
      <c r="AJ22" s="16"/>
      <c r="AK22" s="16"/>
      <c r="AL22" s="16"/>
      <c r="AM22" s="16"/>
      <c r="AN22" s="16"/>
      <c r="AO22" s="16"/>
      <c r="AP22" s="16"/>
      <c r="AQ22" s="16"/>
      <c r="AR22" s="16"/>
      <c r="AS22" s="16"/>
      <c r="AT22" s="16"/>
      <c r="AU22" s="16"/>
      <c r="AV22" s="16"/>
      <c r="AW22" s="16"/>
      <c r="AX22" s="16"/>
    </row>
    <row r="23">
      <c r="A23" s="16" t="str">
        <f>IFERROR(__xludf.DUMMYFUNCTION("""COMPUTED_VALUE"""),"Knight")</f>
        <v>Knight</v>
      </c>
      <c r="B23" s="16" t="str">
        <f>IFERROR(__xludf.DUMMYFUNCTION("""COMPUTED_VALUE"""),"Dark Knight")</f>
        <v>Dark Knight</v>
      </c>
      <c r="C23" s="16"/>
      <c r="D23" s="16"/>
      <c r="E23" s="16"/>
      <c r="F23" s="16"/>
      <c r="G23" s="16">
        <f>IFERROR(__xludf.DUMMYFUNCTION("""COMPUTED_VALUE"""),6.0)</f>
        <v>6</v>
      </c>
      <c r="H23" s="16">
        <f>IFERROR(__xludf.DUMMYFUNCTION("""COMPUTED_VALUE"""),9.0)</f>
        <v>9</v>
      </c>
      <c r="I23" s="16"/>
      <c r="J23" s="16">
        <f>IFERROR(__xludf.DUMMYFUNCTION("""COMPUTED_VALUE"""),6.0)</f>
        <v>6</v>
      </c>
      <c r="K23" s="16"/>
      <c r="L23" s="16"/>
      <c r="M23" s="16">
        <f>IFERROR(__xludf.DUMMYFUNCTION("""COMPUTED_VALUE"""),9.0)</f>
        <v>9</v>
      </c>
      <c r="N23" s="16">
        <f>IFERROR(__xludf.DUMMYFUNCTION("""COMPUTED_VALUE"""),9.0)</f>
        <v>9</v>
      </c>
      <c r="O23" s="16">
        <f>IFERROR(__xludf.DUMMYFUNCTION("""COMPUTED_VALUE"""),9.0)</f>
        <v>9</v>
      </c>
      <c r="P23" s="16"/>
      <c r="Q23" s="16"/>
      <c r="R23" s="16"/>
      <c r="S23" s="16"/>
      <c r="T23" s="16"/>
      <c r="U23" s="16"/>
      <c r="V23" s="16"/>
      <c r="W23" s="16"/>
      <c r="X23" s="16"/>
      <c r="Y23" s="16"/>
      <c r="Z23" s="16"/>
      <c r="AA23" s="16"/>
      <c r="AB23" s="16"/>
      <c r="AC23" s="16"/>
      <c r="AD23" s="16"/>
      <c r="AE23" s="16"/>
      <c r="AF23" s="16"/>
      <c r="AG23" s="16"/>
      <c r="AH23" s="16"/>
      <c r="AI23" s="16"/>
      <c r="AJ23" s="16"/>
      <c r="AK23" s="16"/>
      <c r="AL23" s="16"/>
      <c r="AM23" s="16"/>
      <c r="AN23" s="16"/>
      <c r="AO23" s="16"/>
      <c r="AP23" s="16"/>
      <c r="AQ23" s="16"/>
      <c r="AR23" s="16"/>
      <c r="AS23" s="16"/>
      <c r="AT23" s="16"/>
      <c r="AU23" s="16"/>
      <c r="AV23" s="16"/>
      <c r="AW23" s="16"/>
      <c r="AX23" s="16"/>
    </row>
    <row r="24">
      <c r="A24" s="16" t="str">
        <f>IFERROR(__xludf.DUMMYFUNCTION("""COMPUTED_VALUE"""),"Mage")</f>
        <v>Mage</v>
      </c>
      <c r="B24" s="16" t="str">
        <f>IFERROR(__xludf.DUMMYFUNCTION("""COMPUTED_VALUE"""),"Grand Mage")</f>
        <v>Grand Mage</v>
      </c>
      <c r="C24" s="16">
        <f>IFERROR(__xludf.DUMMYFUNCTION("""COMPUTED_VALUE"""),9.0)</f>
        <v>9</v>
      </c>
      <c r="D24" s="16">
        <f>IFERROR(__xludf.DUMMYFUNCTION("""COMPUTED_VALUE"""),9.0)</f>
        <v>9</v>
      </c>
      <c r="E24" s="16">
        <f>IFERROR(__xludf.DUMMYFUNCTION("""COMPUTED_VALUE"""),9.0)</f>
        <v>9</v>
      </c>
      <c r="F24" s="16">
        <f>IFERROR(__xludf.DUMMYFUNCTION("""COMPUTED_VALUE"""),9.0)</f>
        <v>9</v>
      </c>
      <c r="G24" s="16">
        <f>IFERROR(__xludf.DUMMYFUNCTION("""COMPUTED_VALUE"""),9.0)</f>
        <v>9</v>
      </c>
      <c r="H24" s="16">
        <f>IFERROR(__xludf.DUMMYFUNCTION("""COMPUTED_VALUE"""),9.0)</f>
        <v>9</v>
      </c>
      <c r="I24" s="16">
        <f>IFERROR(__xludf.DUMMYFUNCTION("""COMPUTED_VALUE"""),9.0)</f>
        <v>9</v>
      </c>
      <c r="J24" s="16">
        <f>IFERROR(__xludf.DUMMYFUNCTION("""COMPUTED_VALUE"""),9.0)</f>
        <v>9</v>
      </c>
      <c r="K24" s="16">
        <f>IFERROR(__xludf.DUMMYFUNCTION("""COMPUTED_VALUE"""),9.0)</f>
        <v>9</v>
      </c>
      <c r="L24" s="16">
        <f>IFERROR(__xludf.DUMMYFUNCTION("""COMPUTED_VALUE"""),9.0)</f>
        <v>9</v>
      </c>
      <c r="M24" s="16">
        <f>IFERROR(__xludf.DUMMYFUNCTION("""COMPUTED_VALUE"""),9.0)</f>
        <v>9</v>
      </c>
      <c r="N24" s="16">
        <f>IFERROR(__xludf.DUMMYFUNCTION("""COMPUTED_VALUE"""),9.0)</f>
        <v>9</v>
      </c>
      <c r="O24" s="16">
        <f>IFERROR(__xludf.DUMMYFUNCTION("""COMPUTED_VALUE"""),9.0)</f>
        <v>9</v>
      </c>
      <c r="P24" s="16">
        <f>IFERROR(__xludf.DUMMYFUNCTION("""COMPUTED_VALUE"""),9.0)</f>
        <v>9</v>
      </c>
      <c r="Q24" s="16">
        <f>IFERROR(__xludf.DUMMYFUNCTION("""COMPUTED_VALUE"""),9.0)</f>
        <v>9</v>
      </c>
      <c r="R24" s="16">
        <f>IFERROR(__xludf.DUMMYFUNCTION("""COMPUTED_VALUE"""),9.0)</f>
        <v>9</v>
      </c>
      <c r="S24" s="16">
        <f>IFERROR(__xludf.DUMMYFUNCTION("""COMPUTED_VALUE"""),9.0)</f>
        <v>9</v>
      </c>
      <c r="T24" s="16">
        <f>IFERROR(__xludf.DUMMYFUNCTION("""COMPUTED_VALUE"""),9.0)</f>
        <v>9</v>
      </c>
      <c r="U24" s="16"/>
      <c r="V24" s="16"/>
      <c r="W24" s="16">
        <f>IFERROR(__xludf.DUMMYFUNCTION("""COMPUTED_VALUE"""),9.0)</f>
        <v>9</v>
      </c>
      <c r="X24" s="16"/>
      <c r="Y24" s="16"/>
      <c r="Z24" s="16"/>
      <c r="AA24" s="16"/>
      <c r="AB24" s="16"/>
      <c r="AC24" s="16"/>
      <c r="AD24" s="16"/>
      <c r="AE24" s="16"/>
      <c r="AF24" s="16"/>
      <c r="AG24" s="16"/>
      <c r="AH24" s="16"/>
      <c r="AI24" s="16"/>
      <c r="AJ24" s="16"/>
      <c r="AK24" s="16"/>
      <c r="AL24" s="16"/>
      <c r="AM24" s="16"/>
      <c r="AN24" s="16"/>
      <c r="AO24" s="16"/>
      <c r="AP24" s="16"/>
      <c r="AQ24" s="16"/>
      <c r="AR24" s="16"/>
      <c r="AS24" s="16"/>
      <c r="AT24" s="16"/>
      <c r="AU24" s="16"/>
      <c r="AV24" s="16"/>
      <c r="AW24" s="16"/>
      <c r="AX24" s="16"/>
    </row>
    <row r="25">
      <c r="A25" s="16" t="str">
        <f>IFERROR(__xludf.DUMMYFUNCTION("""COMPUTED_VALUE"""),"Mage")</f>
        <v>Mage</v>
      </c>
      <c r="B25" s="16" t="str">
        <f>IFERROR(__xludf.DUMMYFUNCTION("""COMPUTED_VALUE"""),"Chrono Mage")</f>
        <v>Chrono Mage</v>
      </c>
      <c r="C25" s="16">
        <f>IFERROR(__xludf.DUMMYFUNCTION("""COMPUTED_VALUE"""),9.0)</f>
        <v>9</v>
      </c>
      <c r="D25" s="16">
        <f>IFERROR(__xludf.DUMMYFUNCTION("""COMPUTED_VALUE"""),9.0)</f>
        <v>9</v>
      </c>
      <c r="E25" s="16">
        <f>IFERROR(__xludf.DUMMYFUNCTION("""COMPUTED_VALUE"""),9.0)</f>
        <v>9</v>
      </c>
      <c r="F25" s="16">
        <f>IFERROR(__xludf.DUMMYFUNCTION("""COMPUTED_VALUE"""),9.0)</f>
        <v>9</v>
      </c>
      <c r="G25" s="16">
        <f>IFERROR(__xludf.DUMMYFUNCTION("""COMPUTED_VALUE"""),9.0)</f>
        <v>9</v>
      </c>
      <c r="H25" s="16">
        <f>IFERROR(__xludf.DUMMYFUNCTION("""COMPUTED_VALUE"""),9.0)</f>
        <v>9</v>
      </c>
      <c r="I25" s="16">
        <f>IFERROR(__xludf.DUMMYFUNCTION("""COMPUTED_VALUE"""),9.0)</f>
        <v>9</v>
      </c>
      <c r="J25" s="16">
        <f>IFERROR(__xludf.DUMMYFUNCTION("""COMPUTED_VALUE"""),9.0)</f>
        <v>9</v>
      </c>
      <c r="K25" s="16">
        <f>IFERROR(__xludf.DUMMYFUNCTION("""COMPUTED_VALUE"""),9.0)</f>
        <v>9</v>
      </c>
      <c r="L25" s="16">
        <f>IFERROR(__xludf.DUMMYFUNCTION("""COMPUTED_VALUE"""),9.0)</f>
        <v>9</v>
      </c>
      <c r="M25" s="16">
        <f>IFERROR(__xludf.DUMMYFUNCTION("""COMPUTED_VALUE"""),9.0)</f>
        <v>9</v>
      </c>
      <c r="N25" s="16">
        <f>IFERROR(__xludf.DUMMYFUNCTION("""COMPUTED_VALUE"""),9.0)</f>
        <v>9</v>
      </c>
      <c r="O25" s="16">
        <f>IFERROR(__xludf.DUMMYFUNCTION("""COMPUTED_VALUE"""),9.0)</f>
        <v>9</v>
      </c>
      <c r="P25" s="16">
        <f>IFERROR(__xludf.DUMMYFUNCTION("""COMPUTED_VALUE"""),9.0)</f>
        <v>9</v>
      </c>
      <c r="Q25" s="16">
        <f>IFERROR(__xludf.DUMMYFUNCTION("""COMPUTED_VALUE"""),9.0)</f>
        <v>9</v>
      </c>
      <c r="R25" s="16">
        <f>IFERROR(__xludf.DUMMYFUNCTION("""COMPUTED_VALUE"""),9.0)</f>
        <v>9</v>
      </c>
      <c r="S25" s="16">
        <f>IFERROR(__xludf.DUMMYFUNCTION("""COMPUTED_VALUE"""),9.0)</f>
        <v>9</v>
      </c>
      <c r="T25" s="16">
        <f>IFERROR(__xludf.DUMMYFUNCTION("""COMPUTED_VALUE"""),9.0)</f>
        <v>9</v>
      </c>
      <c r="U25" s="16"/>
      <c r="V25" s="16">
        <f>IFERROR(__xludf.DUMMYFUNCTION("""COMPUTED_VALUE"""),1.0)</f>
        <v>1</v>
      </c>
      <c r="W25" s="16">
        <f>IFERROR(__xludf.DUMMYFUNCTION("""COMPUTED_VALUE"""),9.0)</f>
        <v>9</v>
      </c>
      <c r="X25" s="16"/>
      <c r="Y25" s="16"/>
      <c r="Z25" s="16"/>
      <c r="AA25" s="16"/>
      <c r="AB25" s="16"/>
      <c r="AC25" s="16"/>
      <c r="AD25" s="16"/>
      <c r="AE25" s="16"/>
      <c r="AF25" s="16"/>
      <c r="AG25" s="16"/>
      <c r="AH25" s="16"/>
      <c r="AI25" s="16"/>
      <c r="AJ25" s="16"/>
      <c r="AK25" s="16"/>
      <c r="AL25" s="16"/>
      <c r="AM25" s="16"/>
      <c r="AN25" s="16"/>
      <c r="AO25" s="16"/>
      <c r="AP25" s="16"/>
      <c r="AQ25" s="16"/>
      <c r="AR25" s="16"/>
      <c r="AS25" s="16"/>
      <c r="AT25" s="16"/>
      <c r="AU25" s="16"/>
      <c r="AV25" s="16"/>
      <c r="AW25" s="16"/>
      <c r="AX25" s="16"/>
    </row>
    <row r="26">
      <c r="A26" s="16" t="str">
        <f>IFERROR(__xludf.DUMMYFUNCTION("""COMPUTED_VALUE"""),"Marauder ")</f>
        <v>Marauder </v>
      </c>
      <c r="B26" s="16" t="str">
        <f>IFERROR(__xludf.DUMMYFUNCTION("""COMPUTED_VALUE"""),"Master Marauder ")</f>
        <v>Master Marauder </v>
      </c>
      <c r="C26" s="16"/>
      <c r="D26" s="16"/>
      <c r="E26" s="16"/>
      <c r="F26" s="16"/>
      <c r="G26" s="16"/>
      <c r="H26" s="16">
        <f>IFERROR(__xludf.DUMMYFUNCTION("""COMPUTED_VALUE"""),9.0)</f>
        <v>9</v>
      </c>
      <c r="I26" s="16"/>
      <c r="J26" s="16"/>
      <c r="K26" s="16"/>
      <c r="L26" s="16"/>
      <c r="M26" s="16">
        <f>IFERROR(__xludf.DUMMYFUNCTION("""COMPUTED_VALUE"""),9.0)</f>
        <v>9</v>
      </c>
      <c r="N26" s="16">
        <f>IFERROR(__xludf.DUMMYFUNCTION("""COMPUTED_VALUE"""),9.0)</f>
        <v>9</v>
      </c>
      <c r="O26" s="16">
        <f>IFERROR(__xludf.DUMMYFUNCTION("""COMPUTED_VALUE"""),9.0)</f>
        <v>9</v>
      </c>
      <c r="P26" s="16"/>
      <c r="Q26" s="16"/>
      <c r="R26" s="16"/>
      <c r="S26" s="16"/>
      <c r="T26" s="16"/>
      <c r="U26" s="16"/>
      <c r="V26" s="16"/>
      <c r="W26" s="16"/>
      <c r="X26" s="16"/>
      <c r="Y26" s="16"/>
      <c r="Z26" s="16"/>
      <c r="AA26" s="16"/>
      <c r="AB26" s="16"/>
      <c r="AC26" s="16"/>
      <c r="AD26" s="16"/>
      <c r="AE26" s="16"/>
      <c r="AF26" s="16"/>
      <c r="AG26" s="16"/>
      <c r="AH26" s="16"/>
      <c r="AI26" s="16"/>
      <c r="AJ26" s="16"/>
      <c r="AK26" s="16"/>
      <c r="AL26" s="16"/>
      <c r="AM26" s="16"/>
      <c r="AN26" s="16"/>
      <c r="AO26" s="16"/>
      <c r="AP26" s="16"/>
      <c r="AQ26" s="16"/>
      <c r="AR26" s="16"/>
      <c r="AS26" s="16"/>
      <c r="AT26" s="16"/>
      <c r="AU26" s="16"/>
      <c r="AV26" s="16"/>
      <c r="AW26" s="16"/>
      <c r="AX26" s="16"/>
    </row>
    <row r="27">
      <c r="A27" s="16" t="str">
        <f>IFERROR(__xludf.DUMMYFUNCTION("""COMPUTED_VALUE"""),"Merchant")</f>
        <v>Merchant</v>
      </c>
      <c r="B27" s="16" t="str">
        <f>IFERROR(__xludf.DUMMYFUNCTION("""COMPUTED_VALUE"""),"Traveling Merchant")</f>
        <v>Traveling Merchant</v>
      </c>
      <c r="C27" s="16"/>
      <c r="D27" s="16"/>
      <c r="E27" s="16"/>
      <c r="F27" s="16"/>
      <c r="G27" s="16"/>
      <c r="H27" s="16"/>
      <c r="I27" s="16"/>
      <c r="J27" s="16"/>
      <c r="K27" s="16"/>
      <c r="L27" s="16"/>
      <c r="M27" s="16">
        <f>IFERROR(__xludf.DUMMYFUNCTION("""COMPUTED_VALUE"""),9.0)</f>
        <v>9</v>
      </c>
      <c r="N27" s="16">
        <f>IFERROR(__xludf.DUMMYFUNCTION("""COMPUTED_VALUE"""),9.0)</f>
        <v>9</v>
      </c>
      <c r="O27" s="16">
        <f>IFERROR(__xludf.DUMMYFUNCTION("""COMPUTED_VALUE"""),9.0)</f>
        <v>9</v>
      </c>
      <c r="P27" s="16"/>
      <c r="Q27" s="16"/>
      <c r="R27" s="16"/>
      <c r="S27" s="16"/>
      <c r="T27" s="16"/>
      <c r="U27" s="16"/>
      <c r="V27" s="16"/>
      <c r="W27" s="16"/>
      <c r="X27" s="16"/>
      <c r="Y27" s="16"/>
      <c r="Z27" s="16"/>
      <c r="AA27" s="16"/>
      <c r="AB27" s="16"/>
      <c r="AC27" s="16"/>
      <c r="AD27" s="16"/>
      <c r="AE27" s="16"/>
      <c r="AF27" s="16"/>
      <c r="AG27" s="16"/>
      <c r="AH27" s="16"/>
      <c r="AI27" s="16"/>
      <c r="AJ27" s="16"/>
      <c r="AK27" s="16"/>
      <c r="AL27" s="16"/>
      <c r="AM27" s="16"/>
      <c r="AN27" s="16"/>
      <c r="AO27" s="16"/>
      <c r="AP27" s="16"/>
      <c r="AQ27" s="16"/>
      <c r="AR27" s="16"/>
      <c r="AS27" s="16"/>
      <c r="AT27" s="16"/>
      <c r="AU27" s="16"/>
      <c r="AV27" s="16"/>
      <c r="AW27" s="16"/>
      <c r="AX27" s="16"/>
    </row>
    <row r="28">
      <c r="A28" s="16" t="str">
        <f>IFERROR(__xludf.DUMMYFUNCTION("""COMPUTED_VALUE"""),"Monk")</f>
        <v>Monk</v>
      </c>
      <c r="B28" s="16" t="str">
        <f>IFERROR(__xludf.DUMMYFUNCTION("""COMPUTED_VALUE"""),"Grand Abbot")</f>
        <v>Grand Abbot</v>
      </c>
      <c r="C28" s="16">
        <f>IFERROR(__xludf.DUMMYFUNCTION("""COMPUTED_VALUE"""),9.0)</f>
        <v>9</v>
      </c>
      <c r="D28" s="16">
        <f>IFERROR(__xludf.DUMMYFUNCTION("""COMPUTED_VALUE"""),9.0)</f>
        <v>9</v>
      </c>
      <c r="E28" s="16">
        <f>IFERROR(__xludf.DUMMYFUNCTION("""COMPUTED_VALUE"""),9.0)</f>
        <v>9</v>
      </c>
      <c r="F28" s="16">
        <f>IFERROR(__xludf.DUMMYFUNCTION("""COMPUTED_VALUE"""),9.0)</f>
        <v>9</v>
      </c>
      <c r="G28" s="16">
        <f>IFERROR(__xludf.DUMMYFUNCTION("""COMPUTED_VALUE"""),9.0)</f>
        <v>9</v>
      </c>
      <c r="H28" s="16">
        <f>IFERROR(__xludf.DUMMYFUNCTION("""COMPUTED_VALUE"""),9.0)</f>
        <v>9</v>
      </c>
      <c r="I28" s="16">
        <f>IFERROR(__xludf.DUMMYFUNCTION("""COMPUTED_VALUE"""),9.0)</f>
        <v>9</v>
      </c>
      <c r="J28" s="16">
        <f>IFERROR(__xludf.DUMMYFUNCTION("""COMPUTED_VALUE"""),9.0)</f>
        <v>9</v>
      </c>
      <c r="K28" s="16">
        <f>IFERROR(__xludf.DUMMYFUNCTION("""COMPUTED_VALUE"""),9.0)</f>
        <v>9</v>
      </c>
      <c r="L28" s="16">
        <f>IFERROR(__xludf.DUMMYFUNCTION("""COMPUTED_VALUE"""),9.0)</f>
        <v>9</v>
      </c>
      <c r="M28" s="16">
        <f>IFERROR(__xludf.DUMMYFUNCTION("""COMPUTED_VALUE"""),9.0)</f>
        <v>9</v>
      </c>
      <c r="N28" s="16">
        <f>IFERROR(__xludf.DUMMYFUNCTION("""COMPUTED_VALUE"""),9.0)</f>
        <v>9</v>
      </c>
      <c r="O28" s="16">
        <f>IFERROR(__xludf.DUMMYFUNCTION("""COMPUTED_VALUE"""),9.0)</f>
        <v>9</v>
      </c>
      <c r="P28" s="16">
        <f>IFERROR(__xludf.DUMMYFUNCTION("""COMPUTED_VALUE"""),9.0)</f>
        <v>9</v>
      </c>
      <c r="Q28" s="16">
        <f>IFERROR(__xludf.DUMMYFUNCTION("""COMPUTED_VALUE"""),9.0)</f>
        <v>9</v>
      </c>
      <c r="R28" s="16">
        <f>IFERROR(__xludf.DUMMYFUNCTION("""COMPUTED_VALUE"""),9.0)</f>
        <v>9</v>
      </c>
      <c r="S28" s="16">
        <f>IFERROR(__xludf.DUMMYFUNCTION("""COMPUTED_VALUE"""),9.0)</f>
        <v>9</v>
      </c>
      <c r="T28" s="16">
        <f>IFERROR(__xludf.DUMMYFUNCTION("""COMPUTED_VALUE"""),9.0)</f>
        <v>9</v>
      </c>
      <c r="U28" s="16">
        <f>IFERROR(__xludf.DUMMYFUNCTION("""COMPUTED_VALUE"""),9.0)</f>
        <v>9</v>
      </c>
      <c r="V28" s="16"/>
      <c r="W28" s="16">
        <f>IFERROR(__xludf.DUMMYFUNCTION("""COMPUTED_VALUE"""),9.0)</f>
        <v>9</v>
      </c>
      <c r="X28" s="16"/>
      <c r="Y28" s="16"/>
      <c r="Z28" s="16"/>
      <c r="AA28" s="16"/>
      <c r="AB28" s="16"/>
      <c r="AC28" s="16"/>
      <c r="AD28" s="16"/>
      <c r="AE28" s="16"/>
      <c r="AF28" s="16"/>
      <c r="AG28" s="16"/>
      <c r="AH28" s="16"/>
      <c r="AI28" s="16"/>
      <c r="AJ28" s="16"/>
      <c r="AK28" s="16"/>
      <c r="AL28" s="16"/>
      <c r="AM28" s="16"/>
      <c r="AN28" s="16"/>
      <c r="AO28" s="16"/>
      <c r="AP28" s="16"/>
      <c r="AQ28" s="16"/>
      <c r="AR28" s="16"/>
      <c r="AS28" s="16"/>
      <c r="AT28" s="16"/>
      <c r="AU28" s="16"/>
      <c r="AV28" s="16"/>
      <c r="AW28" s="16"/>
      <c r="AX28" s="16"/>
    </row>
    <row r="29">
      <c r="A29" s="16" t="str">
        <f>IFERROR(__xludf.DUMMYFUNCTION("""COMPUTED_VALUE"""),"Ninja")</f>
        <v>Ninja</v>
      </c>
      <c r="B29" s="16" t="str">
        <f>IFERROR(__xludf.DUMMYFUNCTION("""COMPUTED_VALUE"""),"Sensei of Dark Arts")</f>
        <v>Sensei of Dark Arts</v>
      </c>
      <c r="C29" s="16"/>
      <c r="D29" s="16"/>
      <c r="E29" s="16"/>
      <c r="F29" s="16"/>
      <c r="G29" s="16"/>
      <c r="H29" s="16">
        <f>IFERROR(__xludf.DUMMYFUNCTION("""COMPUTED_VALUE"""),9.0)</f>
        <v>9</v>
      </c>
      <c r="I29" s="16"/>
      <c r="J29" s="16"/>
      <c r="K29" s="16">
        <f>IFERROR(__xludf.DUMMYFUNCTION("""COMPUTED_VALUE"""),9.0)</f>
        <v>9</v>
      </c>
      <c r="L29" s="16"/>
      <c r="M29" s="16">
        <f>IFERROR(__xludf.DUMMYFUNCTION("""COMPUTED_VALUE"""),9.0)</f>
        <v>9</v>
      </c>
      <c r="N29" s="16">
        <f>IFERROR(__xludf.DUMMYFUNCTION("""COMPUTED_VALUE"""),9.0)</f>
        <v>9</v>
      </c>
      <c r="O29" s="16">
        <f>IFERROR(__xludf.DUMMYFUNCTION("""COMPUTED_VALUE"""),9.0)</f>
        <v>9</v>
      </c>
      <c r="P29" s="16"/>
      <c r="Q29" s="16"/>
      <c r="R29" s="16">
        <f>IFERROR(__xludf.DUMMYFUNCTION("""COMPUTED_VALUE"""),9.0)</f>
        <v>9</v>
      </c>
      <c r="S29" s="16"/>
      <c r="T29" s="16"/>
      <c r="U29" s="16">
        <f>IFERROR(__xludf.DUMMYFUNCTION("""COMPUTED_VALUE"""),9.0)</f>
        <v>9</v>
      </c>
      <c r="V29" s="16"/>
      <c r="W29" s="16"/>
      <c r="X29" s="16"/>
      <c r="Y29" s="16"/>
      <c r="Z29" s="16"/>
      <c r="AA29" s="16"/>
      <c r="AB29" s="16"/>
      <c r="AC29" s="16"/>
      <c r="AD29" s="16"/>
      <c r="AE29" s="16"/>
      <c r="AF29" s="16"/>
      <c r="AG29" s="16"/>
      <c r="AH29" s="16"/>
      <c r="AI29" s="16"/>
      <c r="AJ29" s="16"/>
      <c r="AK29" s="16"/>
      <c r="AL29" s="16"/>
      <c r="AM29" s="16"/>
      <c r="AN29" s="16"/>
      <c r="AO29" s="16"/>
      <c r="AP29" s="16"/>
      <c r="AQ29" s="16"/>
      <c r="AR29" s="16"/>
      <c r="AS29" s="16"/>
      <c r="AT29" s="16"/>
      <c r="AU29" s="16"/>
      <c r="AV29" s="16"/>
      <c r="AW29" s="16"/>
      <c r="AX29" s="16"/>
    </row>
    <row r="30">
      <c r="A30" s="16" t="str">
        <f>IFERROR(__xludf.DUMMYFUNCTION("""COMPUTED_VALUE"""),"Ninja")</f>
        <v>Ninja</v>
      </c>
      <c r="B30" s="16" t="str">
        <f>IFERROR(__xludf.DUMMYFUNCTION("""COMPUTED_VALUE"""),"Assassin")</f>
        <v>Assassin</v>
      </c>
      <c r="C30" s="16"/>
      <c r="D30" s="16"/>
      <c r="E30" s="16"/>
      <c r="F30" s="16"/>
      <c r="G30" s="16"/>
      <c r="H30" s="16">
        <f>IFERROR(__xludf.DUMMYFUNCTION("""COMPUTED_VALUE"""),9.0)</f>
        <v>9</v>
      </c>
      <c r="I30" s="16"/>
      <c r="J30" s="16"/>
      <c r="K30" s="16">
        <f>IFERROR(__xludf.DUMMYFUNCTION("""COMPUTED_VALUE"""),9.0)</f>
        <v>9</v>
      </c>
      <c r="L30" s="16"/>
      <c r="M30" s="16">
        <f>IFERROR(__xludf.DUMMYFUNCTION("""COMPUTED_VALUE"""),9.0)</f>
        <v>9</v>
      </c>
      <c r="N30" s="16">
        <f>IFERROR(__xludf.DUMMYFUNCTION("""COMPUTED_VALUE"""),9.0)</f>
        <v>9</v>
      </c>
      <c r="O30" s="16">
        <f>IFERROR(__xludf.DUMMYFUNCTION("""COMPUTED_VALUE"""),9.0)</f>
        <v>9</v>
      </c>
      <c r="P30" s="16"/>
      <c r="Q30" s="16"/>
      <c r="R30" s="16">
        <f>IFERROR(__xludf.DUMMYFUNCTION("""COMPUTED_VALUE"""),9.0)</f>
        <v>9</v>
      </c>
      <c r="S30" s="16"/>
      <c r="T30" s="16"/>
      <c r="U30" s="16">
        <f>IFERROR(__xludf.DUMMYFUNCTION("""COMPUTED_VALUE"""),9.0)</f>
        <v>9</v>
      </c>
      <c r="V30" s="16"/>
      <c r="W30" s="16"/>
      <c r="X30" s="16"/>
      <c r="Y30" s="16"/>
      <c r="Z30" s="16"/>
      <c r="AA30" s="16"/>
      <c r="AB30" s="16"/>
      <c r="AC30" s="16"/>
      <c r="AD30" s="16"/>
      <c r="AE30" s="16"/>
      <c r="AF30" s="16"/>
      <c r="AG30" s="16"/>
      <c r="AH30" s="16"/>
      <c r="AI30" s="16"/>
      <c r="AJ30" s="16"/>
      <c r="AK30" s="16"/>
      <c r="AL30" s="16"/>
      <c r="AM30" s="16"/>
      <c r="AN30" s="16"/>
      <c r="AO30" s="16"/>
      <c r="AP30" s="16"/>
      <c r="AQ30" s="16"/>
      <c r="AR30" s="16"/>
      <c r="AS30" s="16"/>
      <c r="AT30" s="16"/>
      <c r="AU30" s="16"/>
      <c r="AV30" s="16"/>
      <c r="AW30" s="16"/>
      <c r="AX30" s="16"/>
    </row>
    <row r="31">
      <c r="A31" s="16" t="str">
        <f>IFERROR(__xludf.DUMMYFUNCTION("""COMPUTED_VALUE"""),"Pirate")</f>
        <v>Pirate</v>
      </c>
      <c r="B31" s="16" t="str">
        <f>IFERROR(__xludf.DUMMYFUNCTION("""COMPUTED_VALUE"""),"Swashbuckler")</f>
        <v>Swashbuckler</v>
      </c>
      <c r="C31" s="16"/>
      <c r="D31" s="16">
        <f>IFERROR(__xludf.DUMMYFUNCTION("""COMPUTED_VALUE"""),9.0)</f>
        <v>9</v>
      </c>
      <c r="E31" s="16"/>
      <c r="F31" s="16"/>
      <c r="G31" s="16"/>
      <c r="H31" s="16"/>
      <c r="I31" s="16"/>
      <c r="J31" s="16"/>
      <c r="K31" s="16"/>
      <c r="L31" s="16"/>
      <c r="M31" s="16"/>
      <c r="N31" s="16">
        <f>IFERROR(__xludf.DUMMYFUNCTION("""COMPUTED_VALUE"""),9.0)</f>
        <v>9</v>
      </c>
      <c r="O31" s="16"/>
      <c r="P31" s="16"/>
      <c r="Q31" s="16"/>
      <c r="R31" s="16"/>
      <c r="S31" s="16"/>
      <c r="T31" s="16"/>
      <c r="U31" s="16"/>
      <c r="V31" s="16"/>
      <c r="W31" s="16"/>
      <c r="X31" s="16"/>
      <c r="Y31" s="16"/>
      <c r="Z31" s="16"/>
      <c r="AA31" s="16"/>
      <c r="AB31" s="16"/>
      <c r="AC31" s="16"/>
      <c r="AD31" s="16"/>
      <c r="AE31" s="16"/>
      <c r="AF31" s="16"/>
      <c r="AG31" s="16"/>
      <c r="AH31" s="16"/>
      <c r="AI31" s="16"/>
      <c r="AJ31" s="16"/>
      <c r="AK31" s="16"/>
      <c r="AL31" s="16"/>
      <c r="AM31" s="16"/>
      <c r="AN31" s="16"/>
      <c r="AO31" s="16"/>
      <c r="AP31" s="16"/>
      <c r="AQ31" s="16"/>
      <c r="AR31" s="16"/>
      <c r="AS31" s="16"/>
      <c r="AT31" s="16"/>
      <c r="AU31" s="16"/>
      <c r="AV31" s="16"/>
      <c r="AW31" s="16"/>
      <c r="AX31" s="16"/>
    </row>
    <row r="32">
      <c r="A32" s="16" t="str">
        <f>IFERROR(__xludf.DUMMYFUNCTION("""COMPUTED_VALUE"""),"Pirate")</f>
        <v>Pirate</v>
      </c>
      <c r="B32" s="16" t="str">
        <f>IFERROR(__xludf.DUMMYFUNCTION("""COMPUTED_VALUE"""),"Buccaneer")</f>
        <v>Buccaneer</v>
      </c>
      <c r="C32" s="16"/>
      <c r="D32" s="16">
        <f>IFERROR(__xludf.DUMMYFUNCTION("""COMPUTED_VALUE"""),9.0)</f>
        <v>9</v>
      </c>
      <c r="E32" s="16"/>
      <c r="F32" s="16"/>
      <c r="G32" s="16"/>
      <c r="H32" s="16"/>
      <c r="I32" s="16"/>
      <c r="J32" s="16"/>
      <c r="K32" s="16"/>
      <c r="L32" s="16"/>
      <c r="M32" s="16"/>
      <c r="N32" s="16"/>
      <c r="O32" s="16">
        <f>IFERROR(__xludf.DUMMYFUNCTION("""COMPUTED_VALUE"""),9.0)</f>
        <v>9</v>
      </c>
      <c r="P32" s="16"/>
      <c r="Q32" s="16"/>
      <c r="R32" s="16"/>
      <c r="S32" s="16"/>
      <c r="T32" s="16"/>
      <c r="U32" s="16"/>
      <c r="V32" s="16"/>
      <c r="W32" s="16"/>
      <c r="X32" s="16"/>
      <c r="Y32" s="16"/>
      <c r="Z32" s="16"/>
      <c r="AA32" s="16"/>
      <c r="AB32" s="16"/>
      <c r="AC32" s="16"/>
      <c r="AD32" s="16"/>
      <c r="AE32" s="16"/>
      <c r="AF32" s="16"/>
      <c r="AG32" s="16"/>
      <c r="AH32" s="16"/>
      <c r="AI32" s="16"/>
      <c r="AJ32" s="16"/>
      <c r="AK32" s="16"/>
      <c r="AL32" s="16"/>
      <c r="AM32" s="16"/>
      <c r="AN32" s="16"/>
      <c r="AO32" s="16"/>
      <c r="AP32" s="16"/>
      <c r="AQ32" s="16"/>
      <c r="AR32" s="16"/>
      <c r="AS32" s="16"/>
      <c r="AT32" s="16"/>
      <c r="AU32" s="16"/>
      <c r="AV32" s="16"/>
      <c r="AW32" s="16"/>
      <c r="AX32" s="16"/>
    </row>
    <row r="33">
      <c r="A33" s="16" t="str">
        <f>IFERROR(__xludf.DUMMYFUNCTION("""COMPUTED_VALUE"""),"Priest")</f>
        <v>Priest</v>
      </c>
      <c r="B33" s="16" t="str">
        <f>IFERROR(__xludf.DUMMYFUNCTION("""COMPUTED_VALUE"""),"Apostle of Light")</f>
        <v>Apostle of Light</v>
      </c>
      <c r="C33" s="16"/>
      <c r="D33" s="16"/>
      <c r="E33" s="16"/>
      <c r="F33" s="16"/>
      <c r="G33" s="16">
        <f>IFERROR(__xludf.DUMMYFUNCTION("""COMPUTED_VALUE"""),9.0)</f>
        <v>9</v>
      </c>
      <c r="H33" s="16"/>
      <c r="I33" s="16"/>
      <c r="J33" s="16">
        <f>IFERROR(__xludf.DUMMYFUNCTION("""COMPUTED_VALUE"""),9.0)</f>
        <v>9</v>
      </c>
      <c r="K33" s="16"/>
      <c r="L33" s="16">
        <f>IFERROR(__xludf.DUMMYFUNCTION("""COMPUTED_VALUE"""),9.0)</f>
        <v>9</v>
      </c>
      <c r="M33" s="16"/>
      <c r="N33" s="16"/>
      <c r="O33" s="16"/>
      <c r="P33" s="16"/>
      <c r="Q33" s="16"/>
      <c r="R33" s="16"/>
      <c r="S33" s="16"/>
      <c r="T33" s="16"/>
      <c r="U33" s="16"/>
      <c r="V33" s="16"/>
      <c r="W33" s="16"/>
      <c r="X33" s="16"/>
      <c r="Y33" s="16"/>
      <c r="Z33" s="16"/>
      <c r="AA33" s="16"/>
      <c r="AB33" s="16"/>
      <c r="AC33" s="16"/>
      <c r="AD33" s="16"/>
      <c r="AE33" s="16"/>
      <c r="AF33" s="16"/>
      <c r="AG33" s="16"/>
      <c r="AH33" s="16"/>
      <c r="AI33" s="16"/>
      <c r="AJ33" s="16"/>
      <c r="AK33" s="16"/>
      <c r="AL33" s="16"/>
      <c r="AM33" s="16"/>
      <c r="AN33" s="16"/>
      <c r="AO33" s="16"/>
      <c r="AP33" s="16"/>
      <c r="AQ33" s="16"/>
      <c r="AR33" s="16"/>
      <c r="AS33" s="16"/>
      <c r="AT33" s="16"/>
      <c r="AU33" s="16"/>
      <c r="AV33" s="16"/>
      <c r="AW33" s="16"/>
      <c r="AX33" s="16"/>
    </row>
    <row r="34">
      <c r="A34" s="16" t="str">
        <f>IFERROR(__xludf.DUMMYFUNCTION("""COMPUTED_VALUE"""),"Priest")</f>
        <v>Priest</v>
      </c>
      <c r="B34" s="16" t="str">
        <f>IFERROR(__xludf.DUMMYFUNCTION("""COMPUTED_VALUE"""),"Cleric")</f>
        <v>Cleric</v>
      </c>
      <c r="C34" s="16"/>
      <c r="D34" s="16"/>
      <c r="E34" s="16"/>
      <c r="F34" s="16"/>
      <c r="G34" s="16">
        <f>IFERROR(__xludf.DUMMYFUNCTION("""COMPUTED_VALUE"""),9.0)</f>
        <v>9</v>
      </c>
      <c r="H34" s="16"/>
      <c r="I34" s="16"/>
      <c r="J34" s="16">
        <f>IFERROR(__xludf.DUMMYFUNCTION("""COMPUTED_VALUE"""),9.0)</f>
        <v>9</v>
      </c>
      <c r="K34" s="16"/>
      <c r="L34" s="16">
        <f>IFERROR(__xludf.DUMMYFUNCTION("""COMPUTED_VALUE"""),9.0)</f>
        <v>9</v>
      </c>
      <c r="M34" s="16"/>
      <c r="N34" s="16"/>
      <c r="O34" s="16"/>
      <c r="P34" s="16"/>
      <c r="Q34" s="16"/>
      <c r="R34" s="16"/>
      <c r="S34" s="16"/>
      <c r="T34" s="16"/>
      <c r="U34" s="16"/>
      <c r="V34" s="16"/>
      <c r="W34" s="16"/>
      <c r="X34" s="16"/>
      <c r="Y34" s="16"/>
      <c r="Z34" s="16"/>
      <c r="AA34" s="16"/>
      <c r="AB34" s="16"/>
      <c r="AC34" s="16"/>
      <c r="AD34" s="16"/>
      <c r="AE34" s="16"/>
      <c r="AF34" s="16"/>
      <c r="AG34" s="16"/>
      <c r="AH34" s="16"/>
      <c r="AI34" s="16"/>
      <c r="AJ34" s="16"/>
      <c r="AK34" s="16"/>
      <c r="AL34" s="16"/>
      <c r="AM34" s="16"/>
      <c r="AN34" s="16"/>
      <c r="AO34" s="16"/>
      <c r="AP34" s="16"/>
      <c r="AQ34" s="16"/>
      <c r="AR34" s="16"/>
      <c r="AS34" s="16"/>
      <c r="AT34" s="16"/>
      <c r="AU34" s="16"/>
      <c r="AV34" s="16"/>
      <c r="AW34" s="16"/>
      <c r="AX34" s="16"/>
    </row>
    <row r="35">
      <c r="A35" s="16" t="str">
        <f>IFERROR(__xludf.DUMMYFUNCTION("""COMPUTED_VALUE"""),"Priest")</f>
        <v>Priest</v>
      </c>
      <c r="B35" s="16" t="str">
        <f>IFERROR(__xludf.DUMMYFUNCTION("""COMPUTED_VALUE"""),"Acolyte of The Shattered Moon")</f>
        <v>Acolyte of The Shattered Moon</v>
      </c>
      <c r="C35" s="16"/>
      <c r="D35" s="16"/>
      <c r="E35" s="16"/>
      <c r="F35" s="16"/>
      <c r="G35" s="16">
        <f>IFERROR(__xludf.DUMMYFUNCTION("""COMPUTED_VALUE"""),9.0)</f>
        <v>9</v>
      </c>
      <c r="H35" s="16"/>
      <c r="I35" s="16"/>
      <c r="J35" s="16">
        <f>IFERROR(__xludf.DUMMYFUNCTION("""COMPUTED_VALUE"""),9.0)</f>
        <v>9</v>
      </c>
      <c r="K35" s="16"/>
      <c r="L35" s="16"/>
      <c r="M35" s="16"/>
      <c r="N35" s="16"/>
      <c r="O35" s="16"/>
      <c r="P35" s="16"/>
      <c r="Q35" s="16"/>
      <c r="R35" s="16"/>
      <c r="S35" s="16"/>
      <c r="T35" s="16"/>
      <c r="U35" s="16"/>
      <c r="V35" s="16"/>
      <c r="W35" s="16">
        <f>IFERROR(__xludf.DUMMYFUNCTION("""COMPUTED_VALUE"""),9.0)</f>
        <v>9</v>
      </c>
      <c r="X35" s="16"/>
      <c r="Y35" s="16"/>
      <c r="Z35" s="16"/>
      <c r="AA35" s="16"/>
      <c r="AB35" s="16"/>
      <c r="AC35" s="16"/>
      <c r="AD35" s="16"/>
      <c r="AE35" s="16"/>
      <c r="AF35" s="16"/>
      <c r="AG35" s="16"/>
      <c r="AH35" s="16"/>
      <c r="AI35" s="16"/>
      <c r="AJ35" s="16"/>
      <c r="AK35" s="16"/>
      <c r="AL35" s="16"/>
      <c r="AM35" s="16"/>
      <c r="AN35" s="16"/>
      <c r="AO35" s="16"/>
      <c r="AP35" s="16"/>
      <c r="AQ35" s="16"/>
      <c r="AR35" s="16"/>
      <c r="AS35" s="16"/>
      <c r="AT35" s="16"/>
      <c r="AU35" s="16"/>
      <c r="AV35" s="16"/>
      <c r="AW35" s="16"/>
      <c r="AX35" s="16"/>
    </row>
    <row r="36">
      <c r="A36" s="16" t="str">
        <f>IFERROR(__xludf.DUMMYFUNCTION("""COMPUTED_VALUE"""),"Reaper")</f>
        <v>Reaper</v>
      </c>
      <c r="B36" s="16" t="str">
        <f>IFERROR(__xludf.DUMMYFUNCTION("""COMPUTED_VALUE"""),"Shadow Walker")</f>
        <v>Shadow Walker</v>
      </c>
      <c r="C36" s="16"/>
      <c r="D36" s="16"/>
      <c r="E36" s="16"/>
      <c r="F36" s="16"/>
      <c r="G36" s="16"/>
      <c r="H36" s="16">
        <f>IFERROR(__xludf.DUMMYFUNCTION("""COMPUTED_VALUE"""),9.0)</f>
        <v>9</v>
      </c>
      <c r="I36" s="16">
        <f>IFERROR(__xludf.DUMMYFUNCTION("""COMPUTED_VALUE"""),9.0)</f>
        <v>9</v>
      </c>
      <c r="J36" s="16"/>
      <c r="K36" s="16">
        <f>IFERROR(__xludf.DUMMYFUNCTION("""COMPUTED_VALUE"""),9.0)</f>
        <v>9</v>
      </c>
      <c r="L36" s="16"/>
      <c r="M36" s="16"/>
      <c r="N36" s="16">
        <f>IFERROR(__xludf.DUMMYFUNCTION("""COMPUTED_VALUE"""),6.0)</f>
        <v>6</v>
      </c>
      <c r="O36" s="16"/>
      <c r="P36" s="16"/>
      <c r="Q36" s="16"/>
      <c r="R36" s="16"/>
      <c r="S36" s="16"/>
      <c r="T36" s="16"/>
      <c r="U36" s="16"/>
      <c r="V36" s="16"/>
      <c r="W36" s="16"/>
      <c r="X36" s="16"/>
      <c r="Y36" s="16"/>
      <c r="Z36" s="16"/>
      <c r="AA36" s="16"/>
      <c r="AB36" s="16"/>
      <c r="AC36" s="16"/>
      <c r="AD36" s="16"/>
      <c r="AE36" s="16"/>
      <c r="AF36" s="16"/>
      <c r="AG36" s="16"/>
      <c r="AH36" s="16"/>
      <c r="AI36" s="16"/>
      <c r="AJ36" s="16"/>
      <c r="AK36" s="16"/>
      <c r="AL36" s="16"/>
      <c r="AM36" s="16"/>
      <c r="AN36" s="16"/>
      <c r="AO36" s="16"/>
      <c r="AP36" s="16"/>
      <c r="AQ36" s="16"/>
      <c r="AR36" s="16"/>
      <c r="AS36" s="16"/>
      <c r="AT36" s="16"/>
      <c r="AU36" s="16"/>
      <c r="AV36" s="16"/>
      <c r="AW36" s="16"/>
      <c r="AX36" s="16"/>
    </row>
    <row r="37">
      <c r="A37" s="16" t="str">
        <f>IFERROR(__xludf.DUMMYFUNCTION("""COMPUTED_VALUE"""),"Reaper")</f>
        <v>Reaper</v>
      </c>
      <c r="B37" s="16" t="str">
        <f>IFERROR(__xludf.DUMMYFUNCTION("""COMPUTED_VALUE"""),"Grim Reaper")</f>
        <v>Grim Reaper</v>
      </c>
      <c r="C37" s="16"/>
      <c r="D37" s="16"/>
      <c r="E37" s="16"/>
      <c r="F37" s="16"/>
      <c r="G37" s="16"/>
      <c r="H37" s="16">
        <f>IFERROR(__xludf.DUMMYFUNCTION("""COMPUTED_VALUE"""),9.0)</f>
        <v>9</v>
      </c>
      <c r="I37" s="16">
        <f>IFERROR(__xludf.DUMMYFUNCTION("""COMPUTED_VALUE"""),9.0)</f>
        <v>9</v>
      </c>
      <c r="J37" s="16"/>
      <c r="K37" s="16"/>
      <c r="L37" s="16"/>
      <c r="M37" s="16">
        <f>IFERROR(__xludf.DUMMYFUNCTION("""COMPUTED_VALUE"""),9.0)</f>
        <v>9</v>
      </c>
      <c r="N37" s="16">
        <f>IFERROR(__xludf.DUMMYFUNCTION("""COMPUTED_VALUE"""),9.0)</f>
        <v>9</v>
      </c>
      <c r="O37" s="16">
        <f>IFERROR(__xludf.DUMMYFUNCTION("""COMPUTED_VALUE"""),9.0)</f>
        <v>9</v>
      </c>
      <c r="P37" s="16"/>
      <c r="Q37" s="16"/>
      <c r="R37" s="16"/>
      <c r="S37" s="16"/>
      <c r="T37" s="16"/>
      <c r="U37" s="16"/>
      <c r="V37" s="16"/>
      <c r="W37" s="16"/>
      <c r="X37" s="16"/>
      <c r="Y37" s="16"/>
      <c r="Z37" s="16"/>
      <c r="AA37" s="16"/>
      <c r="AB37" s="16"/>
      <c r="AC37" s="16"/>
      <c r="AD37" s="16"/>
      <c r="AE37" s="16"/>
      <c r="AF37" s="16"/>
      <c r="AG37" s="16"/>
      <c r="AH37" s="16"/>
      <c r="AI37" s="16"/>
      <c r="AJ37" s="16"/>
      <c r="AK37" s="16"/>
      <c r="AL37" s="16"/>
      <c r="AM37" s="16"/>
      <c r="AN37" s="16"/>
      <c r="AO37" s="16"/>
      <c r="AP37" s="16"/>
      <c r="AQ37" s="16"/>
      <c r="AR37" s="16"/>
      <c r="AS37" s="16"/>
      <c r="AT37" s="16"/>
      <c r="AU37" s="16"/>
      <c r="AV37" s="16"/>
      <c r="AW37" s="16"/>
      <c r="AX37" s="16"/>
    </row>
    <row r="38">
      <c r="A38" s="16" t="str">
        <f>IFERROR(__xludf.DUMMYFUNCTION("""COMPUTED_VALUE"""),"Samurai")</f>
        <v>Samurai</v>
      </c>
      <c r="B38" s="16" t="str">
        <f>IFERROR(__xludf.DUMMYFUNCTION("""COMPUTED_VALUE"""),"Cursed Samurai")</f>
        <v>Cursed Samurai</v>
      </c>
      <c r="C38" s="16"/>
      <c r="D38" s="16"/>
      <c r="E38" s="16">
        <f>IFERROR(__xludf.DUMMYFUNCTION("""COMPUTED_VALUE"""),9.0)</f>
        <v>9</v>
      </c>
      <c r="F38" s="16"/>
      <c r="G38" s="16"/>
      <c r="H38" s="16"/>
      <c r="I38" s="16"/>
      <c r="J38" s="16">
        <f>IFERROR(__xludf.DUMMYFUNCTION("""COMPUTED_VALUE"""),9.0)</f>
        <v>9</v>
      </c>
      <c r="K38" s="16"/>
      <c r="L38" s="16"/>
      <c r="M38" s="16">
        <f>IFERROR(__xludf.DUMMYFUNCTION("""COMPUTED_VALUE"""),9.0)</f>
        <v>9</v>
      </c>
      <c r="N38" s="16">
        <f>IFERROR(__xludf.DUMMYFUNCTION("""COMPUTED_VALUE"""),9.0)</f>
        <v>9</v>
      </c>
      <c r="O38" s="16"/>
      <c r="P38" s="16"/>
      <c r="Q38" s="16"/>
      <c r="R38" s="16"/>
      <c r="S38" s="16"/>
      <c r="T38" s="16"/>
      <c r="U38" s="16">
        <f>IFERROR(__xludf.DUMMYFUNCTION("""COMPUTED_VALUE"""),9.0)</f>
        <v>9</v>
      </c>
      <c r="V38" s="16"/>
      <c r="W38" s="16"/>
      <c r="X38" s="16"/>
      <c r="Y38" s="16"/>
      <c r="Z38" s="16"/>
      <c r="AA38" s="16"/>
      <c r="AB38" s="16"/>
      <c r="AC38" s="16"/>
      <c r="AD38" s="16"/>
      <c r="AE38" s="16"/>
      <c r="AF38" s="16"/>
      <c r="AG38" s="16"/>
      <c r="AH38" s="16"/>
      <c r="AI38" s="16"/>
      <c r="AJ38" s="16"/>
      <c r="AK38" s="16"/>
      <c r="AL38" s="16"/>
      <c r="AM38" s="16"/>
      <c r="AN38" s="16"/>
      <c r="AO38" s="16"/>
      <c r="AP38" s="16"/>
      <c r="AQ38" s="16"/>
      <c r="AR38" s="16"/>
      <c r="AS38" s="16"/>
      <c r="AT38" s="16"/>
      <c r="AU38" s="16"/>
      <c r="AV38" s="16"/>
      <c r="AW38" s="16"/>
      <c r="AX38" s="16"/>
    </row>
    <row r="39">
      <c r="A39" s="16" t="str">
        <f>IFERROR(__xludf.DUMMYFUNCTION("""COMPUTED_VALUE"""),"Shaman")</f>
        <v>Shaman</v>
      </c>
      <c r="B39" s="16" t="str">
        <f>IFERROR(__xludf.DUMMYFUNCTION("""COMPUTED_VALUE"""),"Master Shaman")</f>
        <v>Master Shaman</v>
      </c>
      <c r="C39" s="16"/>
      <c r="D39" s="16"/>
      <c r="E39" s="16"/>
      <c r="F39" s="16"/>
      <c r="G39" s="16"/>
      <c r="H39" s="16"/>
      <c r="I39" s="16">
        <f>IFERROR(__xludf.DUMMYFUNCTION("""COMPUTED_VALUE"""),6.0)</f>
        <v>6</v>
      </c>
      <c r="J39" s="16">
        <f>IFERROR(__xludf.DUMMYFUNCTION("""COMPUTED_VALUE"""),9.0)</f>
        <v>9</v>
      </c>
      <c r="K39" s="16">
        <f>IFERROR(__xludf.DUMMYFUNCTION("""COMPUTED_VALUE"""),6.0)</f>
        <v>6</v>
      </c>
      <c r="L39" s="16">
        <f>IFERROR(__xludf.DUMMYFUNCTION("""COMPUTED_VALUE"""),9.0)</f>
        <v>9</v>
      </c>
      <c r="M39" s="16"/>
      <c r="N39" s="16"/>
      <c r="O39" s="16"/>
      <c r="P39" s="16"/>
      <c r="Q39" s="16"/>
      <c r="R39" s="16"/>
      <c r="S39" s="16"/>
      <c r="T39" s="16"/>
      <c r="U39" s="16"/>
      <c r="V39" s="16"/>
      <c r="W39" s="16"/>
      <c r="X39" s="16"/>
      <c r="Y39" s="16"/>
      <c r="Z39" s="16"/>
      <c r="AA39" s="16"/>
      <c r="AB39" s="16"/>
      <c r="AC39" s="16"/>
      <c r="AD39" s="16"/>
      <c r="AE39" s="16"/>
      <c r="AF39" s="16"/>
      <c r="AG39" s="16"/>
      <c r="AH39" s="16"/>
      <c r="AI39" s="16"/>
      <c r="AJ39" s="16"/>
      <c r="AK39" s="16"/>
      <c r="AL39" s="16"/>
      <c r="AM39" s="16"/>
      <c r="AN39" s="16"/>
      <c r="AO39" s="16"/>
      <c r="AP39" s="16"/>
      <c r="AQ39" s="16"/>
      <c r="AR39" s="16"/>
      <c r="AS39" s="16"/>
      <c r="AT39" s="16"/>
      <c r="AU39" s="16"/>
      <c r="AV39" s="16"/>
      <c r="AW39" s="16"/>
      <c r="AX39" s="16"/>
    </row>
    <row r="40">
      <c r="A40" s="16" t="str">
        <f>IFERROR(__xludf.DUMMYFUNCTION("""COMPUTED_VALUE"""),"Sorcerer")</f>
        <v>Sorcerer</v>
      </c>
      <c r="B40" s="16" t="str">
        <f>IFERROR(__xludf.DUMMYFUNCTION("""COMPUTED_VALUE"""),"Master Sorcerer")</f>
        <v>Master Sorcerer</v>
      </c>
      <c r="C40" s="16">
        <f>IFERROR(__xludf.DUMMYFUNCTION("""COMPUTED_VALUE"""),9.0)</f>
        <v>9</v>
      </c>
      <c r="D40" s="16">
        <f>IFERROR(__xludf.DUMMYFUNCTION("""COMPUTED_VALUE"""),9.0)</f>
        <v>9</v>
      </c>
      <c r="E40" s="16">
        <f>IFERROR(__xludf.DUMMYFUNCTION("""COMPUTED_VALUE"""),9.0)</f>
        <v>9</v>
      </c>
      <c r="F40" s="16">
        <f>IFERROR(__xludf.DUMMYFUNCTION("""COMPUTED_VALUE"""),9.0)</f>
        <v>9</v>
      </c>
      <c r="G40" s="16">
        <f>IFERROR(__xludf.DUMMYFUNCTION("""COMPUTED_VALUE"""),9.0)</f>
        <v>9</v>
      </c>
      <c r="H40" s="16">
        <f>IFERROR(__xludf.DUMMYFUNCTION("""COMPUTED_VALUE"""),9.0)</f>
        <v>9</v>
      </c>
      <c r="I40" s="16">
        <f>IFERROR(__xludf.DUMMYFUNCTION("""COMPUTED_VALUE"""),9.0)</f>
        <v>9</v>
      </c>
      <c r="J40" s="16">
        <f>IFERROR(__xludf.DUMMYFUNCTION("""COMPUTED_VALUE"""),9.0)</f>
        <v>9</v>
      </c>
      <c r="K40" s="16">
        <f>IFERROR(__xludf.DUMMYFUNCTION("""COMPUTED_VALUE"""),9.0)</f>
        <v>9</v>
      </c>
      <c r="L40" s="16">
        <f>IFERROR(__xludf.DUMMYFUNCTION("""COMPUTED_VALUE"""),9.0)</f>
        <v>9</v>
      </c>
      <c r="M40" s="16">
        <f>IFERROR(__xludf.DUMMYFUNCTION("""COMPUTED_VALUE"""),9.0)</f>
        <v>9</v>
      </c>
      <c r="N40" s="16">
        <f>IFERROR(__xludf.DUMMYFUNCTION("""COMPUTED_VALUE"""),9.0)</f>
        <v>9</v>
      </c>
      <c r="O40" s="16">
        <f>IFERROR(__xludf.DUMMYFUNCTION("""COMPUTED_VALUE"""),9.0)</f>
        <v>9</v>
      </c>
      <c r="P40" s="16">
        <f>IFERROR(__xludf.DUMMYFUNCTION("""COMPUTED_VALUE"""),9.0)</f>
        <v>9</v>
      </c>
      <c r="Q40" s="16">
        <f>IFERROR(__xludf.DUMMYFUNCTION("""COMPUTED_VALUE"""),9.0)</f>
        <v>9</v>
      </c>
      <c r="R40" s="16">
        <f>IFERROR(__xludf.DUMMYFUNCTION("""COMPUTED_VALUE"""),9.0)</f>
        <v>9</v>
      </c>
      <c r="S40" s="16">
        <f>IFERROR(__xludf.DUMMYFUNCTION("""COMPUTED_VALUE"""),9.0)</f>
        <v>9</v>
      </c>
      <c r="T40" s="16">
        <f>IFERROR(__xludf.DUMMYFUNCTION("""COMPUTED_VALUE"""),9.0)</f>
        <v>9</v>
      </c>
      <c r="U40" s="16"/>
      <c r="V40" s="16"/>
      <c r="W40" s="16">
        <f>IFERROR(__xludf.DUMMYFUNCTION("""COMPUTED_VALUE"""),9.0)</f>
        <v>9</v>
      </c>
      <c r="X40" s="16">
        <f>IFERROR(__xludf.DUMMYFUNCTION("""COMPUTED_VALUE"""),6.0)</f>
        <v>6</v>
      </c>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c r="AX40" s="16"/>
    </row>
    <row r="41">
      <c r="A41" s="16" t="str">
        <f>IFERROR(__xludf.DUMMYFUNCTION("""COMPUTED_VALUE"""),"Viking")</f>
        <v>Viking</v>
      </c>
      <c r="B41" s="16" t="str">
        <f>IFERROR(__xludf.DUMMYFUNCTION("""COMPUTED_VALUE"""),"Warlord")</f>
        <v>Warlord</v>
      </c>
      <c r="C41" s="16"/>
      <c r="D41" s="16"/>
      <c r="E41" s="16"/>
      <c r="F41" s="16"/>
      <c r="G41" s="16"/>
      <c r="H41" s="16"/>
      <c r="I41" s="16"/>
      <c r="J41" s="16"/>
      <c r="K41" s="16"/>
      <c r="L41" s="16">
        <f>IFERROR(__xludf.DUMMYFUNCTION("""COMPUTED_VALUE"""),9.0)</f>
        <v>9</v>
      </c>
      <c r="M41" s="16">
        <f>IFERROR(__xludf.DUMMYFUNCTION("""COMPUTED_VALUE"""),9.0)</f>
        <v>9</v>
      </c>
      <c r="N41" s="16">
        <f>IFERROR(__xludf.DUMMYFUNCTION("""COMPUTED_VALUE"""),9.0)</f>
        <v>9</v>
      </c>
      <c r="O41" s="16"/>
      <c r="P41" s="16"/>
      <c r="Q41" s="16"/>
      <c r="R41" s="16"/>
      <c r="S41" s="16"/>
      <c r="T41" s="16"/>
      <c r="U41" s="16"/>
      <c r="V41" s="16"/>
      <c r="W41" s="16"/>
      <c r="X41" s="16"/>
      <c r="Y41" s="16"/>
      <c r="Z41" s="16"/>
      <c r="AA41" s="16"/>
      <c r="AB41" s="16"/>
      <c r="AC41" s="16"/>
      <c r="AD41" s="16"/>
      <c r="AE41" s="16"/>
      <c r="AF41" s="16"/>
      <c r="AG41" s="16"/>
      <c r="AH41" s="16"/>
      <c r="AI41" s="16"/>
      <c r="AJ41" s="16"/>
      <c r="AK41" s="16"/>
      <c r="AL41" s="16"/>
      <c r="AM41" s="16"/>
      <c r="AN41" s="16"/>
      <c r="AO41" s="16"/>
      <c r="AP41" s="16"/>
      <c r="AQ41" s="16"/>
      <c r="AR41" s="16"/>
      <c r="AS41" s="16"/>
      <c r="AT41" s="16"/>
      <c r="AU41" s="16"/>
      <c r="AV41" s="16"/>
      <c r="AW41" s="16"/>
      <c r="AX41" s="16"/>
    </row>
    <row r="42">
      <c r="A42" s="16" t="str">
        <f>IFERROR(__xludf.DUMMYFUNCTION("""COMPUTED_VALUE"""),"Viking")</f>
        <v>Viking</v>
      </c>
      <c r="B42" s="16" t="str">
        <f>IFERROR(__xludf.DUMMYFUNCTION("""COMPUTED_VALUE"""),"Warlock")</f>
        <v>Warlock</v>
      </c>
      <c r="C42" s="16"/>
      <c r="D42" s="16"/>
      <c r="E42" s="16"/>
      <c r="F42" s="16"/>
      <c r="G42" s="16"/>
      <c r="H42" s="16">
        <f>IFERROR(__xludf.DUMMYFUNCTION("""COMPUTED_VALUE"""),9.0)</f>
        <v>9</v>
      </c>
      <c r="I42" s="16"/>
      <c r="J42" s="16"/>
      <c r="K42" s="16"/>
      <c r="L42" s="16">
        <f>IFERROR(__xludf.DUMMYFUNCTION("""COMPUTED_VALUE"""),6.0)</f>
        <v>6</v>
      </c>
      <c r="M42" s="16">
        <f>IFERROR(__xludf.DUMMYFUNCTION("""COMPUTED_VALUE"""),9.0)</f>
        <v>9</v>
      </c>
      <c r="N42" s="16">
        <f>IFERROR(__xludf.DUMMYFUNCTION("""COMPUTED_VALUE"""),9.0)</f>
        <v>9</v>
      </c>
      <c r="O42" s="16"/>
      <c r="P42" s="16"/>
      <c r="Q42" s="16"/>
      <c r="R42" s="16"/>
      <c r="S42" s="16"/>
      <c r="T42" s="16"/>
      <c r="U42" s="16"/>
      <c r="V42" s="16"/>
      <c r="W42" s="16"/>
      <c r="X42" s="16"/>
      <c r="Y42" s="16"/>
      <c r="Z42" s="16"/>
      <c r="AA42" s="16"/>
      <c r="AB42" s="16"/>
      <c r="AC42" s="16"/>
      <c r="AD42" s="16"/>
      <c r="AE42" s="16"/>
      <c r="AF42" s="16"/>
      <c r="AG42" s="16"/>
      <c r="AH42" s="16"/>
      <c r="AI42" s="16"/>
      <c r="AJ42" s="16"/>
      <c r="AK42" s="16"/>
      <c r="AL42" s="16"/>
      <c r="AM42" s="16"/>
      <c r="AN42" s="16"/>
      <c r="AO42" s="16"/>
      <c r="AP42" s="16"/>
      <c r="AQ42" s="16"/>
      <c r="AR42" s="16"/>
      <c r="AS42" s="16"/>
      <c r="AT42" s="16"/>
      <c r="AU42" s="16"/>
      <c r="AV42" s="16"/>
      <c r="AW42" s="16"/>
      <c r="AX42" s="16"/>
    </row>
    <row r="43">
      <c r="A43" s="16" t="str">
        <f>IFERROR(__xludf.DUMMYFUNCTION("""COMPUTED_VALUE"""),"Warrior")</f>
        <v>Warrior</v>
      </c>
      <c r="B43" s="16" t="str">
        <f>IFERROR(__xludf.DUMMYFUNCTION("""COMPUTED_VALUE"""),"Soldier")</f>
        <v>Soldier</v>
      </c>
      <c r="C43" s="16"/>
      <c r="D43" s="16"/>
      <c r="E43" s="16"/>
      <c r="F43" s="16"/>
      <c r="G43" s="16"/>
      <c r="H43" s="16"/>
      <c r="I43" s="16"/>
      <c r="J43" s="16"/>
      <c r="K43" s="16"/>
      <c r="L43" s="16"/>
      <c r="M43" s="16">
        <f>IFERROR(__xludf.DUMMYFUNCTION("""COMPUTED_VALUE"""),9.0)</f>
        <v>9</v>
      </c>
      <c r="N43" s="16">
        <f>IFERROR(__xludf.DUMMYFUNCTION("""COMPUTED_VALUE"""),9.0)</f>
        <v>9</v>
      </c>
      <c r="O43" s="16">
        <f>IFERROR(__xludf.DUMMYFUNCTION("""COMPUTED_VALUE"""),9.0)</f>
        <v>9</v>
      </c>
      <c r="P43" s="16"/>
      <c r="Q43" s="16"/>
      <c r="R43" s="16"/>
      <c r="S43" s="16"/>
      <c r="T43" s="16"/>
      <c r="U43" s="16"/>
      <c r="V43" s="16"/>
      <c r="W43" s="16"/>
      <c r="X43" s="16"/>
      <c r="Y43" s="16"/>
      <c r="Z43" s="16"/>
      <c r="AA43" s="16"/>
      <c r="AB43" s="16"/>
      <c r="AC43" s="16"/>
      <c r="AD43" s="16"/>
      <c r="AE43" s="16"/>
      <c r="AF43" s="16"/>
      <c r="AG43" s="16"/>
      <c r="AH43" s="16"/>
      <c r="AI43" s="16"/>
      <c r="AJ43" s="16"/>
      <c r="AK43" s="16"/>
      <c r="AL43" s="16"/>
      <c r="AM43" s="16"/>
      <c r="AN43" s="16"/>
      <c r="AO43" s="16"/>
      <c r="AP43" s="16"/>
      <c r="AQ43" s="16"/>
      <c r="AR43" s="16"/>
      <c r="AS43" s="16"/>
      <c r="AT43" s="16"/>
      <c r="AU43" s="16"/>
      <c r="AV43" s="16"/>
      <c r="AW43" s="16"/>
      <c r="AX43" s="16"/>
    </row>
    <row r="44">
      <c r="A44" s="16" t="str">
        <f>IFERROR(__xludf.DUMMYFUNCTION("""COMPUTED_VALUE"""),"WeaponMaster")</f>
        <v>WeaponMaster</v>
      </c>
      <c r="B44" s="16" t="str">
        <f>IFERROR(__xludf.DUMMYFUNCTION("""COMPUTED_VALUE"""),"Weapon Purist")</f>
        <v>Weapon Purist</v>
      </c>
      <c r="C44" s="16"/>
      <c r="D44" s="16"/>
      <c r="E44" s="16"/>
      <c r="F44" s="16"/>
      <c r="G44" s="16"/>
      <c r="H44" s="16"/>
      <c r="I44" s="16"/>
      <c r="J44" s="16"/>
      <c r="K44" s="16"/>
      <c r="L44" s="16"/>
      <c r="M44" s="16">
        <f>IFERROR(__xludf.DUMMYFUNCTION("""COMPUTED_VALUE"""),9.0)</f>
        <v>9</v>
      </c>
      <c r="N44" s="16">
        <f>IFERROR(__xludf.DUMMYFUNCTION("""COMPUTED_VALUE"""),9.0)</f>
        <v>9</v>
      </c>
      <c r="O44" s="16">
        <f>IFERROR(__xludf.DUMMYFUNCTION("""COMPUTED_VALUE"""),9.0)</f>
        <v>9</v>
      </c>
      <c r="P44" s="16"/>
      <c r="Q44" s="16"/>
      <c r="R44" s="16"/>
      <c r="S44" s="16"/>
      <c r="T44" s="16"/>
      <c r="U44" s="16"/>
      <c r="V44" s="16"/>
      <c r="W44" s="16"/>
      <c r="X44" s="16"/>
      <c r="Y44" s="16"/>
      <c r="Z44" s="16"/>
      <c r="AA44" s="16"/>
      <c r="AB44" s="16"/>
      <c r="AC44" s="16"/>
      <c r="AD44" s="16"/>
      <c r="AE44" s="16"/>
      <c r="AF44" s="16"/>
      <c r="AG44" s="16"/>
      <c r="AH44" s="16"/>
      <c r="AI44" s="16"/>
      <c r="AJ44" s="16"/>
      <c r="AK44" s="16"/>
      <c r="AL44" s="16"/>
      <c r="AM44" s="16"/>
      <c r="AN44" s="16"/>
      <c r="AO44" s="16"/>
      <c r="AP44" s="16"/>
      <c r="AQ44" s="16"/>
      <c r="AR44" s="16"/>
      <c r="AS44" s="16"/>
      <c r="AT44" s="16"/>
      <c r="AU44" s="16"/>
      <c r="AV44" s="16"/>
      <c r="AW44" s="16"/>
      <c r="AX44" s="16"/>
    </row>
    <row r="45">
      <c r="A45" s="16" t="str">
        <f>IFERROR(__xludf.DUMMYFUNCTION("""COMPUTED_VALUE"""),"Witch")</f>
        <v>Witch</v>
      </c>
      <c r="B45" s="16" t="str">
        <f>IFERROR(__xludf.DUMMYFUNCTION("""COMPUTED_VALUE"""),"Hag")</f>
        <v>Hag</v>
      </c>
      <c r="C45" s="16">
        <f>IFERROR(__xludf.DUMMYFUNCTION("""COMPUTED_VALUE"""),9.0)</f>
        <v>9</v>
      </c>
      <c r="D45" s="16">
        <f>IFERROR(__xludf.DUMMYFUNCTION("""COMPUTED_VALUE"""),9.0)</f>
        <v>9</v>
      </c>
      <c r="E45" s="16">
        <f>IFERROR(__xludf.DUMMYFUNCTION("""COMPUTED_VALUE"""),9.0)</f>
        <v>9</v>
      </c>
      <c r="F45" s="16">
        <f>IFERROR(__xludf.DUMMYFUNCTION("""COMPUTED_VALUE"""),9.0)</f>
        <v>9</v>
      </c>
      <c r="G45" s="16">
        <f>IFERROR(__xludf.DUMMYFUNCTION("""COMPUTED_VALUE"""),9.0)</f>
        <v>9</v>
      </c>
      <c r="H45" s="16">
        <f>IFERROR(__xludf.DUMMYFUNCTION("""COMPUTED_VALUE"""),9.0)</f>
        <v>9</v>
      </c>
      <c r="I45" s="16">
        <f>IFERROR(__xludf.DUMMYFUNCTION("""COMPUTED_VALUE"""),9.0)</f>
        <v>9</v>
      </c>
      <c r="J45" s="16">
        <f>IFERROR(__xludf.DUMMYFUNCTION("""COMPUTED_VALUE"""),9.0)</f>
        <v>9</v>
      </c>
      <c r="K45" s="16">
        <f>IFERROR(__xludf.DUMMYFUNCTION("""COMPUTED_VALUE"""),9.0)</f>
        <v>9</v>
      </c>
      <c r="L45" s="16">
        <f>IFERROR(__xludf.DUMMYFUNCTION("""COMPUTED_VALUE"""),9.0)</f>
        <v>9</v>
      </c>
      <c r="M45" s="16">
        <f>IFERROR(__xludf.DUMMYFUNCTION("""COMPUTED_VALUE"""),9.0)</f>
        <v>9</v>
      </c>
      <c r="N45" s="16">
        <f>IFERROR(__xludf.DUMMYFUNCTION("""COMPUTED_VALUE"""),9.0)</f>
        <v>9</v>
      </c>
      <c r="O45" s="16">
        <f>IFERROR(__xludf.DUMMYFUNCTION("""COMPUTED_VALUE"""),9.0)</f>
        <v>9</v>
      </c>
      <c r="P45" s="16">
        <f>IFERROR(__xludf.DUMMYFUNCTION("""COMPUTED_VALUE"""),9.0)</f>
        <v>9</v>
      </c>
      <c r="Q45" s="16">
        <f>IFERROR(__xludf.DUMMYFUNCTION("""COMPUTED_VALUE"""),9.0)</f>
        <v>9</v>
      </c>
      <c r="R45" s="16">
        <f>IFERROR(__xludf.DUMMYFUNCTION("""COMPUTED_VALUE"""),9.0)</f>
        <v>9</v>
      </c>
      <c r="S45" s="16">
        <f>IFERROR(__xludf.DUMMYFUNCTION("""COMPUTED_VALUE"""),9.0)</f>
        <v>9</v>
      </c>
      <c r="T45" s="16">
        <f>IFERROR(__xludf.DUMMYFUNCTION("""COMPUTED_VALUE"""),9.0)</f>
        <v>9</v>
      </c>
      <c r="U45" s="16"/>
      <c r="V45" s="16"/>
      <c r="W45" s="16">
        <f>IFERROR(__xludf.DUMMYFUNCTION("""COMPUTED_VALUE"""),9.0)</f>
        <v>9</v>
      </c>
      <c r="X45" s="16"/>
      <c r="Y45" s="16"/>
      <c r="Z45" s="16"/>
      <c r="AA45" s="16"/>
      <c r="AB45" s="16"/>
      <c r="AC45" s="16"/>
      <c r="AD45" s="16"/>
      <c r="AE45" s="16"/>
      <c r="AF45" s="16"/>
      <c r="AG45" s="16"/>
      <c r="AH45" s="16"/>
      <c r="AI45" s="16"/>
      <c r="AJ45" s="16"/>
      <c r="AK45" s="16"/>
      <c r="AL45" s="16"/>
      <c r="AM45" s="16"/>
      <c r="AN45" s="16"/>
      <c r="AO45" s="16"/>
      <c r="AP45" s="16"/>
      <c r="AQ45" s="16"/>
      <c r="AR45" s="16"/>
      <c r="AS45" s="16"/>
      <c r="AT45" s="16"/>
      <c r="AU45" s="16"/>
      <c r="AV45" s="16"/>
      <c r="AW45" s="16"/>
      <c r="AX45" s="16"/>
    </row>
    <row r="46">
      <c r="A46" s="16" t="str">
        <f>IFERROR(__xludf.DUMMYFUNCTION("""COMPUTED_VALUE"""),"Wizard")</f>
        <v>Wizard</v>
      </c>
      <c r="B46" s="16" t="str">
        <f>IFERROR(__xludf.DUMMYFUNCTION("""COMPUTED_VALUE"""),"Elemental Wizard")</f>
        <v>Elemental Wizard</v>
      </c>
      <c r="C46" s="16">
        <f>IFERROR(__xludf.DUMMYFUNCTION("""COMPUTED_VALUE"""),9.0)</f>
        <v>9</v>
      </c>
      <c r="D46" s="16">
        <f>IFERROR(__xludf.DUMMYFUNCTION("""COMPUTED_VALUE"""),9.0)</f>
        <v>9</v>
      </c>
      <c r="E46" s="16">
        <f>IFERROR(__xludf.DUMMYFUNCTION("""COMPUTED_VALUE"""),9.0)</f>
        <v>9</v>
      </c>
      <c r="F46" s="16">
        <f>IFERROR(__xludf.DUMMYFUNCTION("""COMPUTED_VALUE"""),9.0)</f>
        <v>9</v>
      </c>
      <c r="G46" s="16">
        <f>IFERROR(__xludf.DUMMYFUNCTION("""COMPUTED_VALUE"""),9.0)</f>
        <v>9</v>
      </c>
      <c r="H46" s="16">
        <f>IFERROR(__xludf.DUMMYFUNCTION("""COMPUTED_VALUE"""),9.0)</f>
        <v>9</v>
      </c>
      <c r="I46" s="16">
        <f>IFERROR(__xludf.DUMMYFUNCTION("""COMPUTED_VALUE"""),9.0)</f>
        <v>9</v>
      </c>
      <c r="J46" s="16">
        <f>IFERROR(__xludf.DUMMYFUNCTION("""COMPUTED_VALUE"""),9.0)</f>
        <v>9</v>
      </c>
      <c r="K46" s="16">
        <f>IFERROR(__xludf.DUMMYFUNCTION("""COMPUTED_VALUE"""),9.0)</f>
        <v>9</v>
      </c>
      <c r="L46" s="16">
        <f>IFERROR(__xludf.DUMMYFUNCTION("""COMPUTED_VALUE"""),9.0)</f>
        <v>9</v>
      </c>
      <c r="M46" s="16">
        <f>IFERROR(__xludf.DUMMYFUNCTION("""COMPUTED_VALUE"""),9.0)</f>
        <v>9</v>
      </c>
      <c r="N46" s="16">
        <f>IFERROR(__xludf.DUMMYFUNCTION("""COMPUTED_VALUE"""),9.0)</f>
        <v>9</v>
      </c>
      <c r="O46" s="16">
        <f>IFERROR(__xludf.DUMMYFUNCTION("""COMPUTED_VALUE"""),9.0)</f>
        <v>9</v>
      </c>
      <c r="P46" s="16">
        <f>IFERROR(__xludf.DUMMYFUNCTION("""COMPUTED_VALUE"""),9.0)</f>
        <v>9</v>
      </c>
      <c r="Q46" s="16">
        <f>IFERROR(__xludf.DUMMYFUNCTION("""COMPUTED_VALUE"""),9.0)</f>
        <v>9</v>
      </c>
      <c r="R46" s="16">
        <f>IFERROR(__xludf.DUMMYFUNCTION("""COMPUTED_VALUE"""),9.0)</f>
        <v>9</v>
      </c>
      <c r="S46" s="16">
        <f>IFERROR(__xludf.DUMMYFUNCTION("""COMPUTED_VALUE"""),9.0)</f>
        <v>9</v>
      </c>
      <c r="T46" s="16">
        <f>IFERROR(__xludf.DUMMYFUNCTION("""COMPUTED_VALUE"""),9.0)</f>
        <v>9</v>
      </c>
      <c r="U46" s="16"/>
      <c r="V46" s="16"/>
      <c r="W46" s="16">
        <f>IFERROR(__xludf.DUMMYFUNCTION("""COMPUTED_VALUE"""),9.0)</f>
        <v>9</v>
      </c>
      <c r="X46" s="16"/>
      <c r="Y46" s="16"/>
      <c r="Z46" s="16"/>
      <c r="AA46" s="16"/>
      <c r="AB46" s="16"/>
      <c r="AC46" s="16"/>
      <c r="AD46" s="16"/>
      <c r="AE46" s="16"/>
      <c r="AF46" s="16"/>
      <c r="AG46" s="16"/>
      <c r="AH46" s="16"/>
      <c r="AI46" s="16"/>
      <c r="AJ46" s="16"/>
      <c r="AK46" s="16"/>
      <c r="AL46" s="16"/>
      <c r="AM46" s="16"/>
      <c r="AN46" s="16"/>
      <c r="AO46" s="16"/>
      <c r="AP46" s="16"/>
      <c r="AQ46" s="16"/>
      <c r="AR46" s="16"/>
      <c r="AS46" s="16"/>
      <c r="AT46" s="16"/>
      <c r="AU46" s="16"/>
      <c r="AV46" s="16"/>
      <c r="AW46" s="16"/>
      <c r="AX46" s="16"/>
    </row>
    <row r="47">
      <c r="A47" s="16"/>
      <c r="B47" s="16"/>
      <c r="C47" s="16" t="str">
        <f>IFERROR(__xludf.DUMMYFUNCTION("""COMPUTED_VALUE"""),"")</f>
        <v/>
      </c>
      <c r="D47" s="16" t="str">
        <f>IFERROR(__xludf.DUMMYFUNCTION("""COMPUTED_VALUE"""),"")</f>
        <v/>
      </c>
      <c r="E47" s="16" t="str">
        <f>IFERROR(__xludf.DUMMYFUNCTION("""COMPUTED_VALUE"""),"")</f>
        <v/>
      </c>
      <c r="F47" s="16" t="str">
        <f>IFERROR(__xludf.DUMMYFUNCTION("""COMPUTED_VALUE"""),"")</f>
        <v/>
      </c>
      <c r="G47" s="16" t="str">
        <f>IFERROR(__xludf.DUMMYFUNCTION("""COMPUTED_VALUE"""),"")</f>
        <v/>
      </c>
      <c r="H47" s="16" t="str">
        <f>IFERROR(__xludf.DUMMYFUNCTION("""COMPUTED_VALUE"""),"")</f>
        <v/>
      </c>
      <c r="I47" s="16" t="str">
        <f>IFERROR(__xludf.DUMMYFUNCTION("""COMPUTED_VALUE"""),"")</f>
        <v/>
      </c>
      <c r="J47" s="16" t="str">
        <f>IFERROR(__xludf.DUMMYFUNCTION("""COMPUTED_VALUE"""),"")</f>
        <v/>
      </c>
      <c r="K47" s="16" t="str">
        <f>IFERROR(__xludf.DUMMYFUNCTION("""COMPUTED_VALUE"""),"")</f>
        <v/>
      </c>
      <c r="L47" s="16" t="str">
        <f>IFERROR(__xludf.DUMMYFUNCTION("""COMPUTED_VALUE"""),"")</f>
        <v/>
      </c>
      <c r="M47" s="16" t="str">
        <f>IFERROR(__xludf.DUMMYFUNCTION("""COMPUTED_VALUE"""),"")</f>
        <v/>
      </c>
      <c r="N47" s="16" t="str">
        <f>IFERROR(__xludf.DUMMYFUNCTION("""COMPUTED_VALUE"""),"")</f>
        <v/>
      </c>
      <c r="O47" s="16" t="str">
        <f>IFERROR(__xludf.DUMMYFUNCTION("""COMPUTED_VALUE"""),"")</f>
        <v/>
      </c>
      <c r="P47" s="16" t="str">
        <f>IFERROR(__xludf.DUMMYFUNCTION("""COMPUTED_VALUE"""),"")</f>
        <v/>
      </c>
      <c r="Q47" s="16" t="str">
        <f>IFERROR(__xludf.DUMMYFUNCTION("""COMPUTED_VALUE"""),"")</f>
        <v/>
      </c>
      <c r="R47" s="16" t="str">
        <f>IFERROR(__xludf.DUMMYFUNCTION("""COMPUTED_VALUE"""),"")</f>
        <v/>
      </c>
      <c r="S47" s="16" t="str">
        <f>IFERROR(__xludf.DUMMYFUNCTION("""COMPUTED_VALUE"""),"")</f>
        <v/>
      </c>
      <c r="T47" s="16" t="str">
        <f>IFERROR(__xludf.DUMMYFUNCTION("""COMPUTED_VALUE"""),"")</f>
        <v/>
      </c>
      <c r="U47" s="16" t="str">
        <f>IFERROR(__xludf.DUMMYFUNCTION("""COMPUTED_VALUE"""),"")</f>
        <v/>
      </c>
      <c r="V47" s="16" t="str">
        <f>IFERROR(__xludf.DUMMYFUNCTION("""COMPUTED_VALUE"""),"")</f>
        <v/>
      </c>
      <c r="W47" s="16" t="str">
        <f>IFERROR(__xludf.DUMMYFUNCTION("""COMPUTED_VALUE"""),"")</f>
        <v/>
      </c>
      <c r="X47" s="16" t="str">
        <f>IFERROR(__xludf.DUMMYFUNCTION("""COMPUTED_VALUE"""),"")</f>
        <v/>
      </c>
      <c r="Y47" s="16" t="str">
        <f>IFERROR(__xludf.DUMMYFUNCTION("""COMPUTED_VALUE"""),"")</f>
        <v/>
      </c>
      <c r="Z47" s="16"/>
      <c r="AA47" s="16"/>
      <c r="AB47" s="16"/>
      <c r="AC47" s="16"/>
      <c r="AD47" s="16"/>
      <c r="AE47" s="16"/>
      <c r="AF47" s="16"/>
      <c r="AG47" s="16"/>
      <c r="AH47" s="16"/>
      <c r="AI47" s="16"/>
      <c r="AJ47" s="16"/>
      <c r="AK47" s="16"/>
      <c r="AL47" s="16"/>
      <c r="AM47" s="16"/>
      <c r="AN47" s="16"/>
      <c r="AO47" s="16"/>
      <c r="AP47" s="16"/>
      <c r="AQ47" s="16"/>
      <c r="AR47" s="16"/>
      <c r="AS47" s="16"/>
      <c r="AT47" s="16"/>
      <c r="AU47" s="16"/>
      <c r="AV47" s="16"/>
      <c r="AW47" s="16"/>
      <c r="AX47" s="16"/>
    </row>
    <row r="48">
      <c r="A48" s="16"/>
      <c r="B48" s="16"/>
      <c r="C48" s="16" t="str">
        <f>IFERROR(__xludf.DUMMYFUNCTION("""COMPUTED_VALUE"""),"")</f>
        <v/>
      </c>
      <c r="D48" s="16" t="str">
        <f>IFERROR(__xludf.DUMMYFUNCTION("""COMPUTED_VALUE"""),"")</f>
        <v/>
      </c>
      <c r="E48" s="16" t="str">
        <f>IFERROR(__xludf.DUMMYFUNCTION("""COMPUTED_VALUE"""),"")</f>
        <v/>
      </c>
      <c r="F48" s="16" t="str">
        <f>IFERROR(__xludf.DUMMYFUNCTION("""COMPUTED_VALUE"""),"")</f>
        <v/>
      </c>
      <c r="G48" s="16" t="str">
        <f>IFERROR(__xludf.DUMMYFUNCTION("""COMPUTED_VALUE"""),"")</f>
        <v/>
      </c>
      <c r="H48" s="16" t="str">
        <f>IFERROR(__xludf.DUMMYFUNCTION("""COMPUTED_VALUE"""),"")</f>
        <v/>
      </c>
      <c r="I48" s="16" t="str">
        <f>IFERROR(__xludf.DUMMYFUNCTION("""COMPUTED_VALUE"""),"")</f>
        <v/>
      </c>
      <c r="J48" s="16" t="str">
        <f>IFERROR(__xludf.DUMMYFUNCTION("""COMPUTED_VALUE"""),"")</f>
        <v/>
      </c>
      <c r="K48" s="16" t="str">
        <f>IFERROR(__xludf.DUMMYFUNCTION("""COMPUTED_VALUE"""),"")</f>
        <v/>
      </c>
      <c r="L48" s="16" t="str">
        <f>IFERROR(__xludf.DUMMYFUNCTION("""COMPUTED_VALUE"""),"")</f>
        <v/>
      </c>
      <c r="M48" s="16" t="str">
        <f>IFERROR(__xludf.DUMMYFUNCTION("""COMPUTED_VALUE"""),"")</f>
        <v/>
      </c>
      <c r="N48" s="16" t="str">
        <f>IFERROR(__xludf.DUMMYFUNCTION("""COMPUTED_VALUE"""),"")</f>
        <v/>
      </c>
      <c r="O48" s="16" t="str">
        <f>IFERROR(__xludf.DUMMYFUNCTION("""COMPUTED_VALUE"""),"")</f>
        <v/>
      </c>
      <c r="P48" s="16" t="str">
        <f>IFERROR(__xludf.DUMMYFUNCTION("""COMPUTED_VALUE"""),"")</f>
        <v/>
      </c>
      <c r="Q48" s="16" t="str">
        <f>IFERROR(__xludf.DUMMYFUNCTION("""COMPUTED_VALUE"""),"")</f>
        <v/>
      </c>
      <c r="R48" s="16" t="str">
        <f>IFERROR(__xludf.DUMMYFUNCTION("""COMPUTED_VALUE"""),"")</f>
        <v/>
      </c>
      <c r="S48" s="16" t="str">
        <f>IFERROR(__xludf.DUMMYFUNCTION("""COMPUTED_VALUE"""),"")</f>
        <v/>
      </c>
      <c r="T48" s="16" t="str">
        <f>IFERROR(__xludf.DUMMYFUNCTION("""COMPUTED_VALUE"""),"")</f>
        <v/>
      </c>
      <c r="U48" s="16" t="str">
        <f>IFERROR(__xludf.DUMMYFUNCTION("""COMPUTED_VALUE"""),"")</f>
        <v/>
      </c>
      <c r="V48" s="16" t="str">
        <f>IFERROR(__xludf.DUMMYFUNCTION("""COMPUTED_VALUE"""),"")</f>
        <v/>
      </c>
      <c r="W48" s="16" t="str">
        <f>IFERROR(__xludf.DUMMYFUNCTION("""COMPUTED_VALUE"""),"")</f>
        <v/>
      </c>
      <c r="X48" s="16" t="str">
        <f>IFERROR(__xludf.DUMMYFUNCTION("""COMPUTED_VALUE"""),"")</f>
        <v/>
      </c>
      <c r="Y48" s="16" t="str">
        <f>IFERROR(__xludf.DUMMYFUNCTION("""COMPUTED_VALUE"""),"")</f>
        <v/>
      </c>
      <c r="Z48" s="16"/>
      <c r="AA48" s="16"/>
      <c r="AB48" s="16"/>
      <c r="AC48" s="16"/>
      <c r="AD48" s="16"/>
      <c r="AE48" s="16"/>
      <c r="AF48" s="16"/>
      <c r="AG48" s="16"/>
      <c r="AH48" s="16"/>
      <c r="AI48" s="16"/>
      <c r="AJ48" s="16"/>
      <c r="AK48" s="16"/>
      <c r="AL48" s="16"/>
      <c r="AM48" s="16"/>
      <c r="AN48" s="16"/>
      <c r="AO48" s="16"/>
      <c r="AP48" s="16"/>
      <c r="AQ48" s="16"/>
      <c r="AR48" s="16"/>
      <c r="AS48" s="16"/>
      <c r="AT48" s="16"/>
      <c r="AU48" s="16"/>
      <c r="AV48" s="16"/>
      <c r="AW48" s="16"/>
      <c r="AX48" s="16"/>
    </row>
    <row r="49">
      <c r="A49" s="16"/>
      <c r="B49" s="16"/>
      <c r="C49" s="16" t="str">
        <f>IFERROR(__xludf.DUMMYFUNCTION("""COMPUTED_VALUE"""),"")</f>
        <v/>
      </c>
      <c r="D49" s="16" t="str">
        <f>IFERROR(__xludf.DUMMYFUNCTION("""COMPUTED_VALUE"""),"")</f>
        <v/>
      </c>
      <c r="E49" s="16" t="str">
        <f>IFERROR(__xludf.DUMMYFUNCTION("""COMPUTED_VALUE"""),"")</f>
        <v/>
      </c>
      <c r="F49" s="16" t="str">
        <f>IFERROR(__xludf.DUMMYFUNCTION("""COMPUTED_VALUE"""),"")</f>
        <v/>
      </c>
      <c r="G49" s="16" t="str">
        <f>IFERROR(__xludf.DUMMYFUNCTION("""COMPUTED_VALUE"""),"")</f>
        <v/>
      </c>
      <c r="H49" s="16" t="str">
        <f>IFERROR(__xludf.DUMMYFUNCTION("""COMPUTED_VALUE"""),"")</f>
        <v/>
      </c>
      <c r="I49" s="16" t="str">
        <f>IFERROR(__xludf.DUMMYFUNCTION("""COMPUTED_VALUE"""),"")</f>
        <v/>
      </c>
      <c r="J49" s="16" t="str">
        <f>IFERROR(__xludf.DUMMYFUNCTION("""COMPUTED_VALUE"""),"")</f>
        <v/>
      </c>
      <c r="K49" s="16" t="str">
        <f>IFERROR(__xludf.DUMMYFUNCTION("""COMPUTED_VALUE"""),"")</f>
        <v/>
      </c>
      <c r="L49" s="16" t="str">
        <f>IFERROR(__xludf.DUMMYFUNCTION("""COMPUTED_VALUE"""),"")</f>
        <v/>
      </c>
      <c r="M49" s="16" t="str">
        <f>IFERROR(__xludf.DUMMYFUNCTION("""COMPUTED_VALUE"""),"")</f>
        <v/>
      </c>
      <c r="N49" s="16" t="str">
        <f>IFERROR(__xludf.DUMMYFUNCTION("""COMPUTED_VALUE"""),"")</f>
        <v/>
      </c>
      <c r="O49" s="16" t="str">
        <f>IFERROR(__xludf.DUMMYFUNCTION("""COMPUTED_VALUE"""),"")</f>
        <v/>
      </c>
      <c r="P49" s="16" t="str">
        <f>IFERROR(__xludf.DUMMYFUNCTION("""COMPUTED_VALUE"""),"")</f>
        <v/>
      </c>
      <c r="Q49" s="16" t="str">
        <f>IFERROR(__xludf.DUMMYFUNCTION("""COMPUTED_VALUE"""),"")</f>
        <v/>
      </c>
      <c r="R49" s="16" t="str">
        <f>IFERROR(__xludf.DUMMYFUNCTION("""COMPUTED_VALUE"""),"")</f>
        <v/>
      </c>
      <c r="S49" s="16" t="str">
        <f>IFERROR(__xludf.DUMMYFUNCTION("""COMPUTED_VALUE"""),"")</f>
        <v/>
      </c>
      <c r="T49" s="16" t="str">
        <f>IFERROR(__xludf.DUMMYFUNCTION("""COMPUTED_VALUE"""),"")</f>
        <v/>
      </c>
      <c r="U49" s="16" t="str">
        <f>IFERROR(__xludf.DUMMYFUNCTION("""COMPUTED_VALUE"""),"")</f>
        <v/>
      </c>
      <c r="V49" s="16" t="str">
        <f>IFERROR(__xludf.DUMMYFUNCTION("""COMPUTED_VALUE"""),"")</f>
        <v/>
      </c>
      <c r="W49" s="16" t="str">
        <f>IFERROR(__xludf.DUMMYFUNCTION("""COMPUTED_VALUE"""),"")</f>
        <v/>
      </c>
      <c r="X49" s="16" t="str">
        <f>IFERROR(__xludf.DUMMYFUNCTION("""COMPUTED_VALUE"""),"")</f>
        <v/>
      </c>
      <c r="Y49" s="16" t="str">
        <f>IFERROR(__xludf.DUMMYFUNCTION("""COMPUTED_VALUE"""),"")</f>
        <v/>
      </c>
      <c r="Z49" s="16"/>
      <c r="AA49" s="16"/>
      <c r="AB49" s="16"/>
      <c r="AC49" s="16"/>
      <c r="AD49" s="16"/>
      <c r="AE49" s="16"/>
      <c r="AF49" s="16"/>
      <c r="AG49" s="16"/>
      <c r="AH49" s="16"/>
      <c r="AI49" s="16"/>
      <c r="AJ49" s="16"/>
      <c r="AK49" s="16"/>
      <c r="AL49" s="16"/>
      <c r="AM49" s="16"/>
      <c r="AN49" s="16"/>
      <c r="AO49" s="16"/>
      <c r="AP49" s="16"/>
      <c r="AQ49" s="16"/>
      <c r="AR49" s="16"/>
      <c r="AS49" s="16"/>
      <c r="AT49" s="16"/>
      <c r="AU49" s="16"/>
      <c r="AV49" s="16"/>
      <c r="AW49" s="16"/>
      <c r="AX49" s="16"/>
    </row>
    <row r="50">
      <c r="A50" s="16"/>
      <c r="B50" s="16"/>
      <c r="C50" s="16" t="str">
        <f>IFERROR(__xludf.DUMMYFUNCTION("""COMPUTED_VALUE"""),"")</f>
        <v/>
      </c>
      <c r="D50" s="16" t="str">
        <f>IFERROR(__xludf.DUMMYFUNCTION("""COMPUTED_VALUE"""),"")</f>
        <v/>
      </c>
      <c r="E50" s="16" t="str">
        <f>IFERROR(__xludf.DUMMYFUNCTION("""COMPUTED_VALUE"""),"")</f>
        <v/>
      </c>
      <c r="F50" s="16" t="str">
        <f>IFERROR(__xludf.DUMMYFUNCTION("""COMPUTED_VALUE"""),"")</f>
        <v/>
      </c>
      <c r="G50" s="16" t="str">
        <f>IFERROR(__xludf.DUMMYFUNCTION("""COMPUTED_VALUE"""),"")</f>
        <v/>
      </c>
      <c r="H50" s="16" t="str">
        <f>IFERROR(__xludf.DUMMYFUNCTION("""COMPUTED_VALUE"""),"")</f>
        <v/>
      </c>
      <c r="I50" s="16" t="str">
        <f>IFERROR(__xludf.DUMMYFUNCTION("""COMPUTED_VALUE"""),"")</f>
        <v/>
      </c>
      <c r="J50" s="16" t="str">
        <f>IFERROR(__xludf.DUMMYFUNCTION("""COMPUTED_VALUE"""),"")</f>
        <v/>
      </c>
      <c r="K50" s="16" t="str">
        <f>IFERROR(__xludf.DUMMYFUNCTION("""COMPUTED_VALUE"""),"")</f>
        <v/>
      </c>
      <c r="L50" s="16" t="str">
        <f>IFERROR(__xludf.DUMMYFUNCTION("""COMPUTED_VALUE"""),"")</f>
        <v/>
      </c>
      <c r="M50" s="16" t="str">
        <f>IFERROR(__xludf.DUMMYFUNCTION("""COMPUTED_VALUE"""),"")</f>
        <v/>
      </c>
      <c r="N50" s="16" t="str">
        <f>IFERROR(__xludf.DUMMYFUNCTION("""COMPUTED_VALUE"""),"")</f>
        <v/>
      </c>
      <c r="O50" s="16" t="str">
        <f>IFERROR(__xludf.DUMMYFUNCTION("""COMPUTED_VALUE"""),"")</f>
        <v/>
      </c>
      <c r="P50" s="16" t="str">
        <f>IFERROR(__xludf.DUMMYFUNCTION("""COMPUTED_VALUE"""),"")</f>
        <v/>
      </c>
      <c r="Q50" s="16" t="str">
        <f>IFERROR(__xludf.DUMMYFUNCTION("""COMPUTED_VALUE"""),"")</f>
        <v/>
      </c>
      <c r="R50" s="16" t="str">
        <f>IFERROR(__xludf.DUMMYFUNCTION("""COMPUTED_VALUE"""),"")</f>
        <v/>
      </c>
      <c r="S50" s="16" t="str">
        <f>IFERROR(__xludf.DUMMYFUNCTION("""COMPUTED_VALUE"""),"")</f>
        <v/>
      </c>
      <c r="T50" s="16" t="str">
        <f>IFERROR(__xludf.DUMMYFUNCTION("""COMPUTED_VALUE"""),"")</f>
        <v/>
      </c>
      <c r="U50" s="16" t="str">
        <f>IFERROR(__xludf.DUMMYFUNCTION("""COMPUTED_VALUE"""),"")</f>
        <v/>
      </c>
      <c r="V50" s="16" t="str">
        <f>IFERROR(__xludf.DUMMYFUNCTION("""COMPUTED_VALUE"""),"")</f>
        <v/>
      </c>
      <c r="W50" s="16" t="str">
        <f>IFERROR(__xludf.DUMMYFUNCTION("""COMPUTED_VALUE"""),"")</f>
        <v/>
      </c>
      <c r="X50" s="16" t="str">
        <f>IFERROR(__xludf.DUMMYFUNCTION("""COMPUTED_VALUE"""),"")</f>
        <v/>
      </c>
      <c r="Y50" s="16" t="str">
        <f>IFERROR(__xludf.DUMMYFUNCTION("""COMPUTED_VALUE"""),"")</f>
        <v/>
      </c>
      <c r="Z50" s="16"/>
      <c r="AA50" s="16"/>
      <c r="AB50" s="16"/>
      <c r="AC50" s="16"/>
      <c r="AD50" s="16"/>
      <c r="AE50" s="16"/>
      <c r="AF50" s="16"/>
      <c r="AG50" s="16"/>
      <c r="AH50" s="16"/>
      <c r="AI50" s="16"/>
      <c r="AJ50" s="16"/>
      <c r="AK50" s="16"/>
      <c r="AL50" s="16"/>
      <c r="AM50" s="16"/>
      <c r="AN50" s="16"/>
      <c r="AO50" s="16"/>
      <c r="AP50" s="16"/>
      <c r="AQ50" s="16"/>
      <c r="AR50" s="16"/>
      <c r="AS50" s="16"/>
      <c r="AT50" s="16"/>
      <c r="AU50" s="16"/>
      <c r="AV50" s="16"/>
      <c r="AW50" s="16"/>
      <c r="AX50" s="16"/>
    </row>
    <row r="51">
      <c r="A51" s="16"/>
      <c r="B51" s="16"/>
      <c r="C51" s="16" t="str">
        <f>IFERROR(__xludf.DUMMYFUNCTION("""COMPUTED_VALUE"""),"")</f>
        <v/>
      </c>
      <c r="D51" s="16" t="str">
        <f>IFERROR(__xludf.DUMMYFUNCTION("""COMPUTED_VALUE"""),"")</f>
        <v/>
      </c>
      <c r="E51" s="16" t="str">
        <f>IFERROR(__xludf.DUMMYFUNCTION("""COMPUTED_VALUE"""),"")</f>
        <v/>
      </c>
      <c r="F51" s="16" t="str">
        <f>IFERROR(__xludf.DUMMYFUNCTION("""COMPUTED_VALUE"""),"")</f>
        <v/>
      </c>
      <c r="G51" s="16" t="str">
        <f>IFERROR(__xludf.DUMMYFUNCTION("""COMPUTED_VALUE"""),"")</f>
        <v/>
      </c>
      <c r="H51" s="16" t="str">
        <f>IFERROR(__xludf.DUMMYFUNCTION("""COMPUTED_VALUE"""),"")</f>
        <v/>
      </c>
      <c r="I51" s="16" t="str">
        <f>IFERROR(__xludf.DUMMYFUNCTION("""COMPUTED_VALUE"""),"")</f>
        <v/>
      </c>
      <c r="J51" s="16" t="str">
        <f>IFERROR(__xludf.DUMMYFUNCTION("""COMPUTED_VALUE"""),"")</f>
        <v/>
      </c>
      <c r="K51" s="16" t="str">
        <f>IFERROR(__xludf.DUMMYFUNCTION("""COMPUTED_VALUE"""),"")</f>
        <v/>
      </c>
      <c r="L51" s="16" t="str">
        <f>IFERROR(__xludf.DUMMYFUNCTION("""COMPUTED_VALUE"""),"")</f>
        <v/>
      </c>
      <c r="M51" s="16" t="str">
        <f>IFERROR(__xludf.DUMMYFUNCTION("""COMPUTED_VALUE"""),"")</f>
        <v/>
      </c>
      <c r="N51" s="16" t="str">
        <f>IFERROR(__xludf.DUMMYFUNCTION("""COMPUTED_VALUE"""),"")</f>
        <v/>
      </c>
      <c r="O51" s="16" t="str">
        <f>IFERROR(__xludf.DUMMYFUNCTION("""COMPUTED_VALUE"""),"")</f>
        <v/>
      </c>
      <c r="P51" s="16" t="str">
        <f>IFERROR(__xludf.DUMMYFUNCTION("""COMPUTED_VALUE"""),"")</f>
        <v/>
      </c>
      <c r="Q51" s="16" t="str">
        <f>IFERROR(__xludf.DUMMYFUNCTION("""COMPUTED_VALUE"""),"")</f>
        <v/>
      </c>
      <c r="R51" s="16" t="str">
        <f>IFERROR(__xludf.DUMMYFUNCTION("""COMPUTED_VALUE"""),"")</f>
        <v/>
      </c>
      <c r="S51" s="16" t="str">
        <f>IFERROR(__xludf.DUMMYFUNCTION("""COMPUTED_VALUE"""),"")</f>
        <v/>
      </c>
      <c r="T51" s="16" t="str">
        <f>IFERROR(__xludf.DUMMYFUNCTION("""COMPUTED_VALUE"""),"")</f>
        <v/>
      </c>
      <c r="U51" s="16" t="str">
        <f>IFERROR(__xludf.DUMMYFUNCTION("""COMPUTED_VALUE"""),"")</f>
        <v/>
      </c>
      <c r="V51" s="16" t="str">
        <f>IFERROR(__xludf.DUMMYFUNCTION("""COMPUTED_VALUE"""),"")</f>
        <v/>
      </c>
      <c r="W51" s="16" t="str">
        <f>IFERROR(__xludf.DUMMYFUNCTION("""COMPUTED_VALUE"""),"")</f>
        <v/>
      </c>
      <c r="X51" s="16" t="str">
        <f>IFERROR(__xludf.DUMMYFUNCTION("""COMPUTED_VALUE"""),"")</f>
        <v/>
      </c>
      <c r="Y51" s="16" t="str">
        <f>IFERROR(__xludf.DUMMYFUNCTION("""COMPUTED_VALUE"""),"")</f>
        <v/>
      </c>
      <c r="Z51" s="16"/>
      <c r="AA51" s="16"/>
      <c r="AB51" s="16"/>
      <c r="AC51" s="16"/>
      <c r="AD51" s="16"/>
      <c r="AE51" s="16"/>
      <c r="AF51" s="16"/>
      <c r="AG51" s="16"/>
      <c r="AH51" s="16"/>
      <c r="AI51" s="16"/>
      <c r="AJ51" s="16"/>
      <c r="AK51" s="16"/>
      <c r="AL51" s="16"/>
      <c r="AM51" s="16"/>
      <c r="AN51" s="16"/>
      <c r="AO51" s="16"/>
      <c r="AP51" s="16"/>
      <c r="AQ51" s="16"/>
      <c r="AR51" s="16"/>
      <c r="AS51" s="16"/>
      <c r="AT51" s="16"/>
      <c r="AU51" s="16"/>
      <c r="AV51" s="16"/>
      <c r="AW51" s="16"/>
      <c r="AX51" s="16"/>
    </row>
    <row r="52">
      <c r="A52" s="16"/>
      <c r="B52" s="16"/>
      <c r="C52" s="16" t="str">
        <f>IFERROR(__xludf.DUMMYFUNCTION("""COMPUTED_VALUE"""),"")</f>
        <v/>
      </c>
      <c r="D52" s="16" t="str">
        <f>IFERROR(__xludf.DUMMYFUNCTION("""COMPUTED_VALUE"""),"")</f>
        <v/>
      </c>
      <c r="E52" s="16" t="str">
        <f>IFERROR(__xludf.DUMMYFUNCTION("""COMPUTED_VALUE"""),"")</f>
        <v/>
      </c>
      <c r="F52" s="16" t="str">
        <f>IFERROR(__xludf.DUMMYFUNCTION("""COMPUTED_VALUE"""),"")</f>
        <v/>
      </c>
      <c r="G52" s="16" t="str">
        <f>IFERROR(__xludf.DUMMYFUNCTION("""COMPUTED_VALUE"""),"")</f>
        <v/>
      </c>
      <c r="H52" s="16" t="str">
        <f>IFERROR(__xludf.DUMMYFUNCTION("""COMPUTED_VALUE"""),"")</f>
        <v/>
      </c>
      <c r="I52" s="16" t="str">
        <f>IFERROR(__xludf.DUMMYFUNCTION("""COMPUTED_VALUE"""),"")</f>
        <v/>
      </c>
      <c r="J52" s="16" t="str">
        <f>IFERROR(__xludf.DUMMYFUNCTION("""COMPUTED_VALUE"""),"")</f>
        <v/>
      </c>
      <c r="K52" s="16" t="str">
        <f>IFERROR(__xludf.DUMMYFUNCTION("""COMPUTED_VALUE"""),"")</f>
        <v/>
      </c>
      <c r="L52" s="16" t="str">
        <f>IFERROR(__xludf.DUMMYFUNCTION("""COMPUTED_VALUE"""),"")</f>
        <v/>
      </c>
      <c r="M52" s="16" t="str">
        <f>IFERROR(__xludf.DUMMYFUNCTION("""COMPUTED_VALUE"""),"")</f>
        <v/>
      </c>
      <c r="N52" s="16" t="str">
        <f>IFERROR(__xludf.DUMMYFUNCTION("""COMPUTED_VALUE"""),"")</f>
        <v/>
      </c>
      <c r="O52" s="16" t="str">
        <f>IFERROR(__xludf.DUMMYFUNCTION("""COMPUTED_VALUE"""),"")</f>
        <v/>
      </c>
      <c r="P52" s="16" t="str">
        <f>IFERROR(__xludf.DUMMYFUNCTION("""COMPUTED_VALUE"""),"")</f>
        <v/>
      </c>
      <c r="Q52" s="16" t="str">
        <f>IFERROR(__xludf.DUMMYFUNCTION("""COMPUTED_VALUE"""),"")</f>
        <v/>
      </c>
      <c r="R52" s="16" t="str">
        <f>IFERROR(__xludf.DUMMYFUNCTION("""COMPUTED_VALUE"""),"")</f>
        <v/>
      </c>
      <c r="S52" s="16" t="str">
        <f>IFERROR(__xludf.DUMMYFUNCTION("""COMPUTED_VALUE"""),"")</f>
        <v/>
      </c>
      <c r="T52" s="16" t="str">
        <f>IFERROR(__xludf.DUMMYFUNCTION("""COMPUTED_VALUE"""),"")</f>
        <v/>
      </c>
      <c r="U52" s="16" t="str">
        <f>IFERROR(__xludf.DUMMYFUNCTION("""COMPUTED_VALUE"""),"")</f>
        <v/>
      </c>
      <c r="V52" s="16" t="str">
        <f>IFERROR(__xludf.DUMMYFUNCTION("""COMPUTED_VALUE"""),"")</f>
        <v/>
      </c>
      <c r="W52" s="16" t="str">
        <f>IFERROR(__xludf.DUMMYFUNCTION("""COMPUTED_VALUE"""),"")</f>
        <v/>
      </c>
      <c r="X52" s="16" t="str">
        <f>IFERROR(__xludf.DUMMYFUNCTION("""COMPUTED_VALUE"""),"")</f>
        <v/>
      </c>
      <c r="Y52" s="16" t="str">
        <f>IFERROR(__xludf.DUMMYFUNCTION("""COMPUTED_VALUE"""),"")</f>
        <v/>
      </c>
      <c r="Z52" s="16"/>
      <c r="AA52" s="16"/>
      <c r="AB52" s="16"/>
      <c r="AC52" s="16"/>
      <c r="AD52" s="16"/>
      <c r="AE52" s="16"/>
      <c r="AF52" s="16"/>
      <c r="AG52" s="16"/>
      <c r="AH52" s="16"/>
      <c r="AI52" s="16"/>
      <c r="AJ52" s="16"/>
      <c r="AK52" s="16"/>
      <c r="AL52" s="16"/>
      <c r="AM52" s="16"/>
      <c r="AN52" s="16"/>
      <c r="AO52" s="16"/>
      <c r="AP52" s="16"/>
      <c r="AQ52" s="16"/>
      <c r="AR52" s="16"/>
      <c r="AS52" s="16"/>
      <c r="AT52" s="16"/>
      <c r="AU52" s="16"/>
      <c r="AV52" s="16"/>
      <c r="AW52" s="16"/>
      <c r="AX52" s="16"/>
    </row>
    <row r="53">
      <c r="A53" s="16"/>
      <c r="B53" s="16"/>
      <c r="C53" s="16" t="str">
        <f>IFERROR(__xludf.DUMMYFUNCTION("""COMPUTED_VALUE"""),"")</f>
        <v/>
      </c>
      <c r="D53" s="16" t="str">
        <f>IFERROR(__xludf.DUMMYFUNCTION("""COMPUTED_VALUE"""),"")</f>
        <v/>
      </c>
      <c r="E53" s="16" t="str">
        <f>IFERROR(__xludf.DUMMYFUNCTION("""COMPUTED_VALUE"""),"")</f>
        <v/>
      </c>
      <c r="F53" s="16" t="str">
        <f>IFERROR(__xludf.DUMMYFUNCTION("""COMPUTED_VALUE"""),"")</f>
        <v/>
      </c>
      <c r="G53" s="16" t="str">
        <f>IFERROR(__xludf.DUMMYFUNCTION("""COMPUTED_VALUE"""),"")</f>
        <v/>
      </c>
      <c r="H53" s="16" t="str">
        <f>IFERROR(__xludf.DUMMYFUNCTION("""COMPUTED_VALUE"""),"")</f>
        <v/>
      </c>
      <c r="I53" s="16" t="str">
        <f>IFERROR(__xludf.DUMMYFUNCTION("""COMPUTED_VALUE"""),"")</f>
        <v/>
      </c>
      <c r="J53" s="16" t="str">
        <f>IFERROR(__xludf.DUMMYFUNCTION("""COMPUTED_VALUE"""),"")</f>
        <v/>
      </c>
      <c r="K53" s="16" t="str">
        <f>IFERROR(__xludf.DUMMYFUNCTION("""COMPUTED_VALUE"""),"")</f>
        <v/>
      </c>
      <c r="L53" s="16" t="str">
        <f>IFERROR(__xludf.DUMMYFUNCTION("""COMPUTED_VALUE"""),"")</f>
        <v/>
      </c>
      <c r="M53" s="16" t="str">
        <f>IFERROR(__xludf.DUMMYFUNCTION("""COMPUTED_VALUE"""),"")</f>
        <v/>
      </c>
      <c r="N53" s="16" t="str">
        <f>IFERROR(__xludf.DUMMYFUNCTION("""COMPUTED_VALUE"""),"")</f>
        <v/>
      </c>
      <c r="O53" s="16" t="str">
        <f>IFERROR(__xludf.DUMMYFUNCTION("""COMPUTED_VALUE"""),"")</f>
        <v/>
      </c>
      <c r="P53" s="16" t="str">
        <f>IFERROR(__xludf.DUMMYFUNCTION("""COMPUTED_VALUE"""),"")</f>
        <v/>
      </c>
      <c r="Q53" s="16" t="str">
        <f>IFERROR(__xludf.DUMMYFUNCTION("""COMPUTED_VALUE"""),"")</f>
        <v/>
      </c>
      <c r="R53" s="16" t="str">
        <f>IFERROR(__xludf.DUMMYFUNCTION("""COMPUTED_VALUE"""),"")</f>
        <v/>
      </c>
      <c r="S53" s="16" t="str">
        <f>IFERROR(__xludf.DUMMYFUNCTION("""COMPUTED_VALUE"""),"")</f>
        <v/>
      </c>
      <c r="T53" s="16" t="str">
        <f>IFERROR(__xludf.DUMMYFUNCTION("""COMPUTED_VALUE"""),"")</f>
        <v/>
      </c>
      <c r="U53" s="16" t="str">
        <f>IFERROR(__xludf.DUMMYFUNCTION("""COMPUTED_VALUE"""),"")</f>
        <v/>
      </c>
      <c r="V53" s="16" t="str">
        <f>IFERROR(__xludf.DUMMYFUNCTION("""COMPUTED_VALUE"""),"")</f>
        <v/>
      </c>
      <c r="W53" s="16" t="str">
        <f>IFERROR(__xludf.DUMMYFUNCTION("""COMPUTED_VALUE"""),"")</f>
        <v/>
      </c>
      <c r="X53" s="16" t="str">
        <f>IFERROR(__xludf.DUMMYFUNCTION("""COMPUTED_VALUE"""),"")</f>
        <v/>
      </c>
      <c r="Y53" s="16" t="str">
        <f>IFERROR(__xludf.DUMMYFUNCTION("""COMPUTED_VALUE"""),"")</f>
        <v/>
      </c>
      <c r="Z53" s="16"/>
      <c r="AA53" s="16"/>
      <c r="AB53" s="16"/>
      <c r="AC53" s="16"/>
      <c r="AD53" s="16"/>
      <c r="AE53" s="16"/>
      <c r="AF53" s="16"/>
      <c r="AG53" s="16"/>
      <c r="AH53" s="16"/>
      <c r="AI53" s="16"/>
      <c r="AJ53" s="16"/>
      <c r="AK53" s="16"/>
      <c r="AL53" s="16"/>
      <c r="AM53" s="16"/>
      <c r="AN53" s="16"/>
      <c r="AO53" s="16"/>
      <c r="AP53" s="16"/>
      <c r="AQ53" s="16"/>
      <c r="AR53" s="16"/>
      <c r="AS53" s="16"/>
      <c r="AT53" s="16"/>
      <c r="AU53" s="16"/>
      <c r="AV53" s="16"/>
      <c r="AW53" s="16"/>
      <c r="AX53" s="16"/>
    </row>
    <row r="54">
      <c r="A54" s="16"/>
      <c r="B54" s="16"/>
      <c r="C54" s="16" t="str">
        <f>IFERROR(__xludf.DUMMYFUNCTION("""COMPUTED_VALUE"""),"")</f>
        <v/>
      </c>
      <c r="D54" s="16" t="str">
        <f>IFERROR(__xludf.DUMMYFUNCTION("""COMPUTED_VALUE"""),"")</f>
        <v/>
      </c>
      <c r="E54" s="16" t="str">
        <f>IFERROR(__xludf.DUMMYFUNCTION("""COMPUTED_VALUE"""),"")</f>
        <v/>
      </c>
      <c r="F54" s="16" t="str">
        <f>IFERROR(__xludf.DUMMYFUNCTION("""COMPUTED_VALUE"""),"")</f>
        <v/>
      </c>
      <c r="G54" s="16" t="str">
        <f>IFERROR(__xludf.DUMMYFUNCTION("""COMPUTED_VALUE"""),"")</f>
        <v/>
      </c>
      <c r="H54" s="16" t="str">
        <f>IFERROR(__xludf.DUMMYFUNCTION("""COMPUTED_VALUE"""),"")</f>
        <v/>
      </c>
      <c r="I54" s="16" t="str">
        <f>IFERROR(__xludf.DUMMYFUNCTION("""COMPUTED_VALUE"""),"")</f>
        <v/>
      </c>
      <c r="J54" s="16" t="str">
        <f>IFERROR(__xludf.DUMMYFUNCTION("""COMPUTED_VALUE"""),"")</f>
        <v/>
      </c>
      <c r="K54" s="16" t="str">
        <f>IFERROR(__xludf.DUMMYFUNCTION("""COMPUTED_VALUE"""),"")</f>
        <v/>
      </c>
      <c r="L54" s="16" t="str">
        <f>IFERROR(__xludf.DUMMYFUNCTION("""COMPUTED_VALUE"""),"")</f>
        <v/>
      </c>
      <c r="M54" s="16" t="str">
        <f>IFERROR(__xludf.DUMMYFUNCTION("""COMPUTED_VALUE"""),"")</f>
        <v/>
      </c>
      <c r="N54" s="16" t="str">
        <f>IFERROR(__xludf.DUMMYFUNCTION("""COMPUTED_VALUE"""),"")</f>
        <v/>
      </c>
      <c r="O54" s="16" t="str">
        <f>IFERROR(__xludf.DUMMYFUNCTION("""COMPUTED_VALUE"""),"")</f>
        <v/>
      </c>
      <c r="P54" s="16" t="str">
        <f>IFERROR(__xludf.DUMMYFUNCTION("""COMPUTED_VALUE"""),"")</f>
        <v/>
      </c>
      <c r="Q54" s="16" t="str">
        <f>IFERROR(__xludf.DUMMYFUNCTION("""COMPUTED_VALUE"""),"")</f>
        <v/>
      </c>
      <c r="R54" s="16" t="str">
        <f>IFERROR(__xludf.DUMMYFUNCTION("""COMPUTED_VALUE"""),"")</f>
        <v/>
      </c>
      <c r="S54" s="16" t="str">
        <f>IFERROR(__xludf.DUMMYFUNCTION("""COMPUTED_VALUE"""),"")</f>
        <v/>
      </c>
      <c r="T54" s="16" t="str">
        <f>IFERROR(__xludf.DUMMYFUNCTION("""COMPUTED_VALUE"""),"")</f>
        <v/>
      </c>
      <c r="U54" s="16" t="str">
        <f>IFERROR(__xludf.DUMMYFUNCTION("""COMPUTED_VALUE"""),"")</f>
        <v/>
      </c>
      <c r="V54" s="16" t="str">
        <f>IFERROR(__xludf.DUMMYFUNCTION("""COMPUTED_VALUE"""),"")</f>
        <v/>
      </c>
      <c r="W54" s="16" t="str">
        <f>IFERROR(__xludf.DUMMYFUNCTION("""COMPUTED_VALUE"""),"")</f>
        <v/>
      </c>
      <c r="X54" s="16" t="str">
        <f>IFERROR(__xludf.DUMMYFUNCTION("""COMPUTED_VALUE"""),"")</f>
        <v/>
      </c>
      <c r="Y54" s="16" t="str">
        <f>IFERROR(__xludf.DUMMYFUNCTION("""COMPUTED_VALUE"""),"")</f>
        <v/>
      </c>
      <c r="Z54" s="16"/>
      <c r="AA54" s="16"/>
      <c r="AB54" s="16"/>
      <c r="AC54" s="16"/>
      <c r="AD54" s="16"/>
      <c r="AE54" s="16"/>
      <c r="AF54" s="16"/>
      <c r="AG54" s="16"/>
      <c r="AH54" s="16"/>
      <c r="AI54" s="16"/>
      <c r="AJ54" s="16"/>
      <c r="AK54" s="16"/>
      <c r="AL54" s="16"/>
      <c r="AM54" s="16"/>
      <c r="AN54" s="16"/>
      <c r="AO54" s="16"/>
      <c r="AP54" s="16"/>
      <c r="AQ54" s="16"/>
      <c r="AR54" s="16"/>
      <c r="AS54" s="16"/>
      <c r="AT54" s="16"/>
      <c r="AU54" s="16"/>
      <c r="AV54" s="16"/>
      <c r="AW54" s="16"/>
      <c r="AX54" s="16"/>
    </row>
    <row r="55">
      <c r="A55" s="16"/>
      <c r="B55" s="16"/>
      <c r="C55" s="16" t="str">
        <f>IFERROR(__xludf.DUMMYFUNCTION("""COMPUTED_VALUE"""),"")</f>
        <v/>
      </c>
      <c r="D55" s="16" t="str">
        <f>IFERROR(__xludf.DUMMYFUNCTION("""COMPUTED_VALUE"""),"")</f>
        <v/>
      </c>
      <c r="E55" s="16" t="str">
        <f>IFERROR(__xludf.DUMMYFUNCTION("""COMPUTED_VALUE"""),"")</f>
        <v/>
      </c>
      <c r="F55" s="16" t="str">
        <f>IFERROR(__xludf.DUMMYFUNCTION("""COMPUTED_VALUE"""),"")</f>
        <v/>
      </c>
      <c r="G55" s="16" t="str">
        <f>IFERROR(__xludf.DUMMYFUNCTION("""COMPUTED_VALUE"""),"")</f>
        <v/>
      </c>
      <c r="H55" s="16" t="str">
        <f>IFERROR(__xludf.DUMMYFUNCTION("""COMPUTED_VALUE"""),"")</f>
        <v/>
      </c>
      <c r="I55" s="16" t="str">
        <f>IFERROR(__xludf.DUMMYFUNCTION("""COMPUTED_VALUE"""),"")</f>
        <v/>
      </c>
      <c r="J55" s="16" t="str">
        <f>IFERROR(__xludf.DUMMYFUNCTION("""COMPUTED_VALUE"""),"")</f>
        <v/>
      </c>
      <c r="K55" s="16" t="str">
        <f>IFERROR(__xludf.DUMMYFUNCTION("""COMPUTED_VALUE"""),"")</f>
        <v/>
      </c>
      <c r="L55" s="16" t="str">
        <f>IFERROR(__xludf.DUMMYFUNCTION("""COMPUTED_VALUE"""),"")</f>
        <v/>
      </c>
      <c r="M55" s="16" t="str">
        <f>IFERROR(__xludf.DUMMYFUNCTION("""COMPUTED_VALUE"""),"")</f>
        <v/>
      </c>
      <c r="N55" s="16" t="str">
        <f>IFERROR(__xludf.DUMMYFUNCTION("""COMPUTED_VALUE"""),"")</f>
        <v/>
      </c>
      <c r="O55" s="16" t="str">
        <f>IFERROR(__xludf.DUMMYFUNCTION("""COMPUTED_VALUE"""),"")</f>
        <v/>
      </c>
      <c r="P55" s="16" t="str">
        <f>IFERROR(__xludf.DUMMYFUNCTION("""COMPUTED_VALUE"""),"")</f>
        <v/>
      </c>
      <c r="Q55" s="16" t="str">
        <f>IFERROR(__xludf.DUMMYFUNCTION("""COMPUTED_VALUE"""),"")</f>
        <v/>
      </c>
      <c r="R55" s="16" t="str">
        <f>IFERROR(__xludf.DUMMYFUNCTION("""COMPUTED_VALUE"""),"")</f>
        <v/>
      </c>
      <c r="S55" s="16" t="str">
        <f>IFERROR(__xludf.DUMMYFUNCTION("""COMPUTED_VALUE"""),"")</f>
        <v/>
      </c>
      <c r="T55" s="16" t="str">
        <f>IFERROR(__xludf.DUMMYFUNCTION("""COMPUTED_VALUE"""),"")</f>
        <v/>
      </c>
      <c r="U55" s="16" t="str">
        <f>IFERROR(__xludf.DUMMYFUNCTION("""COMPUTED_VALUE"""),"")</f>
        <v/>
      </c>
      <c r="V55" s="16" t="str">
        <f>IFERROR(__xludf.DUMMYFUNCTION("""COMPUTED_VALUE"""),"")</f>
        <v/>
      </c>
      <c r="W55" s="16" t="str">
        <f>IFERROR(__xludf.DUMMYFUNCTION("""COMPUTED_VALUE"""),"")</f>
        <v/>
      </c>
      <c r="X55" s="16" t="str">
        <f>IFERROR(__xludf.DUMMYFUNCTION("""COMPUTED_VALUE"""),"")</f>
        <v/>
      </c>
      <c r="Y55" s="16" t="str">
        <f>IFERROR(__xludf.DUMMYFUNCTION("""COMPUTED_VALUE"""),"")</f>
        <v/>
      </c>
      <c r="Z55" s="16"/>
      <c r="AA55" s="16"/>
      <c r="AB55" s="16"/>
      <c r="AC55" s="16"/>
      <c r="AD55" s="16"/>
      <c r="AE55" s="16"/>
      <c r="AF55" s="16"/>
      <c r="AG55" s="16"/>
      <c r="AH55" s="16"/>
      <c r="AI55" s="16"/>
      <c r="AJ55" s="16"/>
      <c r="AK55" s="16"/>
      <c r="AL55" s="16"/>
      <c r="AM55" s="16"/>
      <c r="AN55" s="16"/>
      <c r="AO55" s="16"/>
      <c r="AP55" s="16"/>
      <c r="AQ55" s="16"/>
      <c r="AR55" s="16"/>
      <c r="AS55" s="16"/>
      <c r="AT55" s="16"/>
      <c r="AU55" s="16"/>
      <c r="AV55" s="16"/>
      <c r="AW55" s="16"/>
      <c r="AX55" s="16"/>
    </row>
    <row r="56">
      <c r="A56" s="16"/>
      <c r="B56" s="16"/>
      <c r="C56" s="16" t="str">
        <f>IFERROR(__xludf.DUMMYFUNCTION("""COMPUTED_VALUE"""),"")</f>
        <v/>
      </c>
      <c r="D56" s="16" t="str">
        <f>IFERROR(__xludf.DUMMYFUNCTION("""COMPUTED_VALUE"""),"")</f>
        <v/>
      </c>
      <c r="E56" s="16" t="str">
        <f>IFERROR(__xludf.DUMMYFUNCTION("""COMPUTED_VALUE"""),"")</f>
        <v/>
      </c>
      <c r="F56" s="16" t="str">
        <f>IFERROR(__xludf.DUMMYFUNCTION("""COMPUTED_VALUE"""),"")</f>
        <v/>
      </c>
      <c r="G56" s="16" t="str">
        <f>IFERROR(__xludf.DUMMYFUNCTION("""COMPUTED_VALUE"""),"")</f>
        <v/>
      </c>
      <c r="H56" s="16" t="str">
        <f>IFERROR(__xludf.DUMMYFUNCTION("""COMPUTED_VALUE"""),"")</f>
        <v/>
      </c>
      <c r="I56" s="16" t="str">
        <f>IFERROR(__xludf.DUMMYFUNCTION("""COMPUTED_VALUE"""),"")</f>
        <v/>
      </c>
      <c r="J56" s="16" t="str">
        <f>IFERROR(__xludf.DUMMYFUNCTION("""COMPUTED_VALUE"""),"")</f>
        <v/>
      </c>
      <c r="K56" s="16" t="str">
        <f>IFERROR(__xludf.DUMMYFUNCTION("""COMPUTED_VALUE"""),"")</f>
        <v/>
      </c>
      <c r="L56" s="16" t="str">
        <f>IFERROR(__xludf.DUMMYFUNCTION("""COMPUTED_VALUE"""),"")</f>
        <v/>
      </c>
      <c r="M56" s="16" t="str">
        <f>IFERROR(__xludf.DUMMYFUNCTION("""COMPUTED_VALUE"""),"")</f>
        <v/>
      </c>
      <c r="N56" s="16" t="str">
        <f>IFERROR(__xludf.DUMMYFUNCTION("""COMPUTED_VALUE"""),"")</f>
        <v/>
      </c>
      <c r="O56" s="16" t="str">
        <f>IFERROR(__xludf.DUMMYFUNCTION("""COMPUTED_VALUE"""),"")</f>
        <v/>
      </c>
      <c r="P56" s="16" t="str">
        <f>IFERROR(__xludf.DUMMYFUNCTION("""COMPUTED_VALUE"""),"")</f>
        <v/>
      </c>
      <c r="Q56" s="16" t="str">
        <f>IFERROR(__xludf.DUMMYFUNCTION("""COMPUTED_VALUE"""),"")</f>
        <v/>
      </c>
      <c r="R56" s="16" t="str">
        <f>IFERROR(__xludf.DUMMYFUNCTION("""COMPUTED_VALUE"""),"")</f>
        <v/>
      </c>
      <c r="S56" s="16" t="str">
        <f>IFERROR(__xludf.DUMMYFUNCTION("""COMPUTED_VALUE"""),"")</f>
        <v/>
      </c>
      <c r="T56" s="16" t="str">
        <f>IFERROR(__xludf.DUMMYFUNCTION("""COMPUTED_VALUE"""),"")</f>
        <v/>
      </c>
      <c r="U56" s="16" t="str">
        <f>IFERROR(__xludf.DUMMYFUNCTION("""COMPUTED_VALUE"""),"")</f>
        <v/>
      </c>
      <c r="V56" s="16" t="str">
        <f>IFERROR(__xludf.DUMMYFUNCTION("""COMPUTED_VALUE"""),"")</f>
        <v/>
      </c>
      <c r="W56" s="16" t="str">
        <f>IFERROR(__xludf.DUMMYFUNCTION("""COMPUTED_VALUE"""),"")</f>
        <v/>
      </c>
      <c r="X56" s="16" t="str">
        <f>IFERROR(__xludf.DUMMYFUNCTION("""COMPUTED_VALUE"""),"")</f>
        <v/>
      </c>
      <c r="Y56" s="16" t="str">
        <f>IFERROR(__xludf.DUMMYFUNCTION("""COMPUTED_VALUE"""),"")</f>
        <v/>
      </c>
      <c r="Z56" s="16"/>
      <c r="AA56" s="16"/>
      <c r="AB56" s="16"/>
      <c r="AC56" s="16"/>
      <c r="AD56" s="16"/>
      <c r="AE56" s="16"/>
      <c r="AF56" s="16"/>
      <c r="AG56" s="16"/>
      <c r="AH56" s="16"/>
      <c r="AI56" s="16"/>
      <c r="AJ56" s="16"/>
      <c r="AK56" s="16"/>
      <c r="AL56" s="16"/>
      <c r="AM56" s="16"/>
      <c r="AN56" s="16"/>
      <c r="AO56" s="16"/>
      <c r="AP56" s="16"/>
      <c r="AQ56" s="16"/>
      <c r="AR56" s="16"/>
      <c r="AS56" s="16"/>
      <c r="AT56" s="16"/>
      <c r="AU56" s="16"/>
      <c r="AV56" s="16"/>
      <c r="AW56" s="16"/>
      <c r="AX56" s="16"/>
    </row>
    <row r="57">
      <c r="A57" s="16"/>
      <c r="B57" s="16"/>
      <c r="C57" s="16" t="str">
        <f>IFERROR(__xludf.DUMMYFUNCTION("""COMPUTED_VALUE"""),"")</f>
        <v/>
      </c>
      <c r="D57" s="16" t="str">
        <f>IFERROR(__xludf.DUMMYFUNCTION("""COMPUTED_VALUE"""),"")</f>
        <v/>
      </c>
      <c r="E57" s="16" t="str">
        <f>IFERROR(__xludf.DUMMYFUNCTION("""COMPUTED_VALUE"""),"")</f>
        <v/>
      </c>
      <c r="F57" s="16" t="str">
        <f>IFERROR(__xludf.DUMMYFUNCTION("""COMPUTED_VALUE"""),"")</f>
        <v/>
      </c>
      <c r="G57" s="16" t="str">
        <f>IFERROR(__xludf.DUMMYFUNCTION("""COMPUTED_VALUE"""),"")</f>
        <v/>
      </c>
      <c r="H57" s="16" t="str">
        <f>IFERROR(__xludf.DUMMYFUNCTION("""COMPUTED_VALUE"""),"")</f>
        <v/>
      </c>
      <c r="I57" s="16" t="str">
        <f>IFERROR(__xludf.DUMMYFUNCTION("""COMPUTED_VALUE"""),"")</f>
        <v/>
      </c>
      <c r="J57" s="16" t="str">
        <f>IFERROR(__xludf.DUMMYFUNCTION("""COMPUTED_VALUE"""),"")</f>
        <v/>
      </c>
      <c r="K57" s="16" t="str">
        <f>IFERROR(__xludf.DUMMYFUNCTION("""COMPUTED_VALUE"""),"")</f>
        <v/>
      </c>
      <c r="L57" s="16" t="str">
        <f>IFERROR(__xludf.DUMMYFUNCTION("""COMPUTED_VALUE"""),"")</f>
        <v/>
      </c>
      <c r="M57" s="16" t="str">
        <f>IFERROR(__xludf.DUMMYFUNCTION("""COMPUTED_VALUE"""),"")</f>
        <v/>
      </c>
      <c r="N57" s="16" t="str">
        <f>IFERROR(__xludf.DUMMYFUNCTION("""COMPUTED_VALUE"""),"")</f>
        <v/>
      </c>
      <c r="O57" s="16" t="str">
        <f>IFERROR(__xludf.DUMMYFUNCTION("""COMPUTED_VALUE"""),"")</f>
        <v/>
      </c>
      <c r="P57" s="16" t="str">
        <f>IFERROR(__xludf.DUMMYFUNCTION("""COMPUTED_VALUE"""),"")</f>
        <v/>
      </c>
      <c r="Q57" s="16" t="str">
        <f>IFERROR(__xludf.DUMMYFUNCTION("""COMPUTED_VALUE"""),"")</f>
        <v/>
      </c>
      <c r="R57" s="16" t="str">
        <f>IFERROR(__xludf.DUMMYFUNCTION("""COMPUTED_VALUE"""),"")</f>
        <v/>
      </c>
      <c r="S57" s="16" t="str">
        <f>IFERROR(__xludf.DUMMYFUNCTION("""COMPUTED_VALUE"""),"")</f>
        <v/>
      </c>
      <c r="T57" s="16" t="str">
        <f>IFERROR(__xludf.DUMMYFUNCTION("""COMPUTED_VALUE"""),"")</f>
        <v/>
      </c>
      <c r="U57" s="16" t="str">
        <f>IFERROR(__xludf.DUMMYFUNCTION("""COMPUTED_VALUE"""),"")</f>
        <v/>
      </c>
      <c r="V57" s="16" t="str">
        <f>IFERROR(__xludf.DUMMYFUNCTION("""COMPUTED_VALUE"""),"")</f>
        <v/>
      </c>
      <c r="W57" s="16" t="str">
        <f>IFERROR(__xludf.DUMMYFUNCTION("""COMPUTED_VALUE"""),"")</f>
        <v/>
      </c>
      <c r="X57" s="16" t="str">
        <f>IFERROR(__xludf.DUMMYFUNCTION("""COMPUTED_VALUE"""),"")</f>
        <v/>
      </c>
      <c r="Y57" s="16" t="str">
        <f>IFERROR(__xludf.DUMMYFUNCTION("""COMPUTED_VALUE"""),"")</f>
        <v/>
      </c>
      <c r="Z57" s="16"/>
      <c r="AA57" s="16"/>
      <c r="AB57" s="16"/>
      <c r="AC57" s="16"/>
      <c r="AD57" s="16"/>
      <c r="AE57" s="16"/>
      <c r="AF57" s="16"/>
      <c r="AG57" s="16"/>
      <c r="AH57" s="16"/>
      <c r="AI57" s="16"/>
      <c r="AJ57" s="16"/>
      <c r="AK57" s="16"/>
      <c r="AL57" s="16"/>
      <c r="AM57" s="16"/>
      <c r="AN57" s="16"/>
      <c r="AO57" s="16"/>
      <c r="AP57" s="16"/>
      <c r="AQ57" s="16"/>
      <c r="AR57" s="16"/>
      <c r="AS57" s="16"/>
      <c r="AT57" s="16"/>
      <c r="AU57" s="16"/>
      <c r="AV57" s="16"/>
      <c r="AW57" s="16"/>
      <c r="AX57" s="16"/>
    </row>
    <row r="58">
      <c r="A58" s="16"/>
      <c r="B58" s="16"/>
      <c r="C58" s="16" t="str">
        <f>IFERROR(__xludf.DUMMYFUNCTION("""COMPUTED_VALUE"""),"")</f>
        <v/>
      </c>
      <c r="D58" s="16" t="str">
        <f>IFERROR(__xludf.DUMMYFUNCTION("""COMPUTED_VALUE"""),"")</f>
        <v/>
      </c>
      <c r="E58" s="16" t="str">
        <f>IFERROR(__xludf.DUMMYFUNCTION("""COMPUTED_VALUE"""),"")</f>
        <v/>
      </c>
      <c r="F58" s="16" t="str">
        <f>IFERROR(__xludf.DUMMYFUNCTION("""COMPUTED_VALUE"""),"")</f>
        <v/>
      </c>
      <c r="G58" s="16" t="str">
        <f>IFERROR(__xludf.DUMMYFUNCTION("""COMPUTED_VALUE"""),"")</f>
        <v/>
      </c>
      <c r="H58" s="16" t="str">
        <f>IFERROR(__xludf.DUMMYFUNCTION("""COMPUTED_VALUE"""),"")</f>
        <v/>
      </c>
      <c r="I58" s="16" t="str">
        <f>IFERROR(__xludf.DUMMYFUNCTION("""COMPUTED_VALUE"""),"")</f>
        <v/>
      </c>
      <c r="J58" s="16" t="str">
        <f>IFERROR(__xludf.DUMMYFUNCTION("""COMPUTED_VALUE"""),"")</f>
        <v/>
      </c>
      <c r="K58" s="16" t="str">
        <f>IFERROR(__xludf.DUMMYFUNCTION("""COMPUTED_VALUE"""),"")</f>
        <v/>
      </c>
      <c r="L58" s="16" t="str">
        <f>IFERROR(__xludf.DUMMYFUNCTION("""COMPUTED_VALUE"""),"")</f>
        <v/>
      </c>
      <c r="M58" s="16" t="str">
        <f>IFERROR(__xludf.DUMMYFUNCTION("""COMPUTED_VALUE"""),"")</f>
        <v/>
      </c>
      <c r="N58" s="16" t="str">
        <f>IFERROR(__xludf.DUMMYFUNCTION("""COMPUTED_VALUE"""),"")</f>
        <v/>
      </c>
      <c r="O58" s="16" t="str">
        <f>IFERROR(__xludf.DUMMYFUNCTION("""COMPUTED_VALUE"""),"")</f>
        <v/>
      </c>
      <c r="P58" s="16" t="str">
        <f>IFERROR(__xludf.DUMMYFUNCTION("""COMPUTED_VALUE"""),"")</f>
        <v/>
      </c>
      <c r="Q58" s="16" t="str">
        <f>IFERROR(__xludf.DUMMYFUNCTION("""COMPUTED_VALUE"""),"")</f>
        <v/>
      </c>
      <c r="R58" s="16" t="str">
        <f>IFERROR(__xludf.DUMMYFUNCTION("""COMPUTED_VALUE"""),"")</f>
        <v/>
      </c>
      <c r="S58" s="16" t="str">
        <f>IFERROR(__xludf.DUMMYFUNCTION("""COMPUTED_VALUE"""),"")</f>
        <v/>
      </c>
      <c r="T58" s="16" t="str">
        <f>IFERROR(__xludf.DUMMYFUNCTION("""COMPUTED_VALUE"""),"")</f>
        <v/>
      </c>
      <c r="U58" s="16" t="str">
        <f>IFERROR(__xludf.DUMMYFUNCTION("""COMPUTED_VALUE"""),"")</f>
        <v/>
      </c>
      <c r="V58" s="16" t="str">
        <f>IFERROR(__xludf.DUMMYFUNCTION("""COMPUTED_VALUE"""),"")</f>
        <v/>
      </c>
      <c r="W58" s="16" t="str">
        <f>IFERROR(__xludf.DUMMYFUNCTION("""COMPUTED_VALUE"""),"")</f>
        <v/>
      </c>
      <c r="X58" s="16" t="str">
        <f>IFERROR(__xludf.DUMMYFUNCTION("""COMPUTED_VALUE"""),"")</f>
        <v/>
      </c>
      <c r="Y58" s="16" t="str">
        <f>IFERROR(__xludf.DUMMYFUNCTION("""COMPUTED_VALUE"""),"")</f>
        <v/>
      </c>
      <c r="Z58" s="16"/>
      <c r="AA58" s="16"/>
      <c r="AB58" s="16"/>
      <c r="AC58" s="16"/>
      <c r="AD58" s="16"/>
      <c r="AE58" s="16"/>
      <c r="AF58" s="16"/>
      <c r="AG58" s="16"/>
      <c r="AH58" s="16"/>
      <c r="AI58" s="16"/>
      <c r="AJ58" s="16"/>
      <c r="AK58" s="16"/>
      <c r="AL58" s="16"/>
      <c r="AM58" s="16"/>
      <c r="AN58" s="16"/>
      <c r="AO58" s="16"/>
      <c r="AP58" s="16"/>
      <c r="AQ58" s="16"/>
      <c r="AR58" s="16"/>
      <c r="AS58" s="16"/>
      <c r="AT58" s="16"/>
      <c r="AU58" s="16"/>
      <c r="AV58" s="16"/>
      <c r="AW58" s="16"/>
      <c r="AX58" s="16"/>
    </row>
    <row r="59">
      <c r="A59" s="16"/>
      <c r="B59" s="16"/>
      <c r="C59" s="16" t="str">
        <f>IFERROR(__xludf.DUMMYFUNCTION("""COMPUTED_VALUE"""),"")</f>
        <v/>
      </c>
      <c r="D59" s="16" t="str">
        <f>IFERROR(__xludf.DUMMYFUNCTION("""COMPUTED_VALUE"""),"")</f>
        <v/>
      </c>
      <c r="E59" s="16" t="str">
        <f>IFERROR(__xludf.DUMMYFUNCTION("""COMPUTED_VALUE"""),"")</f>
        <v/>
      </c>
      <c r="F59" s="16" t="str">
        <f>IFERROR(__xludf.DUMMYFUNCTION("""COMPUTED_VALUE"""),"")</f>
        <v/>
      </c>
      <c r="G59" s="16" t="str">
        <f>IFERROR(__xludf.DUMMYFUNCTION("""COMPUTED_VALUE"""),"")</f>
        <v/>
      </c>
      <c r="H59" s="16" t="str">
        <f>IFERROR(__xludf.DUMMYFUNCTION("""COMPUTED_VALUE"""),"")</f>
        <v/>
      </c>
      <c r="I59" s="16" t="str">
        <f>IFERROR(__xludf.DUMMYFUNCTION("""COMPUTED_VALUE"""),"")</f>
        <v/>
      </c>
      <c r="J59" s="16" t="str">
        <f>IFERROR(__xludf.DUMMYFUNCTION("""COMPUTED_VALUE"""),"")</f>
        <v/>
      </c>
      <c r="K59" s="16" t="str">
        <f>IFERROR(__xludf.DUMMYFUNCTION("""COMPUTED_VALUE"""),"")</f>
        <v/>
      </c>
      <c r="L59" s="16" t="str">
        <f>IFERROR(__xludf.DUMMYFUNCTION("""COMPUTED_VALUE"""),"")</f>
        <v/>
      </c>
      <c r="M59" s="16" t="str">
        <f>IFERROR(__xludf.DUMMYFUNCTION("""COMPUTED_VALUE"""),"")</f>
        <v/>
      </c>
      <c r="N59" s="16" t="str">
        <f>IFERROR(__xludf.DUMMYFUNCTION("""COMPUTED_VALUE"""),"")</f>
        <v/>
      </c>
      <c r="O59" s="16" t="str">
        <f>IFERROR(__xludf.DUMMYFUNCTION("""COMPUTED_VALUE"""),"")</f>
        <v/>
      </c>
      <c r="P59" s="16" t="str">
        <f>IFERROR(__xludf.DUMMYFUNCTION("""COMPUTED_VALUE"""),"")</f>
        <v/>
      </c>
      <c r="Q59" s="16" t="str">
        <f>IFERROR(__xludf.DUMMYFUNCTION("""COMPUTED_VALUE"""),"")</f>
        <v/>
      </c>
      <c r="R59" s="16" t="str">
        <f>IFERROR(__xludf.DUMMYFUNCTION("""COMPUTED_VALUE"""),"")</f>
        <v/>
      </c>
      <c r="S59" s="16" t="str">
        <f>IFERROR(__xludf.DUMMYFUNCTION("""COMPUTED_VALUE"""),"")</f>
        <v/>
      </c>
      <c r="T59" s="16" t="str">
        <f>IFERROR(__xludf.DUMMYFUNCTION("""COMPUTED_VALUE"""),"")</f>
        <v/>
      </c>
      <c r="U59" s="16" t="str">
        <f>IFERROR(__xludf.DUMMYFUNCTION("""COMPUTED_VALUE"""),"")</f>
        <v/>
      </c>
      <c r="V59" s="16" t="str">
        <f>IFERROR(__xludf.DUMMYFUNCTION("""COMPUTED_VALUE"""),"")</f>
        <v/>
      </c>
      <c r="W59" s="16" t="str">
        <f>IFERROR(__xludf.DUMMYFUNCTION("""COMPUTED_VALUE"""),"")</f>
        <v/>
      </c>
      <c r="X59" s="16" t="str">
        <f>IFERROR(__xludf.DUMMYFUNCTION("""COMPUTED_VALUE"""),"")</f>
        <v/>
      </c>
      <c r="Y59" s="16" t="str">
        <f>IFERROR(__xludf.DUMMYFUNCTION("""COMPUTED_VALUE"""),"")</f>
        <v/>
      </c>
      <c r="Z59" s="16"/>
      <c r="AA59" s="16"/>
      <c r="AB59" s="16"/>
      <c r="AC59" s="16"/>
      <c r="AD59" s="16"/>
      <c r="AE59" s="16"/>
      <c r="AF59" s="16"/>
      <c r="AG59" s="16"/>
      <c r="AH59" s="16"/>
      <c r="AI59" s="16"/>
      <c r="AJ59" s="16"/>
      <c r="AK59" s="16"/>
      <c r="AL59" s="16"/>
      <c r="AM59" s="16"/>
      <c r="AN59" s="16"/>
      <c r="AO59" s="16"/>
      <c r="AP59" s="16"/>
      <c r="AQ59" s="16"/>
      <c r="AR59" s="16"/>
      <c r="AS59" s="16"/>
      <c r="AT59" s="16"/>
      <c r="AU59" s="16"/>
      <c r="AV59" s="16"/>
      <c r="AW59" s="16"/>
      <c r="AX59" s="16"/>
    </row>
    <row r="60">
      <c r="A60" s="16"/>
      <c r="B60" s="16"/>
      <c r="C60" s="16" t="str">
        <f>IFERROR(__xludf.DUMMYFUNCTION("""COMPUTED_VALUE"""),"")</f>
        <v/>
      </c>
      <c r="D60" s="16" t="str">
        <f>IFERROR(__xludf.DUMMYFUNCTION("""COMPUTED_VALUE"""),"")</f>
        <v/>
      </c>
      <c r="E60" s="16" t="str">
        <f>IFERROR(__xludf.DUMMYFUNCTION("""COMPUTED_VALUE"""),"")</f>
        <v/>
      </c>
      <c r="F60" s="16" t="str">
        <f>IFERROR(__xludf.DUMMYFUNCTION("""COMPUTED_VALUE"""),"")</f>
        <v/>
      </c>
      <c r="G60" s="16" t="str">
        <f>IFERROR(__xludf.DUMMYFUNCTION("""COMPUTED_VALUE"""),"")</f>
        <v/>
      </c>
      <c r="H60" s="16" t="str">
        <f>IFERROR(__xludf.DUMMYFUNCTION("""COMPUTED_VALUE"""),"")</f>
        <v/>
      </c>
      <c r="I60" s="16" t="str">
        <f>IFERROR(__xludf.DUMMYFUNCTION("""COMPUTED_VALUE"""),"")</f>
        <v/>
      </c>
      <c r="J60" s="16" t="str">
        <f>IFERROR(__xludf.DUMMYFUNCTION("""COMPUTED_VALUE"""),"")</f>
        <v/>
      </c>
      <c r="K60" s="16" t="str">
        <f>IFERROR(__xludf.DUMMYFUNCTION("""COMPUTED_VALUE"""),"")</f>
        <v/>
      </c>
      <c r="L60" s="16" t="str">
        <f>IFERROR(__xludf.DUMMYFUNCTION("""COMPUTED_VALUE"""),"")</f>
        <v/>
      </c>
      <c r="M60" s="16" t="str">
        <f>IFERROR(__xludf.DUMMYFUNCTION("""COMPUTED_VALUE"""),"")</f>
        <v/>
      </c>
      <c r="N60" s="16" t="str">
        <f>IFERROR(__xludf.DUMMYFUNCTION("""COMPUTED_VALUE"""),"")</f>
        <v/>
      </c>
      <c r="O60" s="16" t="str">
        <f>IFERROR(__xludf.DUMMYFUNCTION("""COMPUTED_VALUE"""),"")</f>
        <v/>
      </c>
      <c r="P60" s="16" t="str">
        <f>IFERROR(__xludf.DUMMYFUNCTION("""COMPUTED_VALUE"""),"")</f>
        <v/>
      </c>
      <c r="Q60" s="16" t="str">
        <f>IFERROR(__xludf.DUMMYFUNCTION("""COMPUTED_VALUE"""),"")</f>
        <v/>
      </c>
      <c r="R60" s="16" t="str">
        <f>IFERROR(__xludf.DUMMYFUNCTION("""COMPUTED_VALUE"""),"")</f>
        <v/>
      </c>
      <c r="S60" s="16" t="str">
        <f>IFERROR(__xludf.DUMMYFUNCTION("""COMPUTED_VALUE"""),"")</f>
        <v/>
      </c>
      <c r="T60" s="16" t="str">
        <f>IFERROR(__xludf.DUMMYFUNCTION("""COMPUTED_VALUE"""),"")</f>
        <v/>
      </c>
      <c r="U60" s="16" t="str">
        <f>IFERROR(__xludf.DUMMYFUNCTION("""COMPUTED_VALUE"""),"")</f>
        <v/>
      </c>
      <c r="V60" s="16" t="str">
        <f>IFERROR(__xludf.DUMMYFUNCTION("""COMPUTED_VALUE"""),"")</f>
        <v/>
      </c>
      <c r="W60" s="16" t="str">
        <f>IFERROR(__xludf.DUMMYFUNCTION("""COMPUTED_VALUE"""),"")</f>
        <v/>
      </c>
      <c r="X60" s="16" t="str">
        <f>IFERROR(__xludf.DUMMYFUNCTION("""COMPUTED_VALUE"""),"")</f>
        <v/>
      </c>
      <c r="Y60" s="16" t="str">
        <f>IFERROR(__xludf.DUMMYFUNCTION("""COMPUTED_VALUE"""),"")</f>
        <v/>
      </c>
      <c r="Z60" s="16"/>
      <c r="AA60" s="16"/>
      <c r="AB60" s="16"/>
      <c r="AC60" s="16"/>
      <c r="AD60" s="16"/>
      <c r="AE60" s="16"/>
      <c r="AF60" s="16"/>
      <c r="AG60" s="16"/>
      <c r="AH60" s="16"/>
      <c r="AI60" s="16"/>
      <c r="AJ60" s="16"/>
      <c r="AK60" s="16"/>
      <c r="AL60" s="16"/>
      <c r="AM60" s="16"/>
      <c r="AN60" s="16"/>
      <c r="AO60" s="16"/>
      <c r="AP60" s="16"/>
      <c r="AQ60" s="16"/>
      <c r="AR60" s="16"/>
      <c r="AS60" s="16"/>
      <c r="AT60" s="16"/>
      <c r="AU60" s="16"/>
      <c r="AV60" s="16"/>
      <c r="AW60" s="16"/>
      <c r="AX60" s="16"/>
    </row>
    <row r="61">
      <c r="A61" s="16"/>
      <c r="B61" s="16"/>
      <c r="C61" s="16" t="str">
        <f>IFERROR(__xludf.DUMMYFUNCTION("""COMPUTED_VALUE"""),"")</f>
        <v/>
      </c>
      <c r="D61" s="16" t="str">
        <f>IFERROR(__xludf.DUMMYFUNCTION("""COMPUTED_VALUE"""),"")</f>
        <v/>
      </c>
      <c r="E61" s="16" t="str">
        <f>IFERROR(__xludf.DUMMYFUNCTION("""COMPUTED_VALUE"""),"")</f>
        <v/>
      </c>
      <c r="F61" s="16" t="str">
        <f>IFERROR(__xludf.DUMMYFUNCTION("""COMPUTED_VALUE"""),"")</f>
        <v/>
      </c>
      <c r="G61" s="16" t="str">
        <f>IFERROR(__xludf.DUMMYFUNCTION("""COMPUTED_VALUE"""),"")</f>
        <v/>
      </c>
      <c r="H61" s="16" t="str">
        <f>IFERROR(__xludf.DUMMYFUNCTION("""COMPUTED_VALUE"""),"")</f>
        <v/>
      </c>
      <c r="I61" s="16" t="str">
        <f>IFERROR(__xludf.DUMMYFUNCTION("""COMPUTED_VALUE"""),"")</f>
        <v/>
      </c>
      <c r="J61" s="16" t="str">
        <f>IFERROR(__xludf.DUMMYFUNCTION("""COMPUTED_VALUE"""),"")</f>
        <v/>
      </c>
      <c r="K61" s="16" t="str">
        <f>IFERROR(__xludf.DUMMYFUNCTION("""COMPUTED_VALUE"""),"")</f>
        <v/>
      </c>
      <c r="L61" s="16" t="str">
        <f>IFERROR(__xludf.DUMMYFUNCTION("""COMPUTED_VALUE"""),"")</f>
        <v/>
      </c>
      <c r="M61" s="16" t="str">
        <f>IFERROR(__xludf.DUMMYFUNCTION("""COMPUTED_VALUE"""),"")</f>
        <v/>
      </c>
      <c r="N61" s="16" t="str">
        <f>IFERROR(__xludf.DUMMYFUNCTION("""COMPUTED_VALUE"""),"")</f>
        <v/>
      </c>
      <c r="O61" s="16" t="str">
        <f>IFERROR(__xludf.DUMMYFUNCTION("""COMPUTED_VALUE"""),"")</f>
        <v/>
      </c>
      <c r="P61" s="16" t="str">
        <f>IFERROR(__xludf.DUMMYFUNCTION("""COMPUTED_VALUE"""),"")</f>
        <v/>
      </c>
      <c r="Q61" s="16" t="str">
        <f>IFERROR(__xludf.DUMMYFUNCTION("""COMPUTED_VALUE"""),"")</f>
        <v/>
      </c>
      <c r="R61" s="16" t="str">
        <f>IFERROR(__xludf.DUMMYFUNCTION("""COMPUTED_VALUE"""),"")</f>
        <v/>
      </c>
      <c r="S61" s="16" t="str">
        <f>IFERROR(__xludf.DUMMYFUNCTION("""COMPUTED_VALUE"""),"")</f>
        <v/>
      </c>
      <c r="T61" s="16" t="str">
        <f>IFERROR(__xludf.DUMMYFUNCTION("""COMPUTED_VALUE"""),"")</f>
        <v/>
      </c>
      <c r="U61" s="16" t="str">
        <f>IFERROR(__xludf.DUMMYFUNCTION("""COMPUTED_VALUE"""),"")</f>
        <v/>
      </c>
      <c r="V61" s="16" t="str">
        <f>IFERROR(__xludf.DUMMYFUNCTION("""COMPUTED_VALUE"""),"")</f>
        <v/>
      </c>
      <c r="W61" s="16" t="str">
        <f>IFERROR(__xludf.DUMMYFUNCTION("""COMPUTED_VALUE"""),"")</f>
        <v/>
      </c>
      <c r="X61" s="16" t="str">
        <f>IFERROR(__xludf.DUMMYFUNCTION("""COMPUTED_VALUE"""),"")</f>
        <v/>
      </c>
      <c r="Y61" s="16" t="str">
        <f>IFERROR(__xludf.DUMMYFUNCTION("""COMPUTED_VALUE"""),"")</f>
        <v/>
      </c>
      <c r="Z61" s="16"/>
      <c r="AA61" s="16"/>
      <c r="AB61" s="16"/>
      <c r="AC61" s="16"/>
      <c r="AD61" s="16"/>
      <c r="AE61" s="16"/>
      <c r="AF61" s="16"/>
      <c r="AG61" s="16"/>
      <c r="AH61" s="16"/>
      <c r="AI61" s="16"/>
      <c r="AJ61" s="16"/>
      <c r="AK61" s="16"/>
      <c r="AL61" s="16"/>
      <c r="AM61" s="16"/>
      <c r="AN61" s="16"/>
      <c r="AO61" s="16"/>
      <c r="AP61" s="16"/>
      <c r="AQ61" s="16"/>
      <c r="AR61" s="16"/>
      <c r="AS61" s="16"/>
      <c r="AT61" s="16"/>
      <c r="AU61" s="16"/>
      <c r="AV61" s="16"/>
      <c r="AW61" s="16"/>
      <c r="AX61" s="16"/>
    </row>
    <row r="62">
      <c r="A62" s="16"/>
      <c r="B62" s="16"/>
      <c r="C62" s="16" t="str">
        <f>IFERROR(__xludf.DUMMYFUNCTION("""COMPUTED_VALUE"""),"")</f>
        <v/>
      </c>
      <c r="D62" s="16" t="str">
        <f>IFERROR(__xludf.DUMMYFUNCTION("""COMPUTED_VALUE"""),"")</f>
        <v/>
      </c>
      <c r="E62" s="16" t="str">
        <f>IFERROR(__xludf.DUMMYFUNCTION("""COMPUTED_VALUE"""),"")</f>
        <v/>
      </c>
      <c r="F62" s="16" t="str">
        <f>IFERROR(__xludf.DUMMYFUNCTION("""COMPUTED_VALUE"""),"")</f>
        <v/>
      </c>
      <c r="G62" s="16" t="str">
        <f>IFERROR(__xludf.DUMMYFUNCTION("""COMPUTED_VALUE"""),"")</f>
        <v/>
      </c>
      <c r="H62" s="16" t="str">
        <f>IFERROR(__xludf.DUMMYFUNCTION("""COMPUTED_VALUE"""),"")</f>
        <v/>
      </c>
      <c r="I62" s="16" t="str">
        <f>IFERROR(__xludf.DUMMYFUNCTION("""COMPUTED_VALUE"""),"")</f>
        <v/>
      </c>
      <c r="J62" s="16" t="str">
        <f>IFERROR(__xludf.DUMMYFUNCTION("""COMPUTED_VALUE"""),"")</f>
        <v/>
      </c>
      <c r="K62" s="16" t="str">
        <f>IFERROR(__xludf.DUMMYFUNCTION("""COMPUTED_VALUE"""),"")</f>
        <v/>
      </c>
      <c r="L62" s="16" t="str">
        <f>IFERROR(__xludf.DUMMYFUNCTION("""COMPUTED_VALUE"""),"")</f>
        <v/>
      </c>
      <c r="M62" s="16" t="str">
        <f>IFERROR(__xludf.DUMMYFUNCTION("""COMPUTED_VALUE"""),"")</f>
        <v/>
      </c>
      <c r="N62" s="16" t="str">
        <f>IFERROR(__xludf.DUMMYFUNCTION("""COMPUTED_VALUE"""),"")</f>
        <v/>
      </c>
      <c r="O62" s="16" t="str">
        <f>IFERROR(__xludf.DUMMYFUNCTION("""COMPUTED_VALUE"""),"")</f>
        <v/>
      </c>
      <c r="P62" s="16" t="str">
        <f>IFERROR(__xludf.DUMMYFUNCTION("""COMPUTED_VALUE"""),"")</f>
        <v/>
      </c>
      <c r="Q62" s="16" t="str">
        <f>IFERROR(__xludf.DUMMYFUNCTION("""COMPUTED_VALUE"""),"")</f>
        <v/>
      </c>
      <c r="R62" s="16" t="str">
        <f>IFERROR(__xludf.DUMMYFUNCTION("""COMPUTED_VALUE"""),"")</f>
        <v/>
      </c>
      <c r="S62" s="16" t="str">
        <f>IFERROR(__xludf.DUMMYFUNCTION("""COMPUTED_VALUE"""),"")</f>
        <v/>
      </c>
      <c r="T62" s="16" t="str">
        <f>IFERROR(__xludf.DUMMYFUNCTION("""COMPUTED_VALUE"""),"")</f>
        <v/>
      </c>
      <c r="U62" s="16" t="str">
        <f>IFERROR(__xludf.DUMMYFUNCTION("""COMPUTED_VALUE"""),"")</f>
        <v/>
      </c>
      <c r="V62" s="16" t="str">
        <f>IFERROR(__xludf.DUMMYFUNCTION("""COMPUTED_VALUE"""),"")</f>
        <v/>
      </c>
      <c r="W62" s="16" t="str">
        <f>IFERROR(__xludf.DUMMYFUNCTION("""COMPUTED_VALUE"""),"")</f>
        <v/>
      </c>
      <c r="X62" s="16" t="str">
        <f>IFERROR(__xludf.DUMMYFUNCTION("""COMPUTED_VALUE"""),"")</f>
        <v/>
      </c>
      <c r="Y62" s="16" t="str">
        <f>IFERROR(__xludf.DUMMYFUNCTION("""COMPUTED_VALUE"""),"")</f>
        <v/>
      </c>
      <c r="Z62" s="16"/>
      <c r="AA62" s="16"/>
      <c r="AB62" s="16"/>
      <c r="AC62" s="16"/>
      <c r="AD62" s="16"/>
      <c r="AE62" s="16"/>
      <c r="AF62" s="16"/>
      <c r="AG62" s="16"/>
      <c r="AH62" s="16"/>
      <c r="AI62" s="16"/>
      <c r="AJ62" s="16"/>
      <c r="AK62" s="16"/>
      <c r="AL62" s="16"/>
      <c r="AM62" s="16"/>
      <c r="AN62" s="16"/>
      <c r="AO62" s="16"/>
      <c r="AP62" s="16"/>
      <c r="AQ62" s="16"/>
      <c r="AR62" s="16"/>
      <c r="AS62" s="16"/>
      <c r="AT62" s="16"/>
      <c r="AU62" s="16"/>
      <c r="AV62" s="16"/>
      <c r="AW62" s="16"/>
      <c r="AX62" s="16"/>
    </row>
    <row r="63">
      <c r="A63" s="16"/>
      <c r="B63" s="16"/>
      <c r="C63" s="16" t="str">
        <f>IFERROR(__xludf.DUMMYFUNCTION("""COMPUTED_VALUE"""),"")</f>
        <v/>
      </c>
      <c r="D63" s="16" t="str">
        <f>IFERROR(__xludf.DUMMYFUNCTION("""COMPUTED_VALUE"""),"")</f>
        <v/>
      </c>
      <c r="E63" s="16" t="str">
        <f>IFERROR(__xludf.DUMMYFUNCTION("""COMPUTED_VALUE"""),"")</f>
        <v/>
      </c>
      <c r="F63" s="16" t="str">
        <f>IFERROR(__xludf.DUMMYFUNCTION("""COMPUTED_VALUE"""),"")</f>
        <v/>
      </c>
      <c r="G63" s="16" t="str">
        <f>IFERROR(__xludf.DUMMYFUNCTION("""COMPUTED_VALUE"""),"")</f>
        <v/>
      </c>
      <c r="H63" s="16" t="str">
        <f>IFERROR(__xludf.DUMMYFUNCTION("""COMPUTED_VALUE"""),"")</f>
        <v/>
      </c>
      <c r="I63" s="16" t="str">
        <f>IFERROR(__xludf.DUMMYFUNCTION("""COMPUTED_VALUE"""),"")</f>
        <v/>
      </c>
      <c r="J63" s="16" t="str">
        <f>IFERROR(__xludf.DUMMYFUNCTION("""COMPUTED_VALUE"""),"")</f>
        <v/>
      </c>
      <c r="K63" s="16" t="str">
        <f>IFERROR(__xludf.DUMMYFUNCTION("""COMPUTED_VALUE"""),"")</f>
        <v/>
      </c>
      <c r="L63" s="16" t="str">
        <f>IFERROR(__xludf.DUMMYFUNCTION("""COMPUTED_VALUE"""),"")</f>
        <v/>
      </c>
      <c r="M63" s="16" t="str">
        <f>IFERROR(__xludf.DUMMYFUNCTION("""COMPUTED_VALUE"""),"")</f>
        <v/>
      </c>
      <c r="N63" s="16" t="str">
        <f>IFERROR(__xludf.DUMMYFUNCTION("""COMPUTED_VALUE"""),"")</f>
        <v/>
      </c>
      <c r="O63" s="16" t="str">
        <f>IFERROR(__xludf.DUMMYFUNCTION("""COMPUTED_VALUE"""),"")</f>
        <v/>
      </c>
      <c r="P63" s="16" t="str">
        <f>IFERROR(__xludf.DUMMYFUNCTION("""COMPUTED_VALUE"""),"")</f>
        <v/>
      </c>
      <c r="Q63" s="16" t="str">
        <f>IFERROR(__xludf.DUMMYFUNCTION("""COMPUTED_VALUE"""),"")</f>
        <v/>
      </c>
      <c r="R63" s="16" t="str">
        <f>IFERROR(__xludf.DUMMYFUNCTION("""COMPUTED_VALUE"""),"")</f>
        <v/>
      </c>
      <c r="S63" s="16" t="str">
        <f>IFERROR(__xludf.DUMMYFUNCTION("""COMPUTED_VALUE"""),"")</f>
        <v/>
      </c>
      <c r="T63" s="16" t="str">
        <f>IFERROR(__xludf.DUMMYFUNCTION("""COMPUTED_VALUE"""),"")</f>
        <v/>
      </c>
      <c r="U63" s="16" t="str">
        <f>IFERROR(__xludf.DUMMYFUNCTION("""COMPUTED_VALUE"""),"")</f>
        <v/>
      </c>
      <c r="V63" s="16" t="str">
        <f>IFERROR(__xludf.DUMMYFUNCTION("""COMPUTED_VALUE"""),"")</f>
        <v/>
      </c>
      <c r="W63" s="16" t="str">
        <f>IFERROR(__xludf.DUMMYFUNCTION("""COMPUTED_VALUE"""),"")</f>
        <v/>
      </c>
      <c r="X63" s="16" t="str">
        <f>IFERROR(__xludf.DUMMYFUNCTION("""COMPUTED_VALUE"""),"")</f>
        <v/>
      </c>
      <c r="Y63" s="16" t="str">
        <f>IFERROR(__xludf.DUMMYFUNCTION("""COMPUTED_VALUE"""),"")</f>
        <v/>
      </c>
      <c r="Z63" s="16"/>
      <c r="AA63" s="16"/>
      <c r="AB63" s="16"/>
      <c r="AC63" s="16"/>
      <c r="AD63" s="16"/>
      <c r="AE63" s="16"/>
      <c r="AF63" s="16"/>
      <c r="AG63" s="16"/>
      <c r="AH63" s="16"/>
      <c r="AI63" s="16"/>
      <c r="AJ63" s="16"/>
      <c r="AK63" s="16"/>
      <c r="AL63" s="16"/>
      <c r="AM63" s="16"/>
      <c r="AN63" s="16"/>
      <c r="AO63" s="16"/>
      <c r="AP63" s="16"/>
      <c r="AQ63" s="16"/>
      <c r="AR63" s="16"/>
      <c r="AS63" s="16"/>
      <c r="AT63" s="16"/>
      <c r="AU63" s="16"/>
      <c r="AV63" s="16"/>
      <c r="AW63" s="16"/>
      <c r="AX63" s="16"/>
    </row>
    <row r="64">
      <c r="A64" s="16"/>
      <c r="B64" s="16"/>
      <c r="C64" s="16" t="str">
        <f>IFERROR(__xludf.DUMMYFUNCTION("""COMPUTED_VALUE"""),"")</f>
        <v/>
      </c>
      <c r="D64" s="16" t="str">
        <f>IFERROR(__xludf.DUMMYFUNCTION("""COMPUTED_VALUE"""),"")</f>
        <v/>
      </c>
      <c r="E64" s="16" t="str">
        <f>IFERROR(__xludf.DUMMYFUNCTION("""COMPUTED_VALUE"""),"")</f>
        <v/>
      </c>
      <c r="F64" s="16" t="str">
        <f>IFERROR(__xludf.DUMMYFUNCTION("""COMPUTED_VALUE"""),"")</f>
        <v/>
      </c>
      <c r="G64" s="16" t="str">
        <f>IFERROR(__xludf.DUMMYFUNCTION("""COMPUTED_VALUE"""),"")</f>
        <v/>
      </c>
      <c r="H64" s="16" t="str">
        <f>IFERROR(__xludf.DUMMYFUNCTION("""COMPUTED_VALUE"""),"")</f>
        <v/>
      </c>
      <c r="I64" s="16" t="str">
        <f>IFERROR(__xludf.DUMMYFUNCTION("""COMPUTED_VALUE"""),"")</f>
        <v/>
      </c>
      <c r="J64" s="16" t="str">
        <f>IFERROR(__xludf.DUMMYFUNCTION("""COMPUTED_VALUE"""),"")</f>
        <v/>
      </c>
      <c r="K64" s="16" t="str">
        <f>IFERROR(__xludf.DUMMYFUNCTION("""COMPUTED_VALUE"""),"")</f>
        <v/>
      </c>
      <c r="L64" s="16" t="str">
        <f>IFERROR(__xludf.DUMMYFUNCTION("""COMPUTED_VALUE"""),"")</f>
        <v/>
      </c>
      <c r="M64" s="16" t="str">
        <f>IFERROR(__xludf.DUMMYFUNCTION("""COMPUTED_VALUE"""),"")</f>
        <v/>
      </c>
      <c r="N64" s="16" t="str">
        <f>IFERROR(__xludf.DUMMYFUNCTION("""COMPUTED_VALUE"""),"")</f>
        <v/>
      </c>
      <c r="O64" s="16" t="str">
        <f>IFERROR(__xludf.DUMMYFUNCTION("""COMPUTED_VALUE"""),"")</f>
        <v/>
      </c>
      <c r="P64" s="16" t="str">
        <f>IFERROR(__xludf.DUMMYFUNCTION("""COMPUTED_VALUE"""),"")</f>
        <v/>
      </c>
      <c r="Q64" s="16" t="str">
        <f>IFERROR(__xludf.DUMMYFUNCTION("""COMPUTED_VALUE"""),"")</f>
        <v/>
      </c>
      <c r="R64" s="16" t="str">
        <f>IFERROR(__xludf.DUMMYFUNCTION("""COMPUTED_VALUE"""),"")</f>
        <v/>
      </c>
      <c r="S64" s="16" t="str">
        <f>IFERROR(__xludf.DUMMYFUNCTION("""COMPUTED_VALUE"""),"")</f>
        <v/>
      </c>
      <c r="T64" s="16" t="str">
        <f>IFERROR(__xludf.DUMMYFUNCTION("""COMPUTED_VALUE"""),"")</f>
        <v/>
      </c>
      <c r="U64" s="16" t="str">
        <f>IFERROR(__xludf.DUMMYFUNCTION("""COMPUTED_VALUE"""),"")</f>
        <v/>
      </c>
      <c r="V64" s="16" t="str">
        <f>IFERROR(__xludf.DUMMYFUNCTION("""COMPUTED_VALUE"""),"")</f>
        <v/>
      </c>
      <c r="W64" s="16" t="str">
        <f>IFERROR(__xludf.DUMMYFUNCTION("""COMPUTED_VALUE"""),"")</f>
        <v/>
      </c>
      <c r="X64" s="16" t="str">
        <f>IFERROR(__xludf.DUMMYFUNCTION("""COMPUTED_VALUE"""),"")</f>
        <v/>
      </c>
      <c r="Y64" s="16" t="str">
        <f>IFERROR(__xludf.DUMMYFUNCTION("""COMPUTED_VALUE"""),"")</f>
        <v/>
      </c>
      <c r="Z64" s="16"/>
      <c r="AA64" s="16"/>
      <c r="AB64" s="16"/>
      <c r="AC64" s="16"/>
      <c r="AD64" s="16"/>
      <c r="AE64" s="16"/>
      <c r="AF64" s="16"/>
      <c r="AG64" s="16"/>
      <c r="AH64" s="16"/>
      <c r="AI64" s="16"/>
      <c r="AJ64" s="16"/>
      <c r="AK64" s="16"/>
      <c r="AL64" s="16"/>
      <c r="AM64" s="16"/>
      <c r="AN64" s="16"/>
      <c r="AO64" s="16"/>
      <c r="AP64" s="16"/>
      <c r="AQ64" s="16"/>
      <c r="AR64" s="16"/>
      <c r="AS64" s="16"/>
      <c r="AT64" s="16"/>
      <c r="AU64" s="16"/>
      <c r="AV64" s="16"/>
      <c r="AW64" s="16"/>
      <c r="AX64" s="16"/>
    </row>
    <row r="65">
      <c r="A65" s="16"/>
      <c r="B65" s="16"/>
      <c r="C65" s="16" t="str">
        <f>IFERROR(__xludf.DUMMYFUNCTION("""COMPUTED_VALUE"""),"")</f>
        <v/>
      </c>
      <c r="D65" s="16" t="str">
        <f>IFERROR(__xludf.DUMMYFUNCTION("""COMPUTED_VALUE"""),"")</f>
        <v/>
      </c>
      <c r="E65" s="16" t="str">
        <f>IFERROR(__xludf.DUMMYFUNCTION("""COMPUTED_VALUE"""),"")</f>
        <v/>
      </c>
      <c r="F65" s="16" t="str">
        <f>IFERROR(__xludf.DUMMYFUNCTION("""COMPUTED_VALUE"""),"")</f>
        <v/>
      </c>
      <c r="G65" s="16" t="str">
        <f>IFERROR(__xludf.DUMMYFUNCTION("""COMPUTED_VALUE"""),"")</f>
        <v/>
      </c>
      <c r="H65" s="16" t="str">
        <f>IFERROR(__xludf.DUMMYFUNCTION("""COMPUTED_VALUE"""),"")</f>
        <v/>
      </c>
      <c r="I65" s="16" t="str">
        <f>IFERROR(__xludf.DUMMYFUNCTION("""COMPUTED_VALUE"""),"")</f>
        <v/>
      </c>
      <c r="J65" s="16" t="str">
        <f>IFERROR(__xludf.DUMMYFUNCTION("""COMPUTED_VALUE"""),"")</f>
        <v/>
      </c>
      <c r="K65" s="16" t="str">
        <f>IFERROR(__xludf.DUMMYFUNCTION("""COMPUTED_VALUE"""),"")</f>
        <v/>
      </c>
      <c r="L65" s="16" t="str">
        <f>IFERROR(__xludf.DUMMYFUNCTION("""COMPUTED_VALUE"""),"")</f>
        <v/>
      </c>
      <c r="M65" s="16" t="str">
        <f>IFERROR(__xludf.DUMMYFUNCTION("""COMPUTED_VALUE"""),"")</f>
        <v/>
      </c>
      <c r="N65" s="16" t="str">
        <f>IFERROR(__xludf.DUMMYFUNCTION("""COMPUTED_VALUE"""),"")</f>
        <v/>
      </c>
      <c r="O65" s="16" t="str">
        <f>IFERROR(__xludf.DUMMYFUNCTION("""COMPUTED_VALUE"""),"")</f>
        <v/>
      </c>
      <c r="P65" s="16" t="str">
        <f>IFERROR(__xludf.DUMMYFUNCTION("""COMPUTED_VALUE"""),"")</f>
        <v/>
      </c>
      <c r="Q65" s="16" t="str">
        <f>IFERROR(__xludf.DUMMYFUNCTION("""COMPUTED_VALUE"""),"")</f>
        <v/>
      </c>
      <c r="R65" s="16" t="str">
        <f>IFERROR(__xludf.DUMMYFUNCTION("""COMPUTED_VALUE"""),"")</f>
        <v/>
      </c>
      <c r="S65" s="16" t="str">
        <f>IFERROR(__xludf.DUMMYFUNCTION("""COMPUTED_VALUE"""),"")</f>
        <v/>
      </c>
      <c r="T65" s="16" t="str">
        <f>IFERROR(__xludf.DUMMYFUNCTION("""COMPUTED_VALUE"""),"")</f>
        <v/>
      </c>
      <c r="U65" s="16" t="str">
        <f>IFERROR(__xludf.DUMMYFUNCTION("""COMPUTED_VALUE"""),"")</f>
        <v/>
      </c>
      <c r="V65" s="16" t="str">
        <f>IFERROR(__xludf.DUMMYFUNCTION("""COMPUTED_VALUE"""),"")</f>
        <v/>
      </c>
      <c r="W65" s="16" t="str">
        <f>IFERROR(__xludf.DUMMYFUNCTION("""COMPUTED_VALUE"""),"")</f>
        <v/>
      </c>
      <c r="X65" s="16" t="str">
        <f>IFERROR(__xludf.DUMMYFUNCTION("""COMPUTED_VALUE"""),"")</f>
        <v/>
      </c>
      <c r="Y65" s="16" t="str">
        <f>IFERROR(__xludf.DUMMYFUNCTION("""COMPUTED_VALUE"""),"")</f>
        <v/>
      </c>
      <c r="Z65" s="16"/>
      <c r="AA65" s="16"/>
      <c r="AB65" s="16"/>
      <c r="AC65" s="16"/>
      <c r="AD65" s="16"/>
      <c r="AE65" s="16"/>
      <c r="AF65" s="16"/>
      <c r="AG65" s="16"/>
      <c r="AH65" s="16"/>
      <c r="AI65" s="16"/>
      <c r="AJ65" s="16"/>
      <c r="AK65" s="16"/>
      <c r="AL65" s="16"/>
      <c r="AM65" s="16"/>
      <c r="AN65" s="16"/>
      <c r="AO65" s="16"/>
      <c r="AP65" s="16"/>
      <c r="AQ65" s="16"/>
      <c r="AR65" s="16"/>
      <c r="AS65" s="16"/>
      <c r="AT65" s="16"/>
      <c r="AU65" s="16"/>
      <c r="AV65" s="16"/>
      <c r="AW65" s="16"/>
      <c r="AX65" s="16"/>
    </row>
    <row r="66">
      <c r="A66" s="16"/>
      <c r="B66" s="16"/>
      <c r="C66" s="16" t="str">
        <f>IFERROR(__xludf.DUMMYFUNCTION("""COMPUTED_VALUE"""),"")</f>
        <v/>
      </c>
      <c r="D66" s="16" t="str">
        <f>IFERROR(__xludf.DUMMYFUNCTION("""COMPUTED_VALUE"""),"")</f>
        <v/>
      </c>
      <c r="E66" s="16" t="str">
        <f>IFERROR(__xludf.DUMMYFUNCTION("""COMPUTED_VALUE"""),"")</f>
        <v/>
      </c>
      <c r="F66" s="16" t="str">
        <f>IFERROR(__xludf.DUMMYFUNCTION("""COMPUTED_VALUE"""),"")</f>
        <v/>
      </c>
      <c r="G66" s="16" t="str">
        <f>IFERROR(__xludf.DUMMYFUNCTION("""COMPUTED_VALUE"""),"")</f>
        <v/>
      </c>
      <c r="H66" s="16" t="str">
        <f>IFERROR(__xludf.DUMMYFUNCTION("""COMPUTED_VALUE"""),"")</f>
        <v/>
      </c>
      <c r="I66" s="16" t="str">
        <f>IFERROR(__xludf.DUMMYFUNCTION("""COMPUTED_VALUE"""),"")</f>
        <v/>
      </c>
      <c r="J66" s="16" t="str">
        <f>IFERROR(__xludf.DUMMYFUNCTION("""COMPUTED_VALUE"""),"")</f>
        <v/>
      </c>
      <c r="K66" s="16" t="str">
        <f>IFERROR(__xludf.DUMMYFUNCTION("""COMPUTED_VALUE"""),"")</f>
        <v/>
      </c>
      <c r="L66" s="16" t="str">
        <f>IFERROR(__xludf.DUMMYFUNCTION("""COMPUTED_VALUE"""),"")</f>
        <v/>
      </c>
      <c r="M66" s="16" t="str">
        <f>IFERROR(__xludf.DUMMYFUNCTION("""COMPUTED_VALUE"""),"")</f>
        <v/>
      </c>
      <c r="N66" s="16" t="str">
        <f>IFERROR(__xludf.DUMMYFUNCTION("""COMPUTED_VALUE"""),"")</f>
        <v/>
      </c>
      <c r="O66" s="16" t="str">
        <f>IFERROR(__xludf.DUMMYFUNCTION("""COMPUTED_VALUE"""),"")</f>
        <v/>
      </c>
      <c r="P66" s="16" t="str">
        <f>IFERROR(__xludf.DUMMYFUNCTION("""COMPUTED_VALUE"""),"")</f>
        <v/>
      </c>
      <c r="Q66" s="16" t="str">
        <f>IFERROR(__xludf.DUMMYFUNCTION("""COMPUTED_VALUE"""),"")</f>
        <v/>
      </c>
      <c r="R66" s="16" t="str">
        <f>IFERROR(__xludf.DUMMYFUNCTION("""COMPUTED_VALUE"""),"")</f>
        <v/>
      </c>
      <c r="S66" s="16" t="str">
        <f>IFERROR(__xludf.DUMMYFUNCTION("""COMPUTED_VALUE"""),"")</f>
        <v/>
      </c>
      <c r="T66" s="16" t="str">
        <f>IFERROR(__xludf.DUMMYFUNCTION("""COMPUTED_VALUE"""),"")</f>
        <v/>
      </c>
      <c r="U66" s="16" t="str">
        <f>IFERROR(__xludf.DUMMYFUNCTION("""COMPUTED_VALUE"""),"")</f>
        <v/>
      </c>
      <c r="V66" s="16" t="str">
        <f>IFERROR(__xludf.DUMMYFUNCTION("""COMPUTED_VALUE"""),"")</f>
        <v/>
      </c>
      <c r="W66" s="16" t="str">
        <f>IFERROR(__xludf.DUMMYFUNCTION("""COMPUTED_VALUE"""),"")</f>
        <v/>
      </c>
      <c r="X66" s="16" t="str">
        <f>IFERROR(__xludf.DUMMYFUNCTION("""COMPUTED_VALUE"""),"")</f>
        <v/>
      </c>
      <c r="Y66" s="16" t="str">
        <f>IFERROR(__xludf.DUMMYFUNCTION("""COMPUTED_VALUE"""),"")</f>
        <v/>
      </c>
      <c r="Z66" s="16"/>
      <c r="AA66" s="16"/>
      <c r="AB66" s="16"/>
      <c r="AC66" s="16"/>
      <c r="AD66" s="16"/>
      <c r="AE66" s="16"/>
      <c r="AF66" s="16"/>
      <c r="AG66" s="16"/>
      <c r="AH66" s="16"/>
      <c r="AI66" s="16"/>
      <c r="AJ66" s="16"/>
      <c r="AK66" s="16"/>
      <c r="AL66" s="16"/>
      <c r="AM66" s="16"/>
      <c r="AN66" s="16"/>
      <c r="AO66" s="16"/>
      <c r="AP66" s="16"/>
      <c r="AQ66" s="16"/>
      <c r="AR66" s="16"/>
      <c r="AS66" s="16"/>
      <c r="AT66" s="16"/>
      <c r="AU66" s="16"/>
      <c r="AV66" s="16"/>
      <c r="AW66" s="16"/>
      <c r="AX66" s="16"/>
    </row>
    <row r="67">
      <c r="A67" s="16"/>
      <c r="B67" s="16"/>
      <c r="C67" s="16" t="str">
        <f>IFERROR(__xludf.DUMMYFUNCTION("""COMPUTED_VALUE"""),"")</f>
        <v/>
      </c>
      <c r="D67" s="16" t="str">
        <f>IFERROR(__xludf.DUMMYFUNCTION("""COMPUTED_VALUE"""),"")</f>
        <v/>
      </c>
      <c r="E67" s="16" t="str">
        <f>IFERROR(__xludf.DUMMYFUNCTION("""COMPUTED_VALUE"""),"")</f>
        <v/>
      </c>
      <c r="F67" s="16" t="str">
        <f>IFERROR(__xludf.DUMMYFUNCTION("""COMPUTED_VALUE"""),"")</f>
        <v/>
      </c>
      <c r="G67" s="16" t="str">
        <f>IFERROR(__xludf.DUMMYFUNCTION("""COMPUTED_VALUE"""),"")</f>
        <v/>
      </c>
      <c r="H67" s="16" t="str">
        <f>IFERROR(__xludf.DUMMYFUNCTION("""COMPUTED_VALUE"""),"")</f>
        <v/>
      </c>
      <c r="I67" s="16" t="str">
        <f>IFERROR(__xludf.DUMMYFUNCTION("""COMPUTED_VALUE"""),"")</f>
        <v/>
      </c>
      <c r="J67" s="16" t="str">
        <f>IFERROR(__xludf.DUMMYFUNCTION("""COMPUTED_VALUE"""),"")</f>
        <v/>
      </c>
      <c r="K67" s="16" t="str">
        <f>IFERROR(__xludf.DUMMYFUNCTION("""COMPUTED_VALUE"""),"")</f>
        <v/>
      </c>
      <c r="L67" s="16" t="str">
        <f>IFERROR(__xludf.DUMMYFUNCTION("""COMPUTED_VALUE"""),"")</f>
        <v/>
      </c>
      <c r="M67" s="16" t="str">
        <f>IFERROR(__xludf.DUMMYFUNCTION("""COMPUTED_VALUE"""),"")</f>
        <v/>
      </c>
      <c r="N67" s="16" t="str">
        <f>IFERROR(__xludf.DUMMYFUNCTION("""COMPUTED_VALUE"""),"")</f>
        <v/>
      </c>
      <c r="O67" s="16" t="str">
        <f>IFERROR(__xludf.DUMMYFUNCTION("""COMPUTED_VALUE"""),"")</f>
        <v/>
      </c>
      <c r="P67" s="16" t="str">
        <f>IFERROR(__xludf.DUMMYFUNCTION("""COMPUTED_VALUE"""),"")</f>
        <v/>
      </c>
      <c r="Q67" s="16" t="str">
        <f>IFERROR(__xludf.DUMMYFUNCTION("""COMPUTED_VALUE"""),"")</f>
        <v/>
      </c>
      <c r="R67" s="16" t="str">
        <f>IFERROR(__xludf.DUMMYFUNCTION("""COMPUTED_VALUE"""),"")</f>
        <v/>
      </c>
      <c r="S67" s="16" t="str">
        <f>IFERROR(__xludf.DUMMYFUNCTION("""COMPUTED_VALUE"""),"")</f>
        <v/>
      </c>
      <c r="T67" s="16" t="str">
        <f>IFERROR(__xludf.DUMMYFUNCTION("""COMPUTED_VALUE"""),"")</f>
        <v/>
      </c>
      <c r="U67" s="16" t="str">
        <f>IFERROR(__xludf.DUMMYFUNCTION("""COMPUTED_VALUE"""),"")</f>
        <v/>
      </c>
      <c r="V67" s="16" t="str">
        <f>IFERROR(__xludf.DUMMYFUNCTION("""COMPUTED_VALUE"""),"")</f>
        <v/>
      </c>
      <c r="W67" s="16" t="str">
        <f>IFERROR(__xludf.DUMMYFUNCTION("""COMPUTED_VALUE"""),"")</f>
        <v/>
      </c>
      <c r="X67" s="16" t="str">
        <f>IFERROR(__xludf.DUMMYFUNCTION("""COMPUTED_VALUE"""),"")</f>
        <v/>
      </c>
      <c r="Y67" s="16" t="str">
        <f>IFERROR(__xludf.DUMMYFUNCTION("""COMPUTED_VALUE"""),"")</f>
        <v/>
      </c>
      <c r="Z67" s="16"/>
      <c r="AA67" s="16"/>
      <c r="AB67" s="16"/>
      <c r="AC67" s="16"/>
      <c r="AD67" s="16"/>
      <c r="AE67" s="16"/>
      <c r="AF67" s="16"/>
      <c r="AG67" s="16"/>
      <c r="AH67" s="16"/>
      <c r="AI67" s="16"/>
      <c r="AJ67" s="16"/>
      <c r="AK67" s="16"/>
      <c r="AL67" s="16"/>
      <c r="AM67" s="16"/>
      <c r="AN67" s="16"/>
      <c r="AO67" s="16"/>
      <c r="AP67" s="16"/>
      <c r="AQ67" s="16"/>
      <c r="AR67" s="16"/>
      <c r="AS67" s="16"/>
      <c r="AT67" s="16"/>
      <c r="AU67" s="16"/>
      <c r="AV67" s="16"/>
      <c r="AW67" s="16"/>
      <c r="AX67" s="16"/>
    </row>
    <row r="68">
      <c r="A68" s="16"/>
      <c r="B68" s="16"/>
      <c r="C68" s="16" t="str">
        <f>IFERROR(__xludf.DUMMYFUNCTION("""COMPUTED_VALUE"""),"")</f>
        <v/>
      </c>
      <c r="D68" s="16" t="str">
        <f>IFERROR(__xludf.DUMMYFUNCTION("""COMPUTED_VALUE"""),"")</f>
        <v/>
      </c>
      <c r="E68" s="16" t="str">
        <f>IFERROR(__xludf.DUMMYFUNCTION("""COMPUTED_VALUE"""),"")</f>
        <v/>
      </c>
      <c r="F68" s="16" t="str">
        <f>IFERROR(__xludf.DUMMYFUNCTION("""COMPUTED_VALUE"""),"")</f>
        <v/>
      </c>
      <c r="G68" s="16" t="str">
        <f>IFERROR(__xludf.DUMMYFUNCTION("""COMPUTED_VALUE"""),"")</f>
        <v/>
      </c>
      <c r="H68" s="16" t="str">
        <f>IFERROR(__xludf.DUMMYFUNCTION("""COMPUTED_VALUE"""),"")</f>
        <v/>
      </c>
      <c r="I68" s="16" t="str">
        <f>IFERROR(__xludf.DUMMYFUNCTION("""COMPUTED_VALUE"""),"")</f>
        <v/>
      </c>
      <c r="J68" s="16" t="str">
        <f>IFERROR(__xludf.DUMMYFUNCTION("""COMPUTED_VALUE"""),"")</f>
        <v/>
      </c>
      <c r="K68" s="16" t="str">
        <f>IFERROR(__xludf.DUMMYFUNCTION("""COMPUTED_VALUE"""),"")</f>
        <v/>
      </c>
      <c r="L68" s="16" t="str">
        <f>IFERROR(__xludf.DUMMYFUNCTION("""COMPUTED_VALUE"""),"")</f>
        <v/>
      </c>
      <c r="M68" s="16" t="str">
        <f>IFERROR(__xludf.DUMMYFUNCTION("""COMPUTED_VALUE"""),"")</f>
        <v/>
      </c>
      <c r="N68" s="16" t="str">
        <f>IFERROR(__xludf.DUMMYFUNCTION("""COMPUTED_VALUE"""),"")</f>
        <v/>
      </c>
      <c r="O68" s="16" t="str">
        <f>IFERROR(__xludf.DUMMYFUNCTION("""COMPUTED_VALUE"""),"")</f>
        <v/>
      </c>
      <c r="P68" s="16" t="str">
        <f>IFERROR(__xludf.DUMMYFUNCTION("""COMPUTED_VALUE"""),"")</f>
        <v/>
      </c>
      <c r="Q68" s="16" t="str">
        <f>IFERROR(__xludf.DUMMYFUNCTION("""COMPUTED_VALUE"""),"")</f>
        <v/>
      </c>
      <c r="R68" s="16" t="str">
        <f>IFERROR(__xludf.DUMMYFUNCTION("""COMPUTED_VALUE"""),"")</f>
        <v/>
      </c>
      <c r="S68" s="16" t="str">
        <f>IFERROR(__xludf.DUMMYFUNCTION("""COMPUTED_VALUE"""),"")</f>
        <v/>
      </c>
      <c r="T68" s="16" t="str">
        <f>IFERROR(__xludf.DUMMYFUNCTION("""COMPUTED_VALUE"""),"")</f>
        <v/>
      </c>
      <c r="U68" s="16" t="str">
        <f>IFERROR(__xludf.DUMMYFUNCTION("""COMPUTED_VALUE"""),"")</f>
        <v/>
      </c>
      <c r="V68" s="16" t="str">
        <f>IFERROR(__xludf.DUMMYFUNCTION("""COMPUTED_VALUE"""),"")</f>
        <v/>
      </c>
      <c r="W68" s="16" t="str">
        <f>IFERROR(__xludf.DUMMYFUNCTION("""COMPUTED_VALUE"""),"")</f>
        <v/>
      </c>
      <c r="X68" s="16" t="str">
        <f>IFERROR(__xludf.DUMMYFUNCTION("""COMPUTED_VALUE"""),"")</f>
        <v/>
      </c>
      <c r="Y68" s="16" t="str">
        <f>IFERROR(__xludf.DUMMYFUNCTION("""COMPUTED_VALUE"""),"")</f>
        <v/>
      </c>
      <c r="Z68" s="16"/>
      <c r="AA68" s="16"/>
      <c r="AB68" s="16"/>
      <c r="AC68" s="16"/>
      <c r="AD68" s="16"/>
      <c r="AE68" s="16"/>
      <c r="AF68" s="16"/>
      <c r="AG68" s="16"/>
      <c r="AH68" s="16"/>
      <c r="AI68" s="16"/>
      <c r="AJ68" s="16"/>
      <c r="AK68" s="16"/>
      <c r="AL68" s="16"/>
      <c r="AM68" s="16"/>
      <c r="AN68" s="16"/>
      <c r="AO68" s="16"/>
      <c r="AP68" s="16"/>
      <c r="AQ68" s="16"/>
      <c r="AR68" s="16"/>
      <c r="AS68" s="16"/>
      <c r="AT68" s="16"/>
      <c r="AU68" s="16"/>
      <c r="AV68" s="16"/>
      <c r="AW68" s="16"/>
      <c r="AX68" s="16"/>
    </row>
    <row r="69">
      <c r="A69" s="16"/>
      <c r="B69" s="16"/>
      <c r="C69" s="16" t="str">
        <f>IFERROR(__xludf.DUMMYFUNCTION("""COMPUTED_VALUE"""),"")</f>
        <v/>
      </c>
      <c r="D69" s="16" t="str">
        <f>IFERROR(__xludf.DUMMYFUNCTION("""COMPUTED_VALUE"""),"")</f>
        <v/>
      </c>
      <c r="E69" s="16" t="str">
        <f>IFERROR(__xludf.DUMMYFUNCTION("""COMPUTED_VALUE"""),"")</f>
        <v/>
      </c>
      <c r="F69" s="16" t="str">
        <f>IFERROR(__xludf.DUMMYFUNCTION("""COMPUTED_VALUE"""),"")</f>
        <v/>
      </c>
      <c r="G69" s="16" t="str">
        <f>IFERROR(__xludf.DUMMYFUNCTION("""COMPUTED_VALUE"""),"")</f>
        <v/>
      </c>
      <c r="H69" s="16" t="str">
        <f>IFERROR(__xludf.DUMMYFUNCTION("""COMPUTED_VALUE"""),"")</f>
        <v/>
      </c>
      <c r="I69" s="16" t="str">
        <f>IFERROR(__xludf.DUMMYFUNCTION("""COMPUTED_VALUE"""),"")</f>
        <v/>
      </c>
      <c r="J69" s="16" t="str">
        <f>IFERROR(__xludf.DUMMYFUNCTION("""COMPUTED_VALUE"""),"")</f>
        <v/>
      </c>
      <c r="K69" s="16" t="str">
        <f>IFERROR(__xludf.DUMMYFUNCTION("""COMPUTED_VALUE"""),"")</f>
        <v/>
      </c>
      <c r="L69" s="16" t="str">
        <f>IFERROR(__xludf.DUMMYFUNCTION("""COMPUTED_VALUE"""),"")</f>
        <v/>
      </c>
      <c r="M69" s="16" t="str">
        <f>IFERROR(__xludf.DUMMYFUNCTION("""COMPUTED_VALUE"""),"")</f>
        <v/>
      </c>
      <c r="N69" s="16" t="str">
        <f>IFERROR(__xludf.DUMMYFUNCTION("""COMPUTED_VALUE"""),"")</f>
        <v/>
      </c>
      <c r="O69" s="16" t="str">
        <f>IFERROR(__xludf.DUMMYFUNCTION("""COMPUTED_VALUE"""),"")</f>
        <v/>
      </c>
      <c r="P69" s="16" t="str">
        <f>IFERROR(__xludf.DUMMYFUNCTION("""COMPUTED_VALUE"""),"")</f>
        <v/>
      </c>
      <c r="Q69" s="16" t="str">
        <f>IFERROR(__xludf.DUMMYFUNCTION("""COMPUTED_VALUE"""),"")</f>
        <v/>
      </c>
      <c r="R69" s="16" t="str">
        <f>IFERROR(__xludf.DUMMYFUNCTION("""COMPUTED_VALUE"""),"")</f>
        <v/>
      </c>
      <c r="S69" s="16" t="str">
        <f>IFERROR(__xludf.DUMMYFUNCTION("""COMPUTED_VALUE"""),"")</f>
        <v/>
      </c>
      <c r="T69" s="16" t="str">
        <f>IFERROR(__xludf.DUMMYFUNCTION("""COMPUTED_VALUE"""),"")</f>
        <v/>
      </c>
      <c r="U69" s="16" t="str">
        <f>IFERROR(__xludf.DUMMYFUNCTION("""COMPUTED_VALUE"""),"")</f>
        <v/>
      </c>
      <c r="V69" s="16" t="str">
        <f>IFERROR(__xludf.DUMMYFUNCTION("""COMPUTED_VALUE"""),"")</f>
        <v/>
      </c>
      <c r="W69" s="16" t="str">
        <f>IFERROR(__xludf.DUMMYFUNCTION("""COMPUTED_VALUE"""),"")</f>
        <v/>
      </c>
      <c r="X69" s="16" t="str">
        <f>IFERROR(__xludf.DUMMYFUNCTION("""COMPUTED_VALUE"""),"")</f>
        <v/>
      </c>
      <c r="Y69" s="16" t="str">
        <f>IFERROR(__xludf.DUMMYFUNCTION("""COMPUTED_VALUE"""),"")</f>
        <v/>
      </c>
      <c r="Z69" s="16"/>
      <c r="AA69" s="16"/>
      <c r="AB69" s="16"/>
      <c r="AC69" s="16"/>
      <c r="AD69" s="16"/>
      <c r="AE69" s="16"/>
      <c r="AF69" s="16"/>
      <c r="AG69" s="16"/>
      <c r="AH69" s="16"/>
      <c r="AI69" s="16"/>
      <c r="AJ69" s="16"/>
      <c r="AK69" s="16"/>
      <c r="AL69" s="16"/>
      <c r="AM69" s="16"/>
      <c r="AN69" s="16"/>
      <c r="AO69" s="16"/>
      <c r="AP69" s="16"/>
      <c r="AQ69" s="16"/>
      <c r="AR69" s="16"/>
      <c r="AS69" s="16"/>
      <c r="AT69" s="16"/>
      <c r="AU69" s="16"/>
      <c r="AV69" s="16"/>
      <c r="AW69" s="16"/>
      <c r="AX69" s="16"/>
    </row>
    <row r="70">
      <c r="A70" s="16"/>
      <c r="B70" s="16"/>
      <c r="C70" s="16" t="str">
        <f>IFERROR(__xludf.DUMMYFUNCTION("""COMPUTED_VALUE"""),"")</f>
        <v/>
      </c>
      <c r="D70" s="16" t="str">
        <f>IFERROR(__xludf.DUMMYFUNCTION("""COMPUTED_VALUE"""),"")</f>
        <v/>
      </c>
      <c r="E70" s="16" t="str">
        <f>IFERROR(__xludf.DUMMYFUNCTION("""COMPUTED_VALUE"""),"")</f>
        <v/>
      </c>
      <c r="F70" s="16" t="str">
        <f>IFERROR(__xludf.DUMMYFUNCTION("""COMPUTED_VALUE"""),"")</f>
        <v/>
      </c>
      <c r="G70" s="16" t="str">
        <f>IFERROR(__xludf.DUMMYFUNCTION("""COMPUTED_VALUE"""),"")</f>
        <v/>
      </c>
      <c r="H70" s="16" t="str">
        <f>IFERROR(__xludf.DUMMYFUNCTION("""COMPUTED_VALUE"""),"")</f>
        <v/>
      </c>
      <c r="I70" s="16" t="str">
        <f>IFERROR(__xludf.DUMMYFUNCTION("""COMPUTED_VALUE"""),"")</f>
        <v/>
      </c>
      <c r="J70" s="16" t="str">
        <f>IFERROR(__xludf.DUMMYFUNCTION("""COMPUTED_VALUE"""),"")</f>
        <v/>
      </c>
      <c r="K70" s="16" t="str">
        <f>IFERROR(__xludf.DUMMYFUNCTION("""COMPUTED_VALUE"""),"")</f>
        <v/>
      </c>
      <c r="L70" s="16" t="str">
        <f>IFERROR(__xludf.DUMMYFUNCTION("""COMPUTED_VALUE"""),"")</f>
        <v/>
      </c>
      <c r="M70" s="16" t="str">
        <f>IFERROR(__xludf.DUMMYFUNCTION("""COMPUTED_VALUE"""),"")</f>
        <v/>
      </c>
      <c r="N70" s="16" t="str">
        <f>IFERROR(__xludf.DUMMYFUNCTION("""COMPUTED_VALUE"""),"")</f>
        <v/>
      </c>
      <c r="O70" s="16" t="str">
        <f>IFERROR(__xludf.DUMMYFUNCTION("""COMPUTED_VALUE"""),"")</f>
        <v/>
      </c>
      <c r="P70" s="16" t="str">
        <f>IFERROR(__xludf.DUMMYFUNCTION("""COMPUTED_VALUE"""),"")</f>
        <v/>
      </c>
      <c r="Q70" s="16" t="str">
        <f>IFERROR(__xludf.DUMMYFUNCTION("""COMPUTED_VALUE"""),"")</f>
        <v/>
      </c>
      <c r="R70" s="16" t="str">
        <f>IFERROR(__xludf.DUMMYFUNCTION("""COMPUTED_VALUE"""),"")</f>
        <v/>
      </c>
      <c r="S70" s="16" t="str">
        <f>IFERROR(__xludf.DUMMYFUNCTION("""COMPUTED_VALUE"""),"")</f>
        <v/>
      </c>
      <c r="T70" s="16" t="str">
        <f>IFERROR(__xludf.DUMMYFUNCTION("""COMPUTED_VALUE"""),"")</f>
        <v/>
      </c>
      <c r="U70" s="16" t="str">
        <f>IFERROR(__xludf.DUMMYFUNCTION("""COMPUTED_VALUE"""),"")</f>
        <v/>
      </c>
      <c r="V70" s="16" t="str">
        <f>IFERROR(__xludf.DUMMYFUNCTION("""COMPUTED_VALUE"""),"")</f>
        <v/>
      </c>
      <c r="W70" s="16" t="str">
        <f>IFERROR(__xludf.DUMMYFUNCTION("""COMPUTED_VALUE"""),"")</f>
        <v/>
      </c>
      <c r="X70" s="16" t="str">
        <f>IFERROR(__xludf.DUMMYFUNCTION("""COMPUTED_VALUE"""),"")</f>
        <v/>
      </c>
      <c r="Y70" s="16" t="str">
        <f>IFERROR(__xludf.DUMMYFUNCTION("""COMPUTED_VALUE"""),"")</f>
        <v/>
      </c>
      <c r="Z70" s="16"/>
      <c r="AA70" s="16"/>
      <c r="AB70" s="16"/>
      <c r="AC70" s="16"/>
      <c r="AD70" s="16"/>
      <c r="AE70" s="16"/>
      <c r="AF70" s="16"/>
      <c r="AG70" s="16"/>
      <c r="AH70" s="16"/>
      <c r="AI70" s="16"/>
      <c r="AJ70" s="16"/>
      <c r="AK70" s="16"/>
      <c r="AL70" s="16"/>
      <c r="AM70" s="16"/>
      <c r="AN70" s="16"/>
      <c r="AO70" s="16"/>
      <c r="AP70" s="16"/>
      <c r="AQ70" s="16"/>
      <c r="AR70" s="16"/>
      <c r="AS70" s="16"/>
      <c r="AT70" s="16"/>
      <c r="AU70" s="16"/>
      <c r="AV70" s="16"/>
      <c r="AW70" s="16"/>
      <c r="AX70" s="16"/>
    </row>
    <row r="71">
      <c r="A71" s="16"/>
      <c r="B71" s="16"/>
      <c r="C71" s="16" t="str">
        <f>IFERROR(__xludf.DUMMYFUNCTION("""COMPUTED_VALUE"""),"")</f>
        <v/>
      </c>
      <c r="D71" s="16" t="str">
        <f>IFERROR(__xludf.DUMMYFUNCTION("""COMPUTED_VALUE"""),"")</f>
        <v/>
      </c>
      <c r="E71" s="16" t="str">
        <f>IFERROR(__xludf.DUMMYFUNCTION("""COMPUTED_VALUE"""),"")</f>
        <v/>
      </c>
      <c r="F71" s="16" t="str">
        <f>IFERROR(__xludf.DUMMYFUNCTION("""COMPUTED_VALUE"""),"")</f>
        <v/>
      </c>
      <c r="G71" s="16" t="str">
        <f>IFERROR(__xludf.DUMMYFUNCTION("""COMPUTED_VALUE"""),"")</f>
        <v/>
      </c>
      <c r="H71" s="16" t="str">
        <f>IFERROR(__xludf.DUMMYFUNCTION("""COMPUTED_VALUE"""),"")</f>
        <v/>
      </c>
      <c r="I71" s="16" t="str">
        <f>IFERROR(__xludf.DUMMYFUNCTION("""COMPUTED_VALUE"""),"")</f>
        <v/>
      </c>
      <c r="J71" s="16" t="str">
        <f>IFERROR(__xludf.DUMMYFUNCTION("""COMPUTED_VALUE"""),"")</f>
        <v/>
      </c>
      <c r="K71" s="16" t="str">
        <f>IFERROR(__xludf.DUMMYFUNCTION("""COMPUTED_VALUE"""),"")</f>
        <v/>
      </c>
      <c r="L71" s="16" t="str">
        <f>IFERROR(__xludf.DUMMYFUNCTION("""COMPUTED_VALUE"""),"")</f>
        <v/>
      </c>
      <c r="M71" s="16" t="str">
        <f>IFERROR(__xludf.DUMMYFUNCTION("""COMPUTED_VALUE"""),"")</f>
        <v/>
      </c>
      <c r="N71" s="16" t="str">
        <f>IFERROR(__xludf.DUMMYFUNCTION("""COMPUTED_VALUE"""),"")</f>
        <v/>
      </c>
      <c r="O71" s="16" t="str">
        <f>IFERROR(__xludf.DUMMYFUNCTION("""COMPUTED_VALUE"""),"")</f>
        <v/>
      </c>
      <c r="P71" s="16" t="str">
        <f>IFERROR(__xludf.DUMMYFUNCTION("""COMPUTED_VALUE"""),"")</f>
        <v/>
      </c>
      <c r="Q71" s="16" t="str">
        <f>IFERROR(__xludf.DUMMYFUNCTION("""COMPUTED_VALUE"""),"")</f>
        <v/>
      </c>
      <c r="R71" s="16" t="str">
        <f>IFERROR(__xludf.DUMMYFUNCTION("""COMPUTED_VALUE"""),"")</f>
        <v/>
      </c>
      <c r="S71" s="16" t="str">
        <f>IFERROR(__xludf.DUMMYFUNCTION("""COMPUTED_VALUE"""),"")</f>
        <v/>
      </c>
      <c r="T71" s="16" t="str">
        <f>IFERROR(__xludf.DUMMYFUNCTION("""COMPUTED_VALUE"""),"")</f>
        <v/>
      </c>
      <c r="U71" s="16" t="str">
        <f>IFERROR(__xludf.DUMMYFUNCTION("""COMPUTED_VALUE"""),"")</f>
        <v/>
      </c>
      <c r="V71" s="16" t="str">
        <f>IFERROR(__xludf.DUMMYFUNCTION("""COMPUTED_VALUE"""),"")</f>
        <v/>
      </c>
      <c r="W71" s="16" t="str">
        <f>IFERROR(__xludf.DUMMYFUNCTION("""COMPUTED_VALUE"""),"")</f>
        <v/>
      </c>
      <c r="X71" s="16" t="str">
        <f>IFERROR(__xludf.DUMMYFUNCTION("""COMPUTED_VALUE"""),"")</f>
        <v/>
      </c>
      <c r="Y71" s="16" t="str">
        <f>IFERROR(__xludf.DUMMYFUNCTION("""COMPUTED_VALUE"""),"")</f>
        <v/>
      </c>
      <c r="Z71" s="16"/>
      <c r="AA71" s="16"/>
      <c r="AB71" s="16"/>
      <c r="AC71" s="16"/>
      <c r="AD71" s="16"/>
      <c r="AE71" s="16"/>
      <c r="AF71" s="16"/>
      <c r="AG71" s="16"/>
      <c r="AH71" s="16"/>
      <c r="AI71" s="16"/>
      <c r="AJ71" s="16"/>
      <c r="AK71" s="16"/>
      <c r="AL71" s="16"/>
      <c r="AM71" s="16"/>
      <c r="AN71" s="16"/>
      <c r="AO71" s="16"/>
      <c r="AP71" s="16"/>
      <c r="AQ71" s="16"/>
      <c r="AR71" s="16"/>
      <c r="AS71" s="16"/>
      <c r="AT71" s="16"/>
      <c r="AU71" s="16"/>
      <c r="AV71" s="16"/>
      <c r="AW71" s="16"/>
      <c r="AX71" s="16"/>
    </row>
    <row r="72">
      <c r="A72" s="16"/>
      <c r="B72" s="16"/>
      <c r="C72" s="16" t="str">
        <f>IFERROR(__xludf.DUMMYFUNCTION("""COMPUTED_VALUE"""),"")</f>
        <v/>
      </c>
      <c r="D72" s="16" t="str">
        <f>IFERROR(__xludf.DUMMYFUNCTION("""COMPUTED_VALUE"""),"")</f>
        <v/>
      </c>
      <c r="E72" s="16" t="str">
        <f>IFERROR(__xludf.DUMMYFUNCTION("""COMPUTED_VALUE"""),"")</f>
        <v/>
      </c>
      <c r="F72" s="16" t="str">
        <f>IFERROR(__xludf.DUMMYFUNCTION("""COMPUTED_VALUE"""),"")</f>
        <v/>
      </c>
      <c r="G72" s="16" t="str">
        <f>IFERROR(__xludf.DUMMYFUNCTION("""COMPUTED_VALUE"""),"")</f>
        <v/>
      </c>
      <c r="H72" s="16" t="str">
        <f>IFERROR(__xludf.DUMMYFUNCTION("""COMPUTED_VALUE"""),"")</f>
        <v/>
      </c>
      <c r="I72" s="16" t="str">
        <f>IFERROR(__xludf.DUMMYFUNCTION("""COMPUTED_VALUE"""),"")</f>
        <v/>
      </c>
      <c r="J72" s="16" t="str">
        <f>IFERROR(__xludf.DUMMYFUNCTION("""COMPUTED_VALUE"""),"")</f>
        <v/>
      </c>
      <c r="K72" s="16" t="str">
        <f>IFERROR(__xludf.DUMMYFUNCTION("""COMPUTED_VALUE"""),"")</f>
        <v/>
      </c>
      <c r="L72" s="16" t="str">
        <f>IFERROR(__xludf.DUMMYFUNCTION("""COMPUTED_VALUE"""),"")</f>
        <v/>
      </c>
      <c r="M72" s="16" t="str">
        <f>IFERROR(__xludf.DUMMYFUNCTION("""COMPUTED_VALUE"""),"")</f>
        <v/>
      </c>
      <c r="N72" s="16" t="str">
        <f>IFERROR(__xludf.DUMMYFUNCTION("""COMPUTED_VALUE"""),"")</f>
        <v/>
      </c>
      <c r="O72" s="16" t="str">
        <f>IFERROR(__xludf.DUMMYFUNCTION("""COMPUTED_VALUE"""),"")</f>
        <v/>
      </c>
      <c r="P72" s="16" t="str">
        <f>IFERROR(__xludf.DUMMYFUNCTION("""COMPUTED_VALUE"""),"")</f>
        <v/>
      </c>
      <c r="Q72" s="16" t="str">
        <f>IFERROR(__xludf.DUMMYFUNCTION("""COMPUTED_VALUE"""),"")</f>
        <v/>
      </c>
      <c r="R72" s="16" t="str">
        <f>IFERROR(__xludf.DUMMYFUNCTION("""COMPUTED_VALUE"""),"")</f>
        <v/>
      </c>
      <c r="S72" s="16" t="str">
        <f>IFERROR(__xludf.DUMMYFUNCTION("""COMPUTED_VALUE"""),"")</f>
        <v/>
      </c>
      <c r="T72" s="16" t="str">
        <f>IFERROR(__xludf.DUMMYFUNCTION("""COMPUTED_VALUE"""),"")</f>
        <v/>
      </c>
      <c r="U72" s="16" t="str">
        <f>IFERROR(__xludf.DUMMYFUNCTION("""COMPUTED_VALUE"""),"")</f>
        <v/>
      </c>
      <c r="V72" s="16" t="str">
        <f>IFERROR(__xludf.DUMMYFUNCTION("""COMPUTED_VALUE"""),"")</f>
        <v/>
      </c>
      <c r="W72" s="16" t="str">
        <f>IFERROR(__xludf.DUMMYFUNCTION("""COMPUTED_VALUE"""),"")</f>
        <v/>
      </c>
      <c r="X72" s="16" t="str">
        <f>IFERROR(__xludf.DUMMYFUNCTION("""COMPUTED_VALUE"""),"")</f>
        <v/>
      </c>
      <c r="Y72" s="16" t="str">
        <f>IFERROR(__xludf.DUMMYFUNCTION("""COMPUTED_VALUE"""),"")</f>
        <v/>
      </c>
      <c r="Z72" s="16"/>
      <c r="AA72" s="16"/>
      <c r="AB72" s="16"/>
      <c r="AC72" s="16"/>
      <c r="AD72" s="16"/>
      <c r="AE72" s="16"/>
      <c r="AF72" s="16"/>
      <c r="AG72" s="16"/>
      <c r="AH72" s="16"/>
      <c r="AI72" s="16"/>
      <c r="AJ72" s="16"/>
      <c r="AK72" s="16"/>
      <c r="AL72" s="16"/>
      <c r="AM72" s="16"/>
      <c r="AN72" s="16"/>
      <c r="AO72" s="16"/>
      <c r="AP72" s="16"/>
      <c r="AQ72" s="16"/>
      <c r="AR72" s="16"/>
      <c r="AS72" s="16"/>
      <c r="AT72" s="16"/>
      <c r="AU72" s="16"/>
      <c r="AV72" s="16"/>
      <c r="AW72" s="16"/>
      <c r="AX72" s="16"/>
    </row>
    <row r="73">
      <c r="A73" s="16"/>
      <c r="B73" s="16"/>
      <c r="C73" s="16" t="str">
        <f>IFERROR(__xludf.DUMMYFUNCTION("""COMPUTED_VALUE"""),"")</f>
        <v/>
      </c>
      <c r="D73" s="16" t="str">
        <f>IFERROR(__xludf.DUMMYFUNCTION("""COMPUTED_VALUE"""),"")</f>
        <v/>
      </c>
      <c r="E73" s="16" t="str">
        <f>IFERROR(__xludf.DUMMYFUNCTION("""COMPUTED_VALUE"""),"")</f>
        <v/>
      </c>
      <c r="F73" s="16" t="str">
        <f>IFERROR(__xludf.DUMMYFUNCTION("""COMPUTED_VALUE"""),"")</f>
        <v/>
      </c>
      <c r="G73" s="16" t="str">
        <f>IFERROR(__xludf.DUMMYFUNCTION("""COMPUTED_VALUE"""),"")</f>
        <v/>
      </c>
      <c r="H73" s="16" t="str">
        <f>IFERROR(__xludf.DUMMYFUNCTION("""COMPUTED_VALUE"""),"")</f>
        <v/>
      </c>
      <c r="I73" s="16" t="str">
        <f>IFERROR(__xludf.DUMMYFUNCTION("""COMPUTED_VALUE"""),"")</f>
        <v/>
      </c>
      <c r="J73" s="16" t="str">
        <f>IFERROR(__xludf.DUMMYFUNCTION("""COMPUTED_VALUE"""),"")</f>
        <v/>
      </c>
      <c r="K73" s="16" t="str">
        <f>IFERROR(__xludf.DUMMYFUNCTION("""COMPUTED_VALUE"""),"")</f>
        <v/>
      </c>
      <c r="L73" s="16" t="str">
        <f>IFERROR(__xludf.DUMMYFUNCTION("""COMPUTED_VALUE"""),"")</f>
        <v/>
      </c>
      <c r="M73" s="16" t="str">
        <f>IFERROR(__xludf.DUMMYFUNCTION("""COMPUTED_VALUE"""),"")</f>
        <v/>
      </c>
      <c r="N73" s="16" t="str">
        <f>IFERROR(__xludf.DUMMYFUNCTION("""COMPUTED_VALUE"""),"")</f>
        <v/>
      </c>
      <c r="O73" s="16" t="str">
        <f>IFERROR(__xludf.DUMMYFUNCTION("""COMPUTED_VALUE"""),"")</f>
        <v/>
      </c>
      <c r="P73" s="16" t="str">
        <f>IFERROR(__xludf.DUMMYFUNCTION("""COMPUTED_VALUE"""),"")</f>
        <v/>
      </c>
      <c r="Q73" s="16" t="str">
        <f>IFERROR(__xludf.DUMMYFUNCTION("""COMPUTED_VALUE"""),"")</f>
        <v/>
      </c>
      <c r="R73" s="16" t="str">
        <f>IFERROR(__xludf.DUMMYFUNCTION("""COMPUTED_VALUE"""),"")</f>
        <v/>
      </c>
      <c r="S73" s="16" t="str">
        <f>IFERROR(__xludf.DUMMYFUNCTION("""COMPUTED_VALUE"""),"")</f>
        <v/>
      </c>
      <c r="T73" s="16" t="str">
        <f>IFERROR(__xludf.DUMMYFUNCTION("""COMPUTED_VALUE"""),"")</f>
        <v/>
      </c>
      <c r="U73" s="16" t="str">
        <f>IFERROR(__xludf.DUMMYFUNCTION("""COMPUTED_VALUE"""),"")</f>
        <v/>
      </c>
      <c r="V73" s="16" t="str">
        <f>IFERROR(__xludf.DUMMYFUNCTION("""COMPUTED_VALUE"""),"")</f>
        <v/>
      </c>
      <c r="W73" s="16" t="str">
        <f>IFERROR(__xludf.DUMMYFUNCTION("""COMPUTED_VALUE"""),"")</f>
        <v/>
      </c>
      <c r="X73" s="16" t="str">
        <f>IFERROR(__xludf.DUMMYFUNCTION("""COMPUTED_VALUE"""),"")</f>
        <v/>
      </c>
      <c r="Y73" s="16" t="str">
        <f>IFERROR(__xludf.DUMMYFUNCTION("""COMPUTED_VALUE"""),"")</f>
        <v/>
      </c>
      <c r="Z73" s="16"/>
      <c r="AA73" s="16"/>
      <c r="AB73" s="16"/>
      <c r="AC73" s="16"/>
      <c r="AD73" s="16"/>
      <c r="AE73" s="16"/>
      <c r="AF73" s="16"/>
      <c r="AG73" s="16"/>
      <c r="AH73" s="16"/>
      <c r="AI73" s="16"/>
      <c r="AJ73" s="16"/>
      <c r="AK73" s="16"/>
      <c r="AL73" s="16"/>
      <c r="AM73" s="16"/>
      <c r="AN73" s="16"/>
      <c r="AO73" s="16"/>
      <c r="AP73" s="16"/>
      <c r="AQ73" s="16"/>
      <c r="AR73" s="16"/>
      <c r="AS73" s="16"/>
      <c r="AT73" s="16"/>
      <c r="AU73" s="16"/>
      <c r="AV73" s="16"/>
      <c r="AW73" s="16"/>
      <c r="AX73" s="16"/>
    </row>
    <row r="74">
      <c r="A74" s="16"/>
      <c r="B74" s="16"/>
      <c r="C74" s="16" t="str">
        <f>IFERROR(__xludf.DUMMYFUNCTION("""COMPUTED_VALUE"""),"")</f>
        <v/>
      </c>
      <c r="D74" s="16" t="str">
        <f>IFERROR(__xludf.DUMMYFUNCTION("""COMPUTED_VALUE"""),"")</f>
        <v/>
      </c>
      <c r="E74" s="16" t="str">
        <f>IFERROR(__xludf.DUMMYFUNCTION("""COMPUTED_VALUE"""),"")</f>
        <v/>
      </c>
      <c r="F74" s="16" t="str">
        <f>IFERROR(__xludf.DUMMYFUNCTION("""COMPUTED_VALUE"""),"")</f>
        <v/>
      </c>
      <c r="G74" s="16" t="str">
        <f>IFERROR(__xludf.DUMMYFUNCTION("""COMPUTED_VALUE"""),"")</f>
        <v/>
      </c>
      <c r="H74" s="16" t="str">
        <f>IFERROR(__xludf.DUMMYFUNCTION("""COMPUTED_VALUE"""),"")</f>
        <v/>
      </c>
      <c r="I74" s="16" t="str">
        <f>IFERROR(__xludf.DUMMYFUNCTION("""COMPUTED_VALUE"""),"")</f>
        <v/>
      </c>
      <c r="J74" s="16" t="str">
        <f>IFERROR(__xludf.DUMMYFUNCTION("""COMPUTED_VALUE"""),"")</f>
        <v/>
      </c>
      <c r="K74" s="16" t="str">
        <f>IFERROR(__xludf.DUMMYFUNCTION("""COMPUTED_VALUE"""),"")</f>
        <v/>
      </c>
      <c r="L74" s="16" t="str">
        <f>IFERROR(__xludf.DUMMYFUNCTION("""COMPUTED_VALUE"""),"")</f>
        <v/>
      </c>
      <c r="M74" s="16" t="str">
        <f>IFERROR(__xludf.DUMMYFUNCTION("""COMPUTED_VALUE"""),"")</f>
        <v/>
      </c>
      <c r="N74" s="16" t="str">
        <f>IFERROR(__xludf.DUMMYFUNCTION("""COMPUTED_VALUE"""),"")</f>
        <v/>
      </c>
      <c r="O74" s="16" t="str">
        <f>IFERROR(__xludf.DUMMYFUNCTION("""COMPUTED_VALUE"""),"")</f>
        <v/>
      </c>
      <c r="P74" s="16" t="str">
        <f>IFERROR(__xludf.DUMMYFUNCTION("""COMPUTED_VALUE"""),"")</f>
        <v/>
      </c>
      <c r="Q74" s="16" t="str">
        <f>IFERROR(__xludf.DUMMYFUNCTION("""COMPUTED_VALUE"""),"")</f>
        <v/>
      </c>
      <c r="R74" s="16" t="str">
        <f>IFERROR(__xludf.DUMMYFUNCTION("""COMPUTED_VALUE"""),"")</f>
        <v/>
      </c>
      <c r="S74" s="16" t="str">
        <f>IFERROR(__xludf.DUMMYFUNCTION("""COMPUTED_VALUE"""),"")</f>
        <v/>
      </c>
      <c r="T74" s="16" t="str">
        <f>IFERROR(__xludf.DUMMYFUNCTION("""COMPUTED_VALUE"""),"")</f>
        <v/>
      </c>
      <c r="U74" s="16" t="str">
        <f>IFERROR(__xludf.DUMMYFUNCTION("""COMPUTED_VALUE"""),"")</f>
        <v/>
      </c>
      <c r="V74" s="16" t="str">
        <f>IFERROR(__xludf.DUMMYFUNCTION("""COMPUTED_VALUE"""),"")</f>
        <v/>
      </c>
      <c r="W74" s="16" t="str">
        <f>IFERROR(__xludf.DUMMYFUNCTION("""COMPUTED_VALUE"""),"")</f>
        <v/>
      </c>
      <c r="X74" s="16" t="str">
        <f>IFERROR(__xludf.DUMMYFUNCTION("""COMPUTED_VALUE"""),"")</f>
        <v/>
      </c>
      <c r="Y74" s="16" t="str">
        <f>IFERROR(__xludf.DUMMYFUNCTION("""COMPUTED_VALUE"""),"")</f>
        <v/>
      </c>
      <c r="Z74" s="16"/>
      <c r="AA74" s="16"/>
      <c r="AB74" s="16"/>
      <c r="AC74" s="16"/>
      <c r="AD74" s="16"/>
      <c r="AE74" s="16"/>
      <c r="AF74" s="16"/>
      <c r="AG74" s="16"/>
      <c r="AH74" s="16"/>
      <c r="AI74" s="16"/>
      <c r="AJ74" s="16"/>
      <c r="AK74" s="16"/>
      <c r="AL74" s="16"/>
      <c r="AM74" s="16"/>
      <c r="AN74" s="16"/>
      <c r="AO74" s="16"/>
      <c r="AP74" s="16"/>
      <c r="AQ74" s="16"/>
      <c r="AR74" s="16"/>
      <c r="AS74" s="16"/>
      <c r="AT74" s="16"/>
      <c r="AU74" s="16"/>
      <c r="AV74" s="16"/>
      <c r="AW74" s="16"/>
      <c r="AX74" s="16"/>
    </row>
    <row r="75">
      <c r="A75" s="16"/>
      <c r="B75" s="16"/>
      <c r="C75" s="16" t="str">
        <f>IFERROR(__xludf.DUMMYFUNCTION("""COMPUTED_VALUE"""),"")</f>
        <v/>
      </c>
      <c r="D75" s="16" t="str">
        <f>IFERROR(__xludf.DUMMYFUNCTION("""COMPUTED_VALUE"""),"")</f>
        <v/>
      </c>
      <c r="E75" s="16" t="str">
        <f>IFERROR(__xludf.DUMMYFUNCTION("""COMPUTED_VALUE"""),"")</f>
        <v/>
      </c>
      <c r="F75" s="16" t="str">
        <f>IFERROR(__xludf.DUMMYFUNCTION("""COMPUTED_VALUE"""),"")</f>
        <v/>
      </c>
      <c r="G75" s="16" t="str">
        <f>IFERROR(__xludf.DUMMYFUNCTION("""COMPUTED_VALUE"""),"")</f>
        <v/>
      </c>
      <c r="H75" s="16" t="str">
        <f>IFERROR(__xludf.DUMMYFUNCTION("""COMPUTED_VALUE"""),"")</f>
        <v/>
      </c>
      <c r="I75" s="16" t="str">
        <f>IFERROR(__xludf.DUMMYFUNCTION("""COMPUTED_VALUE"""),"")</f>
        <v/>
      </c>
      <c r="J75" s="16" t="str">
        <f>IFERROR(__xludf.DUMMYFUNCTION("""COMPUTED_VALUE"""),"")</f>
        <v/>
      </c>
      <c r="K75" s="16" t="str">
        <f>IFERROR(__xludf.DUMMYFUNCTION("""COMPUTED_VALUE"""),"")</f>
        <v/>
      </c>
      <c r="L75" s="16" t="str">
        <f>IFERROR(__xludf.DUMMYFUNCTION("""COMPUTED_VALUE"""),"")</f>
        <v/>
      </c>
      <c r="M75" s="16" t="str">
        <f>IFERROR(__xludf.DUMMYFUNCTION("""COMPUTED_VALUE"""),"")</f>
        <v/>
      </c>
      <c r="N75" s="16" t="str">
        <f>IFERROR(__xludf.DUMMYFUNCTION("""COMPUTED_VALUE"""),"")</f>
        <v/>
      </c>
      <c r="O75" s="16" t="str">
        <f>IFERROR(__xludf.DUMMYFUNCTION("""COMPUTED_VALUE"""),"")</f>
        <v/>
      </c>
      <c r="P75" s="16" t="str">
        <f>IFERROR(__xludf.DUMMYFUNCTION("""COMPUTED_VALUE"""),"")</f>
        <v/>
      </c>
      <c r="Q75" s="16" t="str">
        <f>IFERROR(__xludf.DUMMYFUNCTION("""COMPUTED_VALUE"""),"")</f>
        <v/>
      </c>
      <c r="R75" s="16" t="str">
        <f>IFERROR(__xludf.DUMMYFUNCTION("""COMPUTED_VALUE"""),"")</f>
        <v/>
      </c>
      <c r="S75" s="16" t="str">
        <f>IFERROR(__xludf.DUMMYFUNCTION("""COMPUTED_VALUE"""),"")</f>
        <v/>
      </c>
      <c r="T75" s="16" t="str">
        <f>IFERROR(__xludf.DUMMYFUNCTION("""COMPUTED_VALUE"""),"")</f>
        <v/>
      </c>
      <c r="U75" s="16" t="str">
        <f>IFERROR(__xludf.DUMMYFUNCTION("""COMPUTED_VALUE"""),"")</f>
        <v/>
      </c>
      <c r="V75" s="16" t="str">
        <f>IFERROR(__xludf.DUMMYFUNCTION("""COMPUTED_VALUE"""),"")</f>
        <v/>
      </c>
      <c r="W75" s="16" t="str">
        <f>IFERROR(__xludf.DUMMYFUNCTION("""COMPUTED_VALUE"""),"")</f>
        <v/>
      </c>
      <c r="X75" s="16" t="str">
        <f>IFERROR(__xludf.DUMMYFUNCTION("""COMPUTED_VALUE"""),"")</f>
        <v/>
      </c>
      <c r="Y75" s="16" t="str">
        <f>IFERROR(__xludf.DUMMYFUNCTION("""COMPUTED_VALUE"""),"")</f>
        <v/>
      </c>
      <c r="Z75" s="16"/>
      <c r="AA75" s="16"/>
      <c r="AB75" s="16"/>
      <c r="AC75" s="16"/>
      <c r="AD75" s="16"/>
      <c r="AE75" s="16"/>
      <c r="AF75" s="16"/>
      <c r="AG75" s="16"/>
      <c r="AH75" s="16"/>
      <c r="AI75" s="16"/>
      <c r="AJ75" s="16"/>
      <c r="AK75" s="16"/>
      <c r="AL75" s="16"/>
      <c r="AM75" s="16"/>
      <c r="AN75" s="16"/>
      <c r="AO75" s="16"/>
      <c r="AP75" s="16"/>
      <c r="AQ75" s="16"/>
      <c r="AR75" s="16"/>
      <c r="AS75" s="16"/>
      <c r="AT75" s="16"/>
      <c r="AU75" s="16"/>
      <c r="AV75" s="16"/>
      <c r="AW75" s="16"/>
      <c r="AX75" s="16"/>
    </row>
    <row r="76">
      <c r="A76" s="16"/>
      <c r="B76" s="16"/>
      <c r="C76" s="16" t="str">
        <f>IFERROR(__xludf.DUMMYFUNCTION("""COMPUTED_VALUE"""),"")</f>
        <v/>
      </c>
      <c r="D76" s="16" t="str">
        <f>IFERROR(__xludf.DUMMYFUNCTION("""COMPUTED_VALUE"""),"")</f>
        <v/>
      </c>
      <c r="E76" s="16" t="str">
        <f>IFERROR(__xludf.DUMMYFUNCTION("""COMPUTED_VALUE"""),"")</f>
        <v/>
      </c>
      <c r="F76" s="16" t="str">
        <f>IFERROR(__xludf.DUMMYFUNCTION("""COMPUTED_VALUE"""),"")</f>
        <v/>
      </c>
      <c r="G76" s="16" t="str">
        <f>IFERROR(__xludf.DUMMYFUNCTION("""COMPUTED_VALUE"""),"")</f>
        <v/>
      </c>
      <c r="H76" s="16" t="str">
        <f>IFERROR(__xludf.DUMMYFUNCTION("""COMPUTED_VALUE"""),"")</f>
        <v/>
      </c>
      <c r="I76" s="16" t="str">
        <f>IFERROR(__xludf.DUMMYFUNCTION("""COMPUTED_VALUE"""),"")</f>
        <v/>
      </c>
      <c r="J76" s="16" t="str">
        <f>IFERROR(__xludf.DUMMYFUNCTION("""COMPUTED_VALUE"""),"")</f>
        <v/>
      </c>
      <c r="K76" s="16" t="str">
        <f>IFERROR(__xludf.DUMMYFUNCTION("""COMPUTED_VALUE"""),"")</f>
        <v/>
      </c>
      <c r="L76" s="16" t="str">
        <f>IFERROR(__xludf.DUMMYFUNCTION("""COMPUTED_VALUE"""),"")</f>
        <v/>
      </c>
      <c r="M76" s="16" t="str">
        <f>IFERROR(__xludf.DUMMYFUNCTION("""COMPUTED_VALUE"""),"")</f>
        <v/>
      </c>
      <c r="N76" s="16" t="str">
        <f>IFERROR(__xludf.DUMMYFUNCTION("""COMPUTED_VALUE"""),"")</f>
        <v/>
      </c>
      <c r="O76" s="16" t="str">
        <f>IFERROR(__xludf.DUMMYFUNCTION("""COMPUTED_VALUE"""),"")</f>
        <v/>
      </c>
      <c r="P76" s="16" t="str">
        <f>IFERROR(__xludf.DUMMYFUNCTION("""COMPUTED_VALUE"""),"")</f>
        <v/>
      </c>
      <c r="Q76" s="16" t="str">
        <f>IFERROR(__xludf.DUMMYFUNCTION("""COMPUTED_VALUE"""),"")</f>
        <v/>
      </c>
      <c r="R76" s="16" t="str">
        <f>IFERROR(__xludf.DUMMYFUNCTION("""COMPUTED_VALUE"""),"")</f>
        <v/>
      </c>
      <c r="S76" s="16" t="str">
        <f>IFERROR(__xludf.DUMMYFUNCTION("""COMPUTED_VALUE"""),"")</f>
        <v/>
      </c>
      <c r="T76" s="16" t="str">
        <f>IFERROR(__xludf.DUMMYFUNCTION("""COMPUTED_VALUE"""),"")</f>
        <v/>
      </c>
      <c r="U76" s="16" t="str">
        <f>IFERROR(__xludf.DUMMYFUNCTION("""COMPUTED_VALUE"""),"")</f>
        <v/>
      </c>
      <c r="V76" s="16" t="str">
        <f>IFERROR(__xludf.DUMMYFUNCTION("""COMPUTED_VALUE"""),"")</f>
        <v/>
      </c>
      <c r="W76" s="16" t="str">
        <f>IFERROR(__xludf.DUMMYFUNCTION("""COMPUTED_VALUE"""),"")</f>
        <v/>
      </c>
      <c r="X76" s="16" t="str">
        <f>IFERROR(__xludf.DUMMYFUNCTION("""COMPUTED_VALUE"""),"")</f>
        <v/>
      </c>
      <c r="Y76" s="16" t="str">
        <f>IFERROR(__xludf.DUMMYFUNCTION("""COMPUTED_VALUE"""),"")</f>
        <v/>
      </c>
      <c r="Z76" s="16"/>
      <c r="AA76" s="16"/>
      <c r="AB76" s="16"/>
      <c r="AC76" s="16"/>
      <c r="AD76" s="16"/>
      <c r="AE76" s="16"/>
      <c r="AF76" s="16"/>
      <c r="AG76" s="16"/>
      <c r="AH76" s="16"/>
      <c r="AI76" s="16"/>
      <c r="AJ76" s="16"/>
      <c r="AK76" s="16"/>
      <c r="AL76" s="16"/>
      <c r="AM76" s="16"/>
      <c r="AN76" s="16"/>
      <c r="AO76" s="16"/>
      <c r="AP76" s="16"/>
      <c r="AQ76" s="16"/>
      <c r="AR76" s="16"/>
      <c r="AS76" s="16"/>
      <c r="AT76" s="16"/>
      <c r="AU76" s="16"/>
      <c r="AV76" s="16"/>
      <c r="AW76" s="16"/>
      <c r="AX76" s="16"/>
    </row>
    <row r="77">
      <c r="A77" s="16"/>
      <c r="B77" s="16"/>
      <c r="C77" s="16" t="str">
        <f>IFERROR(__xludf.DUMMYFUNCTION("""COMPUTED_VALUE"""),"")</f>
        <v/>
      </c>
      <c r="D77" s="16" t="str">
        <f>IFERROR(__xludf.DUMMYFUNCTION("""COMPUTED_VALUE"""),"")</f>
        <v/>
      </c>
      <c r="E77" s="16" t="str">
        <f>IFERROR(__xludf.DUMMYFUNCTION("""COMPUTED_VALUE"""),"")</f>
        <v/>
      </c>
      <c r="F77" s="16" t="str">
        <f>IFERROR(__xludf.DUMMYFUNCTION("""COMPUTED_VALUE"""),"")</f>
        <v/>
      </c>
      <c r="G77" s="16" t="str">
        <f>IFERROR(__xludf.DUMMYFUNCTION("""COMPUTED_VALUE"""),"")</f>
        <v/>
      </c>
      <c r="H77" s="16" t="str">
        <f>IFERROR(__xludf.DUMMYFUNCTION("""COMPUTED_VALUE"""),"")</f>
        <v/>
      </c>
      <c r="I77" s="16" t="str">
        <f>IFERROR(__xludf.DUMMYFUNCTION("""COMPUTED_VALUE"""),"")</f>
        <v/>
      </c>
      <c r="J77" s="16" t="str">
        <f>IFERROR(__xludf.DUMMYFUNCTION("""COMPUTED_VALUE"""),"")</f>
        <v/>
      </c>
      <c r="K77" s="16" t="str">
        <f>IFERROR(__xludf.DUMMYFUNCTION("""COMPUTED_VALUE"""),"")</f>
        <v/>
      </c>
      <c r="L77" s="16" t="str">
        <f>IFERROR(__xludf.DUMMYFUNCTION("""COMPUTED_VALUE"""),"")</f>
        <v/>
      </c>
      <c r="M77" s="16" t="str">
        <f>IFERROR(__xludf.DUMMYFUNCTION("""COMPUTED_VALUE"""),"")</f>
        <v/>
      </c>
      <c r="N77" s="16" t="str">
        <f>IFERROR(__xludf.DUMMYFUNCTION("""COMPUTED_VALUE"""),"")</f>
        <v/>
      </c>
      <c r="O77" s="16" t="str">
        <f>IFERROR(__xludf.DUMMYFUNCTION("""COMPUTED_VALUE"""),"")</f>
        <v/>
      </c>
      <c r="P77" s="16" t="str">
        <f>IFERROR(__xludf.DUMMYFUNCTION("""COMPUTED_VALUE"""),"")</f>
        <v/>
      </c>
      <c r="Q77" s="16" t="str">
        <f>IFERROR(__xludf.DUMMYFUNCTION("""COMPUTED_VALUE"""),"")</f>
        <v/>
      </c>
      <c r="R77" s="16" t="str">
        <f>IFERROR(__xludf.DUMMYFUNCTION("""COMPUTED_VALUE"""),"")</f>
        <v/>
      </c>
      <c r="S77" s="16" t="str">
        <f>IFERROR(__xludf.DUMMYFUNCTION("""COMPUTED_VALUE"""),"")</f>
        <v/>
      </c>
      <c r="T77" s="16" t="str">
        <f>IFERROR(__xludf.DUMMYFUNCTION("""COMPUTED_VALUE"""),"")</f>
        <v/>
      </c>
      <c r="U77" s="16" t="str">
        <f>IFERROR(__xludf.DUMMYFUNCTION("""COMPUTED_VALUE"""),"")</f>
        <v/>
      </c>
      <c r="V77" s="16" t="str">
        <f>IFERROR(__xludf.DUMMYFUNCTION("""COMPUTED_VALUE"""),"")</f>
        <v/>
      </c>
      <c r="W77" s="16" t="str">
        <f>IFERROR(__xludf.DUMMYFUNCTION("""COMPUTED_VALUE"""),"")</f>
        <v/>
      </c>
      <c r="X77" s="16" t="str">
        <f>IFERROR(__xludf.DUMMYFUNCTION("""COMPUTED_VALUE"""),"")</f>
        <v/>
      </c>
      <c r="Y77" s="16" t="str">
        <f>IFERROR(__xludf.DUMMYFUNCTION("""COMPUTED_VALUE"""),"")</f>
        <v/>
      </c>
      <c r="Z77" s="16"/>
      <c r="AA77" s="16"/>
      <c r="AB77" s="16"/>
      <c r="AC77" s="16"/>
      <c r="AD77" s="16"/>
      <c r="AE77" s="16"/>
      <c r="AF77" s="16"/>
      <c r="AG77" s="16"/>
      <c r="AH77" s="16"/>
      <c r="AI77" s="16"/>
      <c r="AJ77" s="16"/>
      <c r="AK77" s="16"/>
      <c r="AL77" s="16"/>
      <c r="AM77" s="16"/>
      <c r="AN77" s="16"/>
      <c r="AO77" s="16"/>
      <c r="AP77" s="16"/>
      <c r="AQ77" s="16"/>
      <c r="AR77" s="16"/>
      <c r="AS77" s="16"/>
      <c r="AT77" s="16"/>
      <c r="AU77" s="16"/>
      <c r="AV77" s="16"/>
      <c r="AW77" s="16"/>
      <c r="AX77" s="16"/>
    </row>
    <row r="78">
      <c r="A78" s="16"/>
      <c r="B78" s="16"/>
      <c r="C78" s="16" t="str">
        <f>IFERROR(__xludf.DUMMYFUNCTION("""COMPUTED_VALUE"""),"")</f>
        <v/>
      </c>
      <c r="D78" s="16" t="str">
        <f>IFERROR(__xludf.DUMMYFUNCTION("""COMPUTED_VALUE"""),"")</f>
        <v/>
      </c>
      <c r="E78" s="16" t="str">
        <f>IFERROR(__xludf.DUMMYFUNCTION("""COMPUTED_VALUE"""),"")</f>
        <v/>
      </c>
      <c r="F78" s="16" t="str">
        <f>IFERROR(__xludf.DUMMYFUNCTION("""COMPUTED_VALUE"""),"")</f>
        <v/>
      </c>
      <c r="G78" s="16" t="str">
        <f>IFERROR(__xludf.DUMMYFUNCTION("""COMPUTED_VALUE"""),"")</f>
        <v/>
      </c>
      <c r="H78" s="16" t="str">
        <f>IFERROR(__xludf.DUMMYFUNCTION("""COMPUTED_VALUE"""),"")</f>
        <v/>
      </c>
      <c r="I78" s="16" t="str">
        <f>IFERROR(__xludf.DUMMYFUNCTION("""COMPUTED_VALUE"""),"")</f>
        <v/>
      </c>
      <c r="J78" s="16" t="str">
        <f>IFERROR(__xludf.DUMMYFUNCTION("""COMPUTED_VALUE"""),"")</f>
        <v/>
      </c>
      <c r="K78" s="16" t="str">
        <f>IFERROR(__xludf.DUMMYFUNCTION("""COMPUTED_VALUE"""),"")</f>
        <v/>
      </c>
      <c r="L78" s="16" t="str">
        <f>IFERROR(__xludf.DUMMYFUNCTION("""COMPUTED_VALUE"""),"")</f>
        <v/>
      </c>
      <c r="M78" s="16" t="str">
        <f>IFERROR(__xludf.DUMMYFUNCTION("""COMPUTED_VALUE"""),"")</f>
        <v/>
      </c>
      <c r="N78" s="16" t="str">
        <f>IFERROR(__xludf.DUMMYFUNCTION("""COMPUTED_VALUE"""),"")</f>
        <v/>
      </c>
      <c r="O78" s="16" t="str">
        <f>IFERROR(__xludf.DUMMYFUNCTION("""COMPUTED_VALUE"""),"")</f>
        <v/>
      </c>
      <c r="P78" s="16" t="str">
        <f>IFERROR(__xludf.DUMMYFUNCTION("""COMPUTED_VALUE"""),"")</f>
        <v/>
      </c>
      <c r="Q78" s="16" t="str">
        <f>IFERROR(__xludf.DUMMYFUNCTION("""COMPUTED_VALUE"""),"")</f>
        <v/>
      </c>
      <c r="R78" s="16" t="str">
        <f>IFERROR(__xludf.DUMMYFUNCTION("""COMPUTED_VALUE"""),"")</f>
        <v/>
      </c>
      <c r="S78" s="16" t="str">
        <f>IFERROR(__xludf.DUMMYFUNCTION("""COMPUTED_VALUE"""),"")</f>
        <v/>
      </c>
      <c r="T78" s="16" t="str">
        <f>IFERROR(__xludf.DUMMYFUNCTION("""COMPUTED_VALUE"""),"")</f>
        <v/>
      </c>
      <c r="U78" s="16" t="str">
        <f>IFERROR(__xludf.DUMMYFUNCTION("""COMPUTED_VALUE"""),"")</f>
        <v/>
      </c>
      <c r="V78" s="16" t="str">
        <f>IFERROR(__xludf.DUMMYFUNCTION("""COMPUTED_VALUE"""),"")</f>
        <v/>
      </c>
      <c r="W78" s="16" t="str">
        <f>IFERROR(__xludf.DUMMYFUNCTION("""COMPUTED_VALUE"""),"")</f>
        <v/>
      </c>
      <c r="X78" s="16" t="str">
        <f>IFERROR(__xludf.DUMMYFUNCTION("""COMPUTED_VALUE"""),"")</f>
        <v/>
      </c>
      <c r="Y78" s="16" t="str">
        <f>IFERROR(__xludf.DUMMYFUNCTION("""COMPUTED_VALUE"""),"")</f>
        <v/>
      </c>
      <c r="Z78" s="16"/>
      <c r="AA78" s="16"/>
      <c r="AB78" s="16"/>
      <c r="AC78" s="16"/>
      <c r="AD78" s="16"/>
      <c r="AE78" s="16"/>
      <c r="AF78" s="16"/>
      <c r="AG78" s="16"/>
      <c r="AH78" s="16"/>
      <c r="AI78" s="16"/>
      <c r="AJ78" s="16"/>
      <c r="AK78" s="16"/>
      <c r="AL78" s="16"/>
      <c r="AM78" s="16"/>
      <c r="AN78" s="16"/>
      <c r="AO78" s="16"/>
      <c r="AP78" s="16"/>
      <c r="AQ78" s="16"/>
      <c r="AR78" s="16"/>
      <c r="AS78" s="16"/>
      <c r="AT78" s="16"/>
      <c r="AU78" s="16"/>
      <c r="AV78" s="16"/>
      <c r="AW78" s="16"/>
      <c r="AX78" s="16"/>
    </row>
    <row r="79">
      <c r="A79" s="16"/>
      <c r="B79" s="16"/>
      <c r="C79" s="16" t="str">
        <f>IFERROR(__xludf.DUMMYFUNCTION("""COMPUTED_VALUE"""),"")</f>
        <v/>
      </c>
      <c r="D79" s="16" t="str">
        <f>IFERROR(__xludf.DUMMYFUNCTION("""COMPUTED_VALUE"""),"")</f>
        <v/>
      </c>
      <c r="E79" s="16" t="str">
        <f>IFERROR(__xludf.DUMMYFUNCTION("""COMPUTED_VALUE"""),"")</f>
        <v/>
      </c>
      <c r="F79" s="16" t="str">
        <f>IFERROR(__xludf.DUMMYFUNCTION("""COMPUTED_VALUE"""),"")</f>
        <v/>
      </c>
      <c r="G79" s="16" t="str">
        <f>IFERROR(__xludf.DUMMYFUNCTION("""COMPUTED_VALUE"""),"")</f>
        <v/>
      </c>
      <c r="H79" s="16" t="str">
        <f>IFERROR(__xludf.DUMMYFUNCTION("""COMPUTED_VALUE"""),"")</f>
        <v/>
      </c>
      <c r="I79" s="16" t="str">
        <f>IFERROR(__xludf.DUMMYFUNCTION("""COMPUTED_VALUE"""),"")</f>
        <v/>
      </c>
      <c r="J79" s="16" t="str">
        <f>IFERROR(__xludf.DUMMYFUNCTION("""COMPUTED_VALUE"""),"")</f>
        <v/>
      </c>
      <c r="K79" s="16" t="str">
        <f>IFERROR(__xludf.DUMMYFUNCTION("""COMPUTED_VALUE"""),"")</f>
        <v/>
      </c>
      <c r="L79" s="16" t="str">
        <f>IFERROR(__xludf.DUMMYFUNCTION("""COMPUTED_VALUE"""),"")</f>
        <v/>
      </c>
      <c r="M79" s="16" t="str">
        <f>IFERROR(__xludf.DUMMYFUNCTION("""COMPUTED_VALUE"""),"")</f>
        <v/>
      </c>
      <c r="N79" s="16" t="str">
        <f>IFERROR(__xludf.DUMMYFUNCTION("""COMPUTED_VALUE"""),"")</f>
        <v/>
      </c>
      <c r="O79" s="16" t="str">
        <f>IFERROR(__xludf.DUMMYFUNCTION("""COMPUTED_VALUE"""),"")</f>
        <v/>
      </c>
      <c r="P79" s="16" t="str">
        <f>IFERROR(__xludf.DUMMYFUNCTION("""COMPUTED_VALUE"""),"")</f>
        <v/>
      </c>
      <c r="Q79" s="16" t="str">
        <f>IFERROR(__xludf.DUMMYFUNCTION("""COMPUTED_VALUE"""),"")</f>
        <v/>
      </c>
      <c r="R79" s="16" t="str">
        <f>IFERROR(__xludf.DUMMYFUNCTION("""COMPUTED_VALUE"""),"")</f>
        <v/>
      </c>
      <c r="S79" s="16" t="str">
        <f>IFERROR(__xludf.DUMMYFUNCTION("""COMPUTED_VALUE"""),"")</f>
        <v/>
      </c>
      <c r="T79" s="16" t="str">
        <f>IFERROR(__xludf.DUMMYFUNCTION("""COMPUTED_VALUE"""),"")</f>
        <v/>
      </c>
      <c r="U79" s="16" t="str">
        <f>IFERROR(__xludf.DUMMYFUNCTION("""COMPUTED_VALUE"""),"")</f>
        <v/>
      </c>
      <c r="V79" s="16" t="str">
        <f>IFERROR(__xludf.DUMMYFUNCTION("""COMPUTED_VALUE"""),"")</f>
        <v/>
      </c>
      <c r="W79" s="16" t="str">
        <f>IFERROR(__xludf.DUMMYFUNCTION("""COMPUTED_VALUE"""),"")</f>
        <v/>
      </c>
      <c r="X79" s="16" t="str">
        <f>IFERROR(__xludf.DUMMYFUNCTION("""COMPUTED_VALUE"""),"")</f>
        <v/>
      </c>
      <c r="Y79" s="16" t="str">
        <f>IFERROR(__xludf.DUMMYFUNCTION("""COMPUTED_VALUE"""),"")</f>
        <v/>
      </c>
      <c r="Z79" s="16"/>
      <c r="AA79" s="16"/>
      <c r="AB79" s="16"/>
      <c r="AC79" s="16"/>
      <c r="AD79" s="16"/>
      <c r="AE79" s="16"/>
      <c r="AF79" s="16"/>
      <c r="AG79" s="16"/>
      <c r="AH79" s="16"/>
      <c r="AI79" s="16"/>
      <c r="AJ79" s="16"/>
      <c r="AK79" s="16"/>
      <c r="AL79" s="16"/>
      <c r="AM79" s="16"/>
      <c r="AN79" s="16"/>
      <c r="AO79" s="16"/>
      <c r="AP79" s="16"/>
      <c r="AQ79" s="16"/>
      <c r="AR79" s="16"/>
      <c r="AS79" s="16"/>
      <c r="AT79" s="16"/>
      <c r="AU79" s="16"/>
      <c r="AV79" s="16"/>
      <c r="AW79" s="16"/>
      <c r="AX79" s="16"/>
    </row>
    <row r="80">
      <c r="A80" s="16"/>
      <c r="B80" s="16"/>
      <c r="C80" s="16" t="str">
        <f>IFERROR(__xludf.DUMMYFUNCTION("""COMPUTED_VALUE"""),"")</f>
        <v/>
      </c>
      <c r="D80" s="16" t="str">
        <f>IFERROR(__xludf.DUMMYFUNCTION("""COMPUTED_VALUE"""),"")</f>
        <v/>
      </c>
      <c r="E80" s="16" t="str">
        <f>IFERROR(__xludf.DUMMYFUNCTION("""COMPUTED_VALUE"""),"")</f>
        <v/>
      </c>
      <c r="F80" s="16" t="str">
        <f>IFERROR(__xludf.DUMMYFUNCTION("""COMPUTED_VALUE"""),"")</f>
        <v/>
      </c>
      <c r="G80" s="16" t="str">
        <f>IFERROR(__xludf.DUMMYFUNCTION("""COMPUTED_VALUE"""),"")</f>
        <v/>
      </c>
      <c r="H80" s="16" t="str">
        <f>IFERROR(__xludf.DUMMYFUNCTION("""COMPUTED_VALUE"""),"")</f>
        <v/>
      </c>
      <c r="I80" s="16" t="str">
        <f>IFERROR(__xludf.DUMMYFUNCTION("""COMPUTED_VALUE"""),"")</f>
        <v/>
      </c>
      <c r="J80" s="16" t="str">
        <f>IFERROR(__xludf.DUMMYFUNCTION("""COMPUTED_VALUE"""),"")</f>
        <v/>
      </c>
      <c r="K80" s="16" t="str">
        <f>IFERROR(__xludf.DUMMYFUNCTION("""COMPUTED_VALUE"""),"")</f>
        <v/>
      </c>
      <c r="L80" s="16" t="str">
        <f>IFERROR(__xludf.DUMMYFUNCTION("""COMPUTED_VALUE"""),"")</f>
        <v/>
      </c>
      <c r="M80" s="16" t="str">
        <f>IFERROR(__xludf.DUMMYFUNCTION("""COMPUTED_VALUE"""),"")</f>
        <v/>
      </c>
      <c r="N80" s="16" t="str">
        <f>IFERROR(__xludf.DUMMYFUNCTION("""COMPUTED_VALUE"""),"")</f>
        <v/>
      </c>
      <c r="O80" s="16" t="str">
        <f>IFERROR(__xludf.DUMMYFUNCTION("""COMPUTED_VALUE"""),"")</f>
        <v/>
      </c>
      <c r="P80" s="16" t="str">
        <f>IFERROR(__xludf.DUMMYFUNCTION("""COMPUTED_VALUE"""),"")</f>
        <v/>
      </c>
      <c r="Q80" s="16" t="str">
        <f>IFERROR(__xludf.DUMMYFUNCTION("""COMPUTED_VALUE"""),"")</f>
        <v/>
      </c>
      <c r="R80" s="16" t="str">
        <f>IFERROR(__xludf.DUMMYFUNCTION("""COMPUTED_VALUE"""),"")</f>
        <v/>
      </c>
      <c r="S80" s="16" t="str">
        <f>IFERROR(__xludf.DUMMYFUNCTION("""COMPUTED_VALUE"""),"")</f>
        <v/>
      </c>
      <c r="T80" s="16" t="str">
        <f>IFERROR(__xludf.DUMMYFUNCTION("""COMPUTED_VALUE"""),"")</f>
        <v/>
      </c>
      <c r="U80" s="16" t="str">
        <f>IFERROR(__xludf.DUMMYFUNCTION("""COMPUTED_VALUE"""),"")</f>
        <v/>
      </c>
      <c r="V80" s="16" t="str">
        <f>IFERROR(__xludf.DUMMYFUNCTION("""COMPUTED_VALUE"""),"")</f>
        <v/>
      </c>
      <c r="W80" s="16" t="str">
        <f>IFERROR(__xludf.DUMMYFUNCTION("""COMPUTED_VALUE"""),"")</f>
        <v/>
      </c>
      <c r="X80" s="16" t="str">
        <f>IFERROR(__xludf.DUMMYFUNCTION("""COMPUTED_VALUE"""),"")</f>
        <v/>
      </c>
      <c r="Y80" s="16" t="str">
        <f>IFERROR(__xludf.DUMMYFUNCTION("""COMPUTED_VALUE"""),"")</f>
        <v/>
      </c>
      <c r="Z80" s="16"/>
      <c r="AA80" s="16"/>
      <c r="AB80" s="16"/>
      <c r="AC80" s="16"/>
      <c r="AD80" s="16"/>
      <c r="AE80" s="16"/>
      <c r="AF80" s="16"/>
      <c r="AG80" s="16"/>
      <c r="AH80" s="16"/>
      <c r="AI80" s="16"/>
      <c r="AJ80" s="16"/>
      <c r="AK80" s="16"/>
      <c r="AL80" s="16"/>
      <c r="AM80" s="16"/>
      <c r="AN80" s="16"/>
      <c r="AO80" s="16"/>
      <c r="AP80" s="16"/>
      <c r="AQ80" s="16"/>
      <c r="AR80" s="16"/>
      <c r="AS80" s="16"/>
      <c r="AT80" s="16"/>
      <c r="AU80" s="16"/>
      <c r="AV80" s="16"/>
      <c r="AW80" s="16"/>
      <c r="AX80" s="16"/>
    </row>
    <row r="81">
      <c r="A81" s="16"/>
      <c r="B81" s="16"/>
      <c r="C81" s="16" t="str">
        <f>IFERROR(__xludf.DUMMYFUNCTION("""COMPUTED_VALUE"""),"")</f>
        <v/>
      </c>
      <c r="D81" s="16" t="str">
        <f>IFERROR(__xludf.DUMMYFUNCTION("""COMPUTED_VALUE"""),"")</f>
        <v/>
      </c>
      <c r="E81" s="16" t="str">
        <f>IFERROR(__xludf.DUMMYFUNCTION("""COMPUTED_VALUE"""),"")</f>
        <v/>
      </c>
      <c r="F81" s="16" t="str">
        <f>IFERROR(__xludf.DUMMYFUNCTION("""COMPUTED_VALUE"""),"")</f>
        <v/>
      </c>
      <c r="G81" s="16" t="str">
        <f>IFERROR(__xludf.DUMMYFUNCTION("""COMPUTED_VALUE"""),"")</f>
        <v/>
      </c>
      <c r="H81" s="16" t="str">
        <f>IFERROR(__xludf.DUMMYFUNCTION("""COMPUTED_VALUE"""),"")</f>
        <v/>
      </c>
      <c r="I81" s="16" t="str">
        <f>IFERROR(__xludf.DUMMYFUNCTION("""COMPUTED_VALUE"""),"")</f>
        <v/>
      </c>
      <c r="J81" s="16" t="str">
        <f>IFERROR(__xludf.DUMMYFUNCTION("""COMPUTED_VALUE"""),"")</f>
        <v/>
      </c>
      <c r="K81" s="16" t="str">
        <f>IFERROR(__xludf.DUMMYFUNCTION("""COMPUTED_VALUE"""),"")</f>
        <v/>
      </c>
      <c r="L81" s="16" t="str">
        <f>IFERROR(__xludf.DUMMYFUNCTION("""COMPUTED_VALUE"""),"")</f>
        <v/>
      </c>
      <c r="M81" s="16" t="str">
        <f>IFERROR(__xludf.DUMMYFUNCTION("""COMPUTED_VALUE"""),"")</f>
        <v/>
      </c>
      <c r="N81" s="16" t="str">
        <f>IFERROR(__xludf.DUMMYFUNCTION("""COMPUTED_VALUE"""),"")</f>
        <v/>
      </c>
      <c r="O81" s="16" t="str">
        <f>IFERROR(__xludf.DUMMYFUNCTION("""COMPUTED_VALUE"""),"")</f>
        <v/>
      </c>
      <c r="P81" s="16" t="str">
        <f>IFERROR(__xludf.DUMMYFUNCTION("""COMPUTED_VALUE"""),"")</f>
        <v/>
      </c>
      <c r="Q81" s="16" t="str">
        <f>IFERROR(__xludf.DUMMYFUNCTION("""COMPUTED_VALUE"""),"")</f>
        <v/>
      </c>
      <c r="R81" s="16" t="str">
        <f>IFERROR(__xludf.DUMMYFUNCTION("""COMPUTED_VALUE"""),"")</f>
        <v/>
      </c>
      <c r="S81" s="16" t="str">
        <f>IFERROR(__xludf.DUMMYFUNCTION("""COMPUTED_VALUE"""),"")</f>
        <v/>
      </c>
      <c r="T81" s="16" t="str">
        <f>IFERROR(__xludf.DUMMYFUNCTION("""COMPUTED_VALUE"""),"")</f>
        <v/>
      </c>
      <c r="U81" s="16" t="str">
        <f>IFERROR(__xludf.DUMMYFUNCTION("""COMPUTED_VALUE"""),"")</f>
        <v/>
      </c>
      <c r="V81" s="16" t="str">
        <f>IFERROR(__xludf.DUMMYFUNCTION("""COMPUTED_VALUE"""),"")</f>
        <v/>
      </c>
      <c r="W81" s="16" t="str">
        <f>IFERROR(__xludf.DUMMYFUNCTION("""COMPUTED_VALUE"""),"")</f>
        <v/>
      </c>
      <c r="X81" s="16" t="str">
        <f>IFERROR(__xludf.DUMMYFUNCTION("""COMPUTED_VALUE"""),"")</f>
        <v/>
      </c>
      <c r="Y81" s="16" t="str">
        <f>IFERROR(__xludf.DUMMYFUNCTION("""COMPUTED_VALUE"""),"")</f>
        <v/>
      </c>
      <c r="Z81" s="16"/>
      <c r="AA81" s="16"/>
      <c r="AB81" s="16"/>
      <c r="AC81" s="16"/>
      <c r="AD81" s="16"/>
      <c r="AE81" s="16"/>
      <c r="AF81" s="16"/>
      <c r="AG81" s="16"/>
      <c r="AH81" s="16"/>
      <c r="AI81" s="16"/>
      <c r="AJ81" s="16"/>
      <c r="AK81" s="16"/>
      <c r="AL81" s="16"/>
      <c r="AM81" s="16"/>
      <c r="AN81" s="16"/>
      <c r="AO81" s="16"/>
      <c r="AP81" s="16"/>
      <c r="AQ81" s="16"/>
      <c r="AR81" s="16"/>
      <c r="AS81" s="16"/>
      <c r="AT81" s="16"/>
      <c r="AU81" s="16"/>
      <c r="AV81" s="16"/>
      <c r="AW81" s="16"/>
      <c r="AX81" s="16"/>
    </row>
    <row r="82">
      <c r="A82" s="16"/>
      <c r="B82" s="16"/>
      <c r="C82" s="16" t="str">
        <f>IFERROR(__xludf.DUMMYFUNCTION("""COMPUTED_VALUE"""),"")</f>
        <v/>
      </c>
      <c r="D82" s="16" t="str">
        <f>IFERROR(__xludf.DUMMYFUNCTION("""COMPUTED_VALUE"""),"")</f>
        <v/>
      </c>
      <c r="E82" s="16" t="str">
        <f>IFERROR(__xludf.DUMMYFUNCTION("""COMPUTED_VALUE"""),"")</f>
        <v/>
      </c>
      <c r="F82" s="16" t="str">
        <f>IFERROR(__xludf.DUMMYFUNCTION("""COMPUTED_VALUE"""),"")</f>
        <v/>
      </c>
      <c r="G82" s="16" t="str">
        <f>IFERROR(__xludf.DUMMYFUNCTION("""COMPUTED_VALUE"""),"")</f>
        <v/>
      </c>
      <c r="H82" s="16" t="str">
        <f>IFERROR(__xludf.DUMMYFUNCTION("""COMPUTED_VALUE"""),"")</f>
        <v/>
      </c>
      <c r="I82" s="16" t="str">
        <f>IFERROR(__xludf.DUMMYFUNCTION("""COMPUTED_VALUE"""),"")</f>
        <v/>
      </c>
      <c r="J82" s="16" t="str">
        <f>IFERROR(__xludf.DUMMYFUNCTION("""COMPUTED_VALUE"""),"")</f>
        <v/>
      </c>
      <c r="K82" s="16" t="str">
        <f>IFERROR(__xludf.DUMMYFUNCTION("""COMPUTED_VALUE"""),"")</f>
        <v/>
      </c>
      <c r="L82" s="16" t="str">
        <f>IFERROR(__xludf.DUMMYFUNCTION("""COMPUTED_VALUE"""),"")</f>
        <v/>
      </c>
      <c r="M82" s="16" t="str">
        <f>IFERROR(__xludf.DUMMYFUNCTION("""COMPUTED_VALUE"""),"")</f>
        <v/>
      </c>
      <c r="N82" s="16" t="str">
        <f>IFERROR(__xludf.DUMMYFUNCTION("""COMPUTED_VALUE"""),"")</f>
        <v/>
      </c>
      <c r="O82" s="16" t="str">
        <f>IFERROR(__xludf.DUMMYFUNCTION("""COMPUTED_VALUE"""),"")</f>
        <v/>
      </c>
      <c r="P82" s="16" t="str">
        <f>IFERROR(__xludf.DUMMYFUNCTION("""COMPUTED_VALUE"""),"")</f>
        <v/>
      </c>
      <c r="Q82" s="16" t="str">
        <f>IFERROR(__xludf.DUMMYFUNCTION("""COMPUTED_VALUE"""),"")</f>
        <v/>
      </c>
      <c r="R82" s="16" t="str">
        <f>IFERROR(__xludf.DUMMYFUNCTION("""COMPUTED_VALUE"""),"")</f>
        <v/>
      </c>
      <c r="S82" s="16" t="str">
        <f>IFERROR(__xludf.DUMMYFUNCTION("""COMPUTED_VALUE"""),"")</f>
        <v/>
      </c>
      <c r="T82" s="16" t="str">
        <f>IFERROR(__xludf.DUMMYFUNCTION("""COMPUTED_VALUE"""),"")</f>
        <v/>
      </c>
      <c r="U82" s="16" t="str">
        <f>IFERROR(__xludf.DUMMYFUNCTION("""COMPUTED_VALUE"""),"")</f>
        <v/>
      </c>
      <c r="V82" s="16" t="str">
        <f>IFERROR(__xludf.DUMMYFUNCTION("""COMPUTED_VALUE"""),"")</f>
        <v/>
      </c>
      <c r="W82" s="16" t="str">
        <f>IFERROR(__xludf.DUMMYFUNCTION("""COMPUTED_VALUE"""),"")</f>
        <v/>
      </c>
      <c r="X82" s="16" t="str">
        <f>IFERROR(__xludf.DUMMYFUNCTION("""COMPUTED_VALUE"""),"")</f>
        <v/>
      </c>
      <c r="Y82" s="16" t="str">
        <f>IFERROR(__xludf.DUMMYFUNCTION("""COMPUTED_VALUE"""),"")</f>
        <v/>
      </c>
      <c r="Z82" s="16"/>
      <c r="AA82" s="16"/>
      <c r="AB82" s="16"/>
      <c r="AC82" s="16"/>
      <c r="AD82" s="16"/>
      <c r="AE82" s="16"/>
      <c r="AF82" s="16"/>
      <c r="AG82" s="16"/>
      <c r="AH82" s="16"/>
      <c r="AI82" s="16"/>
      <c r="AJ82" s="16"/>
      <c r="AK82" s="16"/>
      <c r="AL82" s="16"/>
      <c r="AM82" s="16"/>
      <c r="AN82" s="16"/>
      <c r="AO82" s="16"/>
      <c r="AP82" s="16"/>
      <c r="AQ82" s="16"/>
      <c r="AR82" s="16"/>
      <c r="AS82" s="16"/>
      <c r="AT82" s="16"/>
      <c r="AU82" s="16"/>
      <c r="AV82" s="16"/>
      <c r="AW82" s="16"/>
      <c r="AX82" s="16"/>
    </row>
    <row r="83">
      <c r="A83" s="16"/>
      <c r="B83" s="16"/>
      <c r="C83" s="16" t="str">
        <f>IFERROR(__xludf.DUMMYFUNCTION("""COMPUTED_VALUE"""),"")</f>
        <v/>
      </c>
      <c r="D83" s="16" t="str">
        <f>IFERROR(__xludf.DUMMYFUNCTION("""COMPUTED_VALUE"""),"")</f>
        <v/>
      </c>
      <c r="E83" s="16" t="str">
        <f>IFERROR(__xludf.DUMMYFUNCTION("""COMPUTED_VALUE"""),"")</f>
        <v/>
      </c>
      <c r="F83" s="16" t="str">
        <f>IFERROR(__xludf.DUMMYFUNCTION("""COMPUTED_VALUE"""),"")</f>
        <v/>
      </c>
      <c r="G83" s="16" t="str">
        <f>IFERROR(__xludf.DUMMYFUNCTION("""COMPUTED_VALUE"""),"")</f>
        <v/>
      </c>
      <c r="H83" s="16" t="str">
        <f>IFERROR(__xludf.DUMMYFUNCTION("""COMPUTED_VALUE"""),"")</f>
        <v/>
      </c>
      <c r="I83" s="16" t="str">
        <f>IFERROR(__xludf.DUMMYFUNCTION("""COMPUTED_VALUE"""),"")</f>
        <v/>
      </c>
      <c r="J83" s="16" t="str">
        <f>IFERROR(__xludf.DUMMYFUNCTION("""COMPUTED_VALUE"""),"")</f>
        <v/>
      </c>
      <c r="K83" s="16" t="str">
        <f>IFERROR(__xludf.DUMMYFUNCTION("""COMPUTED_VALUE"""),"")</f>
        <v/>
      </c>
      <c r="L83" s="16" t="str">
        <f>IFERROR(__xludf.DUMMYFUNCTION("""COMPUTED_VALUE"""),"")</f>
        <v/>
      </c>
      <c r="M83" s="16" t="str">
        <f>IFERROR(__xludf.DUMMYFUNCTION("""COMPUTED_VALUE"""),"")</f>
        <v/>
      </c>
      <c r="N83" s="16" t="str">
        <f>IFERROR(__xludf.DUMMYFUNCTION("""COMPUTED_VALUE"""),"")</f>
        <v/>
      </c>
      <c r="O83" s="16" t="str">
        <f>IFERROR(__xludf.DUMMYFUNCTION("""COMPUTED_VALUE"""),"")</f>
        <v/>
      </c>
      <c r="P83" s="16" t="str">
        <f>IFERROR(__xludf.DUMMYFUNCTION("""COMPUTED_VALUE"""),"")</f>
        <v/>
      </c>
      <c r="Q83" s="16" t="str">
        <f>IFERROR(__xludf.DUMMYFUNCTION("""COMPUTED_VALUE"""),"")</f>
        <v/>
      </c>
      <c r="R83" s="16" t="str">
        <f>IFERROR(__xludf.DUMMYFUNCTION("""COMPUTED_VALUE"""),"")</f>
        <v/>
      </c>
      <c r="S83" s="16" t="str">
        <f>IFERROR(__xludf.DUMMYFUNCTION("""COMPUTED_VALUE"""),"")</f>
        <v/>
      </c>
      <c r="T83" s="16" t="str">
        <f>IFERROR(__xludf.DUMMYFUNCTION("""COMPUTED_VALUE"""),"")</f>
        <v/>
      </c>
      <c r="U83" s="16" t="str">
        <f>IFERROR(__xludf.DUMMYFUNCTION("""COMPUTED_VALUE"""),"")</f>
        <v/>
      </c>
      <c r="V83" s="16" t="str">
        <f>IFERROR(__xludf.DUMMYFUNCTION("""COMPUTED_VALUE"""),"")</f>
        <v/>
      </c>
      <c r="W83" s="16" t="str">
        <f>IFERROR(__xludf.DUMMYFUNCTION("""COMPUTED_VALUE"""),"")</f>
        <v/>
      </c>
      <c r="X83" s="16" t="str">
        <f>IFERROR(__xludf.DUMMYFUNCTION("""COMPUTED_VALUE"""),"")</f>
        <v/>
      </c>
      <c r="Y83" s="16" t="str">
        <f>IFERROR(__xludf.DUMMYFUNCTION("""COMPUTED_VALUE"""),"")</f>
        <v/>
      </c>
      <c r="Z83" s="16"/>
      <c r="AA83" s="16"/>
      <c r="AB83" s="16"/>
      <c r="AC83" s="16"/>
      <c r="AD83" s="16"/>
      <c r="AE83" s="16"/>
      <c r="AF83" s="16"/>
      <c r="AG83" s="16"/>
      <c r="AH83" s="16"/>
      <c r="AI83" s="16"/>
      <c r="AJ83" s="16"/>
      <c r="AK83" s="16"/>
      <c r="AL83" s="16"/>
      <c r="AM83" s="16"/>
      <c r="AN83" s="16"/>
      <c r="AO83" s="16"/>
      <c r="AP83" s="16"/>
      <c r="AQ83" s="16"/>
      <c r="AR83" s="16"/>
      <c r="AS83" s="16"/>
      <c r="AT83" s="16"/>
      <c r="AU83" s="16"/>
      <c r="AV83" s="16"/>
      <c r="AW83" s="16"/>
      <c r="AX83" s="16"/>
    </row>
    <row r="84">
      <c r="A84" s="16"/>
      <c r="B84" s="16"/>
      <c r="C84" s="16" t="str">
        <f>IFERROR(__xludf.DUMMYFUNCTION("""COMPUTED_VALUE"""),"")</f>
        <v/>
      </c>
      <c r="D84" s="16" t="str">
        <f>IFERROR(__xludf.DUMMYFUNCTION("""COMPUTED_VALUE"""),"")</f>
        <v/>
      </c>
      <c r="E84" s="16" t="str">
        <f>IFERROR(__xludf.DUMMYFUNCTION("""COMPUTED_VALUE"""),"")</f>
        <v/>
      </c>
      <c r="F84" s="16" t="str">
        <f>IFERROR(__xludf.DUMMYFUNCTION("""COMPUTED_VALUE"""),"")</f>
        <v/>
      </c>
      <c r="G84" s="16" t="str">
        <f>IFERROR(__xludf.DUMMYFUNCTION("""COMPUTED_VALUE"""),"")</f>
        <v/>
      </c>
      <c r="H84" s="16" t="str">
        <f>IFERROR(__xludf.DUMMYFUNCTION("""COMPUTED_VALUE"""),"")</f>
        <v/>
      </c>
      <c r="I84" s="16" t="str">
        <f>IFERROR(__xludf.DUMMYFUNCTION("""COMPUTED_VALUE"""),"")</f>
        <v/>
      </c>
      <c r="J84" s="16" t="str">
        <f>IFERROR(__xludf.DUMMYFUNCTION("""COMPUTED_VALUE"""),"")</f>
        <v/>
      </c>
      <c r="K84" s="16" t="str">
        <f>IFERROR(__xludf.DUMMYFUNCTION("""COMPUTED_VALUE"""),"")</f>
        <v/>
      </c>
      <c r="L84" s="16" t="str">
        <f>IFERROR(__xludf.DUMMYFUNCTION("""COMPUTED_VALUE"""),"")</f>
        <v/>
      </c>
      <c r="M84" s="16" t="str">
        <f>IFERROR(__xludf.DUMMYFUNCTION("""COMPUTED_VALUE"""),"")</f>
        <v/>
      </c>
      <c r="N84" s="16" t="str">
        <f>IFERROR(__xludf.DUMMYFUNCTION("""COMPUTED_VALUE"""),"")</f>
        <v/>
      </c>
      <c r="O84" s="16" t="str">
        <f>IFERROR(__xludf.DUMMYFUNCTION("""COMPUTED_VALUE"""),"")</f>
        <v/>
      </c>
      <c r="P84" s="16" t="str">
        <f>IFERROR(__xludf.DUMMYFUNCTION("""COMPUTED_VALUE"""),"")</f>
        <v/>
      </c>
      <c r="Q84" s="16" t="str">
        <f>IFERROR(__xludf.DUMMYFUNCTION("""COMPUTED_VALUE"""),"")</f>
        <v/>
      </c>
      <c r="R84" s="16" t="str">
        <f>IFERROR(__xludf.DUMMYFUNCTION("""COMPUTED_VALUE"""),"")</f>
        <v/>
      </c>
      <c r="S84" s="16" t="str">
        <f>IFERROR(__xludf.DUMMYFUNCTION("""COMPUTED_VALUE"""),"")</f>
        <v/>
      </c>
      <c r="T84" s="16" t="str">
        <f>IFERROR(__xludf.DUMMYFUNCTION("""COMPUTED_VALUE"""),"")</f>
        <v/>
      </c>
      <c r="U84" s="16" t="str">
        <f>IFERROR(__xludf.DUMMYFUNCTION("""COMPUTED_VALUE"""),"")</f>
        <v/>
      </c>
      <c r="V84" s="16" t="str">
        <f>IFERROR(__xludf.DUMMYFUNCTION("""COMPUTED_VALUE"""),"")</f>
        <v/>
      </c>
      <c r="W84" s="16" t="str">
        <f>IFERROR(__xludf.DUMMYFUNCTION("""COMPUTED_VALUE"""),"")</f>
        <v/>
      </c>
      <c r="X84" s="16" t="str">
        <f>IFERROR(__xludf.DUMMYFUNCTION("""COMPUTED_VALUE"""),"")</f>
        <v/>
      </c>
      <c r="Y84" s="16" t="str">
        <f>IFERROR(__xludf.DUMMYFUNCTION("""COMPUTED_VALUE"""),"")</f>
        <v/>
      </c>
      <c r="Z84" s="16"/>
      <c r="AA84" s="16"/>
      <c r="AB84" s="16"/>
      <c r="AC84" s="16"/>
      <c r="AD84" s="16"/>
      <c r="AE84" s="16"/>
      <c r="AF84" s="16"/>
      <c r="AG84" s="16"/>
      <c r="AH84" s="16"/>
      <c r="AI84" s="16"/>
      <c r="AJ84" s="16"/>
      <c r="AK84" s="16"/>
      <c r="AL84" s="16"/>
      <c r="AM84" s="16"/>
      <c r="AN84" s="16"/>
      <c r="AO84" s="16"/>
      <c r="AP84" s="16"/>
      <c r="AQ84" s="16"/>
      <c r="AR84" s="16"/>
      <c r="AS84" s="16"/>
      <c r="AT84" s="16"/>
      <c r="AU84" s="16"/>
      <c r="AV84" s="16"/>
      <c r="AW84" s="16"/>
      <c r="AX84" s="16"/>
    </row>
    <row r="85">
      <c r="A85" s="16"/>
      <c r="B85" s="16"/>
      <c r="C85" s="16" t="str">
        <f>IFERROR(__xludf.DUMMYFUNCTION("""COMPUTED_VALUE"""),"")</f>
        <v/>
      </c>
      <c r="D85" s="16" t="str">
        <f>IFERROR(__xludf.DUMMYFUNCTION("""COMPUTED_VALUE"""),"")</f>
        <v/>
      </c>
      <c r="E85" s="16" t="str">
        <f>IFERROR(__xludf.DUMMYFUNCTION("""COMPUTED_VALUE"""),"")</f>
        <v/>
      </c>
      <c r="F85" s="16" t="str">
        <f>IFERROR(__xludf.DUMMYFUNCTION("""COMPUTED_VALUE"""),"")</f>
        <v/>
      </c>
      <c r="G85" s="16" t="str">
        <f>IFERROR(__xludf.DUMMYFUNCTION("""COMPUTED_VALUE"""),"")</f>
        <v/>
      </c>
      <c r="H85" s="16" t="str">
        <f>IFERROR(__xludf.DUMMYFUNCTION("""COMPUTED_VALUE"""),"")</f>
        <v/>
      </c>
      <c r="I85" s="16" t="str">
        <f>IFERROR(__xludf.DUMMYFUNCTION("""COMPUTED_VALUE"""),"")</f>
        <v/>
      </c>
      <c r="J85" s="16" t="str">
        <f>IFERROR(__xludf.DUMMYFUNCTION("""COMPUTED_VALUE"""),"")</f>
        <v/>
      </c>
      <c r="K85" s="16" t="str">
        <f>IFERROR(__xludf.DUMMYFUNCTION("""COMPUTED_VALUE"""),"")</f>
        <v/>
      </c>
      <c r="L85" s="16" t="str">
        <f>IFERROR(__xludf.DUMMYFUNCTION("""COMPUTED_VALUE"""),"")</f>
        <v/>
      </c>
      <c r="M85" s="16" t="str">
        <f>IFERROR(__xludf.DUMMYFUNCTION("""COMPUTED_VALUE"""),"")</f>
        <v/>
      </c>
      <c r="N85" s="16" t="str">
        <f>IFERROR(__xludf.DUMMYFUNCTION("""COMPUTED_VALUE"""),"")</f>
        <v/>
      </c>
      <c r="O85" s="16" t="str">
        <f>IFERROR(__xludf.DUMMYFUNCTION("""COMPUTED_VALUE"""),"")</f>
        <v/>
      </c>
      <c r="P85" s="16" t="str">
        <f>IFERROR(__xludf.DUMMYFUNCTION("""COMPUTED_VALUE"""),"")</f>
        <v/>
      </c>
      <c r="Q85" s="16" t="str">
        <f>IFERROR(__xludf.DUMMYFUNCTION("""COMPUTED_VALUE"""),"")</f>
        <v/>
      </c>
      <c r="R85" s="16" t="str">
        <f>IFERROR(__xludf.DUMMYFUNCTION("""COMPUTED_VALUE"""),"")</f>
        <v/>
      </c>
      <c r="S85" s="16" t="str">
        <f>IFERROR(__xludf.DUMMYFUNCTION("""COMPUTED_VALUE"""),"")</f>
        <v/>
      </c>
      <c r="T85" s="16" t="str">
        <f>IFERROR(__xludf.DUMMYFUNCTION("""COMPUTED_VALUE"""),"")</f>
        <v/>
      </c>
      <c r="U85" s="16" t="str">
        <f>IFERROR(__xludf.DUMMYFUNCTION("""COMPUTED_VALUE"""),"")</f>
        <v/>
      </c>
      <c r="V85" s="16" t="str">
        <f>IFERROR(__xludf.DUMMYFUNCTION("""COMPUTED_VALUE"""),"")</f>
        <v/>
      </c>
      <c r="W85" s="16" t="str">
        <f>IFERROR(__xludf.DUMMYFUNCTION("""COMPUTED_VALUE"""),"")</f>
        <v/>
      </c>
      <c r="X85" s="16" t="str">
        <f>IFERROR(__xludf.DUMMYFUNCTION("""COMPUTED_VALUE"""),"")</f>
        <v/>
      </c>
      <c r="Y85" s="16" t="str">
        <f>IFERROR(__xludf.DUMMYFUNCTION("""COMPUTED_VALUE"""),"")</f>
        <v/>
      </c>
      <c r="Z85" s="16"/>
      <c r="AA85" s="16"/>
      <c r="AB85" s="16"/>
      <c r="AC85" s="16"/>
      <c r="AD85" s="16"/>
      <c r="AE85" s="16"/>
      <c r="AF85" s="16"/>
      <c r="AG85" s="16"/>
      <c r="AH85" s="16"/>
      <c r="AI85" s="16"/>
      <c r="AJ85" s="16"/>
      <c r="AK85" s="16"/>
      <c r="AL85" s="16"/>
      <c r="AM85" s="16"/>
      <c r="AN85" s="16"/>
      <c r="AO85" s="16"/>
      <c r="AP85" s="16"/>
      <c r="AQ85" s="16"/>
      <c r="AR85" s="16"/>
      <c r="AS85" s="16"/>
      <c r="AT85" s="16"/>
      <c r="AU85" s="16"/>
      <c r="AV85" s="16"/>
      <c r="AW85" s="16"/>
      <c r="AX85" s="16"/>
    </row>
    <row r="86">
      <c r="A86" s="16"/>
      <c r="B86" s="16"/>
      <c r="C86" s="16" t="str">
        <f>IFERROR(__xludf.DUMMYFUNCTION("""COMPUTED_VALUE"""),"")</f>
        <v/>
      </c>
      <c r="D86" s="16" t="str">
        <f>IFERROR(__xludf.DUMMYFUNCTION("""COMPUTED_VALUE"""),"")</f>
        <v/>
      </c>
      <c r="E86" s="16" t="str">
        <f>IFERROR(__xludf.DUMMYFUNCTION("""COMPUTED_VALUE"""),"")</f>
        <v/>
      </c>
      <c r="F86" s="16" t="str">
        <f>IFERROR(__xludf.DUMMYFUNCTION("""COMPUTED_VALUE"""),"")</f>
        <v/>
      </c>
      <c r="G86" s="16" t="str">
        <f>IFERROR(__xludf.DUMMYFUNCTION("""COMPUTED_VALUE"""),"")</f>
        <v/>
      </c>
      <c r="H86" s="16" t="str">
        <f>IFERROR(__xludf.DUMMYFUNCTION("""COMPUTED_VALUE"""),"")</f>
        <v/>
      </c>
      <c r="I86" s="16" t="str">
        <f>IFERROR(__xludf.DUMMYFUNCTION("""COMPUTED_VALUE"""),"")</f>
        <v/>
      </c>
      <c r="J86" s="16" t="str">
        <f>IFERROR(__xludf.DUMMYFUNCTION("""COMPUTED_VALUE"""),"")</f>
        <v/>
      </c>
      <c r="K86" s="16" t="str">
        <f>IFERROR(__xludf.DUMMYFUNCTION("""COMPUTED_VALUE"""),"")</f>
        <v/>
      </c>
      <c r="L86" s="16" t="str">
        <f>IFERROR(__xludf.DUMMYFUNCTION("""COMPUTED_VALUE"""),"")</f>
        <v/>
      </c>
      <c r="M86" s="16" t="str">
        <f>IFERROR(__xludf.DUMMYFUNCTION("""COMPUTED_VALUE"""),"")</f>
        <v/>
      </c>
      <c r="N86" s="16" t="str">
        <f>IFERROR(__xludf.DUMMYFUNCTION("""COMPUTED_VALUE"""),"")</f>
        <v/>
      </c>
      <c r="O86" s="16" t="str">
        <f>IFERROR(__xludf.DUMMYFUNCTION("""COMPUTED_VALUE"""),"")</f>
        <v/>
      </c>
      <c r="P86" s="16" t="str">
        <f>IFERROR(__xludf.DUMMYFUNCTION("""COMPUTED_VALUE"""),"")</f>
        <v/>
      </c>
      <c r="Q86" s="16" t="str">
        <f>IFERROR(__xludf.DUMMYFUNCTION("""COMPUTED_VALUE"""),"")</f>
        <v/>
      </c>
      <c r="R86" s="16" t="str">
        <f>IFERROR(__xludf.DUMMYFUNCTION("""COMPUTED_VALUE"""),"")</f>
        <v/>
      </c>
      <c r="S86" s="16" t="str">
        <f>IFERROR(__xludf.DUMMYFUNCTION("""COMPUTED_VALUE"""),"")</f>
        <v/>
      </c>
      <c r="T86" s="16" t="str">
        <f>IFERROR(__xludf.DUMMYFUNCTION("""COMPUTED_VALUE"""),"")</f>
        <v/>
      </c>
      <c r="U86" s="16" t="str">
        <f>IFERROR(__xludf.DUMMYFUNCTION("""COMPUTED_VALUE"""),"")</f>
        <v/>
      </c>
      <c r="V86" s="16" t="str">
        <f>IFERROR(__xludf.DUMMYFUNCTION("""COMPUTED_VALUE"""),"")</f>
        <v/>
      </c>
      <c r="W86" s="16" t="str">
        <f>IFERROR(__xludf.DUMMYFUNCTION("""COMPUTED_VALUE"""),"")</f>
        <v/>
      </c>
      <c r="X86" s="16" t="str">
        <f>IFERROR(__xludf.DUMMYFUNCTION("""COMPUTED_VALUE"""),"")</f>
        <v/>
      </c>
      <c r="Y86" s="16" t="str">
        <f>IFERROR(__xludf.DUMMYFUNCTION("""COMPUTED_VALUE"""),"")</f>
        <v/>
      </c>
      <c r="Z86" s="16"/>
      <c r="AA86" s="16"/>
      <c r="AB86" s="16"/>
      <c r="AC86" s="16"/>
      <c r="AD86" s="16"/>
      <c r="AE86" s="16"/>
      <c r="AF86" s="16"/>
      <c r="AG86" s="16"/>
      <c r="AH86" s="16"/>
      <c r="AI86" s="16"/>
      <c r="AJ86" s="16"/>
      <c r="AK86" s="16"/>
      <c r="AL86" s="16"/>
      <c r="AM86" s="16"/>
      <c r="AN86" s="16"/>
      <c r="AO86" s="16"/>
      <c r="AP86" s="16"/>
      <c r="AQ86" s="16"/>
      <c r="AR86" s="16"/>
      <c r="AS86" s="16"/>
      <c r="AT86" s="16"/>
      <c r="AU86" s="16"/>
      <c r="AV86" s="16"/>
      <c r="AW86" s="16"/>
      <c r="AX86" s="16"/>
    </row>
    <row r="87">
      <c r="A87" s="16"/>
      <c r="B87" s="16"/>
      <c r="C87" s="16" t="str">
        <f>IFERROR(__xludf.DUMMYFUNCTION("""COMPUTED_VALUE"""),"")</f>
        <v/>
      </c>
      <c r="D87" s="16" t="str">
        <f>IFERROR(__xludf.DUMMYFUNCTION("""COMPUTED_VALUE"""),"")</f>
        <v/>
      </c>
      <c r="E87" s="16" t="str">
        <f>IFERROR(__xludf.DUMMYFUNCTION("""COMPUTED_VALUE"""),"")</f>
        <v/>
      </c>
      <c r="F87" s="16" t="str">
        <f>IFERROR(__xludf.DUMMYFUNCTION("""COMPUTED_VALUE"""),"")</f>
        <v/>
      </c>
      <c r="G87" s="16" t="str">
        <f>IFERROR(__xludf.DUMMYFUNCTION("""COMPUTED_VALUE"""),"")</f>
        <v/>
      </c>
      <c r="H87" s="16" t="str">
        <f>IFERROR(__xludf.DUMMYFUNCTION("""COMPUTED_VALUE"""),"")</f>
        <v/>
      </c>
      <c r="I87" s="16" t="str">
        <f>IFERROR(__xludf.DUMMYFUNCTION("""COMPUTED_VALUE"""),"")</f>
        <v/>
      </c>
      <c r="J87" s="16" t="str">
        <f>IFERROR(__xludf.DUMMYFUNCTION("""COMPUTED_VALUE"""),"")</f>
        <v/>
      </c>
      <c r="K87" s="16" t="str">
        <f>IFERROR(__xludf.DUMMYFUNCTION("""COMPUTED_VALUE"""),"")</f>
        <v/>
      </c>
      <c r="L87" s="16" t="str">
        <f>IFERROR(__xludf.DUMMYFUNCTION("""COMPUTED_VALUE"""),"")</f>
        <v/>
      </c>
      <c r="M87" s="16" t="str">
        <f>IFERROR(__xludf.DUMMYFUNCTION("""COMPUTED_VALUE"""),"")</f>
        <v/>
      </c>
      <c r="N87" s="16" t="str">
        <f>IFERROR(__xludf.DUMMYFUNCTION("""COMPUTED_VALUE"""),"")</f>
        <v/>
      </c>
      <c r="O87" s="16" t="str">
        <f>IFERROR(__xludf.DUMMYFUNCTION("""COMPUTED_VALUE"""),"")</f>
        <v/>
      </c>
      <c r="P87" s="16" t="str">
        <f>IFERROR(__xludf.DUMMYFUNCTION("""COMPUTED_VALUE"""),"")</f>
        <v/>
      </c>
      <c r="Q87" s="16" t="str">
        <f>IFERROR(__xludf.DUMMYFUNCTION("""COMPUTED_VALUE"""),"")</f>
        <v/>
      </c>
      <c r="R87" s="16" t="str">
        <f>IFERROR(__xludf.DUMMYFUNCTION("""COMPUTED_VALUE"""),"")</f>
        <v/>
      </c>
      <c r="S87" s="16" t="str">
        <f>IFERROR(__xludf.DUMMYFUNCTION("""COMPUTED_VALUE"""),"")</f>
        <v/>
      </c>
      <c r="T87" s="16" t="str">
        <f>IFERROR(__xludf.DUMMYFUNCTION("""COMPUTED_VALUE"""),"")</f>
        <v/>
      </c>
      <c r="U87" s="16" t="str">
        <f>IFERROR(__xludf.DUMMYFUNCTION("""COMPUTED_VALUE"""),"")</f>
        <v/>
      </c>
      <c r="V87" s="16" t="str">
        <f>IFERROR(__xludf.DUMMYFUNCTION("""COMPUTED_VALUE"""),"")</f>
        <v/>
      </c>
      <c r="W87" s="16" t="str">
        <f>IFERROR(__xludf.DUMMYFUNCTION("""COMPUTED_VALUE"""),"")</f>
        <v/>
      </c>
      <c r="X87" s="16" t="str">
        <f>IFERROR(__xludf.DUMMYFUNCTION("""COMPUTED_VALUE"""),"")</f>
        <v/>
      </c>
      <c r="Y87" s="16" t="str">
        <f>IFERROR(__xludf.DUMMYFUNCTION("""COMPUTED_VALUE"""),"")</f>
        <v/>
      </c>
      <c r="Z87" s="16"/>
      <c r="AA87" s="16"/>
      <c r="AB87" s="16"/>
      <c r="AC87" s="16"/>
      <c r="AD87" s="16"/>
      <c r="AE87" s="16"/>
      <c r="AF87" s="16"/>
      <c r="AG87" s="16"/>
      <c r="AH87" s="16"/>
      <c r="AI87" s="16"/>
      <c r="AJ87" s="16"/>
      <c r="AK87" s="16"/>
      <c r="AL87" s="16"/>
      <c r="AM87" s="16"/>
      <c r="AN87" s="16"/>
      <c r="AO87" s="16"/>
      <c r="AP87" s="16"/>
      <c r="AQ87" s="16"/>
      <c r="AR87" s="16"/>
      <c r="AS87" s="16"/>
      <c r="AT87" s="16"/>
      <c r="AU87" s="16"/>
      <c r="AV87" s="16"/>
      <c r="AW87" s="16"/>
      <c r="AX87" s="16"/>
    </row>
    <row r="88">
      <c r="A88" s="16"/>
      <c r="B88" s="16"/>
      <c r="C88" s="16" t="str">
        <f>IFERROR(__xludf.DUMMYFUNCTION("""COMPUTED_VALUE"""),"")</f>
        <v/>
      </c>
      <c r="D88" s="16" t="str">
        <f>IFERROR(__xludf.DUMMYFUNCTION("""COMPUTED_VALUE"""),"")</f>
        <v/>
      </c>
      <c r="E88" s="16" t="str">
        <f>IFERROR(__xludf.DUMMYFUNCTION("""COMPUTED_VALUE"""),"")</f>
        <v/>
      </c>
      <c r="F88" s="16" t="str">
        <f>IFERROR(__xludf.DUMMYFUNCTION("""COMPUTED_VALUE"""),"")</f>
        <v/>
      </c>
      <c r="G88" s="16" t="str">
        <f>IFERROR(__xludf.DUMMYFUNCTION("""COMPUTED_VALUE"""),"")</f>
        <v/>
      </c>
      <c r="H88" s="16" t="str">
        <f>IFERROR(__xludf.DUMMYFUNCTION("""COMPUTED_VALUE"""),"")</f>
        <v/>
      </c>
      <c r="I88" s="16" t="str">
        <f>IFERROR(__xludf.DUMMYFUNCTION("""COMPUTED_VALUE"""),"")</f>
        <v/>
      </c>
      <c r="J88" s="16" t="str">
        <f>IFERROR(__xludf.DUMMYFUNCTION("""COMPUTED_VALUE"""),"")</f>
        <v/>
      </c>
      <c r="K88" s="16" t="str">
        <f>IFERROR(__xludf.DUMMYFUNCTION("""COMPUTED_VALUE"""),"")</f>
        <v/>
      </c>
      <c r="L88" s="16" t="str">
        <f>IFERROR(__xludf.DUMMYFUNCTION("""COMPUTED_VALUE"""),"")</f>
        <v/>
      </c>
      <c r="M88" s="16" t="str">
        <f>IFERROR(__xludf.DUMMYFUNCTION("""COMPUTED_VALUE"""),"")</f>
        <v/>
      </c>
      <c r="N88" s="16" t="str">
        <f>IFERROR(__xludf.DUMMYFUNCTION("""COMPUTED_VALUE"""),"")</f>
        <v/>
      </c>
      <c r="O88" s="16" t="str">
        <f>IFERROR(__xludf.DUMMYFUNCTION("""COMPUTED_VALUE"""),"")</f>
        <v/>
      </c>
      <c r="P88" s="16" t="str">
        <f>IFERROR(__xludf.DUMMYFUNCTION("""COMPUTED_VALUE"""),"")</f>
        <v/>
      </c>
      <c r="Q88" s="16" t="str">
        <f>IFERROR(__xludf.DUMMYFUNCTION("""COMPUTED_VALUE"""),"")</f>
        <v/>
      </c>
      <c r="R88" s="16" t="str">
        <f>IFERROR(__xludf.DUMMYFUNCTION("""COMPUTED_VALUE"""),"")</f>
        <v/>
      </c>
      <c r="S88" s="16" t="str">
        <f>IFERROR(__xludf.DUMMYFUNCTION("""COMPUTED_VALUE"""),"")</f>
        <v/>
      </c>
      <c r="T88" s="16" t="str">
        <f>IFERROR(__xludf.DUMMYFUNCTION("""COMPUTED_VALUE"""),"")</f>
        <v/>
      </c>
      <c r="U88" s="16" t="str">
        <f>IFERROR(__xludf.DUMMYFUNCTION("""COMPUTED_VALUE"""),"")</f>
        <v/>
      </c>
      <c r="V88" s="16" t="str">
        <f>IFERROR(__xludf.DUMMYFUNCTION("""COMPUTED_VALUE"""),"")</f>
        <v/>
      </c>
      <c r="W88" s="16" t="str">
        <f>IFERROR(__xludf.DUMMYFUNCTION("""COMPUTED_VALUE"""),"")</f>
        <v/>
      </c>
      <c r="X88" s="16" t="str">
        <f>IFERROR(__xludf.DUMMYFUNCTION("""COMPUTED_VALUE"""),"")</f>
        <v/>
      </c>
      <c r="Y88" s="16" t="str">
        <f>IFERROR(__xludf.DUMMYFUNCTION("""COMPUTED_VALUE"""),"")</f>
        <v/>
      </c>
      <c r="Z88" s="16"/>
      <c r="AA88" s="16"/>
      <c r="AB88" s="16"/>
      <c r="AC88" s="16"/>
      <c r="AD88" s="16"/>
      <c r="AE88" s="16"/>
      <c r="AF88" s="16"/>
      <c r="AG88" s="16"/>
      <c r="AH88" s="16"/>
      <c r="AI88" s="16"/>
      <c r="AJ88" s="16"/>
      <c r="AK88" s="16"/>
      <c r="AL88" s="16"/>
      <c r="AM88" s="16"/>
      <c r="AN88" s="16"/>
      <c r="AO88" s="16"/>
      <c r="AP88" s="16"/>
      <c r="AQ88" s="16"/>
      <c r="AR88" s="16"/>
      <c r="AS88" s="16"/>
      <c r="AT88" s="16"/>
      <c r="AU88" s="16"/>
      <c r="AV88" s="16"/>
      <c r="AW88" s="16"/>
      <c r="AX88" s="16"/>
    </row>
    <row r="89">
      <c r="A89" s="16"/>
      <c r="B89" s="16"/>
      <c r="C89" s="16" t="str">
        <f>IFERROR(__xludf.DUMMYFUNCTION("""COMPUTED_VALUE"""),"")</f>
        <v/>
      </c>
      <c r="D89" s="16" t="str">
        <f>IFERROR(__xludf.DUMMYFUNCTION("""COMPUTED_VALUE"""),"")</f>
        <v/>
      </c>
      <c r="E89" s="16" t="str">
        <f>IFERROR(__xludf.DUMMYFUNCTION("""COMPUTED_VALUE"""),"")</f>
        <v/>
      </c>
      <c r="F89" s="16" t="str">
        <f>IFERROR(__xludf.DUMMYFUNCTION("""COMPUTED_VALUE"""),"")</f>
        <v/>
      </c>
      <c r="G89" s="16" t="str">
        <f>IFERROR(__xludf.DUMMYFUNCTION("""COMPUTED_VALUE"""),"")</f>
        <v/>
      </c>
      <c r="H89" s="16" t="str">
        <f>IFERROR(__xludf.DUMMYFUNCTION("""COMPUTED_VALUE"""),"")</f>
        <v/>
      </c>
      <c r="I89" s="16" t="str">
        <f>IFERROR(__xludf.DUMMYFUNCTION("""COMPUTED_VALUE"""),"")</f>
        <v/>
      </c>
      <c r="J89" s="16" t="str">
        <f>IFERROR(__xludf.DUMMYFUNCTION("""COMPUTED_VALUE"""),"")</f>
        <v/>
      </c>
      <c r="K89" s="16" t="str">
        <f>IFERROR(__xludf.DUMMYFUNCTION("""COMPUTED_VALUE"""),"")</f>
        <v/>
      </c>
      <c r="L89" s="16" t="str">
        <f>IFERROR(__xludf.DUMMYFUNCTION("""COMPUTED_VALUE"""),"")</f>
        <v/>
      </c>
      <c r="M89" s="16" t="str">
        <f>IFERROR(__xludf.DUMMYFUNCTION("""COMPUTED_VALUE"""),"")</f>
        <v/>
      </c>
      <c r="N89" s="16" t="str">
        <f>IFERROR(__xludf.DUMMYFUNCTION("""COMPUTED_VALUE"""),"")</f>
        <v/>
      </c>
      <c r="O89" s="16" t="str">
        <f>IFERROR(__xludf.DUMMYFUNCTION("""COMPUTED_VALUE"""),"")</f>
        <v/>
      </c>
      <c r="P89" s="16" t="str">
        <f>IFERROR(__xludf.DUMMYFUNCTION("""COMPUTED_VALUE"""),"")</f>
        <v/>
      </c>
      <c r="Q89" s="16" t="str">
        <f>IFERROR(__xludf.DUMMYFUNCTION("""COMPUTED_VALUE"""),"")</f>
        <v/>
      </c>
      <c r="R89" s="16" t="str">
        <f>IFERROR(__xludf.DUMMYFUNCTION("""COMPUTED_VALUE"""),"")</f>
        <v/>
      </c>
      <c r="S89" s="16" t="str">
        <f>IFERROR(__xludf.DUMMYFUNCTION("""COMPUTED_VALUE"""),"")</f>
        <v/>
      </c>
      <c r="T89" s="16" t="str">
        <f>IFERROR(__xludf.DUMMYFUNCTION("""COMPUTED_VALUE"""),"")</f>
        <v/>
      </c>
      <c r="U89" s="16" t="str">
        <f>IFERROR(__xludf.DUMMYFUNCTION("""COMPUTED_VALUE"""),"")</f>
        <v/>
      </c>
      <c r="V89" s="16" t="str">
        <f>IFERROR(__xludf.DUMMYFUNCTION("""COMPUTED_VALUE"""),"")</f>
        <v/>
      </c>
      <c r="W89" s="16" t="str">
        <f>IFERROR(__xludf.DUMMYFUNCTION("""COMPUTED_VALUE"""),"")</f>
        <v/>
      </c>
      <c r="X89" s="16" t="str">
        <f>IFERROR(__xludf.DUMMYFUNCTION("""COMPUTED_VALUE"""),"")</f>
        <v/>
      </c>
      <c r="Y89" s="16" t="str">
        <f>IFERROR(__xludf.DUMMYFUNCTION("""COMPUTED_VALUE"""),"")</f>
        <v/>
      </c>
      <c r="Z89" s="16"/>
      <c r="AA89" s="16"/>
      <c r="AB89" s="16"/>
      <c r="AC89" s="16"/>
      <c r="AD89" s="16"/>
      <c r="AE89" s="16"/>
      <c r="AF89" s="16"/>
      <c r="AG89" s="16"/>
      <c r="AH89" s="16"/>
      <c r="AI89" s="16"/>
      <c r="AJ89" s="16"/>
      <c r="AK89" s="16"/>
      <c r="AL89" s="16"/>
      <c r="AM89" s="16"/>
      <c r="AN89" s="16"/>
      <c r="AO89" s="16"/>
      <c r="AP89" s="16"/>
      <c r="AQ89" s="16"/>
      <c r="AR89" s="16"/>
      <c r="AS89" s="16"/>
      <c r="AT89" s="16"/>
      <c r="AU89" s="16"/>
      <c r="AV89" s="16"/>
      <c r="AW89" s="16"/>
      <c r="AX89" s="16"/>
    </row>
    <row r="90">
      <c r="A90" s="16"/>
      <c r="B90" s="16"/>
      <c r="C90" s="16" t="str">
        <f>IFERROR(__xludf.DUMMYFUNCTION("""COMPUTED_VALUE"""),"")</f>
        <v/>
      </c>
      <c r="D90" s="16" t="str">
        <f>IFERROR(__xludf.DUMMYFUNCTION("""COMPUTED_VALUE"""),"")</f>
        <v/>
      </c>
      <c r="E90" s="16" t="str">
        <f>IFERROR(__xludf.DUMMYFUNCTION("""COMPUTED_VALUE"""),"")</f>
        <v/>
      </c>
      <c r="F90" s="16" t="str">
        <f>IFERROR(__xludf.DUMMYFUNCTION("""COMPUTED_VALUE"""),"")</f>
        <v/>
      </c>
      <c r="G90" s="16" t="str">
        <f>IFERROR(__xludf.DUMMYFUNCTION("""COMPUTED_VALUE"""),"")</f>
        <v/>
      </c>
      <c r="H90" s="16" t="str">
        <f>IFERROR(__xludf.DUMMYFUNCTION("""COMPUTED_VALUE"""),"")</f>
        <v/>
      </c>
      <c r="I90" s="16" t="str">
        <f>IFERROR(__xludf.DUMMYFUNCTION("""COMPUTED_VALUE"""),"")</f>
        <v/>
      </c>
      <c r="J90" s="16" t="str">
        <f>IFERROR(__xludf.DUMMYFUNCTION("""COMPUTED_VALUE"""),"")</f>
        <v/>
      </c>
      <c r="K90" s="16" t="str">
        <f>IFERROR(__xludf.DUMMYFUNCTION("""COMPUTED_VALUE"""),"")</f>
        <v/>
      </c>
      <c r="L90" s="16" t="str">
        <f>IFERROR(__xludf.DUMMYFUNCTION("""COMPUTED_VALUE"""),"")</f>
        <v/>
      </c>
      <c r="M90" s="16" t="str">
        <f>IFERROR(__xludf.DUMMYFUNCTION("""COMPUTED_VALUE"""),"")</f>
        <v/>
      </c>
      <c r="N90" s="16" t="str">
        <f>IFERROR(__xludf.DUMMYFUNCTION("""COMPUTED_VALUE"""),"")</f>
        <v/>
      </c>
      <c r="O90" s="16" t="str">
        <f>IFERROR(__xludf.DUMMYFUNCTION("""COMPUTED_VALUE"""),"")</f>
        <v/>
      </c>
      <c r="P90" s="16" t="str">
        <f>IFERROR(__xludf.DUMMYFUNCTION("""COMPUTED_VALUE"""),"")</f>
        <v/>
      </c>
      <c r="Q90" s="16" t="str">
        <f>IFERROR(__xludf.DUMMYFUNCTION("""COMPUTED_VALUE"""),"")</f>
        <v/>
      </c>
      <c r="R90" s="16" t="str">
        <f>IFERROR(__xludf.DUMMYFUNCTION("""COMPUTED_VALUE"""),"")</f>
        <v/>
      </c>
      <c r="S90" s="16" t="str">
        <f>IFERROR(__xludf.DUMMYFUNCTION("""COMPUTED_VALUE"""),"")</f>
        <v/>
      </c>
      <c r="T90" s="16" t="str">
        <f>IFERROR(__xludf.DUMMYFUNCTION("""COMPUTED_VALUE"""),"")</f>
        <v/>
      </c>
      <c r="U90" s="16" t="str">
        <f>IFERROR(__xludf.DUMMYFUNCTION("""COMPUTED_VALUE"""),"")</f>
        <v/>
      </c>
      <c r="V90" s="16" t="str">
        <f>IFERROR(__xludf.DUMMYFUNCTION("""COMPUTED_VALUE"""),"")</f>
        <v/>
      </c>
      <c r="W90" s="16" t="str">
        <f>IFERROR(__xludf.DUMMYFUNCTION("""COMPUTED_VALUE"""),"")</f>
        <v/>
      </c>
      <c r="X90" s="16" t="str">
        <f>IFERROR(__xludf.DUMMYFUNCTION("""COMPUTED_VALUE"""),"")</f>
        <v/>
      </c>
      <c r="Y90" s="16" t="str">
        <f>IFERROR(__xludf.DUMMYFUNCTION("""COMPUTED_VALUE"""),"")</f>
        <v/>
      </c>
      <c r="Z90" s="16"/>
      <c r="AA90" s="16"/>
      <c r="AB90" s="16"/>
      <c r="AC90" s="16"/>
      <c r="AD90" s="16"/>
      <c r="AE90" s="16"/>
      <c r="AF90" s="16"/>
      <c r="AG90" s="16"/>
      <c r="AH90" s="16"/>
      <c r="AI90" s="16"/>
      <c r="AJ90" s="16"/>
      <c r="AK90" s="16"/>
      <c r="AL90" s="16"/>
      <c r="AM90" s="16"/>
      <c r="AN90" s="16"/>
      <c r="AO90" s="16"/>
      <c r="AP90" s="16"/>
      <c r="AQ90" s="16"/>
      <c r="AR90" s="16"/>
      <c r="AS90" s="16"/>
      <c r="AT90" s="16"/>
      <c r="AU90" s="16"/>
      <c r="AV90" s="16"/>
      <c r="AW90" s="16"/>
      <c r="AX90" s="16"/>
    </row>
    <row r="91">
      <c r="A91" s="16"/>
      <c r="B91" s="16"/>
      <c r="C91" s="16" t="str">
        <f>IFERROR(__xludf.DUMMYFUNCTION("""COMPUTED_VALUE"""),"")</f>
        <v/>
      </c>
      <c r="D91" s="16" t="str">
        <f>IFERROR(__xludf.DUMMYFUNCTION("""COMPUTED_VALUE"""),"")</f>
        <v/>
      </c>
      <c r="E91" s="16" t="str">
        <f>IFERROR(__xludf.DUMMYFUNCTION("""COMPUTED_VALUE"""),"")</f>
        <v/>
      </c>
      <c r="F91" s="16" t="str">
        <f>IFERROR(__xludf.DUMMYFUNCTION("""COMPUTED_VALUE"""),"")</f>
        <v/>
      </c>
      <c r="G91" s="16" t="str">
        <f>IFERROR(__xludf.DUMMYFUNCTION("""COMPUTED_VALUE"""),"")</f>
        <v/>
      </c>
      <c r="H91" s="16" t="str">
        <f>IFERROR(__xludf.DUMMYFUNCTION("""COMPUTED_VALUE"""),"")</f>
        <v/>
      </c>
      <c r="I91" s="16" t="str">
        <f>IFERROR(__xludf.DUMMYFUNCTION("""COMPUTED_VALUE"""),"")</f>
        <v/>
      </c>
      <c r="J91" s="16" t="str">
        <f>IFERROR(__xludf.DUMMYFUNCTION("""COMPUTED_VALUE"""),"")</f>
        <v/>
      </c>
      <c r="K91" s="16" t="str">
        <f>IFERROR(__xludf.DUMMYFUNCTION("""COMPUTED_VALUE"""),"")</f>
        <v/>
      </c>
      <c r="L91" s="16" t="str">
        <f>IFERROR(__xludf.DUMMYFUNCTION("""COMPUTED_VALUE"""),"")</f>
        <v/>
      </c>
      <c r="M91" s="16" t="str">
        <f>IFERROR(__xludf.DUMMYFUNCTION("""COMPUTED_VALUE"""),"")</f>
        <v/>
      </c>
      <c r="N91" s="16" t="str">
        <f>IFERROR(__xludf.DUMMYFUNCTION("""COMPUTED_VALUE"""),"")</f>
        <v/>
      </c>
      <c r="O91" s="16" t="str">
        <f>IFERROR(__xludf.DUMMYFUNCTION("""COMPUTED_VALUE"""),"")</f>
        <v/>
      </c>
      <c r="P91" s="16" t="str">
        <f>IFERROR(__xludf.DUMMYFUNCTION("""COMPUTED_VALUE"""),"")</f>
        <v/>
      </c>
      <c r="Q91" s="16" t="str">
        <f>IFERROR(__xludf.DUMMYFUNCTION("""COMPUTED_VALUE"""),"")</f>
        <v/>
      </c>
      <c r="R91" s="16" t="str">
        <f>IFERROR(__xludf.DUMMYFUNCTION("""COMPUTED_VALUE"""),"")</f>
        <v/>
      </c>
      <c r="S91" s="16" t="str">
        <f>IFERROR(__xludf.DUMMYFUNCTION("""COMPUTED_VALUE"""),"")</f>
        <v/>
      </c>
      <c r="T91" s="16" t="str">
        <f>IFERROR(__xludf.DUMMYFUNCTION("""COMPUTED_VALUE"""),"")</f>
        <v/>
      </c>
      <c r="U91" s="16" t="str">
        <f>IFERROR(__xludf.DUMMYFUNCTION("""COMPUTED_VALUE"""),"")</f>
        <v/>
      </c>
      <c r="V91" s="16" t="str">
        <f>IFERROR(__xludf.DUMMYFUNCTION("""COMPUTED_VALUE"""),"")</f>
        <v/>
      </c>
      <c r="W91" s="16" t="str">
        <f>IFERROR(__xludf.DUMMYFUNCTION("""COMPUTED_VALUE"""),"")</f>
        <v/>
      </c>
      <c r="X91" s="16" t="str">
        <f>IFERROR(__xludf.DUMMYFUNCTION("""COMPUTED_VALUE"""),"")</f>
        <v/>
      </c>
      <c r="Y91" s="16" t="str">
        <f>IFERROR(__xludf.DUMMYFUNCTION("""COMPUTED_VALUE"""),"")</f>
        <v/>
      </c>
      <c r="Z91" s="16"/>
      <c r="AA91" s="16"/>
      <c r="AB91" s="16"/>
      <c r="AC91" s="16"/>
      <c r="AD91" s="16"/>
      <c r="AE91" s="16"/>
      <c r="AF91" s="16"/>
      <c r="AG91" s="16"/>
      <c r="AH91" s="16"/>
      <c r="AI91" s="16"/>
      <c r="AJ91" s="16"/>
      <c r="AK91" s="16"/>
      <c r="AL91" s="16"/>
      <c r="AM91" s="16"/>
      <c r="AN91" s="16"/>
      <c r="AO91" s="16"/>
      <c r="AP91" s="16"/>
      <c r="AQ91" s="16"/>
      <c r="AR91" s="16"/>
      <c r="AS91" s="16"/>
      <c r="AT91" s="16"/>
      <c r="AU91" s="16"/>
      <c r="AV91" s="16"/>
      <c r="AW91" s="16"/>
      <c r="AX91" s="16"/>
    </row>
    <row r="92">
      <c r="A92" s="16"/>
      <c r="B92" s="16"/>
      <c r="C92" s="16" t="str">
        <f>IFERROR(__xludf.DUMMYFUNCTION("""COMPUTED_VALUE"""),"")</f>
        <v/>
      </c>
      <c r="D92" s="16" t="str">
        <f>IFERROR(__xludf.DUMMYFUNCTION("""COMPUTED_VALUE"""),"")</f>
        <v/>
      </c>
      <c r="E92" s="16" t="str">
        <f>IFERROR(__xludf.DUMMYFUNCTION("""COMPUTED_VALUE"""),"")</f>
        <v/>
      </c>
      <c r="F92" s="16" t="str">
        <f>IFERROR(__xludf.DUMMYFUNCTION("""COMPUTED_VALUE"""),"")</f>
        <v/>
      </c>
      <c r="G92" s="16" t="str">
        <f>IFERROR(__xludf.DUMMYFUNCTION("""COMPUTED_VALUE"""),"")</f>
        <v/>
      </c>
      <c r="H92" s="16" t="str">
        <f>IFERROR(__xludf.DUMMYFUNCTION("""COMPUTED_VALUE"""),"")</f>
        <v/>
      </c>
      <c r="I92" s="16" t="str">
        <f>IFERROR(__xludf.DUMMYFUNCTION("""COMPUTED_VALUE"""),"")</f>
        <v/>
      </c>
      <c r="J92" s="16" t="str">
        <f>IFERROR(__xludf.DUMMYFUNCTION("""COMPUTED_VALUE"""),"")</f>
        <v/>
      </c>
      <c r="K92" s="16" t="str">
        <f>IFERROR(__xludf.DUMMYFUNCTION("""COMPUTED_VALUE"""),"")</f>
        <v/>
      </c>
      <c r="L92" s="16" t="str">
        <f>IFERROR(__xludf.DUMMYFUNCTION("""COMPUTED_VALUE"""),"")</f>
        <v/>
      </c>
      <c r="M92" s="16" t="str">
        <f>IFERROR(__xludf.DUMMYFUNCTION("""COMPUTED_VALUE"""),"")</f>
        <v/>
      </c>
      <c r="N92" s="16" t="str">
        <f>IFERROR(__xludf.DUMMYFUNCTION("""COMPUTED_VALUE"""),"")</f>
        <v/>
      </c>
      <c r="O92" s="16" t="str">
        <f>IFERROR(__xludf.DUMMYFUNCTION("""COMPUTED_VALUE"""),"")</f>
        <v/>
      </c>
      <c r="P92" s="16" t="str">
        <f>IFERROR(__xludf.DUMMYFUNCTION("""COMPUTED_VALUE"""),"")</f>
        <v/>
      </c>
      <c r="Q92" s="16" t="str">
        <f>IFERROR(__xludf.DUMMYFUNCTION("""COMPUTED_VALUE"""),"")</f>
        <v/>
      </c>
      <c r="R92" s="16" t="str">
        <f>IFERROR(__xludf.DUMMYFUNCTION("""COMPUTED_VALUE"""),"")</f>
        <v/>
      </c>
      <c r="S92" s="16" t="str">
        <f>IFERROR(__xludf.DUMMYFUNCTION("""COMPUTED_VALUE"""),"")</f>
        <v/>
      </c>
      <c r="T92" s="16" t="str">
        <f>IFERROR(__xludf.DUMMYFUNCTION("""COMPUTED_VALUE"""),"")</f>
        <v/>
      </c>
      <c r="U92" s="16" t="str">
        <f>IFERROR(__xludf.DUMMYFUNCTION("""COMPUTED_VALUE"""),"")</f>
        <v/>
      </c>
      <c r="V92" s="16" t="str">
        <f>IFERROR(__xludf.DUMMYFUNCTION("""COMPUTED_VALUE"""),"")</f>
        <v/>
      </c>
      <c r="W92" s="16" t="str">
        <f>IFERROR(__xludf.DUMMYFUNCTION("""COMPUTED_VALUE"""),"")</f>
        <v/>
      </c>
      <c r="X92" s="16" t="str">
        <f>IFERROR(__xludf.DUMMYFUNCTION("""COMPUTED_VALUE"""),"")</f>
        <v/>
      </c>
      <c r="Y92" s="16" t="str">
        <f>IFERROR(__xludf.DUMMYFUNCTION("""COMPUTED_VALUE"""),"")</f>
        <v/>
      </c>
      <c r="Z92" s="16"/>
      <c r="AA92" s="16"/>
      <c r="AB92" s="16"/>
      <c r="AC92" s="16"/>
      <c r="AD92" s="16"/>
      <c r="AE92" s="16"/>
      <c r="AF92" s="16"/>
      <c r="AG92" s="16"/>
      <c r="AH92" s="16"/>
      <c r="AI92" s="16"/>
      <c r="AJ92" s="16"/>
      <c r="AK92" s="16"/>
      <c r="AL92" s="16"/>
      <c r="AM92" s="16"/>
      <c r="AN92" s="16"/>
      <c r="AO92" s="16"/>
      <c r="AP92" s="16"/>
      <c r="AQ92" s="16"/>
      <c r="AR92" s="16"/>
      <c r="AS92" s="16"/>
      <c r="AT92" s="16"/>
      <c r="AU92" s="16"/>
      <c r="AV92" s="16"/>
      <c r="AW92" s="16"/>
      <c r="AX92" s="16"/>
    </row>
    <row r="93">
      <c r="A93" s="16"/>
      <c r="B93" s="16"/>
      <c r="C93" s="16" t="str">
        <f>IFERROR(__xludf.DUMMYFUNCTION("""COMPUTED_VALUE"""),"")</f>
        <v/>
      </c>
      <c r="D93" s="16" t="str">
        <f>IFERROR(__xludf.DUMMYFUNCTION("""COMPUTED_VALUE"""),"")</f>
        <v/>
      </c>
      <c r="E93" s="16" t="str">
        <f>IFERROR(__xludf.DUMMYFUNCTION("""COMPUTED_VALUE"""),"")</f>
        <v/>
      </c>
      <c r="F93" s="16" t="str">
        <f>IFERROR(__xludf.DUMMYFUNCTION("""COMPUTED_VALUE"""),"")</f>
        <v/>
      </c>
      <c r="G93" s="16" t="str">
        <f>IFERROR(__xludf.DUMMYFUNCTION("""COMPUTED_VALUE"""),"")</f>
        <v/>
      </c>
      <c r="H93" s="16" t="str">
        <f>IFERROR(__xludf.DUMMYFUNCTION("""COMPUTED_VALUE"""),"")</f>
        <v/>
      </c>
      <c r="I93" s="16" t="str">
        <f>IFERROR(__xludf.DUMMYFUNCTION("""COMPUTED_VALUE"""),"")</f>
        <v/>
      </c>
      <c r="J93" s="16" t="str">
        <f>IFERROR(__xludf.DUMMYFUNCTION("""COMPUTED_VALUE"""),"")</f>
        <v/>
      </c>
      <c r="K93" s="16" t="str">
        <f>IFERROR(__xludf.DUMMYFUNCTION("""COMPUTED_VALUE"""),"")</f>
        <v/>
      </c>
      <c r="L93" s="16" t="str">
        <f>IFERROR(__xludf.DUMMYFUNCTION("""COMPUTED_VALUE"""),"")</f>
        <v/>
      </c>
      <c r="M93" s="16" t="str">
        <f>IFERROR(__xludf.DUMMYFUNCTION("""COMPUTED_VALUE"""),"")</f>
        <v/>
      </c>
      <c r="N93" s="16" t="str">
        <f>IFERROR(__xludf.DUMMYFUNCTION("""COMPUTED_VALUE"""),"")</f>
        <v/>
      </c>
      <c r="O93" s="16" t="str">
        <f>IFERROR(__xludf.DUMMYFUNCTION("""COMPUTED_VALUE"""),"")</f>
        <v/>
      </c>
      <c r="P93" s="16" t="str">
        <f>IFERROR(__xludf.DUMMYFUNCTION("""COMPUTED_VALUE"""),"")</f>
        <v/>
      </c>
      <c r="Q93" s="16" t="str">
        <f>IFERROR(__xludf.DUMMYFUNCTION("""COMPUTED_VALUE"""),"")</f>
        <v/>
      </c>
      <c r="R93" s="16" t="str">
        <f>IFERROR(__xludf.DUMMYFUNCTION("""COMPUTED_VALUE"""),"")</f>
        <v/>
      </c>
      <c r="S93" s="16" t="str">
        <f>IFERROR(__xludf.DUMMYFUNCTION("""COMPUTED_VALUE"""),"")</f>
        <v/>
      </c>
      <c r="T93" s="16" t="str">
        <f>IFERROR(__xludf.DUMMYFUNCTION("""COMPUTED_VALUE"""),"")</f>
        <v/>
      </c>
      <c r="U93" s="16" t="str">
        <f>IFERROR(__xludf.DUMMYFUNCTION("""COMPUTED_VALUE"""),"")</f>
        <v/>
      </c>
      <c r="V93" s="16" t="str">
        <f>IFERROR(__xludf.DUMMYFUNCTION("""COMPUTED_VALUE"""),"")</f>
        <v/>
      </c>
      <c r="W93" s="16" t="str">
        <f>IFERROR(__xludf.DUMMYFUNCTION("""COMPUTED_VALUE"""),"")</f>
        <v/>
      </c>
      <c r="X93" s="16" t="str">
        <f>IFERROR(__xludf.DUMMYFUNCTION("""COMPUTED_VALUE"""),"")</f>
        <v/>
      </c>
      <c r="Y93" s="16" t="str">
        <f>IFERROR(__xludf.DUMMYFUNCTION("""COMPUTED_VALUE"""),"")</f>
        <v/>
      </c>
      <c r="Z93" s="16"/>
      <c r="AA93" s="16"/>
      <c r="AB93" s="16"/>
      <c r="AC93" s="16"/>
      <c r="AD93" s="16"/>
      <c r="AE93" s="16"/>
      <c r="AF93" s="16"/>
      <c r="AG93" s="16"/>
      <c r="AH93" s="16"/>
      <c r="AI93" s="16"/>
      <c r="AJ93" s="16"/>
      <c r="AK93" s="16"/>
      <c r="AL93" s="16"/>
      <c r="AM93" s="16"/>
      <c r="AN93" s="16"/>
      <c r="AO93" s="16"/>
      <c r="AP93" s="16"/>
      <c r="AQ93" s="16"/>
      <c r="AR93" s="16"/>
      <c r="AS93" s="16"/>
      <c r="AT93" s="16"/>
      <c r="AU93" s="16"/>
      <c r="AV93" s="16"/>
      <c r="AW93" s="16"/>
      <c r="AX93" s="16"/>
    </row>
    <row r="94">
      <c r="A94" s="16"/>
      <c r="B94" s="16"/>
      <c r="C94" s="16" t="str">
        <f>IFERROR(__xludf.DUMMYFUNCTION("""COMPUTED_VALUE"""),"")</f>
        <v/>
      </c>
      <c r="D94" s="16" t="str">
        <f>IFERROR(__xludf.DUMMYFUNCTION("""COMPUTED_VALUE"""),"")</f>
        <v/>
      </c>
      <c r="E94" s="16" t="str">
        <f>IFERROR(__xludf.DUMMYFUNCTION("""COMPUTED_VALUE"""),"")</f>
        <v/>
      </c>
      <c r="F94" s="16" t="str">
        <f>IFERROR(__xludf.DUMMYFUNCTION("""COMPUTED_VALUE"""),"")</f>
        <v/>
      </c>
      <c r="G94" s="16" t="str">
        <f>IFERROR(__xludf.DUMMYFUNCTION("""COMPUTED_VALUE"""),"")</f>
        <v/>
      </c>
      <c r="H94" s="16" t="str">
        <f>IFERROR(__xludf.DUMMYFUNCTION("""COMPUTED_VALUE"""),"")</f>
        <v/>
      </c>
      <c r="I94" s="16" t="str">
        <f>IFERROR(__xludf.DUMMYFUNCTION("""COMPUTED_VALUE"""),"")</f>
        <v/>
      </c>
      <c r="J94" s="16" t="str">
        <f>IFERROR(__xludf.DUMMYFUNCTION("""COMPUTED_VALUE"""),"")</f>
        <v/>
      </c>
      <c r="K94" s="16" t="str">
        <f>IFERROR(__xludf.DUMMYFUNCTION("""COMPUTED_VALUE"""),"")</f>
        <v/>
      </c>
      <c r="L94" s="16" t="str">
        <f>IFERROR(__xludf.DUMMYFUNCTION("""COMPUTED_VALUE"""),"")</f>
        <v/>
      </c>
      <c r="M94" s="16" t="str">
        <f>IFERROR(__xludf.DUMMYFUNCTION("""COMPUTED_VALUE"""),"")</f>
        <v/>
      </c>
      <c r="N94" s="16" t="str">
        <f>IFERROR(__xludf.DUMMYFUNCTION("""COMPUTED_VALUE"""),"")</f>
        <v/>
      </c>
      <c r="O94" s="16" t="str">
        <f>IFERROR(__xludf.DUMMYFUNCTION("""COMPUTED_VALUE"""),"")</f>
        <v/>
      </c>
      <c r="P94" s="16" t="str">
        <f>IFERROR(__xludf.DUMMYFUNCTION("""COMPUTED_VALUE"""),"")</f>
        <v/>
      </c>
      <c r="Q94" s="16" t="str">
        <f>IFERROR(__xludf.DUMMYFUNCTION("""COMPUTED_VALUE"""),"")</f>
        <v/>
      </c>
      <c r="R94" s="16" t="str">
        <f>IFERROR(__xludf.DUMMYFUNCTION("""COMPUTED_VALUE"""),"")</f>
        <v/>
      </c>
      <c r="S94" s="16" t="str">
        <f>IFERROR(__xludf.DUMMYFUNCTION("""COMPUTED_VALUE"""),"")</f>
        <v/>
      </c>
      <c r="T94" s="16" t="str">
        <f>IFERROR(__xludf.DUMMYFUNCTION("""COMPUTED_VALUE"""),"")</f>
        <v/>
      </c>
      <c r="U94" s="16" t="str">
        <f>IFERROR(__xludf.DUMMYFUNCTION("""COMPUTED_VALUE"""),"")</f>
        <v/>
      </c>
      <c r="V94" s="16" t="str">
        <f>IFERROR(__xludf.DUMMYFUNCTION("""COMPUTED_VALUE"""),"")</f>
        <v/>
      </c>
      <c r="W94" s="16" t="str">
        <f>IFERROR(__xludf.DUMMYFUNCTION("""COMPUTED_VALUE"""),"")</f>
        <v/>
      </c>
      <c r="X94" s="16" t="str">
        <f>IFERROR(__xludf.DUMMYFUNCTION("""COMPUTED_VALUE"""),"")</f>
        <v/>
      </c>
      <c r="Y94" s="16" t="str">
        <f>IFERROR(__xludf.DUMMYFUNCTION("""COMPUTED_VALUE"""),"")</f>
        <v/>
      </c>
      <c r="Z94" s="16"/>
      <c r="AA94" s="16"/>
      <c r="AB94" s="16"/>
      <c r="AC94" s="16"/>
      <c r="AD94" s="16"/>
      <c r="AE94" s="16"/>
      <c r="AF94" s="16"/>
      <c r="AG94" s="16"/>
      <c r="AH94" s="16"/>
      <c r="AI94" s="16"/>
      <c r="AJ94" s="16"/>
      <c r="AK94" s="16"/>
      <c r="AL94" s="16"/>
      <c r="AM94" s="16"/>
      <c r="AN94" s="16"/>
      <c r="AO94" s="16"/>
      <c r="AP94" s="16"/>
      <c r="AQ94" s="16"/>
      <c r="AR94" s="16"/>
      <c r="AS94" s="16"/>
      <c r="AT94" s="16"/>
      <c r="AU94" s="16"/>
      <c r="AV94" s="16"/>
      <c r="AW94" s="16"/>
      <c r="AX94" s="16"/>
    </row>
    <row r="95">
      <c r="A95" s="16"/>
      <c r="B95" s="16"/>
      <c r="C95" s="16" t="str">
        <f>IFERROR(__xludf.DUMMYFUNCTION("""COMPUTED_VALUE"""),"")</f>
        <v/>
      </c>
      <c r="D95" s="16" t="str">
        <f>IFERROR(__xludf.DUMMYFUNCTION("""COMPUTED_VALUE"""),"")</f>
        <v/>
      </c>
      <c r="E95" s="16" t="str">
        <f>IFERROR(__xludf.DUMMYFUNCTION("""COMPUTED_VALUE"""),"")</f>
        <v/>
      </c>
      <c r="F95" s="16" t="str">
        <f>IFERROR(__xludf.DUMMYFUNCTION("""COMPUTED_VALUE"""),"")</f>
        <v/>
      </c>
      <c r="G95" s="16" t="str">
        <f>IFERROR(__xludf.DUMMYFUNCTION("""COMPUTED_VALUE"""),"")</f>
        <v/>
      </c>
      <c r="H95" s="16" t="str">
        <f>IFERROR(__xludf.DUMMYFUNCTION("""COMPUTED_VALUE"""),"")</f>
        <v/>
      </c>
      <c r="I95" s="16" t="str">
        <f>IFERROR(__xludf.DUMMYFUNCTION("""COMPUTED_VALUE"""),"")</f>
        <v/>
      </c>
      <c r="J95" s="16" t="str">
        <f>IFERROR(__xludf.DUMMYFUNCTION("""COMPUTED_VALUE"""),"")</f>
        <v/>
      </c>
      <c r="K95" s="16" t="str">
        <f>IFERROR(__xludf.DUMMYFUNCTION("""COMPUTED_VALUE"""),"")</f>
        <v/>
      </c>
      <c r="L95" s="16" t="str">
        <f>IFERROR(__xludf.DUMMYFUNCTION("""COMPUTED_VALUE"""),"")</f>
        <v/>
      </c>
      <c r="M95" s="16" t="str">
        <f>IFERROR(__xludf.DUMMYFUNCTION("""COMPUTED_VALUE"""),"")</f>
        <v/>
      </c>
      <c r="N95" s="16" t="str">
        <f>IFERROR(__xludf.DUMMYFUNCTION("""COMPUTED_VALUE"""),"")</f>
        <v/>
      </c>
      <c r="O95" s="16" t="str">
        <f>IFERROR(__xludf.DUMMYFUNCTION("""COMPUTED_VALUE"""),"")</f>
        <v/>
      </c>
      <c r="P95" s="16" t="str">
        <f>IFERROR(__xludf.DUMMYFUNCTION("""COMPUTED_VALUE"""),"")</f>
        <v/>
      </c>
      <c r="Q95" s="16" t="str">
        <f>IFERROR(__xludf.DUMMYFUNCTION("""COMPUTED_VALUE"""),"")</f>
        <v/>
      </c>
      <c r="R95" s="16" t="str">
        <f>IFERROR(__xludf.DUMMYFUNCTION("""COMPUTED_VALUE"""),"")</f>
        <v/>
      </c>
      <c r="S95" s="16" t="str">
        <f>IFERROR(__xludf.DUMMYFUNCTION("""COMPUTED_VALUE"""),"")</f>
        <v/>
      </c>
      <c r="T95" s="16" t="str">
        <f>IFERROR(__xludf.DUMMYFUNCTION("""COMPUTED_VALUE"""),"")</f>
        <v/>
      </c>
      <c r="U95" s="16" t="str">
        <f>IFERROR(__xludf.DUMMYFUNCTION("""COMPUTED_VALUE"""),"")</f>
        <v/>
      </c>
      <c r="V95" s="16" t="str">
        <f>IFERROR(__xludf.DUMMYFUNCTION("""COMPUTED_VALUE"""),"")</f>
        <v/>
      </c>
      <c r="W95" s="16" t="str">
        <f>IFERROR(__xludf.DUMMYFUNCTION("""COMPUTED_VALUE"""),"")</f>
        <v/>
      </c>
      <c r="X95" s="16" t="str">
        <f>IFERROR(__xludf.DUMMYFUNCTION("""COMPUTED_VALUE"""),"")</f>
        <v/>
      </c>
      <c r="Y95" s="16" t="str">
        <f>IFERROR(__xludf.DUMMYFUNCTION("""COMPUTED_VALUE"""),"")</f>
        <v/>
      </c>
      <c r="Z95" s="16"/>
      <c r="AA95" s="16"/>
      <c r="AB95" s="16"/>
      <c r="AC95" s="16"/>
      <c r="AD95" s="16"/>
      <c r="AE95" s="16"/>
      <c r="AF95" s="16"/>
      <c r="AG95" s="16"/>
      <c r="AH95" s="16"/>
      <c r="AI95" s="16"/>
      <c r="AJ95" s="16"/>
      <c r="AK95" s="16"/>
      <c r="AL95" s="16"/>
      <c r="AM95" s="16"/>
      <c r="AN95" s="16"/>
      <c r="AO95" s="16"/>
      <c r="AP95" s="16"/>
      <c r="AQ95" s="16"/>
      <c r="AR95" s="16"/>
      <c r="AS95" s="16"/>
      <c r="AT95" s="16"/>
      <c r="AU95" s="16"/>
      <c r="AV95" s="16"/>
      <c r="AW95" s="16"/>
      <c r="AX95" s="16"/>
    </row>
    <row r="96">
      <c r="A96" s="16"/>
      <c r="B96" s="16"/>
      <c r="C96" s="16" t="str">
        <f>IFERROR(__xludf.DUMMYFUNCTION("""COMPUTED_VALUE"""),"")</f>
        <v/>
      </c>
      <c r="D96" s="16" t="str">
        <f>IFERROR(__xludf.DUMMYFUNCTION("""COMPUTED_VALUE"""),"")</f>
        <v/>
      </c>
      <c r="E96" s="16" t="str">
        <f>IFERROR(__xludf.DUMMYFUNCTION("""COMPUTED_VALUE"""),"")</f>
        <v/>
      </c>
      <c r="F96" s="16" t="str">
        <f>IFERROR(__xludf.DUMMYFUNCTION("""COMPUTED_VALUE"""),"")</f>
        <v/>
      </c>
      <c r="G96" s="16" t="str">
        <f>IFERROR(__xludf.DUMMYFUNCTION("""COMPUTED_VALUE"""),"")</f>
        <v/>
      </c>
      <c r="H96" s="16" t="str">
        <f>IFERROR(__xludf.DUMMYFUNCTION("""COMPUTED_VALUE"""),"")</f>
        <v/>
      </c>
      <c r="I96" s="16" t="str">
        <f>IFERROR(__xludf.DUMMYFUNCTION("""COMPUTED_VALUE"""),"")</f>
        <v/>
      </c>
      <c r="J96" s="16" t="str">
        <f>IFERROR(__xludf.DUMMYFUNCTION("""COMPUTED_VALUE"""),"")</f>
        <v/>
      </c>
      <c r="K96" s="16" t="str">
        <f>IFERROR(__xludf.DUMMYFUNCTION("""COMPUTED_VALUE"""),"")</f>
        <v/>
      </c>
      <c r="L96" s="16" t="str">
        <f>IFERROR(__xludf.DUMMYFUNCTION("""COMPUTED_VALUE"""),"")</f>
        <v/>
      </c>
      <c r="M96" s="16" t="str">
        <f>IFERROR(__xludf.DUMMYFUNCTION("""COMPUTED_VALUE"""),"")</f>
        <v/>
      </c>
      <c r="N96" s="16" t="str">
        <f>IFERROR(__xludf.DUMMYFUNCTION("""COMPUTED_VALUE"""),"")</f>
        <v/>
      </c>
      <c r="O96" s="16" t="str">
        <f>IFERROR(__xludf.DUMMYFUNCTION("""COMPUTED_VALUE"""),"")</f>
        <v/>
      </c>
      <c r="P96" s="16" t="str">
        <f>IFERROR(__xludf.DUMMYFUNCTION("""COMPUTED_VALUE"""),"")</f>
        <v/>
      </c>
      <c r="Q96" s="16" t="str">
        <f>IFERROR(__xludf.DUMMYFUNCTION("""COMPUTED_VALUE"""),"")</f>
        <v/>
      </c>
      <c r="R96" s="16" t="str">
        <f>IFERROR(__xludf.DUMMYFUNCTION("""COMPUTED_VALUE"""),"")</f>
        <v/>
      </c>
      <c r="S96" s="16" t="str">
        <f>IFERROR(__xludf.DUMMYFUNCTION("""COMPUTED_VALUE"""),"")</f>
        <v/>
      </c>
      <c r="T96" s="16" t="str">
        <f>IFERROR(__xludf.DUMMYFUNCTION("""COMPUTED_VALUE"""),"")</f>
        <v/>
      </c>
      <c r="U96" s="16" t="str">
        <f>IFERROR(__xludf.DUMMYFUNCTION("""COMPUTED_VALUE"""),"")</f>
        <v/>
      </c>
      <c r="V96" s="16" t="str">
        <f>IFERROR(__xludf.DUMMYFUNCTION("""COMPUTED_VALUE"""),"")</f>
        <v/>
      </c>
      <c r="W96" s="16" t="str">
        <f>IFERROR(__xludf.DUMMYFUNCTION("""COMPUTED_VALUE"""),"")</f>
        <v/>
      </c>
      <c r="X96" s="16" t="str">
        <f>IFERROR(__xludf.DUMMYFUNCTION("""COMPUTED_VALUE"""),"")</f>
        <v/>
      </c>
      <c r="Y96" s="16" t="str">
        <f>IFERROR(__xludf.DUMMYFUNCTION("""COMPUTED_VALUE"""),"")</f>
        <v/>
      </c>
      <c r="Z96" s="16"/>
      <c r="AA96" s="16"/>
      <c r="AB96" s="16"/>
      <c r="AC96" s="16"/>
      <c r="AD96" s="16"/>
      <c r="AE96" s="16"/>
      <c r="AF96" s="16"/>
      <c r="AG96" s="16"/>
      <c r="AH96" s="16"/>
      <c r="AI96" s="16"/>
      <c r="AJ96" s="16"/>
      <c r="AK96" s="16"/>
      <c r="AL96" s="16"/>
      <c r="AM96" s="16"/>
      <c r="AN96" s="16"/>
      <c r="AO96" s="16"/>
      <c r="AP96" s="16"/>
      <c r="AQ96" s="16"/>
      <c r="AR96" s="16"/>
      <c r="AS96" s="16"/>
      <c r="AT96" s="16"/>
      <c r="AU96" s="16"/>
      <c r="AV96" s="16"/>
      <c r="AW96" s="16"/>
      <c r="AX96" s="16"/>
    </row>
    <row r="97">
      <c r="A97" s="16"/>
      <c r="B97" s="16"/>
      <c r="C97" s="16" t="str">
        <f>IFERROR(__xludf.DUMMYFUNCTION("""COMPUTED_VALUE"""),"")</f>
        <v/>
      </c>
      <c r="D97" s="16" t="str">
        <f>IFERROR(__xludf.DUMMYFUNCTION("""COMPUTED_VALUE"""),"")</f>
        <v/>
      </c>
      <c r="E97" s="16" t="str">
        <f>IFERROR(__xludf.DUMMYFUNCTION("""COMPUTED_VALUE"""),"")</f>
        <v/>
      </c>
      <c r="F97" s="16" t="str">
        <f>IFERROR(__xludf.DUMMYFUNCTION("""COMPUTED_VALUE"""),"")</f>
        <v/>
      </c>
      <c r="G97" s="16" t="str">
        <f>IFERROR(__xludf.DUMMYFUNCTION("""COMPUTED_VALUE"""),"")</f>
        <v/>
      </c>
      <c r="H97" s="16" t="str">
        <f>IFERROR(__xludf.DUMMYFUNCTION("""COMPUTED_VALUE"""),"")</f>
        <v/>
      </c>
      <c r="I97" s="16" t="str">
        <f>IFERROR(__xludf.DUMMYFUNCTION("""COMPUTED_VALUE"""),"")</f>
        <v/>
      </c>
      <c r="J97" s="16" t="str">
        <f>IFERROR(__xludf.DUMMYFUNCTION("""COMPUTED_VALUE"""),"")</f>
        <v/>
      </c>
      <c r="K97" s="16" t="str">
        <f>IFERROR(__xludf.DUMMYFUNCTION("""COMPUTED_VALUE"""),"")</f>
        <v/>
      </c>
      <c r="L97" s="16" t="str">
        <f>IFERROR(__xludf.DUMMYFUNCTION("""COMPUTED_VALUE"""),"")</f>
        <v/>
      </c>
      <c r="M97" s="16" t="str">
        <f>IFERROR(__xludf.DUMMYFUNCTION("""COMPUTED_VALUE"""),"")</f>
        <v/>
      </c>
      <c r="N97" s="16" t="str">
        <f>IFERROR(__xludf.DUMMYFUNCTION("""COMPUTED_VALUE"""),"")</f>
        <v/>
      </c>
      <c r="O97" s="16" t="str">
        <f>IFERROR(__xludf.DUMMYFUNCTION("""COMPUTED_VALUE"""),"")</f>
        <v/>
      </c>
      <c r="P97" s="16" t="str">
        <f>IFERROR(__xludf.DUMMYFUNCTION("""COMPUTED_VALUE"""),"")</f>
        <v/>
      </c>
      <c r="Q97" s="16" t="str">
        <f>IFERROR(__xludf.DUMMYFUNCTION("""COMPUTED_VALUE"""),"")</f>
        <v/>
      </c>
      <c r="R97" s="16" t="str">
        <f>IFERROR(__xludf.DUMMYFUNCTION("""COMPUTED_VALUE"""),"")</f>
        <v/>
      </c>
      <c r="S97" s="16" t="str">
        <f>IFERROR(__xludf.DUMMYFUNCTION("""COMPUTED_VALUE"""),"")</f>
        <v/>
      </c>
      <c r="T97" s="16" t="str">
        <f>IFERROR(__xludf.DUMMYFUNCTION("""COMPUTED_VALUE"""),"")</f>
        <v/>
      </c>
      <c r="U97" s="16" t="str">
        <f>IFERROR(__xludf.DUMMYFUNCTION("""COMPUTED_VALUE"""),"")</f>
        <v/>
      </c>
      <c r="V97" s="16" t="str">
        <f>IFERROR(__xludf.DUMMYFUNCTION("""COMPUTED_VALUE"""),"")</f>
        <v/>
      </c>
      <c r="W97" s="16" t="str">
        <f>IFERROR(__xludf.DUMMYFUNCTION("""COMPUTED_VALUE"""),"")</f>
        <v/>
      </c>
      <c r="X97" s="16" t="str">
        <f>IFERROR(__xludf.DUMMYFUNCTION("""COMPUTED_VALUE"""),"")</f>
        <v/>
      </c>
      <c r="Y97" s="16" t="str">
        <f>IFERROR(__xludf.DUMMYFUNCTION("""COMPUTED_VALUE"""),"")</f>
        <v/>
      </c>
      <c r="Z97" s="16"/>
      <c r="AA97" s="16"/>
      <c r="AB97" s="16"/>
      <c r="AC97" s="16"/>
      <c r="AD97" s="16"/>
      <c r="AE97" s="16"/>
      <c r="AF97" s="16"/>
      <c r="AG97" s="16"/>
      <c r="AH97" s="16"/>
      <c r="AI97" s="16"/>
      <c r="AJ97" s="16"/>
      <c r="AK97" s="16"/>
      <c r="AL97" s="16"/>
      <c r="AM97" s="16"/>
      <c r="AN97" s="16"/>
      <c r="AO97" s="16"/>
      <c r="AP97" s="16"/>
      <c r="AQ97" s="16"/>
      <c r="AR97" s="16"/>
      <c r="AS97" s="16"/>
      <c r="AT97" s="16"/>
      <c r="AU97" s="16"/>
      <c r="AV97" s="16"/>
      <c r="AW97" s="16"/>
      <c r="AX97" s="16"/>
    </row>
    <row r="98">
      <c r="A98" s="16"/>
      <c r="B98" s="16"/>
      <c r="C98" s="16" t="str">
        <f>IFERROR(__xludf.DUMMYFUNCTION("""COMPUTED_VALUE"""),"")</f>
        <v/>
      </c>
      <c r="D98" s="16" t="str">
        <f>IFERROR(__xludf.DUMMYFUNCTION("""COMPUTED_VALUE"""),"")</f>
        <v/>
      </c>
      <c r="E98" s="16" t="str">
        <f>IFERROR(__xludf.DUMMYFUNCTION("""COMPUTED_VALUE"""),"")</f>
        <v/>
      </c>
      <c r="F98" s="16" t="str">
        <f>IFERROR(__xludf.DUMMYFUNCTION("""COMPUTED_VALUE"""),"")</f>
        <v/>
      </c>
      <c r="G98" s="16" t="str">
        <f>IFERROR(__xludf.DUMMYFUNCTION("""COMPUTED_VALUE"""),"")</f>
        <v/>
      </c>
      <c r="H98" s="16" t="str">
        <f>IFERROR(__xludf.DUMMYFUNCTION("""COMPUTED_VALUE"""),"")</f>
        <v/>
      </c>
      <c r="I98" s="16" t="str">
        <f>IFERROR(__xludf.DUMMYFUNCTION("""COMPUTED_VALUE"""),"")</f>
        <v/>
      </c>
      <c r="J98" s="16" t="str">
        <f>IFERROR(__xludf.DUMMYFUNCTION("""COMPUTED_VALUE"""),"")</f>
        <v/>
      </c>
      <c r="K98" s="16" t="str">
        <f>IFERROR(__xludf.DUMMYFUNCTION("""COMPUTED_VALUE"""),"")</f>
        <v/>
      </c>
      <c r="L98" s="16" t="str">
        <f>IFERROR(__xludf.DUMMYFUNCTION("""COMPUTED_VALUE"""),"")</f>
        <v/>
      </c>
      <c r="M98" s="16" t="str">
        <f>IFERROR(__xludf.DUMMYFUNCTION("""COMPUTED_VALUE"""),"")</f>
        <v/>
      </c>
      <c r="N98" s="16" t="str">
        <f>IFERROR(__xludf.DUMMYFUNCTION("""COMPUTED_VALUE"""),"")</f>
        <v/>
      </c>
      <c r="O98" s="16" t="str">
        <f>IFERROR(__xludf.DUMMYFUNCTION("""COMPUTED_VALUE"""),"")</f>
        <v/>
      </c>
      <c r="P98" s="16" t="str">
        <f>IFERROR(__xludf.DUMMYFUNCTION("""COMPUTED_VALUE"""),"")</f>
        <v/>
      </c>
      <c r="Q98" s="16" t="str">
        <f>IFERROR(__xludf.DUMMYFUNCTION("""COMPUTED_VALUE"""),"")</f>
        <v/>
      </c>
      <c r="R98" s="16" t="str">
        <f>IFERROR(__xludf.DUMMYFUNCTION("""COMPUTED_VALUE"""),"")</f>
        <v/>
      </c>
      <c r="S98" s="16" t="str">
        <f>IFERROR(__xludf.DUMMYFUNCTION("""COMPUTED_VALUE"""),"")</f>
        <v/>
      </c>
      <c r="T98" s="16" t="str">
        <f>IFERROR(__xludf.DUMMYFUNCTION("""COMPUTED_VALUE"""),"")</f>
        <v/>
      </c>
      <c r="U98" s="16" t="str">
        <f>IFERROR(__xludf.DUMMYFUNCTION("""COMPUTED_VALUE"""),"")</f>
        <v/>
      </c>
      <c r="V98" s="16" t="str">
        <f>IFERROR(__xludf.DUMMYFUNCTION("""COMPUTED_VALUE"""),"")</f>
        <v/>
      </c>
      <c r="W98" s="16" t="str">
        <f>IFERROR(__xludf.DUMMYFUNCTION("""COMPUTED_VALUE"""),"")</f>
        <v/>
      </c>
      <c r="X98" s="16" t="str">
        <f>IFERROR(__xludf.DUMMYFUNCTION("""COMPUTED_VALUE"""),"")</f>
        <v/>
      </c>
      <c r="Y98" s="16" t="str">
        <f>IFERROR(__xludf.DUMMYFUNCTION("""COMPUTED_VALUE"""),"")</f>
        <v/>
      </c>
      <c r="Z98" s="16"/>
      <c r="AA98" s="16"/>
      <c r="AB98" s="16"/>
      <c r="AC98" s="16"/>
      <c r="AD98" s="16"/>
      <c r="AE98" s="16"/>
      <c r="AF98" s="16"/>
      <c r="AG98" s="16"/>
      <c r="AH98" s="16"/>
      <c r="AI98" s="16"/>
      <c r="AJ98" s="16"/>
      <c r="AK98" s="16"/>
      <c r="AL98" s="16"/>
      <c r="AM98" s="16"/>
      <c r="AN98" s="16"/>
      <c r="AO98" s="16"/>
      <c r="AP98" s="16"/>
      <c r="AQ98" s="16"/>
      <c r="AR98" s="16"/>
      <c r="AS98" s="16"/>
      <c r="AT98" s="16"/>
      <c r="AU98" s="16"/>
      <c r="AV98" s="16"/>
      <c r="AW98" s="16"/>
      <c r="AX98" s="16"/>
    </row>
    <row r="99">
      <c r="A99" s="16"/>
      <c r="B99" s="16"/>
      <c r="C99" s="16" t="str">
        <f>IFERROR(__xludf.DUMMYFUNCTION("""COMPUTED_VALUE"""),"")</f>
        <v/>
      </c>
      <c r="D99" s="16" t="str">
        <f>IFERROR(__xludf.DUMMYFUNCTION("""COMPUTED_VALUE"""),"")</f>
        <v/>
      </c>
      <c r="E99" s="16" t="str">
        <f>IFERROR(__xludf.DUMMYFUNCTION("""COMPUTED_VALUE"""),"")</f>
        <v/>
      </c>
      <c r="F99" s="16" t="str">
        <f>IFERROR(__xludf.DUMMYFUNCTION("""COMPUTED_VALUE"""),"")</f>
        <v/>
      </c>
      <c r="G99" s="16" t="str">
        <f>IFERROR(__xludf.DUMMYFUNCTION("""COMPUTED_VALUE"""),"")</f>
        <v/>
      </c>
      <c r="H99" s="16" t="str">
        <f>IFERROR(__xludf.DUMMYFUNCTION("""COMPUTED_VALUE"""),"")</f>
        <v/>
      </c>
      <c r="I99" s="16" t="str">
        <f>IFERROR(__xludf.DUMMYFUNCTION("""COMPUTED_VALUE"""),"")</f>
        <v/>
      </c>
      <c r="J99" s="16" t="str">
        <f>IFERROR(__xludf.DUMMYFUNCTION("""COMPUTED_VALUE"""),"")</f>
        <v/>
      </c>
      <c r="K99" s="16" t="str">
        <f>IFERROR(__xludf.DUMMYFUNCTION("""COMPUTED_VALUE"""),"")</f>
        <v/>
      </c>
      <c r="L99" s="16" t="str">
        <f>IFERROR(__xludf.DUMMYFUNCTION("""COMPUTED_VALUE"""),"")</f>
        <v/>
      </c>
      <c r="M99" s="16" t="str">
        <f>IFERROR(__xludf.DUMMYFUNCTION("""COMPUTED_VALUE"""),"")</f>
        <v/>
      </c>
      <c r="N99" s="16" t="str">
        <f>IFERROR(__xludf.DUMMYFUNCTION("""COMPUTED_VALUE"""),"")</f>
        <v/>
      </c>
      <c r="O99" s="16" t="str">
        <f>IFERROR(__xludf.DUMMYFUNCTION("""COMPUTED_VALUE"""),"")</f>
        <v/>
      </c>
      <c r="P99" s="16" t="str">
        <f>IFERROR(__xludf.DUMMYFUNCTION("""COMPUTED_VALUE"""),"")</f>
        <v/>
      </c>
      <c r="Q99" s="16" t="str">
        <f>IFERROR(__xludf.DUMMYFUNCTION("""COMPUTED_VALUE"""),"")</f>
        <v/>
      </c>
      <c r="R99" s="16" t="str">
        <f>IFERROR(__xludf.DUMMYFUNCTION("""COMPUTED_VALUE"""),"")</f>
        <v/>
      </c>
      <c r="S99" s="16" t="str">
        <f>IFERROR(__xludf.DUMMYFUNCTION("""COMPUTED_VALUE"""),"")</f>
        <v/>
      </c>
      <c r="T99" s="16" t="str">
        <f>IFERROR(__xludf.DUMMYFUNCTION("""COMPUTED_VALUE"""),"")</f>
        <v/>
      </c>
      <c r="U99" s="16" t="str">
        <f>IFERROR(__xludf.DUMMYFUNCTION("""COMPUTED_VALUE"""),"")</f>
        <v/>
      </c>
      <c r="V99" s="16" t="str">
        <f>IFERROR(__xludf.DUMMYFUNCTION("""COMPUTED_VALUE"""),"")</f>
        <v/>
      </c>
      <c r="W99" s="16" t="str">
        <f>IFERROR(__xludf.DUMMYFUNCTION("""COMPUTED_VALUE"""),"")</f>
        <v/>
      </c>
      <c r="X99" s="16" t="str">
        <f>IFERROR(__xludf.DUMMYFUNCTION("""COMPUTED_VALUE"""),"")</f>
        <v/>
      </c>
      <c r="Y99" s="16" t="str">
        <f>IFERROR(__xludf.DUMMYFUNCTION("""COMPUTED_VALUE"""),"")</f>
        <v/>
      </c>
      <c r="Z99" s="16"/>
      <c r="AA99" s="16"/>
      <c r="AB99" s="16"/>
      <c r="AC99" s="16"/>
      <c r="AD99" s="16"/>
      <c r="AE99" s="16"/>
      <c r="AF99" s="16"/>
      <c r="AG99" s="16"/>
      <c r="AH99" s="16"/>
      <c r="AI99" s="16"/>
      <c r="AJ99" s="16"/>
      <c r="AK99" s="16"/>
      <c r="AL99" s="16"/>
      <c r="AM99" s="16"/>
      <c r="AN99" s="16"/>
      <c r="AO99" s="16"/>
      <c r="AP99" s="16"/>
      <c r="AQ99" s="16"/>
      <c r="AR99" s="16"/>
      <c r="AS99" s="16"/>
      <c r="AT99" s="16"/>
      <c r="AU99" s="16"/>
      <c r="AV99" s="16"/>
      <c r="AW99" s="16"/>
      <c r="AX99" s="16"/>
    </row>
    <row r="100">
      <c r="A100" s="16"/>
      <c r="B100" s="16"/>
      <c r="C100" s="16" t="str">
        <f>IFERROR(__xludf.DUMMYFUNCTION("""COMPUTED_VALUE"""),"")</f>
        <v/>
      </c>
      <c r="D100" s="16" t="str">
        <f>IFERROR(__xludf.DUMMYFUNCTION("""COMPUTED_VALUE"""),"")</f>
        <v/>
      </c>
      <c r="E100" s="16" t="str">
        <f>IFERROR(__xludf.DUMMYFUNCTION("""COMPUTED_VALUE"""),"")</f>
        <v/>
      </c>
      <c r="F100" s="16" t="str">
        <f>IFERROR(__xludf.DUMMYFUNCTION("""COMPUTED_VALUE"""),"")</f>
        <v/>
      </c>
      <c r="G100" s="16" t="str">
        <f>IFERROR(__xludf.DUMMYFUNCTION("""COMPUTED_VALUE"""),"")</f>
        <v/>
      </c>
      <c r="H100" s="16" t="str">
        <f>IFERROR(__xludf.DUMMYFUNCTION("""COMPUTED_VALUE"""),"")</f>
        <v/>
      </c>
      <c r="I100" s="16" t="str">
        <f>IFERROR(__xludf.DUMMYFUNCTION("""COMPUTED_VALUE"""),"")</f>
        <v/>
      </c>
      <c r="J100" s="16" t="str">
        <f>IFERROR(__xludf.DUMMYFUNCTION("""COMPUTED_VALUE"""),"")</f>
        <v/>
      </c>
      <c r="K100" s="16" t="str">
        <f>IFERROR(__xludf.DUMMYFUNCTION("""COMPUTED_VALUE"""),"")</f>
        <v/>
      </c>
      <c r="L100" s="16" t="str">
        <f>IFERROR(__xludf.DUMMYFUNCTION("""COMPUTED_VALUE"""),"")</f>
        <v/>
      </c>
      <c r="M100" s="16" t="str">
        <f>IFERROR(__xludf.DUMMYFUNCTION("""COMPUTED_VALUE"""),"")</f>
        <v/>
      </c>
      <c r="N100" s="16" t="str">
        <f>IFERROR(__xludf.DUMMYFUNCTION("""COMPUTED_VALUE"""),"")</f>
        <v/>
      </c>
      <c r="O100" s="16" t="str">
        <f>IFERROR(__xludf.DUMMYFUNCTION("""COMPUTED_VALUE"""),"")</f>
        <v/>
      </c>
      <c r="P100" s="16" t="str">
        <f>IFERROR(__xludf.DUMMYFUNCTION("""COMPUTED_VALUE"""),"")</f>
        <v/>
      </c>
      <c r="Q100" s="16" t="str">
        <f>IFERROR(__xludf.DUMMYFUNCTION("""COMPUTED_VALUE"""),"")</f>
        <v/>
      </c>
      <c r="R100" s="16" t="str">
        <f>IFERROR(__xludf.DUMMYFUNCTION("""COMPUTED_VALUE"""),"")</f>
        <v/>
      </c>
      <c r="S100" s="16" t="str">
        <f>IFERROR(__xludf.DUMMYFUNCTION("""COMPUTED_VALUE"""),"")</f>
        <v/>
      </c>
      <c r="T100" s="16" t="str">
        <f>IFERROR(__xludf.DUMMYFUNCTION("""COMPUTED_VALUE"""),"")</f>
        <v/>
      </c>
      <c r="U100" s="16" t="str">
        <f>IFERROR(__xludf.DUMMYFUNCTION("""COMPUTED_VALUE"""),"")</f>
        <v/>
      </c>
      <c r="V100" s="16" t="str">
        <f>IFERROR(__xludf.DUMMYFUNCTION("""COMPUTED_VALUE"""),"")</f>
        <v/>
      </c>
      <c r="W100" s="16" t="str">
        <f>IFERROR(__xludf.DUMMYFUNCTION("""COMPUTED_VALUE"""),"")</f>
        <v/>
      </c>
      <c r="X100" s="16" t="str">
        <f>IFERROR(__xludf.DUMMYFUNCTION("""COMPUTED_VALUE"""),"")</f>
        <v/>
      </c>
      <c r="Y100" s="16" t="str">
        <f>IFERROR(__xludf.DUMMYFUNCTION("""COMPUTED_VALUE"""),"")</f>
        <v/>
      </c>
      <c r="Z100" s="16"/>
      <c r="AA100" s="16"/>
      <c r="AB100" s="16"/>
      <c r="AC100" s="16"/>
      <c r="AD100" s="16"/>
      <c r="AE100" s="16"/>
      <c r="AF100" s="16"/>
      <c r="AG100" s="16"/>
      <c r="AH100" s="16"/>
      <c r="AI100" s="16"/>
      <c r="AJ100" s="16"/>
      <c r="AK100" s="16"/>
      <c r="AL100" s="16"/>
      <c r="AM100" s="16"/>
      <c r="AN100" s="16"/>
      <c r="AO100" s="16"/>
      <c r="AP100" s="16"/>
      <c r="AQ100" s="16"/>
      <c r="AR100" s="16"/>
      <c r="AS100" s="16"/>
      <c r="AT100" s="16"/>
      <c r="AU100" s="16"/>
      <c r="AV100" s="16"/>
      <c r="AW100" s="16"/>
      <c r="AX100" s="16"/>
    </row>
    <row r="101">
      <c r="A101" s="16"/>
      <c r="B101" s="16"/>
      <c r="C101" s="16" t="str">
        <f>IFERROR(__xludf.DUMMYFUNCTION("""COMPUTED_VALUE"""),"")</f>
        <v/>
      </c>
      <c r="D101" s="16" t="str">
        <f>IFERROR(__xludf.DUMMYFUNCTION("""COMPUTED_VALUE"""),"")</f>
        <v/>
      </c>
      <c r="E101" s="16" t="str">
        <f>IFERROR(__xludf.DUMMYFUNCTION("""COMPUTED_VALUE"""),"")</f>
        <v/>
      </c>
      <c r="F101" s="16" t="str">
        <f>IFERROR(__xludf.DUMMYFUNCTION("""COMPUTED_VALUE"""),"")</f>
        <v/>
      </c>
      <c r="G101" s="16" t="str">
        <f>IFERROR(__xludf.DUMMYFUNCTION("""COMPUTED_VALUE"""),"")</f>
        <v/>
      </c>
      <c r="H101" s="16" t="str">
        <f>IFERROR(__xludf.DUMMYFUNCTION("""COMPUTED_VALUE"""),"")</f>
        <v/>
      </c>
      <c r="I101" s="16" t="str">
        <f>IFERROR(__xludf.DUMMYFUNCTION("""COMPUTED_VALUE"""),"")</f>
        <v/>
      </c>
      <c r="J101" s="16" t="str">
        <f>IFERROR(__xludf.DUMMYFUNCTION("""COMPUTED_VALUE"""),"")</f>
        <v/>
      </c>
      <c r="K101" s="16" t="str">
        <f>IFERROR(__xludf.DUMMYFUNCTION("""COMPUTED_VALUE"""),"")</f>
        <v/>
      </c>
      <c r="L101" s="16" t="str">
        <f>IFERROR(__xludf.DUMMYFUNCTION("""COMPUTED_VALUE"""),"")</f>
        <v/>
      </c>
      <c r="M101" s="16" t="str">
        <f>IFERROR(__xludf.DUMMYFUNCTION("""COMPUTED_VALUE"""),"")</f>
        <v/>
      </c>
      <c r="N101" s="16" t="str">
        <f>IFERROR(__xludf.DUMMYFUNCTION("""COMPUTED_VALUE"""),"")</f>
        <v/>
      </c>
      <c r="O101" s="16" t="str">
        <f>IFERROR(__xludf.DUMMYFUNCTION("""COMPUTED_VALUE"""),"")</f>
        <v/>
      </c>
      <c r="P101" s="16" t="str">
        <f>IFERROR(__xludf.DUMMYFUNCTION("""COMPUTED_VALUE"""),"")</f>
        <v/>
      </c>
      <c r="Q101" s="16" t="str">
        <f>IFERROR(__xludf.DUMMYFUNCTION("""COMPUTED_VALUE"""),"")</f>
        <v/>
      </c>
      <c r="R101" s="16" t="str">
        <f>IFERROR(__xludf.DUMMYFUNCTION("""COMPUTED_VALUE"""),"")</f>
        <v/>
      </c>
      <c r="S101" s="16" t="str">
        <f>IFERROR(__xludf.DUMMYFUNCTION("""COMPUTED_VALUE"""),"")</f>
        <v/>
      </c>
      <c r="T101" s="16" t="str">
        <f>IFERROR(__xludf.DUMMYFUNCTION("""COMPUTED_VALUE"""),"")</f>
        <v/>
      </c>
      <c r="U101" s="16" t="str">
        <f>IFERROR(__xludf.DUMMYFUNCTION("""COMPUTED_VALUE"""),"")</f>
        <v/>
      </c>
      <c r="V101" s="16" t="str">
        <f>IFERROR(__xludf.DUMMYFUNCTION("""COMPUTED_VALUE"""),"")</f>
        <v/>
      </c>
      <c r="W101" s="16" t="str">
        <f>IFERROR(__xludf.DUMMYFUNCTION("""COMPUTED_VALUE"""),"")</f>
        <v/>
      </c>
      <c r="X101" s="16" t="str">
        <f>IFERROR(__xludf.DUMMYFUNCTION("""COMPUTED_VALUE"""),"")</f>
        <v/>
      </c>
      <c r="Y101" s="16" t="str">
        <f>IFERROR(__xludf.DUMMYFUNCTION("""COMPUTED_VALUE"""),"")</f>
        <v/>
      </c>
      <c r="Z101" s="16"/>
      <c r="AA101" s="16"/>
      <c r="AB101" s="16"/>
      <c r="AC101" s="16"/>
      <c r="AD101" s="16"/>
      <c r="AE101" s="16"/>
      <c r="AF101" s="16"/>
      <c r="AG101" s="16"/>
      <c r="AH101" s="16"/>
      <c r="AI101" s="16"/>
      <c r="AJ101" s="16"/>
      <c r="AK101" s="16"/>
      <c r="AL101" s="16"/>
      <c r="AM101" s="16"/>
      <c r="AN101" s="16"/>
      <c r="AO101" s="16"/>
      <c r="AP101" s="16"/>
      <c r="AQ101" s="16"/>
      <c r="AR101" s="16"/>
      <c r="AS101" s="16"/>
      <c r="AT101" s="16"/>
      <c r="AU101" s="16"/>
      <c r="AV101" s="16"/>
      <c r="AW101" s="16"/>
      <c r="AX101" s="16"/>
    </row>
    <row r="102">
      <c r="A102" s="16"/>
      <c r="B102" s="16"/>
      <c r="C102" s="16" t="str">
        <f>IFERROR(__xludf.DUMMYFUNCTION("""COMPUTED_VALUE"""),"")</f>
        <v/>
      </c>
      <c r="D102" s="16" t="str">
        <f>IFERROR(__xludf.DUMMYFUNCTION("""COMPUTED_VALUE"""),"")</f>
        <v/>
      </c>
      <c r="E102" s="16" t="str">
        <f>IFERROR(__xludf.DUMMYFUNCTION("""COMPUTED_VALUE"""),"")</f>
        <v/>
      </c>
      <c r="F102" s="16" t="str">
        <f>IFERROR(__xludf.DUMMYFUNCTION("""COMPUTED_VALUE"""),"")</f>
        <v/>
      </c>
      <c r="G102" s="16" t="str">
        <f>IFERROR(__xludf.DUMMYFUNCTION("""COMPUTED_VALUE"""),"")</f>
        <v/>
      </c>
      <c r="H102" s="16" t="str">
        <f>IFERROR(__xludf.DUMMYFUNCTION("""COMPUTED_VALUE"""),"")</f>
        <v/>
      </c>
      <c r="I102" s="16" t="str">
        <f>IFERROR(__xludf.DUMMYFUNCTION("""COMPUTED_VALUE"""),"")</f>
        <v/>
      </c>
      <c r="J102" s="16" t="str">
        <f>IFERROR(__xludf.DUMMYFUNCTION("""COMPUTED_VALUE"""),"")</f>
        <v/>
      </c>
      <c r="K102" s="16" t="str">
        <f>IFERROR(__xludf.DUMMYFUNCTION("""COMPUTED_VALUE"""),"")</f>
        <v/>
      </c>
      <c r="L102" s="16" t="str">
        <f>IFERROR(__xludf.DUMMYFUNCTION("""COMPUTED_VALUE"""),"")</f>
        <v/>
      </c>
      <c r="M102" s="16" t="str">
        <f>IFERROR(__xludf.DUMMYFUNCTION("""COMPUTED_VALUE"""),"")</f>
        <v/>
      </c>
      <c r="N102" s="16" t="str">
        <f>IFERROR(__xludf.DUMMYFUNCTION("""COMPUTED_VALUE"""),"")</f>
        <v/>
      </c>
      <c r="O102" s="16" t="str">
        <f>IFERROR(__xludf.DUMMYFUNCTION("""COMPUTED_VALUE"""),"")</f>
        <v/>
      </c>
      <c r="P102" s="16" t="str">
        <f>IFERROR(__xludf.DUMMYFUNCTION("""COMPUTED_VALUE"""),"")</f>
        <v/>
      </c>
      <c r="Q102" s="16" t="str">
        <f>IFERROR(__xludf.DUMMYFUNCTION("""COMPUTED_VALUE"""),"")</f>
        <v/>
      </c>
      <c r="R102" s="16" t="str">
        <f>IFERROR(__xludf.DUMMYFUNCTION("""COMPUTED_VALUE"""),"")</f>
        <v/>
      </c>
      <c r="S102" s="16" t="str">
        <f>IFERROR(__xludf.DUMMYFUNCTION("""COMPUTED_VALUE"""),"")</f>
        <v/>
      </c>
      <c r="T102" s="16" t="str">
        <f>IFERROR(__xludf.DUMMYFUNCTION("""COMPUTED_VALUE"""),"")</f>
        <v/>
      </c>
      <c r="U102" s="16" t="str">
        <f>IFERROR(__xludf.DUMMYFUNCTION("""COMPUTED_VALUE"""),"")</f>
        <v/>
      </c>
      <c r="V102" s="16" t="str">
        <f>IFERROR(__xludf.DUMMYFUNCTION("""COMPUTED_VALUE"""),"")</f>
        <v/>
      </c>
      <c r="W102" s="16" t="str">
        <f>IFERROR(__xludf.DUMMYFUNCTION("""COMPUTED_VALUE"""),"")</f>
        <v/>
      </c>
      <c r="X102" s="16" t="str">
        <f>IFERROR(__xludf.DUMMYFUNCTION("""COMPUTED_VALUE"""),"")</f>
        <v/>
      </c>
      <c r="Y102" s="16" t="str">
        <f>IFERROR(__xludf.DUMMYFUNCTION("""COMPUTED_VALUE"""),"")</f>
        <v/>
      </c>
      <c r="Z102" s="16"/>
      <c r="AA102" s="16"/>
      <c r="AB102" s="16"/>
      <c r="AC102" s="16"/>
      <c r="AD102" s="16"/>
      <c r="AE102" s="16"/>
      <c r="AF102" s="16"/>
      <c r="AG102" s="16"/>
      <c r="AH102" s="16"/>
      <c r="AI102" s="16"/>
      <c r="AJ102" s="16"/>
      <c r="AK102" s="16"/>
      <c r="AL102" s="16"/>
      <c r="AM102" s="16"/>
      <c r="AN102" s="16"/>
      <c r="AO102" s="16"/>
      <c r="AP102" s="16"/>
      <c r="AQ102" s="16"/>
      <c r="AR102" s="16"/>
      <c r="AS102" s="16"/>
      <c r="AT102" s="16"/>
      <c r="AU102" s="16"/>
      <c r="AV102" s="16"/>
      <c r="AW102" s="16"/>
      <c r="AX102" s="16"/>
    </row>
    <row r="103">
      <c r="A103" s="16"/>
      <c r="B103" s="16"/>
      <c r="C103" s="16" t="str">
        <f>IFERROR(__xludf.DUMMYFUNCTION("""COMPUTED_VALUE"""),"")</f>
        <v/>
      </c>
      <c r="D103" s="16" t="str">
        <f>IFERROR(__xludf.DUMMYFUNCTION("""COMPUTED_VALUE"""),"")</f>
        <v/>
      </c>
      <c r="E103" s="16" t="str">
        <f>IFERROR(__xludf.DUMMYFUNCTION("""COMPUTED_VALUE"""),"")</f>
        <v/>
      </c>
      <c r="F103" s="16" t="str">
        <f>IFERROR(__xludf.DUMMYFUNCTION("""COMPUTED_VALUE"""),"")</f>
        <v/>
      </c>
      <c r="G103" s="16" t="str">
        <f>IFERROR(__xludf.DUMMYFUNCTION("""COMPUTED_VALUE"""),"")</f>
        <v/>
      </c>
      <c r="H103" s="16" t="str">
        <f>IFERROR(__xludf.DUMMYFUNCTION("""COMPUTED_VALUE"""),"")</f>
        <v/>
      </c>
      <c r="I103" s="16" t="str">
        <f>IFERROR(__xludf.DUMMYFUNCTION("""COMPUTED_VALUE"""),"")</f>
        <v/>
      </c>
      <c r="J103" s="16" t="str">
        <f>IFERROR(__xludf.DUMMYFUNCTION("""COMPUTED_VALUE"""),"")</f>
        <v/>
      </c>
      <c r="K103" s="16" t="str">
        <f>IFERROR(__xludf.DUMMYFUNCTION("""COMPUTED_VALUE"""),"")</f>
        <v/>
      </c>
      <c r="L103" s="16" t="str">
        <f>IFERROR(__xludf.DUMMYFUNCTION("""COMPUTED_VALUE"""),"")</f>
        <v/>
      </c>
      <c r="M103" s="16" t="str">
        <f>IFERROR(__xludf.DUMMYFUNCTION("""COMPUTED_VALUE"""),"")</f>
        <v/>
      </c>
      <c r="N103" s="16" t="str">
        <f>IFERROR(__xludf.DUMMYFUNCTION("""COMPUTED_VALUE"""),"")</f>
        <v/>
      </c>
      <c r="O103" s="16" t="str">
        <f>IFERROR(__xludf.DUMMYFUNCTION("""COMPUTED_VALUE"""),"")</f>
        <v/>
      </c>
      <c r="P103" s="16" t="str">
        <f>IFERROR(__xludf.DUMMYFUNCTION("""COMPUTED_VALUE"""),"")</f>
        <v/>
      </c>
      <c r="Q103" s="16" t="str">
        <f>IFERROR(__xludf.DUMMYFUNCTION("""COMPUTED_VALUE"""),"")</f>
        <v/>
      </c>
      <c r="R103" s="16" t="str">
        <f>IFERROR(__xludf.DUMMYFUNCTION("""COMPUTED_VALUE"""),"")</f>
        <v/>
      </c>
      <c r="S103" s="16" t="str">
        <f>IFERROR(__xludf.DUMMYFUNCTION("""COMPUTED_VALUE"""),"")</f>
        <v/>
      </c>
      <c r="T103" s="16" t="str">
        <f>IFERROR(__xludf.DUMMYFUNCTION("""COMPUTED_VALUE"""),"")</f>
        <v/>
      </c>
      <c r="U103" s="16" t="str">
        <f>IFERROR(__xludf.DUMMYFUNCTION("""COMPUTED_VALUE"""),"")</f>
        <v/>
      </c>
      <c r="V103" s="16" t="str">
        <f>IFERROR(__xludf.DUMMYFUNCTION("""COMPUTED_VALUE"""),"")</f>
        <v/>
      </c>
      <c r="W103" s="16" t="str">
        <f>IFERROR(__xludf.DUMMYFUNCTION("""COMPUTED_VALUE"""),"")</f>
        <v/>
      </c>
      <c r="X103" s="16" t="str">
        <f>IFERROR(__xludf.DUMMYFUNCTION("""COMPUTED_VALUE"""),"")</f>
        <v/>
      </c>
      <c r="Y103" s="16" t="str">
        <f>IFERROR(__xludf.DUMMYFUNCTION("""COMPUTED_VALUE"""),"")</f>
        <v/>
      </c>
      <c r="Z103" s="16"/>
      <c r="AA103" s="16"/>
      <c r="AB103" s="16"/>
      <c r="AC103" s="16"/>
      <c r="AD103" s="16"/>
      <c r="AE103" s="16"/>
      <c r="AF103" s="16"/>
      <c r="AG103" s="16"/>
      <c r="AH103" s="16"/>
      <c r="AI103" s="16"/>
      <c r="AJ103" s="16"/>
      <c r="AK103" s="16"/>
      <c r="AL103" s="16"/>
      <c r="AM103" s="16"/>
      <c r="AN103" s="16"/>
      <c r="AO103" s="16"/>
      <c r="AP103" s="16"/>
      <c r="AQ103" s="16"/>
      <c r="AR103" s="16"/>
      <c r="AS103" s="16"/>
      <c r="AT103" s="16"/>
      <c r="AU103" s="16"/>
      <c r="AV103" s="16"/>
      <c r="AW103" s="16"/>
      <c r="AX103" s="16"/>
    </row>
    <row r="104">
      <c r="A104" s="16"/>
      <c r="B104" s="16"/>
      <c r="C104" s="16" t="str">
        <f>IFERROR(__xludf.DUMMYFUNCTION("""COMPUTED_VALUE"""),"")</f>
        <v/>
      </c>
      <c r="D104" s="16" t="str">
        <f>IFERROR(__xludf.DUMMYFUNCTION("""COMPUTED_VALUE"""),"")</f>
        <v/>
      </c>
      <c r="E104" s="16" t="str">
        <f>IFERROR(__xludf.DUMMYFUNCTION("""COMPUTED_VALUE"""),"")</f>
        <v/>
      </c>
      <c r="F104" s="16" t="str">
        <f>IFERROR(__xludf.DUMMYFUNCTION("""COMPUTED_VALUE"""),"")</f>
        <v/>
      </c>
      <c r="G104" s="16" t="str">
        <f>IFERROR(__xludf.DUMMYFUNCTION("""COMPUTED_VALUE"""),"")</f>
        <v/>
      </c>
      <c r="H104" s="16" t="str">
        <f>IFERROR(__xludf.DUMMYFUNCTION("""COMPUTED_VALUE"""),"")</f>
        <v/>
      </c>
      <c r="I104" s="16" t="str">
        <f>IFERROR(__xludf.DUMMYFUNCTION("""COMPUTED_VALUE"""),"")</f>
        <v/>
      </c>
      <c r="J104" s="16" t="str">
        <f>IFERROR(__xludf.DUMMYFUNCTION("""COMPUTED_VALUE"""),"")</f>
        <v/>
      </c>
      <c r="K104" s="16" t="str">
        <f>IFERROR(__xludf.DUMMYFUNCTION("""COMPUTED_VALUE"""),"")</f>
        <v/>
      </c>
      <c r="L104" s="16" t="str">
        <f>IFERROR(__xludf.DUMMYFUNCTION("""COMPUTED_VALUE"""),"")</f>
        <v/>
      </c>
      <c r="M104" s="16" t="str">
        <f>IFERROR(__xludf.DUMMYFUNCTION("""COMPUTED_VALUE"""),"")</f>
        <v/>
      </c>
      <c r="N104" s="16" t="str">
        <f>IFERROR(__xludf.DUMMYFUNCTION("""COMPUTED_VALUE"""),"")</f>
        <v/>
      </c>
      <c r="O104" s="16" t="str">
        <f>IFERROR(__xludf.DUMMYFUNCTION("""COMPUTED_VALUE"""),"")</f>
        <v/>
      </c>
      <c r="P104" s="16" t="str">
        <f>IFERROR(__xludf.DUMMYFUNCTION("""COMPUTED_VALUE"""),"")</f>
        <v/>
      </c>
      <c r="Q104" s="16" t="str">
        <f>IFERROR(__xludf.DUMMYFUNCTION("""COMPUTED_VALUE"""),"")</f>
        <v/>
      </c>
      <c r="R104" s="16" t="str">
        <f>IFERROR(__xludf.DUMMYFUNCTION("""COMPUTED_VALUE"""),"")</f>
        <v/>
      </c>
      <c r="S104" s="16" t="str">
        <f>IFERROR(__xludf.DUMMYFUNCTION("""COMPUTED_VALUE"""),"")</f>
        <v/>
      </c>
      <c r="T104" s="16" t="str">
        <f>IFERROR(__xludf.DUMMYFUNCTION("""COMPUTED_VALUE"""),"")</f>
        <v/>
      </c>
      <c r="U104" s="16" t="str">
        <f>IFERROR(__xludf.DUMMYFUNCTION("""COMPUTED_VALUE"""),"")</f>
        <v/>
      </c>
      <c r="V104" s="16" t="str">
        <f>IFERROR(__xludf.DUMMYFUNCTION("""COMPUTED_VALUE"""),"")</f>
        <v/>
      </c>
      <c r="W104" s="16" t="str">
        <f>IFERROR(__xludf.DUMMYFUNCTION("""COMPUTED_VALUE"""),"")</f>
        <v/>
      </c>
      <c r="X104" s="16" t="str">
        <f>IFERROR(__xludf.DUMMYFUNCTION("""COMPUTED_VALUE"""),"")</f>
        <v/>
      </c>
      <c r="Y104" s="16" t="str">
        <f>IFERROR(__xludf.DUMMYFUNCTION("""COMPUTED_VALUE"""),"")</f>
        <v/>
      </c>
      <c r="Z104" s="16"/>
      <c r="AA104" s="16"/>
      <c r="AB104" s="16"/>
      <c r="AC104" s="16"/>
      <c r="AD104" s="16"/>
      <c r="AE104" s="16"/>
      <c r="AF104" s="16"/>
      <c r="AG104" s="16"/>
      <c r="AH104" s="16"/>
      <c r="AI104" s="16"/>
      <c r="AJ104" s="16"/>
      <c r="AK104" s="16"/>
      <c r="AL104" s="16"/>
      <c r="AM104" s="16"/>
      <c r="AN104" s="16"/>
      <c r="AO104" s="16"/>
      <c r="AP104" s="16"/>
      <c r="AQ104" s="16"/>
      <c r="AR104" s="16"/>
      <c r="AS104" s="16"/>
      <c r="AT104" s="16"/>
      <c r="AU104" s="16"/>
      <c r="AV104" s="16"/>
      <c r="AW104" s="16"/>
      <c r="AX104" s="16"/>
    </row>
    <row r="105">
      <c r="A105" s="16"/>
      <c r="B105" s="16"/>
      <c r="C105" s="16" t="str">
        <f>IFERROR(__xludf.DUMMYFUNCTION("""COMPUTED_VALUE"""),"")</f>
        <v/>
      </c>
      <c r="D105" s="16" t="str">
        <f>IFERROR(__xludf.DUMMYFUNCTION("""COMPUTED_VALUE"""),"")</f>
        <v/>
      </c>
      <c r="E105" s="16" t="str">
        <f>IFERROR(__xludf.DUMMYFUNCTION("""COMPUTED_VALUE"""),"")</f>
        <v/>
      </c>
      <c r="F105" s="16" t="str">
        <f>IFERROR(__xludf.DUMMYFUNCTION("""COMPUTED_VALUE"""),"")</f>
        <v/>
      </c>
      <c r="G105" s="16" t="str">
        <f>IFERROR(__xludf.DUMMYFUNCTION("""COMPUTED_VALUE"""),"")</f>
        <v/>
      </c>
      <c r="H105" s="16" t="str">
        <f>IFERROR(__xludf.DUMMYFUNCTION("""COMPUTED_VALUE"""),"")</f>
        <v/>
      </c>
      <c r="I105" s="16" t="str">
        <f>IFERROR(__xludf.DUMMYFUNCTION("""COMPUTED_VALUE"""),"")</f>
        <v/>
      </c>
      <c r="J105" s="16" t="str">
        <f>IFERROR(__xludf.DUMMYFUNCTION("""COMPUTED_VALUE"""),"")</f>
        <v/>
      </c>
      <c r="K105" s="16" t="str">
        <f>IFERROR(__xludf.DUMMYFUNCTION("""COMPUTED_VALUE"""),"")</f>
        <v/>
      </c>
      <c r="L105" s="16" t="str">
        <f>IFERROR(__xludf.DUMMYFUNCTION("""COMPUTED_VALUE"""),"")</f>
        <v/>
      </c>
      <c r="M105" s="16" t="str">
        <f>IFERROR(__xludf.DUMMYFUNCTION("""COMPUTED_VALUE"""),"")</f>
        <v/>
      </c>
      <c r="N105" s="16" t="str">
        <f>IFERROR(__xludf.DUMMYFUNCTION("""COMPUTED_VALUE"""),"")</f>
        <v/>
      </c>
      <c r="O105" s="16" t="str">
        <f>IFERROR(__xludf.DUMMYFUNCTION("""COMPUTED_VALUE"""),"")</f>
        <v/>
      </c>
      <c r="P105" s="16" t="str">
        <f>IFERROR(__xludf.DUMMYFUNCTION("""COMPUTED_VALUE"""),"")</f>
        <v/>
      </c>
      <c r="Q105" s="16" t="str">
        <f>IFERROR(__xludf.DUMMYFUNCTION("""COMPUTED_VALUE"""),"")</f>
        <v/>
      </c>
      <c r="R105" s="16" t="str">
        <f>IFERROR(__xludf.DUMMYFUNCTION("""COMPUTED_VALUE"""),"")</f>
        <v/>
      </c>
      <c r="S105" s="16" t="str">
        <f>IFERROR(__xludf.DUMMYFUNCTION("""COMPUTED_VALUE"""),"")</f>
        <v/>
      </c>
      <c r="T105" s="16" t="str">
        <f>IFERROR(__xludf.DUMMYFUNCTION("""COMPUTED_VALUE"""),"")</f>
        <v/>
      </c>
      <c r="U105" s="16" t="str">
        <f>IFERROR(__xludf.DUMMYFUNCTION("""COMPUTED_VALUE"""),"")</f>
        <v/>
      </c>
      <c r="V105" s="16" t="str">
        <f>IFERROR(__xludf.DUMMYFUNCTION("""COMPUTED_VALUE"""),"")</f>
        <v/>
      </c>
      <c r="W105" s="16" t="str">
        <f>IFERROR(__xludf.DUMMYFUNCTION("""COMPUTED_VALUE"""),"")</f>
        <v/>
      </c>
      <c r="X105" s="16" t="str">
        <f>IFERROR(__xludf.DUMMYFUNCTION("""COMPUTED_VALUE"""),"")</f>
        <v/>
      </c>
      <c r="Y105" s="16" t="str">
        <f>IFERROR(__xludf.DUMMYFUNCTION("""COMPUTED_VALUE"""),"")</f>
        <v/>
      </c>
      <c r="Z105" s="16"/>
      <c r="AA105" s="16"/>
      <c r="AB105" s="16"/>
      <c r="AC105" s="16"/>
      <c r="AD105" s="16"/>
      <c r="AE105" s="16"/>
      <c r="AF105" s="16"/>
      <c r="AG105" s="16"/>
      <c r="AH105" s="16"/>
      <c r="AI105" s="16"/>
      <c r="AJ105" s="16"/>
      <c r="AK105" s="16"/>
      <c r="AL105" s="16"/>
      <c r="AM105" s="16"/>
      <c r="AN105" s="16"/>
      <c r="AO105" s="16"/>
      <c r="AP105" s="16"/>
      <c r="AQ105" s="16"/>
      <c r="AR105" s="16"/>
      <c r="AS105" s="16"/>
      <c r="AT105" s="16"/>
      <c r="AU105" s="16"/>
      <c r="AV105" s="16"/>
      <c r="AW105" s="16"/>
      <c r="AX105" s="16"/>
    </row>
    <row r="106">
      <c r="A106" s="16"/>
      <c r="B106" s="16"/>
      <c r="C106" s="16" t="str">
        <f>IFERROR(__xludf.DUMMYFUNCTION("""COMPUTED_VALUE"""),"")</f>
        <v/>
      </c>
      <c r="D106" s="16" t="str">
        <f>IFERROR(__xludf.DUMMYFUNCTION("""COMPUTED_VALUE"""),"")</f>
        <v/>
      </c>
      <c r="E106" s="16" t="str">
        <f>IFERROR(__xludf.DUMMYFUNCTION("""COMPUTED_VALUE"""),"")</f>
        <v/>
      </c>
      <c r="F106" s="16" t="str">
        <f>IFERROR(__xludf.DUMMYFUNCTION("""COMPUTED_VALUE"""),"")</f>
        <v/>
      </c>
      <c r="G106" s="16" t="str">
        <f>IFERROR(__xludf.DUMMYFUNCTION("""COMPUTED_VALUE"""),"")</f>
        <v/>
      </c>
      <c r="H106" s="16" t="str">
        <f>IFERROR(__xludf.DUMMYFUNCTION("""COMPUTED_VALUE"""),"")</f>
        <v/>
      </c>
      <c r="I106" s="16" t="str">
        <f>IFERROR(__xludf.DUMMYFUNCTION("""COMPUTED_VALUE"""),"")</f>
        <v/>
      </c>
      <c r="J106" s="16" t="str">
        <f>IFERROR(__xludf.DUMMYFUNCTION("""COMPUTED_VALUE"""),"")</f>
        <v/>
      </c>
      <c r="K106" s="16" t="str">
        <f>IFERROR(__xludf.DUMMYFUNCTION("""COMPUTED_VALUE"""),"")</f>
        <v/>
      </c>
      <c r="L106" s="16" t="str">
        <f>IFERROR(__xludf.DUMMYFUNCTION("""COMPUTED_VALUE"""),"")</f>
        <v/>
      </c>
      <c r="M106" s="16" t="str">
        <f>IFERROR(__xludf.DUMMYFUNCTION("""COMPUTED_VALUE"""),"")</f>
        <v/>
      </c>
      <c r="N106" s="16" t="str">
        <f>IFERROR(__xludf.DUMMYFUNCTION("""COMPUTED_VALUE"""),"")</f>
        <v/>
      </c>
      <c r="O106" s="16" t="str">
        <f>IFERROR(__xludf.DUMMYFUNCTION("""COMPUTED_VALUE"""),"")</f>
        <v/>
      </c>
      <c r="P106" s="16" t="str">
        <f>IFERROR(__xludf.DUMMYFUNCTION("""COMPUTED_VALUE"""),"")</f>
        <v/>
      </c>
      <c r="Q106" s="16" t="str">
        <f>IFERROR(__xludf.DUMMYFUNCTION("""COMPUTED_VALUE"""),"")</f>
        <v/>
      </c>
      <c r="R106" s="16" t="str">
        <f>IFERROR(__xludf.DUMMYFUNCTION("""COMPUTED_VALUE"""),"")</f>
        <v/>
      </c>
      <c r="S106" s="16" t="str">
        <f>IFERROR(__xludf.DUMMYFUNCTION("""COMPUTED_VALUE"""),"")</f>
        <v/>
      </c>
      <c r="T106" s="16" t="str">
        <f>IFERROR(__xludf.DUMMYFUNCTION("""COMPUTED_VALUE"""),"")</f>
        <v/>
      </c>
      <c r="U106" s="16" t="str">
        <f>IFERROR(__xludf.DUMMYFUNCTION("""COMPUTED_VALUE"""),"")</f>
        <v/>
      </c>
      <c r="V106" s="16" t="str">
        <f>IFERROR(__xludf.DUMMYFUNCTION("""COMPUTED_VALUE"""),"")</f>
        <v/>
      </c>
      <c r="W106" s="16" t="str">
        <f>IFERROR(__xludf.DUMMYFUNCTION("""COMPUTED_VALUE"""),"")</f>
        <v/>
      </c>
      <c r="X106" s="16" t="str">
        <f>IFERROR(__xludf.DUMMYFUNCTION("""COMPUTED_VALUE"""),"")</f>
        <v/>
      </c>
      <c r="Y106" s="16" t="str">
        <f>IFERROR(__xludf.DUMMYFUNCTION("""COMPUTED_VALUE"""),"")</f>
        <v/>
      </c>
      <c r="Z106" s="16"/>
      <c r="AA106" s="16"/>
      <c r="AB106" s="16"/>
      <c r="AC106" s="16"/>
      <c r="AD106" s="16"/>
      <c r="AE106" s="16"/>
      <c r="AF106" s="16"/>
      <c r="AG106" s="16"/>
      <c r="AH106" s="16"/>
      <c r="AI106" s="16"/>
      <c r="AJ106" s="16"/>
      <c r="AK106" s="16"/>
      <c r="AL106" s="16"/>
      <c r="AM106" s="16"/>
      <c r="AN106" s="16"/>
      <c r="AO106" s="16"/>
      <c r="AP106" s="16"/>
      <c r="AQ106" s="16"/>
      <c r="AR106" s="16"/>
      <c r="AS106" s="16"/>
      <c r="AT106" s="16"/>
      <c r="AU106" s="16"/>
      <c r="AV106" s="16"/>
      <c r="AW106" s="16"/>
      <c r="AX106" s="16"/>
    </row>
    <row r="107">
      <c r="A107" s="16"/>
      <c r="B107" s="16"/>
      <c r="C107" s="16" t="str">
        <f>IFERROR(__xludf.DUMMYFUNCTION("""COMPUTED_VALUE"""),"")</f>
        <v/>
      </c>
      <c r="D107" s="16" t="str">
        <f>IFERROR(__xludf.DUMMYFUNCTION("""COMPUTED_VALUE"""),"")</f>
        <v/>
      </c>
      <c r="E107" s="16" t="str">
        <f>IFERROR(__xludf.DUMMYFUNCTION("""COMPUTED_VALUE"""),"")</f>
        <v/>
      </c>
      <c r="F107" s="16" t="str">
        <f>IFERROR(__xludf.DUMMYFUNCTION("""COMPUTED_VALUE"""),"")</f>
        <v/>
      </c>
      <c r="G107" s="16" t="str">
        <f>IFERROR(__xludf.DUMMYFUNCTION("""COMPUTED_VALUE"""),"")</f>
        <v/>
      </c>
      <c r="H107" s="16" t="str">
        <f>IFERROR(__xludf.DUMMYFUNCTION("""COMPUTED_VALUE"""),"")</f>
        <v/>
      </c>
      <c r="I107" s="16" t="str">
        <f>IFERROR(__xludf.DUMMYFUNCTION("""COMPUTED_VALUE"""),"")</f>
        <v/>
      </c>
      <c r="J107" s="16" t="str">
        <f>IFERROR(__xludf.DUMMYFUNCTION("""COMPUTED_VALUE"""),"")</f>
        <v/>
      </c>
      <c r="K107" s="16" t="str">
        <f>IFERROR(__xludf.DUMMYFUNCTION("""COMPUTED_VALUE"""),"")</f>
        <v/>
      </c>
      <c r="L107" s="16" t="str">
        <f>IFERROR(__xludf.DUMMYFUNCTION("""COMPUTED_VALUE"""),"")</f>
        <v/>
      </c>
      <c r="M107" s="16" t="str">
        <f>IFERROR(__xludf.DUMMYFUNCTION("""COMPUTED_VALUE"""),"")</f>
        <v/>
      </c>
      <c r="N107" s="16" t="str">
        <f>IFERROR(__xludf.DUMMYFUNCTION("""COMPUTED_VALUE"""),"")</f>
        <v/>
      </c>
      <c r="O107" s="16" t="str">
        <f>IFERROR(__xludf.DUMMYFUNCTION("""COMPUTED_VALUE"""),"")</f>
        <v/>
      </c>
      <c r="P107" s="16" t="str">
        <f>IFERROR(__xludf.DUMMYFUNCTION("""COMPUTED_VALUE"""),"")</f>
        <v/>
      </c>
      <c r="Q107" s="16" t="str">
        <f>IFERROR(__xludf.DUMMYFUNCTION("""COMPUTED_VALUE"""),"")</f>
        <v/>
      </c>
      <c r="R107" s="16" t="str">
        <f>IFERROR(__xludf.DUMMYFUNCTION("""COMPUTED_VALUE"""),"")</f>
        <v/>
      </c>
      <c r="S107" s="16" t="str">
        <f>IFERROR(__xludf.DUMMYFUNCTION("""COMPUTED_VALUE"""),"")</f>
        <v/>
      </c>
      <c r="T107" s="16" t="str">
        <f>IFERROR(__xludf.DUMMYFUNCTION("""COMPUTED_VALUE"""),"")</f>
        <v/>
      </c>
      <c r="U107" s="16" t="str">
        <f>IFERROR(__xludf.DUMMYFUNCTION("""COMPUTED_VALUE"""),"")</f>
        <v/>
      </c>
      <c r="V107" s="16" t="str">
        <f>IFERROR(__xludf.DUMMYFUNCTION("""COMPUTED_VALUE"""),"")</f>
        <v/>
      </c>
      <c r="W107" s="16" t="str">
        <f>IFERROR(__xludf.DUMMYFUNCTION("""COMPUTED_VALUE"""),"")</f>
        <v/>
      </c>
      <c r="X107" s="16" t="str">
        <f>IFERROR(__xludf.DUMMYFUNCTION("""COMPUTED_VALUE"""),"")</f>
        <v/>
      </c>
      <c r="Y107" s="16" t="str">
        <f>IFERROR(__xludf.DUMMYFUNCTION("""COMPUTED_VALUE"""),"")</f>
        <v/>
      </c>
      <c r="Z107" s="16"/>
      <c r="AA107" s="16"/>
      <c r="AB107" s="16"/>
      <c r="AC107" s="16"/>
      <c r="AD107" s="16"/>
      <c r="AE107" s="16"/>
      <c r="AF107" s="16"/>
      <c r="AG107" s="16"/>
      <c r="AH107" s="16"/>
      <c r="AI107" s="16"/>
      <c r="AJ107" s="16"/>
      <c r="AK107" s="16"/>
      <c r="AL107" s="16"/>
      <c r="AM107" s="16"/>
      <c r="AN107" s="16"/>
      <c r="AO107" s="16"/>
      <c r="AP107" s="16"/>
      <c r="AQ107" s="16"/>
      <c r="AR107" s="16"/>
      <c r="AS107" s="16"/>
      <c r="AT107" s="16"/>
      <c r="AU107" s="16"/>
      <c r="AV107" s="16"/>
      <c r="AW107" s="16"/>
      <c r="AX107" s="16"/>
    </row>
    <row r="108">
      <c r="A108" s="16"/>
      <c r="B108" s="16"/>
      <c r="C108" s="16" t="str">
        <f>IFERROR(__xludf.DUMMYFUNCTION("""COMPUTED_VALUE"""),"")</f>
        <v/>
      </c>
      <c r="D108" s="16" t="str">
        <f>IFERROR(__xludf.DUMMYFUNCTION("""COMPUTED_VALUE"""),"")</f>
        <v/>
      </c>
      <c r="E108" s="16" t="str">
        <f>IFERROR(__xludf.DUMMYFUNCTION("""COMPUTED_VALUE"""),"")</f>
        <v/>
      </c>
      <c r="F108" s="16" t="str">
        <f>IFERROR(__xludf.DUMMYFUNCTION("""COMPUTED_VALUE"""),"")</f>
        <v/>
      </c>
      <c r="G108" s="16" t="str">
        <f>IFERROR(__xludf.DUMMYFUNCTION("""COMPUTED_VALUE"""),"")</f>
        <v/>
      </c>
      <c r="H108" s="16" t="str">
        <f>IFERROR(__xludf.DUMMYFUNCTION("""COMPUTED_VALUE"""),"")</f>
        <v/>
      </c>
      <c r="I108" s="16" t="str">
        <f>IFERROR(__xludf.DUMMYFUNCTION("""COMPUTED_VALUE"""),"")</f>
        <v/>
      </c>
      <c r="J108" s="16" t="str">
        <f>IFERROR(__xludf.DUMMYFUNCTION("""COMPUTED_VALUE"""),"")</f>
        <v/>
      </c>
      <c r="K108" s="16" t="str">
        <f>IFERROR(__xludf.DUMMYFUNCTION("""COMPUTED_VALUE"""),"")</f>
        <v/>
      </c>
      <c r="L108" s="16" t="str">
        <f>IFERROR(__xludf.DUMMYFUNCTION("""COMPUTED_VALUE"""),"")</f>
        <v/>
      </c>
      <c r="M108" s="16" t="str">
        <f>IFERROR(__xludf.DUMMYFUNCTION("""COMPUTED_VALUE"""),"")</f>
        <v/>
      </c>
      <c r="N108" s="16" t="str">
        <f>IFERROR(__xludf.DUMMYFUNCTION("""COMPUTED_VALUE"""),"")</f>
        <v/>
      </c>
      <c r="O108" s="16" t="str">
        <f>IFERROR(__xludf.DUMMYFUNCTION("""COMPUTED_VALUE"""),"")</f>
        <v/>
      </c>
      <c r="P108" s="16" t="str">
        <f>IFERROR(__xludf.DUMMYFUNCTION("""COMPUTED_VALUE"""),"")</f>
        <v/>
      </c>
      <c r="Q108" s="16" t="str">
        <f>IFERROR(__xludf.DUMMYFUNCTION("""COMPUTED_VALUE"""),"")</f>
        <v/>
      </c>
      <c r="R108" s="16" t="str">
        <f>IFERROR(__xludf.DUMMYFUNCTION("""COMPUTED_VALUE"""),"")</f>
        <v/>
      </c>
      <c r="S108" s="16" t="str">
        <f>IFERROR(__xludf.DUMMYFUNCTION("""COMPUTED_VALUE"""),"")</f>
        <v/>
      </c>
      <c r="T108" s="16" t="str">
        <f>IFERROR(__xludf.DUMMYFUNCTION("""COMPUTED_VALUE"""),"")</f>
        <v/>
      </c>
      <c r="U108" s="16" t="str">
        <f>IFERROR(__xludf.DUMMYFUNCTION("""COMPUTED_VALUE"""),"")</f>
        <v/>
      </c>
      <c r="V108" s="16" t="str">
        <f>IFERROR(__xludf.DUMMYFUNCTION("""COMPUTED_VALUE"""),"")</f>
        <v/>
      </c>
      <c r="W108" s="16" t="str">
        <f>IFERROR(__xludf.DUMMYFUNCTION("""COMPUTED_VALUE"""),"")</f>
        <v/>
      </c>
      <c r="X108" s="16" t="str">
        <f>IFERROR(__xludf.DUMMYFUNCTION("""COMPUTED_VALUE"""),"")</f>
        <v/>
      </c>
      <c r="Y108" s="16" t="str">
        <f>IFERROR(__xludf.DUMMYFUNCTION("""COMPUTED_VALUE"""),"")</f>
        <v/>
      </c>
      <c r="Z108" s="16"/>
      <c r="AA108" s="16"/>
      <c r="AB108" s="16"/>
      <c r="AC108" s="16"/>
      <c r="AD108" s="16"/>
      <c r="AE108" s="16"/>
      <c r="AF108" s="16"/>
      <c r="AG108" s="16"/>
      <c r="AH108" s="16"/>
      <c r="AI108" s="16"/>
      <c r="AJ108" s="16"/>
      <c r="AK108" s="16"/>
      <c r="AL108" s="16"/>
      <c r="AM108" s="16"/>
      <c r="AN108" s="16"/>
      <c r="AO108" s="16"/>
      <c r="AP108" s="16"/>
      <c r="AQ108" s="16"/>
      <c r="AR108" s="16"/>
      <c r="AS108" s="16"/>
      <c r="AT108" s="16"/>
      <c r="AU108" s="16"/>
      <c r="AV108" s="16"/>
      <c r="AW108" s="16"/>
      <c r="AX108" s="16"/>
    </row>
    <row r="109">
      <c r="A109" s="16"/>
      <c r="B109" s="16"/>
      <c r="C109" s="16" t="str">
        <f>IFERROR(__xludf.DUMMYFUNCTION("""COMPUTED_VALUE"""),"")</f>
        <v/>
      </c>
      <c r="D109" s="16" t="str">
        <f>IFERROR(__xludf.DUMMYFUNCTION("""COMPUTED_VALUE"""),"")</f>
        <v/>
      </c>
      <c r="E109" s="16" t="str">
        <f>IFERROR(__xludf.DUMMYFUNCTION("""COMPUTED_VALUE"""),"")</f>
        <v/>
      </c>
      <c r="F109" s="16" t="str">
        <f>IFERROR(__xludf.DUMMYFUNCTION("""COMPUTED_VALUE"""),"")</f>
        <v/>
      </c>
      <c r="G109" s="16" t="str">
        <f>IFERROR(__xludf.DUMMYFUNCTION("""COMPUTED_VALUE"""),"")</f>
        <v/>
      </c>
      <c r="H109" s="16" t="str">
        <f>IFERROR(__xludf.DUMMYFUNCTION("""COMPUTED_VALUE"""),"")</f>
        <v/>
      </c>
      <c r="I109" s="16" t="str">
        <f>IFERROR(__xludf.DUMMYFUNCTION("""COMPUTED_VALUE"""),"")</f>
        <v/>
      </c>
      <c r="J109" s="16" t="str">
        <f>IFERROR(__xludf.DUMMYFUNCTION("""COMPUTED_VALUE"""),"")</f>
        <v/>
      </c>
      <c r="K109" s="16" t="str">
        <f>IFERROR(__xludf.DUMMYFUNCTION("""COMPUTED_VALUE"""),"")</f>
        <v/>
      </c>
      <c r="L109" s="16" t="str">
        <f>IFERROR(__xludf.DUMMYFUNCTION("""COMPUTED_VALUE"""),"")</f>
        <v/>
      </c>
      <c r="M109" s="16" t="str">
        <f>IFERROR(__xludf.DUMMYFUNCTION("""COMPUTED_VALUE"""),"")</f>
        <v/>
      </c>
      <c r="N109" s="16" t="str">
        <f>IFERROR(__xludf.DUMMYFUNCTION("""COMPUTED_VALUE"""),"")</f>
        <v/>
      </c>
      <c r="O109" s="16" t="str">
        <f>IFERROR(__xludf.DUMMYFUNCTION("""COMPUTED_VALUE"""),"")</f>
        <v/>
      </c>
      <c r="P109" s="16" t="str">
        <f>IFERROR(__xludf.DUMMYFUNCTION("""COMPUTED_VALUE"""),"")</f>
        <v/>
      </c>
      <c r="Q109" s="16" t="str">
        <f>IFERROR(__xludf.DUMMYFUNCTION("""COMPUTED_VALUE"""),"")</f>
        <v/>
      </c>
      <c r="R109" s="16" t="str">
        <f>IFERROR(__xludf.DUMMYFUNCTION("""COMPUTED_VALUE"""),"")</f>
        <v/>
      </c>
      <c r="S109" s="16" t="str">
        <f>IFERROR(__xludf.DUMMYFUNCTION("""COMPUTED_VALUE"""),"")</f>
        <v/>
      </c>
      <c r="T109" s="16" t="str">
        <f>IFERROR(__xludf.DUMMYFUNCTION("""COMPUTED_VALUE"""),"")</f>
        <v/>
      </c>
      <c r="U109" s="16" t="str">
        <f>IFERROR(__xludf.DUMMYFUNCTION("""COMPUTED_VALUE"""),"")</f>
        <v/>
      </c>
      <c r="V109" s="16" t="str">
        <f>IFERROR(__xludf.DUMMYFUNCTION("""COMPUTED_VALUE"""),"")</f>
        <v/>
      </c>
      <c r="W109" s="16" t="str">
        <f>IFERROR(__xludf.DUMMYFUNCTION("""COMPUTED_VALUE"""),"")</f>
        <v/>
      </c>
      <c r="X109" s="16" t="str">
        <f>IFERROR(__xludf.DUMMYFUNCTION("""COMPUTED_VALUE"""),"")</f>
        <v/>
      </c>
      <c r="Y109" s="16" t="str">
        <f>IFERROR(__xludf.DUMMYFUNCTION("""COMPUTED_VALUE"""),"")</f>
        <v/>
      </c>
      <c r="Z109" s="16"/>
      <c r="AA109" s="16"/>
      <c r="AB109" s="16"/>
      <c r="AC109" s="16"/>
      <c r="AD109" s="16"/>
      <c r="AE109" s="16"/>
      <c r="AF109" s="16"/>
      <c r="AG109" s="16"/>
      <c r="AH109" s="16"/>
      <c r="AI109" s="16"/>
      <c r="AJ109" s="16"/>
      <c r="AK109" s="16"/>
      <c r="AL109" s="16"/>
      <c r="AM109" s="16"/>
      <c r="AN109" s="16"/>
      <c r="AO109" s="16"/>
      <c r="AP109" s="16"/>
      <c r="AQ109" s="16"/>
      <c r="AR109" s="16"/>
      <c r="AS109" s="16"/>
      <c r="AT109" s="16"/>
      <c r="AU109" s="16"/>
      <c r="AV109" s="16"/>
      <c r="AW109" s="16"/>
      <c r="AX109" s="16"/>
    </row>
    <row r="110">
      <c r="A110" s="16"/>
      <c r="B110" s="16"/>
      <c r="C110" s="16" t="str">
        <f>IFERROR(__xludf.DUMMYFUNCTION("""COMPUTED_VALUE"""),"")</f>
        <v/>
      </c>
      <c r="D110" s="16" t="str">
        <f>IFERROR(__xludf.DUMMYFUNCTION("""COMPUTED_VALUE"""),"")</f>
        <v/>
      </c>
      <c r="E110" s="16" t="str">
        <f>IFERROR(__xludf.DUMMYFUNCTION("""COMPUTED_VALUE"""),"")</f>
        <v/>
      </c>
      <c r="F110" s="16" t="str">
        <f>IFERROR(__xludf.DUMMYFUNCTION("""COMPUTED_VALUE"""),"")</f>
        <v/>
      </c>
      <c r="G110" s="16" t="str">
        <f>IFERROR(__xludf.DUMMYFUNCTION("""COMPUTED_VALUE"""),"")</f>
        <v/>
      </c>
      <c r="H110" s="16" t="str">
        <f>IFERROR(__xludf.DUMMYFUNCTION("""COMPUTED_VALUE"""),"")</f>
        <v/>
      </c>
      <c r="I110" s="16" t="str">
        <f>IFERROR(__xludf.DUMMYFUNCTION("""COMPUTED_VALUE"""),"")</f>
        <v/>
      </c>
      <c r="J110" s="16" t="str">
        <f>IFERROR(__xludf.DUMMYFUNCTION("""COMPUTED_VALUE"""),"")</f>
        <v/>
      </c>
      <c r="K110" s="16" t="str">
        <f>IFERROR(__xludf.DUMMYFUNCTION("""COMPUTED_VALUE"""),"")</f>
        <v/>
      </c>
      <c r="L110" s="16" t="str">
        <f>IFERROR(__xludf.DUMMYFUNCTION("""COMPUTED_VALUE"""),"")</f>
        <v/>
      </c>
      <c r="M110" s="16" t="str">
        <f>IFERROR(__xludf.DUMMYFUNCTION("""COMPUTED_VALUE"""),"")</f>
        <v/>
      </c>
      <c r="N110" s="16" t="str">
        <f>IFERROR(__xludf.DUMMYFUNCTION("""COMPUTED_VALUE"""),"")</f>
        <v/>
      </c>
      <c r="O110" s="16" t="str">
        <f>IFERROR(__xludf.DUMMYFUNCTION("""COMPUTED_VALUE"""),"")</f>
        <v/>
      </c>
      <c r="P110" s="16" t="str">
        <f>IFERROR(__xludf.DUMMYFUNCTION("""COMPUTED_VALUE"""),"")</f>
        <v/>
      </c>
      <c r="Q110" s="16" t="str">
        <f>IFERROR(__xludf.DUMMYFUNCTION("""COMPUTED_VALUE"""),"")</f>
        <v/>
      </c>
      <c r="R110" s="16" t="str">
        <f>IFERROR(__xludf.DUMMYFUNCTION("""COMPUTED_VALUE"""),"")</f>
        <v/>
      </c>
      <c r="S110" s="16" t="str">
        <f>IFERROR(__xludf.DUMMYFUNCTION("""COMPUTED_VALUE"""),"")</f>
        <v/>
      </c>
      <c r="T110" s="16" t="str">
        <f>IFERROR(__xludf.DUMMYFUNCTION("""COMPUTED_VALUE"""),"")</f>
        <v/>
      </c>
      <c r="U110" s="16" t="str">
        <f>IFERROR(__xludf.DUMMYFUNCTION("""COMPUTED_VALUE"""),"")</f>
        <v/>
      </c>
      <c r="V110" s="16" t="str">
        <f>IFERROR(__xludf.DUMMYFUNCTION("""COMPUTED_VALUE"""),"")</f>
        <v/>
      </c>
      <c r="W110" s="16" t="str">
        <f>IFERROR(__xludf.DUMMYFUNCTION("""COMPUTED_VALUE"""),"")</f>
        <v/>
      </c>
      <c r="X110" s="16" t="str">
        <f>IFERROR(__xludf.DUMMYFUNCTION("""COMPUTED_VALUE"""),"")</f>
        <v/>
      </c>
      <c r="Y110" s="16" t="str">
        <f>IFERROR(__xludf.DUMMYFUNCTION("""COMPUTED_VALUE"""),"")</f>
        <v/>
      </c>
      <c r="Z110" s="16"/>
      <c r="AA110" s="16"/>
      <c r="AB110" s="16"/>
      <c r="AC110" s="16"/>
      <c r="AD110" s="16"/>
      <c r="AE110" s="16"/>
      <c r="AF110" s="16"/>
      <c r="AG110" s="16"/>
      <c r="AH110" s="16"/>
      <c r="AI110" s="16"/>
      <c r="AJ110" s="16"/>
      <c r="AK110" s="16"/>
      <c r="AL110" s="16"/>
      <c r="AM110" s="16"/>
      <c r="AN110" s="16"/>
      <c r="AO110" s="16"/>
      <c r="AP110" s="16"/>
      <c r="AQ110" s="16"/>
      <c r="AR110" s="16"/>
      <c r="AS110" s="16"/>
      <c r="AT110" s="16"/>
      <c r="AU110" s="16"/>
      <c r="AV110" s="16"/>
      <c r="AW110" s="16"/>
      <c r="AX110" s="16"/>
    </row>
    <row r="111">
      <c r="A111" s="16"/>
      <c r="B111" s="16"/>
      <c r="C111" s="16" t="str">
        <f>IFERROR(__xludf.DUMMYFUNCTION("""COMPUTED_VALUE"""),"")</f>
        <v/>
      </c>
      <c r="D111" s="16" t="str">
        <f>IFERROR(__xludf.DUMMYFUNCTION("""COMPUTED_VALUE"""),"")</f>
        <v/>
      </c>
      <c r="E111" s="16" t="str">
        <f>IFERROR(__xludf.DUMMYFUNCTION("""COMPUTED_VALUE"""),"")</f>
        <v/>
      </c>
      <c r="F111" s="16" t="str">
        <f>IFERROR(__xludf.DUMMYFUNCTION("""COMPUTED_VALUE"""),"")</f>
        <v/>
      </c>
      <c r="G111" s="16" t="str">
        <f>IFERROR(__xludf.DUMMYFUNCTION("""COMPUTED_VALUE"""),"")</f>
        <v/>
      </c>
      <c r="H111" s="16" t="str">
        <f>IFERROR(__xludf.DUMMYFUNCTION("""COMPUTED_VALUE"""),"")</f>
        <v/>
      </c>
      <c r="I111" s="16" t="str">
        <f>IFERROR(__xludf.DUMMYFUNCTION("""COMPUTED_VALUE"""),"")</f>
        <v/>
      </c>
      <c r="J111" s="16" t="str">
        <f>IFERROR(__xludf.DUMMYFUNCTION("""COMPUTED_VALUE"""),"")</f>
        <v/>
      </c>
      <c r="K111" s="16" t="str">
        <f>IFERROR(__xludf.DUMMYFUNCTION("""COMPUTED_VALUE"""),"")</f>
        <v/>
      </c>
      <c r="L111" s="16" t="str">
        <f>IFERROR(__xludf.DUMMYFUNCTION("""COMPUTED_VALUE"""),"")</f>
        <v/>
      </c>
      <c r="M111" s="16" t="str">
        <f>IFERROR(__xludf.DUMMYFUNCTION("""COMPUTED_VALUE"""),"")</f>
        <v/>
      </c>
      <c r="N111" s="16" t="str">
        <f>IFERROR(__xludf.DUMMYFUNCTION("""COMPUTED_VALUE"""),"")</f>
        <v/>
      </c>
      <c r="O111" s="16" t="str">
        <f>IFERROR(__xludf.DUMMYFUNCTION("""COMPUTED_VALUE"""),"")</f>
        <v/>
      </c>
      <c r="P111" s="16" t="str">
        <f>IFERROR(__xludf.DUMMYFUNCTION("""COMPUTED_VALUE"""),"")</f>
        <v/>
      </c>
      <c r="Q111" s="16" t="str">
        <f>IFERROR(__xludf.DUMMYFUNCTION("""COMPUTED_VALUE"""),"")</f>
        <v/>
      </c>
      <c r="R111" s="16" t="str">
        <f>IFERROR(__xludf.DUMMYFUNCTION("""COMPUTED_VALUE"""),"")</f>
        <v/>
      </c>
      <c r="S111" s="16" t="str">
        <f>IFERROR(__xludf.DUMMYFUNCTION("""COMPUTED_VALUE"""),"")</f>
        <v/>
      </c>
      <c r="T111" s="16" t="str">
        <f>IFERROR(__xludf.DUMMYFUNCTION("""COMPUTED_VALUE"""),"")</f>
        <v/>
      </c>
      <c r="U111" s="16" t="str">
        <f>IFERROR(__xludf.DUMMYFUNCTION("""COMPUTED_VALUE"""),"")</f>
        <v/>
      </c>
      <c r="V111" s="16" t="str">
        <f>IFERROR(__xludf.DUMMYFUNCTION("""COMPUTED_VALUE"""),"")</f>
        <v/>
      </c>
      <c r="W111" s="16" t="str">
        <f>IFERROR(__xludf.DUMMYFUNCTION("""COMPUTED_VALUE"""),"")</f>
        <v/>
      </c>
      <c r="X111" s="16" t="str">
        <f>IFERROR(__xludf.DUMMYFUNCTION("""COMPUTED_VALUE"""),"")</f>
        <v/>
      </c>
      <c r="Y111" s="16" t="str">
        <f>IFERROR(__xludf.DUMMYFUNCTION("""COMPUTED_VALUE"""),"")</f>
        <v/>
      </c>
      <c r="Z111" s="16"/>
      <c r="AA111" s="16"/>
      <c r="AB111" s="16"/>
      <c r="AC111" s="16"/>
      <c r="AD111" s="16"/>
      <c r="AE111" s="16"/>
      <c r="AF111" s="16"/>
      <c r="AG111" s="16"/>
      <c r="AH111" s="16"/>
      <c r="AI111" s="16"/>
      <c r="AJ111" s="16"/>
      <c r="AK111" s="16"/>
      <c r="AL111" s="16"/>
      <c r="AM111" s="16"/>
      <c r="AN111" s="16"/>
      <c r="AO111" s="16"/>
      <c r="AP111" s="16"/>
      <c r="AQ111" s="16"/>
      <c r="AR111" s="16"/>
      <c r="AS111" s="16"/>
      <c r="AT111" s="16"/>
      <c r="AU111" s="16"/>
      <c r="AV111" s="16"/>
      <c r="AW111" s="16"/>
      <c r="AX111" s="16"/>
    </row>
    <row r="112">
      <c r="A112" s="16"/>
      <c r="B112" s="16"/>
      <c r="C112" s="16" t="str">
        <f>IFERROR(__xludf.DUMMYFUNCTION("""COMPUTED_VALUE"""),"")</f>
        <v/>
      </c>
      <c r="D112" s="16" t="str">
        <f>IFERROR(__xludf.DUMMYFUNCTION("""COMPUTED_VALUE"""),"")</f>
        <v/>
      </c>
      <c r="E112" s="16" t="str">
        <f>IFERROR(__xludf.DUMMYFUNCTION("""COMPUTED_VALUE"""),"")</f>
        <v/>
      </c>
      <c r="F112" s="16" t="str">
        <f>IFERROR(__xludf.DUMMYFUNCTION("""COMPUTED_VALUE"""),"")</f>
        <v/>
      </c>
      <c r="G112" s="16" t="str">
        <f>IFERROR(__xludf.DUMMYFUNCTION("""COMPUTED_VALUE"""),"")</f>
        <v/>
      </c>
      <c r="H112" s="16" t="str">
        <f>IFERROR(__xludf.DUMMYFUNCTION("""COMPUTED_VALUE"""),"")</f>
        <v/>
      </c>
      <c r="I112" s="16" t="str">
        <f>IFERROR(__xludf.DUMMYFUNCTION("""COMPUTED_VALUE"""),"")</f>
        <v/>
      </c>
      <c r="J112" s="16" t="str">
        <f>IFERROR(__xludf.DUMMYFUNCTION("""COMPUTED_VALUE"""),"")</f>
        <v/>
      </c>
      <c r="K112" s="16" t="str">
        <f>IFERROR(__xludf.DUMMYFUNCTION("""COMPUTED_VALUE"""),"")</f>
        <v/>
      </c>
      <c r="L112" s="16" t="str">
        <f>IFERROR(__xludf.DUMMYFUNCTION("""COMPUTED_VALUE"""),"")</f>
        <v/>
      </c>
      <c r="M112" s="16" t="str">
        <f>IFERROR(__xludf.DUMMYFUNCTION("""COMPUTED_VALUE"""),"")</f>
        <v/>
      </c>
      <c r="N112" s="16" t="str">
        <f>IFERROR(__xludf.DUMMYFUNCTION("""COMPUTED_VALUE"""),"")</f>
        <v/>
      </c>
      <c r="O112" s="16" t="str">
        <f>IFERROR(__xludf.DUMMYFUNCTION("""COMPUTED_VALUE"""),"")</f>
        <v/>
      </c>
      <c r="P112" s="16" t="str">
        <f>IFERROR(__xludf.DUMMYFUNCTION("""COMPUTED_VALUE"""),"")</f>
        <v/>
      </c>
      <c r="Q112" s="16" t="str">
        <f>IFERROR(__xludf.DUMMYFUNCTION("""COMPUTED_VALUE"""),"")</f>
        <v/>
      </c>
      <c r="R112" s="16" t="str">
        <f>IFERROR(__xludf.DUMMYFUNCTION("""COMPUTED_VALUE"""),"")</f>
        <v/>
      </c>
      <c r="S112" s="16" t="str">
        <f>IFERROR(__xludf.DUMMYFUNCTION("""COMPUTED_VALUE"""),"")</f>
        <v/>
      </c>
      <c r="T112" s="16" t="str">
        <f>IFERROR(__xludf.DUMMYFUNCTION("""COMPUTED_VALUE"""),"")</f>
        <v/>
      </c>
      <c r="U112" s="16" t="str">
        <f>IFERROR(__xludf.DUMMYFUNCTION("""COMPUTED_VALUE"""),"")</f>
        <v/>
      </c>
      <c r="V112" s="16" t="str">
        <f>IFERROR(__xludf.DUMMYFUNCTION("""COMPUTED_VALUE"""),"")</f>
        <v/>
      </c>
      <c r="W112" s="16" t="str">
        <f>IFERROR(__xludf.DUMMYFUNCTION("""COMPUTED_VALUE"""),"")</f>
        <v/>
      </c>
      <c r="X112" s="16" t="str">
        <f>IFERROR(__xludf.DUMMYFUNCTION("""COMPUTED_VALUE"""),"")</f>
        <v/>
      </c>
      <c r="Y112" s="16" t="str">
        <f>IFERROR(__xludf.DUMMYFUNCTION("""COMPUTED_VALUE"""),"")</f>
        <v/>
      </c>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6"/>
    </row>
    <row r="113">
      <c r="A113" s="16"/>
      <c r="B113" s="16"/>
      <c r="C113" s="16" t="str">
        <f>IFERROR(__xludf.DUMMYFUNCTION("""COMPUTED_VALUE"""),"")</f>
        <v/>
      </c>
      <c r="D113" s="16" t="str">
        <f>IFERROR(__xludf.DUMMYFUNCTION("""COMPUTED_VALUE"""),"")</f>
        <v/>
      </c>
      <c r="E113" s="16" t="str">
        <f>IFERROR(__xludf.DUMMYFUNCTION("""COMPUTED_VALUE"""),"")</f>
        <v/>
      </c>
      <c r="F113" s="16" t="str">
        <f>IFERROR(__xludf.DUMMYFUNCTION("""COMPUTED_VALUE"""),"")</f>
        <v/>
      </c>
      <c r="G113" s="16" t="str">
        <f>IFERROR(__xludf.DUMMYFUNCTION("""COMPUTED_VALUE"""),"")</f>
        <v/>
      </c>
      <c r="H113" s="16" t="str">
        <f>IFERROR(__xludf.DUMMYFUNCTION("""COMPUTED_VALUE"""),"")</f>
        <v/>
      </c>
      <c r="I113" s="16" t="str">
        <f>IFERROR(__xludf.DUMMYFUNCTION("""COMPUTED_VALUE"""),"")</f>
        <v/>
      </c>
      <c r="J113" s="16" t="str">
        <f>IFERROR(__xludf.DUMMYFUNCTION("""COMPUTED_VALUE"""),"")</f>
        <v/>
      </c>
      <c r="K113" s="16" t="str">
        <f>IFERROR(__xludf.DUMMYFUNCTION("""COMPUTED_VALUE"""),"")</f>
        <v/>
      </c>
      <c r="L113" s="16" t="str">
        <f>IFERROR(__xludf.DUMMYFUNCTION("""COMPUTED_VALUE"""),"")</f>
        <v/>
      </c>
      <c r="M113" s="16" t="str">
        <f>IFERROR(__xludf.DUMMYFUNCTION("""COMPUTED_VALUE"""),"")</f>
        <v/>
      </c>
      <c r="N113" s="16" t="str">
        <f>IFERROR(__xludf.DUMMYFUNCTION("""COMPUTED_VALUE"""),"")</f>
        <v/>
      </c>
      <c r="O113" s="16" t="str">
        <f>IFERROR(__xludf.DUMMYFUNCTION("""COMPUTED_VALUE"""),"")</f>
        <v/>
      </c>
      <c r="P113" s="16" t="str">
        <f>IFERROR(__xludf.DUMMYFUNCTION("""COMPUTED_VALUE"""),"")</f>
        <v/>
      </c>
      <c r="Q113" s="16" t="str">
        <f>IFERROR(__xludf.DUMMYFUNCTION("""COMPUTED_VALUE"""),"")</f>
        <v/>
      </c>
      <c r="R113" s="16" t="str">
        <f>IFERROR(__xludf.DUMMYFUNCTION("""COMPUTED_VALUE"""),"")</f>
        <v/>
      </c>
      <c r="S113" s="16" t="str">
        <f>IFERROR(__xludf.DUMMYFUNCTION("""COMPUTED_VALUE"""),"")</f>
        <v/>
      </c>
      <c r="T113" s="16" t="str">
        <f>IFERROR(__xludf.DUMMYFUNCTION("""COMPUTED_VALUE"""),"")</f>
        <v/>
      </c>
      <c r="U113" s="16" t="str">
        <f>IFERROR(__xludf.DUMMYFUNCTION("""COMPUTED_VALUE"""),"")</f>
        <v/>
      </c>
      <c r="V113" s="16" t="str">
        <f>IFERROR(__xludf.DUMMYFUNCTION("""COMPUTED_VALUE"""),"")</f>
        <v/>
      </c>
      <c r="W113" s="16" t="str">
        <f>IFERROR(__xludf.DUMMYFUNCTION("""COMPUTED_VALUE"""),"")</f>
        <v/>
      </c>
      <c r="X113" s="16" t="str">
        <f>IFERROR(__xludf.DUMMYFUNCTION("""COMPUTED_VALUE"""),"")</f>
        <v/>
      </c>
      <c r="Y113" s="16" t="str">
        <f>IFERROR(__xludf.DUMMYFUNCTION("""COMPUTED_VALUE"""),"")</f>
        <v/>
      </c>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6"/>
    </row>
    <row r="114">
      <c r="A114" s="16"/>
      <c r="B114" s="16"/>
      <c r="C114" s="16" t="str">
        <f>IFERROR(__xludf.DUMMYFUNCTION("""COMPUTED_VALUE"""),"")</f>
        <v/>
      </c>
      <c r="D114" s="16" t="str">
        <f>IFERROR(__xludf.DUMMYFUNCTION("""COMPUTED_VALUE"""),"")</f>
        <v/>
      </c>
      <c r="E114" s="16" t="str">
        <f>IFERROR(__xludf.DUMMYFUNCTION("""COMPUTED_VALUE"""),"")</f>
        <v/>
      </c>
      <c r="F114" s="16" t="str">
        <f>IFERROR(__xludf.DUMMYFUNCTION("""COMPUTED_VALUE"""),"")</f>
        <v/>
      </c>
      <c r="G114" s="16" t="str">
        <f>IFERROR(__xludf.DUMMYFUNCTION("""COMPUTED_VALUE"""),"")</f>
        <v/>
      </c>
      <c r="H114" s="16" t="str">
        <f>IFERROR(__xludf.DUMMYFUNCTION("""COMPUTED_VALUE"""),"")</f>
        <v/>
      </c>
      <c r="I114" s="16" t="str">
        <f>IFERROR(__xludf.DUMMYFUNCTION("""COMPUTED_VALUE"""),"")</f>
        <v/>
      </c>
      <c r="J114" s="16" t="str">
        <f>IFERROR(__xludf.DUMMYFUNCTION("""COMPUTED_VALUE"""),"")</f>
        <v/>
      </c>
      <c r="K114" s="16" t="str">
        <f>IFERROR(__xludf.DUMMYFUNCTION("""COMPUTED_VALUE"""),"")</f>
        <v/>
      </c>
      <c r="L114" s="16" t="str">
        <f>IFERROR(__xludf.DUMMYFUNCTION("""COMPUTED_VALUE"""),"")</f>
        <v/>
      </c>
      <c r="M114" s="16" t="str">
        <f>IFERROR(__xludf.DUMMYFUNCTION("""COMPUTED_VALUE"""),"")</f>
        <v/>
      </c>
      <c r="N114" s="16" t="str">
        <f>IFERROR(__xludf.DUMMYFUNCTION("""COMPUTED_VALUE"""),"")</f>
        <v/>
      </c>
      <c r="O114" s="16" t="str">
        <f>IFERROR(__xludf.DUMMYFUNCTION("""COMPUTED_VALUE"""),"")</f>
        <v/>
      </c>
      <c r="P114" s="16" t="str">
        <f>IFERROR(__xludf.DUMMYFUNCTION("""COMPUTED_VALUE"""),"")</f>
        <v/>
      </c>
      <c r="Q114" s="16" t="str">
        <f>IFERROR(__xludf.DUMMYFUNCTION("""COMPUTED_VALUE"""),"")</f>
        <v/>
      </c>
      <c r="R114" s="16" t="str">
        <f>IFERROR(__xludf.DUMMYFUNCTION("""COMPUTED_VALUE"""),"")</f>
        <v/>
      </c>
      <c r="S114" s="16" t="str">
        <f>IFERROR(__xludf.DUMMYFUNCTION("""COMPUTED_VALUE"""),"")</f>
        <v/>
      </c>
      <c r="T114" s="16" t="str">
        <f>IFERROR(__xludf.DUMMYFUNCTION("""COMPUTED_VALUE"""),"")</f>
        <v/>
      </c>
      <c r="U114" s="16" t="str">
        <f>IFERROR(__xludf.DUMMYFUNCTION("""COMPUTED_VALUE"""),"")</f>
        <v/>
      </c>
      <c r="V114" s="16" t="str">
        <f>IFERROR(__xludf.DUMMYFUNCTION("""COMPUTED_VALUE"""),"")</f>
        <v/>
      </c>
      <c r="W114" s="16" t="str">
        <f>IFERROR(__xludf.DUMMYFUNCTION("""COMPUTED_VALUE"""),"")</f>
        <v/>
      </c>
      <c r="X114" s="16" t="str">
        <f>IFERROR(__xludf.DUMMYFUNCTION("""COMPUTED_VALUE"""),"")</f>
        <v/>
      </c>
      <c r="Y114" s="16" t="str">
        <f>IFERROR(__xludf.DUMMYFUNCTION("""COMPUTED_VALUE"""),"")</f>
        <v/>
      </c>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6"/>
    </row>
    <row r="115">
      <c r="A115" s="16"/>
      <c r="B115" s="16"/>
      <c r="C115" s="16" t="str">
        <f>IFERROR(__xludf.DUMMYFUNCTION("""COMPUTED_VALUE"""),"")</f>
        <v/>
      </c>
      <c r="D115" s="16" t="str">
        <f>IFERROR(__xludf.DUMMYFUNCTION("""COMPUTED_VALUE"""),"")</f>
        <v/>
      </c>
      <c r="E115" s="16" t="str">
        <f>IFERROR(__xludf.DUMMYFUNCTION("""COMPUTED_VALUE"""),"")</f>
        <v/>
      </c>
      <c r="F115" s="16" t="str">
        <f>IFERROR(__xludf.DUMMYFUNCTION("""COMPUTED_VALUE"""),"")</f>
        <v/>
      </c>
      <c r="G115" s="16" t="str">
        <f>IFERROR(__xludf.DUMMYFUNCTION("""COMPUTED_VALUE"""),"")</f>
        <v/>
      </c>
      <c r="H115" s="16" t="str">
        <f>IFERROR(__xludf.DUMMYFUNCTION("""COMPUTED_VALUE"""),"")</f>
        <v/>
      </c>
      <c r="I115" s="16" t="str">
        <f>IFERROR(__xludf.DUMMYFUNCTION("""COMPUTED_VALUE"""),"")</f>
        <v/>
      </c>
      <c r="J115" s="16" t="str">
        <f>IFERROR(__xludf.DUMMYFUNCTION("""COMPUTED_VALUE"""),"")</f>
        <v/>
      </c>
      <c r="K115" s="16" t="str">
        <f>IFERROR(__xludf.DUMMYFUNCTION("""COMPUTED_VALUE"""),"")</f>
        <v/>
      </c>
      <c r="L115" s="16" t="str">
        <f>IFERROR(__xludf.DUMMYFUNCTION("""COMPUTED_VALUE"""),"")</f>
        <v/>
      </c>
      <c r="M115" s="16" t="str">
        <f>IFERROR(__xludf.DUMMYFUNCTION("""COMPUTED_VALUE"""),"")</f>
        <v/>
      </c>
      <c r="N115" s="16" t="str">
        <f>IFERROR(__xludf.DUMMYFUNCTION("""COMPUTED_VALUE"""),"")</f>
        <v/>
      </c>
      <c r="O115" s="16" t="str">
        <f>IFERROR(__xludf.DUMMYFUNCTION("""COMPUTED_VALUE"""),"")</f>
        <v/>
      </c>
      <c r="P115" s="16" t="str">
        <f>IFERROR(__xludf.DUMMYFUNCTION("""COMPUTED_VALUE"""),"")</f>
        <v/>
      </c>
      <c r="Q115" s="16" t="str">
        <f>IFERROR(__xludf.DUMMYFUNCTION("""COMPUTED_VALUE"""),"")</f>
        <v/>
      </c>
      <c r="R115" s="16" t="str">
        <f>IFERROR(__xludf.DUMMYFUNCTION("""COMPUTED_VALUE"""),"")</f>
        <v/>
      </c>
      <c r="S115" s="16" t="str">
        <f>IFERROR(__xludf.DUMMYFUNCTION("""COMPUTED_VALUE"""),"")</f>
        <v/>
      </c>
      <c r="T115" s="16" t="str">
        <f>IFERROR(__xludf.DUMMYFUNCTION("""COMPUTED_VALUE"""),"")</f>
        <v/>
      </c>
      <c r="U115" s="16" t="str">
        <f>IFERROR(__xludf.DUMMYFUNCTION("""COMPUTED_VALUE"""),"")</f>
        <v/>
      </c>
      <c r="V115" s="16" t="str">
        <f>IFERROR(__xludf.DUMMYFUNCTION("""COMPUTED_VALUE"""),"")</f>
        <v/>
      </c>
      <c r="W115" s="16" t="str">
        <f>IFERROR(__xludf.DUMMYFUNCTION("""COMPUTED_VALUE"""),"")</f>
        <v/>
      </c>
      <c r="X115" s="16" t="str">
        <f>IFERROR(__xludf.DUMMYFUNCTION("""COMPUTED_VALUE"""),"")</f>
        <v/>
      </c>
      <c r="Y115" s="16" t="str">
        <f>IFERROR(__xludf.DUMMYFUNCTION("""COMPUTED_VALUE"""),"")</f>
        <v/>
      </c>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6"/>
    </row>
    <row r="116">
      <c r="A116" s="16"/>
      <c r="B116" s="16"/>
      <c r="C116" s="16" t="str">
        <f>IFERROR(__xludf.DUMMYFUNCTION("""COMPUTED_VALUE"""),"")</f>
        <v/>
      </c>
      <c r="D116" s="16" t="str">
        <f>IFERROR(__xludf.DUMMYFUNCTION("""COMPUTED_VALUE"""),"")</f>
        <v/>
      </c>
      <c r="E116" s="16" t="str">
        <f>IFERROR(__xludf.DUMMYFUNCTION("""COMPUTED_VALUE"""),"")</f>
        <v/>
      </c>
      <c r="F116" s="16" t="str">
        <f>IFERROR(__xludf.DUMMYFUNCTION("""COMPUTED_VALUE"""),"")</f>
        <v/>
      </c>
      <c r="G116" s="16" t="str">
        <f>IFERROR(__xludf.DUMMYFUNCTION("""COMPUTED_VALUE"""),"")</f>
        <v/>
      </c>
      <c r="H116" s="16" t="str">
        <f>IFERROR(__xludf.DUMMYFUNCTION("""COMPUTED_VALUE"""),"")</f>
        <v/>
      </c>
      <c r="I116" s="16" t="str">
        <f>IFERROR(__xludf.DUMMYFUNCTION("""COMPUTED_VALUE"""),"")</f>
        <v/>
      </c>
      <c r="J116" s="16" t="str">
        <f>IFERROR(__xludf.DUMMYFUNCTION("""COMPUTED_VALUE"""),"")</f>
        <v/>
      </c>
      <c r="K116" s="16" t="str">
        <f>IFERROR(__xludf.DUMMYFUNCTION("""COMPUTED_VALUE"""),"")</f>
        <v/>
      </c>
      <c r="L116" s="16" t="str">
        <f>IFERROR(__xludf.DUMMYFUNCTION("""COMPUTED_VALUE"""),"")</f>
        <v/>
      </c>
      <c r="M116" s="16" t="str">
        <f>IFERROR(__xludf.DUMMYFUNCTION("""COMPUTED_VALUE"""),"")</f>
        <v/>
      </c>
      <c r="N116" s="16" t="str">
        <f>IFERROR(__xludf.DUMMYFUNCTION("""COMPUTED_VALUE"""),"")</f>
        <v/>
      </c>
      <c r="O116" s="16" t="str">
        <f>IFERROR(__xludf.DUMMYFUNCTION("""COMPUTED_VALUE"""),"")</f>
        <v/>
      </c>
      <c r="P116" s="16" t="str">
        <f>IFERROR(__xludf.DUMMYFUNCTION("""COMPUTED_VALUE"""),"")</f>
        <v/>
      </c>
      <c r="Q116" s="16" t="str">
        <f>IFERROR(__xludf.DUMMYFUNCTION("""COMPUTED_VALUE"""),"")</f>
        <v/>
      </c>
      <c r="R116" s="16" t="str">
        <f>IFERROR(__xludf.DUMMYFUNCTION("""COMPUTED_VALUE"""),"")</f>
        <v/>
      </c>
      <c r="S116" s="16" t="str">
        <f>IFERROR(__xludf.DUMMYFUNCTION("""COMPUTED_VALUE"""),"")</f>
        <v/>
      </c>
      <c r="T116" s="16" t="str">
        <f>IFERROR(__xludf.DUMMYFUNCTION("""COMPUTED_VALUE"""),"")</f>
        <v/>
      </c>
      <c r="U116" s="16" t="str">
        <f>IFERROR(__xludf.DUMMYFUNCTION("""COMPUTED_VALUE"""),"")</f>
        <v/>
      </c>
      <c r="V116" s="16" t="str">
        <f>IFERROR(__xludf.DUMMYFUNCTION("""COMPUTED_VALUE"""),"")</f>
        <v/>
      </c>
      <c r="W116" s="16" t="str">
        <f>IFERROR(__xludf.DUMMYFUNCTION("""COMPUTED_VALUE"""),"")</f>
        <v/>
      </c>
      <c r="X116" s="16" t="str">
        <f>IFERROR(__xludf.DUMMYFUNCTION("""COMPUTED_VALUE"""),"")</f>
        <v/>
      </c>
      <c r="Y116" s="16" t="str">
        <f>IFERROR(__xludf.DUMMYFUNCTION("""COMPUTED_VALUE"""),"")</f>
        <v/>
      </c>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6"/>
    </row>
    <row r="117">
      <c r="A117" s="16"/>
      <c r="B117" s="16"/>
      <c r="C117" s="16" t="str">
        <f>IFERROR(__xludf.DUMMYFUNCTION("""COMPUTED_VALUE"""),"")</f>
        <v/>
      </c>
      <c r="D117" s="16" t="str">
        <f>IFERROR(__xludf.DUMMYFUNCTION("""COMPUTED_VALUE"""),"")</f>
        <v/>
      </c>
      <c r="E117" s="16" t="str">
        <f>IFERROR(__xludf.DUMMYFUNCTION("""COMPUTED_VALUE"""),"")</f>
        <v/>
      </c>
      <c r="F117" s="16" t="str">
        <f>IFERROR(__xludf.DUMMYFUNCTION("""COMPUTED_VALUE"""),"")</f>
        <v/>
      </c>
      <c r="G117" s="16" t="str">
        <f>IFERROR(__xludf.DUMMYFUNCTION("""COMPUTED_VALUE"""),"")</f>
        <v/>
      </c>
      <c r="H117" s="16" t="str">
        <f>IFERROR(__xludf.DUMMYFUNCTION("""COMPUTED_VALUE"""),"")</f>
        <v/>
      </c>
      <c r="I117" s="16" t="str">
        <f>IFERROR(__xludf.DUMMYFUNCTION("""COMPUTED_VALUE"""),"")</f>
        <v/>
      </c>
      <c r="J117" s="16" t="str">
        <f>IFERROR(__xludf.DUMMYFUNCTION("""COMPUTED_VALUE"""),"")</f>
        <v/>
      </c>
      <c r="K117" s="16" t="str">
        <f>IFERROR(__xludf.DUMMYFUNCTION("""COMPUTED_VALUE"""),"")</f>
        <v/>
      </c>
      <c r="L117" s="16" t="str">
        <f>IFERROR(__xludf.DUMMYFUNCTION("""COMPUTED_VALUE"""),"")</f>
        <v/>
      </c>
      <c r="M117" s="16" t="str">
        <f>IFERROR(__xludf.DUMMYFUNCTION("""COMPUTED_VALUE"""),"")</f>
        <v/>
      </c>
      <c r="N117" s="16" t="str">
        <f>IFERROR(__xludf.DUMMYFUNCTION("""COMPUTED_VALUE"""),"")</f>
        <v/>
      </c>
      <c r="O117" s="16" t="str">
        <f>IFERROR(__xludf.DUMMYFUNCTION("""COMPUTED_VALUE"""),"")</f>
        <v/>
      </c>
      <c r="P117" s="16" t="str">
        <f>IFERROR(__xludf.DUMMYFUNCTION("""COMPUTED_VALUE"""),"")</f>
        <v/>
      </c>
      <c r="Q117" s="16" t="str">
        <f>IFERROR(__xludf.DUMMYFUNCTION("""COMPUTED_VALUE"""),"")</f>
        <v/>
      </c>
      <c r="R117" s="16" t="str">
        <f>IFERROR(__xludf.DUMMYFUNCTION("""COMPUTED_VALUE"""),"")</f>
        <v/>
      </c>
      <c r="S117" s="16" t="str">
        <f>IFERROR(__xludf.DUMMYFUNCTION("""COMPUTED_VALUE"""),"")</f>
        <v/>
      </c>
      <c r="T117" s="16" t="str">
        <f>IFERROR(__xludf.DUMMYFUNCTION("""COMPUTED_VALUE"""),"")</f>
        <v/>
      </c>
      <c r="U117" s="16" t="str">
        <f>IFERROR(__xludf.DUMMYFUNCTION("""COMPUTED_VALUE"""),"")</f>
        <v/>
      </c>
      <c r="V117" s="16" t="str">
        <f>IFERROR(__xludf.DUMMYFUNCTION("""COMPUTED_VALUE"""),"")</f>
        <v/>
      </c>
      <c r="W117" s="16" t="str">
        <f>IFERROR(__xludf.DUMMYFUNCTION("""COMPUTED_VALUE"""),"")</f>
        <v/>
      </c>
      <c r="X117" s="16" t="str">
        <f>IFERROR(__xludf.DUMMYFUNCTION("""COMPUTED_VALUE"""),"")</f>
        <v/>
      </c>
      <c r="Y117" s="16" t="str">
        <f>IFERROR(__xludf.DUMMYFUNCTION("""COMPUTED_VALUE"""),"")</f>
        <v/>
      </c>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row>
    <row r="118">
      <c r="A118" s="16"/>
      <c r="B118" s="16"/>
      <c r="C118" s="16" t="str">
        <f>IFERROR(__xludf.DUMMYFUNCTION("""COMPUTED_VALUE"""),"")</f>
        <v/>
      </c>
      <c r="D118" s="16" t="str">
        <f>IFERROR(__xludf.DUMMYFUNCTION("""COMPUTED_VALUE"""),"")</f>
        <v/>
      </c>
      <c r="E118" s="16" t="str">
        <f>IFERROR(__xludf.DUMMYFUNCTION("""COMPUTED_VALUE"""),"")</f>
        <v/>
      </c>
      <c r="F118" s="16" t="str">
        <f>IFERROR(__xludf.DUMMYFUNCTION("""COMPUTED_VALUE"""),"")</f>
        <v/>
      </c>
      <c r="G118" s="16" t="str">
        <f>IFERROR(__xludf.DUMMYFUNCTION("""COMPUTED_VALUE"""),"")</f>
        <v/>
      </c>
      <c r="H118" s="16" t="str">
        <f>IFERROR(__xludf.DUMMYFUNCTION("""COMPUTED_VALUE"""),"")</f>
        <v/>
      </c>
      <c r="I118" s="16" t="str">
        <f>IFERROR(__xludf.DUMMYFUNCTION("""COMPUTED_VALUE"""),"")</f>
        <v/>
      </c>
      <c r="J118" s="16" t="str">
        <f>IFERROR(__xludf.DUMMYFUNCTION("""COMPUTED_VALUE"""),"")</f>
        <v/>
      </c>
      <c r="K118" s="16" t="str">
        <f>IFERROR(__xludf.DUMMYFUNCTION("""COMPUTED_VALUE"""),"")</f>
        <v/>
      </c>
      <c r="L118" s="16" t="str">
        <f>IFERROR(__xludf.DUMMYFUNCTION("""COMPUTED_VALUE"""),"")</f>
        <v/>
      </c>
      <c r="M118" s="16" t="str">
        <f>IFERROR(__xludf.DUMMYFUNCTION("""COMPUTED_VALUE"""),"")</f>
        <v/>
      </c>
      <c r="N118" s="16" t="str">
        <f>IFERROR(__xludf.DUMMYFUNCTION("""COMPUTED_VALUE"""),"")</f>
        <v/>
      </c>
      <c r="O118" s="16" t="str">
        <f>IFERROR(__xludf.DUMMYFUNCTION("""COMPUTED_VALUE"""),"")</f>
        <v/>
      </c>
      <c r="P118" s="16" t="str">
        <f>IFERROR(__xludf.DUMMYFUNCTION("""COMPUTED_VALUE"""),"")</f>
        <v/>
      </c>
      <c r="Q118" s="16" t="str">
        <f>IFERROR(__xludf.DUMMYFUNCTION("""COMPUTED_VALUE"""),"")</f>
        <v/>
      </c>
      <c r="R118" s="16" t="str">
        <f>IFERROR(__xludf.DUMMYFUNCTION("""COMPUTED_VALUE"""),"")</f>
        <v/>
      </c>
      <c r="S118" s="16" t="str">
        <f>IFERROR(__xludf.DUMMYFUNCTION("""COMPUTED_VALUE"""),"")</f>
        <v/>
      </c>
      <c r="T118" s="16" t="str">
        <f>IFERROR(__xludf.DUMMYFUNCTION("""COMPUTED_VALUE"""),"")</f>
        <v/>
      </c>
      <c r="U118" s="16" t="str">
        <f>IFERROR(__xludf.DUMMYFUNCTION("""COMPUTED_VALUE"""),"")</f>
        <v/>
      </c>
      <c r="V118" s="16" t="str">
        <f>IFERROR(__xludf.DUMMYFUNCTION("""COMPUTED_VALUE"""),"")</f>
        <v/>
      </c>
      <c r="W118" s="16" t="str">
        <f>IFERROR(__xludf.DUMMYFUNCTION("""COMPUTED_VALUE"""),"")</f>
        <v/>
      </c>
      <c r="X118" s="16" t="str">
        <f>IFERROR(__xludf.DUMMYFUNCTION("""COMPUTED_VALUE"""),"")</f>
        <v/>
      </c>
      <c r="Y118" s="16" t="str">
        <f>IFERROR(__xludf.DUMMYFUNCTION("""COMPUTED_VALUE"""),"")</f>
        <v/>
      </c>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6"/>
    </row>
    <row r="119">
      <c r="A119" s="16"/>
      <c r="B119" s="16"/>
      <c r="C119" s="16" t="str">
        <f>IFERROR(__xludf.DUMMYFUNCTION("""COMPUTED_VALUE"""),"")</f>
        <v/>
      </c>
      <c r="D119" s="16" t="str">
        <f>IFERROR(__xludf.DUMMYFUNCTION("""COMPUTED_VALUE"""),"")</f>
        <v/>
      </c>
      <c r="E119" s="16" t="str">
        <f>IFERROR(__xludf.DUMMYFUNCTION("""COMPUTED_VALUE"""),"")</f>
        <v/>
      </c>
      <c r="F119" s="16" t="str">
        <f>IFERROR(__xludf.DUMMYFUNCTION("""COMPUTED_VALUE"""),"")</f>
        <v/>
      </c>
      <c r="G119" s="16" t="str">
        <f>IFERROR(__xludf.DUMMYFUNCTION("""COMPUTED_VALUE"""),"")</f>
        <v/>
      </c>
      <c r="H119" s="16" t="str">
        <f>IFERROR(__xludf.DUMMYFUNCTION("""COMPUTED_VALUE"""),"")</f>
        <v/>
      </c>
      <c r="I119" s="16" t="str">
        <f>IFERROR(__xludf.DUMMYFUNCTION("""COMPUTED_VALUE"""),"")</f>
        <v/>
      </c>
      <c r="J119" s="16" t="str">
        <f>IFERROR(__xludf.DUMMYFUNCTION("""COMPUTED_VALUE"""),"")</f>
        <v/>
      </c>
      <c r="K119" s="16" t="str">
        <f>IFERROR(__xludf.DUMMYFUNCTION("""COMPUTED_VALUE"""),"")</f>
        <v/>
      </c>
      <c r="L119" s="16" t="str">
        <f>IFERROR(__xludf.DUMMYFUNCTION("""COMPUTED_VALUE"""),"")</f>
        <v/>
      </c>
      <c r="M119" s="16" t="str">
        <f>IFERROR(__xludf.DUMMYFUNCTION("""COMPUTED_VALUE"""),"")</f>
        <v/>
      </c>
      <c r="N119" s="16" t="str">
        <f>IFERROR(__xludf.DUMMYFUNCTION("""COMPUTED_VALUE"""),"")</f>
        <v/>
      </c>
      <c r="O119" s="16" t="str">
        <f>IFERROR(__xludf.DUMMYFUNCTION("""COMPUTED_VALUE"""),"")</f>
        <v/>
      </c>
      <c r="P119" s="16" t="str">
        <f>IFERROR(__xludf.DUMMYFUNCTION("""COMPUTED_VALUE"""),"")</f>
        <v/>
      </c>
      <c r="Q119" s="16" t="str">
        <f>IFERROR(__xludf.DUMMYFUNCTION("""COMPUTED_VALUE"""),"")</f>
        <v/>
      </c>
      <c r="R119" s="16" t="str">
        <f>IFERROR(__xludf.DUMMYFUNCTION("""COMPUTED_VALUE"""),"")</f>
        <v/>
      </c>
      <c r="S119" s="16" t="str">
        <f>IFERROR(__xludf.DUMMYFUNCTION("""COMPUTED_VALUE"""),"")</f>
        <v/>
      </c>
      <c r="T119" s="16" t="str">
        <f>IFERROR(__xludf.DUMMYFUNCTION("""COMPUTED_VALUE"""),"")</f>
        <v/>
      </c>
      <c r="U119" s="16" t="str">
        <f>IFERROR(__xludf.DUMMYFUNCTION("""COMPUTED_VALUE"""),"")</f>
        <v/>
      </c>
      <c r="V119" s="16" t="str">
        <f>IFERROR(__xludf.DUMMYFUNCTION("""COMPUTED_VALUE"""),"")</f>
        <v/>
      </c>
      <c r="W119" s="16" t="str">
        <f>IFERROR(__xludf.DUMMYFUNCTION("""COMPUTED_VALUE"""),"")</f>
        <v/>
      </c>
      <c r="X119" s="16" t="str">
        <f>IFERROR(__xludf.DUMMYFUNCTION("""COMPUTED_VALUE"""),"")</f>
        <v/>
      </c>
      <c r="Y119" s="16" t="str">
        <f>IFERROR(__xludf.DUMMYFUNCTION("""COMPUTED_VALUE"""),"")</f>
        <v/>
      </c>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6"/>
    </row>
    <row r="120">
      <c r="A120" s="16"/>
      <c r="B120" s="16"/>
      <c r="C120" s="16" t="str">
        <f>IFERROR(__xludf.DUMMYFUNCTION("""COMPUTED_VALUE"""),"")</f>
        <v/>
      </c>
      <c r="D120" s="16" t="str">
        <f>IFERROR(__xludf.DUMMYFUNCTION("""COMPUTED_VALUE"""),"")</f>
        <v/>
      </c>
      <c r="E120" s="16" t="str">
        <f>IFERROR(__xludf.DUMMYFUNCTION("""COMPUTED_VALUE"""),"")</f>
        <v/>
      </c>
      <c r="F120" s="16" t="str">
        <f>IFERROR(__xludf.DUMMYFUNCTION("""COMPUTED_VALUE"""),"")</f>
        <v/>
      </c>
      <c r="G120" s="16" t="str">
        <f>IFERROR(__xludf.DUMMYFUNCTION("""COMPUTED_VALUE"""),"")</f>
        <v/>
      </c>
      <c r="H120" s="16" t="str">
        <f>IFERROR(__xludf.DUMMYFUNCTION("""COMPUTED_VALUE"""),"")</f>
        <v/>
      </c>
      <c r="I120" s="16" t="str">
        <f>IFERROR(__xludf.DUMMYFUNCTION("""COMPUTED_VALUE"""),"")</f>
        <v/>
      </c>
      <c r="J120" s="16" t="str">
        <f>IFERROR(__xludf.DUMMYFUNCTION("""COMPUTED_VALUE"""),"")</f>
        <v/>
      </c>
      <c r="K120" s="16" t="str">
        <f>IFERROR(__xludf.DUMMYFUNCTION("""COMPUTED_VALUE"""),"")</f>
        <v/>
      </c>
      <c r="L120" s="16" t="str">
        <f>IFERROR(__xludf.DUMMYFUNCTION("""COMPUTED_VALUE"""),"")</f>
        <v/>
      </c>
      <c r="M120" s="16" t="str">
        <f>IFERROR(__xludf.DUMMYFUNCTION("""COMPUTED_VALUE"""),"")</f>
        <v/>
      </c>
      <c r="N120" s="16" t="str">
        <f>IFERROR(__xludf.DUMMYFUNCTION("""COMPUTED_VALUE"""),"")</f>
        <v/>
      </c>
      <c r="O120" s="16" t="str">
        <f>IFERROR(__xludf.DUMMYFUNCTION("""COMPUTED_VALUE"""),"")</f>
        <v/>
      </c>
      <c r="P120" s="16" t="str">
        <f>IFERROR(__xludf.DUMMYFUNCTION("""COMPUTED_VALUE"""),"")</f>
        <v/>
      </c>
      <c r="Q120" s="16" t="str">
        <f>IFERROR(__xludf.DUMMYFUNCTION("""COMPUTED_VALUE"""),"")</f>
        <v/>
      </c>
      <c r="R120" s="16" t="str">
        <f>IFERROR(__xludf.DUMMYFUNCTION("""COMPUTED_VALUE"""),"")</f>
        <v/>
      </c>
      <c r="S120" s="16" t="str">
        <f>IFERROR(__xludf.DUMMYFUNCTION("""COMPUTED_VALUE"""),"")</f>
        <v/>
      </c>
      <c r="T120" s="16" t="str">
        <f>IFERROR(__xludf.DUMMYFUNCTION("""COMPUTED_VALUE"""),"")</f>
        <v/>
      </c>
      <c r="U120" s="16" t="str">
        <f>IFERROR(__xludf.DUMMYFUNCTION("""COMPUTED_VALUE"""),"")</f>
        <v/>
      </c>
      <c r="V120" s="16" t="str">
        <f>IFERROR(__xludf.DUMMYFUNCTION("""COMPUTED_VALUE"""),"")</f>
        <v/>
      </c>
      <c r="W120" s="16" t="str">
        <f>IFERROR(__xludf.DUMMYFUNCTION("""COMPUTED_VALUE"""),"")</f>
        <v/>
      </c>
      <c r="X120" s="16" t="str">
        <f>IFERROR(__xludf.DUMMYFUNCTION("""COMPUTED_VALUE"""),"")</f>
        <v/>
      </c>
      <c r="Y120" s="16" t="str">
        <f>IFERROR(__xludf.DUMMYFUNCTION("""COMPUTED_VALUE"""),"")</f>
        <v/>
      </c>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6"/>
    </row>
    <row r="121">
      <c r="A121" s="16"/>
      <c r="B121" s="16"/>
      <c r="C121" s="16" t="str">
        <f>IFERROR(__xludf.DUMMYFUNCTION("""COMPUTED_VALUE"""),"")</f>
        <v/>
      </c>
      <c r="D121" s="16" t="str">
        <f>IFERROR(__xludf.DUMMYFUNCTION("""COMPUTED_VALUE"""),"")</f>
        <v/>
      </c>
      <c r="E121" s="16" t="str">
        <f>IFERROR(__xludf.DUMMYFUNCTION("""COMPUTED_VALUE"""),"")</f>
        <v/>
      </c>
      <c r="F121" s="16" t="str">
        <f>IFERROR(__xludf.DUMMYFUNCTION("""COMPUTED_VALUE"""),"")</f>
        <v/>
      </c>
      <c r="G121" s="16" t="str">
        <f>IFERROR(__xludf.DUMMYFUNCTION("""COMPUTED_VALUE"""),"")</f>
        <v/>
      </c>
      <c r="H121" s="16" t="str">
        <f>IFERROR(__xludf.DUMMYFUNCTION("""COMPUTED_VALUE"""),"")</f>
        <v/>
      </c>
      <c r="I121" s="16" t="str">
        <f>IFERROR(__xludf.DUMMYFUNCTION("""COMPUTED_VALUE"""),"")</f>
        <v/>
      </c>
      <c r="J121" s="16" t="str">
        <f>IFERROR(__xludf.DUMMYFUNCTION("""COMPUTED_VALUE"""),"")</f>
        <v/>
      </c>
      <c r="K121" s="16" t="str">
        <f>IFERROR(__xludf.DUMMYFUNCTION("""COMPUTED_VALUE"""),"")</f>
        <v/>
      </c>
      <c r="L121" s="16" t="str">
        <f>IFERROR(__xludf.DUMMYFUNCTION("""COMPUTED_VALUE"""),"")</f>
        <v/>
      </c>
      <c r="M121" s="16" t="str">
        <f>IFERROR(__xludf.DUMMYFUNCTION("""COMPUTED_VALUE"""),"")</f>
        <v/>
      </c>
      <c r="N121" s="16" t="str">
        <f>IFERROR(__xludf.DUMMYFUNCTION("""COMPUTED_VALUE"""),"")</f>
        <v/>
      </c>
      <c r="O121" s="16" t="str">
        <f>IFERROR(__xludf.DUMMYFUNCTION("""COMPUTED_VALUE"""),"")</f>
        <v/>
      </c>
      <c r="P121" s="16" t="str">
        <f>IFERROR(__xludf.DUMMYFUNCTION("""COMPUTED_VALUE"""),"")</f>
        <v/>
      </c>
      <c r="Q121" s="16" t="str">
        <f>IFERROR(__xludf.DUMMYFUNCTION("""COMPUTED_VALUE"""),"")</f>
        <v/>
      </c>
      <c r="R121" s="16" t="str">
        <f>IFERROR(__xludf.DUMMYFUNCTION("""COMPUTED_VALUE"""),"")</f>
        <v/>
      </c>
      <c r="S121" s="16" t="str">
        <f>IFERROR(__xludf.DUMMYFUNCTION("""COMPUTED_VALUE"""),"")</f>
        <v/>
      </c>
      <c r="T121" s="16" t="str">
        <f>IFERROR(__xludf.DUMMYFUNCTION("""COMPUTED_VALUE"""),"")</f>
        <v/>
      </c>
      <c r="U121" s="16" t="str">
        <f>IFERROR(__xludf.DUMMYFUNCTION("""COMPUTED_VALUE"""),"")</f>
        <v/>
      </c>
      <c r="V121" s="16" t="str">
        <f>IFERROR(__xludf.DUMMYFUNCTION("""COMPUTED_VALUE"""),"")</f>
        <v/>
      </c>
      <c r="W121" s="16" t="str">
        <f>IFERROR(__xludf.DUMMYFUNCTION("""COMPUTED_VALUE"""),"")</f>
        <v/>
      </c>
      <c r="X121" s="16" t="str">
        <f>IFERROR(__xludf.DUMMYFUNCTION("""COMPUTED_VALUE"""),"")</f>
        <v/>
      </c>
      <c r="Y121" s="16" t="str">
        <f>IFERROR(__xludf.DUMMYFUNCTION("""COMPUTED_VALUE"""),"")</f>
        <v/>
      </c>
      <c r="Z121" s="16"/>
      <c r="AA121" s="16"/>
      <c r="AB121" s="16"/>
      <c r="AC121" s="16"/>
      <c r="AD121" s="16"/>
      <c r="AE121" s="16"/>
      <c r="AF121" s="16"/>
      <c r="AG121" s="16"/>
      <c r="AH121" s="16"/>
      <c r="AI121" s="16"/>
      <c r="AJ121" s="16"/>
      <c r="AK121" s="16"/>
      <c r="AL121" s="16"/>
      <c r="AM121" s="16"/>
      <c r="AN121" s="16"/>
      <c r="AO121" s="16"/>
      <c r="AP121" s="16"/>
      <c r="AQ121" s="16"/>
      <c r="AR121" s="16"/>
      <c r="AS121" s="16"/>
      <c r="AT121" s="16"/>
      <c r="AU121" s="16"/>
      <c r="AV121" s="16"/>
      <c r="AW121" s="16"/>
      <c r="AX121" s="16"/>
    </row>
    <row r="122">
      <c r="A122" s="16"/>
      <c r="B122" s="16"/>
      <c r="C122" s="16" t="str">
        <f>IFERROR(__xludf.DUMMYFUNCTION("""COMPUTED_VALUE"""),"")</f>
        <v/>
      </c>
      <c r="D122" s="16" t="str">
        <f>IFERROR(__xludf.DUMMYFUNCTION("""COMPUTED_VALUE"""),"")</f>
        <v/>
      </c>
      <c r="E122" s="16" t="str">
        <f>IFERROR(__xludf.DUMMYFUNCTION("""COMPUTED_VALUE"""),"")</f>
        <v/>
      </c>
      <c r="F122" s="16" t="str">
        <f>IFERROR(__xludf.DUMMYFUNCTION("""COMPUTED_VALUE"""),"")</f>
        <v/>
      </c>
      <c r="G122" s="16" t="str">
        <f>IFERROR(__xludf.DUMMYFUNCTION("""COMPUTED_VALUE"""),"")</f>
        <v/>
      </c>
      <c r="H122" s="16" t="str">
        <f>IFERROR(__xludf.DUMMYFUNCTION("""COMPUTED_VALUE"""),"")</f>
        <v/>
      </c>
      <c r="I122" s="16" t="str">
        <f>IFERROR(__xludf.DUMMYFUNCTION("""COMPUTED_VALUE"""),"")</f>
        <v/>
      </c>
      <c r="J122" s="16" t="str">
        <f>IFERROR(__xludf.DUMMYFUNCTION("""COMPUTED_VALUE"""),"")</f>
        <v/>
      </c>
      <c r="K122" s="16" t="str">
        <f>IFERROR(__xludf.DUMMYFUNCTION("""COMPUTED_VALUE"""),"")</f>
        <v/>
      </c>
      <c r="L122" s="16" t="str">
        <f>IFERROR(__xludf.DUMMYFUNCTION("""COMPUTED_VALUE"""),"")</f>
        <v/>
      </c>
      <c r="M122" s="16" t="str">
        <f>IFERROR(__xludf.DUMMYFUNCTION("""COMPUTED_VALUE"""),"")</f>
        <v/>
      </c>
      <c r="N122" s="16" t="str">
        <f>IFERROR(__xludf.DUMMYFUNCTION("""COMPUTED_VALUE"""),"")</f>
        <v/>
      </c>
      <c r="O122" s="16" t="str">
        <f>IFERROR(__xludf.DUMMYFUNCTION("""COMPUTED_VALUE"""),"")</f>
        <v/>
      </c>
      <c r="P122" s="16" t="str">
        <f>IFERROR(__xludf.DUMMYFUNCTION("""COMPUTED_VALUE"""),"")</f>
        <v/>
      </c>
      <c r="Q122" s="16" t="str">
        <f>IFERROR(__xludf.DUMMYFUNCTION("""COMPUTED_VALUE"""),"")</f>
        <v/>
      </c>
      <c r="R122" s="16" t="str">
        <f>IFERROR(__xludf.DUMMYFUNCTION("""COMPUTED_VALUE"""),"")</f>
        <v/>
      </c>
      <c r="S122" s="16" t="str">
        <f>IFERROR(__xludf.DUMMYFUNCTION("""COMPUTED_VALUE"""),"")</f>
        <v/>
      </c>
      <c r="T122" s="16" t="str">
        <f>IFERROR(__xludf.DUMMYFUNCTION("""COMPUTED_VALUE"""),"")</f>
        <v/>
      </c>
      <c r="U122" s="16" t="str">
        <f>IFERROR(__xludf.DUMMYFUNCTION("""COMPUTED_VALUE"""),"")</f>
        <v/>
      </c>
      <c r="V122" s="16" t="str">
        <f>IFERROR(__xludf.DUMMYFUNCTION("""COMPUTED_VALUE"""),"")</f>
        <v/>
      </c>
      <c r="W122" s="16" t="str">
        <f>IFERROR(__xludf.DUMMYFUNCTION("""COMPUTED_VALUE"""),"")</f>
        <v/>
      </c>
      <c r="X122" s="16" t="str">
        <f>IFERROR(__xludf.DUMMYFUNCTION("""COMPUTED_VALUE"""),"")</f>
        <v/>
      </c>
      <c r="Y122" s="16" t="str">
        <f>IFERROR(__xludf.DUMMYFUNCTION("""COMPUTED_VALUE"""),"")</f>
        <v/>
      </c>
      <c r="Z122" s="16"/>
      <c r="AA122" s="16"/>
      <c r="AB122" s="16"/>
      <c r="AC122" s="16"/>
      <c r="AD122" s="16"/>
      <c r="AE122" s="16"/>
      <c r="AF122" s="16"/>
      <c r="AG122" s="16"/>
      <c r="AH122" s="16"/>
      <c r="AI122" s="16"/>
      <c r="AJ122" s="16"/>
      <c r="AK122" s="16"/>
      <c r="AL122" s="16"/>
      <c r="AM122" s="16"/>
      <c r="AN122" s="16"/>
      <c r="AO122" s="16"/>
      <c r="AP122" s="16"/>
      <c r="AQ122" s="16"/>
      <c r="AR122" s="16"/>
      <c r="AS122" s="16"/>
      <c r="AT122" s="16"/>
      <c r="AU122" s="16"/>
      <c r="AV122" s="16"/>
      <c r="AW122" s="16"/>
      <c r="AX122" s="16"/>
    </row>
    <row r="123">
      <c r="A123" s="16"/>
      <c r="B123" s="16"/>
      <c r="C123" s="16" t="str">
        <f>IFERROR(__xludf.DUMMYFUNCTION("""COMPUTED_VALUE"""),"")</f>
        <v/>
      </c>
      <c r="D123" s="16" t="str">
        <f>IFERROR(__xludf.DUMMYFUNCTION("""COMPUTED_VALUE"""),"")</f>
        <v/>
      </c>
      <c r="E123" s="16" t="str">
        <f>IFERROR(__xludf.DUMMYFUNCTION("""COMPUTED_VALUE"""),"")</f>
        <v/>
      </c>
      <c r="F123" s="16" t="str">
        <f>IFERROR(__xludf.DUMMYFUNCTION("""COMPUTED_VALUE"""),"")</f>
        <v/>
      </c>
      <c r="G123" s="16" t="str">
        <f>IFERROR(__xludf.DUMMYFUNCTION("""COMPUTED_VALUE"""),"")</f>
        <v/>
      </c>
      <c r="H123" s="16" t="str">
        <f>IFERROR(__xludf.DUMMYFUNCTION("""COMPUTED_VALUE"""),"")</f>
        <v/>
      </c>
      <c r="I123" s="16" t="str">
        <f>IFERROR(__xludf.DUMMYFUNCTION("""COMPUTED_VALUE"""),"")</f>
        <v/>
      </c>
      <c r="J123" s="16" t="str">
        <f>IFERROR(__xludf.DUMMYFUNCTION("""COMPUTED_VALUE"""),"")</f>
        <v/>
      </c>
      <c r="K123" s="16" t="str">
        <f>IFERROR(__xludf.DUMMYFUNCTION("""COMPUTED_VALUE"""),"")</f>
        <v/>
      </c>
      <c r="L123" s="16" t="str">
        <f>IFERROR(__xludf.DUMMYFUNCTION("""COMPUTED_VALUE"""),"")</f>
        <v/>
      </c>
      <c r="M123" s="16" t="str">
        <f>IFERROR(__xludf.DUMMYFUNCTION("""COMPUTED_VALUE"""),"")</f>
        <v/>
      </c>
      <c r="N123" s="16" t="str">
        <f>IFERROR(__xludf.DUMMYFUNCTION("""COMPUTED_VALUE"""),"")</f>
        <v/>
      </c>
      <c r="O123" s="16" t="str">
        <f>IFERROR(__xludf.DUMMYFUNCTION("""COMPUTED_VALUE"""),"")</f>
        <v/>
      </c>
      <c r="P123" s="16" t="str">
        <f>IFERROR(__xludf.DUMMYFUNCTION("""COMPUTED_VALUE"""),"")</f>
        <v/>
      </c>
      <c r="Q123" s="16" t="str">
        <f>IFERROR(__xludf.DUMMYFUNCTION("""COMPUTED_VALUE"""),"")</f>
        <v/>
      </c>
      <c r="R123" s="16" t="str">
        <f>IFERROR(__xludf.DUMMYFUNCTION("""COMPUTED_VALUE"""),"")</f>
        <v/>
      </c>
      <c r="S123" s="16" t="str">
        <f>IFERROR(__xludf.DUMMYFUNCTION("""COMPUTED_VALUE"""),"")</f>
        <v/>
      </c>
      <c r="T123" s="16" t="str">
        <f>IFERROR(__xludf.DUMMYFUNCTION("""COMPUTED_VALUE"""),"")</f>
        <v/>
      </c>
      <c r="U123" s="16" t="str">
        <f>IFERROR(__xludf.DUMMYFUNCTION("""COMPUTED_VALUE"""),"")</f>
        <v/>
      </c>
      <c r="V123" s="16" t="str">
        <f>IFERROR(__xludf.DUMMYFUNCTION("""COMPUTED_VALUE"""),"")</f>
        <v/>
      </c>
      <c r="W123" s="16" t="str">
        <f>IFERROR(__xludf.DUMMYFUNCTION("""COMPUTED_VALUE"""),"")</f>
        <v/>
      </c>
      <c r="X123" s="16" t="str">
        <f>IFERROR(__xludf.DUMMYFUNCTION("""COMPUTED_VALUE"""),"")</f>
        <v/>
      </c>
      <c r="Y123" s="16" t="str">
        <f>IFERROR(__xludf.DUMMYFUNCTION("""COMPUTED_VALUE"""),"")</f>
        <v/>
      </c>
      <c r="Z123" s="16"/>
      <c r="AA123" s="16"/>
      <c r="AB123" s="16"/>
      <c r="AC123" s="16"/>
      <c r="AD123" s="16"/>
      <c r="AE123" s="16"/>
      <c r="AF123" s="16"/>
      <c r="AG123" s="16"/>
      <c r="AH123" s="16"/>
      <c r="AI123" s="16"/>
      <c r="AJ123" s="16"/>
      <c r="AK123" s="16"/>
      <c r="AL123" s="16"/>
      <c r="AM123" s="16"/>
      <c r="AN123" s="16"/>
      <c r="AO123" s="16"/>
      <c r="AP123" s="16"/>
      <c r="AQ123" s="16"/>
      <c r="AR123" s="16"/>
      <c r="AS123" s="16"/>
      <c r="AT123" s="16"/>
      <c r="AU123" s="16"/>
      <c r="AV123" s="16"/>
      <c r="AW123" s="16"/>
      <c r="AX123" s="16"/>
    </row>
    <row r="124">
      <c r="A124" s="16"/>
      <c r="B124" s="16"/>
      <c r="C124" s="16" t="str">
        <f>IFERROR(__xludf.DUMMYFUNCTION("""COMPUTED_VALUE"""),"")</f>
        <v/>
      </c>
      <c r="D124" s="16" t="str">
        <f>IFERROR(__xludf.DUMMYFUNCTION("""COMPUTED_VALUE"""),"")</f>
        <v/>
      </c>
      <c r="E124" s="16" t="str">
        <f>IFERROR(__xludf.DUMMYFUNCTION("""COMPUTED_VALUE"""),"")</f>
        <v/>
      </c>
      <c r="F124" s="16" t="str">
        <f>IFERROR(__xludf.DUMMYFUNCTION("""COMPUTED_VALUE"""),"")</f>
        <v/>
      </c>
      <c r="G124" s="16" t="str">
        <f>IFERROR(__xludf.DUMMYFUNCTION("""COMPUTED_VALUE"""),"")</f>
        <v/>
      </c>
      <c r="H124" s="16" t="str">
        <f>IFERROR(__xludf.DUMMYFUNCTION("""COMPUTED_VALUE"""),"")</f>
        <v/>
      </c>
      <c r="I124" s="16" t="str">
        <f>IFERROR(__xludf.DUMMYFUNCTION("""COMPUTED_VALUE"""),"")</f>
        <v/>
      </c>
      <c r="J124" s="16" t="str">
        <f>IFERROR(__xludf.DUMMYFUNCTION("""COMPUTED_VALUE"""),"")</f>
        <v/>
      </c>
      <c r="K124" s="16" t="str">
        <f>IFERROR(__xludf.DUMMYFUNCTION("""COMPUTED_VALUE"""),"")</f>
        <v/>
      </c>
      <c r="L124" s="16" t="str">
        <f>IFERROR(__xludf.DUMMYFUNCTION("""COMPUTED_VALUE"""),"")</f>
        <v/>
      </c>
      <c r="M124" s="16" t="str">
        <f>IFERROR(__xludf.DUMMYFUNCTION("""COMPUTED_VALUE"""),"")</f>
        <v/>
      </c>
      <c r="N124" s="16" t="str">
        <f>IFERROR(__xludf.DUMMYFUNCTION("""COMPUTED_VALUE"""),"")</f>
        <v/>
      </c>
      <c r="O124" s="16" t="str">
        <f>IFERROR(__xludf.DUMMYFUNCTION("""COMPUTED_VALUE"""),"")</f>
        <v/>
      </c>
      <c r="P124" s="16" t="str">
        <f>IFERROR(__xludf.DUMMYFUNCTION("""COMPUTED_VALUE"""),"")</f>
        <v/>
      </c>
      <c r="Q124" s="16" t="str">
        <f>IFERROR(__xludf.DUMMYFUNCTION("""COMPUTED_VALUE"""),"")</f>
        <v/>
      </c>
      <c r="R124" s="16" t="str">
        <f>IFERROR(__xludf.DUMMYFUNCTION("""COMPUTED_VALUE"""),"")</f>
        <v/>
      </c>
      <c r="S124" s="16" t="str">
        <f>IFERROR(__xludf.DUMMYFUNCTION("""COMPUTED_VALUE"""),"")</f>
        <v/>
      </c>
      <c r="T124" s="16" t="str">
        <f>IFERROR(__xludf.DUMMYFUNCTION("""COMPUTED_VALUE"""),"")</f>
        <v/>
      </c>
      <c r="U124" s="16" t="str">
        <f>IFERROR(__xludf.DUMMYFUNCTION("""COMPUTED_VALUE"""),"")</f>
        <v/>
      </c>
      <c r="V124" s="16" t="str">
        <f>IFERROR(__xludf.DUMMYFUNCTION("""COMPUTED_VALUE"""),"")</f>
        <v/>
      </c>
      <c r="W124" s="16" t="str">
        <f>IFERROR(__xludf.DUMMYFUNCTION("""COMPUTED_VALUE"""),"")</f>
        <v/>
      </c>
      <c r="X124" s="16" t="str">
        <f>IFERROR(__xludf.DUMMYFUNCTION("""COMPUTED_VALUE"""),"")</f>
        <v/>
      </c>
      <c r="Y124" s="16" t="str">
        <f>IFERROR(__xludf.DUMMYFUNCTION("""COMPUTED_VALUE"""),"")</f>
        <v/>
      </c>
      <c r="Z124" s="16"/>
      <c r="AA124" s="16"/>
      <c r="AB124" s="16"/>
      <c r="AC124" s="16"/>
      <c r="AD124" s="16"/>
      <c r="AE124" s="16"/>
      <c r="AF124" s="16"/>
      <c r="AG124" s="16"/>
      <c r="AH124" s="16"/>
      <c r="AI124" s="16"/>
      <c r="AJ124" s="16"/>
      <c r="AK124" s="16"/>
      <c r="AL124" s="16"/>
      <c r="AM124" s="16"/>
      <c r="AN124" s="16"/>
      <c r="AO124" s="16"/>
      <c r="AP124" s="16"/>
      <c r="AQ124" s="16"/>
      <c r="AR124" s="16"/>
      <c r="AS124" s="16"/>
      <c r="AT124" s="16"/>
      <c r="AU124" s="16"/>
      <c r="AV124" s="16"/>
      <c r="AW124" s="16"/>
      <c r="AX124" s="16"/>
    </row>
    <row r="125">
      <c r="A125" s="16"/>
      <c r="B125" s="16"/>
      <c r="C125" s="16" t="str">
        <f>IFERROR(__xludf.DUMMYFUNCTION("""COMPUTED_VALUE"""),"")</f>
        <v/>
      </c>
      <c r="D125" s="16" t="str">
        <f>IFERROR(__xludf.DUMMYFUNCTION("""COMPUTED_VALUE"""),"")</f>
        <v/>
      </c>
      <c r="E125" s="16" t="str">
        <f>IFERROR(__xludf.DUMMYFUNCTION("""COMPUTED_VALUE"""),"")</f>
        <v/>
      </c>
      <c r="F125" s="16" t="str">
        <f>IFERROR(__xludf.DUMMYFUNCTION("""COMPUTED_VALUE"""),"")</f>
        <v/>
      </c>
      <c r="G125" s="16" t="str">
        <f>IFERROR(__xludf.DUMMYFUNCTION("""COMPUTED_VALUE"""),"")</f>
        <v/>
      </c>
      <c r="H125" s="16" t="str">
        <f>IFERROR(__xludf.DUMMYFUNCTION("""COMPUTED_VALUE"""),"")</f>
        <v/>
      </c>
      <c r="I125" s="16" t="str">
        <f>IFERROR(__xludf.DUMMYFUNCTION("""COMPUTED_VALUE"""),"")</f>
        <v/>
      </c>
      <c r="J125" s="16" t="str">
        <f>IFERROR(__xludf.DUMMYFUNCTION("""COMPUTED_VALUE"""),"")</f>
        <v/>
      </c>
      <c r="K125" s="16" t="str">
        <f>IFERROR(__xludf.DUMMYFUNCTION("""COMPUTED_VALUE"""),"")</f>
        <v/>
      </c>
      <c r="L125" s="16" t="str">
        <f>IFERROR(__xludf.DUMMYFUNCTION("""COMPUTED_VALUE"""),"")</f>
        <v/>
      </c>
      <c r="M125" s="16" t="str">
        <f>IFERROR(__xludf.DUMMYFUNCTION("""COMPUTED_VALUE"""),"")</f>
        <v/>
      </c>
      <c r="N125" s="16" t="str">
        <f>IFERROR(__xludf.DUMMYFUNCTION("""COMPUTED_VALUE"""),"")</f>
        <v/>
      </c>
      <c r="O125" s="16" t="str">
        <f>IFERROR(__xludf.DUMMYFUNCTION("""COMPUTED_VALUE"""),"")</f>
        <v/>
      </c>
      <c r="P125" s="16" t="str">
        <f>IFERROR(__xludf.DUMMYFUNCTION("""COMPUTED_VALUE"""),"")</f>
        <v/>
      </c>
      <c r="Q125" s="16" t="str">
        <f>IFERROR(__xludf.DUMMYFUNCTION("""COMPUTED_VALUE"""),"")</f>
        <v/>
      </c>
      <c r="R125" s="16" t="str">
        <f>IFERROR(__xludf.DUMMYFUNCTION("""COMPUTED_VALUE"""),"")</f>
        <v/>
      </c>
      <c r="S125" s="16" t="str">
        <f>IFERROR(__xludf.DUMMYFUNCTION("""COMPUTED_VALUE"""),"")</f>
        <v/>
      </c>
      <c r="T125" s="16" t="str">
        <f>IFERROR(__xludf.DUMMYFUNCTION("""COMPUTED_VALUE"""),"")</f>
        <v/>
      </c>
      <c r="U125" s="16" t="str">
        <f>IFERROR(__xludf.DUMMYFUNCTION("""COMPUTED_VALUE"""),"")</f>
        <v/>
      </c>
      <c r="V125" s="16" t="str">
        <f>IFERROR(__xludf.DUMMYFUNCTION("""COMPUTED_VALUE"""),"")</f>
        <v/>
      </c>
      <c r="W125" s="16" t="str">
        <f>IFERROR(__xludf.DUMMYFUNCTION("""COMPUTED_VALUE"""),"")</f>
        <v/>
      </c>
      <c r="X125" s="16" t="str">
        <f>IFERROR(__xludf.DUMMYFUNCTION("""COMPUTED_VALUE"""),"")</f>
        <v/>
      </c>
      <c r="Y125" s="16" t="str">
        <f>IFERROR(__xludf.DUMMYFUNCTION("""COMPUTED_VALUE"""),"")</f>
        <v/>
      </c>
      <c r="Z125" s="16"/>
      <c r="AA125" s="16"/>
      <c r="AB125" s="16"/>
      <c r="AC125" s="16"/>
      <c r="AD125" s="16"/>
      <c r="AE125" s="16"/>
      <c r="AF125" s="16"/>
      <c r="AG125" s="16"/>
      <c r="AH125" s="16"/>
      <c r="AI125" s="16"/>
      <c r="AJ125" s="16"/>
      <c r="AK125" s="16"/>
      <c r="AL125" s="16"/>
      <c r="AM125" s="16"/>
      <c r="AN125" s="16"/>
      <c r="AO125" s="16"/>
      <c r="AP125" s="16"/>
      <c r="AQ125" s="16"/>
      <c r="AR125" s="16"/>
      <c r="AS125" s="16"/>
      <c r="AT125" s="16"/>
      <c r="AU125" s="16"/>
      <c r="AV125" s="16"/>
      <c r="AW125" s="16"/>
      <c r="AX125" s="16"/>
    </row>
    <row r="126">
      <c r="A126" s="16"/>
      <c r="B126" s="16"/>
      <c r="C126" s="16" t="str">
        <f>IFERROR(__xludf.DUMMYFUNCTION("""COMPUTED_VALUE"""),"")</f>
        <v/>
      </c>
      <c r="D126" s="16" t="str">
        <f>IFERROR(__xludf.DUMMYFUNCTION("""COMPUTED_VALUE"""),"")</f>
        <v/>
      </c>
      <c r="E126" s="16" t="str">
        <f>IFERROR(__xludf.DUMMYFUNCTION("""COMPUTED_VALUE"""),"")</f>
        <v/>
      </c>
      <c r="F126" s="16" t="str">
        <f>IFERROR(__xludf.DUMMYFUNCTION("""COMPUTED_VALUE"""),"")</f>
        <v/>
      </c>
      <c r="G126" s="16" t="str">
        <f>IFERROR(__xludf.DUMMYFUNCTION("""COMPUTED_VALUE"""),"")</f>
        <v/>
      </c>
      <c r="H126" s="16" t="str">
        <f>IFERROR(__xludf.DUMMYFUNCTION("""COMPUTED_VALUE"""),"")</f>
        <v/>
      </c>
      <c r="I126" s="16" t="str">
        <f>IFERROR(__xludf.DUMMYFUNCTION("""COMPUTED_VALUE"""),"")</f>
        <v/>
      </c>
      <c r="J126" s="16" t="str">
        <f>IFERROR(__xludf.DUMMYFUNCTION("""COMPUTED_VALUE"""),"")</f>
        <v/>
      </c>
      <c r="K126" s="16" t="str">
        <f>IFERROR(__xludf.DUMMYFUNCTION("""COMPUTED_VALUE"""),"")</f>
        <v/>
      </c>
      <c r="L126" s="16" t="str">
        <f>IFERROR(__xludf.DUMMYFUNCTION("""COMPUTED_VALUE"""),"")</f>
        <v/>
      </c>
      <c r="M126" s="16" t="str">
        <f>IFERROR(__xludf.DUMMYFUNCTION("""COMPUTED_VALUE"""),"")</f>
        <v/>
      </c>
      <c r="N126" s="16" t="str">
        <f>IFERROR(__xludf.DUMMYFUNCTION("""COMPUTED_VALUE"""),"")</f>
        <v/>
      </c>
      <c r="O126" s="16" t="str">
        <f>IFERROR(__xludf.DUMMYFUNCTION("""COMPUTED_VALUE"""),"")</f>
        <v/>
      </c>
      <c r="P126" s="16" t="str">
        <f>IFERROR(__xludf.DUMMYFUNCTION("""COMPUTED_VALUE"""),"")</f>
        <v/>
      </c>
      <c r="Q126" s="16" t="str">
        <f>IFERROR(__xludf.DUMMYFUNCTION("""COMPUTED_VALUE"""),"")</f>
        <v/>
      </c>
      <c r="R126" s="16" t="str">
        <f>IFERROR(__xludf.DUMMYFUNCTION("""COMPUTED_VALUE"""),"")</f>
        <v/>
      </c>
      <c r="S126" s="16" t="str">
        <f>IFERROR(__xludf.DUMMYFUNCTION("""COMPUTED_VALUE"""),"")</f>
        <v/>
      </c>
      <c r="T126" s="16" t="str">
        <f>IFERROR(__xludf.DUMMYFUNCTION("""COMPUTED_VALUE"""),"")</f>
        <v/>
      </c>
      <c r="U126" s="16" t="str">
        <f>IFERROR(__xludf.DUMMYFUNCTION("""COMPUTED_VALUE"""),"")</f>
        <v/>
      </c>
      <c r="V126" s="16" t="str">
        <f>IFERROR(__xludf.DUMMYFUNCTION("""COMPUTED_VALUE"""),"")</f>
        <v/>
      </c>
      <c r="W126" s="16" t="str">
        <f>IFERROR(__xludf.DUMMYFUNCTION("""COMPUTED_VALUE"""),"")</f>
        <v/>
      </c>
      <c r="X126" s="16" t="str">
        <f>IFERROR(__xludf.DUMMYFUNCTION("""COMPUTED_VALUE"""),"")</f>
        <v/>
      </c>
      <c r="Y126" s="16" t="str">
        <f>IFERROR(__xludf.DUMMYFUNCTION("""COMPUTED_VALUE"""),"")</f>
        <v/>
      </c>
      <c r="Z126" s="16"/>
      <c r="AA126" s="16"/>
      <c r="AB126" s="16"/>
      <c r="AC126" s="16"/>
      <c r="AD126" s="16"/>
      <c r="AE126" s="16"/>
      <c r="AF126" s="16"/>
      <c r="AG126" s="16"/>
      <c r="AH126" s="16"/>
      <c r="AI126" s="16"/>
      <c r="AJ126" s="16"/>
      <c r="AK126" s="16"/>
      <c r="AL126" s="16"/>
      <c r="AM126" s="16"/>
      <c r="AN126" s="16"/>
      <c r="AO126" s="16"/>
      <c r="AP126" s="16"/>
      <c r="AQ126" s="16"/>
      <c r="AR126" s="16"/>
      <c r="AS126" s="16"/>
      <c r="AT126" s="16"/>
      <c r="AU126" s="16"/>
      <c r="AV126" s="16"/>
      <c r="AW126" s="16"/>
      <c r="AX126" s="16"/>
    </row>
    <row r="127">
      <c r="A127" s="16"/>
      <c r="B127" s="16"/>
      <c r="C127" s="16" t="str">
        <f>IFERROR(__xludf.DUMMYFUNCTION("""COMPUTED_VALUE"""),"")</f>
        <v/>
      </c>
      <c r="D127" s="16" t="str">
        <f>IFERROR(__xludf.DUMMYFUNCTION("""COMPUTED_VALUE"""),"")</f>
        <v/>
      </c>
      <c r="E127" s="16" t="str">
        <f>IFERROR(__xludf.DUMMYFUNCTION("""COMPUTED_VALUE"""),"")</f>
        <v/>
      </c>
      <c r="F127" s="16" t="str">
        <f>IFERROR(__xludf.DUMMYFUNCTION("""COMPUTED_VALUE"""),"")</f>
        <v/>
      </c>
      <c r="G127" s="16" t="str">
        <f>IFERROR(__xludf.DUMMYFUNCTION("""COMPUTED_VALUE"""),"")</f>
        <v/>
      </c>
      <c r="H127" s="16" t="str">
        <f>IFERROR(__xludf.DUMMYFUNCTION("""COMPUTED_VALUE"""),"")</f>
        <v/>
      </c>
      <c r="I127" s="16" t="str">
        <f>IFERROR(__xludf.DUMMYFUNCTION("""COMPUTED_VALUE"""),"")</f>
        <v/>
      </c>
      <c r="J127" s="16" t="str">
        <f>IFERROR(__xludf.DUMMYFUNCTION("""COMPUTED_VALUE"""),"")</f>
        <v/>
      </c>
      <c r="K127" s="16" t="str">
        <f>IFERROR(__xludf.DUMMYFUNCTION("""COMPUTED_VALUE"""),"")</f>
        <v/>
      </c>
      <c r="L127" s="16" t="str">
        <f>IFERROR(__xludf.DUMMYFUNCTION("""COMPUTED_VALUE"""),"")</f>
        <v/>
      </c>
      <c r="M127" s="16" t="str">
        <f>IFERROR(__xludf.DUMMYFUNCTION("""COMPUTED_VALUE"""),"")</f>
        <v/>
      </c>
      <c r="N127" s="16" t="str">
        <f>IFERROR(__xludf.DUMMYFUNCTION("""COMPUTED_VALUE"""),"")</f>
        <v/>
      </c>
      <c r="O127" s="16" t="str">
        <f>IFERROR(__xludf.DUMMYFUNCTION("""COMPUTED_VALUE"""),"")</f>
        <v/>
      </c>
      <c r="P127" s="16" t="str">
        <f>IFERROR(__xludf.DUMMYFUNCTION("""COMPUTED_VALUE"""),"")</f>
        <v/>
      </c>
      <c r="Q127" s="16" t="str">
        <f>IFERROR(__xludf.DUMMYFUNCTION("""COMPUTED_VALUE"""),"")</f>
        <v/>
      </c>
      <c r="R127" s="16" t="str">
        <f>IFERROR(__xludf.DUMMYFUNCTION("""COMPUTED_VALUE"""),"")</f>
        <v/>
      </c>
      <c r="S127" s="16" t="str">
        <f>IFERROR(__xludf.DUMMYFUNCTION("""COMPUTED_VALUE"""),"")</f>
        <v/>
      </c>
      <c r="T127" s="16" t="str">
        <f>IFERROR(__xludf.DUMMYFUNCTION("""COMPUTED_VALUE"""),"")</f>
        <v/>
      </c>
      <c r="U127" s="16" t="str">
        <f>IFERROR(__xludf.DUMMYFUNCTION("""COMPUTED_VALUE"""),"")</f>
        <v/>
      </c>
      <c r="V127" s="16" t="str">
        <f>IFERROR(__xludf.DUMMYFUNCTION("""COMPUTED_VALUE"""),"")</f>
        <v/>
      </c>
      <c r="W127" s="16" t="str">
        <f>IFERROR(__xludf.DUMMYFUNCTION("""COMPUTED_VALUE"""),"")</f>
        <v/>
      </c>
      <c r="X127" s="16" t="str">
        <f>IFERROR(__xludf.DUMMYFUNCTION("""COMPUTED_VALUE"""),"")</f>
        <v/>
      </c>
      <c r="Y127" s="16" t="str">
        <f>IFERROR(__xludf.DUMMYFUNCTION("""COMPUTED_VALUE"""),"")</f>
        <v/>
      </c>
      <c r="Z127" s="16"/>
      <c r="AA127" s="16"/>
      <c r="AB127" s="16"/>
      <c r="AC127" s="16"/>
      <c r="AD127" s="16"/>
      <c r="AE127" s="16"/>
      <c r="AF127" s="16"/>
      <c r="AG127" s="16"/>
      <c r="AH127" s="16"/>
      <c r="AI127" s="16"/>
      <c r="AJ127" s="16"/>
      <c r="AK127" s="16"/>
      <c r="AL127" s="16"/>
      <c r="AM127" s="16"/>
      <c r="AN127" s="16"/>
      <c r="AO127" s="16"/>
      <c r="AP127" s="16"/>
      <c r="AQ127" s="16"/>
      <c r="AR127" s="16"/>
      <c r="AS127" s="16"/>
      <c r="AT127" s="16"/>
      <c r="AU127" s="16"/>
      <c r="AV127" s="16"/>
      <c r="AW127" s="16"/>
      <c r="AX127" s="16"/>
    </row>
    <row r="128">
      <c r="A128" s="16"/>
      <c r="B128" s="16"/>
      <c r="C128" s="16" t="str">
        <f>IFERROR(__xludf.DUMMYFUNCTION("""COMPUTED_VALUE"""),"")</f>
        <v/>
      </c>
      <c r="D128" s="16" t="str">
        <f>IFERROR(__xludf.DUMMYFUNCTION("""COMPUTED_VALUE"""),"")</f>
        <v/>
      </c>
      <c r="E128" s="16" t="str">
        <f>IFERROR(__xludf.DUMMYFUNCTION("""COMPUTED_VALUE"""),"")</f>
        <v/>
      </c>
      <c r="F128" s="16" t="str">
        <f>IFERROR(__xludf.DUMMYFUNCTION("""COMPUTED_VALUE"""),"")</f>
        <v/>
      </c>
      <c r="G128" s="16" t="str">
        <f>IFERROR(__xludf.DUMMYFUNCTION("""COMPUTED_VALUE"""),"")</f>
        <v/>
      </c>
      <c r="H128" s="16" t="str">
        <f>IFERROR(__xludf.DUMMYFUNCTION("""COMPUTED_VALUE"""),"")</f>
        <v/>
      </c>
      <c r="I128" s="16" t="str">
        <f>IFERROR(__xludf.DUMMYFUNCTION("""COMPUTED_VALUE"""),"")</f>
        <v/>
      </c>
      <c r="J128" s="16" t="str">
        <f>IFERROR(__xludf.DUMMYFUNCTION("""COMPUTED_VALUE"""),"")</f>
        <v/>
      </c>
      <c r="K128" s="16" t="str">
        <f>IFERROR(__xludf.DUMMYFUNCTION("""COMPUTED_VALUE"""),"")</f>
        <v/>
      </c>
      <c r="L128" s="16" t="str">
        <f>IFERROR(__xludf.DUMMYFUNCTION("""COMPUTED_VALUE"""),"")</f>
        <v/>
      </c>
      <c r="M128" s="16" t="str">
        <f>IFERROR(__xludf.DUMMYFUNCTION("""COMPUTED_VALUE"""),"")</f>
        <v/>
      </c>
      <c r="N128" s="16" t="str">
        <f>IFERROR(__xludf.DUMMYFUNCTION("""COMPUTED_VALUE"""),"")</f>
        <v/>
      </c>
      <c r="O128" s="16" t="str">
        <f>IFERROR(__xludf.DUMMYFUNCTION("""COMPUTED_VALUE"""),"")</f>
        <v/>
      </c>
      <c r="P128" s="16" t="str">
        <f>IFERROR(__xludf.DUMMYFUNCTION("""COMPUTED_VALUE"""),"")</f>
        <v/>
      </c>
      <c r="Q128" s="16" t="str">
        <f>IFERROR(__xludf.DUMMYFUNCTION("""COMPUTED_VALUE"""),"")</f>
        <v/>
      </c>
      <c r="R128" s="16" t="str">
        <f>IFERROR(__xludf.DUMMYFUNCTION("""COMPUTED_VALUE"""),"")</f>
        <v/>
      </c>
      <c r="S128" s="16" t="str">
        <f>IFERROR(__xludf.DUMMYFUNCTION("""COMPUTED_VALUE"""),"")</f>
        <v/>
      </c>
      <c r="T128" s="16" t="str">
        <f>IFERROR(__xludf.DUMMYFUNCTION("""COMPUTED_VALUE"""),"")</f>
        <v/>
      </c>
      <c r="U128" s="16" t="str">
        <f>IFERROR(__xludf.DUMMYFUNCTION("""COMPUTED_VALUE"""),"")</f>
        <v/>
      </c>
      <c r="V128" s="16" t="str">
        <f>IFERROR(__xludf.DUMMYFUNCTION("""COMPUTED_VALUE"""),"")</f>
        <v/>
      </c>
      <c r="W128" s="16" t="str">
        <f>IFERROR(__xludf.DUMMYFUNCTION("""COMPUTED_VALUE"""),"")</f>
        <v/>
      </c>
      <c r="X128" s="16" t="str">
        <f>IFERROR(__xludf.DUMMYFUNCTION("""COMPUTED_VALUE"""),"")</f>
        <v/>
      </c>
      <c r="Y128" s="16" t="str">
        <f>IFERROR(__xludf.DUMMYFUNCTION("""COMPUTED_VALUE"""),"")</f>
        <v/>
      </c>
      <c r="Z128" s="16"/>
      <c r="AA128" s="16"/>
      <c r="AB128" s="16"/>
      <c r="AC128" s="16"/>
      <c r="AD128" s="16"/>
      <c r="AE128" s="16"/>
      <c r="AF128" s="16"/>
      <c r="AG128" s="16"/>
      <c r="AH128" s="16"/>
      <c r="AI128" s="16"/>
      <c r="AJ128" s="16"/>
      <c r="AK128" s="16"/>
      <c r="AL128" s="16"/>
      <c r="AM128" s="16"/>
      <c r="AN128" s="16"/>
      <c r="AO128" s="16"/>
      <c r="AP128" s="16"/>
      <c r="AQ128" s="16"/>
      <c r="AR128" s="16"/>
      <c r="AS128" s="16"/>
      <c r="AT128" s="16"/>
      <c r="AU128" s="16"/>
      <c r="AV128" s="16"/>
      <c r="AW128" s="16"/>
      <c r="AX128" s="16"/>
    </row>
    <row r="129">
      <c r="A129" s="16"/>
      <c r="B129" s="16"/>
      <c r="C129" s="16" t="str">
        <f>IFERROR(__xludf.DUMMYFUNCTION("""COMPUTED_VALUE"""),"")</f>
        <v/>
      </c>
      <c r="D129" s="16" t="str">
        <f>IFERROR(__xludf.DUMMYFUNCTION("""COMPUTED_VALUE"""),"")</f>
        <v/>
      </c>
      <c r="E129" s="16" t="str">
        <f>IFERROR(__xludf.DUMMYFUNCTION("""COMPUTED_VALUE"""),"")</f>
        <v/>
      </c>
      <c r="F129" s="16" t="str">
        <f>IFERROR(__xludf.DUMMYFUNCTION("""COMPUTED_VALUE"""),"")</f>
        <v/>
      </c>
      <c r="G129" s="16" t="str">
        <f>IFERROR(__xludf.DUMMYFUNCTION("""COMPUTED_VALUE"""),"")</f>
        <v/>
      </c>
      <c r="H129" s="16" t="str">
        <f>IFERROR(__xludf.DUMMYFUNCTION("""COMPUTED_VALUE"""),"")</f>
        <v/>
      </c>
      <c r="I129" s="16" t="str">
        <f>IFERROR(__xludf.DUMMYFUNCTION("""COMPUTED_VALUE"""),"")</f>
        <v/>
      </c>
      <c r="J129" s="16" t="str">
        <f>IFERROR(__xludf.DUMMYFUNCTION("""COMPUTED_VALUE"""),"")</f>
        <v/>
      </c>
      <c r="K129" s="16" t="str">
        <f>IFERROR(__xludf.DUMMYFUNCTION("""COMPUTED_VALUE"""),"")</f>
        <v/>
      </c>
      <c r="L129" s="16" t="str">
        <f>IFERROR(__xludf.DUMMYFUNCTION("""COMPUTED_VALUE"""),"")</f>
        <v/>
      </c>
      <c r="M129" s="16" t="str">
        <f>IFERROR(__xludf.DUMMYFUNCTION("""COMPUTED_VALUE"""),"")</f>
        <v/>
      </c>
      <c r="N129" s="16" t="str">
        <f>IFERROR(__xludf.DUMMYFUNCTION("""COMPUTED_VALUE"""),"")</f>
        <v/>
      </c>
      <c r="O129" s="16" t="str">
        <f>IFERROR(__xludf.DUMMYFUNCTION("""COMPUTED_VALUE"""),"")</f>
        <v/>
      </c>
      <c r="P129" s="16" t="str">
        <f>IFERROR(__xludf.DUMMYFUNCTION("""COMPUTED_VALUE"""),"")</f>
        <v/>
      </c>
      <c r="Q129" s="16" t="str">
        <f>IFERROR(__xludf.DUMMYFUNCTION("""COMPUTED_VALUE"""),"")</f>
        <v/>
      </c>
      <c r="R129" s="16" t="str">
        <f>IFERROR(__xludf.DUMMYFUNCTION("""COMPUTED_VALUE"""),"")</f>
        <v/>
      </c>
      <c r="S129" s="16" t="str">
        <f>IFERROR(__xludf.DUMMYFUNCTION("""COMPUTED_VALUE"""),"")</f>
        <v/>
      </c>
      <c r="T129" s="16" t="str">
        <f>IFERROR(__xludf.DUMMYFUNCTION("""COMPUTED_VALUE"""),"")</f>
        <v/>
      </c>
      <c r="U129" s="16" t="str">
        <f>IFERROR(__xludf.DUMMYFUNCTION("""COMPUTED_VALUE"""),"")</f>
        <v/>
      </c>
      <c r="V129" s="16" t="str">
        <f>IFERROR(__xludf.DUMMYFUNCTION("""COMPUTED_VALUE"""),"")</f>
        <v/>
      </c>
      <c r="W129" s="16" t="str">
        <f>IFERROR(__xludf.DUMMYFUNCTION("""COMPUTED_VALUE"""),"")</f>
        <v/>
      </c>
      <c r="X129" s="16" t="str">
        <f>IFERROR(__xludf.DUMMYFUNCTION("""COMPUTED_VALUE"""),"")</f>
        <v/>
      </c>
      <c r="Y129" s="16" t="str">
        <f>IFERROR(__xludf.DUMMYFUNCTION("""COMPUTED_VALUE"""),"")</f>
        <v/>
      </c>
      <c r="Z129" s="16"/>
      <c r="AA129" s="16"/>
      <c r="AB129" s="16"/>
      <c r="AC129" s="16"/>
      <c r="AD129" s="16"/>
      <c r="AE129" s="16"/>
      <c r="AF129" s="16"/>
      <c r="AG129" s="16"/>
      <c r="AH129" s="16"/>
      <c r="AI129" s="16"/>
      <c r="AJ129" s="16"/>
      <c r="AK129" s="16"/>
      <c r="AL129" s="16"/>
      <c r="AM129" s="16"/>
      <c r="AN129" s="16"/>
      <c r="AO129" s="16"/>
      <c r="AP129" s="16"/>
      <c r="AQ129" s="16"/>
      <c r="AR129" s="16"/>
      <c r="AS129" s="16"/>
      <c r="AT129" s="16"/>
      <c r="AU129" s="16"/>
      <c r="AV129" s="16"/>
      <c r="AW129" s="16"/>
      <c r="AX129" s="16"/>
    </row>
    <row r="130">
      <c r="A130" s="16"/>
      <c r="B130" s="16"/>
      <c r="C130" s="16" t="str">
        <f>IFERROR(__xludf.DUMMYFUNCTION("""COMPUTED_VALUE"""),"")</f>
        <v/>
      </c>
      <c r="D130" s="16" t="str">
        <f>IFERROR(__xludf.DUMMYFUNCTION("""COMPUTED_VALUE"""),"")</f>
        <v/>
      </c>
      <c r="E130" s="16" t="str">
        <f>IFERROR(__xludf.DUMMYFUNCTION("""COMPUTED_VALUE"""),"")</f>
        <v/>
      </c>
      <c r="F130" s="16" t="str">
        <f>IFERROR(__xludf.DUMMYFUNCTION("""COMPUTED_VALUE"""),"")</f>
        <v/>
      </c>
      <c r="G130" s="16" t="str">
        <f>IFERROR(__xludf.DUMMYFUNCTION("""COMPUTED_VALUE"""),"")</f>
        <v/>
      </c>
      <c r="H130" s="16" t="str">
        <f>IFERROR(__xludf.DUMMYFUNCTION("""COMPUTED_VALUE"""),"")</f>
        <v/>
      </c>
      <c r="I130" s="16" t="str">
        <f>IFERROR(__xludf.DUMMYFUNCTION("""COMPUTED_VALUE"""),"")</f>
        <v/>
      </c>
      <c r="J130" s="16" t="str">
        <f>IFERROR(__xludf.DUMMYFUNCTION("""COMPUTED_VALUE"""),"")</f>
        <v/>
      </c>
      <c r="K130" s="16" t="str">
        <f>IFERROR(__xludf.DUMMYFUNCTION("""COMPUTED_VALUE"""),"")</f>
        <v/>
      </c>
      <c r="L130" s="16" t="str">
        <f>IFERROR(__xludf.DUMMYFUNCTION("""COMPUTED_VALUE"""),"")</f>
        <v/>
      </c>
      <c r="M130" s="16" t="str">
        <f>IFERROR(__xludf.DUMMYFUNCTION("""COMPUTED_VALUE"""),"")</f>
        <v/>
      </c>
      <c r="N130" s="16" t="str">
        <f>IFERROR(__xludf.DUMMYFUNCTION("""COMPUTED_VALUE"""),"")</f>
        <v/>
      </c>
      <c r="O130" s="16" t="str">
        <f>IFERROR(__xludf.DUMMYFUNCTION("""COMPUTED_VALUE"""),"")</f>
        <v/>
      </c>
      <c r="P130" s="16" t="str">
        <f>IFERROR(__xludf.DUMMYFUNCTION("""COMPUTED_VALUE"""),"")</f>
        <v/>
      </c>
      <c r="Q130" s="16" t="str">
        <f>IFERROR(__xludf.DUMMYFUNCTION("""COMPUTED_VALUE"""),"")</f>
        <v/>
      </c>
      <c r="R130" s="16" t="str">
        <f>IFERROR(__xludf.DUMMYFUNCTION("""COMPUTED_VALUE"""),"")</f>
        <v/>
      </c>
      <c r="S130" s="16" t="str">
        <f>IFERROR(__xludf.DUMMYFUNCTION("""COMPUTED_VALUE"""),"")</f>
        <v/>
      </c>
      <c r="T130" s="16" t="str">
        <f>IFERROR(__xludf.DUMMYFUNCTION("""COMPUTED_VALUE"""),"")</f>
        <v/>
      </c>
      <c r="U130" s="16" t="str">
        <f>IFERROR(__xludf.DUMMYFUNCTION("""COMPUTED_VALUE"""),"")</f>
        <v/>
      </c>
      <c r="V130" s="16" t="str">
        <f>IFERROR(__xludf.DUMMYFUNCTION("""COMPUTED_VALUE"""),"")</f>
        <v/>
      </c>
      <c r="W130" s="16" t="str">
        <f>IFERROR(__xludf.DUMMYFUNCTION("""COMPUTED_VALUE"""),"")</f>
        <v/>
      </c>
      <c r="X130" s="16" t="str">
        <f>IFERROR(__xludf.DUMMYFUNCTION("""COMPUTED_VALUE"""),"")</f>
        <v/>
      </c>
      <c r="Y130" s="16" t="str">
        <f>IFERROR(__xludf.DUMMYFUNCTION("""COMPUTED_VALUE"""),"")</f>
        <v/>
      </c>
      <c r="Z130" s="16"/>
      <c r="AA130" s="16"/>
      <c r="AB130" s="16"/>
      <c r="AC130" s="16"/>
      <c r="AD130" s="16"/>
      <c r="AE130" s="16"/>
      <c r="AF130" s="16"/>
      <c r="AG130" s="16"/>
      <c r="AH130" s="16"/>
      <c r="AI130" s="16"/>
      <c r="AJ130" s="16"/>
      <c r="AK130" s="16"/>
      <c r="AL130" s="16"/>
      <c r="AM130" s="16"/>
      <c r="AN130" s="16"/>
      <c r="AO130" s="16"/>
      <c r="AP130" s="16"/>
      <c r="AQ130" s="16"/>
      <c r="AR130" s="16"/>
      <c r="AS130" s="16"/>
      <c r="AT130" s="16"/>
      <c r="AU130" s="16"/>
      <c r="AV130" s="16"/>
      <c r="AW130" s="16"/>
      <c r="AX130" s="16"/>
    </row>
    <row r="131">
      <c r="A131" s="16"/>
      <c r="B131" s="16"/>
      <c r="C131" s="16" t="str">
        <f>IFERROR(__xludf.DUMMYFUNCTION("""COMPUTED_VALUE"""),"")</f>
        <v/>
      </c>
      <c r="D131" s="16" t="str">
        <f>IFERROR(__xludf.DUMMYFUNCTION("""COMPUTED_VALUE"""),"")</f>
        <v/>
      </c>
      <c r="E131" s="16" t="str">
        <f>IFERROR(__xludf.DUMMYFUNCTION("""COMPUTED_VALUE"""),"")</f>
        <v/>
      </c>
      <c r="F131" s="16" t="str">
        <f>IFERROR(__xludf.DUMMYFUNCTION("""COMPUTED_VALUE"""),"")</f>
        <v/>
      </c>
      <c r="G131" s="16" t="str">
        <f>IFERROR(__xludf.DUMMYFUNCTION("""COMPUTED_VALUE"""),"")</f>
        <v/>
      </c>
      <c r="H131" s="16" t="str">
        <f>IFERROR(__xludf.DUMMYFUNCTION("""COMPUTED_VALUE"""),"")</f>
        <v/>
      </c>
      <c r="I131" s="16" t="str">
        <f>IFERROR(__xludf.DUMMYFUNCTION("""COMPUTED_VALUE"""),"")</f>
        <v/>
      </c>
      <c r="J131" s="16" t="str">
        <f>IFERROR(__xludf.DUMMYFUNCTION("""COMPUTED_VALUE"""),"")</f>
        <v/>
      </c>
      <c r="K131" s="16" t="str">
        <f>IFERROR(__xludf.DUMMYFUNCTION("""COMPUTED_VALUE"""),"")</f>
        <v/>
      </c>
      <c r="L131" s="16" t="str">
        <f>IFERROR(__xludf.DUMMYFUNCTION("""COMPUTED_VALUE"""),"")</f>
        <v/>
      </c>
      <c r="M131" s="16" t="str">
        <f>IFERROR(__xludf.DUMMYFUNCTION("""COMPUTED_VALUE"""),"")</f>
        <v/>
      </c>
      <c r="N131" s="16" t="str">
        <f>IFERROR(__xludf.DUMMYFUNCTION("""COMPUTED_VALUE"""),"")</f>
        <v/>
      </c>
      <c r="O131" s="16" t="str">
        <f>IFERROR(__xludf.DUMMYFUNCTION("""COMPUTED_VALUE"""),"")</f>
        <v/>
      </c>
      <c r="P131" s="16" t="str">
        <f>IFERROR(__xludf.DUMMYFUNCTION("""COMPUTED_VALUE"""),"")</f>
        <v/>
      </c>
      <c r="Q131" s="16" t="str">
        <f>IFERROR(__xludf.DUMMYFUNCTION("""COMPUTED_VALUE"""),"")</f>
        <v/>
      </c>
      <c r="R131" s="16" t="str">
        <f>IFERROR(__xludf.DUMMYFUNCTION("""COMPUTED_VALUE"""),"")</f>
        <v/>
      </c>
      <c r="S131" s="16" t="str">
        <f>IFERROR(__xludf.DUMMYFUNCTION("""COMPUTED_VALUE"""),"")</f>
        <v/>
      </c>
      <c r="T131" s="16" t="str">
        <f>IFERROR(__xludf.DUMMYFUNCTION("""COMPUTED_VALUE"""),"")</f>
        <v/>
      </c>
      <c r="U131" s="16" t="str">
        <f>IFERROR(__xludf.DUMMYFUNCTION("""COMPUTED_VALUE"""),"")</f>
        <v/>
      </c>
      <c r="V131" s="16" t="str">
        <f>IFERROR(__xludf.DUMMYFUNCTION("""COMPUTED_VALUE"""),"")</f>
        <v/>
      </c>
      <c r="W131" s="16" t="str">
        <f>IFERROR(__xludf.DUMMYFUNCTION("""COMPUTED_VALUE"""),"")</f>
        <v/>
      </c>
      <c r="X131" s="16" t="str">
        <f>IFERROR(__xludf.DUMMYFUNCTION("""COMPUTED_VALUE"""),"")</f>
        <v/>
      </c>
      <c r="Y131" s="16" t="str">
        <f>IFERROR(__xludf.DUMMYFUNCTION("""COMPUTED_VALUE"""),"")</f>
        <v/>
      </c>
      <c r="Z131" s="16"/>
      <c r="AA131" s="16"/>
      <c r="AB131" s="16"/>
      <c r="AC131" s="16"/>
      <c r="AD131" s="16"/>
      <c r="AE131" s="16"/>
      <c r="AF131" s="16"/>
      <c r="AG131" s="16"/>
      <c r="AH131" s="16"/>
      <c r="AI131" s="16"/>
      <c r="AJ131" s="16"/>
      <c r="AK131" s="16"/>
      <c r="AL131" s="16"/>
      <c r="AM131" s="16"/>
      <c r="AN131" s="16"/>
      <c r="AO131" s="16"/>
      <c r="AP131" s="16"/>
      <c r="AQ131" s="16"/>
      <c r="AR131" s="16"/>
      <c r="AS131" s="16"/>
      <c r="AT131" s="16"/>
      <c r="AU131" s="16"/>
      <c r="AV131" s="16"/>
      <c r="AW131" s="16"/>
      <c r="AX131" s="16"/>
    </row>
    <row r="132">
      <c r="A132" s="16"/>
      <c r="B132" s="16"/>
      <c r="C132" s="16" t="str">
        <f>IFERROR(__xludf.DUMMYFUNCTION("""COMPUTED_VALUE"""),"")</f>
        <v/>
      </c>
      <c r="D132" s="16" t="str">
        <f>IFERROR(__xludf.DUMMYFUNCTION("""COMPUTED_VALUE"""),"")</f>
        <v/>
      </c>
      <c r="E132" s="16" t="str">
        <f>IFERROR(__xludf.DUMMYFUNCTION("""COMPUTED_VALUE"""),"")</f>
        <v/>
      </c>
      <c r="F132" s="16" t="str">
        <f>IFERROR(__xludf.DUMMYFUNCTION("""COMPUTED_VALUE"""),"")</f>
        <v/>
      </c>
      <c r="G132" s="16" t="str">
        <f>IFERROR(__xludf.DUMMYFUNCTION("""COMPUTED_VALUE"""),"")</f>
        <v/>
      </c>
      <c r="H132" s="16" t="str">
        <f>IFERROR(__xludf.DUMMYFUNCTION("""COMPUTED_VALUE"""),"")</f>
        <v/>
      </c>
      <c r="I132" s="16" t="str">
        <f>IFERROR(__xludf.DUMMYFUNCTION("""COMPUTED_VALUE"""),"")</f>
        <v/>
      </c>
      <c r="J132" s="16" t="str">
        <f>IFERROR(__xludf.DUMMYFUNCTION("""COMPUTED_VALUE"""),"")</f>
        <v/>
      </c>
      <c r="K132" s="16" t="str">
        <f>IFERROR(__xludf.DUMMYFUNCTION("""COMPUTED_VALUE"""),"")</f>
        <v/>
      </c>
      <c r="L132" s="16" t="str">
        <f>IFERROR(__xludf.DUMMYFUNCTION("""COMPUTED_VALUE"""),"")</f>
        <v/>
      </c>
      <c r="M132" s="16" t="str">
        <f>IFERROR(__xludf.DUMMYFUNCTION("""COMPUTED_VALUE"""),"")</f>
        <v/>
      </c>
      <c r="N132" s="16" t="str">
        <f>IFERROR(__xludf.DUMMYFUNCTION("""COMPUTED_VALUE"""),"")</f>
        <v/>
      </c>
      <c r="O132" s="16" t="str">
        <f>IFERROR(__xludf.DUMMYFUNCTION("""COMPUTED_VALUE"""),"")</f>
        <v/>
      </c>
      <c r="P132" s="16" t="str">
        <f>IFERROR(__xludf.DUMMYFUNCTION("""COMPUTED_VALUE"""),"")</f>
        <v/>
      </c>
      <c r="Q132" s="16" t="str">
        <f>IFERROR(__xludf.DUMMYFUNCTION("""COMPUTED_VALUE"""),"")</f>
        <v/>
      </c>
      <c r="R132" s="16" t="str">
        <f>IFERROR(__xludf.DUMMYFUNCTION("""COMPUTED_VALUE"""),"")</f>
        <v/>
      </c>
      <c r="S132" s="16" t="str">
        <f>IFERROR(__xludf.DUMMYFUNCTION("""COMPUTED_VALUE"""),"")</f>
        <v/>
      </c>
      <c r="T132" s="16" t="str">
        <f>IFERROR(__xludf.DUMMYFUNCTION("""COMPUTED_VALUE"""),"")</f>
        <v/>
      </c>
      <c r="U132" s="16" t="str">
        <f>IFERROR(__xludf.DUMMYFUNCTION("""COMPUTED_VALUE"""),"")</f>
        <v/>
      </c>
      <c r="V132" s="16" t="str">
        <f>IFERROR(__xludf.DUMMYFUNCTION("""COMPUTED_VALUE"""),"")</f>
        <v/>
      </c>
      <c r="W132" s="16" t="str">
        <f>IFERROR(__xludf.DUMMYFUNCTION("""COMPUTED_VALUE"""),"")</f>
        <v/>
      </c>
      <c r="X132" s="16" t="str">
        <f>IFERROR(__xludf.DUMMYFUNCTION("""COMPUTED_VALUE"""),"")</f>
        <v/>
      </c>
      <c r="Y132" s="16" t="str">
        <f>IFERROR(__xludf.DUMMYFUNCTION("""COMPUTED_VALUE"""),"")</f>
        <v/>
      </c>
      <c r="Z132" s="16"/>
      <c r="AA132" s="16"/>
      <c r="AB132" s="16"/>
      <c r="AC132" s="16"/>
      <c r="AD132" s="16"/>
      <c r="AE132" s="16"/>
      <c r="AF132" s="16"/>
      <c r="AG132" s="16"/>
      <c r="AH132" s="16"/>
      <c r="AI132" s="16"/>
      <c r="AJ132" s="16"/>
      <c r="AK132" s="16"/>
      <c r="AL132" s="16"/>
      <c r="AM132" s="16"/>
      <c r="AN132" s="16"/>
      <c r="AO132" s="16"/>
      <c r="AP132" s="16"/>
      <c r="AQ132" s="16"/>
      <c r="AR132" s="16"/>
      <c r="AS132" s="16"/>
      <c r="AT132" s="16"/>
      <c r="AU132" s="16"/>
      <c r="AV132" s="16"/>
      <c r="AW132" s="16"/>
      <c r="AX132" s="16"/>
    </row>
    <row r="133">
      <c r="A133" s="16"/>
      <c r="B133" s="16"/>
      <c r="C133" s="16" t="str">
        <f>IFERROR(__xludf.DUMMYFUNCTION("""COMPUTED_VALUE"""),"")</f>
        <v/>
      </c>
      <c r="D133" s="16" t="str">
        <f>IFERROR(__xludf.DUMMYFUNCTION("""COMPUTED_VALUE"""),"")</f>
        <v/>
      </c>
      <c r="E133" s="16" t="str">
        <f>IFERROR(__xludf.DUMMYFUNCTION("""COMPUTED_VALUE"""),"")</f>
        <v/>
      </c>
      <c r="F133" s="16" t="str">
        <f>IFERROR(__xludf.DUMMYFUNCTION("""COMPUTED_VALUE"""),"")</f>
        <v/>
      </c>
      <c r="G133" s="16" t="str">
        <f>IFERROR(__xludf.DUMMYFUNCTION("""COMPUTED_VALUE"""),"")</f>
        <v/>
      </c>
      <c r="H133" s="16" t="str">
        <f>IFERROR(__xludf.DUMMYFUNCTION("""COMPUTED_VALUE"""),"")</f>
        <v/>
      </c>
      <c r="I133" s="16" t="str">
        <f>IFERROR(__xludf.DUMMYFUNCTION("""COMPUTED_VALUE"""),"")</f>
        <v/>
      </c>
      <c r="J133" s="16" t="str">
        <f>IFERROR(__xludf.DUMMYFUNCTION("""COMPUTED_VALUE"""),"")</f>
        <v/>
      </c>
      <c r="K133" s="16" t="str">
        <f>IFERROR(__xludf.DUMMYFUNCTION("""COMPUTED_VALUE"""),"")</f>
        <v/>
      </c>
      <c r="L133" s="16" t="str">
        <f>IFERROR(__xludf.DUMMYFUNCTION("""COMPUTED_VALUE"""),"")</f>
        <v/>
      </c>
      <c r="M133" s="16" t="str">
        <f>IFERROR(__xludf.DUMMYFUNCTION("""COMPUTED_VALUE"""),"")</f>
        <v/>
      </c>
      <c r="N133" s="16" t="str">
        <f>IFERROR(__xludf.DUMMYFUNCTION("""COMPUTED_VALUE"""),"")</f>
        <v/>
      </c>
      <c r="O133" s="16" t="str">
        <f>IFERROR(__xludf.DUMMYFUNCTION("""COMPUTED_VALUE"""),"")</f>
        <v/>
      </c>
      <c r="P133" s="16" t="str">
        <f>IFERROR(__xludf.DUMMYFUNCTION("""COMPUTED_VALUE"""),"")</f>
        <v/>
      </c>
      <c r="Q133" s="16" t="str">
        <f>IFERROR(__xludf.DUMMYFUNCTION("""COMPUTED_VALUE"""),"")</f>
        <v/>
      </c>
      <c r="R133" s="16" t="str">
        <f>IFERROR(__xludf.DUMMYFUNCTION("""COMPUTED_VALUE"""),"")</f>
        <v/>
      </c>
      <c r="S133" s="16" t="str">
        <f>IFERROR(__xludf.DUMMYFUNCTION("""COMPUTED_VALUE"""),"")</f>
        <v/>
      </c>
      <c r="T133" s="16" t="str">
        <f>IFERROR(__xludf.DUMMYFUNCTION("""COMPUTED_VALUE"""),"")</f>
        <v/>
      </c>
      <c r="U133" s="16" t="str">
        <f>IFERROR(__xludf.DUMMYFUNCTION("""COMPUTED_VALUE"""),"")</f>
        <v/>
      </c>
      <c r="V133" s="16" t="str">
        <f>IFERROR(__xludf.DUMMYFUNCTION("""COMPUTED_VALUE"""),"")</f>
        <v/>
      </c>
      <c r="W133" s="16" t="str">
        <f>IFERROR(__xludf.DUMMYFUNCTION("""COMPUTED_VALUE"""),"")</f>
        <v/>
      </c>
      <c r="X133" s="16" t="str">
        <f>IFERROR(__xludf.DUMMYFUNCTION("""COMPUTED_VALUE"""),"")</f>
        <v/>
      </c>
      <c r="Y133" s="16" t="str">
        <f>IFERROR(__xludf.DUMMYFUNCTION("""COMPUTED_VALUE"""),"")</f>
        <v/>
      </c>
      <c r="Z133" s="16"/>
      <c r="AA133" s="16"/>
      <c r="AB133" s="16"/>
      <c r="AC133" s="16"/>
      <c r="AD133" s="16"/>
      <c r="AE133" s="16"/>
      <c r="AF133" s="16"/>
      <c r="AG133" s="16"/>
      <c r="AH133" s="16"/>
      <c r="AI133" s="16"/>
      <c r="AJ133" s="16"/>
      <c r="AK133" s="16"/>
      <c r="AL133" s="16"/>
      <c r="AM133" s="16"/>
      <c r="AN133" s="16"/>
      <c r="AO133" s="16"/>
      <c r="AP133" s="16"/>
      <c r="AQ133" s="16"/>
      <c r="AR133" s="16"/>
      <c r="AS133" s="16"/>
      <c r="AT133" s="16"/>
      <c r="AU133" s="16"/>
      <c r="AV133" s="16"/>
      <c r="AW133" s="16"/>
      <c r="AX133" s="16"/>
    </row>
    <row r="134">
      <c r="A134" s="16"/>
      <c r="B134" s="16"/>
      <c r="C134" s="16" t="str">
        <f>IFERROR(__xludf.DUMMYFUNCTION("""COMPUTED_VALUE"""),"")</f>
        <v/>
      </c>
      <c r="D134" s="16" t="str">
        <f>IFERROR(__xludf.DUMMYFUNCTION("""COMPUTED_VALUE"""),"")</f>
        <v/>
      </c>
      <c r="E134" s="16" t="str">
        <f>IFERROR(__xludf.DUMMYFUNCTION("""COMPUTED_VALUE"""),"")</f>
        <v/>
      </c>
      <c r="F134" s="16" t="str">
        <f>IFERROR(__xludf.DUMMYFUNCTION("""COMPUTED_VALUE"""),"")</f>
        <v/>
      </c>
      <c r="G134" s="16" t="str">
        <f>IFERROR(__xludf.DUMMYFUNCTION("""COMPUTED_VALUE"""),"")</f>
        <v/>
      </c>
      <c r="H134" s="16" t="str">
        <f>IFERROR(__xludf.DUMMYFUNCTION("""COMPUTED_VALUE"""),"")</f>
        <v/>
      </c>
      <c r="I134" s="16" t="str">
        <f>IFERROR(__xludf.DUMMYFUNCTION("""COMPUTED_VALUE"""),"")</f>
        <v/>
      </c>
      <c r="J134" s="16" t="str">
        <f>IFERROR(__xludf.DUMMYFUNCTION("""COMPUTED_VALUE"""),"")</f>
        <v/>
      </c>
      <c r="K134" s="16" t="str">
        <f>IFERROR(__xludf.DUMMYFUNCTION("""COMPUTED_VALUE"""),"")</f>
        <v/>
      </c>
      <c r="L134" s="16" t="str">
        <f>IFERROR(__xludf.DUMMYFUNCTION("""COMPUTED_VALUE"""),"")</f>
        <v/>
      </c>
      <c r="M134" s="16" t="str">
        <f>IFERROR(__xludf.DUMMYFUNCTION("""COMPUTED_VALUE"""),"")</f>
        <v/>
      </c>
      <c r="N134" s="16" t="str">
        <f>IFERROR(__xludf.DUMMYFUNCTION("""COMPUTED_VALUE"""),"")</f>
        <v/>
      </c>
      <c r="O134" s="16" t="str">
        <f>IFERROR(__xludf.DUMMYFUNCTION("""COMPUTED_VALUE"""),"")</f>
        <v/>
      </c>
      <c r="P134" s="16" t="str">
        <f>IFERROR(__xludf.DUMMYFUNCTION("""COMPUTED_VALUE"""),"")</f>
        <v/>
      </c>
      <c r="Q134" s="16" t="str">
        <f>IFERROR(__xludf.DUMMYFUNCTION("""COMPUTED_VALUE"""),"")</f>
        <v/>
      </c>
      <c r="R134" s="16" t="str">
        <f>IFERROR(__xludf.DUMMYFUNCTION("""COMPUTED_VALUE"""),"")</f>
        <v/>
      </c>
      <c r="S134" s="16" t="str">
        <f>IFERROR(__xludf.DUMMYFUNCTION("""COMPUTED_VALUE"""),"")</f>
        <v/>
      </c>
      <c r="T134" s="16" t="str">
        <f>IFERROR(__xludf.DUMMYFUNCTION("""COMPUTED_VALUE"""),"")</f>
        <v/>
      </c>
      <c r="U134" s="16" t="str">
        <f>IFERROR(__xludf.DUMMYFUNCTION("""COMPUTED_VALUE"""),"")</f>
        <v/>
      </c>
      <c r="V134" s="16" t="str">
        <f>IFERROR(__xludf.DUMMYFUNCTION("""COMPUTED_VALUE"""),"")</f>
        <v/>
      </c>
      <c r="W134" s="16" t="str">
        <f>IFERROR(__xludf.DUMMYFUNCTION("""COMPUTED_VALUE"""),"")</f>
        <v/>
      </c>
      <c r="X134" s="16" t="str">
        <f>IFERROR(__xludf.DUMMYFUNCTION("""COMPUTED_VALUE"""),"")</f>
        <v/>
      </c>
      <c r="Y134" s="16" t="str">
        <f>IFERROR(__xludf.DUMMYFUNCTION("""COMPUTED_VALUE"""),"")</f>
        <v/>
      </c>
      <c r="Z134" s="16"/>
      <c r="AA134" s="16"/>
      <c r="AB134" s="16"/>
      <c r="AC134" s="16"/>
      <c r="AD134" s="16"/>
      <c r="AE134" s="16"/>
      <c r="AF134" s="16"/>
      <c r="AG134" s="16"/>
      <c r="AH134" s="16"/>
      <c r="AI134" s="16"/>
      <c r="AJ134" s="16"/>
      <c r="AK134" s="16"/>
      <c r="AL134" s="16"/>
      <c r="AM134" s="16"/>
      <c r="AN134" s="16"/>
      <c r="AO134" s="16"/>
      <c r="AP134" s="16"/>
      <c r="AQ134" s="16"/>
      <c r="AR134" s="16"/>
      <c r="AS134" s="16"/>
      <c r="AT134" s="16"/>
      <c r="AU134" s="16"/>
      <c r="AV134" s="16"/>
      <c r="AW134" s="16"/>
      <c r="AX134" s="16"/>
    </row>
    <row r="135">
      <c r="A135" s="16"/>
      <c r="B135" s="16"/>
      <c r="C135" s="16" t="str">
        <f>IFERROR(__xludf.DUMMYFUNCTION("""COMPUTED_VALUE"""),"")</f>
        <v/>
      </c>
      <c r="D135" s="16" t="str">
        <f>IFERROR(__xludf.DUMMYFUNCTION("""COMPUTED_VALUE"""),"")</f>
        <v/>
      </c>
      <c r="E135" s="16" t="str">
        <f>IFERROR(__xludf.DUMMYFUNCTION("""COMPUTED_VALUE"""),"")</f>
        <v/>
      </c>
      <c r="F135" s="16" t="str">
        <f>IFERROR(__xludf.DUMMYFUNCTION("""COMPUTED_VALUE"""),"")</f>
        <v/>
      </c>
      <c r="G135" s="16" t="str">
        <f>IFERROR(__xludf.DUMMYFUNCTION("""COMPUTED_VALUE"""),"")</f>
        <v/>
      </c>
      <c r="H135" s="16" t="str">
        <f>IFERROR(__xludf.DUMMYFUNCTION("""COMPUTED_VALUE"""),"")</f>
        <v/>
      </c>
      <c r="I135" s="16" t="str">
        <f>IFERROR(__xludf.DUMMYFUNCTION("""COMPUTED_VALUE"""),"")</f>
        <v/>
      </c>
      <c r="J135" s="16" t="str">
        <f>IFERROR(__xludf.DUMMYFUNCTION("""COMPUTED_VALUE"""),"")</f>
        <v/>
      </c>
      <c r="K135" s="16" t="str">
        <f>IFERROR(__xludf.DUMMYFUNCTION("""COMPUTED_VALUE"""),"")</f>
        <v/>
      </c>
      <c r="L135" s="16" t="str">
        <f>IFERROR(__xludf.DUMMYFUNCTION("""COMPUTED_VALUE"""),"")</f>
        <v/>
      </c>
      <c r="M135" s="16" t="str">
        <f>IFERROR(__xludf.DUMMYFUNCTION("""COMPUTED_VALUE"""),"")</f>
        <v/>
      </c>
      <c r="N135" s="16" t="str">
        <f>IFERROR(__xludf.DUMMYFUNCTION("""COMPUTED_VALUE"""),"")</f>
        <v/>
      </c>
      <c r="O135" s="16" t="str">
        <f>IFERROR(__xludf.DUMMYFUNCTION("""COMPUTED_VALUE"""),"")</f>
        <v/>
      </c>
      <c r="P135" s="16" t="str">
        <f>IFERROR(__xludf.DUMMYFUNCTION("""COMPUTED_VALUE"""),"")</f>
        <v/>
      </c>
      <c r="Q135" s="16" t="str">
        <f>IFERROR(__xludf.DUMMYFUNCTION("""COMPUTED_VALUE"""),"")</f>
        <v/>
      </c>
      <c r="R135" s="16" t="str">
        <f>IFERROR(__xludf.DUMMYFUNCTION("""COMPUTED_VALUE"""),"")</f>
        <v/>
      </c>
      <c r="S135" s="16" t="str">
        <f>IFERROR(__xludf.DUMMYFUNCTION("""COMPUTED_VALUE"""),"")</f>
        <v/>
      </c>
      <c r="T135" s="16" t="str">
        <f>IFERROR(__xludf.DUMMYFUNCTION("""COMPUTED_VALUE"""),"")</f>
        <v/>
      </c>
      <c r="U135" s="16" t="str">
        <f>IFERROR(__xludf.DUMMYFUNCTION("""COMPUTED_VALUE"""),"")</f>
        <v/>
      </c>
      <c r="V135" s="16" t="str">
        <f>IFERROR(__xludf.DUMMYFUNCTION("""COMPUTED_VALUE"""),"")</f>
        <v/>
      </c>
      <c r="W135" s="16" t="str">
        <f>IFERROR(__xludf.DUMMYFUNCTION("""COMPUTED_VALUE"""),"")</f>
        <v/>
      </c>
      <c r="X135" s="16" t="str">
        <f>IFERROR(__xludf.DUMMYFUNCTION("""COMPUTED_VALUE"""),"")</f>
        <v/>
      </c>
      <c r="Y135" s="16" t="str">
        <f>IFERROR(__xludf.DUMMYFUNCTION("""COMPUTED_VALUE"""),"")</f>
        <v/>
      </c>
      <c r="Z135" s="16"/>
      <c r="AA135" s="16"/>
      <c r="AB135" s="16"/>
      <c r="AC135" s="16"/>
      <c r="AD135" s="16"/>
      <c r="AE135" s="16"/>
      <c r="AF135" s="16"/>
      <c r="AG135" s="16"/>
      <c r="AH135" s="16"/>
      <c r="AI135" s="16"/>
      <c r="AJ135" s="16"/>
      <c r="AK135" s="16"/>
      <c r="AL135" s="16"/>
      <c r="AM135" s="16"/>
      <c r="AN135" s="16"/>
      <c r="AO135" s="16"/>
      <c r="AP135" s="16"/>
      <c r="AQ135" s="16"/>
      <c r="AR135" s="16"/>
      <c r="AS135" s="16"/>
      <c r="AT135" s="16"/>
      <c r="AU135" s="16"/>
      <c r="AV135" s="16"/>
      <c r="AW135" s="16"/>
      <c r="AX135" s="16"/>
    </row>
    <row r="136">
      <c r="A136" s="16"/>
      <c r="B136" s="16"/>
      <c r="C136" s="16" t="str">
        <f>IFERROR(__xludf.DUMMYFUNCTION("""COMPUTED_VALUE"""),"")</f>
        <v/>
      </c>
      <c r="D136" s="16" t="str">
        <f>IFERROR(__xludf.DUMMYFUNCTION("""COMPUTED_VALUE"""),"")</f>
        <v/>
      </c>
      <c r="E136" s="16" t="str">
        <f>IFERROR(__xludf.DUMMYFUNCTION("""COMPUTED_VALUE"""),"")</f>
        <v/>
      </c>
      <c r="F136" s="16" t="str">
        <f>IFERROR(__xludf.DUMMYFUNCTION("""COMPUTED_VALUE"""),"")</f>
        <v/>
      </c>
      <c r="G136" s="16" t="str">
        <f>IFERROR(__xludf.DUMMYFUNCTION("""COMPUTED_VALUE"""),"")</f>
        <v/>
      </c>
      <c r="H136" s="16" t="str">
        <f>IFERROR(__xludf.DUMMYFUNCTION("""COMPUTED_VALUE"""),"")</f>
        <v/>
      </c>
      <c r="I136" s="16" t="str">
        <f>IFERROR(__xludf.DUMMYFUNCTION("""COMPUTED_VALUE"""),"")</f>
        <v/>
      </c>
      <c r="J136" s="16" t="str">
        <f>IFERROR(__xludf.DUMMYFUNCTION("""COMPUTED_VALUE"""),"")</f>
        <v/>
      </c>
      <c r="K136" s="16" t="str">
        <f>IFERROR(__xludf.DUMMYFUNCTION("""COMPUTED_VALUE"""),"")</f>
        <v/>
      </c>
      <c r="L136" s="16" t="str">
        <f>IFERROR(__xludf.DUMMYFUNCTION("""COMPUTED_VALUE"""),"")</f>
        <v/>
      </c>
      <c r="M136" s="16" t="str">
        <f>IFERROR(__xludf.DUMMYFUNCTION("""COMPUTED_VALUE"""),"")</f>
        <v/>
      </c>
      <c r="N136" s="16" t="str">
        <f>IFERROR(__xludf.DUMMYFUNCTION("""COMPUTED_VALUE"""),"")</f>
        <v/>
      </c>
      <c r="O136" s="16" t="str">
        <f>IFERROR(__xludf.DUMMYFUNCTION("""COMPUTED_VALUE"""),"")</f>
        <v/>
      </c>
      <c r="P136" s="16" t="str">
        <f>IFERROR(__xludf.DUMMYFUNCTION("""COMPUTED_VALUE"""),"")</f>
        <v/>
      </c>
      <c r="Q136" s="16" t="str">
        <f>IFERROR(__xludf.DUMMYFUNCTION("""COMPUTED_VALUE"""),"")</f>
        <v/>
      </c>
      <c r="R136" s="16" t="str">
        <f>IFERROR(__xludf.DUMMYFUNCTION("""COMPUTED_VALUE"""),"")</f>
        <v/>
      </c>
      <c r="S136" s="16" t="str">
        <f>IFERROR(__xludf.DUMMYFUNCTION("""COMPUTED_VALUE"""),"")</f>
        <v/>
      </c>
      <c r="T136" s="16" t="str">
        <f>IFERROR(__xludf.DUMMYFUNCTION("""COMPUTED_VALUE"""),"")</f>
        <v/>
      </c>
      <c r="U136" s="16" t="str">
        <f>IFERROR(__xludf.DUMMYFUNCTION("""COMPUTED_VALUE"""),"")</f>
        <v/>
      </c>
      <c r="V136" s="16" t="str">
        <f>IFERROR(__xludf.DUMMYFUNCTION("""COMPUTED_VALUE"""),"")</f>
        <v/>
      </c>
      <c r="W136" s="16" t="str">
        <f>IFERROR(__xludf.DUMMYFUNCTION("""COMPUTED_VALUE"""),"")</f>
        <v/>
      </c>
      <c r="X136" s="16" t="str">
        <f>IFERROR(__xludf.DUMMYFUNCTION("""COMPUTED_VALUE"""),"")</f>
        <v/>
      </c>
      <c r="Y136" s="16" t="str">
        <f>IFERROR(__xludf.DUMMYFUNCTION("""COMPUTED_VALUE"""),"")</f>
        <v/>
      </c>
      <c r="Z136" s="16"/>
      <c r="AA136" s="16"/>
      <c r="AB136" s="16"/>
      <c r="AC136" s="16"/>
      <c r="AD136" s="16"/>
      <c r="AE136" s="16"/>
      <c r="AF136" s="16"/>
      <c r="AG136" s="16"/>
      <c r="AH136" s="16"/>
      <c r="AI136" s="16"/>
      <c r="AJ136" s="16"/>
      <c r="AK136" s="16"/>
      <c r="AL136" s="16"/>
      <c r="AM136" s="16"/>
      <c r="AN136" s="16"/>
      <c r="AO136" s="16"/>
      <c r="AP136" s="16"/>
      <c r="AQ136" s="16"/>
      <c r="AR136" s="16"/>
      <c r="AS136" s="16"/>
      <c r="AT136" s="16"/>
      <c r="AU136" s="16"/>
      <c r="AV136" s="16"/>
      <c r="AW136" s="16"/>
      <c r="AX136" s="16"/>
    </row>
    <row r="137">
      <c r="A137" s="16"/>
      <c r="B137" s="16"/>
      <c r="C137" s="16" t="str">
        <f>IFERROR(__xludf.DUMMYFUNCTION("""COMPUTED_VALUE"""),"")</f>
        <v/>
      </c>
      <c r="D137" s="16" t="str">
        <f>IFERROR(__xludf.DUMMYFUNCTION("""COMPUTED_VALUE"""),"")</f>
        <v/>
      </c>
      <c r="E137" s="16" t="str">
        <f>IFERROR(__xludf.DUMMYFUNCTION("""COMPUTED_VALUE"""),"")</f>
        <v/>
      </c>
      <c r="F137" s="16" t="str">
        <f>IFERROR(__xludf.DUMMYFUNCTION("""COMPUTED_VALUE"""),"")</f>
        <v/>
      </c>
      <c r="G137" s="16" t="str">
        <f>IFERROR(__xludf.DUMMYFUNCTION("""COMPUTED_VALUE"""),"")</f>
        <v/>
      </c>
      <c r="H137" s="16" t="str">
        <f>IFERROR(__xludf.DUMMYFUNCTION("""COMPUTED_VALUE"""),"")</f>
        <v/>
      </c>
      <c r="I137" s="16" t="str">
        <f>IFERROR(__xludf.DUMMYFUNCTION("""COMPUTED_VALUE"""),"")</f>
        <v/>
      </c>
      <c r="J137" s="16" t="str">
        <f>IFERROR(__xludf.DUMMYFUNCTION("""COMPUTED_VALUE"""),"")</f>
        <v/>
      </c>
      <c r="K137" s="16" t="str">
        <f>IFERROR(__xludf.DUMMYFUNCTION("""COMPUTED_VALUE"""),"")</f>
        <v/>
      </c>
      <c r="L137" s="16" t="str">
        <f>IFERROR(__xludf.DUMMYFUNCTION("""COMPUTED_VALUE"""),"")</f>
        <v/>
      </c>
      <c r="M137" s="16" t="str">
        <f>IFERROR(__xludf.DUMMYFUNCTION("""COMPUTED_VALUE"""),"")</f>
        <v/>
      </c>
      <c r="N137" s="16" t="str">
        <f>IFERROR(__xludf.DUMMYFUNCTION("""COMPUTED_VALUE"""),"")</f>
        <v/>
      </c>
      <c r="O137" s="16" t="str">
        <f>IFERROR(__xludf.DUMMYFUNCTION("""COMPUTED_VALUE"""),"")</f>
        <v/>
      </c>
      <c r="P137" s="16" t="str">
        <f>IFERROR(__xludf.DUMMYFUNCTION("""COMPUTED_VALUE"""),"")</f>
        <v/>
      </c>
      <c r="Q137" s="16" t="str">
        <f>IFERROR(__xludf.DUMMYFUNCTION("""COMPUTED_VALUE"""),"")</f>
        <v/>
      </c>
      <c r="R137" s="16" t="str">
        <f>IFERROR(__xludf.DUMMYFUNCTION("""COMPUTED_VALUE"""),"")</f>
        <v/>
      </c>
      <c r="S137" s="16" t="str">
        <f>IFERROR(__xludf.DUMMYFUNCTION("""COMPUTED_VALUE"""),"")</f>
        <v/>
      </c>
      <c r="T137" s="16" t="str">
        <f>IFERROR(__xludf.DUMMYFUNCTION("""COMPUTED_VALUE"""),"")</f>
        <v/>
      </c>
      <c r="U137" s="16" t="str">
        <f>IFERROR(__xludf.DUMMYFUNCTION("""COMPUTED_VALUE"""),"")</f>
        <v/>
      </c>
      <c r="V137" s="16" t="str">
        <f>IFERROR(__xludf.DUMMYFUNCTION("""COMPUTED_VALUE"""),"")</f>
        <v/>
      </c>
      <c r="W137" s="16" t="str">
        <f>IFERROR(__xludf.DUMMYFUNCTION("""COMPUTED_VALUE"""),"")</f>
        <v/>
      </c>
      <c r="X137" s="16" t="str">
        <f>IFERROR(__xludf.DUMMYFUNCTION("""COMPUTED_VALUE"""),"")</f>
        <v/>
      </c>
      <c r="Y137" s="16" t="str">
        <f>IFERROR(__xludf.DUMMYFUNCTION("""COMPUTED_VALUE"""),"")</f>
        <v/>
      </c>
      <c r="Z137" s="16"/>
      <c r="AA137" s="16"/>
      <c r="AB137" s="16"/>
      <c r="AC137" s="16"/>
      <c r="AD137" s="16"/>
      <c r="AE137" s="16"/>
      <c r="AF137" s="16"/>
      <c r="AG137" s="16"/>
      <c r="AH137" s="16"/>
      <c r="AI137" s="16"/>
      <c r="AJ137" s="16"/>
      <c r="AK137" s="16"/>
      <c r="AL137" s="16"/>
      <c r="AM137" s="16"/>
      <c r="AN137" s="16"/>
      <c r="AO137" s="16"/>
      <c r="AP137" s="16"/>
      <c r="AQ137" s="16"/>
      <c r="AR137" s="16"/>
      <c r="AS137" s="16"/>
      <c r="AT137" s="16"/>
      <c r="AU137" s="16"/>
      <c r="AV137" s="16"/>
      <c r="AW137" s="16"/>
      <c r="AX137" s="16"/>
    </row>
    <row r="138">
      <c r="A138" s="16"/>
      <c r="B138" s="16"/>
      <c r="C138" s="16" t="str">
        <f>IFERROR(__xludf.DUMMYFUNCTION("""COMPUTED_VALUE"""),"")</f>
        <v/>
      </c>
      <c r="D138" s="16" t="str">
        <f>IFERROR(__xludf.DUMMYFUNCTION("""COMPUTED_VALUE"""),"")</f>
        <v/>
      </c>
      <c r="E138" s="16" t="str">
        <f>IFERROR(__xludf.DUMMYFUNCTION("""COMPUTED_VALUE"""),"")</f>
        <v/>
      </c>
      <c r="F138" s="16" t="str">
        <f>IFERROR(__xludf.DUMMYFUNCTION("""COMPUTED_VALUE"""),"")</f>
        <v/>
      </c>
      <c r="G138" s="16" t="str">
        <f>IFERROR(__xludf.DUMMYFUNCTION("""COMPUTED_VALUE"""),"")</f>
        <v/>
      </c>
      <c r="H138" s="16" t="str">
        <f>IFERROR(__xludf.DUMMYFUNCTION("""COMPUTED_VALUE"""),"")</f>
        <v/>
      </c>
      <c r="I138" s="16" t="str">
        <f>IFERROR(__xludf.DUMMYFUNCTION("""COMPUTED_VALUE"""),"")</f>
        <v/>
      </c>
      <c r="J138" s="16" t="str">
        <f>IFERROR(__xludf.DUMMYFUNCTION("""COMPUTED_VALUE"""),"")</f>
        <v/>
      </c>
      <c r="K138" s="16" t="str">
        <f>IFERROR(__xludf.DUMMYFUNCTION("""COMPUTED_VALUE"""),"")</f>
        <v/>
      </c>
      <c r="L138" s="16" t="str">
        <f>IFERROR(__xludf.DUMMYFUNCTION("""COMPUTED_VALUE"""),"")</f>
        <v/>
      </c>
      <c r="M138" s="16" t="str">
        <f>IFERROR(__xludf.DUMMYFUNCTION("""COMPUTED_VALUE"""),"")</f>
        <v/>
      </c>
      <c r="N138" s="16" t="str">
        <f>IFERROR(__xludf.DUMMYFUNCTION("""COMPUTED_VALUE"""),"")</f>
        <v/>
      </c>
      <c r="O138" s="16" t="str">
        <f>IFERROR(__xludf.DUMMYFUNCTION("""COMPUTED_VALUE"""),"")</f>
        <v/>
      </c>
      <c r="P138" s="16" t="str">
        <f>IFERROR(__xludf.DUMMYFUNCTION("""COMPUTED_VALUE"""),"")</f>
        <v/>
      </c>
      <c r="Q138" s="16" t="str">
        <f>IFERROR(__xludf.DUMMYFUNCTION("""COMPUTED_VALUE"""),"")</f>
        <v/>
      </c>
      <c r="R138" s="16" t="str">
        <f>IFERROR(__xludf.DUMMYFUNCTION("""COMPUTED_VALUE"""),"")</f>
        <v/>
      </c>
      <c r="S138" s="16" t="str">
        <f>IFERROR(__xludf.DUMMYFUNCTION("""COMPUTED_VALUE"""),"")</f>
        <v/>
      </c>
      <c r="T138" s="16" t="str">
        <f>IFERROR(__xludf.DUMMYFUNCTION("""COMPUTED_VALUE"""),"")</f>
        <v/>
      </c>
      <c r="U138" s="16" t="str">
        <f>IFERROR(__xludf.DUMMYFUNCTION("""COMPUTED_VALUE"""),"")</f>
        <v/>
      </c>
      <c r="V138" s="16" t="str">
        <f>IFERROR(__xludf.DUMMYFUNCTION("""COMPUTED_VALUE"""),"")</f>
        <v/>
      </c>
      <c r="W138" s="16" t="str">
        <f>IFERROR(__xludf.DUMMYFUNCTION("""COMPUTED_VALUE"""),"")</f>
        <v/>
      </c>
      <c r="X138" s="16" t="str">
        <f>IFERROR(__xludf.DUMMYFUNCTION("""COMPUTED_VALUE"""),"")</f>
        <v/>
      </c>
      <c r="Y138" s="16" t="str">
        <f>IFERROR(__xludf.DUMMYFUNCTION("""COMPUTED_VALUE"""),"")</f>
        <v/>
      </c>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row>
    <row r="139">
      <c r="A139" s="16"/>
      <c r="B139" s="16"/>
      <c r="C139" s="16" t="str">
        <f>IFERROR(__xludf.DUMMYFUNCTION("""COMPUTED_VALUE"""),"")</f>
        <v/>
      </c>
      <c r="D139" s="16" t="str">
        <f>IFERROR(__xludf.DUMMYFUNCTION("""COMPUTED_VALUE"""),"")</f>
        <v/>
      </c>
      <c r="E139" s="16" t="str">
        <f>IFERROR(__xludf.DUMMYFUNCTION("""COMPUTED_VALUE"""),"")</f>
        <v/>
      </c>
      <c r="F139" s="16" t="str">
        <f>IFERROR(__xludf.DUMMYFUNCTION("""COMPUTED_VALUE"""),"")</f>
        <v/>
      </c>
      <c r="G139" s="16" t="str">
        <f>IFERROR(__xludf.DUMMYFUNCTION("""COMPUTED_VALUE"""),"")</f>
        <v/>
      </c>
      <c r="H139" s="16" t="str">
        <f>IFERROR(__xludf.DUMMYFUNCTION("""COMPUTED_VALUE"""),"")</f>
        <v/>
      </c>
      <c r="I139" s="16" t="str">
        <f>IFERROR(__xludf.DUMMYFUNCTION("""COMPUTED_VALUE"""),"")</f>
        <v/>
      </c>
      <c r="J139" s="16" t="str">
        <f>IFERROR(__xludf.DUMMYFUNCTION("""COMPUTED_VALUE"""),"")</f>
        <v/>
      </c>
      <c r="K139" s="16" t="str">
        <f>IFERROR(__xludf.DUMMYFUNCTION("""COMPUTED_VALUE"""),"")</f>
        <v/>
      </c>
      <c r="L139" s="16" t="str">
        <f>IFERROR(__xludf.DUMMYFUNCTION("""COMPUTED_VALUE"""),"")</f>
        <v/>
      </c>
      <c r="M139" s="16" t="str">
        <f>IFERROR(__xludf.DUMMYFUNCTION("""COMPUTED_VALUE"""),"")</f>
        <v/>
      </c>
      <c r="N139" s="16" t="str">
        <f>IFERROR(__xludf.DUMMYFUNCTION("""COMPUTED_VALUE"""),"")</f>
        <v/>
      </c>
      <c r="O139" s="16" t="str">
        <f>IFERROR(__xludf.DUMMYFUNCTION("""COMPUTED_VALUE"""),"")</f>
        <v/>
      </c>
      <c r="P139" s="16" t="str">
        <f>IFERROR(__xludf.DUMMYFUNCTION("""COMPUTED_VALUE"""),"")</f>
        <v/>
      </c>
      <c r="Q139" s="16" t="str">
        <f>IFERROR(__xludf.DUMMYFUNCTION("""COMPUTED_VALUE"""),"")</f>
        <v/>
      </c>
      <c r="R139" s="16" t="str">
        <f>IFERROR(__xludf.DUMMYFUNCTION("""COMPUTED_VALUE"""),"")</f>
        <v/>
      </c>
      <c r="S139" s="16" t="str">
        <f>IFERROR(__xludf.DUMMYFUNCTION("""COMPUTED_VALUE"""),"")</f>
        <v/>
      </c>
      <c r="T139" s="16" t="str">
        <f>IFERROR(__xludf.DUMMYFUNCTION("""COMPUTED_VALUE"""),"")</f>
        <v/>
      </c>
      <c r="U139" s="16" t="str">
        <f>IFERROR(__xludf.DUMMYFUNCTION("""COMPUTED_VALUE"""),"")</f>
        <v/>
      </c>
      <c r="V139" s="16" t="str">
        <f>IFERROR(__xludf.DUMMYFUNCTION("""COMPUTED_VALUE"""),"")</f>
        <v/>
      </c>
      <c r="W139" s="16" t="str">
        <f>IFERROR(__xludf.DUMMYFUNCTION("""COMPUTED_VALUE"""),"")</f>
        <v/>
      </c>
      <c r="X139" s="16" t="str">
        <f>IFERROR(__xludf.DUMMYFUNCTION("""COMPUTED_VALUE"""),"")</f>
        <v/>
      </c>
      <c r="Y139" s="16" t="str">
        <f>IFERROR(__xludf.DUMMYFUNCTION("""COMPUTED_VALUE"""),"")</f>
        <v/>
      </c>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row>
    <row r="140">
      <c r="A140" s="16"/>
      <c r="B140" s="16"/>
      <c r="C140" s="16" t="str">
        <f>IFERROR(__xludf.DUMMYFUNCTION("""COMPUTED_VALUE"""),"")</f>
        <v/>
      </c>
      <c r="D140" s="16" t="str">
        <f>IFERROR(__xludf.DUMMYFUNCTION("""COMPUTED_VALUE"""),"")</f>
        <v/>
      </c>
      <c r="E140" s="16" t="str">
        <f>IFERROR(__xludf.DUMMYFUNCTION("""COMPUTED_VALUE"""),"")</f>
        <v/>
      </c>
      <c r="F140" s="16" t="str">
        <f>IFERROR(__xludf.DUMMYFUNCTION("""COMPUTED_VALUE"""),"")</f>
        <v/>
      </c>
      <c r="G140" s="16" t="str">
        <f>IFERROR(__xludf.DUMMYFUNCTION("""COMPUTED_VALUE"""),"")</f>
        <v/>
      </c>
      <c r="H140" s="16" t="str">
        <f>IFERROR(__xludf.DUMMYFUNCTION("""COMPUTED_VALUE"""),"")</f>
        <v/>
      </c>
      <c r="I140" s="16" t="str">
        <f>IFERROR(__xludf.DUMMYFUNCTION("""COMPUTED_VALUE"""),"")</f>
        <v/>
      </c>
      <c r="J140" s="16" t="str">
        <f>IFERROR(__xludf.DUMMYFUNCTION("""COMPUTED_VALUE"""),"")</f>
        <v/>
      </c>
      <c r="K140" s="16" t="str">
        <f>IFERROR(__xludf.DUMMYFUNCTION("""COMPUTED_VALUE"""),"")</f>
        <v/>
      </c>
      <c r="L140" s="16" t="str">
        <f>IFERROR(__xludf.DUMMYFUNCTION("""COMPUTED_VALUE"""),"")</f>
        <v/>
      </c>
      <c r="M140" s="16" t="str">
        <f>IFERROR(__xludf.DUMMYFUNCTION("""COMPUTED_VALUE"""),"")</f>
        <v/>
      </c>
      <c r="N140" s="16" t="str">
        <f>IFERROR(__xludf.DUMMYFUNCTION("""COMPUTED_VALUE"""),"")</f>
        <v/>
      </c>
      <c r="O140" s="16" t="str">
        <f>IFERROR(__xludf.DUMMYFUNCTION("""COMPUTED_VALUE"""),"")</f>
        <v/>
      </c>
      <c r="P140" s="16" t="str">
        <f>IFERROR(__xludf.DUMMYFUNCTION("""COMPUTED_VALUE"""),"")</f>
        <v/>
      </c>
      <c r="Q140" s="16" t="str">
        <f>IFERROR(__xludf.DUMMYFUNCTION("""COMPUTED_VALUE"""),"")</f>
        <v/>
      </c>
      <c r="R140" s="16" t="str">
        <f>IFERROR(__xludf.DUMMYFUNCTION("""COMPUTED_VALUE"""),"")</f>
        <v/>
      </c>
      <c r="S140" s="16" t="str">
        <f>IFERROR(__xludf.DUMMYFUNCTION("""COMPUTED_VALUE"""),"")</f>
        <v/>
      </c>
      <c r="T140" s="16" t="str">
        <f>IFERROR(__xludf.DUMMYFUNCTION("""COMPUTED_VALUE"""),"")</f>
        <v/>
      </c>
      <c r="U140" s="16" t="str">
        <f>IFERROR(__xludf.DUMMYFUNCTION("""COMPUTED_VALUE"""),"")</f>
        <v/>
      </c>
      <c r="V140" s="16" t="str">
        <f>IFERROR(__xludf.DUMMYFUNCTION("""COMPUTED_VALUE"""),"")</f>
        <v/>
      </c>
      <c r="W140" s="16" t="str">
        <f>IFERROR(__xludf.DUMMYFUNCTION("""COMPUTED_VALUE"""),"")</f>
        <v/>
      </c>
      <c r="X140" s="16" t="str">
        <f>IFERROR(__xludf.DUMMYFUNCTION("""COMPUTED_VALUE"""),"")</f>
        <v/>
      </c>
      <c r="Y140" s="16" t="str">
        <f>IFERROR(__xludf.DUMMYFUNCTION("""COMPUTED_VALUE"""),"")</f>
        <v/>
      </c>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row>
    <row r="141">
      <c r="A141" s="16"/>
      <c r="B141" s="16"/>
      <c r="C141" s="16" t="str">
        <f>IFERROR(__xludf.DUMMYFUNCTION("""COMPUTED_VALUE"""),"")</f>
        <v/>
      </c>
      <c r="D141" s="16" t="str">
        <f>IFERROR(__xludf.DUMMYFUNCTION("""COMPUTED_VALUE"""),"")</f>
        <v/>
      </c>
      <c r="E141" s="16" t="str">
        <f>IFERROR(__xludf.DUMMYFUNCTION("""COMPUTED_VALUE"""),"")</f>
        <v/>
      </c>
      <c r="F141" s="16" t="str">
        <f>IFERROR(__xludf.DUMMYFUNCTION("""COMPUTED_VALUE"""),"")</f>
        <v/>
      </c>
      <c r="G141" s="16" t="str">
        <f>IFERROR(__xludf.DUMMYFUNCTION("""COMPUTED_VALUE"""),"")</f>
        <v/>
      </c>
      <c r="H141" s="16" t="str">
        <f>IFERROR(__xludf.DUMMYFUNCTION("""COMPUTED_VALUE"""),"")</f>
        <v/>
      </c>
      <c r="I141" s="16" t="str">
        <f>IFERROR(__xludf.DUMMYFUNCTION("""COMPUTED_VALUE"""),"")</f>
        <v/>
      </c>
      <c r="J141" s="16" t="str">
        <f>IFERROR(__xludf.DUMMYFUNCTION("""COMPUTED_VALUE"""),"")</f>
        <v/>
      </c>
      <c r="K141" s="16" t="str">
        <f>IFERROR(__xludf.DUMMYFUNCTION("""COMPUTED_VALUE"""),"")</f>
        <v/>
      </c>
      <c r="L141" s="16" t="str">
        <f>IFERROR(__xludf.DUMMYFUNCTION("""COMPUTED_VALUE"""),"")</f>
        <v/>
      </c>
      <c r="M141" s="16" t="str">
        <f>IFERROR(__xludf.DUMMYFUNCTION("""COMPUTED_VALUE"""),"")</f>
        <v/>
      </c>
      <c r="N141" s="16" t="str">
        <f>IFERROR(__xludf.DUMMYFUNCTION("""COMPUTED_VALUE"""),"")</f>
        <v/>
      </c>
      <c r="O141" s="16" t="str">
        <f>IFERROR(__xludf.DUMMYFUNCTION("""COMPUTED_VALUE"""),"")</f>
        <v/>
      </c>
      <c r="P141" s="16" t="str">
        <f>IFERROR(__xludf.DUMMYFUNCTION("""COMPUTED_VALUE"""),"")</f>
        <v/>
      </c>
      <c r="Q141" s="16" t="str">
        <f>IFERROR(__xludf.DUMMYFUNCTION("""COMPUTED_VALUE"""),"")</f>
        <v/>
      </c>
      <c r="R141" s="16" t="str">
        <f>IFERROR(__xludf.DUMMYFUNCTION("""COMPUTED_VALUE"""),"")</f>
        <v/>
      </c>
      <c r="S141" s="16" t="str">
        <f>IFERROR(__xludf.DUMMYFUNCTION("""COMPUTED_VALUE"""),"")</f>
        <v/>
      </c>
      <c r="T141" s="16" t="str">
        <f>IFERROR(__xludf.DUMMYFUNCTION("""COMPUTED_VALUE"""),"")</f>
        <v/>
      </c>
      <c r="U141" s="16" t="str">
        <f>IFERROR(__xludf.DUMMYFUNCTION("""COMPUTED_VALUE"""),"")</f>
        <v/>
      </c>
      <c r="V141" s="16" t="str">
        <f>IFERROR(__xludf.DUMMYFUNCTION("""COMPUTED_VALUE"""),"")</f>
        <v/>
      </c>
      <c r="W141" s="16" t="str">
        <f>IFERROR(__xludf.DUMMYFUNCTION("""COMPUTED_VALUE"""),"")</f>
        <v/>
      </c>
      <c r="X141" s="16" t="str">
        <f>IFERROR(__xludf.DUMMYFUNCTION("""COMPUTED_VALUE"""),"")</f>
        <v/>
      </c>
      <c r="Y141" s="16" t="str">
        <f>IFERROR(__xludf.DUMMYFUNCTION("""COMPUTED_VALUE"""),"")</f>
        <v/>
      </c>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row>
    <row r="142">
      <c r="A142" s="16"/>
      <c r="B142" s="16"/>
      <c r="C142" s="16" t="str">
        <f>IFERROR(__xludf.DUMMYFUNCTION("""COMPUTED_VALUE"""),"")</f>
        <v/>
      </c>
      <c r="D142" s="16" t="str">
        <f>IFERROR(__xludf.DUMMYFUNCTION("""COMPUTED_VALUE"""),"")</f>
        <v/>
      </c>
      <c r="E142" s="16" t="str">
        <f>IFERROR(__xludf.DUMMYFUNCTION("""COMPUTED_VALUE"""),"")</f>
        <v/>
      </c>
      <c r="F142" s="16" t="str">
        <f>IFERROR(__xludf.DUMMYFUNCTION("""COMPUTED_VALUE"""),"")</f>
        <v/>
      </c>
      <c r="G142" s="16" t="str">
        <f>IFERROR(__xludf.DUMMYFUNCTION("""COMPUTED_VALUE"""),"")</f>
        <v/>
      </c>
      <c r="H142" s="16" t="str">
        <f>IFERROR(__xludf.DUMMYFUNCTION("""COMPUTED_VALUE"""),"")</f>
        <v/>
      </c>
      <c r="I142" s="16" t="str">
        <f>IFERROR(__xludf.DUMMYFUNCTION("""COMPUTED_VALUE"""),"")</f>
        <v/>
      </c>
      <c r="J142" s="16" t="str">
        <f>IFERROR(__xludf.DUMMYFUNCTION("""COMPUTED_VALUE"""),"")</f>
        <v/>
      </c>
      <c r="K142" s="16" t="str">
        <f>IFERROR(__xludf.DUMMYFUNCTION("""COMPUTED_VALUE"""),"")</f>
        <v/>
      </c>
      <c r="L142" s="16" t="str">
        <f>IFERROR(__xludf.DUMMYFUNCTION("""COMPUTED_VALUE"""),"")</f>
        <v/>
      </c>
      <c r="M142" s="16" t="str">
        <f>IFERROR(__xludf.DUMMYFUNCTION("""COMPUTED_VALUE"""),"")</f>
        <v/>
      </c>
      <c r="N142" s="16" t="str">
        <f>IFERROR(__xludf.DUMMYFUNCTION("""COMPUTED_VALUE"""),"")</f>
        <v/>
      </c>
      <c r="O142" s="16" t="str">
        <f>IFERROR(__xludf.DUMMYFUNCTION("""COMPUTED_VALUE"""),"")</f>
        <v/>
      </c>
      <c r="P142" s="16" t="str">
        <f>IFERROR(__xludf.DUMMYFUNCTION("""COMPUTED_VALUE"""),"")</f>
        <v/>
      </c>
      <c r="Q142" s="16" t="str">
        <f>IFERROR(__xludf.DUMMYFUNCTION("""COMPUTED_VALUE"""),"")</f>
        <v/>
      </c>
      <c r="R142" s="16" t="str">
        <f>IFERROR(__xludf.DUMMYFUNCTION("""COMPUTED_VALUE"""),"")</f>
        <v/>
      </c>
      <c r="S142" s="16" t="str">
        <f>IFERROR(__xludf.DUMMYFUNCTION("""COMPUTED_VALUE"""),"")</f>
        <v/>
      </c>
      <c r="T142" s="16" t="str">
        <f>IFERROR(__xludf.DUMMYFUNCTION("""COMPUTED_VALUE"""),"")</f>
        <v/>
      </c>
      <c r="U142" s="16" t="str">
        <f>IFERROR(__xludf.DUMMYFUNCTION("""COMPUTED_VALUE"""),"")</f>
        <v/>
      </c>
      <c r="V142" s="16" t="str">
        <f>IFERROR(__xludf.DUMMYFUNCTION("""COMPUTED_VALUE"""),"")</f>
        <v/>
      </c>
      <c r="W142" s="16" t="str">
        <f>IFERROR(__xludf.DUMMYFUNCTION("""COMPUTED_VALUE"""),"")</f>
        <v/>
      </c>
      <c r="X142" s="16" t="str">
        <f>IFERROR(__xludf.DUMMYFUNCTION("""COMPUTED_VALUE"""),"")</f>
        <v/>
      </c>
      <c r="Y142" s="16" t="str">
        <f>IFERROR(__xludf.DUMMYFUNCTION("""COMPUTED_VALUE"""),"")</f>
        <v/>
      </c>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row>
    <row r="143">
      <c r="A143" s="16"/>
      <c r="B143" s="16"/>
      <c r="C143" s="16" t="str">
        <f>IFERROR(__xludf.DUMMYFUNCTION("""COMPUTED_VALUE"""),"")</f>
        <v/>
      </c>
      <c r="D143" s="16" t="str">
        <f>IFERROR(__xludf.DUMMYFUNCTION("""COMPUTED_VALUE"""),"")</f>
        <v/>
      </c>
      <c r="E143" s="16" t="str">
        <f>IFERROR(__xludf.DUMMYFUNCTION("""COMPUTED_VALUE"""),"")</f>
        <v/>
      </c>
      <c r="F143" s="16" t="str">
        <f>IFERROR(__xludf.DUMMYFUNCTION("""COMPUTED_VALUE"""),"")</f>
        <v/>
      </c>
      <c r="G143" s="16" t="str">
        <f>IFERROR(__xludf.DUMMYFUNCTION("""COMPUTED_VALUE"""),"")</f>
        <v/>
      </c>
      <c r="H143" s="16" t="str">
        <f>IFERROR(__xludf.DUMMYFUNCTION("""COMPUTED_VALUE"""),"")</f>
        <v/>
      </c>
      <c r="I143" s="16" t="str">
        <f>IFERROR(__xludf.DUMMYFUNCTION("""COMPUTED_VALUE"""),"")</f>
        <v/>
      </c>
      <c r="J143" s="16" t="str">
        <f>IFERROR(__xludf.DUMMYFUNCTION("""COMPUTED_VALUE"""),"")</f>
        <v/>
      </c>
      <c r="K143" s="16" t="str">
        <f>IFERROR(__xludf.DUMMYFUNCTION("""COMPUTED_VALUE"""),"")</f>
        <v/>
      </c>
      <c r="L143" s="16" t="str">
        <f>IFERROR(__xludf.DUMMYFUNCTION("""COMPUTED_VALUE"""),"")</f>
        <v/>
      </c>
      <c r="M143" s="16" t="str">
        <f>IFERROR(__xludf.DUMMYFUNCTION("""COMPUTED_VALUE"""),"")</f>
        <v/>
      </c>
      <c r="N143" s="16" t="str">
        <f>IFERROR(__xludf.DUMMYFUNCTION("""COMPUTED_VALUE"""),"")</f>
        <v/>
      </c>
      <c r="O143" s="16" t="str">
        <f>IFERROR(__xludf.DUMMYFUNCTION("""COMPUTED_VALUE"""),"")</f>
        <v/>
      </c>
      <c r="P143" s="16" t="str">
        <f>IFERROR(__xludf.DUMMYFUNCTION("""COMPUTED_VALUE"""),"")</f>
        <v/>
      </c>
      <c r="Q143" s="16" t="str">
        <f>IFERROR(__xludf.DUMMYFUNCTION("""COMPUTED_VALUE"""),"")</f>
        <v/>
      </c>
      <c r="R143" s="16" t="str">
        <f>IFERROR(__xludf.DUMMYFUNCTION("""COMPUTED_VALUE"""),"")</f>
        <v/>
      </c>
      <c r="S143" s="16" t="str">
        <f>IFERROR(__xludf.DUMMYFUNCTION("""COMPUTED_VALUE"""),"")</f>
        <v/>
      </c>
      <c r="T143" s="16" t="str">
        <f>IFERROR(__xludf.DUMMYFUNCTION("""COMPUTED_VALUE"""),"")</f>
        <v/>
      </c>
      <c r="U143" s="16" t="str">
        <f>IFERROR(__xludf.DUMMYFUNCTION("""COMPUTED_VALUE"""),"")</f>
        <v/>
      </c>
      <c r="V143" s="16" t="str">
        <f>IFERROR(__xludf.DUMMYFUNCTION("""COMPUTED_VALUE"""),"")</f>
        <v/>
      </c>
      <c r="W143" s="16" t="str">
        <f>IFERROR(__xludf.DUMMYFUNCTION("""COMPUTED_VALUE"""),"")</f>
        <v/>
      </c>
      <c r="X143" s="16" t="str">
        <f>IFERROR(__xludf.DUMMYFUNCTION("""COMPUTED_VALUE"""),"")</f>
        <v/>
      </c>
      <c r="Y143" s="16" t="str">
        <f>IFERROR(__xludf.DUMMYFUNCTION("""COMPUTED_VALUE"""),"")</f>
        <v/>
      </c>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row>
    <row r="144">
      <c r="A144" s="16"/>
      <c r="B144" s="16"/>
      <c r="C144" s="16" t="str">
        <f>IFERROR(__xludf.DUMMYFUNCTION("""COMPUTED_VALUE"""),"")</f>
        <v/>
      </c>
      <c r="D144" s="16" t="str">
        <f>IFERROR(__xludf.DUMMYFUNCTION("""COMPUTED_VALUE"""),"")</f>
        <v/>
      </c>
      <c r="E144" s="16" t="str">
        <f>IFERROR(__xludf.DUMMYFUNCTION("""COMPUTED_VALUE"""),"")</f>
        <v/>
      </c>
      <c r="F144" s="16" t="str">
        <f>IFERROR(__xludf.DUMMYFUNCTION("""COMPUTED_VALUE"""),"")</f>
        <v/>
      </c>
      <c r="G144" s="16" t="str">
        <f>IFERROR(__xludf.DUMMYFUNCTION("""COMPUTED_VALUE"""),"")</f>
        <v/>
      </c>
      <c r="H144" s="16" t="str">
        <f>IFERROR(__xludf.DUMMYFUNCTION("""COMPUTED_VALUE"""),"")</f>
        <v/>
      </c>
      <c r="I144" s="16" t="str">
        <f>IFERROR(__xludf.DUMMYFUNCTION("""COMPUTED_VALUE"""),"")</f>
        <v/>
      </c>
      <c r="J144" s="16" t="str">
        <f>IFERROR(__xludf.DUMMYFUNCTION("""COMPUTED_VALUE"""),"")</f>
        <v/>
      </c>
      <c r="K144" s="16" t="str">
        <f>IFERROR(__xludf.DUMMYFUNCTION("""COMPUTED_VALUE"""),"")</f>
        <v/>
      </c>
      <c r="L144" s="16" t="str">
        <f>IFERROR(__xludf.DUMMYFUNCTION("""COMPUTED_VALUE"""),"")</f>
        <v/>
      </c>
      <c r="M144" s="16" t="str">
        <f>IFERROR(__xludf.DUMMYFUNCTION("""COMPUTED_VALUE"""),"")</f>
        <v/>
      </c>
      <c r="N144" s="16" t="str">
        <f>IFERROR(__xludf.DUMMYFUNCTION("""COMPUTED_VALUE"""),"")</f>
        <v/>
      </c>
      <c r="O144" s="16" t="str">
        <f>IFERROR(__xludf.DUMMYFUNCTION("""COMPUTED_VALUE"""),"")</f>
        <v/>
      </c>
      <c r="P144" s="16" t="str">
        <f>IFERROR(__xludf.DUMMYFUNCTION("""COMPUTED_VALUE"""),"")</f>
        <v/>
      </c>
      <c r="Q144" s="16" t="str">
        <f>IFERROR(__xludf.DUMMYFUNCTION("""COMPUTED_VALUE"""),"")</f>
        <v/>
      </c>
      <c r="R144" s="16" t="str">
        <f>IFERROR(__xludf.DUMMYFUNCTION("""COMPUTED_VALUE"""),"")</f>
        <v/>
      </c>
      <c r="S144" s="16" t="str">
        <f>IFERROR(__xludf.DUMMYFUNCTION("""COMPUTED_VALUE"""),"")</f>
        <v/>
      </c>
      <c r="T144" s="16" t="str">
        <f>IFERROR(__xludf.DUMMYFUNCTION("""COMPUTED_VALUE"""),"")</f>
        <v/>
      </c>
      <c r="U144" s="16" t="str">
        <f>IFERROR(__xludf.DUMMYFUNCTION("""COMPUTED_VALUE"""),"")</f>
        <v/>
      </c>
      <c r="V144" s="16" t="str">
        <f>IFERROR(__xludf.DUMMYFUNCTION("""COMPUTED_VALUE"""),"")</f>
        <v/>
      </c>
      <c r="W144" s="16" t="str">
        <f>IFERROR(__xludf.DUMMYFUNCTION("""COMPUTED_VALUE"""),"")</f>
        <v/>
      </c>
      <c r="X144" s="16" t="str">
        <f>IFERROR(__xludf.DUMMYFUNCTION("""COMPUTED_VALUE"""),"")</f>
        <v/>
      </c>
      <c r="Y144" s="16" t="str">
        <f>IFERROR(__xludf.DUMMYFUNCTION("""COMPUTED_VALUE"""),"")</f>
        <v/>
      </c>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row>
    <row r="145">
      <c r="A145" s="16"/>
      <c r="B145" s="16"/>
      <c r="C145" s="16" t="str">
        <f>IFERROR(__xludf.DUMMYFUNCTION("""COMPUTED_VALUE"""),"")</f>
        <v/>
      </c>
      <c r="D145" s="16" t="str">
        <f>IFERROR(__xludf.DUMMYFUNCTION("""COMPUTED_VALUE"""),"")</f>
        <v/>
      </c>
      <c r="E145" s="16" t="str">
        <f>IFERROR(__xludf.DUMMYFUNCTION("""COMPUTED_VALUE"""),"")</f>
        <v/>
      </c>
      <c r="F145" s="16" t="str">
        <f>IFERROR(__xludf.DUMMYFUNCTION("""COMPUTED_VALUE"""),"")</f>
        <v/>
      </c>
      <c r="G145" s="16" t="str">
        <f>IFERROR(__xludf.DUMMYFUNCTION("""COMPUTED_VALUE"""),"")</f>
        <v/>
      </c>
      <c r="H145" s="16" t="str">
        <f>IFERROR(__xludf.DUMMYFUNCTION("""COMPUTED_VALUE"""),"")</f>
        <v/>
      </c>
      <c r="I145" s="16" t="str">
        <f>IFERROR(__xludf.DUMMYFUNCTION("""COMPUTED_VALUE"""),"")</f>
        <v/>
      </c>
      <c r="J145" s="16" t="str">
        <f>IFERROR(__xludf.DUMMYFUNCTION("""COMPUTED_VALUE"""),"")</f>
        <v/>
      </c>
      <c r="K145" s="16" t="str">
        <f>IFERROR(__xludf.DUMMYFUNCTION("""COMPUTED_VALUE"""),"")</f>
        <v/>
      </c>
      <c r="L145" s="16" t="str">
        <f>IFERROR(__xludf.DUMMYFUNCTION("""COMPUTED_VALUE"""),"")</f>
        <v/>
      </c>
      <c r="M145" s="16" t="str">
        <f>IFERROR(__xludf.DUMMYFUNCTION("""COMPUTED_VALUE"""),"")</f>
        <v/>
      </c>
      <c r="N145" s="16" t="str">
        <f>IFERROR(__xludf.DUMMYFUNCTION("""COMPUTED_VALUE"""),"")</f>
        <v/>
      </c>
      <c r="O145" s="16" t="str">
        <f>IFERROR(__xludf.DUMMYFUNCTION("""COMPUTED_VALUE"""),"")</f>
        <v/>
      </c>
      <c r="P145" s="16" t="str">
        <f>IFERROR(__xludf.DUMMYFUNCTION("""COMPUTED_VALUE"""),"")</f>
        <v/>
      </c>
      <c r="Q145" s="16" t="str">
        <f>IFERROR(__xludf.DUMMYFUNCTION("""COMPUTED_VALUE"""),"")</f>
        <v/>
      </c>
      <c r="R145" s="16" t="str">
        <f>IFERROR(__xludf.DUMMYFUNCTION("""COMPUTED_VALUE"""),"")</f>
        <v/>
      </c>
      <c r="S145" s="16" t="str">
        <f>IFERROR(__xludf.DUMMYFUNCTION("""COMPUTED_VALUE"""),"")</f>
        <v/>
      </c>
      <c r="T145" s="16" t="str">
        <f>IFERROR(__xludf.DUMMYFUNCTION("""COMPUTED_VALUE"""),"")</f>
        <v/>
      </c>
      <c r="U145" s="16" t="str">
        <f>IFERROR(__xludf.DUMMYFUNCTION("""COMPUTED_VALUE"""),"")</f>
        <v/>
      </c>
      <c r="V145" s="16" t="str">
        <f>IFERROR(__xludf.DUMMYFUNCTION("""COMPUTED_VALUE"""),"")</f>
        <v/>
      </c>
      <c r="W145" s="16" t="str">
        <f>IFERROR(__xludf.DUMMYFUNCTION("""COMPUTED_VALUE"""),"")</f>
        <v/>
      </c>
      <c r="X145" s="16" t="str">
        <f>IFERROR(__xludf.DUMMYFUNCTION("""COMPUTED_VALUE"""),"")</f>
        <v/>
      </c>
      <c r="Y145" s="16" t="str">
        <f>IFERROR(__xludf.DUMMYFUNCTION("""COMPUTED_VALUE"""),"")</f>
        <v/>
      </c>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row>
    <row r="146">
      <c r="A146" s="16"/>
      <c r="B146" s="16"/>
      <c r="C146" s="16" t="str">
        <f>IFERROR(__xludf.DUMMYFUNCTION("""COMPUTED_VALUE"""),"")</f>
        <v/>
      </c>
      <c r="D146" s="16" t="str">
        <f>IFERROR(__xludf.DUMMYFUNCTION("""COMPUTED_VALUE"""),"")</f>
        <v/>
      </c>
      <c r="E146" s="16" t="str">
        <f>IFERROR(__xludf.DUMMYFUNCTION("""COMPUTED_VALUE"""),"")</f>
        <v/>
      </c>
      <c r="F146" s="16" t="str">
        <f>IFERROR(__xludf.DUMMYFUNCTION("""COMPUTED_VALUE"""),"")</f>
        <v/>
      </c>
      <c r="G146" s="16" t="str">
        <f>IFERROR(__xludf.DUMMYFUNCTION("""COMPUTED_VALUE"""),"")</f>
        <v/>
      </c>
      <c r="H146" s="16" t="str">
        <f>IFERROR(__xludf.DUMMYFUNCTION("""COMPUTED_VALUE"""),"")</f>
        <v/>
      </c>
      <c r="I146" s="16" t="str">
        <f>IFERROR(__xludf.DUMMYFUNCTION("""COMPUTED_VALUE"""),"")</f>
        <v/>
      </c>
      <c r="J146" s="16" t="str">
        <f>IFERROR(__xludf.DUMMYFUNCTION("""COMPUTED_VALUE"""),"")</f>
        <v/>
      </c>
      <c r="K146" s="16" t="str">
        <f>IFERROR(__xludf.DUMMYFUNCTION("""COMPUTED_VALUE"""),"")</f>
        <v/>
      </c>
      <c r="L146" s="16" t="str">
        <f>IFERROR(__xludf.DUMMYFUNCTION("""COMPUTED_VALUE"""),"")</f>
        <v/>
      </c>
      <c r="M146" s="16" t="str">
        <f>IFERROR(__xludf.DUMMYFUNCTION("""COMPUTED_VALUE"""),"")</f>
        <v/>
      </c>
      <c r="N146" s="16" t="str">
        <f>IFERROR(__xludf.DUMMYFUNCTION("""COMPUTED_VALUE"""),"")</f>
        <v/>
      </c>
      <c r="O146" s="16" t="str">
        <f>IFERROR(__xludf.DUMMYFUNCTION("""COMPUTED_VALUE"""),"")</f>
        <v/>
      </c>
      <c r="P146" s="16" t="str">
        <f>IFERROR(__xludf.DUMMYFUNCTION("""COMPUTED_VALUE"""),"")</f>
        <v/>
      </c>
      <c r="Q146" s="16" t="str">
        <f>IFERROR(__xludf.DUMMYFUNCTION("""COMPUTED_VALUE"""),"")</f>
        <v/>
      </c>
      <c r="R146" s="16" t="str">
        <f>IFERROR(__xludf.DUMMYFUNCTION("""COMPUTED_VALUE"""),"")</f>
        <v/>
      </c>
      <c r="S146" s="16" t="str">
        <f>IFERROR(__xludf.DUMMYFUNCTION("""COMPUTED_VALUE"""),"")</f>
        <v/>
      </c>
      <c r="T146" s="16" t="str">
        <f>IFERROR(__xludf.DUMMYFUNCTION("""COMPUTED_VALUE"""),"")</f>
        <v/>
      </c>
      <c r="U146" s="16" t="str">
        <f>IFERROR(__xludf.DUMMYFUNCTION("""COMPUTED_VALUE"""),"")</f>
        <v/>
      </c>
      <c r="V146" s="16" t="str">
        <f>IFERROR(__xludf.DUMMYFUNCTION("""COMPUTED_VALUE"""),"")</f>
        <v/>
      </c>
      <c r="W146" s="16" t="str">
        <f>IFERROR(__xludf.DUMMYFUNCTION("""COMPUTED_VALUE"""),"")</f>
        <v/>
      </c>
      <c r="X146" s="16" t="str">
        <f>IFERROR(__xludf.DUMMYFUNCTION("""COMPUTED_VALUE"""),"")</f>
        <v/>
      </c>
      <c r="Y146" s="16" t="str">
        <f>IFERROR(__xludf.DUMMYFUNCTION("""COMPUTED_VALUE"""),"")</f>
        <v/>
      </c>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row>
    <row r="147">
      <c r="A147" s="16"/>
      <c r="B147" s="16"/>
      <c r="C147" s="16" t="str">
        <f>IFERROR(__xludf.DUMMYFUNCTION("""COMPUTED_VALUE"""),"")</f>
        <v/>
      </c>
      <c r="D147" s="16" t="str">
        <f>IFERROR(__xludf.DUMMYFUNCTION("""COMPUTED_VALUE"""),"")</f>
        <v/>
      </c>
      <c r="E147" s="16" t="str">
        <f>IFERROR(__xludf.DUMMYFUNCTION("""COMPUTED_VALUE"""),"")</f>
        <v/>
      </c>
      <c r="F147" s="16" t="str">
        <f>IFERROR(__xludf.DUMMYFUNCTION("""COMPUTED_VALUE"""),"")</f>
        <v/>
      </c>
      <c r="G147" s="16" t="str">
        <f>IFERROR(__xludf.DUMMYFUNCTION("""COMPUTED_VALUE"""),"")</f>
        <v/>
      </c>
      <c r="H147" s="16" t="str">
        <f>IFERROR(__xludf.DUMMYFUNCTION("""COMPUTED_VALUE"""),"")</f>
        <v/>
      </c>
      <c r="I147" s="16" t="str">
        <f>IFERROR(__xludf.DUMMYFUNCTION("""COMPUTED_VALUE"""),"")</f>
        <v/>
      </c>
      <c r="J147" s="16" t="str">
        <f>IFERROR(__xludf.DUMMYFUNCTION("""COMPUTED_VALUE"""),"")</f>
        <v/>
      </c>
      <c r="K147" s="16" t="str">
        <f>IFERROR(__xludf.DUMMYFUNCTION("""COMPUTED_VALUE"""),"")</f>
        <v/>
      </c>
      <c r="L147" s="16" t="str">
        <f>IFERROR(__xludf.DUMMYFUNCTION("""COMPUTED_VALUE"""),"")</f>
        <v/>
      </c>
      <c r="M147" s="16" t="str">
        <f>IFERROR(__xludf.DUMMYFUNCTION("""COMPUTED_VALUE"""),"")</f>
        <v/>
      </c>
      <c r="N147" s="16" t="str">
        <f>IFERROR(__xludf.DUMMYFUNCTION("""COMPUTED_VALUE"""),"")</f>
        <v/>
      </c>
      <c r="O147" s="16" t="str">
        <f>IFERROR(__xludf.DUMMYFUNCTION("""COMPUTED_VALUE"""),"")</f>
        <v/>
      </c>
      <c r="P147" s="16" t="str">
        <f>IFERROR(__xludf.DUMMYFUNCTION("""COMPUTED_VALUE"""),"")</f>
        <v/>
      </c>
      <c r="Q147" s="16" t="str">
        <f>IFERROR(__xludf.DUMMYFUNCTION("""COMPUTED_VALUE"""),"")</f>
        <v/>
      </c>
      <c r="R147" s="16" t="str">
        <f>IFERROR(__xludf.DUMMYFUNCTION("""COMPUTED_VALUE"""),"")</f>
        <v/>
      </c>
      <c r="S147" s="16" t="str">
        <f>IFERROR(__xludf.DUMMYFUNCTION("""COMPUTED_VALUE"""),"")</f>
        <v/>
      </c>
      <c r="T147" s="16" t="str">
        <f>IFERROR(__xludf.DUMMYFUNCTION("""COMPUTED_VALUE"""),"")</f>
        <v/>
      </c>
      <c r="U147" s="16" t="str">
        <f>IFERROR(__xludf.DUMMYFUNCTION("""COMPUTED_VALUE"""),"")</f>
        <v/>
      </c>
      <c r="V147" s="16" t="str">
        <f>IFERROR(__xludf.DUMMYFUNCTION("""COMPUTED_VALUE"""),"")</f>
        <v/>
      </c>
      <c r="W147" s="16" t="str">
        <f>IFERROR(__xludf.DUMMYFUNCTION("""COMPUTED_VALUE"""),"")</f>
        <v/>
      </c>
      <c r="X147" s="16" t="str">
        <f>IFERROR(__xludf.DUMMYFUNCTION("""COMPUTED_VALUE"""),"")</f>
        <v/>
      </c>
      <c r="Y147" s="16" t="str">
        <f>IFERROR(__xludf.DUMMYFUNCTION("""COMPUTED_VALUE"""),"")</f>
        <v/>
      </c>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row>
    <row r="148">
      <c r="A148" s="16"/>
      <c r="B148" s="16"/>
      <c r="C148" s="16" t="str">
        <f>IFERROR(__xludf.DUMMYFUNCTION("""COMPUTED_VALUE"""),"")</f>
        <v/>
      </c>
      <c r="D148" s="16" t="str">
        <f>IFERROR(__xludf.DUMMYFUNCTION("""COMPUTED_VALUE"""),"")</f>
        <v/>
      </c>
      <c r="E148" s="16" t="str">
        <f>IFERROR(__xludf.DUMMYFUNCTION("""COMPUTED_VALUE"""),"")</f>
        <v/>
      </c>
      <c r="F148" s="16" t="str">
        <f>IFERROR(__xludf.DUMMYFUNCTION("""COMPUTED_VALUE"""),"")</f>
        <v/>
      </c>
      <c r="G148" s="16" t="str">
        <f>IFERROR(__xludf.DUMMYFUNCTION("""COMPUTED_VALUE"""),"")</f>
        <v/>
      </c>
      <c r="H148" s="16" t="str">
        <f>IFERROR(__xludf.DUMMYFUNCTION("""COMPUTED_VALUE"""),"")</f>
        <v/>
      </c>
      <c r="I148" s="16" t="str">
        <f>IFERROR(__xludf.DUMMYFUNCTION("""COMPUTED_VALUE"""),"")</f>
        <v/>
      </c>
      <c r="J148" s="16" t="str">
        <f>IFERROR(__xludf.DUMMYFUNCTION("""COMPUTED_VALUE"""),"")</f>
        <v/>
      </c>
      <c r="K148" s="16" t="str">
        <f>IFERROR(__xludf.DUMMYFUNCTION("""COMPUTED_VALUE"""),"")</f>
        <v/>
      </c>
      <c r="L148" s="16" t="str">
        <f>IFERROR(__xludf.DUMMYFUNCTION("""COMPUTED_VALUE"""),"")</f>
        <v/>
      </c>
      <c r="M148" s="16" t="str">
        <f>IFERROR(__xludf.DUMMYFUNCTION("""COMPUTED_VALUE"""),"")</f>
        <v/>
      </c>
      <c r="N148" s="16" t="str">
        <f>IFERROR(__xludf.DUMMYFUNCTION("""COMPUTED_VALUE"""),"")</f>
        <v/>
      </c>
      <c r="O148" s="16" t="str">
        <f>IFERROR(__xludf.DUMMYFUNCTION("""COMPUTED_VALUE"""),"")</f>
        <v/>
      </c>
      <c r="P148" s="16" t="str">
        <f>IFERROR(__xludf.DUMMYFUNCTION("""COMPUTED_VALUE"""),"")</f>
        <v/>
      </c>
      <c r="Q148" s="16" t="str">
        <f>IFERROR(__xludf.DUMMYFUNCTION("""COMPUTED_VALUE"""),"")</f>
        <v/>
      </c>
      <c r="R148" s="16" t="str">
        <f>IFERROR(__xludf.DUMMYFUNCTION("""COMPUTED_VALUE"""),"")</f>
        <v/>
      </c>
      <c r="S148" s="16" t="str">
        <f>IFERROR(__xludf.DUMMYFUNCTION("""COMPUTED_VALUE"""),"")</f>
        <v/>
      </c>
      <c r="T148" s="16" t="str">
        <f>IFERROR(__xludf.DUMMYFUNCTION("""COMPUTED_VALUE"""),"")</f>
        <v/>
      </c>
      <c r="U148" s="16" t="str">
        <f>IFERROR(__xludf.DUMMYFUNCTION("""COMPUTED_VALUE"""),"")</f>
        <v/>
      </c>
      <c r="V148" s="16" t="str">
        <f>IFERROR(__xludf.DUMMYFUNCTION("""COMPUTED_VALUE"""),"")</f>
        <v/>
      </c>
      <c r="W148" s="16" t="str">
        <f>IFERROR(__xludf.DUMMYFUNCTION("""COMPUTED_VALUE"""),"")</f>
        <v/>
      </c>
      <c r="X148" s="16" t="str">
        <f>IFERROR(__xludf.DUMMYFUNCTION("""COMPUTED_VALUE"""),"")</f>
        <v/>
      </c>
      <c r="Y148" s="16" t="str">
        <f>IFERROR(__xludf.DUMMYFUNCTION("""COMPUTED_VALUE"""),"")</f>
        <v/>
      </c>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row>
    <row r="149">
      <c r="A149" s="16"/>
      <c r="B149" s="16"/>
      <c r="C149" s="16" t="str">
        <f>IFERROR(__xludf.DUMMYFUNCTION("""COMPUTED_VALUE"""),"")</f>
        <v/>
      </c>
      <c r="D149" s="16" t="str">
        <f>IFERROR(__xludf.DUMMYFUNCTION("""COMPUTED_VALUE"""),"")</f>
        <v/>
      </c>
      <c r="E149" s="16" t="str">
        <f>IFERROR(__xludf.DUMMYFUNCTION("""COMPUTED_VALUE"""),"")</f>
        <v/>
      </c>
      <c r="F149" s="16" t="str">
        <f>IFERROR(__xludf.DUMMYFUNCTION("""COMPUTED_VALUE"""),"")</f>
        <v/>
      </c>
      <c r="G149" s="16" t="str">
        <f>IFERROR(__xludf.DUMMYFUNCTION("""COMPUTED_VALUE"""),"")</f>
        <v/>
      </c>
      <c r="H149" s="16" t="str">
        <f>IFERROR(__xludf.DUMMYFUNCTION("""COMPUTED_VALUE"""),"")</f>
        <v/>
      </c>
      <c r="I149" s="16" t="str">
        <f>IFERROR(__xludf.DUMMYFUNCTION("""COMPUTED_VALUE"""),"")</f>
        <v/>
      </c>
      <c r="J149" s="16" t="str">
        <f>IFERROR(__xludf.DUMMYFUNCTION("""COMPUTED_VALUE"""),"")</f>
        <v/>
      </c>
      <c r="K149" s="16" t="str">
        <f>IFERROR(__xludf.DUMMYFUNCTION("""COMPUTED_VALUE"""),"")</f>
        <v/>
      </c>
      <c r="L149" s="16" t="str">
        <f>IFERROR(__xludf.DUMMYFUNCTION("""COMPUTED_VALUE"""),"")</f>
        <v/>
      </c>
      <c r="M149" s="16" t="str">
        <f>IFERROR(__xludf.DUMMYFUNCTION("""COMPUTED_VALUE"""),"")</f>
        <v/>
      </c>
      <c r="N149" s="16" t="str">
        <f>IFERROR(__xludf.DUMMYFUNCTION("""COMPUTED_VALUE"""),"")</f>
        <v/>
      </c>
      <c r="O149" s="16" t="str">
        <f>IFERROR(__xludf.DUMMYFUNCTION("""COMPUTED_VALUE"""),"")</f>
        <v/>
      </c>
      <c r="P149" s="16" t="str">
        <f>IFERROR(__xludf.DUMMYFUNCTION("""COMPUTED_VALUE"""),"")</f>
        <v/>
      </c>
      <c r="Q149" s="16" t="str">
        <f>IFERROR(__xludf.DUMMYFUNCTION("""COMPUTED_VALUE"""),"")</f>
        <v/>
      </c>
      <c r="R149" s="16" t="str">
        <f>IFERROR(__xludf.DUMMYFUNCTION("""COMPUTED_VALUE"""),"")</f>
        <v/>
      </c>
      <c r="S149" s="16" t="str">
        <f>IFERROR(__xludf.DUMMYFUNCTION("""COMPUTED_VALUE"""),"")</f>
        <v/>
      </c>
      <c r="T149" s="16" t="str">
        <f>IFERROR(__xludf.DUMMYFUNCTION("""COMPUTED_VALUE"""),"")</f>
        <v/>
      </c>
      <c r="U149" s="16" t="str">
        <f>IFERROR(__xludf.DUMMYFUNCTION("""COMPUTED_VALUE"""),"")</f>
        <v/>
      </c>
      <c r="V149" s="16" t="str">
        <f>IFERROR(__xludf.DUMMYFUNCTION("""COMPUTED_VALUE"""),"")</f>
        <v/>
      </c>
      <c r="W149" s="16" t="str">
        <f>IFERROR(__xludf.DUMMYFUNCTION("""COMPUTED_VALUE"""),"")</f>
        <v/>
      </c>
      <c r="X149" s="16" t="str">
        <f>IFERROR(__xludf.DUMMYFUNCTION("""COMPUTED_VALUE"""),"")</f>
        <v/>
      </c>
      <c r="Y149" s="16" t="str">
        <f>IFERROR(__xludf.DUMMYFUNCTION("""COMPUTED_VALUE"""),"")</f>
        <v/>
      </c>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row>
    <row r="150">
      <c r="A150" s="16"/>
      <c r="B150" s="16"/>
      <c r="C150" s="16" t="str">
        <f>IFERROR(__xludf.DUMMYFUNCTION("""COMPUTED_VALUE"""),"")</f>
        <v/>
      </c>
      <c r="D150" s="16" t="str">
        <f>IFERROR(__xludf.DUMMYFUNCTION("""COMPUTED_VALUE"""),"")</f>
        <v/>
      </c>
      <c r="E150" s="16" t="str">
        <f>IFERROR(__xludf.DUMMYFUNCTION("""COMPUTED_VALUE"""),"")</f>
        <v/>
      </c>
      <c r="F150" s="16" t="str">
        <f>IFERROR(__xludf.DUMMYFUNCTION("""COMPUTED_VALUE"""),"")</f>
        <v/>
      </c>
      <c r="G150" s="16" t="str">
        <f>IFERROR(__xludf.DUMMYFUNCTION("""COMPUTED_VALUE"""),"")</f>
        <v/>
      </c>
      <c r="H150" s="16" t="str">
        <f>IFERROR(__xludf.DUMMYFUNCTION("""COMPUTED_VALUE"""),"")</f>
        <v/>
      </c>
      <c r="I150" s="16" t="str">
        <f>IFERROR(__xludf.DUMMYFUNCTION("""COMPUTED_VALUE"""),"")</f>
        <v/>
      </c>
      <c r="J150" s="16" t="str">
        <f>IFERROR(__xludf.DUMMYFUNCTION("""COMPUTED_VALUE"""),"")</f>
        <v/>
      </c>
      <c r="K150" s="16" t="str">
        <f>IFERROR(__xludf.DUMMYFUNCTION("""COMPUTED_VALUE"""),"")</f>
        <v/>
      </c>
      <c r="L150" s="16" t="str">
        <f>IFERROR(__xludf.DUMMYFUNCTION("""COMPUTED_VALUE"""),"")</f>
        <v/>
      </c>
      <c r="M150" s="16" t="str">
        <f>IFERROR(__xludf.DUMMYFUNCTION("""COMPUTED_VALUE"""),"")</f>
        <v/>
      </c>
      <c r="N150" s="16" t="str">
        <f>IFERROR(__xludf.DUMMYFUNCTION("""COMPUTED_VALUE"""),"")</f>
        <v/>
      </c>
      <c r="O150" s="16" t="str">
        <f>IFERROR(__xludf.DUMMYFUNCTION("""COMPUTED_VALUE"""),"")</f>
        <v/>
      </c>
      <c r="P150" s="16" t="str">
        <f>IFERROR(__xludf.DUMMYFUNCTION("""COMPUTED_VALUE"""),"")</f>
        <v/>
      </c>
      <c r="Q150" s="16" t="str">
        <f>IFERROR(__xludf.DUMMYFUNCTION("""COMPUTED_VALUE"""),"")</f>
        <v/>
      </c>
      <c r="R150" s="16" t="str">
        <f>IFERROR(__xludf.DUMMYFUNCTION("""COMPUTED_VALUE"""),"")</f>
        <v/>
      </c>
      <c r="S150" s="16" t="str">
        <f>IFERROR(__xludf.DUMMYFUNCTION("""COMPUTED_VALUE"""),"")</f>
        <v/>
      </c>
      <c r="T150" s="16" t="str">
        <f>IFERROR(__xludf.DUMMYFUNCTION("""COMPUTED_VALUE"""),"")</f>
        <v/>
      </c>
      <c r="U150" s="16" t="str">
        <f>IFERROR(__xludf.DUMMYFUNCTION("""COMPUTED_VALUE"""),"")</f>
        <v/>
      </c>
      <c r="V150" s="16" t="str">
        <f>IFERROR(__xludf.DUMMYFUNCTION("""COMPUTED_VALUE"""),"")</f>
        <v/>
      </c>
      <c r="W150" s="16" t="str">
        <f>IFERROR(__xludf.DUMMYFUNCTION("""COMPUTED_VALUE"""),"")</f>
        <v/>
      </c>
      <c r="X150" s="16" t="str">
        <f>IFERROR(__xludf.DUMMYFUNCTION("""COMPUTED_VALUE"""),"")</f>
        <v/>
      </c>
      <c r="Y150" s="16" t="str">
        <f>IFERROR(__xludf.DUMMYFUNCTION("""COMPUTED_VALUE"""),"")</f>
        <v/>
      </c>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row>
    <row r="151">
      <c r="A151" s="16"/>
      <c r="B151" s="16"/>
      <c r="C151" s="16" t="str">
        <f>IFERROR(__xludf.DUMMYFUNCTION("""COMPUTED_VALUE"""),"")</f>
        <v/>
      </c>
      <c r="D151" s="16" t="str">
        <f>IFERROR(__xludf.DUMMYFUNCTION("""COMPUTED_VALUE"""),"")</f>
        <v/>
      </c>
      <c r="E151" s="16" t="str">
        <f>IFERROR(__xludf.DUMMYFUNCTION("""COMPUTED_VALUE"""),"")</f>
        <v/>
      </c>
      <c r="F151" s="16" t="str">
        <f>IFERROR(__xludf.DUMMYFUNCTION("""COMPUTED_VALUE"""),"")</f>
        <v/>
      </c>
      <c r="G151" s="16" t="str">
        <f>IFERROR(__xludf.DUMMYFUNCTION("""COMPUTED_VALUE"""),"")</f>
        <v/>
      </c>
      <c r="H151" s="16" t="str">
        <f>IFERROR(__xludf.DUMMYFUNCTION("""COMPUTED_VALUE"""),"")</f>
        <v/>
      </c>
      <c r="I151" s="16" t="str">
        <f>IFERROR(__xludf.DUMMYFUNCTION("""COMPUTED_VALUE"""),"")</f>
        <v/>
      </c>
      <c r="J151" s="16" t="str">
        <f>IFERROR(__xludf.DUMMYFUNCTION("""COMPUTED_VALUE"""),"")</f>
        <v/>
      </c>
      <c r="K151" s="16" t="str">
        <f>IFERROR(__xludf.DUMMYFUNCTION("""COMPUTED_VALUE"""),"")</f>
        <v/>
      </c>
      <c r="L151" s="16" t="str">
        <f>IFERROR(__xludf.DUMMYFUNCTION("""COMPUTED_VALUE"""),"")</f>
        <v/>
      </c>
      <c r="M151" s="16" t="str">
        <f>IFERROR(__xludf.DUMMYFUNCTION("""COMPUTED_VALUE"""),"")</f>
        <v/>
      </c>
      <c r="N151" s="16" t="str">
        <f>IFERROR(__xludf.DUMMYFUNCTION("""COMPUTED_VALUE"""),"")</f>
        <v/>
      </c>
      <c r="O151" s="16" t="str">
        <f>IFERROR(__xludf.DUMMYFUNCTION("""COMPUTED_VALUE"""),"")</f>
        <v/>
      </c>
      <c r="P151" s="16" t="str">
        <f>IFERROR(__xludf.DUMMYFUNCTION("""COMPUTED_VALUE"""),"")</f>
        <v/>
      </c>
      <c r="Q151" s="16" t="str">
        <f>IFERROR(__xludf.DUMMYFUNCTION("""COMPUTED_VALUE"""),"")</f>
        <v/>
      </c>
      <c r="R151" s="16" t="str">
        <f>IFERROR(__xludf.DUMMYFUNCTION("""COMPUTED_VALUE"""),"")</f>
        <v/>
      </c>
      <c r="S151" s="16" t="str">
        <f>IFERROR(__xludf.DUMMYFUNCTION("""COMPUTED_VALUE"""),"")</f>
        <v/>
      </c>
      <c r="T151" s="16" t="str">
        <f>IFERROR(__xludf.DUMMYFUNCTION("""COMPUTED_VALUE"""),"")</f>
        <v/>
      </c>
      <c r="U151" s="16" t="str">
        <f>IFERROR(__xludf.DUMMYFUNCTION("""COMPUTED_VALUE"""),"")</f>
        <v/>
      </c>
      <c r="V151" s="16" t="str">
        <f>IFERROR(__xludf.DUMMYFUNCTION("""COMPUTED_VALUE"""),"")</f>
        <v/>
      </c>
      <c r="W151" s="16" t="str">
        <f>IFERROR(__xludf.DUMMYFUNCTION("""COMPUTED_VALUE"""),"")</f>
        <v/>
      </c>
      <c r="X151" s="16" t="str">
        <f>IFERROR(__xludf.DUMMYFUNCTION("""COMPUTED_VALUE"""),"")</f>
        <v/>
      </c>
      <c r="Y151" s="16" t="str">
        <f>IFERROR(__xludf.DUMMYFUNCTION("""COMPUTED_VALUE"""),"")</f>
        <v/>
      </c>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row>
    <row r="152">
      <c r="A152" s="16"/>
      <c r="B152" s="16"/>
      <c r="C152" s="16" t="str">
        <f>IFERROR(__xludf.DUMMYFUNCTION("""COMPUTED_VALUE"""),"")</f>
        <v/>
      </c>
      <c r="D152" s="16" t="str">
        <f>IFERROR(__xludf.DUMMYFUNCTION("""COMPUTED_VALUE"""),"")</f>
        <v/>
      </c>
      <c r="E152" s="16" t="str">
        <f>IFERROR(__xludf.DUMMYFUNCTION("""COMPUTED_VALUE"""),"")</f>
        <v/>
      </c>
      <c r="F152" s="16" t="str">
        <f>IFERROR(__xludf.DUMMYFUNCTION("""COMPUTED_VALUE"""),"")</f>
        <v/>
      </c>
      <c r="G152" s="16" t="str">
        <f>IFERROR(__xludf.DUMMYFUNCTION("""COMPUTED_VALUE"""),"")</f>
        <v/>
      </c>
      <c r="H152" s="16" t="str">
        <f>IFERROR(__xludf.DUMMYFUNCTION("""COMPUTED_VALUE"""),"")</f>
        <v/>
      </c>
      <c r="I152" s="16" t="str">
        <f>IFERROR(__xludf.DUMMYFUNCTION("""COMPUTED_VALUE"""),"")</f>
        <v/>
      </c>
      <c r="J152" s="16" t="str">
        <f>IFERROR(__xludf.DUMMYFUNCTION("""COMPUTED_VALUE"""),"")</f>
        <v/>
      </c>
      <c r="K152" s="16" t="str">
        <f>IFERROR(__xludf.DUMMYFUNCTION("""COMPUTED_VALUE"""),"")</f>
        <v/>
      </c>
      <c r="L152" s="16" t="str">
        <f>IFERROR(__xludf.DUMMYFUNCTION("""COMPUTED_VALUE"""),"")</f>
        <v/>
      </c>
      <c r="M152" s="16" t="str">
        <f>IFERROR(__xludf.DUMMYFUNCTION("""COMPUTED_VALUE"""),"")</f>
        <v/>
      </c>
      <c r="N152" s="16" t="str">
        <f>IFERROR(__xludf.DUMMYFUNCTION("""COMPUTED_VALUE"""),"")</f>
        <v/>
      </c>
      <c r="O152" s="16" t="str">
        <f>IFERROR(__xludf.DUMMYFUNCTION("""COMPUTED_VALUE"""),"")</f>
        <v/>
      </c>
      <c r="P152" s="16" t="str">
        <f>IFERROR(__xludf.DUMMYFUNCTION("""COMPUTED_VALUE"""),"")</f>
        <v/>
      </c>
      <c r="Q152" s="16" t="str">
        <f>IFERROR(__xludf.DUMMYFUNCTION("""COMPUTED_VALUE"""),"")</f>
        <v/>
      </c>
      <c r="R152" s="16" t="str">
        <f>IFERROR(__xludf.DUMMYFUNCTION("""COMPUTED_VALUE"""),"")</f>
        <v/>
      </c>
      <c r="S152" s="16" t="str">
        <f>IFERROR(__xludf.DUMMYFUNCTION("""COMPUTED_VALUE"""),"")</f>
        <v/>
      </c>
      <c r="T152" s="16" t="str">
        <f>IFERROR(__xludf.DUMMYFUNCTION("""COMPUTED_VALUE"""),"")</f>
        <v/>
      </c>
      <c r="U152" s="16" t="str">
        <f>IFERROR(__xludf.DUMMYFUNCTION("""COMPUTED_VALUE"""),"")</f>
        <v/>
      </c>
      <c r="V152" s="16" t="str">
        <f>IFERROR(__xludf.DUMMYFUNCTION("""COMPUTED_VALUE"""),"")</f>
        <v/>
      </c>
      <c r="W152" s="16" t="str">
        <f>IFERROR(__xludf.DUMMYFUNCTION("""COMPUTED_VALUE"""),"")</f>
        <v/>
      </c>
      <c r="X152" s="16" t="str">
        <f>IFERROR(__xludf.DUMMYFUNCTION("""COMPUTED_VALUE"""),"")</f>
        <v/>
      </c>
      <c r="Y152" s="16" t="str">
        <f>IFERROR(__xludf.DUMMYFUNCTION("""COMPUTED_VALUE"""),"")</f>
        <v/>
      </c>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row>
    <row r="153">
      <c r="A153" s="16"/>
      <c r="B153" s="16"/>
      <c r="C153" s="16" t="str">
        <f>IFERROR(__xludf.DUMMYFUNCTION("""COMPUTED_VALUE"""),"")</f>
        <v/>
      </c>
      <c r="D153" s="16" t="str">
        <f>IFERROR(__xludf.DUMMYFUNCTION("""COMPUTED_VALUE"""),"")</f>
        <v/>
      </c>
      <c r="E153" s="16" t="str">
        <f>IFERROR(__xludf.DUMMYFUNCTION("""COMPUTED_VALUE"""),"")</f>
        <v/>
      </c>
      <c r="F153" s="16" t="str">
        <f>IFERROR(__xludf.DUMMYFUNCTION("""COMPUTED_VALUE"""),"")</f>
        <v/>
      </c>
      <c r="G153" s="16" t="str">
        <f>IFERROR(__xludf.DUMMYFUNCTION("""COMPUTED_VALUE"""),"")</f>
        <v/>
      </c>
      <c r="H153" s="16" t="str">
        <f>IFERROR(__xludf.DUMMYFUNCTION("""COMPUTED_VALUE"""),"")</f>
        <v/>
      </c>
      <c r="I153" s="16" t="str">
        <f>IFERROR(__xludf.DUMMYFUNCTION("""COMPUTED_VALUE"""),"")</f>
        <v/>
      </c>
      <c r="J153" s="16" t="str">
        <f>IFERROR(__xludf.DUMMYFUNCTION("""COMPUTED_VALUE"""),"")</f>
        <v/>
      </c>
      <c r="K153" s="16" t="str">
        <f>IFERROR(__xludf.DUMMYFUNCTION("""COMPUTED_VALUE"""),"")</f>
        <v/>
      </c>
      <c r="L153" s="16" t="str">
        <f>IFERROR(__xludf.DUMMYFUNCTION("""COMPUTED_VALUE"""),"")</f>
        <v/>
      </c>
      <c r="M153" s="16" t="str">
        <f>IFERROR(__xludf.DUMMYFUNCTION("""COMPUTED_VALUE"""),"")</f>
        <v/>
      </c>
      <c r="N153" s="16" t="str">
        <f>IFERROR(__xludf.DUMMYFUNCTION("""COMPUTED_VALUE"""),"")</f>
        <v/>
      </c>
      <c r="O153" s="16" t="str">
        <f>IFERROR(__xludf.DUMMYFUNCTION("""COMPUTED_VALUE"""),"")</f>
        <v/>
      </c>
      <c r="P153" s="16" t="str">
        <f>IFERROR(__xludf.DUMMYFUNCTION("""COMPUTED_VALUE"""),"")</f>
        <v/>
      </c>
      <c r="Q153" s="16" t="str">
        <f>IFERROR(__xludf.DUMMYFUNCTION("""COMPUTED_VALUE"""),"")</f>
        <v/>
      </c>
      <c r="R153" s="16" t="str">
        <f>IFERROR(__xludf.DUMMYFUNCTION("""COMPUTED_VALUE"""),"")</f>
        <v/>
      </c>
      <c r="S153" s="16" t="str">
        <f>IFERROR(__xludf.DUMMYFUNCTION("""COMPUTED_VALUE"""),"")</f>
        <v/>
      </c>
      <c r="T153" s="16" t="str">
        <f>IFERROR(__xludf.DUMMYFUNCTION("""COMPUTED_VALUE"""),"")</f>
        <v/>
      </c>
      <c r="U153" s="16" t="str">
        <f>IFERROR(__xludf.DUMMYFUNCTION("""COMPUTED_VALUE"""),"")</f>
        <v/>
      </c>
      <c r="V153" s="16" t="str">
        <f>IFERROR(__xludf.DUMMYFUNCTION("""COMPUTED_VALUE"""),"")</f>
        <v/>
      </c>
      <c r="W153" s="16" t="str">
        <f>IFERROR(__xludf.DUMMYFUNCTION("""COMPUTED_VALUE"""),"")</f>
        <v/>
      </c>
      <c r="X153" s="16" t="str">
        <f>IFERROR(__xludf.DUMMYFUNCTION("""COMPUTED_VALUE"""),"")</f>
        <v/>
      </c>
      <c r="Y153" s="16" t="str">
        <f>IFERROR(__xludf.DUMMYFUNCTION("""COMPUTED_VALUE"""),"")</f>
        <v/>
      </c>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row>
    <row r="154">
      <c r="A154" s="16"/>
      <c r="B154" s="16"/>
      <c r="C154" s="16" t="str">
        <f>IFERROR(__xludf.DUMMYFUNCTION("""COMPUTED_VALUE"""),"")</f>
        <v/>
      </c>
      <c r="D154" s="16" t="str">
        <f>IFERROR(__xludf.DUMMYFUNCTION("""COMPUTED_VALUE"""),"")</f>
        <v/>
      </c>
      <c r="E154" s="16" t="str">
        <f>IFERROR(__xludf.DUMMYFUNCTION("""COMPUTED_VALUE"""),"")</f>
        <v/>
      </c>
      <c r="F154" s="16" t="str">
        <f>IFERROR(__xludf.DUMMYFUNCTION("""COMPUTED_VALUE"""),"")</f>
        <v/>
      </c>
      <c r="G154" s="16" t="str">
        <f>IFERROR(__xludf.DUMMYFUNCTION("""COMPUTED_VALUE"""),"")</f>
        <v/>
      </c>
      <c r="H154" s="16" t="str">
        <f>IFERROR(__xludf.DUMMYFUNCTION("""COMPUTED_VALUE"""),"")</f>
        <v/>
      </c>
      <c r="I154" s="16" t="str">
        <f>IFERROR(__xludf.DUMMYFUNCTION("""COMPUTED_VALUE"""),"")</f>
        <v/>
      </c>
      <c r="J154" s="16" t="str">
        <f>IFERROR(__xludf.DUMMYFUNCTION("""COMPUTED_VALUE"""),"")</f>
        <v/>
      </c>
      <c r="K154" s="16" t="str">
        <f>IFERROR(__xludf.DUMMYFUNCTION("""COMPUTED_VALUE"""),"")</f>
        <v/>
      </c>
      <c r="L154" s="16" t="str">
        <f>IFERROR(__xludf.DUMMYFUNCTION("""COMPUTED_VALUE"""),"")</f>
        <v/>
      </c>
      <c r="M154" s="16" t="str">
        <f>IFERROR(__xludf.DUMMYFUNCTION("""COMPUTED_VALUE"""),"")</f>
        <v/>
      </c>
      <c r="N154" s="16" t="str">
        <f>IFERROR(__xludf.DUMMYFUNCTION("""COMPUTED_VALUE"""),"")</f>
        <v/>
      </c>
      <c r="O154" s="16" t="str">
        <f>IFERROR(__xludf.DUMMYFUNCTION("""COMPUTED_VALUE"""),"")</f>
        <v/>
      </c>
      <c r="P154" s="16" t="str">
        <f>IFERROR(__xludf.DUMMYFUNCTION("""COMPUTED_VALUE"""),"")</f>
        <v/>
      </c>
      <c r="Q154" s="16" t="str">
        <f>IFERROR(__xludf.DUMMYFUNCTION("""COMPUTED_VALUE"""),"")</f>
        <v/>
      </c>
      <c r="R154" s="16" t="str">
        <f>IFERROR(__xludf.DUMMYFUNCTION("""COMPUTED_VALUE"""),"")</f>
        <v/>
      </c>
      <c r="S154" s="16" t="str">
        <f>IFERROR(__xludf.DUMMYFUNCTION("""COMPUTED_VALUE"""),"")</f>
        <v/>
      </c>
      <c r="T154" s="16" t="str">
        <f>IFERROR(__xludf.DUMMYFUNCTION("""COMPUTED_VALUE"""),"")</f>
        <v/>
      </c>
      <c r="U154" s="16" t="str">
        <f>IFERROR(__xludf.DUMMYFUNCTION("""COMPUTED_VALUE"""),"")</f>
        <v/>
      </c>
      <c r="V154" s="16" t="str">
        <f>IFERROR(__xludf.DUMMYFUNCTION("""COMPUTED_VALUE"""),"")</f>
        <v/>
      </c>
      <c r="W154" s="16" t="str">
        <f>IFERROR(__xludf.DUMMYFUNCTION("""COMPUTED_VALUE"""),"")</f>
        <v/>
      </c>
      <c r="X154" s="16" t="str">
        <f>IFERROR(__xludf.DUMMYFUNCTION("""COMPUTED_VALUE"""),"")</f>
        <v/>
      </c>
      <c r="Y154" s="16" t="str">
        <f>IFERROR(__xludf.DUMMYFUNCTION("""COMPUTED_VALUE"""),"")</f>
        <v/>
      </c>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row>
    <row r="155">
      <c r="A155" s="16"/>
      <c r="B155" s="16"/>
      <c r="C155" s="16" t="str">
        <f>IFERROR(__xludf.DUMMYFUNCTION("""COMPUTED_VALUE"""),"")</f>
        <v/>
      </c>
      <c r="D155" s="16" t="str">
        <f>IFERROR(__xludf.DUMMYFUNCTION("""COMPUTED_VALUE"""),"")</f>
        <v/>
      </c>
      <c r="E155" s="16" t="str">
        <f>IFERROR(__xludf.DUMMYFUNCTION("""COMPUTED_VALUE"""),"")</f>
        <v/>
      </c>
      <c r="F155" s="16" t="str">
        <f>IFERROR(__xludf.DUMMYFUNCTION("""COMPUTED_VALUE"""),"")</f>
        <v/>
      </c>
      <c r="G155" s="16" t="str">
        <f>IFERROR(__xludf.DUMMYFUNCTION("""COMPUTED_VALUE"""),"")</f>
        <v/>
      </c>
      <c r="H155" s="16" t="str">
        <f>IFERROR(__xludf.DUMMYFUNCTION("""COMPUTED_VALUE"""),"")</f>
        <v/>
      </c>
      <c r="I155" s="16" t="str">
        <f>IFERROR(__xludf.DUMMYFUNCTION("""COMPUTED_VALUE"""),"")</f>
        <v/>
      </c>
      <c r="J155" s="16" t="str">
        <f>IFERROR(__xludf.DUMMYFUNCTION("""COMPUTED_VALUE"""),"")</f>
        <v/>
      </c>
      <c r="K155" s="16" t="str">
        <f>IFERROR(__xludf.DUMMYFUNCTION("""COMPUTED_VALUE"""),"")</f>
        <v/>
      </c>
      <c r="L155" s="16" t="str">
        <f>IFERROR(__xludf.DUMMYFUNCTION("""COMPUTED_VALUE"""),"")</f>
        <v/>
      </c>
      <c r="M155" s="16" t="str">
        <f>IFERROR(__xludf.DUMMYFUNCTION("""COMPUTED_VALUE"""),"")</f>
        <v/>
      </c>
      <c r="N155" s="16" t="str">
        <f>IFERROR(__xludf.DUMMYFUNCTION("""COMPUTED_VALUE"""),"")</f>
        <v/>
      </c>
      <c r="O155" s="16" t="str">
        <f>IFERROR(__xludf.DUMMYFUNCTION("""COMPUTED_VALUE"""),"")</f>
        <v/>
      </c>
      <c r="P155" s="16" t="str">
        <f>IFERROR(__xludf.DUMMYFUNCTION("""COMPUTED_VALUE"""),"")</f>
        <v/>
      </c>
      <c r="Q155" s="16" t="str">
        <f>IFERROR(__xludf.DUMMYFUNCTION("""COMPUTED_VALUE"""),"")</f>
        <v/>
      </c>
      <c r="R155" s="16" t="str">
        <f>IFERROR(__xludf.DUMMYFUNCTION("""COMPUTED_VALUE"""),"")</f>
        <v/>
      </c>
      <c r="S155" s="16" t="str">
        <f>IFERROR(__xludf.DUMMYFUNCTION("""COMPUTED_VALUE"""),"")</f>
        <v/>
      </c>
      <c r="T155" s="16" t="str">
        <f>IFERROR(__xludf.DUMMYFUNCTION("""COMPUTED_VALUE"""),"")</f>
        <v/>
      </c>
      <c r="U155" s="16" t="str">
        <f>IFERROR(__xludf.DUMMYFUNCTION("""COMPUTED_VALUE"""),"")</f>
        <v/>
      </c>
      <c r="V155" s="16" t="str">
        <f>IFERROR(__xludf.DUMMYFUNCTION("""COMPUTED_VALUE"""),"")</f>
        <v/>
      </c>
      <c r="W155" s="16" t="str">
        <f>IFERROR(__xludf.DUMMYFUNCTION("""COMPUTED_VALUE"""),"")</f>
        <v/>
      </c>
      <c r="X155" s="16" t="str">
        <f>IFERROR(__xludf.DUMMYFUNCTION("""COMPUTED_VALUE"""),"")</f>
        <v/>
      </c>
      <c r="Y155" s="16" t="str">
        <f>IFERROR(__xludf.DUMMYFUNCTION("""COMPUTED_VALUE"""),"")</f>
        <v/>
      </c>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row>
    <row r="156">
      <c r="A156" s="16"/>
      <c r="B156" s="16"/>
      <c r="C156" s="16" t="str">
        <f>IFERROR(__xludf.DUMMYFUNCTION("""COMPUTED_VALUE"""),"")</f>
        <v/>
      </c>
      <c r="D156" s="16" t="str">
        <f>IFERROR(__xludf.DUMMYFUNCTION("""COMPUTED_VALUE"""),"")</f>
        <v/>
      </c>
      <c r="E156" s="16" t="str">
        <f>IFERROR(__xludf.DUMMYFUNCTION("""COMPUTED_VALUE"""),"")</f>
        <v/>
      </c>
      <c r="F156" s="16" t="str">
        <f>IFERROR(__xludf.DUMMYFUNCTION("""COMPUTED_VALUE"""),"")</f>
        <v/>
      </c>
      <c r="G156" s="16" t="str">
        <f>IFERROR(__xludf.DUMMYFUNCTION("""COMPUTED_VALUE"""),"")</f>
        <v/>
      </c>
      <c r="H156" s="16" t="str">
        <f>IFERROR(__xludf.DUMMYFUNCTION("""COMPUTED_VALUE"""),"")</f>
        <v/>
      </c>
      <c r="I156" s="16" t="str">
        <f>IFERROR(__xludf.DUMMYFUNCTION("""COMPUTED_VALUE"""),"")</f>
        <v/>
      </c>
      <c r="J156" s="16" t="str">
        <f>IFERROR(__xludf.DUMMYFUNCTION("""COMPUTED_VALUE"""),"")</f>
        <v/>
      </c>
      <c r="K156" s="16" t="str">
        <f>IFERROR(__xludf.DUMMYFUNCTION("""COMPUTED_VALUE"""),"")</f>
        <v/>
      </c>
      <c r="L156" s="16" t="str">
        <f>IFERROR(__xludf.DUMMYFUNCTION("""COMPUTED_VALUE"""),"")</f>
        <v/>
      </c>
      <c r="M156" s="16" t="str">
        <f>IFERROR(__xludf.DUMMYFUNCTION("""COMPUTED_VALUE"""),"")</f>
        <v/>
      </c>
      <c r="N156" s="16" t="str">
        <f>IFERROR(__xludf.DUMMYFUNCTION("""COMPUTED_VALUE"""),"")</f>
        <v/>
      </c>
      <c r="O156" s="16" t="str">
        <f>IFERROR(__xludf.DUMMYFUNCTION("""COMPUTED_VALUE"""),"")</f>
        <v/>
      </c>
      <c r="P156" s="16" t="str">
        <f>IFERROR(__xludf.DUMMYFUNCTION("""COMPUTED_VALUE"""),"")</f>
        <v/>
      </c>
      <c r="Q156" s="16" t="str">
        <f>IFERROR(__xludf.DUMMYFUNCTION("""COMPUTED_VALUE"""),"")</f>
        <v/>
      </c>
      <c r="R156" s="16" t="str">
        <f>IFERROR(__xludf.DUMMYFUNCTION("""COMPUTED_VALUE"""),"")</f>
        <v/>
      </c>
      <c r="S156" s="16" t="str">
        <f>IFERROR(__xludf.DUMMYFUNCTION("""COMPUTED_VALUE"""),"")</f>
        <v/>
      </c>
      <c r="T156" s="16" t="str">
        <f>IFERROR(__xludf.DUMMYFUNCTION("""COMPUTED_VALUE"""),"")</f>
        <v/>
      </c>
      <c r="U156" s="16" t="str">
        <f>IFERROR(__xludf.DUMMYFUNCTION("""COMPUTED_VALUE"""),"")</f>
        <v/>
      </c>
      <c r="V156" s="16" t="str">
        <f>IFERROR(__xludf.DUMMYFUNCTION("""COMPUTED_VALUE"""),"")</f>
        <v/>
      </c>
      <c r="W156" s="16" t="str">
        <f>IFERROR(__xludf.DUMMYFUNCTION("""COMPUTED_VALUE"""),"")</f>
        <v/>
      </c>
      <c r="X156" s="16" t="str">
        <f>IFERROR(__xludf.DUMMYFUNCTION("""COMPUTED_VALUE"""),"")</f>
        <v/>
      </c>
      <c r="Y156" s="16" t="str">
        <f>IFERROR(__xludf.DUMMYFUNCTION("""COMPUTED_VALUE"""),"")</f>
        <v/>
      </c>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row>
    <row r="157">
      <c r="A157" s="16"/>
      <c r="B157" s="16"/>
      <c r="C157" s="16" t="str">
        <f>IFERROR(__xludf.DUMMYFUNCTION("""COMPUTED_VALUE"""),"")</f>
        <v/>
      </c>
      <c r="D157" s="16" t="str">
        <f>IFERROR(__xludf.DUMMYFUNCTION("""COMPUTED_VALUE"""),"")</f>
        <v/>
      </c>
      <c r="E157" s="16" t="str">
        <f>IFERROR(__xludf.DUMMYFUNCTION("""COMPUTED_VALUE"""),"")</f>
        <v/>
      </c>
      <c r="F157" s="16" t="str">
        <f>IFERROR(__xludf.DUMMYFUNCTION("""COMPUTED_VALUE"""),"")</f>
        <v/>
      </c>
      <c r="G157" s="16" t="str">
        <f>IFERROR(__xludf.DUMMYFUNCTION("""COMPUTED_VALUE"""),"")</f>
        <v/>
      </c>
      <c r="H157" s="16" t="str">
        <f>IFERROR(__xludf.DUMMYFUNCTION("""COMPUTED_VALUE"""),"")</f>
        <v/>
      </c>
      <c r="I157" s="16" t="str">
        <f>IFERROR(__xludf.DUMMYFUNCTION("""COMPUTED_VALUE"""),"")</f>
        <v/>
      </c>
      <c r="J157" s="16" t="str">
        <f>IFERROR(__xludf.DUMMYFUNCTION("""COMPUTED_VALUE"""),"")</f>
        <v/>
      </c>
      <c r="K157" s="16" t="str">
        <f>IFERROR(__xludf.DUMMYFUNCTION("""COMPUTED_VALUE"""),"")</f>
        <v/>
      </c>
      <c r="L157" s="16" t="str">
        <f>IFERROR(__xludf.DUMMYFUNCTION("""COMPUTED_VALUE"""),"")</f>
        <v/>
      </c>
      <c r="M157" s="16" t="str">
        <f>IFERROR(__xludf.DUMMYFUNCTION("""COMPUTED_VALUE"""),"")</f>
        <v/>
      </c>
      <c r="N157" s="16" t="str">
        <f>IFERROR(__xludf.DUMMYFUNCTION("""COMPUTED_VALUE"""),"")</f>
        <v/>
      </c>
      <c r="O157" s="16" t="str">
        <f>IFERROR(__xludf.DUMMYFUNCTION("""COMPUTED_VALUE"""),"")</f>
        <v/>
      </c>
      <c r="P157" s="16" t="str">
        <f>IFERROR(__xludf.DUMMYFUNCTION("""COMPUTED_VALUE"""),"")</f>
        <v/>
      </c>
      <c r="Q157" s="16" t="str">
        <f>IFERROR(__xludf.DUMMYFUNCTION("""COMPUTED_VALUE"""),"")</f>
        <v/>
      </c>
      <c r="R157" s="16" t="str">
        <f>IFERROR(__xludf.DUMMYFUNCTION("""COMPUTED_VALUE"""),"")</f>
        <v/>
      </c>
      <c r="S157" s="16" t="str">
        <f>IFERROR(__xludf.DUMMYFUNCTION("""COMPUTED_VALUE"""),"")</f>
        <v/>
      </c>
      <c r="T157" s="16" t="str">
        <f>IFERROR(__xludf.DUMMYFUNCTION("""COMPUTED_VALUE"""),"")</f>
        <v/>
      </c>
      <c r="U157" s="16" t="str">
        <f>IFERROR(__xludf.DUMMYFUNCTION("""COMPUTED_VALUE"""),"")</f>
        <v/>
      </c>
      <c r="V157" s="16" t="str">
        <f>IFERROR(__xludf.DUMMYFUNCTION("""COMPUTED_VALUE"""),"")</f>
        <v/>
      </c>
      <c r="W157" s="16" t="str">
        <f>IFERROR(__xludf.DUMMYFUNCTION("""COMPUTED_VALUE"""),"")</f>
        <v/>
      </c>
      <c r="X157" s="16" t="str">
        <f>IFERROR(__xludf.DUMMYFUNCTION("""COMPUTED_VALUE"""),"")</f>
        <v/>
      </c>
      <c r="Y157" s="16" t="str">
        <f>IFERROR(__xludf.DUMMYFUNCTION("""COMPUTED_VALUE"""),"")</f>
        <v/>
      </c>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row>
    <row r="158">
      <c r="A158" s="16"/>
      <c r="B158" s="16"/>
      <c r="C158" s="16" t="str">
        <f>IFERROR(__xludf.DUMMYFUNCTION("""COMPUTED_VALUE"""),"")</f>
        <v/>
      </c>
      <c r="D158" s="16" t="str">
        <f>IFERROR(__xludf.DUMMYFUNCTION("""COMPUTED_VALUE"""),"")</f>
        <v/>
      </c>
      <c r="E158" s="16" t="str">
        <f>IFERROR(__xludf.DUMMYFUNCTION("""COMPUTED_VALUE"""),"")</f>
        <v/>
      </c>
      <c r="F158" s="16" t="str">
        <f>IFERROR(__xludf.DUMMYFUNCTION("""COMPUTED_VALUE"""),"")</f>
        <v/>
      </c>
      <c r="G158" s="16" t="str">
        <f>IFERROR(__xludf.DUMMYFUNCTION("""COMPUTED_VALUE"""),"")</f>
        <v/>
      </c>
      <c r="H158" s="16" t="str">
        <f>IFERROR(__xludf.DUMMYFUNCTION("""COMPUTED_VALUE"""),"")</f>
        <v/>
      </c>
      <c r="I158" s="16" t="str">
        <f>IFERROR(__xludf.DUMMYFUNCTION("""COMPUTED_VALUE"""),"")</f>
        <v/>
      </c>
      <c r="J158" s="16" t="str">
        <f>IFERROR(__xludf.DUMMYFUNCTION("""COMPUTED_VALUE"""),"")</f>
        <v/>
      </c>
      <c r="K158" s="16" t="str">
        <f>IFERROR(__xludf.DUMMYFUNCTION("""COMPUTED_VALUE"""),"")</f>
        <v/>
      </c>
      <c r="L158" s="16" t="str">
        <f>IFERROR(__xludf.DUMMYFUNCTION("""COMPUTED_VALUE"""),"")</f>
        <v/>
      </c>
      <c r="M158" s="16" t="str">
        <f>IFERROR(__xludf.DUMMYFUNCTION("""COMPUTED_VALUE"""),"")</f>
        <v/>
      </c>
      <c r="N158" s="16" t="str">
        <f>IFERROR(__xludf.DUMMYFUNCTION("""COMPUTED_VALUE"""),"")</f>
        <v/>
      </c>
      <c r="O158" s="16" t="str">
        <f>IFERROR(__xludf.DUMMYFUNCTION("""COMPUTED_VALUE"""),"")</f>
        <v/>
      </c>
      <c r="P158" s="16" t="str">
        <f>IFERROR(__xludf.DUMMYFUNCTION("""COMPUTED_VALUE"""),"")</f>
        <v/>
      </c>
      <c r="Q158" s="16" t="str">
        <f>IFERROR(__xludf.DUMMYFUNCTION("""COMPUTED_VALUE"""),"")</f>
        <v/>
      </c>
      <c r="R158" s="16" t="str">
        <f>IFERROR(__xludf.DUMMYFUNCTION("""COMPUTED_VALUE"""),"")</f>
        <v/>
      </c>
      <c r="S158" s="16" t="str">
        <f>IFERROR(__xludf.DUMMYFUNCTION("""COMPUTED_VALUE"""),"")</f>
        <v/>
      </c>
      <c r="T158" s="16" t="str">
        <f>IFERROR(__xludf.DUMMYFUNCTION("""COMPUTED_VALUE"""),"")</f>
        <v/>
      </c>
      <c r="U158" s="16" t="str">
        <f>IFERROR(__xludf.DUMMYFUNCTION("""COMPUTED_VALUE"""),"")</f>
        <v/>
      </c>
      <c r="V158" s="16" t="str">
        <f>IFERROR(__xludf.DUMMYFUNCTION("""COMPUTED_VALUE"""),"")</f>
        <v/>
      </c>
      <c r="W158" s="16" t="str">
        <f>IFERROR(__xludf.DUMMYFUNCTION("""COMPUTED_VALUE"""),"")</f>
        <v/>
      </c>
      <c r="X158" s="16" t="str">
        <f>IFERROR(__xludf.DUMMYFUNCTION("""COMPUTED_VALUE"""),"")</f>
        <v/>
      </c>
      <c r="Y158" s="16" t="str">
        <f>IFERROR(__xludf.DUMMYFUNCTION("""COMPUTED_VALUE"""),"")</f>
        <v/>
      </c>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row>
    <row r="159">
      <c r="A159" s="16"/>
      <c r="B159" s="16"/>
      <c r="C159" s="16" t="str">
        <f>IFERROR(__xludf.DUMMYFUNCTION("""COMPUTED_VALUE"""),"")</f>
        <v/>
      </c>
      <c r="D159" s="16" t="str">
        <f>IFERROR(__xludf.DUMMYFUNCTION("""COMPUTED_VALUE"""),"")</f>
        <v/>
      </c>
      <c r="E159" s="16" t="str">
        <f>IFERROR(__xludf.DUMMYFUNCTION("""COMPUTED_VALUE"""),"")</f>
        <v/>
      </c>
      <c r="F159" s="16" t="str">
        <f>IFERROR(__xludf.DUMMYFUNCTION("""COMPUTED_VALUE"""),"")</f>
        <v/>
      </c>
      <c r="G159" s="16" t="str">
        <f>IFERROR(__xludf.DUMMYFUNCTION("""COMPUTED_VALUE"""),"")</f>
        <v/>
      </c>
      <c r="H159" s="16" t="str">
        <f>IFERROR(__xludf.DUMMYFUNCTION("""COMPUTED_VALUE"""),"")</f>
        <v/>
      </c>
      <c r="I159" s="16" t="str">
        <f>IFERROR(__xludf.DUMMYFUNCTION("""COMPUTED_VALUE"""),"")</f>
        <v/>
      </c>
      <c r="J159" s="16" t="str">
        <f>IFERROR(__xludf.DUMMYFUNCTION("""COMPUTED_VALUE"""),"")</f>
        <v/>
      </c>
      <c r="K159" s="16" t="str">
        <f>IFERROR(__xludf.DUMMYFUNCTION("""COMPUTED_VALUE"""),"")</f>
        <v/>
      </c>
      <c r="L159" s="16" t="str">
        <f>IFERROR(__xludf.DUMMYFUNCTION("""COMPUTED_VALUE"""),"")</f>
        <v/>
      </c>
      <c r="M159" s="16" t="str">
        <f>IFERROR(__xludf.DUMMYFUNCTION("""COMPUTED_VALUE"""),"")</f>
        <v/>
      </c>
      <c r="N159" s="16" t="str">
        <f>IFERROR(__xludf.DUMMYFUNCTION("""COMPUTED_VALUE"""),"")</f>
        <v/>
      </c>
      <c r="O159" s="16" t="str">
        <f>IFERROR(__xludf.DUMMYFUNCTION("""COMPUTED_VALUE"""),"")</f>
        <v/>
      </c>
      <c r="P159" s="16" t="str">
        <f>IFERROR(__xludf.DUMMYFUNCTION("""COMPUTED_VALUE"""),"")</f>
        <v/>
      </c>
      <c r="Q159" s="16" t="str">
        <f>IFERROR(__xludf.DUMMYFUNCTION("""COMPUTED_VALUE"""),"")</f>
        <v/>
      </c>
      <c r="R159" s="16" t="str">
        <f>IFERROR(__xludf.DUMMYFUNCTION("""COMPUTED_VALUE"""),"")</f>
        <v/>
      </c>
      <c r="S159" s="16" t="str">
        <f>IFERROR(__xludf.DUMMYFUNCTION("""COMPUTED_VALUE"""),"")</f>
        <v/>
      </c>
      <c r="T159" s="16" t="str">
        <f>IFERROR(__xludf.DUMMYFUNCTION("""COMPUTED_VALUE"""),"")</f>
        <v/>
      </c>
      <c r="U159" s="16" t="str">
        <f>IFERROR(__xludf.DUMMYFUNCTION("""COMPUTED_VALUE"""),"")</f>
        <v/>
      </c>
      <c r="V159" s="16" t="str">
        <f>IFERROR(__xludf.DUMMYFUNCTION("""COMPUTED_VALUE"""),"")</f>
        <v/>
      </c>
      <c r="W159" s="16" t="str">
        <f>IFERROR(__xludf.DUMMYFUNCTION("""COMPUTED_VALUE"""),"")</f>
        <v/>
      </c>
      <c r="X159" s="16" t="str">
        <f>IFERROR(__xludf.DUMMYFUNCTION("""COMPUTED_VALUE"""),"")</f>
        <v/>
      </c>
      <c r="Y159" s="16" t="str">
        <f>IFERROR(__xludf.DUMMYFUNCTION("""COMPUTED_VALUE"""),"")</f>
        <v/>
      </c>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row>
    <row r="160">
      <c r="A160" s="16"/>
      <c r="B160" s="16"/>
      <c r="C160" s="16" t="str">
        <f>IFERROR(__xludf.DUMMYFUNCTION("""COMPUTED_VALUE"""),"")</f>
        <v/>
      </c>
      <c r="D160" s="16" t="str">
        <f>IFERROR(__xludf.DUMMYFUNCTION("""COMPUTED_VALUE"""),"")</f>
        <v/>
      </c>
      <c r="E160" s="16" t="str">
        <f>IFERROR(__xludf.DUMMYFUNCTION("""COMPUTED_VALUE"""),"")</f>
        <v/>
      </c>
      <c r="F160" s="16" t="str">
        <f>IFERROR(__xludf.DUMMYFUNCTION("""COMPUTED_VALUE"""),"")</f>
        <v/>
      </c>
      <c r="G160" s="16" t="str">
        <f>IFERROR(__xludf.DUMMYFUNCTION("""COMPUTED_VALUE"""),"")</f>
        <v/>
      </c>
      <c r="H160" s="16" t="str">
        <f>IFERROR(__xludf.DUMMYFUNCTION("""COMPUTED_VALUE"""),"")</f>
        <v/>
      </c>
      <c r="I160" s="16" t="str">
        <f>IFERROR(__xludf.DUMMYFUNCTION("""COMPUTED_VALUE"""),"")</f>
        <v/>
      </c>
      <c r="J160" s="16" t="str">
        <f>IFERROR(__xludf.DUMMYFUNCTION("""COMPUTED_VALUE"""),"")</f>
        <v/>
      </c>
      <c r="K160" s="16" t="str">
        <f>IFERROR(__xludf.DUMMYFUNCTION("""COMPUTED_VALUE"""),"")</f>
        <v/>
      </c>
      <c r="L160" s="16" t="str">
        <f>IFERROR(__xludf.DUMMYFUNCTION("""COMPUTED_VALUE"""),"")</f>
        <v/>
      </c>
      <c r="M160" s="16" t="str">
        <f>IFERROR(__xludf.DUMMYFUNCTION("""COMPUTED_VALUE"""),"")</f>
        <v/>
      </c>
      <c r="N160" s="16" t="str">
        <f>IFERROR(__xludf.DUMMYFUNCTION("""COMPUTED_VALUE"""),"")</f>
        <v/>
      </c>
      <c r="O160" s="16" t="str">
        <f>IFERROR(__xludf.DUMMYFUNCTION("""COMPUTED_VALUE"""),"")</f>
        <v/>
      </c>
      <c r="P160" s="16" t="str">
        <f>IFERROR(__xludf.DUMMYFUNCTION("""COMPUTED_VALUE"""),"")</f>
        <v/>
      </c>
      <c r="Q160" s="16" t="str">
        <f>IFERROR(__xludf.DUMMYFUNCTION("""COMPUTED_VALUE"""),"")</f>
        <v/>
      </c>
      <c r="R160" s="16" t="str">
        <f>IFERROR(__xludf.DUMMYFUNCTION("""COMPUTED_VALUE"""),"")</f>
        <v/>
      </c>
      <c r="S160" s="16" t="str">
        <f>IFERROR(__xludf.DUMMYFUNCTION("""COMPUTED_VALUE"""),"")</f>
        <v/>
      </c>
      <c r="T160" s="16" t="str">
        <f>IFERROR(__xludf.DUMMYFUNCTION("""COMPUTED_VALUE"""),"")</f>
        <v/>
      </c>
      <c r="U160" s="16" t="str">
        <f>IFERROR(__xludf.DUMMYFUNCTION("""COMPUTED_VALUE"""),"")</f>
        <v/>
      </c>
      <c r="V160" s="16" t="str">
        <f>IFERROR(__xludf.DUMMYFUNCTION("""COMPUTED_VALUE"""),"")</f>
        <v/>
      </c>
      <c r="W160" s="16" t="str">
        <f>IFERROR(__xludf.DUMMYFUNCTION("""COMPUTED_VALUE"""),"")</f>
        <v/>
      </c>
      <c r="X160" s="16" t="str">
        <f>IFERROR(__xludf.DUMMYFUNCTION("""COMPUTED_VALUE"""),"")</f>
        <v/>
      </c>
      <c r="Y160" s="16" t="str">
        <f>IFERROR(__xludf.DUMMYFUNCTION("""COMPUTED_VALUE"""),"")</f>
        <v/>
      </c>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row>
    <row r="161">
      <c r="A161" s="16"/>
      <c r="B161" s="16"/>
      <c r="C161" s="16" t="str">
        <f>IFERROR(__xludf.DUMMYFUNCTION("""COMPUTED_VALUE"""),"")</f>
        <v/>
      </c>
      <c r="D161" s="16" t="str">
        <f>IFERROR(__xludf.DUMMYFUNCTION("""COMPUTED_VALUE"""),"")</f>
        <v/>
      </c>
      <c r="E161" s="16" t="str">
        <f>IFERROR(__xludf.DUMMYFUNCTION("""COMPUTED_VALUE"""),"")</f>
        <v/>
      </c>
      <c r="F161" s="16" t="str">
        <f>IFERROR(__xludf.DUMMYFUNCTION("""COMPUTED_VALUE"""),"")</f>
        <v/>
      </c>
      <c r="G161" s="16" t="str">
        <f>IFERROR(__xludf.DUMMYFUNCTION("""COMPUTED_VALUE"""),"")</f>
        <v/>
      </c>
      <c r="H161" s="16" t="str">
        <f>IFERROR(__xludf.DUMMYFUNCTION("""COMPUTED_VALUE"""),"")</f>
        <v/>
      </c>
      <c r="I161" s="16" t="str">
        <f>IFERROR(__xludf.DUMMYFUNCTION("""COMPUTED_VALUE"""),"")</f>
        <v/>
      </c>
      <c r="J161" s="16" t="str">
        <f>IFERROR(__xludf.DUMMYFUNCTION("""COMPUTED_VALUE"""),"")</f>
        <v/>
      </c>
      <c r="K161" s="16" t="str">
        <f>IFERROR(__xludf.DUMMYFUNCTION("""COMPUTED_VALUE"""),"")</f>
        <v/>
      </c>
      <c r="L161" s="16" t="str">
        <f>IFERROR(__xludf.DUMMYFUNCTION("""COMPUTED_VALUE"""),"")</f>
        <v/>
      </c>
      <c r="M161" s="16" t="str">
        <f>IFERROR(__xludf.DUMMYFUNCTION("""COMPUTED_VALUE"""),"")</f>
        <v/>
      </c>
      <c r="N161" s="16" t="str">
        <f>IFERROR(__xludf.DUMMYFUNCTION("""COMPUTED_VALUE"""),"")</f>
        <v/>
      </c>
      <c r="O161" s="16" t="str">
        <f>IFERROR(__xludf.DUMMYFUNCTION("""COMPUTED_VALUE"""),"")</f>
        <v/>
      </c>
      <c r="P161" s="16" t="str">
        <f>IFERROR(__xludf.DUMMYFUNCTION("""COMPUTED_VALUE"""),"")</f>
        <v/>
      </c>
      <c r="Q161" s="16" t="str">
        <f>IFERROR(__xludf.DUMMYFUNCTION("""COMPUTED_VALUE"""),"")</f>
        <v/>
      </c>
      <c r="R161" s="16" t="str">
        <f>IFERROR(__xludf.DUMMYFUNCTION("""COMPUTED_VALUE"""),"")</f>
        <v/>
      </c>
      <c r="S161" s="16" t="str">
        <f>IFERROR(__xludf.DUMMYFUNCTION("""COMPUTED_VALUE"""),"")</f>
        <v/>
      </c>
      <c r="T161" s="16" t="str">
        <f>IFERROR(__xludf.DUMMYFUNCTION("""COMPUTED_VALUE"""),"")</f>
        <v/>
      </c>
      <c r="U161" s="16" t="str">
        <f>IFERROR(__xludf.DUMMYFUNCTION("""COMPUTED_VALUE"""),"")</f>
        <v/>
      </c>
      <c r="V161" s="16" t="str">
        <f>IFERROR(__xludf.DUMMYFUNCTION("""COMPUTED_VALUE"""),"")</f>
        <v/>
      </c>
      <c r="W161" s="16" t="str">
        <f>IFERROR(__xludf.DUMMYFUNCTION("""COMPUTED_VALUE"""),"")</f>
        <v/>
      </c>
      <c r="X161" s="16" t="str">
        <f>IFERROR(__xludf.DUMMYFUNCTION("""COMPUTED_VALUE"""),"")</f>
        <v/>
      </c>
      <c r="Y161" s="16" t="str">
        <f>IFERROR(__xludf.DUMMYFUNCTION("""COMPUTED_VALUE"""),"")</f>
        <v/>
      </c>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row>
    <row r="162">
      <c r="A162" s="16"/>
      <c r="B162" s="16"/>
      <c r="C162" s="16" t="str">
        <f>IFERROR(__xludf.DUMMYFUNCTION("""COMPUTED_VALUE"""),"")</f>
        <v/>
      </c>
      <c r="D162" s="16" t="str">
        <f>IFERROR(__xludf.DUMMYFUNCTION("""COMPUTED_VALUE"""),"")</f>
        <v/>
      </c>
      <c r="E162" s="16" t="str">
        <f>IFERROR(__xludf.DUMMYFUNCTION("""COMPUTED_VALUE"""),"")</f>
        <v/>
      </c>
      <c r="F162" s="16" t="str">
        <f>IFERROR(__xludf.DUMMYFUNCTION("""COMPUTED_VALUE"""),"")</f>
        <v/>
      </c>
      <c r="G162" s="16" t="str">
        <f>IFERROR(__xludf.DUMMYFUNCTION("""COMPUTED_VALUE"""),"")</f>
        <v/>
      </c>
      <c r="H162" s="16" t="str">
        <f>IFERROR(__xludf.DUMMYFUNCTION("""COMPUTED_VALUE"""),"")</f>
        <v/>
      </c>
      <c r="I162" s="16" t="str">
        <f>IFERROR(__xludf.DUMMYFUNCTION("""COMPUTED_VALUE"""),"")</f>
        <v/>
      </c>
      <c r="J162" s="16" t="str">
        <f>IFERROR(__xludf.DUMMYFUNCTION("""COMPUTED_VALUE"""),"")</f>
        <v/>
      </c>
      <c r="K162" s="16" t="str">
        <f>IFERROR(__xludf.DUMMYFUNCTION("""COMPUTED_VALUE"""),"")</f>
        <v/>
      </c>
      <c r="L162" s="16" t="str">
        <f>IFERROR(__xludf.DUMMYFUNCTION("""COMPUTED_VALUE"""),"")</f>
        <v/>
      </c>
      <c r="M162" s="16" t="str">
        <f>IFERROR(__xludf.DUMMYFUNCTION("""COMPUTED_VALUE"""),"")</f>
        <v/>
      </c>
      <c r="N162" s="16" t="str">
        <f>IFERROR(__xludf.DUMMYFUNCTION("""COMPUTED_VALUE"""),"")</f>
        <v/>
      </c>
      <c r="O162" s="16" t="str">
        <f>IFERROR(__xludf.DUMMYFUNCTION("""COMPUTED_VALUE"""),"")</f>
        <v/>
      </c>
      <c r="P162" s="16" t="str">
        <f>IFERROR(__xludf.DUMMYFUNCTION("""COMPUTED_VALUE"""),"")</f>
        <v/>
      </c>
      <c r="Q162" s="16" t="str">
        <f>IFERROR(__xludf.DUMMYFUNCTION("""COMPUTED_VALUE"""),"")</f>
        <v/>
      </c>
      <c r="R162" s="16" t="str">
        <f>IFERROR(__xludf.DUMMYFUNCTION("""COMPUTED_VALUE"""),"")</f>
        <v/>
      </c>
      <c r="S162" s="16" t="str">
        <f>IFERROR(__xludf.DUMMYFUNCTION("""COMPUTED_VALUE"""),"")</f>
        <v/>
      </c>
      <c r="T162" s="16" t="str">
        <f>IFERROR(__xludf.DUMMYFUNCTION("""COMPUTED_VALUE"""),"")</f>
        <v/>
      </c>
      <c r="U162" s="16" t="str">
        <f>IFERROR(__xludf.DUMMYFUNCTION("""COMPUTED_VALUE"""),"")</f>
        <v/>
      </c>
      <c r="V162" s="16" t="str">
        <f>IFERROR(__xludf.DUMMYFUNCTION("""COMPUTED_VALUE"""),"")</f>
        <v/>
      </c>
      <c r="W162" s="16" t="str">
        <f>IFERROR(__xludf.DUMMYFUNCTION("""COMPUTED_VALUE"""),"")</f>
        <v/>
      </c>
      <c r="X162" s="16" t="str">
        <f>IFERROR(__xludf.DUMMYFUNCTION("""COMPUTED_VALUE"""),"")</f>
        <v/>
      </c>
      <c r="Y162" s="16" t="str">
        <f>IFERROR(__xludf.DUMMYFUNCTION("""COMPUTED_VALUE"""),"")</f>
        <v/>
      </c>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row>
    <row r="163">
      <c r="A163" s="16"/>
      <c r="B163" s="16"/>
      <c r="C163" s="16" t="str">
        <f>IFERROR(__xludf.DUMMYFUNCTION("""COMPUTED_VALUE"""),"")</f>
        <v/>
      </c>
      <c r="D163" s="16" t="str">
        <f>IFERROR(__xludf.DUMMYFUNCTION("""COMPUTED_VALUE"""),"")</f>
        <v/>
      </c>
      <c r="E163" s="16" t="str">
        <f>IFERROR(__xludf.DUMMYFUNCTION("""COMPUTED_VALUE"""),"")</f>
        <v/>
      </c>
      <c r="F163" s="16" t="str">
        <f>IFERROR(__xludf.DUMMYFUNCTION("""COMPUTED_VALUE"""),"")</f>
        <v/>
      </c>
      <c r="G163" s="16" t="str">
        <f>IFERROR(__xludf.DUMMYFUNCTION("""COMPUTED_VALUE"""),"")</f>
        <v/>
      </c>
      <c r="H163" s="16" t="str">
        <f>IFERROR(__xludf.DUMMYFUNCTION("""COMPUTED_VALUE"""),"")</f>
        <v/>
      </c>
      <c r="I163" s="16" t="str">
        <f>IFERROR(__xludf.DUMMYFUNCTION("""COMPUTED_VALUE"""),"")</f>
        <v/>
      </c>
      <c r="J163" s="16" t="str">
        <f>IFERROR(__xludf.DUMMYFUNCTION("""COMPUTED_VALUE"""),"")</f>
        <v/>
      </c>
      <c r="K163" s="16" t="str">
        <f>IFERROR(__xludf.DUMMYFUNCTION("""COMPUTED_VALUE"""),"")</f>
        <v/>
      </c>
      <c r="L163" s="16" t="str">
        <f>IFERROR(__xludf.DUMMYFUNCTION("""COMPUTED_VALUE"""),"")</f>
        <v/>
      </c>
      <c r="M163" s="16" t="str">
        <f>IFERROR(__xludf.DUMMYFUNCTION("""COMPUTED_VALUE"""),"")</f>
        <v/>
      </c>
      <c r="N163" s="16" t="str">
        <f>IFERROR(__xludf.DUMMYFUNCTION("""COMPUTED_VALUE"""),"")</f>
        <v/>
      </c>
      <c r="O163" s="16" t="str">
        <f>IFERROR(__xludf.DUMMYFUNCTION("""COMPUTED_VALUE"""),"")</f>
        <v/>
      </c>
      <c r="P163" s="16" t="str">
        <f>IFERROR(__xludf.DUMMYFUNCTION("""COMPUTED_VALUE"""),"")</f>
        <v/>
      </c>
      <c r="Q163" s="16" t="str">
        <f>IFERROR(__xludf.DUMMYFUNCTION("""COMPUTED_VALUE"""),"")</f>
        <v/>
      </c>
      <c r="R163" s="16" t="str">
        <f>IFERROR(__xludf.DUMMYFUNCTION("""COMPUTED_VALUE"""),"")</f>
        <v/>
      </c>
      <c r="S163" s="16" t="str">
        <f>IFERROR(__xludf.DUMMYFUNCTION("""COMPUTED_VALUE"""),"")</f>
        <v/>
      </c>
      <c r="T163" s="16" t="str">
        <f>IFERROR(__xludf.DUMMYFUNCTION("""COMPUTED_VALUE"""),"")</f>
        <v/>
      </c>
      <c r="U163" s="16" t="str">
        <f>IFERROR(__xludf.DUMMYFUNCTION("""COMPUTED_VALUE"""),"")</f>
        <v/>
      </c>
      <c r="V163" s="16" t="str">
        <f>IFERROR(__xludf.DUMMYFUNCTION("""COMPUTED_VALUE"""),"")</f>
        <v/>
      </c>
      <c r="W163" s="16" t="str">
        <f>IFERROR(__xludf.DUMMYFUNCTION("""COMPUTED_VALUE"""),"")</f>
        <v/>
      </c>
      <c r="X163" s="16" t="str">
        <f>IFERROR(__xludf.DUMMYFUNCTION("""COMPUTED_VALUE"""),"")</f>
        <v/>
      </c>
      <c r="Y163" s="16" t="str">
        <f>IFERROR(__xludf.DUMMYFUNCTION("""COMPUTED_VALUE"""),"")</f>
        <v/>
      </c>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row>
    <row r="164">
      <c r="A164" s="16"/>
      <c r="B164" s="16"/>
      <c r="C164" s="16" t="str">
        <f>IFERROR(__xludf.DUMMYFUNCTION("""COMPUTED_VALUE"""),"")</f>
        <v/>
      </c>
      <c r="D164" s="16" t="str">
        <f>IFERROR(__xludf.DUMMYFUNCTION("""COMPUTED_VALUE"""),"")</f>
        <v/>
      </c>
      <c r="E164" s="16" t="str">
        <f>IFERROR(__xludf.DUMMYFUNCTION("""COMPUTED_VALUE"""),"")</f>
        <v/>
      </c>
      <c r="F164" s="16" t="str">
        <f>IFERROR(__xludf.DUMMYFUNCTION("""COMPUTED_VALUE"""),"")</f>
        <v/>
      </c>
      <c r="G164" s="16" t="str">
        <f>IFERROR(__xludf.DUMMYFUNCTION("""COMPUTED_VALUE"""),"")</f>
        <v/>
      </c>
      <c r="H164" s="16" t="str">
        <f>IFERROR(__xludf.DUMMYFUNCTION("""COMPUTED_VALUE"""),"")</f>
        <v/>
      </c>
      <c r="I164" s="16" t="str">
        <f>IFERROR(__xludf.DUMMYFUNCTION("""COMPUTED_VALUE"""),"")</f>
        <v/>
      </c>
      <c r="J164" s="16" t="str">
        <f>IFERROR(__xludf.DUMMYFUNCTION("""COMPUTED_VALUE"""),"")</f>
        <v/>
      </c>
      <c r="K164" s="16" t="str">
        <f>IFERROR(__xludf.DUMMYFUNCTION("""COMPUTED_VALUE"""),"")</f>
        <v/>
      </c>
      <c r="L164" s="16" t="str">
        <f>IFERROR(__xludf.DUMMYFUNCTION("""COMPUTED_VALUE"""),"")</f>
        <v/>
      </c>
      <c r="M164" s="16" t="str">
        <f>IFERROR(__xludf.DUMMYFUNCTION("""COMPUTED_VALUE"""),"")</f>
        <v/>
      </c>
      <c r="N164" s="16" t="str">
        <f>IFERROR(__xludf.DUMMYFUNCTION("""COMPUTED_VALUE"""),"")</f>
        <v/>
      </c>
      <c r="O164" s="16" t="str">
        <f>IFERROR(__xludf.DUMMYFUNCTION("""COMPUTED_VALUE"""),"")</f>
        <v/>
      </c>
      <c r="P164" s="16" t="str">
        <f>IFERROR(__xludf.DUMMYFUNCTION("""COMPUTED_VALUE"""),"")</f>
        <v/>
      </c>
      <c r="Q164" s="16" t="str">
        <f>IFERROR(__xludf.DUMMYFUNCTION("""COMPUTED_VALUE"""),"")</f>
        <v/>
      </c>
      <c r="R164" s="16" t="str">
        <f>IFERROR(__xludf.DUMMYFUNCTION("""COMPUTED_VALUE"""),"")</f>
        <v/>
      </c>
      <c r="S164" s="16" t="str">
        <f>IFERROR(__xludf.DUMMYFUNCTION("""COMPUTED_VALUE"""),"")</f>
        <v/>
      </c>
      <c r="T164" s="16" t="str">
        <f>IFERROR(__xludf.DUMMYFUNCTION("""COMPUTED_VALUE"""),"")</f>
        <v/>
      </c>
      <c r="U164" s="16" t="str">
        <f>IFERROR(__xludf.DUMMYFUNCTION("""COMPUTED_VALUE"""),"")</f>
        <v/>
      </c>
      <c r="V164" s="16" t="str">
        <f>IFERROR(__xludf.DUMMYFUNCTION("""COMPUTED_VALUE"""),"")</f>
        <v/>
      </c>
      <c r="W164" s="16" t="str">
        <f>IFERROR(__xludf.DUMMYFUNCTION("""COMPUTED_VALUE"""),"")</f>
        <v/>
      </c>
      <c r="X164" s="16" t="str">
        <f>IFERROR(__xludf.DUMMYFUNCTION("""COMPUTED_VALUE"""),"")</f>
        <v/>
      </c>
      <c r="Y164" s="16" t="str">
        <f>IFERROR(__xludf.DUMMYFUNCTION("""COMPUTED_VALUE"""),"")</f>
        <v/>
      </c>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row>
    <row r="165">
      <c r="A165" s="16"/>
      <c r="B165" s="16"/>
      <c r="C165" s="16" t="str">
        <f>IFERROR(__xludf.DUMMYFUNCTION("""COMPUTED_VALUE"""),"")</f>
        <v/>
      </c>
      <c r="D165" s="16" t="str">
        <f>IFERROR(__xludf.DUMMYFUNCTION("""COMPUTED_VALUE"""),"")</f>
        <v/>
      </c>
      <c r="E165" s="16" t="str">
        <f>IFERROR(__xludf.DUMMYFUNCTION("""COMPUTED_VALUE"""),"")</f>
        <v/>
      </c>
      <c r="F165" s="16" t="str">
        <f>IFERROR(__xludf.DUMMYFUNCTION("""COMPUTED_VALUE"""),"")</f>
        <v/>
      </c>
      <c r="G165" s="16" t="str">
        <f>IFERROR(__xludf.DUMMYFUNCTION("""COMPUTED_VALUE"""),"")</f>
        <v/>
      </c>
      <c r="H165" s="16" t="str">
        <f>IFERROR(__xludf.DUMMYFUNCTION("""COMPUTED_VALUE"""),"")</f>
        <v/>
      </c>
      <c r="I165" s="16" t="str">
        <f>IFERROR(__xludf.DUMMYFUNCTION("""COMPUTED_VALUE"""),"")</f>
        <v/>
      </c>
      <c r="J165" s="16" t="str">
        <f>IFERROR(__xludf.DUMMYFUNCTION("""COMPUTED_VALUE"""),"")</f>
        <v/>
      </c>
      <c r="K165" s="16" t="str">
        <f>IFERROR(__xludf.DUMMYFUNCTION("""COMPUTED_VALUE"""),"")</f>
        <v/>
      </c>
      <c r="L165" s="16" t="str">
        <f>IFERROR(__xludf.DUMMYFUNCTION("""COMPUTED_VALUE"""),"")</f>
        <v/>
      </c>
      <c r="M165" s="16" t="str">
        <f>IFERROR(__xludf.DUMMYFUNCTION("""COMPUTED_VALUE"""),"")</f>
        <v/>
      </c>
      <c r="N165" s="16" t="str">
        <f>IFERROR(__xludf.DUMMYFUNCTION("""COMPUTED_VALUE"""),"")</f>
        <v/>
      </c>
      <c r="O165" s="16" t="str">
        <f>IFERROR(__xludf.DUMMYFUNCTION("""COMPUTED_VALUE"""),"")</f>
        <v/>
      </c>
      <c r="P165" s="16" t="str">
        <f>IFERROR(__xludf.DUMMYFUNCTION("""COMPUTED_VALUE"""),"")</f>
        <v/>
      </c>
      <c r="Q165" s="16" t="str">
        <f>IFERROR(__xludf.DUMMYFUNCTION("""COMPUTED_VALUE"""),"")</f>
        <v/>
      </c>
      <c r="R165" s="16" t="str">
        <f>IFERROR(__xludf.DUMMYFUNCTION("""COMPUTED_VALUE"""),"")</f>
        <v/>
      </c>
      <c r="S165" s="16" t="str">
        <f>IFERROR(__xludf.DUMMYFUNCTION("""COMPUTED_VALUE"""),"")</f>
        <v/>
      </c>
      <c r="T165" s="16" t="str">
        <f>IFERROR(__xludf.DUMMYFUNCTION("""COMPUTED_VALUE"""),"")</f>
        <v/>
      </c>
      <c r="U165" s="16" t="str">
        <f>IFERROR(__xludf.DUMMYFUNCTION("""COMPUTED_VALUE"""),"")</f>
        <v/>
      </c>
      <c r="V165" s="16" t="str">
        <f>IFERROR(__xludf.DUMMYFUNCTION("""COMPUTED_VALUE"""),"")</f>
        <v/>
      </c>
      <c r="W165" s="16" t="str">
        <f>IFERROR(__xludf.DUMMYFUNCTION("""COMPUTED_VALUE"""),"")</f>
        <v/>
      </c>
      <c r="X165" s="16" t="str">
        <f>IFERROR(__xludf.DUMMYFUNCTION("""COMPUTED_VALUE"""),"")</f>
        <v/>
      </c>
      <c r="Y165" s="16" t="str">
        <f>IFERROR(__xludf.DUMMYFUNCTION("""COMPUTED_VALUE"""),"")</f>
        <v/>
      </c>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row>
    <row r="166">
      <c r="A166" s="16"/>
      <c r="B166" s="16"/>
      <c r="C166" s="16" t="str">
        <f>IFERROR(__xludf.DUMMYFUNCTION("""COMPUTED_VALUE"""),"")</f>
        <v/>
      </c>
      <c r="D166" s="16" t="str">
        <f>IFERROR(__xludf.DUMMYFUNCTION("""COMPUTED_VALUE"""),"")</f>
        <v/>
      </c>
      <c r="E166" s="16" t="str">
        <f>IFERROR(__xludf.DUMMYFUNCTION("""COMPUTED_VALUE"""),"")</f>
        <v/>
      </c>
      <c r="F166" s="16" t="str">
        <f>IFERROR(__xludf.DUMMYFUNCTION("""COMPUTED_VALUE"""),"")</f>
        <v/>
      </c>
      <c r="G166" s="16" t="str">
        <f>IFERROR(__xludf.DUMMYFUNCTION("""COMPUTED_VALUE"""),"")</f>
        <v/>
      </c>
      <c r="H166" s="16" t="str">
        <f>IFERROR(__xludf.DUMMYFUNCTION("""COMPUTED_VALUE"""),"")</f>
        <v/>
      </c>
      <c r="I166" s="16" t="str">
        <f>IFERROR(__xludf.DUMMYFUNCTION("""COMPUTED_VALUE"""),"")</f>
        <v/>
      </c>
      <c r="J166" s="16" t="str">
        <f>IFERROR(__xludf.DUMMYFUNCTION("""COMPUTED_VALUE"""),"")</f>
        <v/>
      </c>
      <c r="K166" s="16" t="str">
        <f>IFERROR(__xludf.DUMMYFUNCTION("""COMPUTED_VALUE"""),"")</f>
        <v/>
      </c>
      <c r="L166" s="16" t="str">
        <f>IFERROR(__xludf.DUMMYFUNCTION("""COMPUTED_VALUE"""),"")</f>
        <v/>
      </c>
      <c r="M166" s="16" t="str">
        <f>IFERROR(__xludf.DUMMYFUNCTION("""COMPUTED_VALUE"""),"")</f>
        <v/>
      </c>
      <c r="N166" s="16" t="str">
        <f>IFERROR(__xludf.DUMMYFUNCTION("""COMPUTED_VALUE"""),"")</f>
        <v/>
      </c>
      <c r="O166" s="16" t="str">
        <f>IFERROR(__xludf.DUMMYFUNCTION("""COMPUTED_VALUE"""),"")</f>
        <v/>
      </c>
      <c r="P166" s="16" t="str">
        <f>IFERROR(__xludf.DUMMYFUNCTION("""COMPUTED_VALUE"""),"")</f>
        <v/>
      </c>
      <c r="Q166" s="16" t="str">
        <f>IFERROR(__xludf.DUMMYFUNCTION("""COMPUTED_VALUE"""),"")</f>
        <v/>
      </c>
      <c r="R166" s="16" t="str">
        <f>IFERROR(__xludf.DUMMYFUNCTION("""COMPUTED_VALUE"""),"")</f>
        <v/>
      </c>
      <c r="S166" s="16" t="str">
        <f>IFERROR(__xludf.DUMMYFUNCTION("""COMPUTED_VALUE"""),"")</f>
        <v/>
      </c>
      <c r="T166" s="16" t="str">
        <f>IFERROR(__xludf.DUMMYFUNCTION("""COMPUTED_VALUE"""),"")</f>
        <v/>
      </c>
      <c r="U166" s="16" t="str">
        <f>IFERROR(__xludf.DUMMYFUNCTION("""COMPUTED_VALUE"""),"")</f>
        <v/>
      </c>
      <c r="V166" s="16" t="str">
        <f>IFERROR(__xludf.DUMMYFUNCTION("""COMPUTED_VALUE"""),"")</f>
        <v/>
      </c>
      <c r="W166" s="16" t="str">
        <f>IFERROR(__xludf.DUMMYFUNCTION("""COMPUTED_VALUE"""),"")</f>
        <v/>
      </c>
      <c r="X166" s="16" t="str">
        <f>IFERROR(__xludf.DUMMYFUNCTION("""COMPUTED_VALUE"""),"")</f>
        <v/>
      </c>
      <c r="Y166" s="16" t="str">
        <f>IFERROR(__xludf.DUMMYFUNCTION("""COMPUTED_VALUE"""),"")</f>
        <v/>
      </c>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row>
    <row r="167">
      <c r="A167" s="16"/>
      <c r="B167" s="16"/>
      <c r="C167" s="16" t="str">
        <f>IFERROR(__xludf.DUMMYFUNCTION("""COMPUTED_VALUE"""),"")</f>
        <v/>
      </c>
      <c r="D167" s="16" t="str">
        <f>IFERROR(__xludf.DUMMYFUNCTION("""COMPUTED_VALUE"""),"")</f>
        <v/>
      </c>
      <c r="E167" s="16" t="str">
        <f>IFERROR(__xludf.DUMMYFUNCTION("""COMPUTED_VALUE"""),"")</f>
        <v/>
      </c>
      <c r="F167" s="16" t="str">
        <f>IFERROR(__xludf.DUMMYFUNCTION("""COMPUTED_VALUE"""),"")</f>
        <v/>
      </c>
      <c r="G167" s="16" t="str">
        <f>IFERROR(__xludf.DUMMYFUNCTION("""COMPUTED_VALUE"""),"")</f>
        <v/>
      </c>
      <c r="H167" s="16" t="str">
        <f>IFERROR(__xludf.DUMMYFUNCTION("""COMPUTED_VALUE"""),"")</f>
        <v/>
      </c>
      <c r="I167" s="16" t="str">
        <f>IFERROR(__xludf.DUMMYFUNCTION("""COMPUTED_VALUE"""),"")</f>
        <v/>
      </c>
      <c r="J167" s="16" t="str">
        <f>IFERROR(__xludf.DUMMYFUNCTION("""COMPUTED_VALUE"""),"")</f>
        <v/>
      </c>
      <c r="K167" s="16" t="str">
        <f>IFERROR(__xludf.DUMMYFUNCTION("""COMPUTED_VALUE"""),"")</f>
        <v/>
      </c>
      <c r="L167" s="16" t="str">
        <f>IFERROR(__xludf.DUMMYFUNCTION("""COMPUTED_VALUE"""),"")</f>
        <v/>
      </c>
      <c r="M167" s="16" t="str">
        <f>IFERROR(__xludf.DUMMYFUNCTION("""COMPUTED_VALUE"""),"")</f>
        <v/>
      </c>
      <c r="N167" s="16" t="str">
        <f>IFERROR(__xludf.DUMMYFUNCTION("""COMPUTED_VALUE"""),"")</f>
        <v/>
      </c>
      <c r="O167" s="16" t="str">
        <f>IFERROR(__xludf.DUMMYFUNCTION("""COMPUTED_VALUE"""),"")</f>
        <v/>
      </c>
      <c r="P167" s="16" t="str">
        <f>IFERROR(__xludf.DUMMYFUNCTION("""COMPUTED_VALUE"""),"")</f>
        <v/>
      </c>
      <c r="Q167" s="16" t="str">
        <f>IFERROR(__xludf.DUMMYFUNCTION("""COMPUTED_VALUE"""),"")</f>
        <v/>
      </c>
      <c r="R167" s="16" t="str">
        <f>IFERROR(__xludf.DUMMYFUNCTION("""COMPUTED_VALUE"""),"")</f>
        <v/>
      </c>
      <c r="S167" s="16" t="str">
        <f>IFERROR(__xludf.DUMMYFUNCTION("""COMPUTED_VALUE"""),"")</f>
        <v/>
      </c>
      <c r="T167" s="16" t="str">
        <f>IFERROR(__xludf.DUMMYFUNCTION("""COMPUTED_VALUE"""),"")</f>
        <v/>
      </c>
      <c r="U167" s="16" t="str">
        <f>IFERROR(__xludf.DUMMYFUNCTION("""COMPUTED_VALUE"""),"")</f>
        <v/>
      </c>
      <c r="V167" s="16" t="str">
        <f>IFERROR(__xludf.DUMMYFUNCTION("""COMPUTED_VALUE"""),"")</f>
        <v/>
      </c>
      <c r="W167" s="16" t="str">
        <f>IFERROR(__xludf.DUMMYFUNCTION("""COMPUTED_VALUE"""),"")</f>
        <v/>
      </c>
      <c r="X167" s="16" t="str">
        <f>IFERROR(__xludf.DUMMYFUNCTION("""COMPUTED_VALUE"""),"")</f>
        <v/>
      </c>
      <c r="Y167" s="16" t="str">
        <f>IFERROR(__xludf.DUMMYFUNCTION("""COMPUTED_VALUE"""),"")</f>
        <v/>
      </c>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row>
    <row r="168">
      <c r="A168" s="16"/>
      <c r="B168" s="16"/>
      <c r="C168" s="16" t="str">
        <f>IFERROR(__xludf.DUMMYFUNCTION("""COMPUTED_VALUE"""),"")</f>
        <v/>
      </c>
      <c r="D168" s="16" t="str">
        <f>IFERROR(__xludf.DUMMYFUNCTION("""COMPUTED_VALUE"""),"")</f>
        <v/>
      </c>
      <c r="E168" s="16" t="str">
        <f>IFERROR(__xludf.DUMMYFUNCTION("""COMPUTED_VALUE"""),"")</f>
        <v/>
      </c>
      <c r="F168" s="16" t="str">
        <f>IFERROR(__xludf.DUMMYFUNCTION("""COMPUTED_VALUE"""),"")</f>
        <v/>
      </c>
      <c r="G168" s="16" t="str">
        <f>IFERROR(__xludf.DUMMYFUNCTION("""COMPUTED_VALUE"""),"")</f>
        <v/>
      </c>
      <c r="H168" s="16" t="str">
        <f>IFERROR(__xludf.DUMMYFUNCTION("""COMPUTED_VALUE"""),"")</f>
        <v/>
      </c>
      <c r="I168" s="16" t="str">
        <f>IFERROR(__xludf.DUMMYFUNCTION("""COMPUTED_VALUE"""),"")</f>
        <v/>
      </c>
      <c r="J168" s="16" t="str">
        <f>IFERROR(__xludf.DUMMYFUNCTION("""COMPUTED_VALUE"""),"")</f>
        <v/>
      </c>
      <c r="K168" s="16" t="str">
        <f>IFERROR(__xludf.DUMMYFUNCTION("""COMPUTED_VALUE"""),"")</f>
        <v/>
      </c>
      <c r="L168" s="16" t="str">
        <f>IFERROR(__xludf.DUMMYFUNCTION("""COMPUTED_VALUE"""),"")</f>
        <v/>
      </c>
      <c r="M168" s="16" t="str">
        <f>IFERROR(__xludf.DUMMYFUNCTION("""COMPUTED_VALUE"""),"")</f>
        <v/>
      </c>
      <c r="N168" s="16" t="str">
        <f>IFERROR(__xludf.DUMMYFUNCTION("""COMPUTED_VALUE"""),"")</f>
        <v/>
      </c>
      <c r="O168" s="16" t="str">
        <f>IFERROR(__xludf.DUMMYFUNCTION("""COMPUTED_VALUE"""),"")</f>
        <v/>
      </c>
      <c r="P168" s="16" t="str">
        <f>IFERROR(__xludf.DUMMYFUNCTION("""COMPUTED_VALUE"""),"")</f>
        <v/>
      </c>
      <c r="Q168" s="16" t="str">
        <f>IFERROR(__xludf.DUMMYFUNCTION("""COMPUTED_VALUE"""),"")</f>
        <v/>
      </c>
      <c r="R168" s="16" t="str">
        <f>IFERROR(__xludf.DUMMYFUNCTION("""COMPUTED_VALUE"""),"")</f>
        <v/>
      </c>
      <c r="S168" s="16" t="str">
        <f>IFERROR(__xludf.DUMMYFUNCTION("""COMPUTED_VALUE"""),"")</f>
        <v/>
      </c>
      <c r="T168" s="16" t="str">
        <f>IFERROR(__xludf.DUMMYFUNCTION("""COMPUTED_VALUE"""),"")</f>
        <v/>
      </c>
      <c r="U168" s="16" t="str">
        <f>IFERROR(__xludf.DUMMYFUNCTION("""COMPUTED_VALUE"""),"")</f>
        <v/>
      </c>
      <c r="V168" s="16" t="str">
        <f>IFERROR(__xludf.DUMMYFUNCTION("""COMPUTED_VALUE"""),"")</f>
        <v/>
      </c>
      <c r="W168" s="16" t="str">
        <f>IFERROR(__xludf.DUMMYFUNCTION("""COMPUTED_VALUE"""),"")</f>
        <v/>
      </c>
      <c r="X168" s="16" t="str">
        <f>IFERROR(__xludf.DUMMYFUNCTION("""COMPUTED_VALUE"""),"")</f>
        <v/>
      </c>
      <c r="Y168" s="16" t="str">
        <f>IFERROR(__xludf.DUMMYFUNCTION("""COMPUTED_VALUE"""),"")</f>
        <v/>
      </c>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row>
    <row r="169">
      <c r="A169" s="16"/>
      <c r="B169" s="16"/>
      <c r="C169" s="16" t="str">
        <f>IFERROR(__xludf.DUMMYFUNCTION("""COMPUTED_VALUE"""),"")</f>
        <v/>
      </c>
      <c r="D169" s="16" t="str">
        <f>IFERROR(__xludf.DUMMYFUNCTION("""COMPUTED_VALUE"""),"")</f>
        <v/>
      </c>
      <c r="E169" s="16" t="str">
        <f>IFERROR(__xludf.DUMMYFUNCTION("""COMPUTED_VALUE"""),"")</f>
        <v/>
      </c>
      <c r="F169" s="16" t="str">
        <f>IFERROR(__xludf.DUMMYFUNCTION("""COMPUTED_VALUE"""),"")</f>
        <v/>
      </c>
      <c r="G169" s="16" t="str">
        <f>IFERROR(__xludf.DUMMYFUNCTION("""COMPUTED_VALUE"""),"")</f>
        <v/>
      </c>
      <c r="H169" s="16" t="str">
        <f>IFERROR(__xludf.DUMMYFUNCTION("""COMPUTED_VALUE"""),"")</f>
        <v/>
      </c>
      <c r="I169" s="16" t="str">
        <f>IFERROR(__xludf.DUMMYFUNCTION("""COMPUTED_VALUE"""),"")</f>
        <v/>
      </c>
      <c r="J169" s="16" t="str">
        <f>IFERROR(__xludf.DUMMYFUNCTION("""COMPUTED_VALUE"""),"")</f>
        <v/>
      </c>
      <c r="K169" s="16" t="str">
        <f>IFERROR(__xludf.DUMMYFUNCTION("""COMPUTED_VALUE"""),"")</f>
        <v/>
      </c>
      <c r="L169" s="16" t="str">
        <f>IFERROR(__xludf.DUMMYFUNCTION("""COMPUTED_VALUE"""),"")</f>
        <v/>
      </c>
      <c r="M169" s="16" t="str">
        <f>IFERROR(__xludf.DUMMYFUNCTION("""COMPUTED_VALUE"""),"")</f>
        <v/>
      </c>
      <c r="N169" s="16" t="str">
        <f>IFERROR(__xludf.DUMMYFUNCTION("""COMPUTED_VALUE"""),"")</f>
        <v/>
      </c>
      <c r="O169" s="16" t="str">
        <f>IFERROR(__xludf.DUMMYFUNCTION("""COMPUTED_VALUE"""),"")</f>
        <v/>
      </c>
      <c r="P169" s="16" t="str">
        <f>IFERROR(__xludf.DUMMYFUNCTION("""COMPUTED_VALUE"""),"")</f>
        <v/>
      </c>
      <c r="Q169" s="16" t="str">
        <f>IFERROR(__xludf.DUMMYFUNCTION("""COMPUTED_VALUE"""),"")</f>
        <v/>
      </c>
      <c r="R169" s="16" t="str">
        <f>IFERROR(__xludf.DUMMYFUNCTION("""COMPUTED_VALUE"""),"")</f>
        <v/>
      </c>
      <c r="S169" s="16" t="str">
        <f>IFERROR(__xludf.DUMMYFUNCTION("""COMPUTED_VALUE"""),"")</f>
        <v/>
      </c>
      <c r="T169" s="16" t="str">
        <f>IFERROR(__xludf.DUMMYFUNCTION("""COMPUTED_VALUE"""),"")</f>
        <v/>
      </c>
      <c r="U169" s="16" t="str">
        <f>IFERROR(__xludf.DUMMYFUNCTION("""COMPUTED_VALUE"""),"")</f>
        <v/>
      </c>
      <c r="V169" s="16" t="str">
        <f>IFERROR(__xludf.DUMMYFUNCTION("""COMPUTED_VALUE"""),"")</f>
        <v/>
      </c>
      <c r="W169" s="16" t="str">
        <f>IFERROR(__xludf.DUMMYFUNCTION("""COMPUTED_VALUE"""),"")</f>
        <v/>
      </c>
      <c r="X169" s="16" t="str">
        <f>IFERROR(__xludf.DUMMYFUNCTION("""COMPUTED_VALUE"""),"")</f>
        <v/>
      </c>
      <c r="Y169" s="16" t="str">
        <f>IFERROR(__xludf.DUMMYFUNCTION("""COMPUTED_VALUE"""),"")</f>
        <v/>
      </c>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row>
    <row r="170">
      <c r="A170" s="16"/>
      <c r="B170" s="16"/>
      <c r="C170" s="16" t="str">
        <f>IFERROR(__xludf.DUMMYFUNCTION("""COMPUTED_VALUE"""),"")</f>
        <v/>
      </c>
      <c r="D170" s="16" t="str">
        <f>IFERROR(__xludf.DUMMYFUNCTION("""COMPUTED_VALUE"""),"")</f>
        <v/>
      </c>
      <c r="E170" s="16" t="str">
        <f>IFERROR(__xludf.DUMMYFUNCTION("""COMPUTED_VALUE"""),"")</f>
        <v/>
      </c>
      <c r="F170" s="16" t="str">
        <f>IFERROR(__xludf.DUMMYFUNCTION("""COMPUTED_VALUE"""),"")</f>
        <v/>
      </c>
      <c r="G170" s="16" t="str">
        <f>IFERROR(__xludf.DUMMYFUNCTION("""COMPUTED_VALUE"""),"")</f>
        <v/>
      </c>
      <c r="H170" s="16" t="str">
        <f>IFERROR(__xludf.DUMMYFUNCTION("""COMPUTED_VALUE"""),"")</f>
        <v/>
      </c>
      <c r="I170" s="16" t="str">
        <f>IFERROR(__xludf.DUMMYFUNCTION("""COMPUTED_VALUE"""),"")</f>
        <v/>
      </c>
      <c r="J170" s="16" t="str">
        <f>IFERROR(__xludf.DUMMYFUNCTION("""COMPUTED_VALUE"""),"")</f>
        <v/>
      </c>
      <c r="K170" s="16" t="str">
        <f>IFERROR(__xludf.DUMMYFUNCTION("""COMPUTED_VALUE"""),"")</f>
        <v/>
      </c>
      <c r="L170" s="16" t="str">
        <f>IFERROR(__xludf.DUMMYFUNCTION("""COMPUTED_VALUE"""),"")</f>
        <v/>
      </c>
      <c r="M170" s="16" t="str">
        <f>IFERROR(__xludf.DUMMYFUNCTION("""COMPUTED_VALUE"""),"")</f>
        <v/>
      </c>
      <c r="N170" s="16" t="str">
        <f>IFERROR(__xludf.DUMMYFUNCTION("""COMPUTED_VALUE"""),"")</f>
        <v/>
      </c>
      <c r="O170" s="16" t="str">
        <f>IFERROR(__xludf.DUMMYFUNCTION("""COMPUTED_VALUE"""),"")</f>
        <v/>
      </c>
      <c r="P170" s="16" t="str">
        <f>IFERROR(__xludf.DUMMYFUNCTION("""COMPUTED_VALUE"""),"")</f>
        <v/>
      </c>
      <c r="Q170" s="16" t="str">
        <f>IFERROR(__xludf.DUMMYFUNCTION("""COMPUTED_VALUE"""),"")</f>
        <v/>
      </c>
      <c r="R170" s="16" t="str">
        <f>IFERROR(__xludf.DUMMYFUNCTION("""COMPUTED_VALUE"""),"")</f>
        <v/>
      </c>
      <c r="S170" s="16" t="str">
        <f>IFERROR(__xludf.DUMMYFUNCTION("""COMPUTED_VALUE"""),"")</f>
        <v/>
      </c>
      <c r="T170" s="16" t="str">
        <f>IFERROR(__xludf.DUMMYFUNCTION("""COMPUTED_VALUE"""),"")</f>
        <v/>
      </c>
      <c r="U170" s="16" t="str">
        <f>IFERROR(__xludf.DUMMYFUNCTION("""COMPUTED_VALUE"""),"")</f>
        <v/>
      </c>
      <c r="V170" s="16" t="str">
        <f>IFERROR(__xludf.DUMMYFUNCTION("""COMPUTED_VALUE"""),"")</f>
        <v/>
      </c>
      <c r="W170" s="16" t="str">
        <f>IFERROR(__xludf.DUMMYFUNCTION("""COMPUTED_VALUE"""),"")</f>
        <v/>
      </c>
      <c r="X170" s="16" t="str">
        <f>IFERROR(__xludf.DUMMYFUNCTION("""COMPUTED_VALUE"""),"")</f>
        <v/>
      </c>
      <c r="Y170" s="16" t="str">
        <f>IFERROR(__xludf.DUMMYFUNCTION("""COMPUTED_VALUE"""),"")</f>
        <v/>
      </c>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row>
    <row r="171">
      <c r="A171" s="16"/>
      <c r="B171" s="16"/>
      <c r="C171" s="16" t="str">
        <f>IFERROR(__xludf.DUMMYFUNCTION("""COMPUTED_VALUE"""),"")</f>
        <v/>
      </c>
      <c r="D171" s="16" t="str">
        <f>IFERROR(__xludf.DUMMYFUNCTION("""COMPUTED_VALUE"""),"")</f>
        <v/>
      </c>
      <c r="E171" s="16" t="str">
        <f>IFERROR(__xludf.DUMMYFUNCTION("""COMPUTED_VALUE"""),"")</f>
        <v/>
      </c>
      <c r="F171" s="16" t="str">
        <f>IFERROR(__xludf.DUMMYFUNCTION("""COMPUTED_VALUE"""),"")</f>
        <v/>
      </c>
      <c r="G171" s="16" t="str">
        <f>IFERROR(__xludf.DUMMYFUNCTION("""COMPUTED_VALUE"""),"")</f>
        <v/>
      </c>
      <c r="H171" s="16" t="str">
        <f>IFERROR(__xludf.DUMMYFUNCTION("""COMPUTED_VALUE"""),"")</f>
        <v/>
      </c>
      <c r="I171" s="16" t="str">
        <f>IFERROR(__xludf.DUMMYFUNCTION("""COMPUTED_VALUE"""),"")</f>
        <v/>
      </c>
      <c r="J171" s="16" t="str">
        <f>IFERROR(__xludf.DUMMYFUNCTION("""COMPUTED_VALUE"""),"")</f>
        <v/>
      </c>
      <c r="K171" s="16" t="str">
        <f>IFERROR(__xludf.DUMMYFUNCTION("""COMPUTED_VALUE"""),"")</f>
        <v/>
      </c>
      <c r="L171" s="16" t="str">
        <f>IFERROR(__xludf.DUMMYFUNCTION("""COMPUTED_VALUE"""),"")</f>
        <v/>
      </c>
      <c r="M171" s="16" t="str">
        <f>IFERROR(__xludf.DUMMYFUNCTION("""COMPUTED_VALUE"""),"")</f>
        <v/>
      </c>
      <c r="N171" s="16" t="str">
        <f>IFERROR(__xludf.DUMMYFUNCTION("""COMPUTED_VALUE"""),"")</f>
        <v/>
      </c>
      <c r="O171" s="16" t="str">
        <f>IFERROR(__xludf.DUMMYFUNCTION("""COMPUTED_VALUE"""),"")</f>
        <v/>
      </c>
      <c r="P171" s="16" t="str">
        <f>IFERROR(__xludf.DUMMYFUNCTION("""COMPUTED_VALUE"""),"")</f>
        <v/>
      </c>
      <c r="Q171" s="16" t="str">
        <f>IFERROR(__xludf.DUMMYFUNCTION("""COMPUTED_VALUE"""),"")</f>
        <v/>
      </c>
      <c r="R171" s="16" t="str">
        <f>IFERROR(__xludf.DUMMYFUNCTION("""COMPUTED_VALUE"""),"")</f>
        <v/>
      </c>
      <c r="S171" s="16" t="str">
        <f>IFERROR(__xludf.DUMMYFUNCTION("""COMPUTED_VALUE"""),"")</f>
        <v/>
      </c>
      <c r="T171" s="16" t="str">
        <f>IFERROR(__xludf.DUMMYFUNCTION("""COMPUTED_VALUE"""),"")</f>
        <v/>
      </c>
      <c r="U171" s="16" t="str">
        <f>IFERROR(__xludf.DUMMYFUNCTION("""COMPUTED_VALUE"""),"")</f>
        <v/>
      </c>
      <c r="V171" s="16" t="str">
        <f>IFERROR(__xludf.DUMMYFUNCTION("""COMPUTED_VALUE"""),"")</f>
        <v/>
      </c>
      <c r="W171" s="16" t="str">
        <f>IFERROR(__xludf.DUMMYFUNCTION("""COMPUTED_VALUE"""),"")</f>
        <v/>
      </c>
      <c r="X171" s="16" t="str">
        <f>IFERROR(__xludf.DUMMYFUNCTION("""COMPUTED_VALUE"""),"")</f>
        <v/>
      </c>
      <c r="Y171" s="16" t="str">
        <f>IFERROR(__xludf.DUMMYFUNCTION("""COMPUTED_VALUE"""),"")</f>
        <v/>
      </c>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row>
    <row r="172">
      <c r="A172" s="16"/>
      <c r="B172" s="16"/>
      <c r="C172" s="16" t="str">
        <f>IFERROR(__xludf.DUMMYFUNCTION("""COMPUTED_VALUE"""),"")</f>
        <v/>
      </c>
      <c r="D172" s="16" t="str">
        <f>IFERROR(__xludf.DUMMYFUNCTION("""COMPUTED_VALUE"""),"")</f>
        <v/>
      </c>
      <c r="E172" s="16" t="str">
        <f>IFERROR(__xludf.DUMMYFUNCTION("""COMPUTED_VALUE"""),"")</f>
        <v/>
      </c>
      <c r="F172" s="16" t="str">
        <f>IFERROR(__xludf.DUMMYFUNCTION("""COMPUTED_VALUE"""),"")</f>
        <v/>
      </c>
      <c r="G172" s="16" t="str">
        <f>IFERROR(__xludf.DUMMYFUNCTION("""COMPUTED_VALUE"""),"")</f>
        <v/>
      </c>
      <c r="H172" s="16" t="str">
        <f>IFERROR(__xludf.DUMMYFUNCTION("""COMPUTED_VALUE"""),"")</f>
        <v/>
      </c>
      <c r="I172" s="16" t="str">
        <f>IFERROR(__xludf.DUMMYFUNCTION("""COMPUTED_VALUE"""),"")</f>
        <v/>
      </c>
      <c r="J172" s="16" t="str">
        <f>IFERROR(__xludf.DUMMYFUNCTION("""COMPUTED_VALUE"""),"")</f>
        <v/>
      </c>
      <c r="K172" s="16" t="str">
        <f>IFERROR(__xludf.DUMMYFUNCTION("""COMPUTED_VALUE"""),"")</f>
        <v/>
      </c>
      <c r="L172" s="16" t="str">
        <f>IFERROR(__xludf.DUMMYFUNCTION("""COMPUTED_VALUE"""),"")</f>
        <v/>
      </c>
      <c r="M172" s="16" t="str">
        <f>IFERROR(__xludf.DUMMYFUNCTION("""COMPUTED_VALUE"""),"")</f>
        <v/>
      </c>
      <c r="N172" s="16" t="str">
        <f>IFERROR(__xludf.DUMMYFUNCTION("""COMPUTED_VALUE"""),"")</f>
        <v/>
      </c>
      <c r="O172" s="16" t="str">
        <f>IFERROR(__xludf.DUMMYFUNCTION("""COMPUTED_VALUE"""),"")</f>
        <v/>
      </c>
      <c r="P172" s="16" t="str">
        <f>IFERROR(__xludf.DUMMYFUNCTION("""COMPUTED_VALUE"""),"")</f>
        <v/>
      </c>
      <c r="Q172" s="16" t="str">
        <f>IFERROR(__xludf.DUMMYFUNCTION("""COMPUTED_VALUE"""),"")</f>
        <v/>
      </c>
      <c r="R172" s="16" t="str">
        <f>IFERROR(__xludf.DUMMYFUNCTION("""COMPUTED_VALUE"""),"")</f>
        <v/>
      </c>
      <c r="S172" s="16" t="str">
        <f>IFERROR(__xludf.DUMMYFUNCTION("""COMPUTED_VALUE"""),"")</f>
        <v/>
      </c>
      <c r="T172" s="16" t="str">
        <f>IFERROR(__xludf.DUMMYFUNCTION("""COMPUTED_VALUE"""),"")</f>
        <v/>
      </c>
      <c r="U172" s="16" t="str">
        <f>IFERROR(__xludf.DUMMYFUNCTION("""COMPUTED_VALUE"""),"")</f>
        <v/>
      </c>
      <c r="V172" s="16" t="str">
        <f>IFERROR(__xludf.DUMMYFUNCTION("""COMPUTED_VALUE"""),"")</f>
        <v/>
      </c>
      <c r="W172" s="16" t="str">
        <f>IFERROR(__xludf.DUMMYFUNCTION("""COMPUTED_VALUE"""),"")</f>
        <v/>
      </c>
      <c r="X172" s="16" t="str">
        <f>IFERROR(__xludf.DUMMYFUNCTION("""COMPUTED_VALUE"""),"")</f>
        <v/>
      </c>
      <c r="Y172" s="16" t="str">
        <f>IFERROR(__xludf.DUMMYFUNCTION("""COMPUTED_VALUE"""),"")</f>
        <v/>
      </c>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row>
    <row r="173">
      <c r="A173" s="16"/>
      <c r="B173" s="16"/>
      <c r="C173" s="16" t="str">
        <f>IFERROR(__xludf.DUMMYFUNCTION("""COMPUTED_VALUE"""),"")</f>
        <v/>
      </c>
      <c r="D173" s="16" t="str">
        <f>IFERROR(__xludf.DUMMYFUNCTION("""COMPUTED_VALUE"""),"")</f>
        <v/>
      </c>
      <c r="E173" s="16" t="str">
        <f>IFERROR(__xludf.DUMMYFUNCTION("""COMPUTED_VALUE"""),"")</f>
        <v/>
      </c>
      <c r="F173" s="16" t="str">
        <f>IFERROR(__xludf.DUMMYFUNCTION("""COMPUTED_VALUE"""),"")</f>
        <v/>
      </c>
      <c r="G173" s="16" t="str">
        <f>IFERROR(__xludf.DUMMYFUNCTION("""COMPUTED_VALUE"""),"")</f>
        <v/>
      </c>
      <c r="H173" s="16" t="str">
        <f>IFERROR(__xludf.DUMMYFUNCTION("""COMPUTED_VALUE"""),"")</f>
        <v/>
      </c>
      <c r="I173" s="16" t="str">
        <f>IFERROR(__xludf.DUMMYFUNCTION("""COMPUTED_VALUE"""),"")</f>
        <v/>
      </c>
      <c r="J173" s="16" t="str">
        <f>IFERROR(__xludf.DUMMYFUNCTION("""COMPUTED_VALUE"""),"")</f>
        <v/>
      </c>
      <c r="K173" s="16" t="str">
        <f>IFERROR(__xludf.DUMMYFUNCTION("""COMPUTED_VALUE"""),"")</f>
        <v/>
      </c>
      <c r="L173" s="16" t="str">
        <f>IFERROR(__xludf.DUMMYFUNCTION("""COMPUTED_VALUE"""),"")</f>
        <v/>
      </c>
      <c r="M173" s="16" t="str">
        <f>IFERROR(__xludf.DUMMYFUNCTION("""COMPUTED_VALUE"""),"")</f>
        <v/>
      </c>
      <c r="N173" s="16" t="str">
        <f>IFERROR(__xludf.DUMMYFUNCTION("""COMPUTED_VALUE"""),"")</f>
        <v/>
      </c>
      <c r="O173" s="16" t="str">
        <f>IFERROR(__xludf.DUMMYFUNCTION("""COMPUTED_VALUE"""),"")</f>
        <v/>
      </c>
      <c r="P173" s="16" t="str">
        <f>IFERROR(__xludf.DUMMYFUNCTION("""COMPUTED_VALUE"""),"")</f>
        <v/>
      </c>
      <c r="Q173" s="16" t="str">
        <f>IFERROR(__xludf.DUMMYFUNCTION("""COMPUTED_VALUE"""),"")</f>
        <v/>
      </c>
      <c r="R173" s="16" t="str">
        <f>IFERROR(__xludf.DUMMYFUNCTION("""COMPUTED_VALUE"""),"")</f>
        <v/>
      </c>
      <c r="S173" s="16" t="str">
        <f>IFERROR(__xludf.DUMMYFUNCTION("""COMPUTED_VALUE"""),"")</f>
        <v/>
      </c>
      <c r="T173" s="16" t="str">
        <f>IFERROR(__xludf.DUMMYFUNCTION("""COMPUTED_VALUE"""),"")</f>
        <v/>
      </c>
      <c r="U173" s="16" t="str">
        <f>IFERROR(__xludf.DUMMYFUNCTION("""COMPUTED_VALUE"""),"")</f>
        <v/>
      </c>
      <c r="V173" s="16" t="str">
        <f>IFERROR(__xludf.DUMMYFUNCTION("""COMPUTED_VALUE"""),"")</f>
        <v/>
      </c>
      <c r="W173" s="16" t="str">
        <f>IFERROR(__xludf.DUMMYFUNCTION("""COMPUTED_VALUE"""),"")</f>
        <v/>
      </c>
      <c r="X173" s="16" t="str">
        <f>IFERROR(__xludf.DUMMYFUNCTION("""COMPUTED_VALUE"""),"")</f>
        <v/>
      </c>
      <c r="Y173" s="16" t="str">
        <f>IFERROR(__xludf.DUMMYFUNCTION("""COMPUTED_VALUE"""),"")</f>
        <v/>
      </c>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row>
    <row r="174">
      <c r="A174" s="16"/>
      <c r="B174" s="16"/>
      <c r="C174" s="16" t="str">
        <f>IFERROR(__xludf.DUMMYFUNCTION("""COMPUTED_VALUE"""),"")</f>
        <v/>
      </c>
      <c r="D174" s="16" t="str">
        <f>IFERROR(__xludf.DUMMYFUNCTION("""COMPUTED_VALUE"""),"")</f>
        <v/>
      </c>
      <c r="E174" s="16" t="str">
        <f>IFERROR(__xludf.DUMMYFUNCTION("""COMPUTED_VALUE"""),"")</f>
        <v/>
      </c>
      <c r="F174" s="16" t="str">
        <f>IFERROR(__xludf.DUMMYFUNCTION("""COMPUTED_VALUE"""),"")</f>
        <v/>
      </c>
      <c r="G174" s="16" t="str">
        <f>IFERROR(__xludf.DUMMYFUNCTION("""COMPUTED_VALUE"""),"")</f>
        <v/>
      </c>
      <c r="H174" s="16" t="str">
        <f>IFERROR(__xludf.DUMMYFUNCTION("""COMPUTED_VALUE"""),"")</f>
        <v/>
      </c>
      <c r="I174" s="16" t="str">
        <f>IFERROR(__xludf.DUMMYFUNCTION("""COMPUTED_VALUE"""),"")</f>
        <v/>
      </c>
      <c r="J174" s="16" t="str">
        <f>IFERROR(__xludf.DUMMYFUNCTION("""COMPUTED_VALUE"""),"")</f>
        <v/>
      </c>
      <c r="K174" s="16" t="str">
        <f>IFERROR(__xludf.DUMMYFUNCTION("""COMPUTED_VALUE"""),"")</f>
        <v/>
      </c>
      <c r="L174" s="16" t="str">
        <f>IFERROR(__xludf.DUMMYFUNCTION("""COMPUTED_VALUE"""),"")</f>
        <v/>
      </c>
      <c r="M174" s="16" t="str">
        <f>IFERROR(__xludf.DUMMYFUNCTION("""COMPUTED_VALUE"""),"")</f>
        <v/>
      </c>
      <c r="N174" s="16" t="str">
        <f>IFERROR(__xludf.DUMMYFUNCTION("""COMPUTED_VALUE"""),"")</f>
        <v/>
      </c>
      <c r="O174" s="16" t="str">
        <f>IFERROR(__xludf.DUMMYFUNCTION("""COMPUTED_VALUE"""),"")</f>
        <v/>
      </c>
      <c r="P174" s="16" t="str">
        <f>IFERROR(__xludf.DUMMYFUNCTION("""COMPUTED_VALUE"""),"")</f>
        <v/>
      </c>
      <c r="Q174" s="16" t="str">
        <f>IFERROR(__xludf.DUMMYFUNCTION("""COMPUTED_VALUE"""),"")</f>
        <v/>
      </c>
      <c r="R174" s="16" t="str">
        <f>IFERROR(__xludf.DUMMYFUNCTION("""COMPUTED_VALUE"""),"")</f>
        <v/>
      </c>
      <c r="S174" s="16" t="str">
        <f>IFERROR(__xludf.DUMMYFUNCTION("""COMPUTED_VALUE"""),"")</f>
        <v/>
      </c>
      <c r="T174" s="16" t="str">
        <f>IFERROR(__xludf.DUMMYFUNCTION("""COMPUTED_VALUE"""),"")</f>
        <v/>
      </c>
      <c r="U174" s="16" t="str">
        <f>IFERROR(__xludf.DUMMYFUNCTION("""COMPUTED_VALUE"""),"")</f>
        <v/>
      </c>
      <c r="V174" s="16" t="str">
        <f>IFERROR(__xludf.DUMMYFUNCTION("""COMPUTED_VALUE"""),"")</f>
        <v/>
      </c>
      <c r="W174" s="16" t="str">
        <f>IFERROR(__xludf.DUMMYFUNCTION("""COMPUTED_VALUE"""),"")</f>
        <v/>
      </c>
      <c r="X174" s="16" t="str">
        <f>IFERROR(__xludf.DUMMYFUNCTION("""COMPUTED_VALUE"""),"")</f>
        <v/>
      </c>
      <c r="Y174" s="16" t="str">
        <f>IFERROR(__xludf.DUMMYFUNCTION("""COMPUTED_VALUE"""),"")</f>
        <v/>
      </c>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row>
    <row r="175">
      <c r="A175" s="16"/>
      <c r="B175" s="16"/>
      <c r="C175" s="16" t="str">
        <f>IFERROR(__xludf.DUMMYFUNCTION("""COMPUTED_VALUE"""),"")</f>
        <v/>
      </c>
      <c r="D175" s="16" t="str">
        <f>IFERROR(__xludf.DUMMYFUNCTION("""COMPUTED_VALUE"""),"")</f>
        <v/>
      </c>
      <c r="E175" s="16" t="str">
        <f>IFERROR(__xludf.DUMMYFUNCTION("""COMPUTED_VALUE"""),"")</f>
        <v/>
      </c>
      <c r="F175" s="16" t="str">
        <f>IFERROR(__xludf.DUMMYFUNCTION("""COMPUTED_VALUE"""),"")</f>
        <v/>
      </c>
      <c r="G175" s="16" t="str">
        <f>IFERROR(__xludf.DUMMYFUNCTION("""COMPUTED_VALUE"""),"")</f>
        <v/>
      </c>
      <c r="H175" s="16" t="str">
        <f>IFERROR(__xludf.DUMMYFUNCTION("""COMPUTED_VALUE"""),"")</f>
        <v/>
      </c>
      <c r="I175" s="16" t="str">
        <f>IFERROR(__xludf.DUMMYFUNCTION("""COMPUTED_VALUE"""),"")</f>
        <v/>
      </c>
      <c r="J175" s="16" t="str">
        <f>IFERROR(__xludf.DUMMYFUNCTION("""COMPUTED_VALUE"""),"")</f>
        <v/>
      </c>
      <c r="K175" s="16" t="str">
        <f>IFERROR(__xludf.DUMMYFUNCTION("""COMPUTED_VALUE"""),"")</f>
        <v/>
      </c>
      <c r="L175" s="16" t="str">
        <f>IFERROR(__xludf.DUMMYFUNCTION("""COMPUTED_VALUE"""),"")</f>
        <v/>
      </c>
      <c r="M175" s="16" t="str">
        <f>IFERROR(__xludf.DUMMYFUNCTION("""COMPUTED_VALUE"""),"")</f>
        <v/>
      </c>
      <c r="N175" s="16" t="str">
        <f>IFERROR(__xludf.DUMMYFUNCTION("""COMPUTED_VALUE"""),"")</f>
        <v/>
      </c>
      <c r="O175" s="16" t="str">
        <f>IFERROR(__xludf.DUMMYFUNCTION("""COMPUTED_VALUE"""),"")</f>
        <v/>
      </c>
      <c r="P175" s="16" t="str">
        <f>IFERROR(__xludf.DUMMYFUNCTION("""COMPUTED_VALUE"""),"")</f>
        <v/>
      </c>
      <c r="Q175" s="16" t="str">
        <f>IFERROR(__xludf.DUMMYFUNCTION("""COMPUTED_VALUE"""),"")</f>
        <v/>
      </c>
      <c r="R175" s="16" t="str">
        <f>IFERROR(__xludf.DUMMYFUNCTION("""COMPUTED_VALUE"""),"")</f>
        <v/>
      </c>
      <c r="S175" s="16" t="str">
        <f>IFERROR(__xludf.DUMMYFUNCTION("""COMPUTED_VALUE"""),"")</f>
        <v/>
      </c>
      <c r="T175" s="16" t="str">
        <f>IFERROR(__xludf.DUMMYFUNCTION("""COMPUTED_VALUE"""),"")</f>
        <v/>
      </c>
      <c r="U175" s="16" t="str">
        <f>IFERROR(__xludf.DUMMYFUNCTION("""COMPUTED_VALUE"""),"")</f>
        <v/>
      </c>
      <c r="V175" s="16" t="str">
        <f>IFERROR(__xludf.DUMMYFUNCTION("""COMPUTED_VALUE"""),"")</f>
        <v/>
      </c>
      <c r="W175" s="16" t="str">
        <f>IFERROR(__xludf.DUMMYFUNCTION("""COMPUTED_VALUE"""),"")</f>
        <v/>
      </c>
      <c r="X175" s="16" t="str">
        <f>IFERROR(__xludf.DUMMYFUNCTION("""COMPUTED_VALUE"""),"")</f>
        <v/>
      </c>
      <c r="Y175" s="16" t="str">
        <f>IFERROR(__xludf.DUMMYFUNCTION("""COMPUTED_VALUE"""),"")</f>
        <v/>
      </c>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row>
    <row r="176">
      <c r="A176" s="16"/>
      <c r="B176" s="16"/>
      <c r="C176" s="16" t="str">
        <f>IFERROR(__xludf.DUMMYFUNCTION("""COMPUTED_VALUE"""),"")</f>
        <v/>
      </c>
      <c r="D176" s="16" t="str">
        <f>IFERROR(__xludf.DUMMYFUNCTION("""COMPUTED_VALUE"""),"")</f>
        <v/>
      </c>
      <c r="E176" s="16" t="str">
        <f>IFERROR(__xludf.DUMMYFUNCTION("""COMPUTED_VALUE"""),"")</f>
        <v/>
      </c>
      <c r="F176" s="16" t="str">
        <f>IFERROR(__xludf.DUMMYFUNCTION("""COMPUTED_VALUE"""),"")</f>
        <v/>
      </c>
      <c r="G176" s="16" t="str">
        <f>IFERROR(__xludf.DUMMYFUNCTION("""COMPUTED_VALUE"""),"")</f>
        <v/>
      </c>
      <c r="H176" s="16" t="str">
        <f>IFERROR(__xludf.DUMMYFUNCTION("""COMPUTED_VALUE"""),"")</f>
        <v/>
      </c>
      <c r="I176" s="16" t="str">
        <f>IFERROR(__xludf.DUMMYFUNCTION("""COMPUTED_VALUE"""),"")</f>
        <v/>
      </c>
      <c r="J176" s="16" t="str">
        <f>IFERROR(__xludf.DUMMYFUNCTION("""COMPUTED_VALUE"""),"")</f>
        <v/>
      </c>
      <c r="K176" s="16" t="str">
        <f>IFERROR(__xludf.DUMMYFUNCTION("""COMPUTED_VALUE"""),"")</f>
        <v/>
      </c>
      <c r="L176" s="16" t="str">
        <f>IFERROR(__xludf.DUMMYFUNCTION("""COMPUTED_VALUE"""),"")</f>
        <v/>
      </c>
      <c r="M176" s="16" t="str">
        <f>IFERROR(__xludf.DUMMYFUNCTION("""COMPUTED_VALUE"""),"")</f>
        <v/>
      </c>
      <c r="N176" s="16" t="str">
        <f>IFERROR(__xludf.DUMMYFUNCTION("""COMPUTED_VALUE"""),"")</f>
        <v/>
      </c>
      <c r="O176" s="16" t="str">
        <f>IFERROR(__xludf.DUMMYFUNCTION("""COMPUTED_VALUE"""),"")</f>
        <v/>
      </c>
      <c r="P176" s="16" t="str">
        <f>IFERROR(__xludf.DUMMYFUNCTION("""COMPUTED_VALUE"""),"")</f>
        <v/>
      </c>
      <c r="Q176" s="16" t="str">
        <f>IFERROR(__xludf.DUMMYFUNCTION("""COMPUTED_VALUE"""),"")</f>
        <v/>
      </c>
      <c r="R176" s="16" t="str">
        <f>IFERROR(__xludf.DUMMYFUNCTION("""COMPUTED_VALUE"""),"")</f>
        <v/>
      </c>
      <c r="S176" s="16" t="str">
        <f>IFERROR(__xludf.DUMMYFUNCTION("""COMPUTED_VALUE"""),"")</f>
        <v/>
      </c>
      <c r="T176" s="16" t="str">
        <f>IFERROR(__xludf.DUMMYFUNCTION("""COMPUTED_VALUE"""),"")</f>
        <v/>
      </c>
      <c r="U176" s="16" t="str">
        <f>IFERROR(__xludf.DUMMYFUNCTION("""COMPUTED_VALUE"""),"")</f>
        <v/>
      </c>
      <c r="V176" s="16" t="str">
        <f>IFERROR(__xludf.DUMMYFUNCTION("""COMPUTED_VALUE"""),"")</f>
        <v/>
      </c>
      <c r="W176" s="16" t="str">
        <f>IFERROR(__xludf.DUMMYFUNCTION("""COMPUTED_VALUE"""),"")</f>
        <v/>
      </c>
      <c r="X176" s="16" t="str">
        <f>IFERROR(__xludf.DUMMYFUNCTION("""COMPUTED_VALUE"""),"")</f>
        <v/>
      </c>
      <c r="Y176" s="16" t="str">
        <f>IFERROR(__xludf.DUMMYFUNCTION("""COMPUTED_VALUE"""),"")</f>
        <v/>
      </c>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row>
    <row r="177">
      <c r="A177" s="16"/>
      <c r="B177" s="16"/>
      <c r="C177" s="16" t="str">
        <f>IFERROR(__xludf.DUMMYFUNCTION("""COMPUTED_VALUE"""),"")</f>
        <v/>
      </c>
      <c r="D177" s="16" t="str">
        <f>IFERROR(__xludf.DUMMYFUNCTION("""COMPUTED_VALUE"""),"")</f>
        <v/>
      </c>
      <c r="E177" s="16" t="str">
        <f>IFERROR(__xludf.DUMMYFUNCTION("""COMPUTED_VALUE"""),"")</f>
        <v/>
      </c>
      <c r="F177" s="16" t="str">
        <f>IFERROR(__xludf.DUMMYFUNCTION("""COMPUTED_VALUE"""),"")</f>
        <v/>
      </c>
      <c r="G177" s="16" t="str">
        <f>IFERROR(__xludf.DUMMYFUNCTION("""COMPUTED_VALUE"""),"")</f>
        <v/>
      </c>
      <c r="H177" s="16" t="str">
        <f>IFERROR(__xludf.DUMMYFUNCTION("""COMPUTED_VALUE"""),"")</f>
        <v/>
      </c>
      <c r="I177" s="16" t="str">
        <f>IFERROR(__xludf.DUMMYFUNCTION("""COMPUTED_VALUE"""),"")</f>
        <v/>
      </c>
      <c r="J177" s="16" t="str">
        <f>IFERROR(__xludf.DUMMYFUNCTION("""COMPUTED_VALUE"""),"")</f>
        <v/>
      </c>
      <c r="K177" s="16" t="str">
        <f>IFERROR(__xludf.DUMMYFUNCTION("""COMPUTED_VALUE"""),"")</f>
        <v/>
      </c>
      <c r="L177" s="16" t="str">
        <f>IFERROR(__xludf.DUMMYFUNCTION("""COMPUTED_VALUE"""),"")</f>
        <v/>
      </c>
      <c r="M177" s="16" t="str">
        <f>IFERROR(__xludf.DUMMYFUNCTION("""COMPUTED_VALUE"""),"")</f>
        <v/>
      </c>
      <c r="N177" s="16" t="str">
        <f>IFERROR(__xludf.DUMMYFUNCTION("""COMPUTED_VALUE"""),"")</f>
        <v/>
      </c>
      <c r="O177" s="16" t="str">
        <f>IFERROR(__xludf.DUMMYFUNCTION("""COMPUTED_VALUE"""),"")</f>
        <v/>
      </c>
      <c r="P177" s="16" t="str">
        <f>IFERROR(__xludf.DUMMYFUNCTION("""COMPUTED_VALUE"""),"")</f>
        <v/>
      </c>
      <c r="Q177" s="16" t="str">
        <f>IFERROR(__xludf.DUMMYFUNCTION("""COMPUTED_VALUE"""),"")</f>
        <v/>
      </c>
      <c r="R177" s="16" t="str">
        <f>IFERROR(__xludf.DUMMYFUNCTION("""COMPUTED_VALUE"""),"")</f>
        <v/>
      </c>
      <c r="S177" s="16" t="str">
        <f>IFERROR(__xludf.DUMMYFUNCTION("""COMPUTED_VALUE"""),"")</f>
        <v/>
      </c>
      <c r="T177" s="16" t="str">
        <f>IFERROR(__xludf.DUMMYFUNCTION("""COMPUTED_VALUE"""),"")</f>
        <v/>
      </c>
      <c r="U177" s="16" t="str">
        <f>IFERROR(__xludf.DUMMYFUNCTION("""COMPUTED_VALUE"""),"")</f>
        <v/>
      </c>
      <c r="V177" s="16" t="str">
        <f>IFERROR(__xludf.DUMMYFUNCTION("""COMPUTED_VALUE"""),"")</f>
        <v/>
      </c>
      <c r="W177" s="16" t="str">
        <f>IFERROR(__xludf.DUMMYFUNCTION("""COMPUTED_VALUE"""),"")</f>
        <v/>
      </c>
      <c r="X177" s="16" t="str">
        <f>IFERROR(__xludf.DUMMYFUNCTION("""COMPUTED_VALUE"""),"")</f>
        <v/>
      </c>
      <c r="Y177" s="16" t="str">
        <f>IFERROR(__xludf.DUMMYFUNCTION("""COMPUTED_VALUE"""),"")</f>
        <v/>
      </c>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row>
    <row r="178">
      <c r="A178" s="16"/>
      <c r="B178" s="16"/>
      <c r="C178" s="16" t="str">
        <f>IFERROR(__xludf.DUMMYFUNCTION("""COMPUTED_VALUE"""),"")</f>
        <v/>
      </c>
      <c r="D178" s="16" t="str">
        <f>IFERROR(__xludf.DUMMYFUNCTION("""COMPUTED_VALUE"""),"")</f>
        <v/>
      </c>
      <c r="E178" s="16" t="str">
        <f>IFERROR(__xludf.DUMMYFUNCTION("""COMPUTED_VALUE"""),"")</f>
        <v/>
      </c>
      <c r="F178" s="16" t="str">
        <f>IFERROR(__xludf.DUMMYFUNCTION("""COMPUTED_VALUE"""),"")</f>
        <v/>
      </c>
      <c r="G178" s="16" t="str">
        <f>IFERROR(__xludf.DUMMYFUNCTION("""COMPUTED_VALUE"""),"")</f>
        <v/>
      </c>
      <c r="H178" s="16" t="str">
        <f>IFERROR(__xludf.DUMMYFUNCTION("""COMPUTED_VALUE"""),"")</f>
        <v/>
      </c>
      <c r="I178" s="16" t="str">
        <f>IFERROR(__xludf.DUMMYFUNCTION("""COMPUTED_VALUE"""),"")</f>
        <v/>
      </c>
      <c r="J178" s="16" t="str">
        <f>IFERROR(__xludf.DUMMYFUNCTION("""COMPUTED_VALUE"""),"")</f>
        <v/>
      </c>
      <c r="K178" s="16" t="str">
        <f>IFERROR(__xludf.DUMMYFUNCTION("""COMPUTED_VALUE"""),"")</f>
        <v/>
      </c>
      <c r="L178" s="16" t="str">
        <f>IFERROR(__xludf.DUMMYFUNCTION("""COMPUTED_VALUE"""),"")</f>
        <v/>
      </c>
      <c r="M178" s="16" t="str">
        <f>IFERROR(__xludf.DUMMYFUNCTION("""COMPUTED_VALUE"""),"")</f>
        <v/>
      </c>
      <c r="N178" s="16" t="str">
        <f>IFERROR(__xludf.DUMMYFUNCTION("""COMPUTED_VALUE"""),"")</f>
        <v/>
      </c>
      <c r="O178" s="16" t="str">
        <f>IFERROR(__xludf.DUMMYFUNCTION("""COMPUTED_VALUE"""),"")</f>
        <v/>
      </c>
      <c r="P178" s="16" t="str">
        <f>IFERROR(__xludf.DUMMYFUNCTION("""COMPUTED_VALUE"""),"")</f>
        <v/>
      </c>
      <c r="Q178" s="16" t="str">
        <f>IFERROR(__xludf.DUMMYFUNCTION("""COMPUTED_VALUE"""),"")</f>
        <v/>
      </c>
      <c r="R178" s="16" t="str">
        <f>IFERROR(__xludf.DUMMYFUNCTION("""COMPUTED_VALUE"""),"")</f>
        <v/>
      </c>
      <c r="S178" s="16" t="str">
        <f>IFERROR(__xludf.DUMMYFUNCTION("""COMPUTED_VALUE"""),"")</f>
        <v/>
      </c>
      <c r="T178" s="16" t="str">
        <f>IFERROR(__xludf.DUMMYFUNCTION("""COMPUTED_VALUE"""),"")</f>
        <v/>
      </c>
      <c r="U178" s="16" t="str">
        <f>IFERROR(__xludf.DUMMYFUNCTION("""COMPUTED_VALUE"""),"")</f>
        <v/>
      </c>
      <c r="V178" s="16" t="str">
        <f>IFERROR(__xludf.DUMMYFUNCTION("""COMPUTED_VALUE"""),"")</f>
        <v/>
      </c>
      <c r="W178" s="16" t="str">
        <f>IFERROR(__xludf.DUMMYFUNCTION("""COMPUTED_VALUE"""),"")</f>
        <v/>
      </c>
      <c r="X178" s="16" t="str">
        <f>IFERROR(__xludf.DUMMYFUNCTION("""COMPUTED_VALUE"""),"")</f>
        <v/>
      </c>
      <c r="Y178" s="16" t="str">
        <f>IFERROR(__xludf.DUMMYFUNCTION("""COMPUTED_VALUE"""),"")</f>
        <v/>
      </c>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row>
    <row r="179">
      <c r="A179" s="16"/>
      <c r="B179" s="16"/>
      <c r="C179" s="16" t="str">
        <f>IFERROR(__xludf.DUMMYFUNCTION("""COMPUTED_VALUE"""),"")</f>
        <v/>
      </c>
      <c r="D179" s="16" t="str">
        <f>IFERROR(__xludf.DUMMYFUNCTION("""COMPUTED_VALUE"""),"")</f>
        <v/>
      </c>
      <c r="E179" s="16" t="str">
        <f>IFERROR(__xludf.DUMMYFUNCTION("""COMPUTED_VALUE"""),"")</f>
        <v/>
      </c>
      <c r="F179" s="16" t="str">
        <f>IFERROR(__xludf.DUMMYFUNCTION("""COMPUTED_VALUE"""),"")</f>
        <v/>
      </c>
      <c r="G179" s="16" t="str">
        <f>IFERROR(__xludf.DUMMYFUNCTION("""COMPUTED_VALUE"""),"")</f>
        <v/>
      </c>
      <c r="H179" s="16" t="str">
        <f>IFERROR(__xludf.DUMMYFUNCTION("""COMPUTED_VALUE"""),"")</f>
        <v/>
      </c>
      <c r="I179" s="16" t="str">
        <f>IFERROR(__xludf.DUMMYFUNCTION("""COMPUTED_VALUE"""),"")</f>
        <v/>
      </c>
      <c r="J179" s="16" t="str">
        <f>IFERROR(__xludf.DUMMYFUNCTION("""COMPUTED_VALUE"""),"")</f>
        <v/>
      </c>
      <c r="K179" s="16" t="str">
        <f>IFERROR(__xludf.DUMMYFUNCTION("""COMPUTED_VALUE"""),"")</f>
        <v/>
      </c>
      <c r="L179" s="16" t="str">
        <f>IFERROR(__xludf.DUMMYFUNCTION("""COMPUTED_VALUE"""),"")</f>
        <v/>
      </c>
      <c r="M179" s="16" t="str">
        <f>IFERROR(__xludf.DUMMYFUNCTION("""COMPUTED_VALUE"""),"")</f>
        <v/>
      </c>
      <c r="N179" s="16" t="str">
        <f>IFERROR(__xludf.DUMMYFUNCTION("""COMPUTED_VALUE"""),"")</f>
        <v/>
      </c>
      <c r="O179" s="16" t="str">
        <f>IFERROR(__xludf.DUMMYFUNCTION("""COMPUTED_VALUE"""),"")</f>
        <v/>
      </c>
      <c r="P179" s="16" t="str">
        <f>IFERROR(__xludf.DUMMYFUNCTION("""COMPUTED_VALUE"""),"")</f>
        <v/>
      </c>
      <c r="Q179" s="16" t="str">
        <f>IFERROR(__xludf.DUMMYFUNCTION("""COMPUTED_VALUE"""),"")</f>
        <v/>
      </c>
      <c r="R179" s="16" t="str">
        <f>IFERROR(__xludf.DUMMYFUNCTION("""COMPUTED_VALUE"""),"")</f>
        <v/>
      </c>
      <c r="S179" s="16" t="str">
        <f>IFERROR(__xludf.DUMMYFUNCTION("""COMPUTED_VALUE"""),"")</f>
        <v/>
      </c>
      <c r="T179" s="16" t="str">
        <f>IFERROR(__xludf.DUMMYFUNCTION("""COMPUTED_VALUE"""),"")</f>
        <v/>
      </c>
      <c r="U179" s="16" t="str">
        <f>IFERROR(__xludf.DUMMYFUNCTION("""COMPUTED_VALUE"""),"")</f>
        <v/>
      </c>
      <c r="V179" s="16" t="str">
        <f>IFERROR(__xludf.DUMMYFUNCTION("""COMPUTED_VALUE"""),"")</f>
        <v/>
      </c>
      <c r="W179" s="16" t="str">
        <f>IFERROR(__xludf.DUMMYFUNCTION("""COMPUTED_VALUE"""),"")</f>
        <v/>
      </c>
      <c r="X179" s="16" t="str">
        <f>IFERROR(__xludf.DUMMYFUNCTION("""COMPUTED_VALUE"""),"")</f>
        <v/>
      </c>
      <c r="Y179" s="16" t="str">
        <f>IFERROR(__xludf.DUMMYFUNCTION("""COMPUTED_VALUE"""),"")</f>
        <v/>
      </c>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row>
    <row r="180">
      <c r="A180" s="16"/>
      <c r="B180" s="16"/>
      <c r="C180" s="16" t="str">
        <f>IFERROR(__xludf.DUMMYFUNCTION("""COMPUTED_VALUE"""),"")</f>
        <v/>
      </c>
      <c r="D180" s="16" t="str">
        <f>IFERROR(__xludf.DUMMYFUNCTION("""COMPUTED_VALUE"""),"")</f>
        <v/>
      </c>
      <c r="E180" s="16" t="str">
        <f>IFERROR(__xludf.DUMMYFUNCTION("""COMPUTED_VALUE"""),"")</f>
        <v/>
      </c>
      <c r="F180" s="16" t="str">
        <f>IFERROR(__xludf.DUMMYFUNCTION("""COMPUTED_VALUE"""),"")</f>
        <v/>
      </c>
      <c r="G180" s="16" t="str">
        <f>IFERROR(__xludf.DUMMYFUNCTION("""COMPUTED_VALUE"""),"")</f>
        <v/>
      </c>
      <c r="H180" s="16" t="str">
        <f>IFERROR(__xludf.DUMMYFUNCTION("""COMPUTED_VALUE"""),"")</f>
        <v/>
      </c>
      <c r="I180" s="16" t="str">
        <f>IFERROR(__xludf.DUMMYFUNCTION("""COMPUTED_VALUE"""),"")</f>
        <v/>
      </c>
      <c r="J180" s="16" t="str">
        <f>IFERROR(__xludf.DUMMYFUNCTION("""COMPUTED_VALUE"""),"")</f>
        <v/>
      </c>
      <c r="K180" s="16" t="str">
        <f>IFERROR(__xludf.DUMMYFUNCTION("""COMPUTED_VALUE"""),"")</f>
        <v/>
      </c>
      <c r="L180" s="16" t="str">
        <f>IFERROR(__xludf.DUMMYFUNCTION("""COMPUTED_VALUE"""),"")</f>
        <v/>
      </c>
      <c r="M180" s="16" t="str">
        <f>IFERROR(__xludf.DUMMYFUNCTION("""COMPUTED_VALUE"""),"")</f>
        <v/>
      </c>
      <c r="N180" s="16" t="str">
        <f>IFERROR(__xludf.DUMMYFUNCTION("""COMPUTED_VALUE"""),"")</f>
        <v/>
      </c>
      <c r="O180" s="16" t="str">
        <f>IFERROR(__xludf.DUMMYFUNCTION("""COMPUTED_VALUE"""),"")</f>
        <v/>
      </c>
      <c r="P180" s="16" t="str">
        <f>IFERROR(__xludf.DUMMYFUNCTION("""COMPUTED_VALUE"""),"")</f>
        <v/>
      </c>
      <c r="Q180" s="16" t="str">
        <f>IFERROR(__xludf.DUMMYFUNCTION("""COMPUTED_VALUE"""),"")</f>
        <v/>
      </c>
      <c r="R180" s="16" t="str">
        <f>IFERROR(__xludf.DUMMYFUNCTION("""COMPUTED_VALUE"""),"")</f>
        <v/>
      </c>
      <c r="S180" s="16" t="str">
        <f>IFERROR(__xludf.DUMMYFUNCTION("""COMPUTED_VALUE"""),"")</f>
        <v/>
      </c>
      <c r="T180" s="16" t="str">
        <f>IFERROR(__xludf.DUMMYFUNCTION("""COMPUTED_VALUE"""),"")</f>
        <v/>
      </c>
      <c r="U180" s="16" t="str">
        <f>IFERROR(__xludf.DUMMYFUNCTION("""COMPUTED_VALUE"""),"")</f>
        <v/>
      </c>
      <c r="V180" s="16" t="str">
        <f>IFERROR(__xludf.DUMMYFUNCTION("""COMPUTED_VALUE"""),"")</f>
        <v/>
      </c>
      <c r="W180" s="16" t="str">
        <f>IFERROR(__xludf.DUMMYFUNCTION("""COMPUTED_VALUE"""),"")</f>
        <v/>
      </c>
      <c r="X180" s="16" t="str">
        <f>IFERROR(__xludf.DUMMYFUNCTION("""COMPUTED_VALUE"""),"")</f>
        <v/>
      </c>
      <c r="Y180" s="16" t="str">
        <f>IFERROR(__xludf.DUMMYFUNCTION("""COMPUTED_VALUE"""),"")</f>
        <v/>
      </c>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row>
    <row r="181">
      <c r="A181" s="16"/>
      <c r="B181" s="16"/>
      <c r="C181" s="16" t="str">
        <f>IFERROR(__xludf.DUMMYFUNCTION("""COMPUTED_VALUE"""),"")</f>
        <v/>
      </c>
      <c r="D181" s="16" t="str">
        <f>IFERROR(__xludf.DUMMYFUNCTION("""COMPUTED_VALUE"""),"")</f>
        <v/>
      </c>
      <c r="E181" s="16" t="str">
        <f>IFERROR(__xludf.DUMMYFUNCTION("""COMPUTED_VALUE"""),"")</f>
        <v/>
      </c>
      <c r="F181" s="16" t="str">
        <f>IFERROR(__xludf.DUMMYFUNCTION("""COMPUTED_VALUE"""),"")</f>
        <v/>
      </c>
      <c r="G181" s="16" t="str">
        <f>IFERROR(__xludf.DUMMYFUNCTION("""COMPUTED_VALUE"""),"")</f>
        <v/>
      </c>
      <c r="H181" s="16" t="str">
        <f>IFERROR(__xludf.DUMMYFUNCTION("""COMPUTED_VALUE"""),"")</f>
        <v/>
      </c>
      <c r="I181" s="16" t="str">
        <f>IFERROR(__xludf.DUMMYFUNCTION("""COMPUTED_VALUE"""),"")</f>
        <v/>
      </c>
      <c r="J181" s="16" t="str">
        <f>IFERROR(__xludf.DUMMYFUNCTION("""COMPUTED_VALUE"""),"")</f>
        <v/>
      </c>
      <c r="K181" s="16" t="str">
        <f>IFERROR(__xludf.DUMMYFUNCTION("""COMPUTED_VALUE"""),"")</f>
        <v/>
      </c>
      <c r="L181" s="16" t="str">
        <f>IFERROR(__xludf.DUMMYFUNCTION("""COMPUTED_VALUE"""),"")</f>
        <v/>
      </c>
      <c r="M181" s="16" t="str">
        <f>IFERROR(__xludf.DUMMYFUNCTION("""COMPUTED_VALUE"""),"")</f>
        <v/>
      </c>
      <c r="N181" s="16" t="str">
        <f>IFERROR(__xludf.DUMMYFUNCTION("""COMPUTED_VALUE"""),"")</f>
        <v/>
      </c>
      <c r="O181" s="16" t="str">
        <f>IFERROR(__xludf.DUMMYFUNCTION("""COMPUTED_VALUE"""),"")</f>
        <v/>
      </c>
      <c r="P181" s="16" t="str">
        <f>IFERROR(__xludf.DUMMYFUNCTION("""COMPUTED_VALUE"""),"")</f>
        <v/>
      </c>
      <c r="Q181" s="16" t="str">
        <f>IFERROR(__xludf.DUMMYFUNCTION("""COMPUTED_VALUE"""),"")</f>
        <v/>
      </c>
      <c r="R181" s="16" t="str">
        <f>IFERROR(__xludf.DUMMYFUNCTION("""COMPUTED_VALUE"""),"")</f>
        <v/>
      </c>
      <c r="S181" s="16" t="str">
        <f>IFERROR(__xludf.DUMMYFUNCTION("""COMPUTED_VALUE"""),"")</f>
        <v/>
      </c>
      <c r="T181" s="16" t="str">
        <f>IFERROR(__xludf.DUMMYFUNCTION("""COMPUTED_VALUE"""),"")</f>
        <v/>
      </c>
      <c r="U181" s="16" t="str">
        <f>IFERROR(__xludf.DUMMYFUNCTION("""COMPUTED_VALUE"""),"")</f>
        <v/>
      </c>
      <c r="V181" s="16" t="str">
        <f>IFERROR(__xludf.DUMMYFUNCTION("""COMPUTED_VALUE"""),"")</f>
        <v/>
      </c>
      <c r="W181" s="16" t="str">
        <f>IFERROR(__xludf.DUMMYFUNCTION("""COMPUTED_VALUE"""),"")</f>
        <v/>
      </c>
      <c r="X181" s="16" t="str">
        <f>IFERROR(__xludf.DUMMYFUNCTION("""COMPUTED_VALUE"""),"")</f>
        <v/>
      </c>
      <c r="Y181" s="16" t="str">
        <f>IFERROR(__xludf.DUMMYFUNCTION("""COMPUTED_VALUE"""),"")</f>
        <v/>
      </c>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row>
    <row r="182">
      <c r="A182" s="16"/>
      <c r="B182" s="16"/>
      <c r="C182" s="16" t="str">
        <f>IFERROR(__xludf.DUMMYFUNCTION("""COMPUTED_VALUE"""),"")</f>
        <v/>
      </c>
      <c r="D182" s="16" t="str">
        <f>IFERROR(__xludf.DUMMYFUNCTION("""COMPUTED_VALUE"""),"")</f>
        <v/>
      </c>
      <c r="E182" s="16" t="str">
        <f>IFERROR(__xludf.DUMMYFUNCTION("""COMPUTED_VALUE"""),"")</f>
        <v/>
      </c>
      <c r="F182" s="16" t="str">
        <f>IFERROR(__xludf.DUMMYFUNCTION("""COMPUTED_VALUE"""),"")</f>
        <v/>
      </c>
      <c r="G182" s="16" t="str">
        <f>IFERROR(__xludf.DUMMYFUNCTION("""COMPUTED_VALUE"""),"")</f>
        <v/>
      </c>
      <c r="H182" s="16" t="str">
        <f>IFERROR(__xludf.DUMMYFUNCTION("""COMPUTED_VALUE"""),"")</f>
        <v/>
      </c>
      <c r="I182" s="16" t="str">
        <f>IFERROR(__xludf.DUMMYFUNCTION("""COMPUTED_VALUE"""),"")</f>
        <v/>
      </c>
      <c r="J182" s="16" t="str">
        <f>IFERROR(__xludf.DUMMYFUNCTION("""COMPUTED_VALUE"""),"")</f>
        <v/>
      </c>
      <c r="K182" s="16" t="str">
        <f>IFERROR(__xludf.DUMMYFUNCTION("""COMPUTED_VALUE"""),"")</f>
        <v/>
      </c>
      <c r="L182" s="16" t="str">
        <f>IFERROR(__xludf.DUMMYFUNCTION("""COMPUTED_VALUE"""),"")</f>
        <v/>
      </c>
      <c r="M182" s="16" t="str">
        <f>IFERROR(__xludf.DUMMYFUNCTION("""COMPUTED_VALUE"""),"")</f>
        <v/>
      </c>
      <c r="N182" s="16" t="str">
        <f>IFERROR(__xludf.DUMMYFUNCTION("""COMPUTED_VALUE"""),"")</f>
        <v/>
      </c>
      <c r="O182" s="16" t="str">
        <f>IFERROR(__xludf.DUMMYFUNCTION("""COMPUTED_VALUE"""),"")</f>
        <v/>
      </c>
      <c r="P182" s="16" t="str">
        <f>IFERROR(__xludf.DUMMYFUNCTION("""COMPUTED_VALUE"""),"")</f>
        <v/>
      </c>
      <c r="Q182" s="16" t="str">
        <f>IFERROR(__xludf.DUMMYFUNCTION("""COMPUTED_VALUE"""),"")</f>
        <v/>
      </c>
      <c r="R182" s="16" t="str">
        <f>IFERROR(__xludf.DUMMYFUNCTION("""COMPUTED_VALUE"""),"")</f>
        <v/>
      </c>
      <c r="S182" s="16" t="str">
        <f>IFERROR(__xludf.DUMMYFUNCTION("""COMPUTED_VALUE"""),"")</f>
        <v/>
      </c>
      <c r="T182" s="16" t="str">
        <f>IFERROR(__xludf.DUMMYFUNCTION("""COMPUTED_VALUE"""),"")</f>
        <v/>
      </c>
      <c r="U182" s="16" t="str">
        <f>IFERROR(__xludf.DUMMYFUNCTION("""COMPUTED_VALUE"""),"")</f>
        <v/>
      </c>
      <c r="V182" s="16" t="str">
        <f>IFERROR(__xludf.DUMMYFUNCTION("""COMPUTED_VALUE"""),"")</f>
        <v/>
      </c>
      <c r="W182" s="16" t="str">
        <f>IFERROR(__xludf.DUMMYFUNCTION("""COMPUTED_VALUE"""),"")</f>
        <v/>
      </c>
      <c r="X182" s="16" t="str">
        <f>IFERROR(__xludf.DUMMYFUNCTION("""COMPUTED_VALUE"""),"")</f>
        <v/>
      </c>
      <c r="Y182" s="16" t="str">
        <f>IFERROR(__xludf.DUMMYFUNCTION("""COMPUTED_VALUE"""),"")</f>
        <v/>
      </c>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row>
    <row r="183">
      <c r="A183" s="16"/>
      <c r="B183" s="16"/>
      <c r="C183" s="16" t="str">
        <f>IFERROR(__xludf.DUMMYFUNCTION("""COMPUTED_VALUE"""),"")</f>
        <v/>
      </c>
      <c r="D183" s="16" t="str">
        <f>IFERROR(__xludf.DUMMYFUNCTION("""COMPUTED_VALUE"""),"")</f>
        <v/>
      </c>
      <c r="E183" s="16" t="str">
        <f>IFERROR(__xludf.DUMMYFUNCTION("""COMPUTED_VALUE"""),"")</f>
        <v/>
      </c>
      <c r="F183" s="16" t="str">
        <f>IFERROR(__xludf.DUMMYFUNCTION("""COMPUTED_VALUE"""),"")</f>
        <v/>
      </c>
      <c r="G183" s="16" t="str">
        <f>IFERROR(__xludf.DUMMYFUNCTION("""COMPUTED_VALUE"""),"")</f>
        <v/>
      </c>
      <c r="H183" s="16" t="str">
        <f>IFERROR(__xludf.DUMMYFUNCTION("""COMPUTED_VALUE"""),"")</f>
        <v/>
      </c>
      <c r="I183" s="16" t="str">
        <f>IFERROR(__xludf.DUMMYFUNCTION("""COMPUTED_VALUE"""),"")</f>
        <v/>
      </c>
      <c r="J183" s="16" t="str">
        <f>IFERROR(__xludf.DUMMYFUNCTION("""COMPUTED_VALUE"""),"")</f>
        <v/>
      </c>
      <c r="K183" s="16" t="str">
        <f>IFERROR(__xludf.DUMMYFUNCTION("""COMPUTED_VALUE"""),"")</f>
        <v/>
      </c>
      <c r="L183" s="16" t="str">
        <f>IFERROR(__xludf.DUMMYFUNCTION("""COMPUTED_VALUE"""),"")</f>
        <v/>
      </c>
      <c r="M183" s="16" t="str">
        <f>IFERROR(__xludf.DUMMYFUNCTION("""COMPUTED_VALUE"""),"")</f>
        <v/>
      </c>
      <c r="N183" s="16" t="str">
        <f>IFERROR(__xludf.DUMMYFUNCTION("""COMPUTED_VALUE"""),"")</f>
        <v/>
      </c>
      <c r="O183" s="16" t="str">
        <f>IFERROR(__xludf.DUMMYFUNCTION("""COMPUTED_VALUE"""),"")</f>
        <v/>
      </c>
      <c r="P183" s="16" t="str">
        <f>IFERROR(__xludf.DUMMYFUNCTION("""COMPUTED_VALUE"""),"")</f>
        <v/>
      </c>
      <c r="Q183" s="16" t="str">
        <f>IFERROR(__xludf.DUMMYFUNCTION("""COMPUTED_VALUE"""),"")</f>
        <v/>
      </c>
      <c r="R183" s="16" t="str">
        <f>IFERROR(__xludf.DUMMYFUNCTION("""COMPUTED_VALUE"""),"")</f>
        <v/>
      </c>
      <c r="S183" s="16" t="str">
        <f>IFERROR(__xludf.DUMMYFUNCTION("""COMPUTED_VALUE"""),"")</f>
        <v/>
      </c>
      <c r="T183" s="16" t="str">
        <f>IFERROR(__xludf.DUMMYFUNCTION("""COMPUTED_VALUE"""),"")</f>
        <v/>
      </c>
      <c r="U183" s="16" t="str">
        <f>IFERROR(__xludf.DUMMYFUNCTION("""COMPUTED_VALUE"""),"")</f>
        <v/>
      </c>
      <c r="V183" s="16" t="str">
        <f>IFERROR(__xludf.DUMMYFUNCTION("""COMPUTED_VALUE"""),"")</f>
        <v/>
      </c>
      <c r="W183" s="16" t="str">
        <f>IFERROR(__xludf.DUMMYFUNCTION("""COMPUTED_VALUE"""),"")</f>
        <v/>
      </c>
      <c r="X183" s="16" t="str">
        <f>IFERROR(__xludf.DUMMYFUNCTION("""COMPUTED_VALUE"""),"")</f>
        <v/>
      </c>
      <c r="Y183" s="16" t="str">
        <f>IFERROR(__xludf.DUMMYFUNCTION("""COMPUTED_VALUE"""),"")</f>
        <v/>
      </c>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row>
    <row r="184">
      <c r="A184" s="16"/>
      <c r="B184" s="16"/>
      <c r="C184" s="16" t="str">
        <f>IFERROR(__xludf.DUMMYFUNCTION("""COMPUTED_VALUE"""),"")</f>
        <v/>
      </c>
      <c r="D184" s="16" t="str">
        <f>IFERROR(__xludf.DUMMYFUNCTION("""COMPUTED_VALUE"""),"")</f>
        <v/>
      </c>
      <c r="E184" s="16" t="str">
        <f>IFERROR(__xludf.DUMMYFUNCTION("""COMPUTED_VALUE"""),"")</f>
        <v/>
      </c>
      <c r="F184" s="16" t="str">
        <f>IFERROR(__xludf.DUMMYFUNCTION("""COMPUTED_VALUE"""),"")</f>
        <v/>
      </c>
      <c r="G184" s="16" t="str">
        <f>IFERROR(__xludf.DUMMYFUNCTION("""COMPUTED_VALUE"""),"")</f>
        <v/>
      </c>
      <c r="H184" s="16" t="str">
        <f>IFERROR(__xludf.DUMMYFUNCTION("""COMPUTED_VALUE"""),"")</f>
        <v/>
      </c>
      <c r="I184" s="16" t="str">
        <f>IFERROR(__xludf.DUMMYFUNCTION("""COMPUTED_VALUE"""),"")</f>
        <v/>
      </c>
      <c r="J184" s="16" t="str">
        <f>IFERROR(__xludf.DUMMYFUNCTION("""COMPUTED_VALUE"""),"")</f>
        <v/>
      </c>
      <c r="K184" s="16" t="str">
        <f>IFERROR(__xludf.DUMMYFUNCTION("""COMPUTED_VALUE"""),"")</f>
        <v/>
      </c>
      <c r="L184" s="16" t="str">
        <f>IFERROR(__xludf.DUMMYFUNCTION("""COMPUTED_VALUE"""),"")</f>
        <v/>
      </c>
      <c r="M184" s="16" t="str">
        <f>IFERROR(__xludf.DUMMYFUNCTION("""COMPUTED_VALUE"""),"")</f>
        <v/>
      </c>
      <c r="N184" s="16" t="str">
        <f>IFERROR(__xludf.DUMMYFUNCTION("""COMPUTED_VALUE"""),"")</f>
        <v/>
      </c>
      <c r="O184" s="16" t="str">
        <f>IFERROR(__xludf.DUMMYFUNCTION("""COMPUTED_VALUE"""),"")</f>
        <v/>
      </c>
      <c r="P184" s="16" t="str">
        <f>IFERROR(__xludf.DUMMYFUNCTION("""COMPUTED_VALUE"""),"")</f>
        <v/>
      </c>
      <c r="Q184" s="16" t="str">
        <f>IFERROR(__xludf.DUMMYFUNCTION("""COMPUTED_VALUE"""),"")</f>
        <v/>
      </c>
      <c r="R184" s="16" t="str">
        <f>IFERROR(__xludf.DUMMYFUNCTION("""COMPUTED_VALUE"""),"")</f>
        <v/>
      </c>
      <c r="S184" s="16" t="str">
        <f>IFERROR(__xludf.DUMMYFUNCTION("""COMPUTED_VALUE"""),"")</f>
        <v/>
      </c>
      <c r="T184" s="16" t="str">
        <f>IFERROR(__xludf.DUMMYFUNCTION("""COMPUTED_VALUE"""),"")</f>
        <v/>
      </c>
      <c r="U184" s="16" t="str">
        <f>IFERROR(__xludf.DUMMYFUNCTION("""COMPUTED_VALUE"""),"")</f>
        <v/>
      </c>
      <c r="V184" s="16" t="str">
        <f>IFERROR(__xludf.DUMMYFUNCTION("""COMPUTED_VALUE"""),"")</f>
        <v/>
      </c>
      <c r="W184" s="16" t="str">
        <f>IFERROR(__xludf.DUMMYFUNCTION("""COMPUTED_VALUE"""),"")</f>
        <v/>
      </c>
      <c r="X184" s="16" t="str">
        <f>IFERROR(__xludf.DUMMYFUNCTION("""COMPUTED_VALUE"""),"")</f>
        <v/>
      </c>
      <c r="Y184" s="16" t="str">
        <f>IFERROR(__xludf.DUMMYFUNCTION("""COMPUTED_VALUE"""),"")</f>
        <v/>
      </c>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row>
    <row r="185">
      <c r="A185" s="16"/>
      <c r="B185" s="16"/>
      <c r="C185" s="16" t="str">
        <f>IFERROR(__xludf.DUMMYFUNCTION("""COMPUTED_VALUE"""),"")</f>
        <v/>
      </c>
      <c r="D185" s="16" t="str">
        <f>IFERROR(__xludf.DUMMYFUNCTION("""COMPUTED_VALUE"""),"")</f>
        <v/>
      </c>
      <c r="E185" s="16" t="str">
        <f>IFERROR(__xludf.DUMMYFUNCTION("""COMPUTED_VALUE"""),"")</f>
        <v/>
      </c>
      <c r="F185" s="16" t="str">
        <f>IFERROR(__xludf.DUMMYFUNCTION("""COMPUTED_VALUE"""),"")</f>
        <v/>
      </c>
      <c r="G185" s="16" t="str">
        <f>IFERROR(__xludf.DUMMYFUNCTION("""COMPUTED_VALUE"""),"")</f>
        <v/>
      </c>
      <c r="H185" s="16" t="str">
        <f>IFERROR(__xludf.DUMMYFUNCTION("""COMPUTED_VALUE"""),"")</f>
        <v/>
      </c>
      <c r="I185" s="16" t="str">
        <f>IFERROR(__xludf.DUMMYFUNCTION("""COMPUTED_VALUE"""),"")</f>
        <v/>
      </c>
      <c r="J185" s="16" t="str">
        <f>IFERROR(__xludf.DUMMYFUNCTION("""COMPUTED_VALUE"""),"")</f>
        <v/>
      </c>
      <c r="K185" s="16" t="str">
        <f>IFERROR(__xludf.DUMMYFUNCTION("""COMPUTED_VALUE"""),"")</f>
        <v/>
      </c>
      <c r="L185" s="16" t="str">
        <f>IFERROR(__xludf.DUMMYFUNCTION("""COMPUTED_VALUE"""),"")</f>
        <v/>
      </c>
      <c r="M185" s="16" t="str">
        <f>IFERROR(__xludf.DUMMYFUNCTION("""COMPUTED_VALUE"""),"")</f>
        <v/>
      </c>
      <c r="N185" s="16" t="str">
        <f>IFERROR(__xludf.DUMMYFUNCTION("""COMPUTED_VALUE"""),"")</f>
        <v/>
      </c>
      <c r="O185" s="16" t="str">
        <f>IFERROR(__xludf.DUMMYFUNCTION("""COMPUTED_VALUE"""),"")</f>
        <v/>
      </c>
      <c r="P185" s="16" t="str">
        <f>IFERROR(__xludf.DUMMYFUNCTION("""COMPUTED_VALUE"""),"")</f>
        <v/>
      </c>
      <c r="Q185" s="16" t="str">
        <f>IFERROR(__xludf.DUMMYFUNCTION("""COMPUTED_VALUE"""),"")</f>
        <v/>
      </c>
      <c r="R185" s="16" t="str">
        <f>IFERROR(__xludf.DUMMYFUNCTION("""COMPUTED_VALUE"""),"")</f>
        <v/>
      </c>
      <c r="S185" s="16" t="str">
        <f>IFERROR(__xludf.DUMMYFUNCTION("""COMPUTED_VALUE"""),"")</f>
        <v/>
      </c>
      <c r="T185" s="16" t="str">
        <f>IFERROR(__xludf.DUMMYFUNCTION("""COMPUTED_VALUE"""),"")</f>
        <v/>
      </c>
      <c r="U185" s="16" t="str">
        <f>IFERROR(__xludf.DUMMYFUNCTION("""COMPUTED_VALUE"""),"")</f>
        <v/>
      </c>
      <c r="V185" s="16" t="str">
        <f>IFERROR(__xludf.DUMMYFUNCTION("""COMPUTED_VALUE"""),"")</f>
        <v/>
      </c>
      <c r="W185" s="16" t="str">
        <f>IFERROR(__xludf.DUMMYFUNCTION("""COMPUTED_VALUE"""),"")</f>
        <v/>
      </c>
      <c r="X185" s="16" t="str">
        <f>IFERROR(__xludf.DUMMYFUNCTION("""COMPUTED_VALUE"""),"")</f>
        <v/>
      </c>
      <c r="Y185" s="16" t="str">
        <f>IFERROR(__xludf.DUMMYFUNCTION("""COMPUTED_VALUE"""),"")</f>
        <v/>
      </c>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row>
    <row r="186">
      <c r="A186" s="16"/>
      <c r="B186" s="16"/>
      <c r="C186" s="16" t="str">
        <f>IFERROR(__xludf.DUMMYFUNCTION("""COMPUTED_VALUE"""),"")</f>
        <v/>
      </c>
      <c r="D186" s="16" t="str">
        <f>IFERROR(__xludf.DUMMYFUNCTION("""COMPUTED_VALUE"""),"")</f>
        <v/>
      </c>
      <c r="E186" s="16" t="str">
        <f>IFERROR(__xludf.DUMMYFUNCTION("""COMPUTED_VALUE"""),"")</f>
        <v/>
      </c>
      <c r="F186" s="16" t="str">
        <f>IFERROR(__xludf.DUMMYFUNCTION("""COMPUTED_VALUE"""),"")</f>
        <v/>
      </c>
      <c r="G186" s="16" t="str">
        <f>IFERROR(__xludf.DUMMYFUNCTION("""COMPUTED_VALUE"""),"")</f>
        <v/>
      </c>
      <c r="H186" s="16" t="str">
        <f>IFERROR(__xludf.DUMMYFUNCTION("""COMPUTED_VALUE"""),"")</f>
        <v/>
      </c>
      <c r="I186" s="16" t="str">
        <f>IFERROR(__xludf.DUMMYFUNCTION("""COMPUTED_VALUE"""),"")</f>
        <v/>
      </c>
      <c r="J186" s="16" t="str">
        <f>IFERROR(__xludf.DUMMYFUNCTION("""COMPUTED_VALUE"""),"")</f>
        <v/>
      </c>
      <c r="K186" s="16" t="str">
        <f>IFERROR(__xludf.DUMMYFUNCTION("""COMPUTED_VALUE"""),"")</f>
        <v/>
      </c>
      <c r="L186" s="16" t="str">
        <f>IFERROR(__xludf.DUMMYFUNCTION("""COMPUTED_VALUE"""),"")</f>
        <v/>
      </c>
      <c r="M186" s="16" t="str">
        <f>IFERROR(__xludf.DUMMYFUNCTION("""COMPUTED_VALUE"""),"")</f>
        <v/>
      </c>
      <c r="N186" s="16" t="str">
        <f>IFERROR(__xludf.DUMMYFUNCTION("""COMPUTED_VALUE"""),"")</f>
        <v/>
      </c>
      <c r="O186" s="16" t="str">
        <f>IFERROR(__xludf.DUMMYFUNCTION("""COMPUTED_VALUE"""),"")</f>
        <v/>
      </c>
      <c r="P186" s="16" t="str">
        <f>IFERROR(__xludf.DUMMYFUNCTION("""COMPUTED_VALUE"""),"")</f>
        <v/>
      </c>
      <c r="Q186" s="16" t="str">
        <f>IFERROR(__xludf.DUMMYFUNCTION("""COMPUTED_VALUE"""),"")</f>
        <v/>
      </c>
      <c r="R186" s="16" t="str">
        <f>IFERROR(__xludf.DUMMYFUNCTION("""COMPUTED_VALUE"""),"")</f>
        <v/>
      </c>
      <c r="S186" s="16" t="str">
        <f>IFERROR(__xludf.DUMMYFUNCTION("""COMPUTED_VALUE"""),"")</f>
        <v/>
      </c>
      <c r="T186" s="16" t="str">
        <f>IFERROR(__xludf.DUMMYFUNCTION("""COMPUTED_VALUE"""),"")</f>
        <v/>
      </c>
      <c r="U186" s="16" t="str">
        <f>IFERROR(__xludf.DUMMYFUNCTION("""COMPUTED_VALUE"""),"")</f>
        <v/>
      </c>
      <c r="V186" s="16" t="str">
        <f>IFERROR(__xludf.DUMMYFUNCTION("""COMPUTED_VALUE"""),"")</f>
        <v/>
      </c>
      <c r="W186" s="16" t="str">
        <f>IFERROR(__xludf.DUMMYFUNCTION("""COMPUTED_VALUE"""),"")</f>
        <v/>
      </c>
      <c r="X186" s="16" t="str">
        <f>IFERROR(__xludf.DUMMYFUNCTION("""COMPUTED_VALUE"""),"")</f>
        <v/>
      </c>
      <c r="Y186" s="16" t="str">
        <f>IFERROR(__xludf.DUMMYFUNCTION("""COMPUTED_VALUE"""),"")</f>
        <v/>
      </c>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row>
    <row r="187">
      <c r="A187" s="16"/>
      <c r="B187" s="16"/>
      <c r="C187" s="16" t="str">
        <f>IFERROR(__xludf.DUMMYFUNCTION("""COMPUTED_VALUE"""),"")</f>
        <v/>
      </c>
      <c r="D187" s="16" t="str">
        <f>IFERROR(__xludf.DUMMYFUNCTION("""COMPUTED_VALUE"""),"")</f>
        <v/>
      </c>
      <c r="E187" s="16" t="str">
        <f>IFERROR(__xludf.DUMMYFUNCTION("""COMPUTED_VALUE"""),"")</f>
        <v/>
      </c>
      <c r="F187" s="16" t="str">
        <f>IFERROR(__xludf.DUMMYFUNCTION("""COMPUTED_VALUE"""),"")</f>
        <v/>
      </c>
      <c r="G187" s="16" t="str">
        <f>IFERROR(__xludf.DUMMYFUNCTION("""COMPUTED_VALUE"""),"")</f>
        <v/>
      </c>
      <c r="H187" s="16" t="str">
        <f>IFERROR(__xludf.DUMMYFUNCTION("""COMPUTED_VALUE"""),"")</f>
        <v/>
      </c>
      <c r="I187" s="16" t="str">
        <f>IFERROR(__xludf.DUMMYFUNCTION("""COMPUTED_VALUE"""),"")</f>
        <v/>
      </c>
      <c r="J187" s="16" t="str">
        <f>IFERROR(__xludf.DUMMYFUNCTION("""COMPUTED_VALUE"""),"")</f>
        <v/>
      </c>
      <c r="K187" s="16" t="str">
        <f>IFERROR(__xludf.DUMMYFUNCTION("""COMPUTED_VALUE"""),"")</f>
        <v/>
      </c>
      <c r="L187" s="16" t="str">
        <f>IFERROR(__xludf.DUMMYFUNCTION("""COMPUTED_VALUE"""),"")</f>
        <v/>
      </c>
      <c r="M187" s="16" t="str">
        <f>IFERROR(__xludf.DUMMYFUNCTION("""COMPUTED_VALUE"""),"")</f>
        <v/>
      </c>
      <c r="N187" s="16" t="str">
        <f>IFERROR(__xludf.DUMMYFUNCTION("""COMPUTED_VALUE"""),"")</f>
        <v/>
      </c>
      <c r="O187" s="16" t="str">
        <f>IFERROR(__xludf.DUMMYFUNCTION("""COMPUTED_VALUE"""),"")</f>
        <v/>
      </c>
      <c r="P187" s="16" t="str">
        <f>IFERROR(__xludf.DUMMYFUNCTION("""COMPUTED_VALUE"""),"")</f>
        <v/>
      </c>
      <c r="Q187" s="16" t="str">
        <f>IFERROR(__xludf.DUMMYFUNCTION("""COMPUTED_VALUE"""),"")</f>
        <v/>
      </c>
      <c r="R187" s="16" t="str">
        <f>IFERROR(__xludf.DUMMYFUNCTION("""COMPUTED_VALUE"""),"")</f>
        <v/>
      </c>
      <c r="S187" s="16" t="str">
        <f>IFERROR(__xludf.DUMMYFUNCTION("""COMPUTED_VALUE"""),"")</f>
        <v/>
      </c>
      <c r="T187" s="16" t="str">
        <f>IFERROR(__xludf.DUMMYFUNCTION("""COMPUTED_VALUE"""),"")</f>
        <v/>
      </c>
      <c r="U187" s="16" t="str">
        <f>IFERROR(__xludf.DUMMYFUNCTION("""COMPUTED_VALUE"""),"")</f>
        <v/>
      </c>
      <c r="V187" s="16" t="str">
        <f>IFERROR(__xludf.DUMMYFUNCTION("""COMPUTED_VALUE"""),"")</f>
        <v/>
      </c>
      <c r="W187" s="16" t="str">
        <f>IFERROR(__xludf.DUMMYFUNCTION("""COMPUTED_VALUE"""),"")</f>
        <v/>
      </c>
      <c r="X187" s="16" t="str">
        <f>IFERROR(__xludf.DUMMYFUNCTION("""COMPUTED_VALUE"""),"")</f>
        <v/>
      </c>
      <c r="Y187" s="16" t="str">
        <f>IFERROR(__xludf.DUMMYFUNCTION("""COMPUTED_VALUE"""),"")</f>
        <v/>
      </c>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row>
    <row r="188">
      <c r="A188" s="16"/>
      <c r="B188" s="16"/>
      <c r="C188" s="16" t="str">
        <f>IFERROR(__xludf.DUMMYFUNCTION("""COMPUTED_VALUE"""),"")</f>
        <v/>
      </c>
      <c r="D188" s="16" t="str">
        <f>IFERROR(__xludf.DUMMYFUNCTION("""COMPUTED_VALUE"""),"")</f>
        <v/>
      </c>
      <c r="E188" s="16" t="str">
        <f>IFERROR(__xludf.DUMMYFUNCTION("""COMPUTED_VALUE"""),"")</f>
        <v/>
      </c>
      <c r="F188" s="16" t="str">
        <f>IFERROR(__xludf.DUMMYFUNCTION("""COMPUTED_VALUE"""),"")</f>
        <v/>
      </c>
      <c r="G188" s="16" t="str">
        <f>IFERROR(__xludf.DUMMYFUNCTION("""COMPUTED_VALUE"""),"")</f>
        <v/>
      </c>
      <c r="H188" s="16" t="str">
        <f>IFERROR(__xludf.DUMMYFUNCTION("""COMPUTED_VALUE"""),"")</f>
        <v/>
      </c>
      <c r="I188" s="16" t="str">
        <f>IFERROR(__xludf.DUMMYFUNCTION("""COMPUTED_VALUE"""),"")</f>
        <v/>
      </c>
      <c r="J188" s="16" t="str">
        <f>IFERROR(__xludf.DUMMYFUNCTION("""COMPUTED_VALUE"""),"")</f>
        <v/>
      </c>
      <c r="K188" s="16" t="str">
        <f>IFERROR(__xludf.DUMMYFUNCTION("""COMPUTED_VALUE"""),"")</f>
        <v/>
      </c>
      <c r="L188" s="16" t="str">
        <f>IFERROR(__xludf.DUMMYFUNCTION("""COMPUTED_VALUE"""),"")</f>
        <v/>
      </c>
      <c r="M188" s="16" t="str">
        <f>IFERROR(__xludf.DUMMYFUNCTION("""COMPUTED_VALUE"""),"")</f>
        <v/>
      </c>
      <c r="N188" s="16" t="str">
        <f>IFERROR(__xludf.DUMMYFUNCTION("""COMPUTED_VALUE"""),"")</f>
        <v/>
      </c>
      <c r="O188" s="16" t="str">
        <f>IFERROR(__xludf.DUMMYFUNCTION("""COMPUTED_VALUE"""),"")</f>
        <v/>
      </c>
      <c r="P188" s="16" t="str">
        <f>IFERROR(__xludf.DUMMYFUNCTION("""COMPUTED_VALUE"""),"")</f>
        <v/>
      </c>
      <c r="Q188" s="16" t="str">
        <f>IFERROR(__xludf.DUMMYFUNCTION("""COMPUTED_VALUE"""),"")</f>
        <v/>
      </c>
      <c r="R188" s="16" t="str">
        <f>IFERROR(__xludf.DUMMYFUNCTION("""COMPUTED_VALUE"""),"")</f>
        <v/>
      </c>
      <c r="S188" s="16" t="str">
        <f>IFERROR(__xludf.DUMMYFUNCTION("""COMPUTED_VALUE"""),"")</f>
        <v/>
      </c>
      <c r="T188" s="16" t="str">
        <f>IFERROR(__xludf.DUMMYFUNCTION("""COMPUTED_VALUE"""),"")</f>
        <v/>
      </c>
      <c r="U188" s="16" t="str">
        <f>IFERROR(__xludf.DUMMYFUNCTION("""COMPUTED_VALUE"""),"")</f>
        <v/>
      </c>
      <c r="V188" s="16" t="str">
        <f>IFERROR(__xludf.DUMMYFUNCTION("""COMPUTED_VALUE"""),"")</f>
        <v/>
      </c>
      <c r="W188" s="16" t="str">
        <f>IFERROR(__xludf.DUMMYFUNCTION("""COMPUTED_VALUE"""),"")</f>
        <v/>
      </c>
      <c r="X188" s="16" t="str">
        <f>IFERROR(__xludf.DUMMYFUNCTION("""COMPUTED_VALUE"""),"")</f>
        <v/>
      </c>
      <c r="Y188" s="16" t="str">
        <f>IFERROR(__xludf.DUMMYFUNCTION("""COMPUTED_VALUE"""),"")</f>
        <v/>
      </c>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row>
    <row r="189">
      <c r="A189" s="16"/>
      <c r="B189" s="16"/>
      <c r="C189" s="16" t="str">
        <f>IFERROR(__xludf.DUMMYFUNCTION("""COMPUTED_VALUE"""),"")</f>
        <v/>
      </c>
      <c r="D189" s="16" t="str">
        <f>IFERROR(__xludf.DUMMYFUNCTION("""COMPUTED_VALUE"""),"")</f>
        <v/>
      </c>
      <c r="E189" s="16" t="str">
        <f>IFERROR(__xludf.DUMMYFUNCTION("""COMPUTED_VALUE"""),"")</f>
        <v/>
      </c>
      <c r="F189" s="16" t="str">
        <f>IFERROR(__xludf.DUMMYFUNCTION("""COMPUTED_VALUE"""),"")</f>
        <v/>
      </c>
      <c r="G189" s="16" t="str">
        <f>IFERROR(__xludf.DUMMYFUNCTION("""COMPUTED_VALUE"""),"")</f>
        <v/>
      </c>
      <c r="H189" s="16" t="str">
        <f>IFERROR(__xludf.DUMMYFUNCTION("""COMPUTED_VALUE"""),"")</f>
        <v/>
      </c>
      <c r="I189" s="16" t="str">
        <f>IFERROR(__xludf.DUMMYFUNCTION("""COMPUTED_VALUE"""),"")</f>
        <v/>
      </c>
      <c r="J189" s="16" t="str">
        <f>IFERROR(__xludf.DUMMYFUNCTION("""COMPUTED_VALUE"""),"")</f>
        <v/>
      </c>
      <c r="K189" s="16" t="str">
        <f>IFERROR(__xludf.DUMMYFUNCTION("""COMPUTED_VALUE"""),"")</f>
        <v/>
      </c>
      <c r="L189" s="16" t="str">
        <f>IFERROR(__xludf.DUMMYFUNCTION("""COMPUTED_VALUE"""),"")</f>
        <v/>
      </c>
      <c r="M189" s="16" t="str">
        <f>IFERROR(__xludf.DUMMYFUNCTION("""COMPUTED_VALUE"""),"")</f>
        <v/>
      </c>
      <c r="N189" s="16" t="str">
        <f>IFERROR(__xludf.DUMMYFUNCTION("""COMPUTED_VALUE"""),"")</f>
        <v/>
      </c>
      <c r="O189" s="16" t="str">
        <f>IFERROR(__xludf.DUMMYFUNCTION("""COMPUTED_VALUE"""),"")</f>
        <v/>
      </c>
      <c r="P189" s="16" t="str">
        <f>IFERROR(__xludf.DUMMYFUNCTION("""COMPUTED_VALUE"""),"")</f>
        <v/>
      </c>
      <c r="Q189" s="16" t="str">
        <f>IFERROR(__xludf.DUMMYFUNCTION("""COMPUTED_VALUE"""),"")</f>
        <v/>
      </c>
      <c r="R189" s="16" t="str">
        <f>IFERROR(__xludf.DUMMYFUNCTION("""COMPUTED_VALUE"""),"")</f>
        <v/>
      </c>
      <c r="S189" s="16" t="str">
        <f>IFERROR(__xludf.DUMMYFUNCTION("""COMPUTED_VALUE"""),"")</f>
        <v/>
      </c>
      <c r="T189" s="16" t="str">
        <f>IFERROR(__xludf.DUMMYFUNCTION("""COMPUTED_VALUE"""),"")</f>
        <v/>
      </c>
      <c r="U189" s="16" t="str">
        <f>IFERROR(__xludf.DUMMYFUNCTION("""COMPUTED_VALUE"""),"")</f>
        <v/>
      </c>
      <c r="V189" s="16" t="str">
        <f>IFERROR(__xludf.DUMMYFUNCTION("""COMPUTED_VALUE"""),"")</f>
        <v/>
      </c>
      <c r="W189" s="16" t="str">
        <f>IFERROR(__xludf.DUMMYFUNCTION("""COMPUTED_VALUE"""),"")</f>
        <v/>
      </c>
      <c r="X189" s="16" t="str">
        <f>IFERROR(__xludf.DUMMYFUNCTION("""COMPUTED_VALUE"""),"")</f>
        <v/>
      </c>
      <c r="Y189" s="16" t="str">
        <f>IFERROR(__xludf.DUMMYFUNCTION("""COMPUTED_VALUE"""),"")</f>
        <v/>
      </c>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row>
    <row r="190">
      <c r="A190" s="16"/>
      <c r="B190" s="16"/>
      <c r="C190" s="16" t="str">
        <f>IFERROR(__xludf.DUMMYFUNCTION("""COMPUTED_VALUE"""),"")</f>
        <v/>
      </c>
      <c r="D190" s="16" t="str">
        <f>IFERROR(__xludf.DUMMYFUNCTION("""COMPUTED_VALUE"""),"")</f>
        <v/>
      </c>
      <c r="E190" s="16" t="str">
        <f>IFERROR(__xludf.DUMMYFUNCTION("""COMPUTED_VALUE"""),"")</f>
        <v/>
      </c>
      <c r="F190" s="16" t="str">
        <f>IFERROR(__xludf.DUMMYFUNCTION("""COMPUTED_VALUE"""),"")</f>
        <v/>
      </c>
      <c r="G190" s="16" t="str">
        <f>IFERROR(__xludf.DUMMYFUNCTION("""COMPUTED_VALUE"""),"")</f>
        <v/>
      </c>
      <c r="H190" s="16" t="str">
        <f>IFERROR(__xludf.DUMMYFUNCTION("""COMPUTED_VALUE"""),"")</f>
        <v/>
      </c>
      <c r="I190" s="16" t="str">
        <f>IFERROR(__xludf.DUMMYFUNCTION("""COMPUTED_VALUE"""),"")</f>
        <v/>
      </c>
      <c r="J190" s="16" t="str">
        <f>IFERROR(__xludf.DUMMYFUNCTION("""COMPUTED_VALUE"""),"")</f>
        <v/>
      </c>
      <c r="K190" s="16" t="str">
        <f>IFERROR(__xludf.DUMMYFUNCTION("""COMPUTED_VALUE"""),"")</f>
        <v/>
      </c>
      <c r="L190" s="16" t="str">
        <f>IFERROR(__xludf.DUMMYFUNCTION("""COMPUTED_VALUE"""),"")</f>
        <v/>
      </c>
      <c r="M190" s="16" t="str">
        <f>IFERROR(__xludf.DUMMYFUNCTION("""COMPUTED_VALUE"""),"")</f>
        <v/>
      </c>
      <c r="N190" s="16" t="str">
        <f>IFERROR(__xludf.DUMMYFUNCTION("""COMPUTED_VALUE"""),"")</f>
        <v/>
      </c>
      <c r="O190" s="16" t="str">
        <f>IFERROR(__xludf.DUMMYFUNCTION("""COMPUTED_VALUE"""),"")</f>
        <v/>
      </c>
      <c r="P190" s="16" t="str">
        <f>IFERROR(__xludf.DUMMYFUNCTION("""COMPUTED_VALUE"""),"")</f>
        <v/>
      </c>
      <c r="Q190" s="16" t="str">
        <f>IFERROR(__xludf.DUMMYFUNCTION("""COMPUTED_VALUE"""),"")</f>
        <v/>
      </c>
      <c r="R190" s="16" t="str">
        <f>IFERROR(__xludf.DUMMYFUNCTION("""COMPUTED_VALUE"""),"")</f>
        <v/>
      </c>
      <c r="S190" s="16" t="str">
        <f>IFERROR(__xludf.DUMMYFUNCTION("""COMPUTED_VALUE"""),"")</f>
        <v/>
      </c>
      <c r="T190" s="16" t="str">
        <f>IFERROR(__xludf.DUMMYFUNCTION("""COMPUTED_VALUE"""),"")</f>
        <v/>
      </c>
      <c r="U190" s="16" t="str">
        <f>IFERROR(__xludf.DUMMYFUNCTION("""COMPUTED_VALUE"""),"")</f>
        <v/>
      </c>
      <c r="V190" s="16" t="str">
        <f>IFERROR(__xludf.DUMMYFUNCTION("""COMPUTED_VALUE"""),"")</f>
        <v/>
      </c>
      <c r="W190" s="16" t="str">
        <f>IFERROR(__xludf.DUMMYFUNCTION("""COMPUTED_VALUE"""),"")</f>
        <v/>
      </c>
      <c r="X190" s="16" t="str">
        <f>IFERROR(__xludf.DUMMYFUNCTION("""COMPUTED_VALUE"""),"")</f>
        <v/>
      </c>
      <c r="Y190" s="16" t="str">
        <f>IFERROR(__xludf.DUMMYFUNCTION("""COMPUTED_VALUE"""),"")</f>
        <v/>
      </c>
      <c r="Z190" s="16"/>
      <c r="AA190" s="16"/>
      <c r="AB190" s="16"/>
      <c r="AC190" s="16"/>
      <c r="AD190" s="16"/>
      <c r="AE190" s="16"/>
      <c r="AF190" s="16"/>
      <c r="AG190" s="16"/>
      <c r="AH190" s="16"/>
      <c r="AI190" s="16"/>
      <c r="AJ190" s="16"/>
      <c r="AK190" s="16"/>
      <c r="AL190" s="16"/>
      <c r="AM190" s="16"/>
      <c r="AN190" s="16"/>
      <c r="AO190" s="16"/>
      <c r="AP190" s="16"/>
      <c r="AQ190" s="16"/>
      <c r="AR190" s="16"/>
      <c r="AS190" s="16"/>
      <c r="AT190" s="16"/>
      <c r="AU190" s="16"/>
      <c r="AV190" s="16"/>
      <c r="AW190" s="16"/>
      <c r="AX190" s="16"/>
    </row>
    <row r="191">
      <c r="A191" s="16"/>
      <c r="B191" s="16"/>
      <c r="C191" s="16" t="str">
        <f>IFERROR(__xludf.DUMMYFUNCTION("""COMPUTED_VALUE"""),"")</f>
        <v/>
      </c>
      <c r="D191" s="16" t="str">
        <f>IFERROR(__xludf.DUMMYFUNCTION("""COMPUTED_VALUE"""),"")</f>
        <v/>
      </c>
      <c r="E191" s="16" t="str">
        <f>IFERROR(__xludf.DUMMYFUNCTION("""COMPUTED_VALUE"""),"")</f>
        <v/>
      </c>
      <c r="F191" s="16" t="str">
        <f>IFERROR(__xludf.DUMMYFUNCTION("""COMPUTED_VALUE"""),"")</f>
        <v/>
      </c>
      <c r="G191" s="16" t="str">
        <f>IFERROR(__xludf.DUMMYFUNCTION("""COMPUTED_VALUE"""),"")</f>
        <v/>
      </c>
      <c r="H191" s="16" t="str">
        <f>IFERROR(__xludf.DUMMYFUNCTION("""COMPUTED_VALUE"""),"")</f>
        <v/>
      </c>
      <c r="I191" s="16" t="str">
        <f>IFERROR(__xludf.DUMMYFUNCTION("""COMPUTED_VALUE"""),"")</f>
        <v/>
      </c>
      <c r="J191" s="16" t="str">
        <f>IFERROR(__xludf.DUMMYFUNCTION("""COMPUTED_VALUE"""),"")</f>
        <v/>
      </c>
      <c r="K191" s="16" t="str">
        <f>IFERROR(__xludf.DUMMYFUNCTION("""COMPUTED_VALUE"""),"")</f>
        <v/>
      </c>
      <c r="L191" s="16" t="str">
        <f>IFERROR(__xludf.DUMMYFUNCTION("""COMPUTED_VALUE"""),"")</f>
        <v/>
      </c>
      <c r="M191" s="16" t="str">
        <f>IFERROR(__xludf.DUMMYFUNCTION("""COMPUTED_VALUE"""),"")</f>
        <v/>
      </c>
      <c r="N191" s="16" t="str">
        <f>IFERROR(__xludf.DUMMYFUNCTION("""COMPUTED_VALUE"""),"")</f>
        <v/>
      </c>
      <c r="O191" s="16" t="str">
        <f>IFERROR(__xludf.DUMMYFUNCTION("""COMPUTED_VALUE"""),"")</f>
        <v/>
      </c>
      <c r="P191" s="16" t="str">
        <f>IFERROR(__xludf.DUMMYFUNCTION("""COMPUTED_VALUE"""),"")</f>
        <v/>
      </c>
      <c r="Q191" s="16" t="str">
        <f>IFERROR(__xludf.DUMMYFUNCTION("""COMPUTED_VALUE"""),"")</f>
        <v/>
      </c>
      <c r="R191" s="16" t="str">
        <f>IFERROR(__xludf.DUMMYFUNCTION("""COMPUTED_VALUE"""),"")</f>
        <v/>
      </c>
      <c r="S191" s="16" t="str">
        <f>IFERROR(__xludf.DUMMYFUNCTION("""COMPUTED_VALUE"""),"")</f>
        <v/>
      </c>
      <c r="T191" s="16" t="str">
        <f>IFERROR(__xludf.DUMMYFUNCTION("""COMPUTED_VALUE"""),"")</f>
        <v/>
      </c>
      <c r="U191" s="16" t="str">
        <f>IFERROR(__xludf.DUMMYFUNCTION("""COMPUTED_VALUE"""),"")</f>
        <v/>
      </c>
      <c r="V191" s="16" t="str">
        <f>IFERROR(__xludf.DUMMYFUNCTION("""COMPUTED_VALUE"""),"")</f>
        <v/>
      </c>
      <c r="W191" s="16" t="str">
        <f>IFERROR(__xludf.DUMMYFUNCTION("""COMPUTED_VALUE"""),"")</f>
        <v/>
      </c>
      <c r="X191" s="16" t="str">
        <f>IFERROR(__xludf.DUMMYFUNCTION("""COMPUTED_VALUE"""),"")</f>
        <v/>
      </c>
      <c r="Y191" s="16" t="str">
        <f>IFERROR(__xludf.DUMMYFUNCTION("""COMPUTED_VALUE"""),"")</f>
        <v/>
      </c>
      <c r="Z191" s="16"/>
      <c r="AA191" s="16"/>
      <c r="AB191" s="16"/>
      <c r="AC191" s="16"/>
      <c r="AD191" s="16"/>
      <c r="AE191" s="16"/>
      <c r="AF191" s="16"/>
      <c r="AG191" s="16"/>
      <c r="AH191" s="16"/>
      <c r="AI191" s="16"/>
      <c r="AJ191" s="16"/>
      <c r="AK191" s="16"/>
      <c r="AL191" s="16"/>
      <c r="AM191" s="16"/>
      <c r="AN191" s="16"/>
      <c r="AO191" s="16"/>
      <c r="AP191" s="16"/>
      <c r="AQ191" s="16"/>
      <c r="AR191" s="16"/>
      <c r="AS191" s="16"/>
      <c r="AT191" s="16"/>
      <c r="AU191" s="16"/>
      <c r="AV191" s="16"/>
      <c r="AW191" s="16"/>
      <c r="AX191" s="16"/>
    </row>
    <row r="192">
      <c r="A192" s="16"/>
      <c r="B192" s="16"/>
      <c r="C192" s="16" t="str">
        <f>IFERROR(__xludf.DUMMYFUNCTION("""COMPUTED_VALUE"""),"")</f>
        <v/>
      </c>
      <c r="D192" s="16" t="str">
        <f>IFERROR(__xludf.DUMMYFUNCTION("""COMPUTED_VALUE"""),"")</f>
        <v/>
      </c>
      <c r="E192" s="16" t="str">
        <f>IFERROR(__xludf.DUMMYFUNCTION("""COMPUTED_VALUE"""),"")</f>
        <v/>
      </c>
      <c r="F192" s="16" t="str">
        <f>IFERROR(__xludf.DUMMYFUNCTION("""COMPUTED_VALUE"""),"")</f>
        <v/>
      </c>
      <c r="G192" s="16" t="str">
        <f>IFERROR(__xludf.DUMMYFUNCTION("""COMPUTED_VALUE"""),"")</f>
        <v/>
      </c>
      <c r="H192" s="16" t="str">
        <f>IFERROR(__xludf.DUMMYFUNCTION("""COMPUTED_VALUE"""),"")</f>
        <v/>
      </c>
      <c r="I192" s="16" t="str">
        <f>IFERROR(__xludf.DUMMYFUNCTION("""COMPUTED_VALUE"""),"")</f>
        <v/>
      </c>
      <c r="J192" s="16" t="str">
        <f>IFERROR(__xludf.DUMMYFUNCTION("""COMPUTED_VALUE"""),"")</f>
        <v/>
      </c>
      <c r="K192" s="16" t="str">
        <f>IFERROR(__xludf.DUMMYFUNCTION("""COMPUTED_VALUE"""),"")</f>
        <v/>
      </c>
      <c r="L192" s="16" t="str">
        <f>IFERROR(__xludf.DUMMYFUNCTION("""COMPUTED_VALUE"""),"")</f>
        <v/>
      </c>
      <c r="M192" s="16" t="str">
        <f>IFERROR(__xludf.DUMMYFUNCTION("""COMPUTED_VALUE"""),"")</f>
        <v/>
      </c>
      <c r="N192" s="16" t="str">
        <f>IFERROR(__xludf.DUMMYFUNCTION("""COMPUTED_VALUE"""),"")</f>
        <v/>
      </c>
      <c r="O192" s="16" t="str">
        <f>IFERROR(__xludf.DUMMYFUNCTION("""COMPUTED_VALUE"""),"")</f>
        <v/>
      </c>
      <c r="P192" s="16" t="str">
        <f>IFERROR(__xludf.DUMMYFUNCTION("""COMPUTED_VALUE"""),"")</f>
        <v/>
      </c>
      <c r="Q192" s="16" t="str">
        <f>IFERROR(__xludf.DUMMYFUNCTION("""COMPUTED_VALUE"""),"")</f>
        <v/>
      </c>
      <c r="R192" s="16" t="str">
        <f>IFERROR(__xludf.DUMMYFUNCTION("""COMPUTED_VALUE"""),"")</f>
        <v/>
      </c>
      <c r="S192" s="16" t="str">
        <f>IFERROR(__xludf.DUMMYFUNCTION("""COMPUTED_VALUE"""),"")</f>
        <v/>
      </c>
      <c r="T192" s="16" t="str">
        <f>IFERROR(__xludf.DUMMYFUNCTION("""COMPUTED_VALUE"""),"")</f>
        <v/>
      </c>
      <c r="U192" s="16" t="str">
        <f>IFERROR(__xludf.DUMMYFUNCTION("""COMPUTED_VALUE"""),"")</f>
        <v/>
      </c>
      <c r="V192" s="16" t="str">
        <f>IFERROR(__xludf.DUMMYFUNCTION("""COMPUTED_VALUE"""),"")</f>
        <v/>
      </c>
      <c r="W192" s="16" t="str">
        <f>IFERROR(__xludf.DUMMYFUNCTION("""COMPUTED_VALUE"""),"")</f>
        <v/>
      </c>
      <c r="X192" s="16" t="str">
        <f>IFERROR(__xludf.DUMMYFUNCTION("""COMPUTED_VALUE"""),"")</f>
        <v/>
      </c>
      <c r="Y192" s="16" t="str">
        <f>IFERROR(__xludf.DUMMYFUNCTION("""COMPUTED_VALUE"""),"")</f>
        <v/>
      </c>
      <c r="Z192" s="16"/>
      <c r="AA192" s="16"/>
      <c r="AB192" s="16"/>
      <c r="AC192" s="16"/>
      <c r="AD192" s="16"/>
      <c r="AE192" s="16"/>
      <c r="AF192" s="16"/>
      <c r="AG192" s="16"/>
      <c r="AH192" s="16"/>
      <c r="AI192" s="16"/>
      <c r="AJ192" s="16"/>
      <c r="AK192" s="16"/>
      <c r="AL192" s="16"/>
      <c r="AM192" s="16"/>
      <c r="AN192" s="16"/>
      <c r="AO192" s="16"/>
      <c r="AP192" s="16"/>
      <c r="AQ192" s="16"/>
      <c r="AR192" s="16"/>
      <c r="AS192" s="16"/>
      <c r="AT192" s="16"/>
      <c r="AU192" s="16"/>
      <c r="AV192" s="16"/>
      <c r="AW192" s="16"/>
      <c r="AX192" s="16"/>
    </row>
    <row r="193">
      <c r="A193" s="16"/>
      <c r="B193" s="16"/>
      <c r="C193" s="16" t="str">
        <f>IFERROR(__xludf.DUMMYFUNCTION("""COMPUTED_VALUE"""),"")</f>
        <v/>
      </c>
      <c r="D193" s="16" t="str">
        <f>IFERROR(__xludf.DUMMYFUNCTION("""COMPUTED_VALUE"""),"")</f>
        <v/>
      </c>
      <c r="E193" s="16" t="str">
        <f>IFERROR(__xludf.DUMMYFUNCTION("""COMPUTED_VALUE"""),"")</f>
        <v/>
      </c>
      <c r="F193" s="16" t="str">
        <f>IFERROR(__xludf.DUMMYFUNCTION("""COMPUTED_VALUE"""),"")</f>
        <v/>
      </c>
      <c r="G193" s="16" t="str">
        <f>IFERROR(__xludf.DUMMYFUNCTION("""COMPUTED_VALUE"""),"")</f>
        <v/>
      </c>
      <c r="H193" s="16" t="str">
        <f>IFERROR(__xludf.DUMMYFUNCTION("""COMPUTED_VALUE"""),"")</f>
        <v/>
      </c>
      <c r="I193" s="16" t="str">
        <f>IFERROR(__xludf.DUMMYFUNCTION("""COMPUTED_VALUE"""),"")</f>
        <v/>
      </c>
      <c r="J193" s="16" t="str">
        <f>IFERROR(__xludf.DUMMYFUNCTION("""COMPUTED_VALUE"""),"")</f>
        <v/>
      </c>
      <c r="K193" s="16" t="str">
        <f>IFERROR(__xludf.DUMMYFUNCTION("""COMPUTED_VALUE"""),"")</f>
        <v/>
      </c>
      <c r="L193" s="16" t="str">
        <f>IFERROR(__xludf.DUMMYFUNCTION("""COMPUTED_VALUE"""),"")</f>
        <v/>
      </c>
      <c r="M193" s="16" t="str">
        <f>IFERROR(__xludf.DUMMYFUNCTION("""COMPUTED_VALUE"""),"")</f>
        <v/>
      </c>
      <c r="N193" s="16" t="str">
        <f>IFERROR(__xludf.DUMMYFUNCTION("""COMPUTED_VALUE"""),"")</f>
        <v/>
      </c>
      <c r="O193" s="16" t="str">
        <f>IFERROR(__xludf.DUMMYFUNCTION("""COMPUTED_VALUE"""),"")</f>
        <v/>
      </c>
      <c r="P193" s="16" t="str">
        <f>IFERROR(__xludf.DUMMYFUNCTION("""COMPUTED_VALUE"""),"")</f>
        <v/>
      </c>
      <c r="Q193" s="16" t="str">
        <f>IFERROR(__xludf.DUMMYFUNCTION("""COMPUTED_VALUE"""),"")</f>
        <v/>
      </c>
      <c r="R193" s="16" t="str">
        <f>IFERROR(__xludf.DUMMYFUNCTION("""COMPUTED_VALUE"""),"")</f>
        <v/>
      </c>
      <c r="S193" s="16" t="str">
        <f>IFERROR(__xludf.DUMMYFUNCTION("""COMPUTED_VALUE"""),"")</f>
        <v/>
      </c>
      <c r="T193" s="16" t="str">
        <f>IFERROR(__xludf.DUMMYFUNCTION("""COMPUTED_VALUE"""),"")</f>
        <v/>
      </c>
      <c r="U193" s="16" t="str">
        <f>IFERROR(__xludf.DUMMYFUNCTION("""COMPUTED_VALUE"""),"")</f>
        <v/>
      </c>
      <c r="V193" s="16" t="str">
        <f>IFERROR(__xludf.DUMMYFUNCTION("""COMPUTED_VALUE"""),"")</f>
        <v/>
      </c>
      <c r="W193" s="16" t="str">
        <f>IFERROR(__xludf.DUMMYFUNCTION("""COMPUTED_VALUE"""),"")</f>
        <v/>
      </c>
      <c r="X193" s="16" t="str">
        <f>IFERROR(__xludf.DUMMYFUNCTION("""COMPUTED_VALUE"""),"")</f>
        <v/>
      </c>
      <c r="Y193" s="16" t="str">
        <f>IFERROR(__xludf.DUMMYFUNCTION("""COMPUTED_VALUE"""),"")</f>
        <v/>
      </c>
      <c r="Z193" s="16"/>
      <c r="AA193" s="16"/>
      <c r="AB193" s="16"/>
      <c r="AC193" s="16"/>
      <c r="AD193" s="16"/>
      <c r="AE193" s="16"/>
      <c r="AF193" s="16"/>
      <c r="AG193" s="16"/>
      <c r="AH193" s="16"/>
      <c r="AI193" s="16"/>
      <c r="AJ193" s="16"/>
      <c r="AK193" s="16"/>
      <c r="AL193" s="16"/>
      <c r="AM193" s="16"/>
      <c r="AN193" s="16"/>
      <c r="AO193" s="16"/>
      <c r="AP193" s="16"/>
      <c r="AQ193" s="16"/>
      <c r="AR193" s="16"/>
      <c r="AS193" s="16"/>
      <c r="AT193" s="16"/>
      <c r="AU193" s="16"/>
      <c r="AV193" s="16"/>
      <c r="AW193" s="16"/>
      <c r="AX193" s="16"/>
    </row>
    <row r="194">
      <c r="A194" s="16"/>
      <c r="B194" s="16"/>
      <c r="C194" s="16" t="str">
        <f>IFERROR(__xludf.DUMMYFUNCTION("""COMPUTED_VALUE"""),"")</f>
        <v/>
      </c>
      <c r="D194" s="16" t="str">
        <f>IFERROR(__xludf.DUMMYFUNCTION("""COMPUTED_VALUE"""),"")</f>
        <v/>
      </c>
      <c r="E194" s="16" t="str">
        <f>IFERROR(__xludf.DUMMYFUNCTION("""COMPUTED_VALUE"""),"")</f>
        <v/>
      </c>
      <c r="F194" s="16" t="str">
        <f>IFERROR(__xludf.DUMMYFUNCTION("""COMPUTED_VALUE"""),"")</f>
        <v/>
      </c>
      <c r="G194" s="16" t="str">
        <f>IFERROR(__xludf.DUMMYFUNCTION("""COMPUTED_VALUE"""),"")</f>
        <v/>
      </c>
      <c r="H194" s="16" t="str">
        <f>IFERROR(__xludf.DUMMYFUNCTION("""COMPUTED_VALUE"""),"")</f>
        <v/>
      </c>
      <c r="I194" s="16" t="str">
        <f>IFERROR(__xludf.DUMMYFUNCTION("""COMPUTED_VALUE"""),"")</f>
        <v/>
      </c>
      <c r="J194" s="16" t="str">
        <f>IFERROR(__xludf.DUMMYFUNCTION("""COMPUTED_VALUE"""),"")</f>
        <v/>
      </c>
      <c r="K194" s="16" t="str">
        <f>IFERROR(__xludf.DUMMYFUNCTION("""COMPUTED_VALUE"""),"")</f>
        <v/>
      </c>
      <c r="L194" s="16" t="str">
        <f>IFERROR(__xludf.DUMMYFUNCTION("""COMPUTED_VALUE"""),"")</f>
        <v/>
      </c>
      <c r="M194" s="16" t="str">
        <f>IFERROR(__xludf.DUMMYFUNCTION("""COMPUTED_VALUE"""),"")</f>
        <v/>
      </c>
      <c r="N194" s="16" t="str">
        <f>IFERROR(__xludf.DUMMYFUNCTION("""COMPUTED_VALUE"""),"")</f>
        <v/>
      </c>
      <c r="O194" s="16" t="str">
        <f>IFERROR(__xludf.DUMMYFUNCTION("""COMPUTED_VALUE"""),"")</f>
        <v/>
      </c>
      <c r="P194" s="16" t="str">
        <f>IFERROR(__xludf.DUMMYFUNCTION("""COMPUTED_VALUE"""),"")</f>
        <v/>
      </c>
      <c r="Q194" s="16" t="str">
        <f>IFERROR(__xludf.DUMMYFUNCTION("""COMPUTED_VALUE"""),"")</f>
        <v/>
      </c>
      <c r="R194" s="16" t="str">
        <f>IFERROR(__xludf.DUMMYFUNCTION("""COMPUTED_VALUE"""),"")</f>
        <v/>
      </c>
      <c r="S194" s="16" t="str">
        <f>IFERROR(__xludf.DUMMYFUNCTION("""COMPUTED_VALUE"""),"")</f>
        <v/>
      </c>
      <c r="T194" s="16" t="str">
        <f>IFERROR(__xludf.DUMMYFUNCTION("""COMPUTED_VALUE"""),"")</f>
        <v/>
      </c>
      <c r="U194" s="16" t="str">
        <f>IFERROR(__xludf.DUMMYFUNCTION("""COMPUTED_VALUE"""),"")</f>
        <v/>
      </c>
      <c r="V194" s="16" t="str">
        <f>IFERROR(__xludf.DUMMYFUNCTION("""COMPUTED_VALUE"""),"")</f>
        <v/>
      </c>
      <c r="W194" s="16" t="str">
        <f>IFERROR(__xludf.DUMMYFUNCTION("""COMPUTED_VALUE"""),"")</f>
        <v/>
      </c>
      <c r="X194" s="16" t="str">
        <f>IFERROR(__xludf.DUMMYFUNCTION("""COMPUTED_VALUE"""),"")</f>
        <v/>
      </c>
      <c r="Y194" s="16" t="str">
        <f>IFERROR(__xludf.DUMMYFUNCTION("""COMPUTED_VALUE"""),"")</f>
        <v/>
      </c>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row>
    <row r="195">
      <c r="A195" s="16"/>
      <c r="B195" s="16"/>
      <c r="C195" s="16" t="str">
        <f>IFERROR(__xludf.DUMMYFUNCTION("""COMPUTED_VALUE"""),"")</f>
        <v/>
      </c>
      <c r="D195" s="16" t="str">
        <f>IFERROR(__xludf.DUMMYFUNCTION("""COMPUTED_VALUE"""),"")</f>
        <v/>
      </c>
      <c r="E195" s="16" t="str">
        <f>IFERROR(__xludf.DUMMYFUNCTION("""COMPUTED_VALUE"""),"")</f>
        <v/>
      </c>
      <c r="F195" s="16" t="str">
        <f>IFERROR(__xludf.DUMMYFUNCTION("""COMPUTED_VALUE"""),"")</f>
        <v/>
      </c>
      <c r="G195" s="16" t="str">
        <f>IFERROR(__xludf.DUMMYFUNCTION("""COMPUTED_VALUE"""),"")</f>
        <v/>
      </c>
      <c r="H195" s="16" t="str">
        <f>IFERROR(__xludf.DUMMYFUNCTION("""COMPUTED_VALUE"""),"")</f>
        <v/>
      </c>
      <c r="I195" s="16" t="str">
        <f>IFERROR(__xludf.DUMMYFUNCTION("""COMPUTED_VALUE"""),"")</f>
        <v/>
      </c>
      <c r="J195" s="16" t="str">
        <f>IFERROR(__xludf.DUMMYFUNCTION("""COMPUTED_VALUE"""),"")</f>
        <v/>
      </c>
      <c r="K195" s="16" t="str">
        <f>IFERROR(__xludf.DUMMYFUNCTION("""COMPUTED_VALUE"""),"")</f>
        <v/>
      </c>
      <c r="L195" s="16" t="str">
        <f>IFERROR(__xludf.DUMMYFUNCTION("""COMPUTED_VALUE"""),"")</f>
        <v/>
      </c>
      <c r="M195" s="16" t="str">
        <f>IFERROR(__xludf.DUMMYFUNCTION("""COMPUTED_VALUE"""),"")</f>
        <v/>
      </c>
      <c r="N195" s="16" t="str">
        <f>IFERROR(__xludf.DUMMYFUNCTION("""COMPUTED_VALUE"""),"")</f>
        <v/>
      </c>
      <c r="O195" s="16" t="str">
        <f>IFERROR(__xludf.DUMMYFUNCTION("""COMPUTED_VALUE"""),"")</f>
        <v/>
      </c>
      <c r="P195" s="16" t="str">
        <f>IFERROR(__xludf.DUMMYFUNCTION("""COMPUTED_VALUE"""),"")</f>
        <v/>
      </c>
      <c r="Q195" s="16" t="str">
        <f>IFERROR(__xludf.DUMMYFUNCTION("""COMPUTED_VALUE"""),"")</f>
        <v/>
      </c>
      <c r="R195" s="16" t="str">
        <f>IFERROR(__xludf.DUMMYFUNCTION("""COMPUTED_VALUE"""),"")</f>
        <v/>
      </c>
      <c r="S195" s="16" t="str">
        <f>IFERROR(__xludf.DUMMYFUNCTION("""COMPUTED_VALUE"""),"")</f>
        <v/>
      </c>
      <c r="T195" s="16" t="str">
        <f>IFERROR(__xludf.DUMMYFUNCTION("""COMPUTED_VALUE"""),"")</f>
        <v/>
      </c>
      <c r="U195" s="16" t="str">
        <f>IFERROR(__xludf.DUMMYFUNCTION("""COMPUTED_VALUE"""),"")</f>
        <v/>
      </c>
      <c r="V195" s="16" t="str">
        <f>IFERROR(__xludf.DUMMYFUNCTION("""COMPUTED_VALUE"""),"")</f>
        <v/>
      </c>
      <c r="W195" s="16" t="str">
        <f>IFERROR(__xludf.DUMMYFUNCTION("""COMPUTED_VALUE"""),"")</f>
        <v/>
      </c>
      <c r="X195" s="16" t="str">
        <f>IFERROR(__xludf.DUMMYFUNCTION("""COMPUTED_VALUE"""),"")</f>
        <v/>
      </c>
      <c r="Y195" s="16" t="str">
        <f>IFERROR(__xludf.DUMMYFUNCTION("""COMPUTED_VALUE"""),"")</f>
        <v/>
      </c>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row>
    <row r="196">
      <c r="A196" s="16"/>
      <c r="B196" s="16"/>
      <c r="C196" s="16" t="str">
        <f>IFERROR(__xludf.DUMMYFUNCTION("""COMPUTED_VALUE"""),"")</f>
        <v/>
      </c>
      <c r="D196" s="16" t="str">
        <f>IFERROR(__xludf.DUMMYFUNCTION("""COMPUTED_VALUE"""),"")</f>
        <v/>
      </c>
      <c r="E196" s="16" t="str">
        <f>IFERROR(__xludf.DUMMYFUNCTION("""COMPUTED_VALUE"""),"")</f>
        <v/>
      </c>
      <c r="F196" s="16" t="str">
        <f>IFERROR(__xludf.DUMMYFUNCTION("""COMPUTED_VALUE"""),"")</f>
        <v/>
      </c>
      <c r="G196" s="16" t="str">
        <f>IFERROR(__xludf.DUMMYFUNCTION("""COMPUTED_VALUE"""),"")</f>
        <v/>
      </c>
      <c r="H196" s="16" t="str">
        <f>IFERROR(__xludf.DUMMYFUNCTION("""COMPUTED_VALUE"""),"")</f>
        <v/>
      </c>
      <c r="I196" s="16" t="str">
        <f>IFERROR(__xludf.DUMMYFUNCTION("""COMPUTED_VALUE"""),"")</f>
        <v/>
      </c>
      <c r="J196" s="16" t="str">
        <f>IFERROR(__xludf.DUMMYFUNCTION("""COMPUTED_VALUE"""),"")</f>
        <v/>
      </c>
      <c r="K196" s="16" t="str">
        <f>IFERROR(__xludf.DUMMYFUNCTION("""COMPUTED_VALUE"""),"")</f>
        <v/>
      </c>
      <c r="L196" s="16" t="str">
        <f>IFERROR(__xludf.DUMMYFUNCTION("""COMPUTED_VALUE"""),"")</f>
        <v/>
      </c>
      <c r="M196" s="16" t="str">
        <f>IFERROR(__xludf.DUMMYFUNCTION("""COMPUTED_VALUE"""),"")</f>
        <v/>
      </c>
      <c r="N196" s="16" t="str">
        <f>IFERROR(__xludf.DUMMYFUNCTION("""COMPUTED_VALUE"""),"")</f>
        <v/>
      </c>
      <c r="O196" s="16" t="str">
        <f>IFERROR(__xludf.DUMMYFUNCTION("""COMPUTED_VALUE"""),"")</f>
        <v/>
      </c>
      <c r="P196" s="16" t="str">
        <f>IFERROR(__xludf.DUMMYFUNCTION("""COMPUTED_VALUE"""),"")</f>
        <v/>
      </c>
      <c r="Q196" s="16" t="str">
        <f>IFERROR(__xludf.DUMMYFUNCTION("""COMPUTED_VALUE"""),"")</f>
        <v/>
      </c>
      <c r="R196" s="16" t="str">
        <f>IFERROR(__xludf.DUMMYFUNCTION("""COMPUTED_VALUE"""),"")</f>
        <v/>
      </c>
      <c r="S196" s="16" t="str">
        <f>IFERROR(__xludf.DUMMYFUNCTION("""COMPUTED_VALUE"""),"")</f>
        <v/>
      </c>
      <c r="T196" s="16" t="str">
        <f>IFERROR(__xludf.DUMMYFUNCTION("""COMPUTED_VALUE"""),"")</f>
        <v/>
      </c>
      <c r="U196" s="16" t="str">
        <f>IFERROR(__xludf.DUMMYFUNCTION("""COMPUTED_VALUE"""),"")</f>
        <v/>
      </c>
      <c r="V196" s="16" t="str">
        <f>IFERROR(__xludf.DUMMYFUNCTION("""COMPUTED_VALUE"""),"")</f>
        <v/>
      </c>
      <c r="W196" s="16" t="str">
        <f>IFERROR(__xludf.DUMMYFUNCTION("""COMPUTED_VALUE"""),"")</f>
        <v/>
      </c>
      <c r="X196" s="16" t="str">
        <f>IFERROR(__xludf.DUMMYFUNCTION("""COMPUTED_VALUE"""),"")</f>
        <v/>
      </c>
      <c r="Y196" s="16" t="str">
        <f>IFERROR(__xludf.DUMMYFUNCTION("""COMPUTED_VALUE"""),"")</f>
        <v/>
      </c>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row>
    <row r="197">
      <c r="A197" s="16"/>
      <c r="B197" s="16"/>
      <c r="C197" s="16" t="str">
        <f>IFERROR(__xludf.DUMMYFUNCTION("""COMPUTED_VALUE"""),"")</f>
        <v/>
      </c>
      <c r="D197" s="16" t="str">
        <f>IFERROR(__xludf.DUMMYFUNCTION("""COMPUTED_VALUE"""),"")</f>
        <v/>
      </c>
      <c r="E197" s="16" t="str">
        <f>IFERROR(__xludf.DUMMYFUNCTION("""COMPUTED_VALUE"""),"")</f>
        <v/>
      </c>
      <c r="F197" s="16" t="str">
        <f>IFERROR(__xludf.DUMMYFUNCTION("""COMPUTED_VALUE"""),"")</f>
        <v/>
      </c>
      <c r="G197" s="16" t="str">
        <f>IFERROR(__xludf.DUMMYFUNCTION("""COMPUTED_VALUE"""),"")</f>
        <v/>
      </c>
      <c r="H197" s="16" t="str">
        <f>IFERROR(__xludf.DUMMYFUNCTION("""COMPUTED_VALUE"""),"")</f>
        <v/>
      </c>
      <c r="I197" s="16" t="str">
        <f>IFERROR(__xludf.DUMMYFUNCTION("""COMPUTED_VALUE"""),"")</f>
        <v/>
      </c>
      <c r="J197" s="16" t="str">
        <f>IFERROR(__xludf.DUMMYFUNCTION("""COMPUTED_VALUE"""),"")</f>
        <v/>
      </c>
      <c r="K197" s="16" t="str">
        <f>IFERROR(__xludf.DUMMYFUNCTION("""COMPUTED_VALUE"""),"")</f>
        <v/>
      </c>
      <c r="L197" s="16" t="str">
        <f>IFERROR(__xludf.DUMMYFUNCTION("""COMPUTED_VALUE"""),"")</f>
        <v/>
      </c>
      <c r="M197" s="16" t="str">
        <f>IFERROR(__xludf.DUMMYFUNCTION("""COMPUTED_VALUE"""),"")</f>
        <v/>
      </c>
      <c r="N197" s="16" t="str">
        <f>IFERROR(__xludf.DUMMYFUNCTION("""COMPUTED_VALUE"""),"")</f>
        <v/>
      </c>
      <c r="O197" s="16" t="str">
        <f>IFERROR(__xludf.DUMMYFUNCTION("""COMPUTED_VALUE"""),"")</f>
        <v/>
      </c>
      <c r="P197" s="16" t="str">
        <f>IFERROR(__xludf.DUMMYFUNCTION("""COMPUTED_VALUE"""),"")</f>
        <v/>
      </c>
      <c r="Q197" s="16" t="str">
        <f>IFERROR(__xludf.DUMMYFUNCTION("""COMPUTED_VALUE"""),"")</f>
        <v/>
      </c>
      <c r="R197" s="16" t="str">
        <f>IFERROR(__xludf.DUMMYFUNCTION("""COMPUTED_VALUE"""),"")</f>
        <v/>
      </c>
      <c r="S197" s="16" t="str">
        <f>IFERROR(__xludf.DUMMYFUNCTION("""COMPUTED_VALUE"""),"")</f>
        <v/>
      </c>
      <c r="T197" s="16" t="str">
        <f>IFERROR(__xludf.DUMMYFUNCTION("""COMPUTED_VALUE"""),"")</f>
        <v/>
      </c>
      <c r="U197" s="16" t="str">
        <f>IFERROR(__xludf.DUMMYFUNCTION("""COMPUTED_VALUE"""),"")</f>
        <v/>
      </c>
      <c r="V197" s="16" t="str">
        <f>IFERROR(__xludf.DUMMYFUNCTION("""COMPUTED_VALUE"""),"")</f>
        <v/>
      </c>
      <c r="W197" s="16" t="str">
        <f>IFERROR(__xludf.DUMMYFUNCTION("""COMPUTED_VALUE"""),"")</f>
        <v/>
      </c>
      <c r="X197" s="16" t="str">
        <f>IFERROR(__xludf.DUMMYFUNCTION("""COMPUTED_VALUE"""),"")</f>
        <v/>
      </c>
      <c r="Y197" s="16" t="str">
        <f>IFERROR(__xludf.DUMMYFUNCTION("""COMPUTED_VALUE"""),"")</f>
        <v/>
      </c>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row>
    <row r="198">
      <c r="A198" s="16"/>
      <c r="B198" s="16"/>
      <c r="C198" s="16" t="str">
        <f>IFERROR(__xludf.DUMMYFUNCTION("""COMPUTED_VALUE"""),"")</f>
        <v/>
      </c>
      <c r="D198" s="16" t="str">
        <f>IFERROR(__xludf.DUMMYFUNCTION("""COMPUTED_VALUE"""),"")</f>
        <v/>
      </c>
      <c r="E198" s="16" t="str">
        <f>IFERROR(__xludf.DUMMYFUNCTION("""COMPUTED_VALUE"""),"")</f>
        <v/>
      </c>
      <c r="F198" s="16" t="str">
        <f>IFERROR(__xludf.DUMMYFUNCTION("""COMPUTED_VALUE"""),"")</f>
        <v/>
      </c>
      <c r="G198" s="16" t="str">
        <f>IFERROR(__xludf.DUMMYFUNCTION("""COMPUTED_VALUE"""),"")</f>
        <v/>
      </c>
      <c r="H198" s="16" t="str">
        <f>IFERROR(__xludf.DUMMYFUNCTION("""COMPUTED_VALUE"""),"")</f>
        <v/>
      </c>
      <c r="I198" s="16" t="str">
        <f>IFERROR(__xludf.DUMMYFUNCTION("""COMPUTED_VALUE"""),"")</f>
        <v/>
      </c>
      <c r="J198" s="16" t="str">
        <f>IFERROR(__xludf.DUMMYFUNCTION("""COMPUTED_VALUE"""),"")</f>
        <v/>
      </c>
      <c r="K198" s="16" t="str">
        <f>IFERROR(__xludf.DUMMYFUNCTION("""COMPUTED_VALUE"""),"")</f>
        <v/>
      </c>
      <c r="L198" s="16" t="str">
        <f>IFERROR(__xludf.DUMMYFUNCTION("""COMPUTED_VALUE"""),"")</f>
        <v/>
      </c>
      <c r="M198" s="16" t="str">
        <f>IFERROR(__xludf.DUMMYFUNCTION("""COMPUTED_VALUE"""),"")</f>
        <v/>
      </c>
      <c r="N198" s="16" t="str">
        <f>IFERROR(__xludf.DUMMYFUNCTION("""COMPUTED_VALUE"""),"")</f>
        <v/>
      </c>
      <c r="O198" s="16" t="str">
        <f>IFERROR(__xludf.DUMMYFUNCTION("""COMPUTED_VALUE"""),"")</f>
        <v/>
      </c>
      <c r="P198" s="16" t="str">
        <f>IFERROR(__xludf.DUMMYFUNCTION("""COMPUTED_VALUE"""),"")</f>
        <v/>
      </c>
      <c r="Q198" s="16" t="str">
        <f>IFERROR(__xludf.DUMMYFUNCTION("""COMPUTED_VALUE"""),"")</f>
        <v/>
      </c>
      <c r="R198" s="16" t="str">
        <f>IFERROR(__xludf.DUMMYFUNCTION("""COMPUTED_VALUE"""),"")</f>
        <v/>
      </c>
      <c r="S198" s="16" t="str">
        <f>IFERROR(__xludf.DUMMYFUNCTION("""COMPUTED_VALUE"""),"")</f>
        <v/>
      </c>
      <c r="T198" s="16" t="str">
        <f>IFERROR(__xludf.DUMMYFUNCTION("""COMPUTED_VALUE"""),"")</f>
        <v/>
      </c>
      <c r="U198" s="16" t="str">
        <f>IFERROR(__xludf.DUMMYFUNCTION("""COMPUTED_VALUE"""),"")</f>
        <v/>
      </c>
      <c r="V198" s="16" t="str">
        <f>IFERROR(__xludf.DUMMYFUNCTION("""COMPUTED_VALUE"""),"")</f>
        <v/>
      </c>
      <c r="W198" s="16" t="str">
        <f>IFERROR(__xludf.DUMMYFUNCTION("""COMPUTED_VALUE"""),"")</f>
        <v/>
      </c>
      <c r="X198" s="16" t="str">
        <f>IFERROR(__xludf.DUMMYFUNCTION("""COMPUTED_VALUE"""),"")</f>
        <v/>
      </c>
      <c r="Y198" s="16" t="str">
        <f>IFERROR(__xludf.DUMMYFUNCTION("""COMPUTED_VALUE"""),"")</f>
        <v/>
      </c>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row>
    <row r="199">
      <c r="A199" s="16"/>
      <c r="B199" s="16"/>
      <c r="C199" s="16" t="str">
        <f>IFERROR(__xludf.DUMMYFUNCTION("""COMPUTED_VALUE"""),"")</f>
        <v/>
      </c>
      <c r="D199" s="16" t="str">
        <f>IFERROR(__xludf.DUMMYFUNCTION("""COMPUTED_VALUE"""),"")</f>
        <v/>
      </c>
      <c r="E199" s="16" t="str">
        <f>IFERROR(__xludf.DUMMYFUNCTION("""COMPUTED_VALUE"""),"")</f>
        <v/>
      </c>
      <c r="F199" s="16" t="str">
        <f>IFERROR(__xludf.DUMMYFUNCTION("""COMPUTED_VALUE"""),"")</f>
        <v/>
      </c>
      <c r="G199" s="16" t="str">
        <f>IFERROR(__xludf.DUMMYFUNCTION("""COMPUTED_VALUE"""),"")</f>
        <v/>
      </c>
      <c r="H199" s="16" t="str">
        <f>IFERROR(__xludf.DUMMYFUNCTION("""COMPUTED_VALUE"""),"")</f>
        <v/>
      </c>
      <c r="I199" s="16" t="str">
        <f>IFERROR(__xludf.DUMMYFUNCTION("""COMPUTED_VALUE"""),"")</f>
        <v/>
      </c>
      <c r="J199" s="16" t="str">
        <f>IFERROR(__xludf.DUMMYFUNCTION("""COMPUTED_VALUE"""),"")</f>
        <v/>
      </c>
      <c r="K199" s="16" t="str">
        <f>IFERROR(__xludf.DUMMYFUNCTION("""COMPUTED_VALUE"""),"")</f>
        <v/>
      </c>
      <c r="L199" s="16" t="str">
        <f>IFERROR(__xludf.DUMMYFUNCTION("""COMPUTED_VALUE"""),"")</f>
        <v/>
      </c>
      <c r="M199" s="16" t="str">
        <f>IFERROR(__xludf.DUMMYFUNCTION("""COMPUTED_VALUE"""),"")</f>
        <v/>
      </c>
      <c r="N199" s="16" t="str">
        <f>IFERROR(__xludf.DUMMYFUNCTION("""COMPUTED_VALUE"""),"")</f>
        <v/>
      </c>
      <c r="O199" s="16" t="str">
        <f>IFERROR(__xludf.DUMMYFUNCTION("""COMPUTED_VALUE"""),"")</f>
        <v/>
      </c>
      <c r="P199" s="16" t="str">
        <f>IFERROR(__xludf.DUMMYFUNCTION("""COMPUTED_VALUE"""),"")</f>
        <v/>
      </c>
      <c r="Q199" s="16" t="str">
        <f>IFERROR(__xludf.DUMMYFUNCTION("""COMPUTED_VALUE"""),"")</f>
        <v/>
      </c>
      <c r="R199" s="16" t="str">
        <f>IFERROR(__xludf.DUMMYFUNCTION("""COMPUTED_VALUE"""),"")</f>
        <v/>
      </c>
      <c r="S199" s="16" t="str">
        <f>IFERROR(__xludf.DUMMYFUNCTION("""COMPUTED_VALUE"""),"")</f>
        <v/>
      </c>
      <c r="T199" s="16" t="str">
        <f>IFERROR(__xludf.DUMMYFUNCTION("""COMPUTED_VALUE"""),"")</f>
        <v/>
      </c>
      <c r="U199" s="16" t="str">
        <f>IFERROR(__xludf.DUMMYFUNCTION("""COMPUTED_VALUE"""),"")</f>
        <v/>
      </c>
      <c r="V199" s="16" t="str">
        <f>IFERROR(__xludf.DUMMYFUNCTION("""COMPUTED_VALUE"""),"")</f>
        <v/>
      </c>
      <c r="W199" s="16" t="str">
        <f>IFERROR(__xludf.DUMMYFUNCTION("""COMPUTED_VALUE"""),"")</f>
        <v/>
      </c>
      <c r="X199" s="16" t="str">
        <f>IFERROR(__xludf.DUMMYFUNCTION("""COMPUTED_VALUE"""),"")</f>
        <v/>
      </c>
      <c r="Y199" s="16" t="str">
        <f>IFERROR(__xludf.DUMMYFUNCTION("""COMPUTED_VALUE"""),"")</f>
        <v/>
      </c>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row>
    <row r="200">
      <c r="A200" s="16"/>
      <c r="B200" s="16"/>
      <c r="C200" s="16" t="str">
        <f>IFERROR(__xludf.DUMMYFUNCTION("""COMPUTED_VALUE"""),"")</f>
        <v/>
      </c>
      <c r="D200" s="16" t="str">
        <f>IFERROR(__xludf.DUMMYFUNCTION("""COMPUTED_VALUE"""),"")</f>
        <v/>
      </c>
      <c r="E200" s="16" t="str">
        <f>IFERROR(__xludf.DUMMYFUNCTION("""COMPUTED_VALUE"""),"")</f>
        <v/>
      </c>
      <c r="F200" s="16" t="str">
        <f>IFERROR(__xludf.DUMMYFUNCTION("""COMPUTED_VALUE"""),"")</f>
        <v/>
      </c>
      <c r="G200" s="16" t="str">
        <f>IFERROR(__xludf.DUMMYFUNCTION("""COMPUTED_VALUE"""),"")</f>
        <v/>
      </c>
      <c r="H200" s="16" t="str">
        <f>IFERROR(__xludf.DUMMYFUNCTION("""COMPUTED_VALUE"""),"")</f>
        <v/>
      </c>
      <c r="I200" s="16" t="str">
        <f>IFERROR(__xludf.DUMMYFUNCTION("""COMPUTED_VALUE"""),"")</f>
        <v/>
      </c>
      <c r="J200" s="16" t="str">
        <f>IFERROR(__xludf.DUMMYFUNCTION("""COMPUTED_VALUE"""),"")</f>
        <v/>
      </c>
      <c r="K200" s="16" t="str">
        <f>IFERROR(__xludf.DUMMYFUNCTION("""COMPUTED_VALUE"""),"")</f>
        <v/>
      </c>
      <c r="L200" s="16" t="str">
        <f>IFERROR(__xludf.DUMMYFUNCTION("""COMPUTED_VALUE"""),"")</f>
        <v/>
      </c>
      <c r="M200" s="16" t="str">
        <f>IFERROR(__xludf.DUMMYFUNCTION("""COMPUTED_VALUE"""),"")</f>
        <v/>
      </c>
      <c r="N200" s="16" t="str">
        <f>IFERROR(__xludf.DUMMYFUNCTION("""COMPUTED_VALUE"""),"")</f>
        <v/>
      </c>
      <c r="O200" s="16" t="str">
        <f>IFERROR(__xludf.DUMMYFUNCTION("""COMPUTED_VALUE"""),"")</f>
        <v/>
      </c>
      <c r="P200" s="16" t="str">
        <f>IFERROR(__xludf.DUMMYFUNCTION("""COMPUTED_VALUE"""),"")</f>
        <v/>
      </c>
      <c r="Q200" s="16" t="str">
        <f>IFERROR(__xludf.DUMMYFUNCTION("""COMPUTED_VALUE"""),"")</f>
        <v/>
      </c>
      <c r="R200" s="16" t="str">
        <f>IFERROR(__xludf.DUMMYFUNCTION("""COMPUTED_VALUE"""),"")</f>
        <v/>
      </c>
      <c r="S200" s="16" t="str">
        <f>IFERROR(__xludf.DUMMYFUNCTION("""COMPUTED_VALUE"""),"")</f>
        <v/>
      </c>
      <c r="T200" s="16" t="str">
        <f>IFERROR(__xludf.DUMMYFUNCTION("""COMPUTED_VALUE"""),"")</f>
        <v/>
      </c>
      <c r="U200" s="16" t="str">
        <f>IFERROR(__xludf.DUMMYFUNCTION("""COMPUTED_VALUE"""),"")</f>
        <v/>
      </c>
      <c r="V200" s="16" t="str">
        <f>IFERROR(__xludf.DUMMYFUNCTION("""COMPUTED_VALUE"""),"")</f>
        <v/>
      </c>
      <c r="W200" s="16" t="str">
        <f>IFERROR(__xludf.DUMMYFUNCTION("""COMPUTED_VALUE"""),"")</f>
        <v/>
      </c>
      <c r="X200" s="16" t="str">
        <f>IFERROR(__xludf.DUMMYFUNCTION("""COMPUTED_VALUE"""),"")</f>
        <v/>
      </c>
      <c r="Y200" s="16" t="str">
        <f>IFERROR(__xludf.DUMMYFUNCTION("""COMPUTED_VALUE"""),"")</f>
        <v/>
      </c>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row>
    <row r="201">
      <c r="A201" s="16"/>
      <c r="B201" s="16"/>
      <c r="C201" s="16" t="str">
        <f>IFERROR(__xludf.DUMMYFUNCTION("""COMPUTED_VALUE"""),"")</f>
        <v/>
      </c>
      <c r="D201" s="16" t="str">
        <f>IFERROR(__xludf.DUMMYFUNCTION("""COMPUTED_VALUE"""),"")</f>
        <v/>
      </c>
      <c r="E201" s="16" t="str">
        <f>IFERROR(__xludf.DUMMYFUNCTION("""COMPUTED_VALUE"""),"")</f>
        <v/>
      </c>
      <c r="F201" s="16" t="str">
        <f>IFERROR(__xludf.DUMMYFUNCTION("""COMPUTED_VALUE"""),"")</f>
        <v/>
      </c>
      <c r="G201" s="16" t="str">
        <f>IFERROR(__xludf.DUMMYFUNCTION("""COMPUTED_VALUE"""),"")</f>
        <v/>
      </c>
      <c r="H201" s="16" t="str">
        <f>IFERROR(__xludf.DUMMYFUNCTION("""COMPUTED_VALUE"""),"")</f>
        <v/>
      </c>
      <c r="I201" s="16" t="str">
        <f>IFERROR(__xludf.DUMMYFUNCTION("""COMPUTED_VALUE"""),"")</f>
        <v/>
      </c>
      <c r="J201" s="16" t="str">
        <f>IFERROR(__xludf.DUMMYFUNCTION("""COMPUTED_VALUE"""),"")</f>
        <v/>
      </c>
      <c r="K201" s="16" t="str">
        <f>IFERROR(__xludf.DUMMYFUNCTION("""COMPUTED_VALUE"""),"")</f>
        <v/>
      </c>
      <c r="L201" s="16" t="str">
        <f>IFERROR(__xludf.DUMMYFUNCTION("""COMPUTED_VALUE"""),"")</f>
        <v/>
      </c>
      <c r="M201" s="16" t="str">
        <f>IFERROR(__xludf.DUMMYFUNCTION("""COMPUTED_VALUE"""),"")</f>
        <v/>
      </c>
      <c r="N201" s="16" t="str">
        <f>IFERROR(__xludf.DUMMYFUNCTION("""COMPUTED_VALUE"""),"")</f>
        <v/>
      </c>
      <c r="O201" s="16" t="str">
        <f>IFERROR(__xludf.DUMMYFUNCTION("""COMPUTED_VALUE"""),"")</f>
        <v/>
      </c>
      <c r="P201" s="16" t="str">
        <f>IFERROR(__xludf.DUMMYFUNCTION("""COMPUTED_VALUE"""),"")</f>
        <v/>
      </c>
      <c r="Q201" s="16" t="str">
        <f>IFERROR(__xludf.DUMMYFUNCTION("""COMPUTED_VALUE"""),"")</f>
        <v/>
      </c>
      <c r="R201" s="16" t="str">
        <f>IFERROR(__xludf.DUMMYFUNCTION("""COMPUTED_VALUE"""),"")</f>
        <v/>
      </c>
      <c r="S201" s="16" t="str">
        <f>IFERROR(__xludf.DUMMYFUNCTION("""COMPUTED_VALUE"""),"")</f>
        <v/>
      </c>
      <c r="T201" s="16" t="str">
        <f>IFERROR(__xludf.DUMMYFUNCTION("""COMPUTED_VALUE"""),"")</f>
        <v/>
      </c>
      <c r="U201" s="16" t="str">
        <f>IFERROR(__xludf.DUMMYFUNCTION("""COMPUTED_VALUE"""),"")</f>
        <v/>
      </c>
      <c r="V201" s="16" t="str">
        <f>IFERROR(__xludf.DUMMYFUNCTION("""COMPUTED_VALUE"""),"")</f>
        <v/>
      </c>
      <c r="W201" s="16" t="str">
        <f>IFERROR(__xludf.DUMMYFUNCTION("""COMPUTED_VALUE"""),"")</f>
        <v/>
      </c>
      <c r="X201" s="16" t="str">
        <f>IFERROR(__xludf.DUMMYFUNCTION("""COMPUTED_VALUE"""),"")</f>
        <v/>
      </c>
      <c r="Y201" s="16" t="str">
        <f>IFERROR(__xludf.DUMMYFUNCTION("""COMPUTED_VALUE"""),"")</f>
        <v/>
      </c>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row>
    <row r="202">
      <c r="A202" s="16"/>
      <c r="B202" s="16"/>
      <c r="C202" s="16" t="str">
        <f>IFERROR(__xludf.DUMMYFUNCTION("""COMPUTED_VALUE"""),"")</f>
        <v/>
      </c>
      <c r="D202" s="16" t="str">
        <f>IFERROR(__xludf.DUMMYFUNCTION("""COMPUTED_VALUE"""),"")</f>
        <v/>
      </c>
      <c r="E202" s="16" t="str">
        <f>IFERROR(__xludf.DUMMYFUNCTION("""COMPUTED_VALUE"""),"")</f>
        <v/>
      </c>
      <c r="F202" s="16" t="str">
        <f>IFERROR(__xludf.DUMMYFUNCTION("""COMPUTED_VALUE"""),"")</f>
        <v/>
      </c>
      <c r="G202" s="16" t="str">
        <f>IFERROR(__xludf.DUMMYFUNCTION("""COMPUTED_VALUE"""),"")</f>
        <v/>
      </c>
      <c r="H202" s="16" t="str">
        <f>IFERROR(__xludf.DUMMYFUNCTION("""COMPUTED_VALUE"""),"")</f>
        <v/>
      </c>
      <c r="I202" s="16" t="str">
        <f>IFERROR(__xludf.DUMMYFUNCTION("""COMPUTED_VALUE"""),"")</f>
        <v/>
      </c>
      <c r="J202" s="16" t="str">
        <f>IFERROR(__xludf.DUMMYFUNCTION("""COMPUTED_VALUE"""),"")</f>
        <v/>
      </c>
      <c r="K202" s="16" t="str">
        <f>IFERROR(__xludf.DUMMYFUNCTION("""COMPUTED_VALUE"""),"")</f>
        <v/>
      </c>
      <c r="L202" s="16" t="str">
        <f>IFERROR(__xludf.DUMMYFUNCTION("""COMPUTED_VALUE"""),"")</f>
        <v/>
      </c>
      <c r="M202" s="16" t="str">
        <f>IFERROR(__xludf.DUMMYFUNCTION("""COMPUTED_VALUE"""),"")</f>
        <v/>
      </c>
      <c r="N202" s="16" t="str">
        <f>IFERROR(__xludf.DUMMYFUNCTION("""COMPUTED_VALUE"""),"")</f>
        <v/>
      </c>
      <c r="O202" s="16" t="str">
        <f>IFERROR(__xludf.DUMMYFUNCTION("""COMPUTED_VALUE"""),"")</f>
        <v/>
      </c>
      <c r="P202" s="16" t="str">
        <f>IFERROR(__xludf.DUMMYFUNCTION("""COMPUTED_VALUE"""),"")</f>
        <v/>
      </c>
      <c r="Q202" s="16" t="str">
        <f>IFERROR(__xludf.DUMMYFUNCTION("""COMPUTED_VALUE"""),"")</f>
        <v/>
      </c>
      <c r="R202" s="16" t="str">
        <f>IFERROR(__xludf.DUMMYFUNCTION("""COMPUTED_VALUE"""),"")</f>
        <v/>
      </c>
      <c r="S202" s="16" t="str">
        <f>IFERROR(__xludf.DUMMYFUNCTION("""COMPUTED_VALUE"""),"")</f>
        <v/>
      </c>
      <c r="T202" s="16" t="str">
        <f>IFERROR(__xludf.DUMMYFUNCTION("""COMPUTED_VALUE"""),"")</f>
        <v/>
      </c>
      <c r="U202" s="16" t="str">
        <f>IFERROR(__xludf.DUMMYFUNCTION("""COMPUTED_VALUE"""),"")</f>
        <v/>
      </c>
      <c r="V202" s="16" t="str">
        <f>IFERROR(__xludf.DUMMYFUNCTION("""COMPUTED_VALUE"""),"")</f>
        <v/>
      </c>
      <c r="W202" s="16" t="str">
        <f>IFERROR(__xludf.DUMMYFUNCTION("""COMPUTED_VALUE"""),"")</f>
        <v/>
      </c>
      <c r="X202" s="16" t="str">
        <f>IFERROR(__xludf.DUMMYFUNCTION("""COMPUTED_VALUE"""),"")</f>
        <v/>
      </c>
      <c r="Y202" s="16" t="str">
        <f>IFERROR(__xludf.DUMMYFUNCTION("""COMPUTED_VALUE"""),"")</f>
        <v/>
      </c>
      <c r="Z202" s="16"/>
      <c r="AA202" s="16"/>
      <c r="AB202" s="16"/>
      <c r="AC202" s="16"/>
      <c r="AD202" s="16"/>
      <c r="AE202" s="16"/>
      <c r="AF202" s="16"/>
      <c r="AG202" s="16"/>
      <c r="AH202" s="16"/>
      <c r="AI202" s="16"/>
      <c r="AJ202" s="16"/>
      <c r="AK202" s="16"/>
      <c r="AL202" s="16"/>
      <c r="AM202" s="16"/>
      <c r="AN202" s="16"/>
      <c r="AO202" s="16"/>
      <c r="AP202" s="16"/>
      <c r="AQ202" s="16"/>
      <c r="AR202" s="16"/>
      <c r="AS202" s="16"/>
      <c r="AT202" s="16"/>
      <c r="AU202" s="16"/>
      <c r="AV202" s="16"/>
      <c r="AW202" s="16"/>
      <c r="AX202" s="16"/>
    </row>
    <row r="203">
      <c r="A203" s="16"/>
      <c r="B203" s="16"/>
      <c r="C203" s="16" t="str">
        <f>IFERROR(__xludf.DUMMYFUNCTION("""COMPUTED_VALUE"""),"")</f>
        <v/>
      </c>
      <c r="D203" s="16" t="str">
        <f>IFERROR(__xludf.DUMMYFUNCTION("""COMPUTED_VALUE"""),"")</f>
        <v/>
      </c>
      <c r="E203" s="16" t="str">
        <f>IFERROR(__xludf.DUMMYFUNCTION("""COMPUTED_VALUE"""),"")</f>
        <v/>
      </c>
      <c r="F203" s="16" t="str">
        <f>IFERROR(__xludf.DUMMYFUNCTION("""COMPUTED_VALUE"""),"")</f>
        <v/>
      </c>
      <c r="G203" s="16" t="str">
        <f>IFERROR(__xludf.DUMMYFUNCTION("""COMPUTED_VALUE"""),"")</f>
        <v/>
      </c>
      <c r="H203" s="16" t="str">
        <f>IFERROR(__xludf.DUMMYFUNCTION("""COMPUTED_VALUE"""),"")</f>
        <v/>
      </c>
      <c r="I203" s="16" t="str">
        <f>IFERROR(__xludf.DUMMYFUNCTION("""COMPUTED_VALUE"""),"")</f>
        <v/>
      </c>
      <c r="J203" s="16" t="str">
        <f>IFERROR(__xludf.DUMMYFUNCTION("""COMPUTED_VALUE"""),"")</f>
        <v/>
      </c>
      <c r="K203" s="16" t="str">
        <f>IFERROR(__xludf.DUMMYFUNCTION("""COMPUTED_VALUE"""),"")</f>
        <v/>
      </c>
      <c r="L203" s="16" t="str">
        <f>IFERROR(__xludf.DUMMYFUNCTION("""COMPUTED_VALUE"""),"")</f>
        <v/>
      </c>
      <c r="M203" s="16" t="str">
        <f>IFERROR(__xludf.DUMMYFUNCTION("""COMPUTED_VALUE"""),"")</f>
        <v/>
      </c>
      <c r="N203" s="16" t="str">
        <f>IFERROR(__xludf.DUMMYFUNCTION("""COMPUTED_VALUE"""),"")</f>
        <v/>
      </c>
      <c r="O203" s="16" t="str">
        <f>IFERROR(__xludf.DUMMYFUNCTION("""COMPUTED_VALUE"""),"")</f>
        <v/>
      </c>
      <c r="P203" s="16" t="str">
        <f>IFERROR(__xludf.DUMMYFUNCTION("""COMPUTED_VALUE"""),"")</f>
        <v/>
      </c>
      <c r="Q203" s="16" t="str">
        <f>IFERROR(__xludf.DUMMYFUNCTION("""COMPUTED_VALUE"""),"")</f>
        <v/>
      </c>
      <c r="R203" s="16" t="str">
        <f>IFERROR(__xludf.DUMMYFUNCTION("""COMPUTED_VALUE"""),"")</f>
        <v/>
      </c>
      <c r="S203" s="16" t="str">
        <f>IFERROR(__xludf.DUMMYFUNCTION("""COMPUTED_VALUE"""),"")</f>
        <v/>
      </c>
      <c r="T203" s="16" t="str">
        <f>IFERROR(__xludf.DUMMYFUNCTION("""COMPUTED_VALUE"""),"")</f>
        <v/>
      </c>
      <c r="U203" s="16" t="str">
        <f>IFERROR(__xludf.DUMMYFUNCTION("""COMPUTED_VALUE"""),"")</f>
        <v/>
      </c>
      <c r="V203" s="16" t="str">
        <f>IFERROR(__xludf.DUMMYFUNCTION("""COMPUTED_VALUE"""),"")</f>
        <v/>
      </c>
      <c r="W203" s="16" t="str">
        <f>IFERROR(__xludf.DUMMYFUNCTION("""COMPUTED_VALUE"""),"")</f>
        <v/>
      </c>
      <c r="X203" s="16" t="str">
        <f>IFERROR(__xludf.DUMMYFUNCTION("""COMPUTED_VALUE"""),"")</f>
        <v/>
      </c>
      <c r="Y203" s="16" t="str">
        <f>IFERROR(__xludf.DUMMYFUNCTION("""COMPUTED_VALUE"""),"")</f>
        <v/>
      </c>
      <c r="Z203" s="16"/>
      <c r="AA203" s="16"/>
      <c r="AB203" s="16"/>
      <c r="AC203" s="16"/>
      <c r="AD203" s="16"/>
      <c r="AE203" s="16"/>
      <c r="AF203" s="16"/>
      <c r="AG203" s="16"/>
      <c r="AH203" s="16"/>
      <c r="AI203" s="16"/>
      <c r="AJ203" s="16"/>
      <c r="AK203" s="16"/>
      <c r="AL203" s="16"/>
      <c r="AM203" s="16"/>
      <c r="AN203" s="16"/>
      <c r="AO203" s="16"/>
      <c r="AP203" s="16"/>
      <c r="AQ203" s="16"/>
      <c r="AR203" s="16"/>
      <c r="AS203" s="16"/>
      <c r="AT203" s="16"/>
      <c r="AU203" s="16"/>
      <c r="AV203" s="16"/>
      <c r="AW203" s="16"/>
      <c r="AX203" s="16"/>
    </row>
    <row r="204">
      <c r="A204" s="16"/>
      <c r="B204" s="16"/>
      <c r="C204" s="16" t="str">
        <f>IFERROR(__xludf.DUMMYFUNCTION("""COMPUTED_VALUE"""),"")</f>
        <v/>
      </c>
      <c r="D204" s="16" t="str">
        <f>IFERROR(__xludf.DUMMYFUNCTION("""COMPUTED_VALUE"""),"")</f>
        <v/>
      </c>
      <c r="E204" s="16" t="str">
        <f>IFERROR(__xludf.DUMMYFUNCTION("""COMPUTED_VALUE"""),"")</f>
        <v/>
      </c>
      <c r="F204" s="16" t="str">
        <f>IFERROR(__xludf.DUMMYFUNCTION("""COMPUTED_VALUE"""),"")</f>
        <v/>
      </c>
      <c r="G204" s="16" t="str">
        <f>IFERROR(__xludf.DUMMYFUNCTION("""COMPUTED_VALUE"""),"")</f>
        <v/>
      </c>
      <c r="H204" s="16" t="str">
        <f>IFERROR(__xludf.DUMMYFUNCTION("""COMPUTED_VALUE"""),"")</f>
        <v/>
      </c>
      <c r="I204" s="16" t="str">
        <f>IFERROR(__xludf.DUMMYFUNCTION("""COMPUTED_VALUE"""),"")</f>
        <v/>
      </c>
      <c r="J204" s="16" t="str">
        <f>IFERROR(__xludf.DUMMYFUNCTION("""COMPUTED_VALUE"""),"")</f>
        <v/>
      </c>
      <c r="K204" s="16" t="str">
        <f>IFERROR(__xludf.DUMMYFUNCTION("""COMPUTED_VALUE"""),"")</f>
        <v/>
      </c>
      <c r="L204" s="16" t="str">
        <f>IFERROR(__xludf.DUMMYFUNCTION("""COMPUTED_VALUE"""),"")</f>
        <v/>
      </c>
      <c r="M204" s="16" t="str">
        <f>IFERROR(__xludf.DUMMYFUNCTION("""COMPUTED_VALUE"""),"")</f>
        <v/>
      </c>
      <c r="N204" s="16" t="str">
        <f>IFERROR(__xludf.DUMMYFUNCTION("""COMPUTED_VALUE"""),"")</f>
        <v/>
      </c>
      <c r="O204" s="16" t="str">
        <f>IFERROR(__xludf.DUMMYFUNCTION("""COMPUTED_VALUE"""),"")</f>
        <v/>
      </c>
      <c r="P204" s="16" t="str">
        <f>IFERROR(__xludf.DUMMYFUNCTION("""COMPUTED_VALUE"""),"")</f>
        <v/>
      </c>
      <c r="Q204" s="16" t="str">
        <f>IFERROR(__xludf.DUMMYFUNCTION("""COMPUTED_VALUE"""),"")</f>
        <v/>
      </c>
      <c r="R204" s="16" t="str">
        <f>IFERROR(__xludf.DUMMYFUNCTION("""COMPUTED_VALUE"""),"")</f>
        <v/>
      </c>
      <c r="S204" s="16" t="str">
        <f>IFERROR(__xludf.DUMMYFUNCTION("""COMPUTED_VALUE"""),"")</f>
        <v/>
      </c>
      <c r="T204" s="16" t="str">
        <f>IFERROR(__xludf.DUMMYFUNCTION("""COMPUTED_VALUE"""),"")</f>
        <v/>
      </c>
      <c r="U204" s="16" t="str">
        <f>IFERROR(__xludf.DUMMYFUNCTION("""COMPUTED_VALUE"""),"")</f>
        <v/>
      </c>
      <c r="V204" s="16" t="str">
        <f>IFERROR(__xludf.DUMMYFUNCTION("""COMPUTED_VALUE"""),"")</f>
        <v/>
      </c>
      <c r="W204" s="16" t="str">
        <f>IFERROR(__xludf.DUMMYFUNCTION("""COMPUTED_VALUE"""),"")</f>
        <v/>
      </c>
      <c r="X204" s="16" t="str">
        <f>IFERROR(__xludf.DUMMYFUNCTION("""COMPUTED_VALUE"""),"")</f>
        <v/>
      </c>
      <c r="Y204" s="16" t="str">
        <f>IFERROR(__xludf.DUMMYFUNCTION("""COMPUTED_VALUE"""),"")</f>
        <v/>
      </c>
      <c r="Z204" s="16"/>
      <c r="AA204" s="16"/>
      <c r="AB204" s="16"/>
      <c r="AC204" s="16"/>
      <c r="AD204" s="16"/>
      <c r="AE204" s="16"/>
      <c r="AF204" s="16"/>
      <c r="AG204" s="16"/>
      <c r="AH204" s="16"/>
      <c r="AI204" s="16"/>
      <c r="AJ204" s="16"/>
      <c r="AK204" s="16"/>
      <c r="AL204" s="16"/>
      <c r="AM204" s="16"/>
      <c r="AN204" s="16"/>
      <c r="AO204" s="16"/>
      <c r="AP204" s="16"/>
      <c r="AQ204" s="16"/>
      <c r="AR204" s="16"/>
      <c r="AS204" s="16"/>
      <c r="AT204" s="16"/>
      <c r="AU204" s="16"/>
      <c r="AV204" s="16"/>
      <c r="AW204" s="16"/>
      <c r="AX204" s="16"/>
    </row>
    <row r="205">
      <c r="A205" s="16"/>
      <c r="B205" s="16"/>
      <c r="C205" s="16" t="str">
        <f>IFERROR(__xludf.DUMMYFUNCTION("""COMPUTED_VALUE"""),"")</f>
        <v/>
      </c>
      <c r="D205" s="16" t="str">
        <f>IFERROR(__xludf.DUMMYFUNCTION("""COMPUTED_VALUE"""),"")</f>
        <v/>
      </c>
      <c r="E205" s="16" t="str">
        <f>IFERROR(__xludf.DUMMYFUNCTION("""COMPUTED_VALUE"""),"")</f>
        <v/>
      </c>
      <c r="F205" s="16" t="str">
        <f>IFERROR(__xludf.DUMMYFUNCTION("""COMPUTED_VALUE"""),"")</f>
        <v/>
      </c>
      <c r="G205" s="16" t="str">
        <f>IFERROR(__xludf.DUMMYFUNCTION("""COMPUTED_VALUE"""),"")</f>
        <v/>
      </c>
      <c r="H205" s="16" t="str">
        <f>IFERROR(__xludf.DUMMYFUNCTION("""COMPUTED_VALUE"""),"")</f>
        <v/>
      </c>
      <c r="I205" s="16" t="str">
        <f>IFERROR(__xludf.DUMMYFUNCTION("""COMPUTED_VALUE"""),"")</f>
        <v/>
      </c>
      <c r="J205" s="16" t="str">
        <f>IFERROR(__xludf.DUMMYFUNCTION("""COMPUTED_VALUE"""),"")</f>
        <v/>
      </c>
      <c r="K205" s="16" t="str">
        <f>IFERROR(__xludf.DUMMYFUNCTION("""COMPUTED_VALUE"""),"")</f>
        <v/>
      </c>
      <c r="L205" s="16" t="str">
        <f>IFERROR(__xludf.DUMMYFUNCTION("""COMPUTED_VALUE"""),"")</f>
        <v/>
      </c>
      <c r="M205" s="16" t="str">
        <f>IFERROR(__xludf.DUMMYFUNCTION("""COMPUTED_VALUE"""),"")</f>
        <v/>
      </c>
      <c r="N205" s="16" t="str">
        <f>IFERROR(__xludf.DUMMYFUNCTION("""COMPUTED_VALUE"""),"")</f>
        <v/>
      </c>
      <c r="O205" s="16" t="str">
        <f>IFERROR(__xludf.DUMMYFUNCTION("""COMPUTED_VALUE"""),"")</f>
        <v/>
      </c>
      <c r="P205" s="16" t="str">
        <f>IFERROR(__xludf.DUMMYFUNCTION("""COMPUTED_VALUE"""),"")</f>
        <v/>
      </c>
      <c r="Q205" s="16" t="str">
        <f>IFERROR(__xludf.DUMMYFUNCTION("""COMPUTED_VALUE"""),"")</f>
        <v/>
      </c>
      <c r="R205" s="16" t="str">
        <f>IFERROR(__xludf.DUMMYFUNCTION("""COMPUTED_VALUE"""),"")</f>
        <v/>
      </c>
      <c r="S205" s="16" t="str">
        <f>IFERROR(__xludf.DUMMYFUNCTION("""COMPUTED_VALUE"""),"")</f>
        <v/>
      </c>
      <c r="T205" s="16" t="str">
        <f>IFERROR(__xludf.DUMMYFUNCTION("""COMPUTED_VALUE"""),"")</f>
        <v/>
      </c>
      <c r="U205" s="16" t="str">
        <f>IFERROR(__xludf.DUMMYFUNCTION("""COMPUTED_VALUE"""),"")</f>
        <v/>
      </c>
      <c r="V205" s="16" t="str">
        <f>IFERROR(__xludf.DUMMYFUNCTION("""COMPUTED_VALUE"""),"")</f>
        <v/>
      </c>
      <c r="W205" s="16" t="str">
        <f>IFERROR(__xludf.DUMMYFUNCTION("""COMPUTED_VALUE"""),"")</f>
        <v/>
      </c>
      <c r="X205" s="16" t="str">
        <f>IFERROR(__xludf.DUMMYFUNCTION("""COMPUTED_VALUE"""),"")</f>
        <v/>
      </c>
      <c r="Y205" s="16" t="str">
        <f>IFERROR(__xludf.DUMMYFUNCTION("""COMPUTED_VALUE"""),"")</f>
        <v/>
      </c>
      <c r="Z205" s="16"/>
      <c r="AA205" s="16"/>
      <c r="AB205" s="16"/>
      <c r="AC205" s="16"/>
      <c r="AD205" s="16"/>
      <c r="AE205" s="16"/>
      <c r="AF205" s="16"/>
      <c r="AG205" s="16"/>
      <c r="AH205" s="16"/>
      <c r="AI205" s="16"/>
      <c r="AJ205" s="16"/>
      <c r="AK205" s="16"/>
      <c r="AL205" s="16"/>
      <c r="AM205" s="16"/>
      <c r="AN205" s="16"/>
      <c r="AO205" s="16"/>
      <c r="AP205" s="16"/>
      <c r="AQ205" s="16"/>
      <c r="AR205" s="16"/>
      <c r="AS205" s="16"/>
      <c r="AT205" s="16"/>
      <c r="AU205" s="16"/>
      <c r="AV205" s="16"/>
      <c r="AW205" s="16"/>
      <c r="AX205" s="16"/>
    </row>
    <row r="206">
      <c r="A206" s="16"/>
      <c r="B206" s="16"/>
      <c r="C206" s="16" t="str">
        <f>IFERROR(__xludf.DUMMYFUNCTION("""COMPUTED_VALUE"""),"")</f>
        <v/>
      </c>
      <c r="D206" s="16" t="str">
        <f>IFERROR(__xludf.DUMMYFUNCTION("""COMPUTED_VALUE"""),"")</f>
        <v/>
      </c>
      <c r="E206" s="16" t="str">
        <f>IFERROR(__xludf.DUMMYFUNCTION("""COMPUTED_VALUE"""),"")</f>
        <v/>
      </c>
      <c r="F206" s="16" t="str">
        <f>IFERROR(__xludf.DUMMYFUNCTION("""COMPUTED_VALUE"""),"")</f>
        <v/>
      </c>
      <c r="G206" s="16" t="str">
        <f>IFERROR(__xludf.DUMMYFUNCTION("""COMPUTED_VALUE"""),"")</f>
        <v/>
      </c>
      <c r="H206" s="16" t="str">
        <f>IFERROR(__xludf.DUMMYFUNCTION("""COMPUTED_VALUE"""),"")</f>
        <v/>
      </c>
      <c r="I206" s="16" t="str">
        <f>IFERROR(__xludf.DUMMYFUNCTION("""COMPUTED_VALUE"""),"")</f>
        <v/>
      </c>
      <c r="J206" s="16" t="str">
        <f>IFERROR(__xludf.DUMMYFUNCTION("""COMPUTED_VALUE"""),"")</f>
        <v/>
      </c>
      <c r="K206" s="16" t="str">
        <f>IFERROR(__xludf.DUMMYFUNCTION("""COMPUTED_VALUE"""),"")</f>
        <v/>
      </c>
      <c r="L206" s="16" t="str">
        <f>IFERROR(__xludf.DUMMYFUNCTION("""COMPUTED_VALUE"""),"")</f>
        <v/>
      </c>
      <c r="M206" s="16" t="str">
        <f>IFERROR(__xludf.DUMMYFUNCTION("""COMPUTED_VALUE"""),"")</f>
        <v/>
      </c>
      <c r="N206" s="16" t="str">
        <f>IFERROR(__xludf.DUMMYFUNCTION("""COMPUTED_VALUE"""),"")</f>
        <v/>
      </c>
      <c r="O206" s="16" t="str">
        <f>IFERROR(__xludf.DUMMYFUNCTION("""COMPUTED_VALUE"""),"")</f>
        <v/>
      </c>
      <c r="P206" s="16" t="str">
        <f>IFERROR(__xludf.DUMMYFUNCTION("""COMPUTED_VALUE"""),"")</f>
        <v/>
      </c>
      <c r="Q206" s="16" t="str">
        <f>IFERROR(__xludf.DUMMYFUNCTION("""COMPUTED_VALUE"""),"")</f>
        <v/>
      </c>
      <c r="R206" s="16" t="str">
        <f>IFERROR(__xludf.DUMMYFUNCTION("""COMPUTED_VALUE"""),"")</f>
        <v/>
      </c>
      <c r="S206" s="16" t="str">
        <f>IFERROR(__xludf.DUMMYFUNCTION("""COMPUTED_VALUE"""),"")</f>
        <v/>
      </c>
      <c r="T206" s="16" t="str">
        <f>IFERROR(__xludf.DUMMYFUNCTION("""COMPUTED_VALUE"""),"")</f>
        <v/>
      </c>
      <c r="U206" s="16" t="str">
        <f>IFERROR(__xludf.DUMMYFUNCTION("""COMPUTED_VALUE"""),"")</f>
        <v/>
      </c>
      <c r="V206" s="16" t="str">
        <f>IFERROR(__xludf.DUMMYFUNCTION("""COMPUTED_VALUE"""),"")</f>
        <v/>
      </c>
      <c r="W206" s="16" t="str">
        <f>IFERROR(__xludf.DUMMYFUNCTION("""COMPUTED_VALUE"""),"")</f>
        <v/>
      </c>
      <c r="X206" s="16" t="str">
        <f>IFERROR(__xludf.DUMMYFUNCTION("""COMPUTED_VALUE"""),"")</f>
        <v/>
      </c>
      <c r="Y206" s="16" t="str">
        <f>IFERROR(__xludf.DUMMYFUNCTION("""COMPUTED_VALUE"""),"")</f>
        <v/>
      </c>
      <c r="Z206" s="16"/>
      <c r="AA206" s="16"/>
      <c r="AB206" s="16"/>
      <c r="AC206" s="16"/>
      <c r="AD206" s="16"/>
      <c r="AE206" s="16"/>
      <c r="AF206" s="16"/>
      <c r="AG206" s="16"/>
      <c r="AH206" s="16"/>
      <c r="AI206" s="16"/>
      <c r="AJ206" s="16"/>
      <c r="AK206" s="16"/>
      <c r="AL206" s="16"/>
      <c r="AM206" s="16"/>
      <c r="AN206" s="16"/>
      <c r="AO206" s="16"/>
      <c r="AP206" s="16"/>
      <c r="AQ206" s="16"/>
      <c r="AR206" s="16"/>
      <c r="AS206" s="16"/>
      <c r="AT206" s="16"/>
      <c r="AU206" s="16"/>
      <c r="AV206" s="16"/>
      <c r="AW206" s="16"/>
      <c r="AX206" s="16"/>
    </row>
    <row r="207">
      <c r="A207" s="16"/>
      <c r="B207" s="16"/>
      <c r="C207" s="16" t="str">
        <f>IFERROR(__xludf.DUMMYFUNCTION("""COMPUTED_VALUE"""),"")</f>
        <v/>
      </c>
      <c r="D207" s="16" t="str">
        <f>IFERROR(__xludf.DUMMYFUNCTION("""COMPUTED_VALUE"""),"")</f>
        <v/>
      </c>
      <c r="E207" s="16" t="str">
        <f>IFERROR(__xludf.DUMMYFUNCTION("""COMPUTED_VALUE"""),"")</f>
        <v/>
      </c>
      <c r="F207" s="16" t="str">
        <f>IFERROR(__xludf.DUMMYFUNCTION("""COMPUTED_VALUE"""),"")</f>
        <v/>
      </c>
      <c r="G207" s="16" t="str">
        <f>IFERROR(__xludf.DUMMYFUNCTION("""COMPUTED_VALUE"""),"")</f>
        <v/>
      </c>
      <c r="H207" s="16" t="str">
        <f>IFERROR(__xludf.DUMMYFUNCTION("""COMPUTED_VALUE"""),"")</f>
        <v/>
      </c>
      <c r="I207" s="16" t="str">
        <f>IFERROR(__xludf.DUMMYFUNCTION("""COMPUTED_VALUE"""),"")</f>
        <v/>
      </c>
      <c r="J207" s="16" t="str">
        <f>IFERROR(__xludf.DUMMYFUNCTION("""COMPUTED_VALUE"""),"")</f>
        <v/>
      </c>
      <c r="K207" s="16" t="str">
        <f>IFERROR(__xludf.DUMMYFUNCTION("""COMPUTED_VALUE"""),"")</f>
        <v/>
      </c>
      <c r="L207" s="16" t="str">
        <f>IFERROR(__xludf.DUMMYFUNCTION("""COMPUTED_VALUE"""),"")</f>
        <v/>
      </c>
      <c r="M207" s="16" t="str">
        <f>IFERROR(__xludf.DUMMYFUNCTION("""COMPUTED_VALUE"""),"")</f>
        <v/>
      </c>
      <c r="N207" s="16" t="str">
        <f>IFERROR(__xludf.DUMMYFUNCTION("""COMPUTED_VALUE"""),"")</f>
        <v/>
      </c>
      <c r="O207" s="16" t="str">
        <f>IFERROR(__xludf.DUMMYFUNCTION("""COMPUTED_VALUE"""),"")</f>
        <v/>
      </c>
      <c r="P207" s="16" t="str">
        <f>IFERROR(__xludf.DUMMYFUNCTION("""COMPUTED_VALUE"""),"")</f>
        <v/>
      </c>
      <c r="Q207" s="16" t="str">
        <f>IFERROR(__xludf.DUMMYFUNCTION("""COMPUTED_VALUE"""),"")</f>
        <v/>
      </c>
      <c r="R207" s="16" t="str">
        <f>IFERROR(__xludf.DUMMYFUNCTION("""COMPUTED_VALUE"""),"")</f>
        <v/>
      </c>
      <c r="S207" s="16" t="str">
        <f>IFERROR(__xludf.DUMMYFUNCTION("""COMPUTED_VALUE"""),"")</f>
        <v/>
      </c>
      <c r="T207" s="16" t="str">
        <f>IFERROR(__xludf.DUMMYFUNCTION("""COMPUTED_VALUE"""),"")</f>
        <v/>
      </c>
      <c r="U207" s="16" t="str">
        <f>IFERROR(__xludf.DUMMYFUNCTION("""COMPUTED_VALUE"""),"")</f>
        <v/>
      </c>
      <c r="V207" s="16" t="str">
        <f>IFERROR(__xludf.DUMMYFUNCTION("""COMPUTED_VALUE"""),"")</f>
        <v/>
      </c>
      <c r="W207" s="16" t="str">
        <f>IFERROR(__xludf.DUMMYFUNCTION("""COMPUTED_VALUE"""),"")</f>
        <v/>
      </c>
      <c r="X207" s="16" t="str">
        <f>IFERROR(__xludf.DUMMYFUNCTION("""COMPUTED_VALUE"""),"")</f>
        <v/>
      </c>
      <c r="Y207" s="16" t="str">
        <f>IFERROR(__xludf.DUMMYFUNCTION("""COMPUTED_VALUE"""),"")</f>
        <v/>
      </c>
      <c r="Z207" s="16"/>
      <c r="AA207" s="16"/>
      <c r="AB207" s="16"/>
      <c r="AC207" s="16"/>
      <c r="AD207" s="16"/>
      <c r="AE207" s="16"/>
      <c r="AF207" s="16"/>
      <c r="AG207" s="16"/>
      <c r="AH207" s="16"/>
      <c r="AI207" s="16"/>
      <c r="AJ207" s="16"/>
      <c r="AK207" s="16"/>
      <c r="AL207" s="16"/>
      <c r="AM207" s="16"/>
      <c r="AN207" s="16"/>
      <c r="AO207" s="16"/>
      <c r="AP207" s="16"/>
      <c r="AQ207" s="16"/>
      <c r="AR207" s="16"/>
      <c r="AS207" s="16"/>
      <c r="AT207" s="16"/>
      <c r="AU207" s="16"/>
      <c r="AV207" s="16"/>
      <c r="AW207" s="16"/>
      <c r="AX207" s="16"/>
    </row>
    <row r="208">
      <c r="A208" s="16"/>
      <c r="B208" s="16"/>
      <c r="C208" s="16" t="str">
        <f>IFERROR(__xludf.DUMMYFUNCTION("""COMPUTED_VALUE"""),"")</f>
        <v/>
      </c>
      <c r="D208" s="16" t="str">
        <f>IFERROR(__xludf.DUMMYFUNCTION("""COMPUTED_VALUE"""),"")</f>
        <v/>
      </c>
      <c r="E208" s="16" t="str">
        <f>IFERROR(__xludf.DUMMYFUNCTION("""COMPUTED_VALUE"""),"")</f>
        <v/>
      </c>
      <c r="F208" s="16" t="str">
        <f>IFERROR(__xludf.DUMMYFUNCTION("""COMPUTED_VALUE"""),"")</f>
        <v/>
      </c>
      <c r="G208" s="16" t="str">
        <f>IFERROR(__xludf.DUMMYFUNCTION("""COMPUTED_VALUE"""),"")</f>
        <v/>
      </c>
      <c r="H208" s="16" t="str">
        <f>IFERROR(__xludf.DUMMYFUNCTION("""COMPUTED_VALUE"""),"")</f>
        <v/>
      </c>
      <c r="I208" s="16" t="str">
        <f>IFERROR(__xludf.DUMMYFUNCTION("""COMPUTED_VALUE"""),"")</f>
        <v/>
      </c>
      <c r="J208" s="16" t="str">
        <f>IFERROR(__xludf.DUMMYFUNCTION("""COMPUTED_VALUE"""),"")</f>
        <v/>
      </c>
      <c r="K208" s="16" t="str">
        <f>IFERROR(__xludf.DUMMYFUNCTION("""COMPUTED_VALUE"""),"")</f>
        <v/>
      </c>
      <c r="L208" s="16" t="str">
        <f>IFERROR(__xludf.DUMMYFUNCTION("""COMPUTED_VALUE"""),"")</f>
        <v/>
      </c>
      <c r="M208" s="16" t="str">
        <f>IFERROR(__xludf.DUMMYFUNCTION("""COMPUTED_VALUE"""),"")</f>
        <v/>
      </c>
      <c r="N208" s="16" t="str">
        <f>IFERROR(__xludf.DUMMYFUNCTION("""COMPUTED_VALUE"""),"")</f>
        <v/>
      </c>
      <c r="O208" s="16" t="str">
        <f>IFERROR(__xludf.DUMMYFUNCTION("""COMPUTED_VALUE"""),"")</f>
        <v/>
      </c>
      <c r="P208" s="16" t="str">
        <f>IFERROR(__xludf.DUMMYFUNCTION("""COMPUTED_VALUE"""),"")</f>
        <v/>
      </c>
      <c r="Q208" s="16" t="str">
        <f>IFERROR(__xludf.DUMMYFUNCTION("""COMPUTED_VALUE"""),"")</f>
        <v/>
      </c>
      <c r="R208" s="16" t="str">
        <f>IFERROR(__xludf.DUMMYFUNCTION("""COMPUTED_VALUE"""),"")</f>
        <v/>
      </c>
      <c r="S208" s="16" t="str">
        <f>IFERROR(__xludf.DUMMYFUNCTION("""COMPUTED_VALUE"""),"")</f>
        <v/>
      </c>
      <c r="T208" s="16" t="str">
        <f>IFERROR(__xludf.DUMMYFUNCTION("""COMPUTED_VALUE"""),"")</f>
        <v/>
      </c>
      <c r="U208" s="16" t="str">
        <f>IFERROR(__xludf.DUMMYFUNCTION("""COMPUTED_VALUE"""),"")</f>
        <v/>
      </c>
      <c r="V208" s="16" t="str">
        <f>IFERROR(__xludf.DUMMYFUNCTION("""COMPUTED_VALUE"""),"")</f>
        <v/>
      </c>
      <c r="W208" s="16" t="str">
        <f>IFERROR(__xludf.DUMMYFUNCTION("""COMPUTED_VALUE"""),"")</f>
        <v/>
      </c>
      <c r="X208" s="16" t="str">
        <f>IFERROR(__xludf.DUMMYFUNCTION("""COMPUTED_VALUE"""),"")</f>
        <v/>
      </c>
      <c r="Y208" s="16" t="str">
        <f>IFERROR(__xludf.DUMMYFUNCTION("""COMPUTED_VALUE"""),"")</f>
        <v/>
      </c>
      <c r="Z208" s="16"/>
      <c r="AA208" s="16"/>
      <c r="AB208" s="16"/>
      <c r="AC208" s="16"/>
      <c r="AD208" s="16"/>
      <c r="AE208" s="16"/>
      <c r="AF208" s="16"/>
      <c r="AG208" s="16"/>
      <c r="AH208" s="16"/>
      <c r="AI208" s="16"/>
      <c r="AJ208" s="16"/>
      <c r="AK208" s="16"/>
      <c r="AL208" s="16"/>
      <c r="AM208" s="16"/>
      <c r="AN208" s="16"/>
      <c r="AO208" s="16"/>
      <c r="AP208" s="16"/>
      <c r="AQ208" s="16"/>
      <c r="AR208" s="16"/>
      <c r="AS208" s="16"/>
      <c r="AT208" s="16"/>
      <c r="AU208" s="16"/>
      <c r="AV208" s="16"/>
      <c r="AW208" s="16"/>
      <c r="AX208" s="16"/>
    </row>
    <row r="209">
      <c r="A209" s="16"/>
      <c r="B209" s="16"/>
      <c r="C209" s="16" t="str">
        <f>IFERROR(__xludf.DUMMYFUNCTION("""COMPUTED_VALUE"""),"")</f>
        <v/>
      </c>
      <c r="D209" s="16" t="str">
        <f>IFERROR(__xludf.DUMMYFUNCTION("""COMPUTED_VALUE"""),"")</f>
        <v/>
      </c>
      <c r="E209" s="16" t="str">
        <f>IFERROR(__xludf.DUMMYFUNCTION("""COMPUTED_VALUE"""),"")</f>
        <v/>
      </c>
      <c r="F209" s="16" t="str">
        <f>IFERROR(__xludf.DUMMYFUNCTION("""COMPUTED_VALUE"""),"")</f>
        <v/>
      </c>
      <c r="G209" s="16" t="str">
        <f>IFERROR(__xludf.DUMMYFUNCTION("""COMPUTED_VALUE"""),"")</f>
        <v/>
      </c>
      <c r="H209" s="16" t="str">
        <f>IFERROR(__xludf.DUMMYFUNCTION("""COMPUTED_VALUE"""),"")</f>
        <v/>
      </c>
      <c r="I209" s="16" t="str">
        <f>IFERROR(__xludf.DUMMYFUNCTION("""COMPUTED_VALUE"""),"")</f>
        <v/>
      </c>
      <c r="J209" s="16" t="str">
        <f>IFERROR(__xludf.DUMMYFUNCTION("""COMPUTED_VALUE"""),"")</f>
        <v/>
      </c>
      <c r="K209" s="16" t="str">
        <f>IFERROR(__xludf.DUMMYFUNCTION("""COMPUTED_VALUE"""),"")</f>
        <v/>
      </c>
      <c r="L209" s="16" t="str">
        <f>IFERROR(__xludf.DUMMYFUNCTION("""COMPUTED_VALUE"""),"")</f>
        <v/>
      </c>
      <c r="M209" s="16" t="str">
        <f>IFERROR(__xludf.DUMMYFUNCTION("""COMPUTED_VALUE"""),"")</f>
        <v/>
      </c>
      <c r="N209" s="16" t="str">
        <f>IFERROR(__xludf.DUMMYFUNCTION("""COMPUTED_VALUE"""),"")</f>
        <v/>
      </c>
      <c r="O209" s="16" t="str">
        <f>IFERROR(__xludf.DUMMYFUNCTION("""COMPUTED_VALUE"""),"")</f>
        <v/>
      </c>
      <c r="P209" s="16" t="str">
        <f>IFERROR(__xludf.DUMMYFUNCTION("""COMPUTED_VALUE"""),"")</f>
        <v/>
      </c>
      <c r="Q209" s="16" t="str">
        <f>IFERROR(__xludf.DUMMYFUNCTION("""COMPUTED_VALUE"""),"")</f>
        <v/>
      </c>
      <c r="R209" s="16" t="str">
        <f>IFERROR(__xludf.DUMMYFUNCTION("""COMPUTED_VALUE"""),"")</f>
        <v/>
      </c>
      <c r="S209" s="16" t="str">
        <f>IFERROR(__xludf.DUMMYFUNCTION("""COMPUTED_VALUE"""),"")</f>
        <v/>
      </c>
      <c r="T209" s="16" t="str">
        <f>IFERROR(__xludf.DUMMYFUNCTION("""COMPUTED_VALUE"""),"")</f>
        <v/>
      </c>
      <c r="U209" s="16" t="str">
        <f>IFERROR(__xludf.DUMMYFUNCTION("""COMPUTED_VALUE"""),"")</f>
        <v/>
      </c>
      <c r="V209" s="16" t="str">
        <f>IFERROR(__xludf.DUMMYFUNCTION("""COMPUTED_VALUE"""),"")</f>
        <v/>
      </c>
      <c r="W209" s="16" t="str">
        <f>IFERROR(__xludf.DUMMYFUNCTION("""COMPUTED_VALUE"""),"")</f>
        <v/>
      </c>
      <c r="X209" s="16" t="str">
        <f>IFERROR(__xludf.DUMMYFUNCTION("""COMPUTED_VALUE"""),"")</f>
        <v/>
      </c>
      <c r="Y209" s="16" t="str">
        <f>IFERROR(__xludf.DUMMYFUNCTION("""COMPUTED_VALUE"""),"")</f>
        <v/>
      </c>
      <c r="Z209" s="16"/>
      <c r="AA209" s="16"/>
      <c r="AB209" s="16"/>
      <c r="AC209" s="16"/>
      <c r="AD209" s="16"/>
      <c r="AE209" s="16"/>
      <c r="AF209" s="16"/>
      <c r="AG209" s="16"/>
      <c r="AH209" s="16"/>
      <c r="AI209" s="16"/>
      <c r="AJ209" s="16"/>
      <c r="AK209" s="16"/>
      <c r="AL209" s="16"/>
      <c r="AM209" s="16"/>
      <c r="AN209" s="16"/>
      <c r="AO209" s="16"/>
      <c r="AP209" s="16"/>
      <c r="AQ209" s="16"/>
      <c r="AR209" s="16"/>
      <c r="AS209" s="16"/>
      <c r="AT209" s="16"/>
      <c r="AU209" s="16"/>
      <c r="AV209" s="16"/>
      <c r="AW209" s="16"/>
      <c r="AX209" s="16"/>
    </row>
    <row r="210">
      <c r="A210" s="16"/>
      <c r="B210" s="16"/>
      <c r="C210" s="16" t="str">
        <f>IFERROR(__xludf.DUMMYFUNCTION("""COMPUTED_VALUE"""),"")</f>
        <v/>
      </c>
      <c r="D210" s="16" t="str">
        <f>IFERROR(__xludf.DUMMYFUNCTION("""COMPUTED_VALUE"""),"")</f>
        <v/>
      </c>
      <c r="E210" s="16" t="str">
        <f>IFERROR(__xludf.DUMMYFUNCTION("""COMPUTED_VALUE"""),"")</f>
        <v/>
      </c>
      <c r="F210" s="16" t="str">
        <f>IFERROR(__xludf.DUMMYFUNCTION("""COMPUTED_VALUE"""),"")</f>
        <v/>
      </c>
      <c r="G210" s="16" t="str">
        <f>IFERROR(__xludf.DUMMYFUNCTION("""COMPUTED_VALUE"""),"")</f>
        <v/>
      </c>
      <c r="H210" s="16" t="str">
        <f>IFERROR(__xludf.DUMMYFUNCTION("""COMPUTED_VALUE"""),"")</f>
        <v/>
      </c>
      <c r="I210" s="16" t="str">
        <f>IFERROR(__xludf.DUMMYFUNCTION("""COMPUTED_VALUE"""),"")</f>
        <v/>
      </c>
      <c r="J210" s="16" t="str">
        <f>IFERROR(__xludf.DUMMYFUNCTION("""COMPUTED_VALUE"""),"")</f>
        <v/>
      </c>
      <c r="K210" s="16" t="str">
        <f>IFERROR(__xludf.DUMMYFUNCTION("""COMPUTED_VALUE"""),"")</f>
        <v/>
      </c>
      <c r="L210" s="16" t="str">
        <f>IFERROR(__xludf.DUMMYFUNCTION("""COMPUTED_VALUE"""),"")</f>
        <v/>
      </c>
      <c r="M210" s="16" t="str">
        <f>IFERROR(__xludf.DUMMYFUNCTION("""COMPUTED_VALUE"""),"")</f>
        <v/>
      </c>
      <c r="N210" s="16" t="str">
        <f>IFERROR(__xludf.DUMMYFUNCTION("""COMPUTED_VALUE"""),"")</f>
        <v/>
      </c>
      <c r="O210" s="16" t="str">
        <f>IFERROR(__xludf.DUMMYFUNCTION("""COMPUTED_VALUE"""),"")</f>
        <v/>
      </c>
      <c r="P210" s="16" t="str">
        <f>IFERROR(__xludf.DUMMYFUNCTION("""COMPUTED_VALUE"""),"")</f>
        <v/>
      </c>
      <c r="Q210" s="16" t="str">
        <f>IFERROR(__xludf.DUMMYFUNCTION("""COMPUTED_VALUE"""),"")</f>
        <v/>
      </c>
      <c r="R210" s="16" t="str">
        <f>IFERROR(__xludf.DUMMYFUNCTION("""COMPUTED_VALUE"""),"")</f>
        <v/>
      </c>
      <c r="S210" s="16" t="str">
        <f>IFERROR(__xludf.DUMMYFUNCTION("""COMPUTED_VALUE"""),"")</f>
        <v/>
      </c>
      <c r="T210" s="16" t="str">
        <f>IFERROR(__xludf.DUMMYFUNCTION("""COMPUTED_VALUE"""),"")</f>
        <v/>
      </c>
      <c r="U210" s="16" t="str">
        <f>IFERROR(__xludf.DUMMYFUNCTION("""COMPUTED_VALUE"""),"")</f>
        <v/>
      </c>
      <c r="V210" s="16" t="str">
        <f>IFERROR(__xludf.DUMMYFUNCTION("""COMPUTED_VALUE"""),"")</f>
        <v/>
      </c>
      <c r="W210" s="16" t="str">
        <f>IFERROR(__xludf.DUMMYFUNCTION("""COMPUTED_VALUE"""),"")</f>
        <v/>
      </c>
      <c r="X210" s="16" t="str">
        <f>IFERROR(__xludf.DUMMYFUNCTION("""COMPUTED_VALUE"""),"")</f>
        <v/>
      </c>
      <c r="Y210" s="16" t="str">
        <f>IFERROR(__xludf.DUMMYFUNCTION("""COMPUTED_VALUE"""),"")</f>
        <v/>
      </c>
      <c r="Z210" s="16"/>
      <c r="AA210" s="16"/>
      <c r="AB210" s="16"/>
      <c r="AC210" s="16"/>
      <c r="AD210" s="16"/>
      <c r="AE210" s="16"/>
      <c r="AF210" s="16"/>
      <c r="AG210" s="16"/>
      <c r="AH210" s="16"/>
      <c r="AI210" s="16"/>
      <c r="AJ210" s="16"/>
      <c r="AK210" s="16"/>
      <c r="AL210" s="16"/>
      <c r="AM210" s="16"/>
      <c r="AN210" s="16"/>
      <c r="AO210" s="16"/>
      <c r="AP210" s="16"/>
      <c r="AQ210" s="16"/>
      <c r="AR210" s="16"/>
      <c r="AS210" s="16"/>
      <c r="AT210" s="16"/>
      <c r="AU210" s="16"/>
      <c r="AV210" s="16"/>
      <c r="AW210" s="16"/>
      <c r="AX210" s="16"/>
    </row>
    <row r="211">
      <c r="A211" s="16"/>
      <c r="B211" s="16"/>
      <c r="C211" s="16" t="str">
        <f>IFERROR(__xludf.DUMMYFUNCTION("""COMPUTED_VALUE"""),"")</f>
        <v/>
      </c>
      <c r="D211" s="16" t="str">
        <f>IFERROR(__xludf.DUMMYFUNCTION("""COMPUTED_VALUE"""),"")</f>
        <v/>
      </c>
      <c r="E211" s="16" t="str">
        <f>IFERROR(__xludf.DUMMYFUNCTION("""COMPUTED_VALUE"""),"")</f>
        <v/>
      </c>
      <c r="F211" s="16" t="str">
        <f>IFERROR(__xludf.DUMMYFUNCTION("""COMPUTED_VALUE"""),"")</f>
        <v/>
      </c>
      <c r="G211" s="16" t="str">
        <f>IFERROR(__xludf.DUMMYFUNCTION("""COMPUTED_VALUE"""),"")</f>
        <v/>
      </c>
      <c r="H211" s="16" t="str">
        <f>IFERROR(__xludf.DUMMYFUNCTION("""COMPUTED_VALUE"""),"")</f>
        <v/>
      </c>
      <c r="I211" s="16" t="str">
        <f>IFERROR(__xludf.DUMMYFUNCTION("""COMPUTED_VALUE"""),"")</f>
        <v/>
      </c>
      <c r="J211" s="16" t="str">
        <f>IFERROR(__xludf.DUMMYFUNCTION("""COMPUTED_VALUE"""),"")</f>
        <v/>
      </c>
      <c r="K211" s="16" t="str">
        <f>IFERROR(__xludf.DUMMYFUNCTION("""COMPUTED_VALUE"""),"")</f>
        <v/>
      </c>
      <c r="L211" s="16" t="str">
        <f>IFERROR(__xludf.DUMMYFUNCTION("""COMPUTED_VALUE"""),"")</f>
        <v/>
      </c>
      <c r="M211" s="16" t="str">
        <f>IFERROR(__xludf.DUMMYFUNCTION("""COMPUTED_VALUE"""),"")</f>
        <v/>
      </c>
      <c r="N211" s="16" t="str">
        <f>IFERROR(__xludf.DUMMYFUNCTION("""COMPUTED_VALUE"""),"")</f>
        <v/>
      </c>
      <c r="O211" s="16" t="str">
        <f>IFERROR(__xludf.DUMMYFUNCTION("""COMPUTED_VALUE"""),"")</f>
        <v/>
      </c>
      <c r="P211" s="16" t="str">
        <f>IFERROR(__xludf.DUMMYFUNCTION("""COMPUTED_VALUE"""),"")</f>
        <v/>
      </c>
      <c r="Q211" s="16" t="str">
        <f>IFERROR(__xludf.DUMMYFUNCTION("""COMPUTED_VALUE"""),"")</f>
        <v/>
      </c>
      <c r="R211" s="16" t="str">
        <f>IFERROR(__xludf.DUMMYFUNCTION("""COMPUTED_VALUE"""),"")</f>
        <v/>
      </c>
      <c r="S211" s="16" t="str">
        <f>IFERROR(__xludf.DUMMYFUNCTION("""COMPUTED_VALUE"""),"")</f>
        <v/>
      </c>
      <c r="T211" s="16" t="str">
        <f>IFERROR(__xludf.DUMMYFUNCTION("""COMPUTED_VALUE"""),"")</f>
        <v/>
      </c>
      <c r="U211" s="16" t="str">
        <f>IFERROR(__xludf.DUMMYFUNCTION("""COMPUTED_VALUE"""),"")</f>
        <v/>
      </c>
      <c r="V211" s="16" t="str">
        <f>IFERROR(__xludf.DUMMYFUNCTION("""COMPUTED_VALUE"""),"")</f>
        <v/>
      </c>
      <c r="W211" s="16" t="str">
        <f>IFERROR(__xludf.DUMMYFUNCTION("""COMPUTED_VALUE"""),"")</f>
        <v/>
      </c>
      <c r="X211" s="16" t="str">
        <f>IFERROR(__xludf.DUMMYFUNCTION("""COMPUTED_VALUE"""),"")</f>
        <v/>
      </c>
      <c r="Y211" s="16" t="str">
        <f>IFERROR(__xludf.DUMMYFUNCTION("""COMPUTED_VALUE"""),"")</f>
        <v/>
      </c>
      <c r="Z211" s="16"/>
      <c r="AA211" s="16"/>
      <c r="AB211" s="16"/>
      <c r="AC211" s="16"/>
      <c r="AD211" s="16"/>
      <c r="AE211" s="16"/>
      <c r="AF211" s="16"/>
      <c r="AG211" s="16"/>
      <c r="AH211" s="16"/>
      <c r="AI211" s="16"/>
      <c r="AJ211" s="16"/>
      <c r="AK211" s="16"/>
      <c r="AL211" s="16"/>
      <c r="AM211" s="16"/>
      <c r="AN211" s="16"/>
      <c r="AO211" s="16"/>
      <c r="AP211" s="16"/>
      <c r="AQ211" s="16"/>
      <c r="AR211" s="16"/>
      <c r="AS211" s="16"/>
      <c r="AT211" s="16"/>
      <c r="AU211" s="16"/>
      <c r="AV211" s="16"/>
      <c r="AW211" s="16"/>
      <c r="AX211" s="16"/>
    </row>
    <row r="212">
      <c r="A212" s="16"/>
      <c r="B212" s="16"/>
      <c r="C212" s="16" t="str">
        <f>IFERROR(__xludf.DUMMYFUNCTION("""COMPUTED_VALUE"""),"")</f>
        <v/>
      </c>
      <c r="D212" s="16" t="str">
        <f>IFERROR(__xludf.DUMMYFUNCTION("""COMPUTED_VALUE"""),"")</f>
        <v/>
      </c>
      <c r="E212" s="16" t="str">
        <f>IFERROR(__xludf.DUMMYFUNCTION("""COMPUTED_VALUE"""),"")</f>
        <v/>
      </c>
      <c r="F212" s="16" t="str">
        <f>IFERROR(__xludf.DUMMYFUNCTION("""COMPUTED_VALUE"""),"")</f>
        <v/>
      </c>
      <c r="G212" s="16" t="str">
        <f>IFERROR(__xludf.DUMMYFUNCTION("""COMPUTED_VALUE"""),"")</f>
        <v/>
      </c>
      <c r="H212" s="16" t="str">
        <f>IFERROR(__xludf.DUMMYFUNCTION("""COMPUTED_VALUE"""),"")</f>
        <v/>
      </c>
      <c r="I212" s="16" t="str">
        <f>IFERROR(__xludf.DUMMYFUNCTION("""COMPUTED_VALUE"""),"")</f>
        <v/>
      </c>
      <c r="J212" s="16" t="str">
        <f>IFERROR(__xludf.DUMMYFUNCTION("""COMPUTED_VALUE"""),"")</f>
        <v/>
      </c>
      <c r="K212" s="16" t="str">
        <f>IFERROR(__xludf.DUMMYFUNCTION("""COMPUTED_VALUE"""),"")</f>
        <v/>
      </c>
      <c r="L212" s="16" t="str">
        <f>IFERROR(__xludf.DUMMYFUNCTION("""COMPUTED_VALUE"""),"")</f>
        <v/>
      </c>
      <c r="M212" s="16" t="str">
        <f>IFERROR(__xludf.DUMMYFUNCTION("""COMPUTED_VALUE"""),"")</f>
        <v/>
      </c>
      <c r="N212" s="16" t="str">
        <f>IFERROR(__xludf.DUMMYFUNCTION("""COMPUTED_VALUE"""),"")</f>
        <v/>
      </c>
      <c r="O212" s="16" t="str">
        <f>IFERROR(__xludf.DUMMYFUNCTION("""COMPUTED_VALUE"""),"")</f>
        <v/>
      </c>
      <c r="P212" s="16" t="str">
        <f>IFERROR(__xludf.DUMMYFUNCTION("""COMPUTED_VALUE"""),"")</f>
        <v/>
      </c>
      <c r="Q212" s="16" t="str">
        <f>IFERROR(__xludf.DUMMYFUNCTION("""COMPUTED_VALUE"""),"")</f>
        <v/>
      </c>
      <c r="R212" s="16" t="str">
        <f>IFERROR(__xludf.DUMMYFUNCTION("""COMPUTED_VALUE"""),"")</f>
        <v/>
      </c>
      <c r="S212" s="16" t="str">
        <f>IFERROR(__xludf.DUMMYFUNCTION("""COMPUTED_VALUE"""),"")</f>
        <v/>
      </c>
      <c r="T212" s="16" t="str">
        <f>IFERROR(__xludf.DUMMYFUNCTION("""COMPUTED_VALUE"""),"")</f>
        <v/>
      </c>
      <c r="U212" s="16" t="str">
        <f>IFERROR(__xludf.DUMMYFUNCTION("""COMPUTED_VALUE"""),"")</f>
        <v/>
      </c>
      <c r="V212" s="16" t="str">
        <f>IFERROR(__xludf.DUMMYFUNCTION("""COMPUTED_VALUE"""),"")</f>
        <v/>
      </c>
      <c r="W212" s="16" t="str">
        <f>IFERROR(__xludf.DUMMYFUNCTION("""COMPUTED_VALUE"""),"")</f>
        <v/>
      </c>
      <c r="X212" s="16" t="str">
        <f>IFERROR(__xludf.DUMMYFUNCTION("""COMPUTED_VALUE"""),"")</f>
        <v/>
      </c>
      <c r="Y212" s="16" t="str">
        <f>IFERROR(__xludf.DUMMYFUNCTION("""COMPUTED_VALUE"""),"")</f>
        <v/>
      </c>
      <c r="Z212" s="16"/>
      <c r="AA212" s="16"/>
      <c r="AB212" s="16"/>
      <c r="AC212" s="16"/>
      <c r="AD212" s="16"/>
      <c r="AE212" s="16"/>
      <c r="AF212" s="16"/>
      <c r="AG212" s="16"/>
      <c r="AH212" s="16"/>
      <c r="AI212" s="16"/>
      <c r="AJ212" s="16"/>
      <c r="AK212" s="16"/>
      <c r="AL212" s="16"/>
      <c r="AM212" s="16"/>
      <c r="AN212" s="16"/>
      <c r="AO212" s="16"/>
      <c r="AP212" s="16"/>
      <c r="AQ212" s="16"/>
      <c r="AR212" s="16"/>
      <c r="AS212" s="16"/>
      <c r="AT212" s="16"/>
      <c r="AU212" s="16"/>
      <c r="AV212" s="16"/>
      <c r="AW212" s="16"/>
      <c r="AX212" s="16"/>
    </row>
    <row r="213">
      <c r="A213" s="16"/>
      <c r="B213" s="16"/>
      <c r="C213" s="16" t="str">
        <f>IFERROR(__xludf.DUMMYFUNCTION("""COMPUTED_VALUE"""),"")</f>
        <v/>
      </c>
      <c r="D213" s="16" t="str">
        <f>IFERROR(__xludf.DUMMYFUNCTION("""COMPUTED_VALUE"""),"")</f>
        <v/>
      </c>
      <c r="E213" s="16" t="str">
        <f>IFERROR(__xludf.DUMMYFUNCTION("""COMPUTED_VALUE"""),"")</f>
        <v/>
      </c>
      <c r="F213" s="16" t="str">
        <f>IFERROR(__xludf.DUMMYFUNCTION("""COMPUTED_VALUE"""),"")</f>
        <v/>
      </c>
      <c r="G213" s="16" t="str">
        <f>IFERROR(__xludf.DUMMYFUNCTION("""COMPUTED_VALUE"""),"")</f>
        <v/>
      </c>
      <c r="H213" s="16" t="str">
        <f>IFERROR(__xludf.DUMMYFUNCTION("""COMPUTED_VALUE"""),"")</f>
        <v/>
      </c>
      <c r="I213" s="16" t="str">
        <f>IFERROR(__xludf.DUMMYFUNCTION("""COMPUTED_VALUE"""),"")</f>
        <v/>
      </c>
      <c r="J213" s="16" t="str">
        <f>IFERROR(__xludf.DUMMYFUNCTION("""COMPUTED_VALUE"""),"")</f>
        <v/>
      </c>
      <c r="K213" s="16" t="str">
        <f>IFERROR(__xludf.DUMMYFUNCTION("""COMPUTED_VALUE"""),"")</f>
        <v/>
      </c>
      <c r="L213" s="16" t="str">
        <f>IFERROR(__xludf.DUMMYFUNCTION("""COMPUTED_VALUE"""),"")</f>
        <v/>
      </c>
      <c r="M213" s="16" t="str">
        <f>IFERROR(__xludf.DUMMYFUNCTION("""COMPUTED_VALUE"""),"")</f>
        <v/>
      </c>
      <c r="N213" s="16" t="str">
        <f>IFERROR(__xludf.DUMMYFUNCTION("""COMPUTED_VALUE"""),"")</f>
        <v/>
      </c>
      <c r="O213" s="16" t="str">
        <f>IFERROR(__xludf.DUMMYFUNCTION("""COMPUTED_VALUE"""),"")</f>
        <v/>
      </c>
      <c r="P213" s="16" t="str">
        <f>IFERROR(__xludf.DUMMYFUNCTION("""COMPUTED_VALUE"""),"")</f>
        <v/>
      </c>
      <c r="Q213" s="16" t="str">
        <f>IFERROR(__xludf.DUMMYFUNCTION("""COMPUTED_VALUE"""),"")</f>
        <v/>
      </c>
      <c r="R213" s="16" t="str">
        <f>IFERROR(__xludf.DUMMYFUNCTION("""COMPUTED_VALUE"""),"")</f>
        <v/>
      </c>
      <c r="S213" s="16" t="str">
        <f>IFERROR(__xludf.DUMMYFUNCTION("""COMPUTED_VALUE"""),"")</f>
        <v/>
      </c>
      <c r="T213" s="16" t="str">
        <f>IFERROR(__xludf.DUMMYFUNCTION("""COMPUTED_VALUE"""),"")</f>
        <v/>
      </c>
      <c r="U213" s="16" t="str">
        <f>IFERROR(__xludf.DUMMYFUNCTION("""COMPUTED_VALUE"""),"")</f>
        <v/>
      </c>
      <c r="V213" s="16" t="str">
        <f>IFERROR(__xludf.DUMMYFUNCTION("""COMPUTED_VALUE"""),"")</f>
        <v/>
      </c>
      <c r="W213" s="16" t="str">
        <f>IFERROR(__xludf.DUMMYFUNCTION("""COMPUTED_VALUE"""),"")</f>
        <v/>
      </c>
      <c r="X213" s="16" t="str">
        <f>IFERROR(__xludf.DUMMYFUNCTION("""COMPUTED_VALUE"""),"")</f>
        <v/>
      </c>
      <c r="Y213" s="16" t="str">
        <f>IFERROR(__xludf.DUMMYFUNCTION("""COMPUTED_VALUE"""),"")</f>
        <v/>
      </c>
      <c r="Z213" s="16"/>
      <c r="AA213" s="16"/>
      <c r="AB213" s="16"/>
      <c r="AC213" s="16"/>
      <c r="AD213" s="16"/>
      <c r="AE213" s="16"/>
      <c r="AF213" s="16"/>
      <c r="AG213" s="16"/>
      <c r="AH213" s="16"/>
      <c r="AI213" s="16"/>
      <c r="AJ213" s="16"/>
      <c r="AK213" s="16"/>
      <c r="AL213" s="16"/>
      <c r="AM213" s="16"/>
      <c r="AN213" s="16"/>
      <c r="AO213" s="16"/>
      <c r="AP213" s="16"/>
      <c r="AQ213" s="16"/>
      <c r="AR213" s="16"/>
      <c r="AS213" s="16"/>
      <c r="AT213" s="16"/>
      <c r="AU213" s="16"/>
      <c r="AV213" s="16"/>
      <c r="AW213" s="16"/>
      <c r="AX213" s="16"/>
    </row>
    <row r="214">
      <c r="A214" s="16"/>
      <c r="B214" s="16"/>
      <c r="C214" s="16" t="str">
        <f>IFERROR(__xludf.DUMMYFUNCTION("""COMPUTED_VALUE"""),"")</f>
        <v/>
      </c>
      <c r="D214" s="16" t="str">
        <f>IFERROR(__xludf.DUMMYFUNCTION("""COMPUTED_VALUE"""),"")</f>
        <v/>
      </c>
      <c r="E214" s="16" t="str">
        <f>IFERROR(__xludf.DUMMYFUNCTION("""COMPUTED_VALUE"""),"")</f>
        <v/>
      </c>
      <c r="F214" s="16" t="str">
        <f>IFERROR(__xludf.DUMMYFUNCTION("""COMPUTED_VALUE"""),"")</f>
        <v/>
      </c>
      <c r="G214" s="16" t="str">
        <f>IFERROR(__xludf.DUMMYFUNCTION("""COMPUTED_VALUE"""),"")</f>
        <v/>
      </c>
      <c r="H214" s="16" t="str">
        <f>IFERROR(__xludf.DUMMYFUNCTION("""COMPUTED_VALUE"""),"")</f>
        <v/>
      </c>
      <c r="I214" s="16" t="str">
        <f>IFERROR(__xludf.DUMMYFUNCTION("""COMPUTED_VALUE"""),"")</f>
        <v/>
      </c>
      <c r="J214" s="16" t="str">
        <f>IFERROR(__xludf.DUMMYFUNCTION("""COMPUTED_VALUE"""),"")</f>
        <v/>
      </c>
      <c r="K214" s="16" t="str">
        <f>IFERROR(__xludf.DUMMYFUNCTION("""COMPUTED_VALUE"""),"")</f>
        <v/>
      </c>
      <c r="L214" s="16" t="str">
        <f>IFERROR(__xludf.DUMMYFUNCTION("""COMPUTED_VALUE"""),"")</f>
        <v/>
      </c>
      <c r="M214" s="16" t="str">
        <f>IFERROR(__xludf.DUMMYFUNCTION("""COMPUTED_VALUE"""),"")</f>
        <v/>
      </c>
      <c r="N214" s="16" t="str">
        <f>IFERROR(__xludf.DUMMYFUNCTION("""COMPUTED_VALUE"""),"")</f>
        <v/>
      </c>
      <c r="O214" s="16" t="str">
        <f>IFERROR(__xludf.DUMMYFUNCTION("""COMPUTED_VALUE"""),"")</f>
        <v/>
      </c>
      <c r="P214" s="16" t="str">
        <f>IFERROR(__xludf.DUMMYFUNCTION("""COMPUTED_VALUE"""),"")</f>
        <v/>
      </c>
      <c r="Q214" s="16" t="str">
        <f>IFERROR(__xludf.DUMMYFUNCTION("""COMPUTED_VALUE"""),"")</f>
        <v/>
      </c>
      <c r="R214" s="16" t="str">
        <f>IFERROR(__xludf.DUMMYFUNCTION("""COMPUTED_VALUE"""),"")</f>
        <v/>
      </c>
      <c r="S214" s="16" t="str">
        <f>IFERROR(__xludf.DUMMYFUNCTION("""COMPUTED_VALUE"""),"")</f>
        <v/>
      </c>
      <c r="T214" s="16" t="str">
        <f>IFERROR(__xludf.DUMMYFUNCTION("""COMPUTED_VALUE"""),"")</f>
        <v/>
      </c>
      <c r="U214" s="16" t="str">
        <f>IFERROR(__xludf.DUMMYFUNCTION("""COMPUTED_VALUE"""),"")</f>
        <v/>
      </c>
      <c r="V214" s="16" t="str">
        <f>IFERROR(__xludf.DUMMYFUNCTION("""COMPUTED_VALUE"""),"")</f>
        <v/>
      </c>
      <c r="W214" s="16" t="str">
        <f>IFERROR(__xludf.DUMMYFUNCTION("""COMPUTED_VALUE"""),"")</f>
        <v/>
      </c>
      <c r="X214" s="16" t="str">
        <f>IFERROR(__xludf.DUMMYFUNCTION("""COMPUTED_VALUE"""),"")</f>
        <v/>
      </c>
      <c r="Y214" s="16" t="str">
        <f>IFERROR(__xludf.DUMMYFUNCTION("""COMPUTED_VALUE"""),"")</f>
        <v/>
      </c>
      <c r="Z214" s="16"/>
      <c r="AA214" s="16"/>
      <c r="AB214" s="16"/>
      <c r="AC214" s="16"/>
      <c r="AD214" s="16"/>
      <c r="AE214" s="16"/>
      <c r="AF214" s="16"/>
      <c r="AG214" s="16"/>
      <c r="AH214" s="16"/>
      <c r="AI214" s="16"/>
      <c r="AJ214" s="16"/>
      <c r="AK214" s="16"/>
      <c r="AL214" s="16"/>
      <c r="AM214" s="16"/>
      <c r="AN214" s="16"/>
      <c r="AO214" s="16"/>
      <c r="AP214" s="16"/>
      <c r="AQ214" s="16"/>
      <c r="AR214" s="16"/>
      <c r="AS214" s="16"/>
      <c r="AT214" s="16"/>
      <c r="AU214" s="16"/>
      <c r="AV214" s="16"/>
      <c r="AW214" s="16"/>
      <c r="AX214" s="16"/>
    </row>
    <row r="215">
      <c r="A215" s="16"/>
      <c r="B215" s="16"/>
      <c r="C215" s="16" t="str">
        <f>IFERROR(__xludf.DUMMYFUNCTION("""COMPUTED_VALUE"""),"")</f>
        <v/>
      </c>
      <c r="D215" s="16" t="str">
        <f>IFERROR(__xludf.DUMMYFUNCTION("""COMPUTED_VALUE"""),"")</f>
        <v/>
      </c>
      <c r="E215" s="16" t="str">
        <f>IFERROR(__xludf.DUMMYFUNCTION("""COMPUTED_VALUE"""),"")</f>
        <v/>
      </c>
      <c r="F215" s="16" t="str">
        <f>IFERROR(__xludf.DUMMYFUNCTION("""COMPUTED_VALUE"""),"")</f>
        <v/>
      </c>
      <c r="G215" s="16" t="str">
        <f>IFERROR(__xludf.DUMMYFUNCTION("""COMPUTED_VALUE"""),"")</f>
        <v/>
      </c>
      <c r="H215" s="16" t="str">
        <f>IFERROR(__xludf.DUMMYFUNCTION("""COMPUTED_VALUE"""),"")</f>
        <v/>
      </c>
      <c r="I215" s="16" t="str">
        <f>IFERROR(__xludf.DUMMYFUNCTION("""COMPUTED_VALUE"""),"")</f>
        <v/>
      </c>
      <c r="J215" s="16" t="str">
        <f>IFERROR(__xludf.DUMMYFUNCTION("""COMPUTED_VALUE"""),"")</f>
        <v/>
      </c>
      <c r="K215" s="16" t="str">
        <f>IFERROR(__xludf.DUMMYFUNCTION("""COMPUTED_VALUE"""),"")</f>
        <v/>
      </c>
      <c r="L215" s="16" t="str">
        <f>IFERROR(__xludf.DUMMYFUNCTION("""COMPUTED_VALUE"""),"")</f>
        <v/>
      </c>
      <c r="M215" s="16" t="str">
        <f>IFERROR(__xludf.DUMMYFUNCTION("""COMPUTED_VALUE"""),"")</f>
        <v/>
      </c>
      <c r="N215" s="16" t="str">
        <f>IFERROR(__xludf.DUMMYFUNCTION("""COMPUTED_VALUE"""),"")</f>
        <v/>
      </c>
      <c r="O215" s="16" t="str">
        <f>IFERROR(__xludf.DUMMYFUNCTION("""COMPUTED_VALUE"""),"")</f>
        <v/>
      </c>
      <c r="P215" s="16" t="str">
        <f>IFERROR(__xludf.DUMMYFUNCTION("""COMPUTED_VALUE"""),"")</f>
        <v/>
      </c>
      <c r="Q215" s="16" t="str">
        <f>IFERROR(__xludf.DUMMYFUNCTION("""COMPUTED_VALUE"""),"")</f>
        <v/>
      </c>
      <c r="R215" s="16" t="str">
        <f>IFERROR(__xludf.DUMMYFUNCTION("""COMPUTED_VALUE"""),"")</f>
        <v/>
      </c>
      <c r="S215" s="16" t="str">
        <f>IFERROR(__xludf.DUMMYFUNCTION("""COMPUTED_VALUE"""),"")</f>
        <v/>
      </c>
      <c r="T215" s="16" t="str">
        <f>IFERROR(__xludf.DUMMYFUNCTION("""COMPUTED_VALUE"""),"")</f>
        <v/>
      </c>
      <c r="U215" s="16" t="str">
        <f>IFERROR(__xludf.DUMMYFUNCTION("""COMPUTED_VALUE"""),"")</f>
        <v/>
      </c>
      <c r="V215" s="16" t="str">
        <f>IFERROR(__xludf.DUMMYFUNCTION("""COMPUTED_VALUE"""),"")</f>
        <v/>
      </c>
      <c r="W215" s="16" t="str">
        <f>IFERROR(__xludf.DUMMYFUNCTION("""COMPUTED_VALUE"""),"")</f>
        <v/>
      </c>
      <c r="X215" s="16" t="str">
        <f>IFERROR(__xludf.DUMMYFUNCTION("""COMPUTED_VALUE"""),"")</f>
        <v/>
      </c>
      <c r="Y215" s="16" t="str">
        <f>IFERROR(__xludf.DUMMYFUNCTION("""COMPUTED_VALUE"""),"")</f>
        <v/>
      </c>
      <c r="Z215" s="16"/>
      <c r="AA215" s="16"/>
      <c r="AB215" s="16"/>
      <c r="AC215" s="16"/>
      <c r="AD215" s="16"/>
      <c r="AE215" s="16"/>
      <c r="AF215" s="16"/>
      <c r="AG215" s="16"/>
      <c r="AH215" s="16"/>
      <c r="AI215" s="16"/>
      <c r="AJ215" s="16"/>
      <c r="AK215" s="16"/>
      <c r="AL215" s="16"/>
      <c r="AM215" s="16"/>
      <c r="AN215" s="16"/>
      <c r="AO215" s="16"/>
      <c r="AP215" s="16"/>
      <c r="AQ215" s="16"/>
      <c r="AR215" s="16"/>
      <c r="AS215" s="16"/>
      <c r="AT215" s="16"/>
      <c r="AU215" s="16"/>
      <c r="AV215" s="16"/>
      <c r="AW215" s="16"/>
      <c r="AX215" s="16"/>
    </row>
    <row r="216">
      <c r="A216" s="16"/>
      <c r="B216" s="16"/>
      <c r="C216" s="16" t="str">
        <f>IFERROR(__xludf.DUMMYFUNCTION("""COMPUTED_VALUE"""),"")</f>
        <v/>
      </c>
      <c r="D216" s="16" t="str">
        <f>IFERROR(__xludf.DUMMYFUNCTION("""COMPUTED_VALUE"""),"")</f>
        <v/>
      </c>
      <c r="E216" s="16" t="str">
        <f>IFERROR(__xludf.DUMMYFUNCTION("""COMPUTED_VALUE"""),"")</f>
        <v/>
      </c>
      <c r="F216" s="16" t="str">
        <f>IFERROR(__xludf.DUMMYFUNCTION("""COMPUTED_VALUE"""),"")</f>
        <v/>
      </c>
      <c r="G216" s="16" t="str">
        <f>IFERROR(__xludf.DUMMYFUNCTION("""COMPUTED_VALUE"""),"")</f>
        <v/>
      </c>
      <c r="H216" s="16" t="str">
        <f>IFERROR(__xludf.DUMMYFUNCTION("""COMPUTED_VALUE"""),"")</f>
        <v/>
      </c>
      <c r="I216" s="16" t="str">
        <f>IFERROR(__xludf.DUMMYFUNCTION("""COMPUTED_VALUE"""),"")</f>
        <v/>
      </c>
      <c r="J216" s="16" t="str">
        <f>IFERROR(__xludf.DUMMYFUNCTION("""COMPUTED_VALUE"""),"")</f>
        <v/>
      </c>
      <c r="K216" s="16" t="str">
        <f>IFERROR(__xludf.DUMMYFUNCTION("""COMPUTED_VALUE"""),"")</f>
        <v/>
      </c>
      <c r="L216" s="16" t="str">
        <f>IFERROR(__xludf.DUMMYFUNCTION("""COMPUTED_VALUE"""),"")</f>
        <v/>
      </c>
      <c r="M216" s="16" t="str">
        <f>IFERROR(__xludf.DUMMYFUNCTION("""COMPUTED_VALUE"""),"")</f>
        <v/>
      </c>
      <c r="N216" s="16" t="str">
        <f>IFERROR(__xludf.DUMMYFUNCTION("""COMPUTED_VALUE"""),"")</f>
        <v/>
      </c>
      <c r="O216" s="16" t="str">
        <f>IFERROR(__xludf.DUMMYFUNCTION("""COMPUTED_VALUE"""),"")</f>
        <v/>
      </c>
      <c r="P216" s="16" t="str">
        <f>IFERROR(__xludf.DUMMYFUNCTION("""COMPUTED_VALUE"""),"")</f>
        <v/>
      </c>
      <c r="Q216" s="16" t="str">
        <f>IFERROR(__xludf.DUMMYFUNCTION("""COMPUTED_VALUE"""),"")</f>
        <v/>
      </c>
      <c r="R216" s="16" t="str">
        <f>IFERROR(__xludf.DUMMYFUNCTION("""COMPUTED_VALUE"""),"")</f>
        <v/>
      </c>
      <c r="S216" s="16" t="str">
        <f>IFERROR(__xludf.DUMMYFUNCTION("""COMPUTED_VALUE"""),"")</f>
        <v/>
      </c>
      <c r="T216" s="16" t="str">
        <f>IFERROR(__xludf.DUMMYFUNCTION("""COMPUTED_VALUE"""),"")</f>
        <v/>
      </c>
      <c r="U216" s="16" t="str">
        <f>IFERROR(__xludf.DUMMYFUNCTION("""COMPUTED_VALUE"""),"")</f>
        <v/>
      </c>
      <c r="V216" s="16" t="str">
        <f>IFERROR(__xludf.DUMMYFUNCTION("""COMPUTED_VALUE"""),"")</f>
        <v/>
      </c>
      <c r="W216" s="16" t="str">
        <f>IFERROR(__xludf.DUMMYFUNCTION("""COMPUTED_VALUE"""),"")</f>
        <v/>
      </c>
      <c r="X216" s="16" t="str">
        <f>IFERROR(__xludf.DUMMYFUNCTION("""COMPUTED_VALUE"""),"")</f>
        <v/>
      </c>
      <c r="Y216" s="16" t="str">
        <f>IFERROR(__xludf.DUMMYFUNCTION("""COMPUTED_VALUE"""),"")</f>
        <v/>
      </c>
      <c r="Z216" s="16"/>
      <c r="AA216" s="16"/>
      <c r="AB216" s="16"/>
      <c r="AC216" s="16"/>
      <c r="AD216" s="16"/>
      <c r="AE216" s="16"/>
      <c r="AF216" s="16"/>
      <c r="AG216" s="16"/>
      <c r="AH216" s="16"/>
      <c r="AI216" s="16"/>
      <c r="AJ216" s="16"/>
      <c r="AK216" s="16"/>
      <c r="AL216" s="16"/>
      <c r="AM216" s="16"/>
      <c r="AN216" s="16"/>
      <c r="AO216" s="16"/>
      <c r="AP216" s="16"/>
      <c r="AQ216" s="16"/>
      <c r="AR216" s="16"/>
      <c r="AS216" s="16"/>
      <c r="AT216" s="16"/>
      <c r="AU216" s="16"/>
      <c r="AV216" s="16"/>
      <c r="AW216" s="16"/>
      <c r="AX216" s="16"/>
    </row>
    <row r="217">
      <c r="A217" s="16"/>
      <c r="B217" s="16"/>
      <c r="C217" s="16" t="str">
        <f>IFERROR(__xludf.DUMMYFUNCTION("""COMPUTED_VALUE"""),"")</f>
        <v/>
      </c>
      <c r="D217" s="16" t="str">
        <f>IFERROR(__xludf.DUMMYFUNCTION("""COMPUTED_VALUE"""),"")</f>
        <v/>
      </c>
      <c r="E217" s="16" t="str">
        <f>IFERROR(__xludf.DUMMYFUNCTION("""COMPUTED_VALUE"""),"")</f>
        <v/>
      </c>
      <c r="F217" s="16" t="str">
        <f>IFERROR(__xludf.DUMMYFUNCTION("""COMPUTED_VALUE"""),"")</f>
        <v/>
      </c>
      <c r="G217" s="16" t="str">
        <f>IFERROR(__xludf.DUMMYFUNCTION("""COMPUTED_VALUE"""),"")</f>
        <v/>
      </c>
      <c r="H217" s="16" t="str">
        <f>IFERROR(__xludf.DUMMYFUNCTION("""COMPUTED_VALUE"""),"")</f>
        <v/>
      </c>
      <c r="I217" s="16" t="str">
        <f>IFERROR(__xludf.DUMMYFUNCTION("""COMPUTED_VALUE"""),"")</f>
        <v/>
      </c>
      <c r="J217" s="16" t="str">
        <f>IFERROR(__xludf.DUMMYFUNCTION("""COMPUTED_VALUE"""),"")</f>
        <v/>
      </c>
      <c r="K217" s="16" t="str">
        <f>IFERROR(__xludf.DUMMYFUNCTION("""COMPUTED_VALUE"""),"")</f>
        <v/>
      </c>
      <c r="L217" s="16" t="str">
        <f>IFERROR(__xludf.DUMMYFUNCTION("""COMPUTED_VALUE"""),"")</f>
        <v/>
      </c>
      <c r="M217" s="16" t="str">
        <f>IFERROR(__xludf.DUMMYFUNCTION("""COMPUTED_VALUE"""),"")</f>
        <v/>
      </c>
      <c r="N217" s="16" t="str">
        <f>IFERROR(__xludf.DUMMYFUNCTION("""COMPUTED_VALUE"""),"")</f>
        <v/>
      </c>
      <c r="O217" s="16" t="str">
        <f>IFERROR(__xludf.DUMMYFUNCTION("""COMPUTED_VALUE"""),"")</f>
        <v/>
      </c>
      <c r="P217" s="16" t="str">
        <f>IFERROR(__xludf.DUMMYFUNCTION("""COMPUTED_VALUE"""),"")</f>
        <v/>
      </c>
      <c r="Q217" s="16" t="str">
        <f>IFERROR(__xludf.DUMMYFUNCTION("""COMPUTED_VALUE"""),"")</f>
        <v/>
      </c>
      <c r="R217" s="16" t="str">
        <f>IFERROR(__xludf.DUMMYFUNCTION("""COMPUTED_VALUE"""),"")</f>
        <v/>
      </c>
      <c r="S217" s="16" t="str">
        <f>IFERROR(__xludf.DUMMYFUNCTION("""COMPUTED_VALUE"""),"")</f>
        <v/>
      </c>
      <c r="T217" s="16" t="str">
        <f>IFERROR(__xludf.DUMMYFUNCTION("""COMPUTED_VALUE"""),"")</f>
        <v/>
      </c>
      <c r="U217" s="16" t="str">
        <f>IFERROR(__xludf.DUMMYFUNCTION("""COMPUTED_VALUE"""),"")</f>
        <v/>
      </c>
      <c r="V217" s="16" t="str">
        <f>IFERROR(__xludf.DUMMYFUNCTION("""COMPUTED_VALUE"""),"")</f>
        <v/>
      </c>
      <c r="W217" s="16" t="str">
        <f>IFERROR(__xludf.DUMMYFUNCTION("""COMPUTED_VALUE"""),"")</f>
        <v/>
      </c>
      <c r="X217" s="16" t="str">
        <f>IFERROR(__xludf.DUMMYFUNCTION("""COMPUTED_VALUE"""),"")</f>
        <v/>
      </c>
      <c r="Y217" s="16" t="str">
        <f>IFERROR(__xludf.DUMMYFUNCTION("""COMPUTED_VALUE"""),"")</f>
        <v/>
      </c>
      <c r="Z217" s="16"/>
      <c r="AA217" s="16"/>
      <c r="AB217" s="16"/>
      <c r="AC217" s="16"/>
      <c r="AD217" s="16"/>
      <c r="AE217" s="16"/>
      <c r="AF217" s="16"/>
      <c r="AG217" s="16"/>
      <c r="AH217" s="16"/>
      <c r="AI217" s="16"/>
      <c r="AJ217" s="16"/>
      <c r="AK217" s="16"/>
      <c r="AL217" s="16"/>
      <c r="AM217" s="16"/>
      <c r="AN217" s="16"/>
      <c r="AO217" s="16"/>
      <c r="AP217" s="16"/>
      <c r="AQ217" s="16"/>
      <c r="AR217" s="16"/>
      <c r="AS217" s="16"/>
      <c r="AT217" s="16"/>
      <c r="AU217" s="16"/>
      <c r="AV217" s="16"/>
      <c r="AW217" s="16"/>
      <c r="AX217" s="16"/>
    </row>
    <row r="218">
      <c r="A218" s="16"/>
      <c r="B218" s="16"/>
      <c r="C218" s="16" t="str">
        <f>IFERROR(__xludf.DUMMYFUNCTION("""COMPUTED_VALUE"""),"")</f>
        <v/>
      </c>
      <c r="D218" s="16" t="str">
        <f>IFERROR(__xludf.DUMMYFUNCTION("""COMPUTED_VALUE"""),"")</f>
        <v/>
      </c>
      <c r="E218" s="16" t="str">
        <f>IFERROR(__xludf.DUMMYFUNCTION("""COMPUTED_VALUE"""),"")</f>
        <v/>
      </c>
      <c r="F218" s="16" t="str">
        <f>IFERROR(__xludf.DUMMYFUNCTION("""COMPUTED_VALUE"""),"")</f>
        <v/>
      </c>
      <c r="G218" s="16" t="str">
        <f>IFERROR(__xludf.DUMMYFUNCTION("""COMPUTED_VALUE"""),"")</f>
        <v/>
      </c>
      <c r="H218" s="16" t="str">
        <f>IFERROR(__xludf.DUMMYFUNCTION("""COMPUTED_VALUE"""),"")</f>
        <v/>
      </c>
      <c r="I218" s="16" t="str">
        <f>IFERROR(__xludf.DUMMYFUNCTION("""COMPUTED_VALUE"""),"")</f>
        <v/>
      </c>
      <c r="J218" s="16" t="str">
        <f>IFERROR(__xludf.DUMMYFUNCTION("""COMPUTED_VALUE"""),"")</f>
        <v/>
      </c>
      <c r="K218" s="16" t="str">
        <f>IFERROR(__xludf.DUMMYFUNCTION("""COMPUTED_VALUE"""),"")</f>
        <v/>
      </c>
      <c r="L218" s="16" t="str">
        <f>IFERROR(__xludf.DUMMYFUNCTION("""COMPUTED_VALUE"""),"")</f>
        <v/>
      </c>
      <c r="M218" s="16" t="str">
        <f>IFERROR(__xludf.DUMMYFUNCTION("""COMPUTED_VALUE"""),"")</f>
        <v/>
      </c>
      <c r="N218" s="16" t="str">
        <f>IFERROR(__xludf.DUMMYFUNCTION("""COMPUTED_VALUE"""),"")</f>
        <v/>
      </c>
      <c r="O218" s="16" t="str">
        <f>IFERROR(__xludf.DUMMYFUNCTION("""COMPUTED_VALUE"""),"")</f>
        <v/>
      </c>
      <c r="P218" s="16" t="str">
        <f>IFERROR(__xludf.DUMMYFUNCTION("""COMPUTED_VALUE"""),"")</f>
        <v/>
      </c>
      <c r="Q218" s="16" t="str">
        <f>IFERROR(__xludf.DUMMYFUNCTION("""COMPUTED_VALUE"""),"")</f>
        <v/>
      </c>
      <c r="R218" s="16" t="str">
        <f>IFERROR(__xludf.DUMMYFUNCTION("""COMPUTED_VALUE"""),"")</f>
        <v/>
      </c>
      <c r="S218" s="16" t="str">
        <f>IFERROR(__xludf.DUMMYFUNCTION("""COMPUTED_VALUE"""),"")</f>
        <v/>
      </c>
      <c r="T218" s="16" t="str">
        <f>IFERROR(__xludf.DUMMYFUNCTION("""COMPUTED_VALUE"""),"")</f>
        <v/>
      </c>
      <c r="U218" s="16" t="str">
        <f>IFERROR(__xludf.DUMMYFUNCTION("""COMPUTED_VALUE"""),"")</f>
        <v/>
      </c>
      <c r="V218" s="16" t="str">
        <f>IFERROR(__xludf.DUMMYFUNCTION("""COMPUTED_VALUE"""),"")</f>
        <v/>
      </c>
      <c r="W218" s="16" t="str">
        <f>IFERROR(__xludf.DUMMYFUNCTION("""COMPUTED_VALUE"""),"")</f>
        <v/>
      </c>
      <c r="X218" s="16" t="str">
        <f>IFERROR(__xludf.DUMMYFUNCTION("""COMPUTED_VALUE"""),"")</f>
        <v/>
      </c>
      <c r="Y218" s="16" t="str">
        <f>IFERROR(__xludf.DUMMYFUNCTION("""COMPUTED_VALUE"""),"")</f>
        <v/>
      </c>
      <c r="Z218" s="16"/>
      <c r="AA218" s="16"/>
      <c r="AB218" s="16"/>
      <c r="AC218" s="16"/>
      <c r="AD218" s="16"/>
      <c r="AE218" s="16"/>
      <c r="AF218" s="16"/>
      <c r="AG218" s="16"/>
      <c r="AH218" s="16"/>
      <c r="AI218" s="16"/>
      <c r="AJ218" s="16"/>
      <c r="AK218" s="16"/>
      <c r="AL218" s="16"/>
      <c r="AM218" s="16"/>
      <c r="AN218" s="16"/>
      <c r="AO218" s="16"/>
      <c r="AP218" s="16"/>
      <c r="AQ218" s="16"/>
      <c r="AR218" s="16"/>
      <c r="AS218" s="16"/>
      <c r="AT218" s="16"/>
      <c r="AU218" s="16"/>
      <c r="AV218" s="16"/>
      <c r="AW218" s="16"/>
      <c r="AX218" s="16"/>
    </row>
    <row r="219">
      <c r="A219" s="16"/>
      <c r="B219" s="16"/>
      <c r="C219" s="16" t="str">
        <f>IFERROR(__xludf.DUMMYFUNCTION("""COMPUTED_VALUE"""),"")</f>
        <v/>
      </c>
      <c r="D219" s="16" t="str">
        <f>IFERROR(__xludf.DUMMYFUNCTION("""COMPUTED_VALUE"""),"")</f>
        <v/>
      </c>
      <c r="E219" s="16" t="str">
        <f>IFERROR(__xludf.DUMMYFUNCTION("""COMPUTED_VALUE"""),"")</f>
        <v/>
      </c>
      <c r="F219" s="16" t="str">
        <f>IFERROR(__xludf.DUMMYFUNCTION("""COMPUTED_VALUE"""),"")</f>
        <v/>
      </c>
      <c r="G219" s="16" t="str">
        <f>IFERROR(__xludf.DUMMYFUNCTION("""COMPUTED_VALUE"""),"")</f>
        <v/>
      </c>
      <c r="H219" s="16" t="str">
        <f>IFERROR(__xludf.DUMMYFUNCTION("""COMPUTED_VALUE"""),"")</f>
        <v/>
      </c>
      <c r="I219" s="16" t="str">
        <f>IFERROR(__xludf.DUMMYFUNCTION("""COMPUTED_VALUE"""),"")</f>
        <v/>
      </c>
      <c r="J219" s="16" t="str">
        <f>IFERROR(__xludf.DUMMYFUNCTION("""COMPUTED_VALUE"""),"")</f>
        <v/>
      </c>
      <c r="K219" s="16" t="str">
        <f>IFERROR(__xludf.DUMMYFUNCTION("""COMPUTED_VALUE"""),"")</f>
        <v/>
      </c>
      <c r="L219" s="16" t="str">
        <f>IFERROR(__xludf.DUMMYFUNCTION("""COMPUTED_VALUE"""),"")</f>
        <v/>
      </c>
      <c r="M219" s="16" t="str">
        <f>IFERROR(__xludf.DUMMYFUNCTION("""COMPUTED_VALUE"""),"")</f>
        <v/>
      </c>
      <c r="N219" s="16" t="str">
        <f>IFERROR(__xludf.DUMMYFUNCTION("""COMPUTED_VALUE"""),"")</f>
        <v/>
      </c>
      <c r="O219" s="16" t="str">
        <f>IFERROR(__xludf.DUMMYFUNCTION("""COMPUTED_VALUE"""),"")</f>
        <v/>
      </c>
      <c r="P219" s="16" t="str">
        <f>IFERROR(__xludf.DUMMYFUNCTION("""COMPUTED_VALUE"""),"")</f>
        <v/>
      </c>
      <c r="Q219" s="16" t="str">
        <f>IFERROR(__xludf.DUMMYFUNCTION("""COMPUTED_VALUE"""),"")</f>
        <v/>
      </c>
      <c r="R219" s="16" t="str">
        <f>IFERROR(__xludf.DUMMYFUNCTION("""COMPUTED_VALUE"""),"")</f>
        <v/>
      </c>
      <c r="S219" s="16" t="str">
        <f>IFERROR(__xludf.DUMMYFUNCTION("""COMPUTED_VALUE"""),"")</f>
        <v/>
      </c>
      <c r="T219" s="16" t="str">
        <f>IFERROR(__xludf.DUMMYFUNCTION("""COMPUTED_VALUE"""),"")</f>
        <v/>
      </c>
      <c r="U219" s="16" t="str">
        <f>IFERROR(__xludf.DUMMYFUNCTION("""COMPUTED_VALUE"""),"")</f>
        <v/>
      </c>
      <c r="V219" s="16" t="str">
        <f>IFERROR(__xludf.DUMMYFUNCTION("""COMPUTED_VALUE"""),"")</f>
        <v/>
      </c>
      <c r="W219" s="16" t="str">
        <f>IFERROR(__xludf.DUMMYFUNCTION("""COMPUTED_VALUE"""),"")</f>
        <v/>
      </c>
      <c r="X219" s="16" t="str">
        <f>IFERROR(__xludf.DUMMYFUNCTION("""COMPUTED_VALUE"""),"")</f>
        <v/>
      </c>
      <c r="Y219" s="16" t="str">
        <f>IFERROR(__xludf.DUMMYFUNCTION("""COMPUTED_VALUE"""),"")</f>
        <v/>
      </c>
      <c r="Z219" s="16"/>
      <c r="AA219" s="16"/>
      <c r="AB219" s="16"/>
      <c r="AC219" s="16"/>
      <c r="AD219" s="16"/>
      <c r="AE219" s="16"/>
      <c r="AF219" s="16"/>
      <c r="AG219" s="16"/>
      <c r="AH219" s="16"/>
      <c r="AI219" s="16"/>
      <c r="AJ219" s="16"/>
      <c r="AK219" s="16"/>
      <c r="AL219" s="16"/>
      <c r="AM219" s="16"/>
      <c r="AN219" s="16"/>
      <c r="AO219" s="16"/>
      <c r="AP219" s="16"/>
      <c r="AQ219" s="16"/>
      <c r="AR219" s="16"/>
      <c r="AS219" s="16"/>
      <c r="AT219" s="16"/>
      <c r="AU219" s="16"/>
      <c r="AV219" s="16"/>
      <c r="AW219" s="16"/>
      <c r="AX219" s="16"/>
    </row>
    <row r="220">
      <c r="A220" s="16"/>
      <c r="B220" s="16"/>
      <c r="C220" s="16" t="str">
        <f>IFERROR(__xludf.DUMMYFUNCTION("""COMPUTED_VALUE"""),"")</f>
        <v/>
      </c>
      <c r="D220" s="16" t="str">
        <f>IFERROR(__xludf.DUMMYFUNCTION("""COMPUTED_VALUE"""),"")</f>
        <v/>
      </c>
      <c r="E220" s="16" t="str">
        <f>IFERROR(__xludf.DUMMYFUNCTION("""COMPUTED_VALUE"""),"")</f>
        <v/>
      </c>
      <c r="F220" s="16" t="str">
        <f>IFERROR(__xludf.DUMMYFUNCTION("""COMPUTED_VALUE"""),"")</f>
        <v/>
      </c>
      <c r="G220" s="16" t="str">
        <f>IFERROR(__xludf.DUMMYFUNCTION("""COMPUTED_VALUE"""),"")</f>
        <v/>
      </c>
      <c r="H220" s="16" t="str">
        <f>IFERROR(__xludf.DUMMYFUNCTION("""COMPUTED_VALUE"""),"")</f>
        <v/>
      </c>
      <c r="I220" s="16" t="str">
        <f>IFERROR(__xludf.DUMMYFUNCTION("""COMPUTED_VALUE"""),"")</f>
        <v/>
      </c>
      <c r="J220" s="16" t="str">
        <f>IFERROR(__xludf.DUMMYFUNCTION("""COMPUTED_VALUE"""),"")</f>
        <v/>
      </c>
      <c r="K220" s="16" t="str">
        <f>IFERROR(__xludf.DUMMYFUNCTION("""COMPUTED_VALUE"""),"")</f>
        <v/>
      </c>
      <c r="L220" s="16" t="str">
        <f>IFERROR(__xludf.DUMMYFUNCTION("""COMPUTED_VALUE"""),"")</f>
        <v/>
      </c>
      <c r="M220" s="16" t="str">
        <f>IFERROR(__xludf.DUMMYFUNCTION("""COMPUTED_VALUE"""),"")</f>
        <v/>
      </c>
      <c r="N220" s="16" t="str">
        <f>IFERROR(__xludf.DUMMYFUNCTION("""COMPUTED_VALUE"""),"")</f>
        <v/>
      </c>
      <c r="O220" s="16" t="str">
        <f>IFERROR(__xludf.DUMMYFUNCTION("""COMPUTED_VALUE"""),"")</f>
        <v/>
      </c>
      <c r="P220" s="16" t="str">
        <f>IFERROR(__xludf.DUMMYFUNCTION("""COMPUTED_VALUE"""),"")</f>
        <v/>
      </c>
      <c r="Q220" s="16" t="str">
        <f>IFERROR(__xludf.DUMMYFUNCTION("""COMPUTED_VALUE"""),"")</f>
        <v/>
      </c>
      <c r="R220" s="16" t="str">
        <f>IFERROR(__xludf.DUMMYFUNCTION("""COMPUTED_VALUE"""),"")</f>
        <v/>
      </c>
      <c r="S220" s="16" t="str">
        <f>IFERROR(__xludf.DUMMYFUNCTION("""COMPUTED_VALUE"""),"")</f>
        <v/>
      </c>
      <c r="T220" s="16" t="str">
        <f>IFERROR(__xludf.DUMMYFUNCTION("""COMPUTED_VALUE"""),"")</f>
        <v/>
      </c>
      <c r="U220" s="16" t="str">
        <f>IFERROR(__xludf.DUMMYFUNCTION("""COMPUTED_VALUE"""),"")</f>
        <v/>
      </c>
      <c r="V220" s="16" t="str">
        <f>IFERROR(__xludf.DUMMYFUNCTION("""COMPUTED_VALUE"""),"")</f>
        <v/>
      </c>
      <c r="W220" s="16" t="str">
        <f>IFERROR(__xludf.DUMMYFUNCTION("""COMPUTED_VALUE"""),"")</f>
        <v/>
      </c>
      <c r="X220" s="16" t="str">
        <f>IFERROR(__xludf.DUMMYFUNCTION("""COMPUTED_VALUE"""),"")</f>
        <v/>
      </c>
      <c r="Y220" s="16" t="str">
        <f>IFERROR(__xludf.DUMMYFUNCTION("""COMPUTED_VALUE"""),"")</f>
        <v/>
      </c>
      <c r="Z220" s="16"/>
      <c r="AA220" s="16"/>
      <c r="AB220" s="16"/>
      <c r="AC220" s="16"/>
      <c r="AD220" s="16"/>
      <c r="AE220" s="16"/>
      <c r="AF220" s="16"/>
      <c r="AG220" s="16"/>
      <c r="AH220" s="16"/>
      <c r="AI220" s="16"/>
      <c r="AJ220" s="16"/>
      <c r="AK220" s="16"/>
      <c r="AL220" s="16"/>
      <c r="AM220" s="16"/>
      <c r="AN220" s="16"/>
      <c r="AO220" s="16"/>
      <c r="AP220" s="16"/>
      <c r="AQ220" s="16"/>
      <c r="AR220" s="16"/>
      <c r="AS220" s="16"/>
      <c r="AT220" s="16"/>
      <c r="AU220" s="16"/>
      <c r="AV220" s="16"/>
      <c r="AW220" s="16"/>
      <c r="AX220" s="16"/>
    </row>
    <row r="221">
      <c r="A221" s="16"/>
      <c r="B221" s="16"/>
      <c r="C221" s="16" t="str">
        <f>IFERROR(__xludf.DUMMYFUNCTION("""COMPUTED_VALUE"""),"")</f>
        <v/>
      </c>
      <c r="D221" s="16" t="str">
        <f>IFERROR(__xludf.DUMMYFUNCTION("""COMPUTED_VALUE"""),"")</f>
        <v/>
      </c>
      <c r="E221" s="16" t="str">
        <f>IFERROR(__xludf.DUMMYFUNCTION("""COMPUTED_VALUE"""),"")</f>
        <v/>
      </c>
      <c r="F221" s="16" t="str">
        <f>IFERROR(__xludf.DUMMYFUNCTION("""COMPUTED_VALUE"""),"")</f>
        <v/>
      </c>
      <c r="G221" s="16" t="str">
        <f>IFERROR(__xludf.DUMMYFUNCTION("""COMPUTED_VALUE"""),"")</f>
        <v/>
      </c>
      <c r="H221" s="16" t="str">
        <f>IFERROR(__xludf.DUMMYFUNCTION("""COMPUTED_VALUE"""),"")</f>
        <v/>
      </c>
      <c r="I221" s="16" t="str">
        <f>IFERROR(__xludf.DUMMYFUNCTION("""COMPUTED_VALUE"""),"")</f>
        <v/>
      </c>
      <c r="J221" s="16" t="str">
        <f>IFERROR(__xludf.DUMMYFUNCTION("""COMPUTED_VALUE"""),"")</f>
        <v/>
      </c>
      <c r="K221" s="16" t="str">
        <f>IFERROR(__xludf.DUMMYFUNCTION("""COMPUTED_VALUE"""),"")</f>
        <v/>
      </c>
      <c r="L221" s="16" t="str">
        <f>IFERROR(__xludf.DUMMYFUNCTION("""COMPUTED_VALUE"""),"")</f>
        <v/>
      </c>
      <c r="M221" s="16" t="str">
        <f>IFERROR(__xludf.DUMMYFUNCTION("""COMPUTED_VALUE"""),"")</f>
        <v/>
      </c>
      <c r="N221" s="16" t="str">
        <f>IFERROR(__xludf.DUMMYFUNCTION("""COMPUTED_VALUE"""),"")</f>
        <v/>
      </c>
      <c r="O221" s="16" t="str">
        <f>IFERROR(__xludf.DUMMYFUNCTION("""COMPUTED_VALUE"""),"")</f>
        <v/>
      </c>
      <c r="P221" s="16" t="str">
        <f>IFERROR(__xludf.DUMMYFUNCTION("""COMPUTED_VALUE"""),"")</f>
        <v/>
      </c>
      <c r="Q221" s="16" t="str">
        <f>IFERROR(__xludf.DUMMYFUNCTION("""COMPUTED_VALUE"""),"")</f>
        <v/>
      </c>
      <c r="R221" s="16" t="str">
        <f>IFERROR(__xludf.DUMMYFUNCTION("""COMPUTED_VALUE"""),"")</f>
        <v/>
      </c>
      <c r="S221" s="16" t="str">
        <f>IFERROR(__xludf.DUMMYFUNCTION("""COMPUTED_VALUE"""),"")</f>
        <v/>
      </c>
      <c r="T221" s="16" t="str">
        <f>IFERROR(__xludf.DUMMYFUNCTION("""COMPUTED_VALUE"""),"")</f>
        <v/>
      </c>
      <c r="U221" s="16" t="str">
        <f>IFERROR(__xludf.DUMMYFUNCTION("""COMPUTED_VALUE"""),"")</f>
        <v/>
      </c>
      <c r="V221" s="16" t="str">
        <f>IFERROR(__xludf.DUMMYFUNCTION("""COMPUTED_VALUE"""),"")</f>
        <v/>
      </c>
      <c r="W221" s="16" t="str">
        <f>IFERROR(__xludf.DUMMYFUNCTION("""COMPUTED_VALUE"""),"")</f>
        <v/>
      </c>
      <c r="X221" s="16" t="str">
        <f>IFERROR(__xludf.DUMMYFUNCTION("""COMPUTED_VALUE"""),"")</f>
        <v/>
      </c>
      <c r="Y221" s="16" t="str">
        <f>IFERROR(__xludf.DUMMYFUNCTION("""COMPUTED_VALUE"""),"")</f>
        <v/>
      </c>
      <c r="Z221" s="16"/>
      <c r="AA221" s="16"/>
      <c r="AB221" s="16"/>
      <c r="AC221" s="16"/>
      <c r="AD221" s="16"/>
      <c r="AE221" s="16"/>
      <c r="AF221" s="16"/>
      <c r="AG221" s="16"/>
      <c r="AH221" s="16"/>
      <c r="AI221" s="16"/>
      <c r="AJ221" s="16"/>
      <c r="AK221" s="16"/>
      <c r="AL221" s="16"/>
      <c r="AM221" s="16"/>
      <c r="AN221" s="16"/>
      <c r="AO221" s="16"/>
      <c r="AP221" s="16"/>
      <c r="AQ221" s="16"/>
      <c r="AR221" s="16"/>
      <c r="AS221" s="16"/>
      <c r="AT221" s="16"/>
      <c r="AU221" s="16"/>
      <c r="AV221" s="16"/>
      <c r="AW221" s="16"/>
      <c r="AX221" s="16"/>
    </row>
    <row r="222">
      <c r="A222" s="16"/>
      <c r="B222" s="16"/>
      <c r="C222" s="16" t="str">
        <f>IFERROR(__xludf.DUMMYFUNCTION("""COMPUTED_VALUE"""),"")</f>
        <v/>
      </c>
      <c r="D222" s="16" t="str">
        <f>IFERROR(__xludf.DUMMYFUNCTION("""COMPUTED_VALUE"""),"")</f>
        <v/>
      </c>
      <c r="E222" s="16" t="str">
        <f>IFERROR(__xludf.DUMMYFUNCTION("""COMPUTED_VALUE"""),"")</f>
        <v/>
      </c>
      <c r="F222" s="16" t="str">
        <f>IFERROR(__xludf.DUMMYFUNCTION("""COMPUTED_VALUE"""),"")</f>
        <v/>
      </c>
      <c r="G222" s="16" t="str">
        <f>IFERROR(__xludf.DUMMYFUNCTION("""COMPUTED_VALUE"""),"")</f>
        <v/>
      </c>
      <c r="H222" s="16" t="str">
        <f>IFERROR(__xludf.DUMMYFUNCTION("""COMPUTED_VALUE"""),"")</f>
        <v/>
      </c>
      <c r="I222" s="16" t="str">
        <f>IFERROR(__xludf.DUMMYFUNCTION("""COMPUTED_VALUE"""),"")</f>
        <v/>
      </c>
      <c r="J222" s="16" t="str">
        <f>IFERROR(__xludf.DUMMYFUNCTION("""COMPUTED_VALUE"""),"")</f>
        <v/>
      </c>
      <c r="K222" s="16" t="str">
        <f>IFERROR(__xludf.DUMMYFUNCTION("""COMPUTED_VALUE"""),"")</f>
        <v/>
      </c>
      <c r="L222" s="16" t="str">
        <f>IFERROR(__xludf.DUMMYFUNCTION("""COMPUTED_VALUE"""),"")</f>
        <v/>
      </c>
      <c r="M222" s="16" t="str">
        <f>IFERROR(__xludf.DUMMYFUNCTION("""COMPUTED_VALUE"""),"")</f>
        <v/>
      </c>
      <c r="N222" s="16" t="str">
        <f>IFERROR(__xludf.DUMMYFUNCTION("""COMPUTED_VALUE"""),"")</f>
        <v/>
      </c>
      <c r="O222" s="16" t="str">
        <f>IFERROR(__xludf.DUMMYFUNCTION("""COMPUTED_VALUE"""),"")</f>
        <v/>
      </c>
      <c r="P222" s="16" t="str">
        <f>IFERROR(__xludf.DUMMYFUNCTION("""COMPUTED_VALUE"""),"")</f>
        <v/>
      </c>
      <c r="Q222" s="16" t="str">
        <f>IFERROR(__xludf.DUMMYFUNCTION("""COMPUTED_VALUE"""),"")</f>
        <v/>
      </c>
      <c r="R222" s="16" t="str">
        <f>IFERROR(__xludf.DUMMYFUNCTION("""COMPUTED_VALUE"""),"")</f>
        <v/>
      </c>
      <c r="S222" s="16" t="str">
        <f>IFERROR(__xludf.DUMMYFUNCTION("""COMPUTED_VALUE"""),"")</f>
        <v/>
      </c>
      <c r="T222" s="16" t="str">
        <f>IFERROR(__xludf.DUMMYFUNCTION("""COMPUTED_VALUE"""),"")</f>
        <v/>
      </c>
      <c r="U222" s="16" t="str">
        <f>IFERROR(__xludf.DUMMYFUNCTION("""COMPUTED_VALUE"""),"")</f>
        <v/>
      </c>
      <c r="V222" s="16" t="str">
        <f>IFERROR(__xludf.DUMMYFUNCTION("""COMPUTED_VALUE"""),"")</f>
        <v/>
      </c>
      <c r="W222" s="16" t="str">
        <f>IFERROR(__xludf.DUMMYFUNCTION("""COMPUTED_VALUE"""),"")</f>
        <v/>
      </c>
      <c r="X222" s="16" t="str">
        <f>IFERROR(__xludf.DUMMYFUNCTION("""COMPUTED_VALUE"""),"")</f>
        <v/>
      </c>
      <c r="Y222" s="16" t="str">
        <f>IFERROR(__xludf.DUMMYFUNCTION("""COMPUTED_VALUE"""),"")</f>
        <v/>
      </c>
      <c r="Z222" s="16"/>
      <c r="AA222" s="16"/>
      <c r="AB222" s="16"/>
      <c r="AC222" s="16"/>
      <c r="AD222" s="16"/>
      <c r="AE222" s="16"/>
      <c r="AF222" s="16"/>
      <c r="AG222" s="16"/>
      <c r="AH222" s="16"/>
      <c r="AI222" s="16"/>
      <c r="AJ222" s="16"/>
      <c r="AK222" s="16"/>
      <c r="AL222" s="16"/>
      <c r="AM222" s="16"/>
      <c r="AN222" s="16"/>
      <c r="AO222" s="16"/>
      <c r="AP222" s="16"/>
      <c r="AQ222" s="16"/>
      <c r="AR222" s="16"/>
      <c r="AS222" s="16"/>
      <c r="AT222" s="16"/>
      <c r="AU222" s="16"/>
      <c r="AV222" s="16"/>
      <c r="AW222" s="16"/>
      <c r="AX222" s="16"/>
    </row>
    <row r="223">
      <c r="A223" s="16"/>
      <c r="B223" s="16"/>
      <c r="C223" s="16" t="str">
        <f>IFERROR(__xludf.DUMMYFUNCTION("""COMPUTED_VALUE"""),"")</f>
        <v/>
      </c>
      <c r="D223" s="16" t="str">
        <f>IFERROR(__xludf.DUMMYFUNCTION("""COMPUTED_VALUE"""),"")</f>
        <v/>
      </c>
      <c r="E223" s="16" t="str">
        <f>IFERROR(__xludf.DUMMYFUNCTION("""COMPUTED_VALUE"""),"")</f>
        <v/>
      </c>
      <c r="F223" s="16" t="str">
        <f>IFERROR(__xludf.DUMMYFUNCTION("""COMPUTED_VALUE"""),"")</f>
        <v/>
      </c>
      <c r="G223" s="16" t="str">
        <f>IFERROR(__xludf.DUMMYFUNCTION("""COMPUTED_VALUE"""),"")</f>
        <v/>
      </c>
      <c r="H223" s="16" t="str">
        <f>IFERROR(__xludf.DUMMYFUNCTION("""COMPUTED_VALUE"""),"")</f>
        <v/>
      </c>
      <c r="I223" s="16" t="str">
        <f>IFERROR(__xludf.DUMMYFUNCTION("""COMPUTED_VALUE"""),"")</f>
        <v/>
      </c>
      <c r="J223" s="16" t="str">
        <f>IFERROR(__xludf.DUMMYFUNCTION("""COMPUTED_VALUE"""),"")</f>
        <v/>
      </c>
      <c r="K223" s="16" t="str">
        <f>IFERROR(__xludf.DUMMYFUNCTION("""COMPUTED_VALUE"""),"")</f>
        <v/>
      </c>
      <c r="L223" s="16" t="str">
        <f>IFERROR(__xludf.DUMMYFUNCTION("""COMPUTED_VALUE"""),"")</f>
        <v/>
      </c>
      <c r="M223" s="16" t="str">
        <f>IFERROR(__xludf.DUMMYFUNCTION("""COMPUTED_VALUE"""),"")</f>
        <v/>
      </c>
      <c r="N223" s="16" t="str">
        <f>IFERROR(__xludf.DUMMYFUNCTION("""COMPUTED_VALUE"""),"")</f>
        <v/>
      </c>
      <c r="O223" s="16" t="str">
        <f>IFERROR(__xludf.DUMMYFUNCTION("""COMPUTED_VALUE"""),"")</f>
        <v/>
      </c>
      <c r="P223" s="16" t="str">
        <f>IFERROR(__xludf.DUMMYFUNCTION("""COMPUTED_VALUE"""),"")</f>
        <v/>
      </c>
      <c r="Q223" s="16" t="str">
        <f>IFERROR(__xludf.DUMMYFUNCTION("""COMPUTED_VALUE"""),"")</f>
        <v/>
      </c>
      <c r="R223" s="16" t="str">
        <f>IFERROR(__xludf.DUMMYFUNCTION("""COMPUTED_VALUE"""),"")</f>
        <v/>
      </c>
      <c r="S223" s="16" t="str">
        <f>IFERROR(__xludf.DUMMYFUNCTION("""COMPUTED_VALUE"""),"")</f>
        <v/>
      </c>
      <c r="T223" s="16" t="str">
        <f>IFERROR(__xludf.DUMMYFUNCTION("""COMPUTED_VALUE"""),"")</f>
        <v/>
      </c>
      <c r="U223" s="16" t="str">
        <f>IFERROR(__xludf.DUMMYFUNCTION("""COMPUTED_VALUE"""),"")</f>
        <v/>
      </c>
      <c r="V223" s="16" t="str">
        <f>IFERROR(__xludf.DUMMYFUNCTION("""COMPUTED_VALUE"""),"")</f>
        <v/>
      </c>
      <c r="W223" s="16" t="str">
        <f>IFERROR(__xludf.DUMMYFUNCTION("""COMPUTED_VALUE"""),"")</f>
        <v/>
      </c>
      <c r="X223" s="16" t="str">
        <f>IFERROR(__xludf.DUMMYFUNCTION("""COMPUTED_VALUE"""),"")</f>
        <v/>
      </c>
      <c r="Y223" s="16" t="str">
        <f>IFERROR(__xludf.DUMMYFUNCTION("""COMPUTED_VALUE"""),"")</f>
        <v/>
      </c>
      <c r="Z223" s="16"/>
      <c r="AA223" s="16"/>
      <c r="AB223" s="16"/>
      <c r="AC223" s="16"/>
      <c r="AD223" s="16"/>
      <c r="AE223" s="16"/>
      <c r="AF223" s="16"/>
      <c r="AG223" s="16"/>
      <c r="AH223" s="16"/>
      <c r="AI223" s="16"/>
      <c r="AJ223" s="16"/>
      <c r="AK223" s="16"/>
      <c r="AL223" s="16"/>
      <c r="AM223" s="16"/>
      <c r="AN223" s="16"/>
      <c r="AO223" s="16"/>
      <c r="AP223" s="16"/>
      <c r="AQ223" s="16"/>
      <c r="AR223" s="16"/>
      <c r="AS223" s="16"/>
      <c r="AT223" s="16"/>
      <c r="AU223" s="16"/>
      <c r="AV223" s="16"/>
      <c r="AW223" s="16"/>
      <c r="AX223" s="16"/>
    </row>
    <row r="224">
      <c r="A224" s="16"/>
      <c r="B224" s="16"/>
      <c r="C224" s="16" t="str">
        <f>IFERROR(__xludf.DUMMYFUNCTION("""COMPUTED_VALUE"""),"")</f>
        <v/>
      </c>
      <c r="D224" s="16" t="str">
        <f>IFERROR(__xludf.DUMMYFUNCTION("""COMPUTED_VALUE"""),"")</f>
        <v/>
      </c>
      <c r="E224" s="16" t="str">
        <f>IFERROR(__xludf.DUMMYFUNCTION("""COMPUTED_VALUE"""),"")</f>
        <v/>
      </c>
      <c r="F224" s="16" t="str">
        <f>IFERROR(__xludf.DUMMYFUNCTION("""COMPUTED_VALUE"""),"")</f>
        <v/>
      </c>
      <c r="G224" s="16" t="str">
        <f>IFERROR(__xludf.DUMMYFUNCTION("""COMPUTED_VALUE"""),"")</f>
        <v/>
      </c>
      <c r="H224" s="16" t="str">
        <f>IFERROR(__xludf.DUMMYFUNCTION("""COMPUTED_VALUE"""),"")</f>
        <v/>
      </c>
      <c r="I224" s="16" t="str">
        <f>IFERROR(__xludf.DUMMYFUNCTION("""COMPUTED_VALUE"""),"")</f>
        <v/>
      </c>
      <c r="J224" s="16" t="str">
        <f>IFERROR(__xludf.DUMMYFUNCTION("""COMPUTED_VALUE"""),"")</f>
        <v/>
      </c>
      <c r="K224" s="16" t="str">
        <f>IFERROR(__xludf.DUMMYFUNCTION("""COMPUTED_VALUE"""),"")</f>
        <v/>
      </c>
      <c r="L224" s="16" t="str">
        <f>IFERROR(__xludf.DUMMYFUNCTION("""COMPUTED_VALUE"""),"")</f>
        <v/>
      </c>
      <c r="M224" s="16" t="str">
        <f>IFERROR(__xludf.DUMMYFUNCTION("""COMPUTED_VALUE"""),"")</f>
        <v/>
      </c>
      <c r="N224" s="16" t="str">
        <f>IFERROR(__xludf.DUMMYFUNCTION("""COMPUTED_VALUE"""),"")</f>
        <v/>
      </c>
      <c r="O224" s="16" t="str">
        <f>IFERROR(__xludf.DUMMYFUNCTION("""COMPUTED_VALUE"""),"")</f>
        <v/>
      </c>
      <c r="P224" s="16" t="str">
        <f>IFERROR(__xludf.DUMMYFUNCTION("""COMPUTED_VALUE"""),"")</f>
        <v/>
      </c>
      <c r="Q224" s="16" t="str">
        <f>IFERROR(__xludf.DUMMYFUNCTION("""COMPUTED_VALUE"""),"")</f>
        <v/>
      </c>
      <c r="R224" s="16" t="str">
        <f>IFERROR(__xludf.DUMMYFUNCTION("""COMPUTED_VALUE"""),"")</f>
        <v/>
      </c>
      <c r="S224" s="16" t="str">
        <f>IFERROR(__xludf.DUMMYFUNCTION("""COMPUTED_VALUE"""),"")</f>
        <v/>
      </c>
      <c r="T224" s="16" t="str">
        <f>IFERROR(__xludf.DUMMYFUNCTION("""COMPUTED_VALUE"""),"")</f>
        <v/>
      </c>
      <c r="U224" s="16" t="str">
        <f>IFERROR(__xludf.DUMMYFUNCTION("""COMPUTED_VALUE"""),"")</f>
        <v/>
      </c>
      <c r="V224" s="16" t="str">
        <f>IFERROR(__xludf.DUMMYFUNCTION("""COMPUTED_VALUE"""),"")</f>
        <v/>
      </c>
      <c r="W224" s="16" t="str">
        <f>IFERROR(__xludf.DUMMYFUNCTION("""COMPUTED_VALUE"""),"")</f>
        <v/>
      </c>
      <c r="X224" s="16" t="str">
        <f>IFERROR(__xludf.DUMMYFUNCTION("""COMPUTED_VALUE"""),"")</f>
        <v/>
      </c>
      <c r="Y224" s="16" t="str">
        <f>IFERROR(__xludf.DUMMYFUNCTION("""COMPUTED_VALUE"""),"")</f>
        <v/>
      </c>
      <c r="Z224" s="16"/>
      <c r="AA224" s="16"/>
      <c r="AB224" s="16"/>
      <c r="AC224" s="16"/>
      <c r="AD224" s="16"/>
      <c r="AE224" s="16"/>
      <c r="AF224" s="16"/>
      <c r="AG224" s="16"/>
      <c r="AH224" s="16"/>
      <c r="AI224" s="16"/>
      <c r="AJ224" s="16"/>
      <c r="AK224" s="16"/>
      <c r="AL224" s="16"/>
      <c r="AM224" s="16"/>
      <c r="AN224" s="16"/>
      <c r="AO224" s="16"/>
      <c r="AP224" s="16"/>
      <c r="AQ224" s="16"/>
      <c r="AR224" s="16"/>
      <c r="AS224" s="16"/>
      <c r="AT224" s="16"/>
      <c r="AU224" s="16"/>
      <c r="AV224" s="16"/>
      <c r="AW224" s="16"/>
      <c r="AX224" s="16"/>
    </row>
    <row r="225">
      <c r="A225" s="16"/>
      <c r="B225" s="16"/>
      <c r="C225" s="16" t="str">
        <f>IFERROR(__xludf.DUMMYFUNCTION("""COMPUTED_VALUE"""),"")</f>
        <v/>
      </c>
      <c r="D225" s="16" t="str">
        <f>IFERROR(__xludf.DUMMYFUNCTION("""COMPUTED_VALUE"""),"")</f>
        <v/>
      </c>
      <c r="E225" s="16" t="str">
        <f>IFERROR(__xludf.DUMMYFUNCTION("""COMPUTED_VALUE"""),"")</f>
        <v/>
      </c>
      <c r="F225" s="16" t="str">
        <f>IFERROR(__xludf.DUMMYFUNCTION("""COMPUTED_VALUE"""),"")</f>
        <v/>
      </c>
      <c r="G225" s="16" t="str">
        <f>IFERROR(__xludf.DUMMYFUNCTION("""COMPUTED_VALUE"""),"")</f>
        <v/>
      </c>
      <c r="H225" s="16" t="str">
        <f>IFERROR(__xludf.DUMMYFUNCTION("""COMPUTED_VALUE"""),"")</f>
        <v/>
      </c>
      <c r="I225" s="16" t="str">
        <f>IFERROR(__xludf.DUMMYFUNCTION("""COMPUTED_VALUE"""),"")</f>
        <v/>
      </c>
      <c r="J225" s="16" t="str">
        <f>IFERROR(__xludf.DUMMYFUNCTION("""COMPUTED_VALUE"""),"")</f>
        <v/>
      </c>
      <c r="K225" s="16" t="str">
        <f>IFERROR(__xludf.DUMMYFUNCTION("""COMPUTED_VALUE"""),"")</f>
        <v/>
      </c>
      <c r="L225" s="16" t="str">
        <f>IFERROR(__xludf.DUMMYFUNCTION("""COMPUTED_VALUE"""),"")</f>
        <v/>
      </c>
      <c r="M225" s="16" t="str">
        <f>IFERROR(__xludf.DUMMYFUNCTION("""COMPUTED_VALUE"""),"")</f>
        <v/>
      </c>
      <c r="N225" s="16" t="str">
        <f>IFERROR(__xludf.DUMMYFUNCTION("""COMPUTED_VALUE"""),"")</f>
        <v/>
      </c>
      <c r="O225" s="16" t="str">
        <f>IFERROR(__xludf.DUMMYFUNCTION("""COMPUTED_VALUE"""),"")</f>
        <v/>
      </c>
      <c r="P225" s="16" t="str">
        <f>IFERROR(__xludf.DUMMYFUNCTION("""COMPUTED_VALUE"""),"")</f>
        <v/>
      </c>
      <c r="Q225" s="16" t="str">
        <f>IFERROR(__xludf.DUMMYFUNCTION("""COMPUTED_VALUE"""),"")</f>
        <v/>
      </c>
      <c r="R225" s="16" t="str">
        <f>IFERROR(__xludf.DUMMYFUNCTION("""COMPUTED_VALUE"""),"")</f>
        <v/>
      </c>
      <c r="S225" s="16" t="str">
        <f>IFERROR(__xludf.DUMMYFUNCTION("""COMPUTED_VALUE"""),"")</f>
        <v/>
      </c>
      <c r="T225" s="16" t="str">
        <f>IFERROR(__xludf.DUMMYFUNCTION("""COMPUTED_VALUE"""),"")</f>
        <v/>
      </c>
      <c r="U225" s="16" t="str">
        <f>IFERROR(__xludf.DUMMYFUNCTION("""COMPUTED_VALUE"""),"")</f>
        <v/>
      </c>
      <c r="V225" s="16" t="str">
        <f>IFERROR(__xludf.DUMMYFUNCTION("""COMPUTED_VALUE"""),"")</f>
        <v/>
      </c>
      <c r="W225" s="16" t="str">
        <f>IFERROR(__xludf.DUMMYFUNCTION("""COMPUTED_VALUE"""),"")</f>
        <v/>
      </c>
      <c r="X225" s="16" t="str">
        <f>IFERROR(__xludf.DUMMYFUNCTION("""COMPUTED_VALUE"""),"")</f>
        <v/>
      </c>
      <c r="Y225" s="16" t="str">
        <f>IFERROR(__xludf.DUMMYFUNCTION("""COMPUTED_VALUE"""),"")</f>
        <v/>
      </c>
      <c r="Z225" s="16"/>
      <c r="AA225" s="16"/>
      <c r="AB225" s="16"/>
      <c r="AC225" s="16"/>
      <c r="AD225" s="16"/>
      <c r="AE225" s="16"/>
      <c r="AF225" s="16"/>
      <c r="AG225" s="16"/>
      <c r="AH225" s="16"/>
      <c r="AI225" s="16"/>
      <c r="AJ225" s="16"/>
      <c r="AK225" s="16"/>
      <c r="AL225" s="16"/>
      <c r="AM225" s="16"/>
      <c r="AN225" s="16"/>
      <c r="AO225" s="16"/>
      <c r="AP225" s="16"/>
      <c r="AQ225" s="16"/>
      <c r="AR225" s="16"/>
      <c r="AS225" s="16"/>
      <c r="AT225" s="16"/>
      <c r="AU225" s="16"/>
      <c r="AV225" s="16"/>
      <c r="AW225" s="16"/>
      <c r="AX225" s="16"/>
    </row>
    <row r="226">
      <c r="A226" s="16"/>
      <c r="B226" s="16"/>
      <c r="C226" s="16" t="str">
        <f>IFERROR(__xludf.DUMMYFUNCTION("""COMPUTED_VALUE"""),"")</f>
        <v/>
      </c>
      <c r="D226" s="16" t="str">
        <f>IFERROR(__xludf.DUMMYFUNCTION("""COMPUTED_VALUE"""),"")</f>
        <v/>
      </c>
      <c r="E226" s="16" t="str">
        <f>IFERROR(__xludf.DUMMYFUNCTION("""COMPUTED_VALUE"""),"")</f>
        <v/>
      </c>
      <c r="F226" s="16" t="str">
        <f>IFERROR(__xludf.DUMMYFUNCTION("""COMPUTED_VALUE"""),"")</f>
        <v/>
      </c>
      <c r="G226" s="16" t="str">
        <f>IFERROR(__xludf.DUMMYFUNCTION("""COMPUTED_VALUE"""),"")</f>
        <v/>
      </c>
      <c r="H226" s="16" t="str">
        <f>IFERROR(__xludf.DUMMYFUNCTION("""COMPUTED_VALUE"""),"")</f>
        <v/>
      </c>
      <c r="I226" s="16" t="str">
        <f>IFERROR(__xludf.DUMMYFUNCTION("""COMPUTED_VALUE"""),"")</f>
        <v/>
      </c>
      <c r="J226" s="16" t="str">
        <f>IFERROR(__xludf.DUMMYFUNCTION("""COMPUTED_VALUE"""),"")</f>
        <v/>
      </c>
      <c r="K226" s="16" t="str">
        <f>IFERROR(__xludf.DUMMYFUNCTION("""COMPUTED_VALUE"""),"")</f>
        <v/>
      </c>
      <c r="L226" s="16" t="str">
        <f>IFERROR(__xludf.DUMMYFUNCTION("""COMPUTED_VALUE"""),"")</f>
        <v/>
      </c>
      <c r="M226" s="16" t="str">
        <f>IFERROR(__xludf.DUMMYFUNCTION("""COMPUTED_VALUE"""),"")</f>
        <v/>
      </c>
      <c r="N226" s="16" t="str">
        <f>IFERROR(__xludf.DUMMYFUNCTION("""COMPUTED_VALUE"""),"")</f>
        <v/>
      </c>
      <c r="O226" s="16" t="str">
        <f>IFERROR(__xludf.DUMMYFUNCTION("""COMPUTED_VALUE"""),"")</f>
        <v/>
      </c>
      <c r="P226" s="16" t="str">
        <f>IFERROR(__xludf.DUMMYFUNCTION("""COMPUTED_VALUE"""),"")</f>
        <v/>
      </c>
      <c r="Q226" s="16" t="str">
        <f>IFERROR(__xludf.DUMMYFUNCTION("""COMPUTED_VALUE"""),"")</f>
        <v/>
      </c>
      <c r="R226" s="16" t="str">
        <f>IFERROR(__xludf.DUMMYFUNCTION("""COMPUTED_VALUE"""),"")</f>
        <v/>
      </c>
      <c r="S226" s="16" t="str">
        <f>IFERROR(__xludf.DUMMYFUNCTION("""COMPUTED_VALUE"""),"")</f>
        <v/>
      </c>
      <c r="T226" s="16" t="str">
        <f>IFERROR(__xludf.DUMMYFUNCTION("""COMPUTED_VALUE"""),"")</f>
        <v/>
      </c>
      <c r="U226" s="16" t="str">
        <f>IFERROR(__xludf.DUMMYFUNCTION("""COMPUTED_VALUE"""),"")</f>
        <v/>
      </c>
      <c r="V226" s="16" t="str">
        <f>IFERROR(__xludf.DUMMYFUNCTION("""COMPUTED_VALUE"""),"")</f>
        <v/>
      </c>
      <c r="W226" s="16" t="str">
        <f>IFERROR(__xludf.DUMMYFUNCTION("""COMPUTED_VALUE"""),"")</f>
        <v/>
      </c>
      <c r="X226" s="16" t="str">
        <f>IFERROR(__xludf.DUMMYFUNCTION("""COMPUTED_VALUE"""),"")</f>
        <v/>
      </c>
      <c r="Y226" s="16" t="str">
        <f>IFERROR(__xludf.DUMMYFUNCTION("""COMPUTED_VALUE"""),"")</f>
        <v/>
      </c>
      <c r="Z226" s="16"/>
      <c r="AA226" s="16"/>
      <c r="AB226" s="16"/>
      <c r="AC226" s="16"/>
      <c r="AD226" s="16"/>
      <c r="AE226" s="16"/>
      <c r="AF226" s="16"/>
      <c r="AG226" s="16"/>
      <c r="AH226" s="16"/>
      <c r="AI226" s="16"/>
      <c r="AJ226" s="16"/>
      <c r="AK226" s="16"/>
      <c r="AL226" s="16"/>
      <c r="AM226" s="16"/>
      <c r="AN226" s="16"/>
      <c r="AO226" s="16"/>
      <c r="AP226" s="16"/>
      <c r="AQ226" s="16"/>
      <c r="AR226" s="16"/>
      <c r="AS226" s="16"/>
      <c r="AT226" s="16"/>
      <c r="AU226" s="16"/>
      <c r="AV226" s="16"/>
      <c r="AW226" s="16"/>
      <c r="AX226" s="16"/>
    </row>
    <row r="227">
      <c r="A227" s="16"/>
      <c r="B227" s="16"/>
      <c r="C227" s="16" t="str">
        <f>IFERROR(__xludf.DUMMYFUNCTION("""COMPUTED_VALUE"""),"")</f>
        <v/>
      </c>
      <c r="D227" s="16" t="str">
        <f>IFERROR(__xludf.DUMMYFUNCTION("""COMPUTED_VALUE"""),"")</f>
        <v/>
      </c>
      <c r="E227" s="16" t="str">
        <f>IFERROR(__xludf.DUMMYFUNCTION("""COMPUTED_VALUE"""),"")</f>
        <v/>
      </c>
      <c r="F227" s="16" t="str">
        <f>IFERROR(__xludf.DUMMYFUNCTION("""COMPUTED_VALUE"""),"")</f>
        <v/>
      </c>
      <c r="G227" s="16" t="str">
        <f>IFERROR(__xludf.DUMMYFUNCTION("""COMPUTED_VALUE"""),"")</f>
        <v/>
      </c>
      <c r="H227" s="16" t="str">
        <f>IFERROR(__xludf.DUMMYFUNCTION("""COMPUTED_VALUE"""),"")</f>
        <v/>
      </c>
      <c r="I227" s="16" t="str">
        <f>IFERROR(__xludf.DUMMYFUNCTION("""COMPUTED_VALUE"""),"")</f>
        <v/>
      </c>
      <c r="J227" s="16" t="str">
        <f>IFERROR(__xludf.DUMMYFUNCTION("""COMPUTED_VALUE"""),"")</f>
        <v/>
      </c>
      <c r="K227" s="16" t="str">
        <f>IFERROR(__xludf.DUMMYFUNCTION("""COMPUTED_VALUE"""),"")</f>
        <v/>
      </c>
      <c r="L227" s="16" t="str">
        <f>IFERROR(__xludf.DUMMYFUNCTION("""COMPUTED_VALUE"""),"")</f>
        <v/>
      </c>
      <c r="M227" s="16" t="str">
        <f>IFERROR(__xludf.DUMMYFUNCTION("""COMPUTED_VALUE"""),"")</f>
        <v/>
      </c>
      <c r="N227" s="16" t="str">
        <f>IFERROR(__xludf.DUMMYFUNCTION("""COMPUTED_VALUE"""),"")</f>
        <v/>
      </c>
      <c r="O227" s="16" t="str">
        <f>IFERROR(__xludf.DUMMYFUNCTION("""COMPUTED_VALUE"""),"")</f>
        <v/>
      </c>
      <c r="P227" s="16" t="str">
        <f>IFERROR(__xludf.DUMMYFUNCTION("""COMPUTED_VALUE"""),"")</f>
        <v/>
      </c>
      <c r="Q227" s="16" t="str">
        <f>IFERROR(__xludf.DUMMYFUNCTION("""COMPUTED_VALUE"""),"")</f>
        <v/>
      </c>
      <c r="R227" s="16" t="str">
        <f>IFERROR(__xludf.DUMMYFUNCTION("""COMPUTED_VALUE"""),"")</f>
        <v/>
      </c>
      <c r="S227" s="16" t="str">
        <f>IFERROR(__xludf.DUMMYFUNCTION("""COMPUTED_VALUE"""),"")</f>
        <v/>
      </c>
      <c r="T227" s="16" t="str">
        <f>IFERROR(__xludf.DUMMYFUNCTION("""COMPUTED_VALUE"""),"")</f>
        <v/>
      </c>
      <c r="U227" s="16" t="str">
        <f>IFERROR(__xludf.DUMMYFUNCTION("""COMPUTED_VALUE"""),"")</f>
        <v/>
      </c>
      <c r="V227" s="16" t="str">
        <f>IFERROR(__xludf.DUMMYFUNCTION("""COMPUTED_VALUE"""),"")</f>
        <v/>
      </c>
      <c r="W227" s="16" t="str">
        <f>IFERROR(__xludf.DUMMYFUNCTION("""COMPUTED_VALUE"""),"")</f>
        <v/>
      </c>
      <c r="X227" s="16" t="str">
        <f>IFERROR(__xludf.DUMMYFUNCTION("""COMPUTED_VALUE"""),"")</f>
        <v/>
      </c>
      <c r="Y227" s="16" t="str">
        <f>IFERROR(__xludf.DUMMYFUNCTION("""COMPUTED_VALUE"""),"")</f>
        <v/>
      </c>
      <c r="Z227" s="16"/>
      <c r="AA227" s="16"/>
      <c r="AB227" s="16"/>
      <c r="AC227" s="16"/>
      <c r="AD227" s="16"/>
      <c r="AE227" s="16"/>
      <c r="AF227" s="16"/>
      <c r="AG227" s="16"/>
      <c r="AH227" s="16"/>
      <c r="AI227" s="16"/>
      <c r="AJ227" s="16"/>
      <c r="AK227" s="16"/>
      <c r="AL227" s="16"/>
      <c r="AM227" s="16"/>
      <c r="AN227" s="16"/>
      <c r="AO227" s="16"/>
      <c r="AP227" s="16"/>
      <c r="AQ227" s="16"/>
      <c r="AR227" s="16"/>
      <c r="AS227" s="16"/>
      <c r="AT227" s="16"/>
      <c r="AU227" s="16"/>
      <c r="AV227" s="16"/>
      <c r="AW227" s="16"/>
      <c r="AX227" s="16"/>
    </row>
    <row r="228">
      <c r="A228" s="16"/>
      <c r="B228" s="16"/>
      <c r="C228" s="16" t="str">
        <f>IFERROR(__xludf.DUMMYFUNCTION("""COMPUTED_VALUE"""),"")</f>
        <v/>
      </c>
      <c r="D228" s="16" t="str">
        <f>IFERROR(__xludf.DUMMYFUNCTION("""COMPUTED_VALUE"""),"")</f>
        <v/>
      </c>
      <c r="E228" s="16" t="str">
        <f>IFERROR(__xludf.DUMMYFUNCTION("""COMPUTED_VALUE"""),"")</f>
        <v/>
      </c>
      <c r="F228" s="16" t="str">
        <f>IFERROR(__xludf.DUMMYFUNCTION("""COMPUTED_VALUE"""),"")</f>
        <v/>
      </c>
      <c r="G228" s="16" t="str">
        <f>IFERROR(__xludf.DUMMYFUNCTION("""COMPUTED_VALUE"""),"")</f>
        <v/>
      </c>
      <c r="H228" s="16" t="str">
        <f>IFERROR(__xludf.DUMMYFUNCTION("""COMPUTED_VALUE"""),"")</f>
        <v/>
      </c>
      <c r="I228" s="16" t="str">
        <f>IFERROR(__xludf.DUMMYFUNCTION("""COMPUTED_VALUE"""),"")</f>
        <v/>
      </c>
      <c r="J228" s="16" t="str">
        <f>IFERROR(__xludf.DUMMYFUNCTION("""COMPUTED_VALUE"""),"")</f>
        <v/>
      </c>
      <c r="K228" s="16" t="str">
        <f>IFERROR(__xludf.DUMMYFUNCTION("""COMPUTED_VALUE"""),"")</f>
        <v/>
      </c>
      <c r="L228" s="16" t="str">
        <f>IFERROR(__xludf.DUMMYFUNCTION("""COMPUTED_VALUE"""),"")</f>
        <v/>
      </c>
      <c r="M228" s="16" t="str">
        <f>IFERROR(__xludf.DUMMYFUNCTION("""COMPUTED_VALUE"""),"")</f>
        <v/>
      </c>
      <c r="N228" s="16" t="str">
        <f>IFERROR(__xludf.DUMMYFUNCTION("""COMPUTED_VALUE"""),"")</f>
        <v/>
      </c>
      <c r="O228" s="16" t="str">
        <f>IFERROR(__xludf.DUMMYFUNCTION("""COMPUTED_VALUE"""),"")</f>
        <v/>
      </c>
      <c r="P228" s="16" t="str">
        <f>IFERROR(__xludf.DUMMYFUNCTION("""COMPUTED_VALUE"""),"")</f>
        <v/>
      </c>
      <c r="Q228" s="16" t="str">
        <f>IFERROR(__xludf.DUMMYFUNCTION("""COMPUTED_VALUE"""),"")</f>
        <v/>
      </c>
      <c r="R228" s="16" t="str">
        <f>IFERROR(__xludf.DUMMYFUNCTION("""COMPUTED_VALUE"""),"")</f>
        <v/>
      </c>
      <c r="S228" s="16" t="str">
        <f>IFERROR(__xludf.DUMMYFUNCTION("""COMPUTED_VALUE"""),"")</f>
        <v/>
      </c>
      <c r="T228" s="16" t="str">
        <f>IFERROR(__xludf.DUMMYFUNCTION("""COMPUTED_VALUE"""),"")</f>
        <v/>
      </c>
      <c r="U228" s="16" t="str">
        <f>IFERROR(__xludf.DUMMYFUNCTION("""COMPUTED_VALUE"""),"")</f>
        <v/>
      </c>
      <c r="V228" s="16" t="str">
        <f>IFERROR(__xludf.DUMMYFUNCTION("""COMPUTED_VALUE"""),"")</f>
        <v/>
      </c>
      <c r="W228" s="16" t="str">
        <f>IFERROR(__xludf.DUMMYFUNCTION("""COMPUTED_VALUE"""),"")</f>
        <v/>
      </c>
      <c r="X228" s="16" t="str">
        <f>IFERROR(__xludf.DUMMYFUNCTION("""COMPUTED_VALUE"""),"")</f>
        <v/>
      </c>
      <c r="Y228" s="16" t="str">
        <f>IFERROR(__xludf.DUMMYFUNCTION("""COMPUTED_VALUE"""),"")</f>
        <v/>
      </c>
      <c r="Z228" s="16"/>
      <c r="AA228" s="16"/>
      <c r="AB228" s="16"/>
      <c r="AC228" s="16"/>
      <c r="AD228" s="16"/>
      <c r="AE228" s="16"/>
      <c r="AF228" s="16"/>
      <c r="AG228" s="16"/>
      <c r="AH228" s="16"/>
      <c r="AI228" s="16"/>
      <c r="AJ228" s="16"/>
      <c r="AK228" s="16"/>
      <c r="AL228" s="16"/>
      <c r="AM228" s="16"/>
      <c r="AN228" s="16"/>
      <c r="AO228" s="16"/>
      <c r="AP228" s="16"/>
      <c r="AQ228" s="16"/>
      <c r="AR228" s="16"/>
      <c r="AS228" s="16"/>
      <c r="AT228" s="16"/>
      <c r="AU228" s="16"/>
      <c r="AV228" s="16"/>
      <c r="AW228" s="16"/>
      <c r="AX228" s="16"/>
    </row>
    <row r="229">
      <c r="A229" s="16"/>
      <c r="B229" s="16"/>
      <c r="C229" s="16" t="str">
        <f>IFERROR(__xludf.DUMMYFUNCTION("""COMPUTED_VALUE"""),"")</f>
        <v/>
      </c>
      <c r="D229" s="16" t="str">
        <f>IFERROR(__xludf.DUMMYFUNCTION("""COMPUTED_VALUE"""),"")</f>
        <v/>
      </c>
      <c r="E229" s="16" t="str">
        <f>IFERROR(__xludf.DUMMYFUNCTION("""COMPUTED_VALUE"""),"")</f>
        <v/>
      </c>
      <c r="F229" s="16" t="str">
        <f>IFERROR(__xludf.DUMMYFUNCTION("""COMPUTED_VALUE"""),"")</f>
        <v/>
      </c>
      <c r="G229" s="16" t="str">
        <f>IFERROR(__xludf.DUMMYFUNCTION("""COMPUTED_VALUE"""),"")</f>
        <v/>
      </c>
      <c r="H229" s="16" t="str">
        <f>IFERROR(__xludf.DUMMYFUNCTION("""COMPUTED_VALUE"""),"")</f>
        <v/>
      </c>
      <c r="I229" s="16" t="str">
        <f>IFERROR(__xludf.DUMMYFUNCTION("""COMPUTED_VALUE"""),"")</f>
        <v/>
      </c>
      <c r="J229" s="16" t="str">
        <f>IFERROR(__xludf.DUMMYFUNCTION("""COMPUTED_VALUE"""),"")</f>
        <v/>
      </c>
      <c r="K229" s="16" t="str">
        <f>IFERROR(__xludf.DUMMYFUNCTION("""COMPUTED_VALUE"""),"")</f>
        <v/>
      </c>
      <c r="L229" s="16" t="str">
        <f>IFERROR(__xludf.DUMMYFUNCTION("""COMPUTED_VALUE"""),"")</f>
        <v/>
      </c>
      <c r="M229" s="16" t="str">
        <f>IFERROR(__xludf.DUMMYFUNCTION("""COMPUTED_VALUE"""),"")</f>
        <v/>
      </c>
      <c r="N229" s="16" t="str">
        <f>IFERROR(__xludf.DUMMYFUNCTION("""COMPUTED_VALUE"""),"")</f>
        <v/>
      </c>
      <c r="O229" s="16" t="str">
        <f>IFERROR(__xludf.DUMMYFUNCTION("""COMPUTED_VALUE"""),"")</f>
        <v/>
      </c>
      <c r="P229" s="16" t="str">
        <f>IFERROR(__xludf.DUMMYFUNCTION("""COMPUTED_VALUE"""),"")</f>
        <v/>
      </c>
      <c r="Q229" s="16" t="str">
        <f>IFERROR(__xludf.DUMMYFUNCTION("""COMPUTED_VALUE"""),"")</f>
        <v/>
      </c>
      <c r="R229" s="16" t="str">
        <f>IFERROR(__xludf.DUMMYFUNCTION("""COMPUTED_VALUE"""),"")</f>
        <v/>
      </c>
      <c r="S229" s="16" t="str">
        <f>IFERROR(__xludf.DUMMYFUNCTION("""COMPUTED_VALUE"""),"")</f>
        <v/>
      </c>
      <c r="T229" s="16" t="str">
        <f>IFERROR(__xludf.DUMMYFUNCTION("""COMPUTED_VALUE"""),"")</f>
        <v/>
      </c>
      <c r="U229" s="16" t="str">
        <f>IFERROR(__xludf.DUMMYFUNCTION("""COMPUTED_VALUE"""),"")</f>
        <v/>
      </c>
      <c r="V229" s="16" t="str">
        <f>IFERROR(__xludf.DUMMYFUNCTION("""COMPUTED_VALUE"""),"")</f>
        <v/>
      </c>
      <c r="W229" s="16" t="str">
        <f>IFERROR(__xludf.DUMMYFUNCTION("""COMPUTED_VALUE"""),"")</f>
        <v/>
      </c>
      <c r="X229" s="16" t="str">
        <f>IFERROR(__xludf.DUMMYFUNCTION("""COMPUTED_VALUE"""),"")</f>
        <v/>
      </c>
      <c r="Y229" s="16" t="str">
        <f>IFERROR(__xludf.DUMMYFUNCTION("""COMPUTED_VALUE"""),"")</f>
        <v/>
      </c>
      <c r="Z229" s="16"/>
      <c r="AA229" s="16"/>
      <c r="AB229" s="16"/>
      <c r="AC229" s="16"/>
      <c r="AD229" s="16"/>
      <c r="AE229" s="16"/>
      <c r="AF229" s="16"/>
      <c r="AG229" s="16"/>
      <c r="AH229" s="16"/>
      <c r="AI229" s="16"/>
      <c r="AJ229" s="16"/>
      <c r="AK229" s="16"/>
      <c r="AL229" s="16"/>
      <c r="AM229" s="16"/>
      <c r="AN229" s="16"/>
      <c r="AO229" s="16"/>
      <c r="AP229" s="16"/>
      <c r="AQ229" s="16"/>
      <c r="AR229" s="16"/>
      <c r="AS229" s="16"/>
      <c r="AT229" s="16"/>
      <c r="AU229" s="16"/>
      <c r="AV229" s="16"/>
      <c r="AW229" s="16"/>
      <c r="AX229" s="16"/>
    </row>
    <row r="230">
      <c r="A230" s="16"/>
      <c r="B230" s="16"/>
      <c r="C230" s="16" t="str">
        <f>IFERROR(__xludf.DUMMYFUNCTION("""COMPUTED_VALUE"""),"")</f>
        <v/>
      </c>
      <c r="D230" s="16" t="str">
        <f>IFERROR(__xludf.DUMMYFUNCTION("""COMPUTED_VALUE"""),"")</f>
        <v/>
      </c>
      <c r="E230" s="16" t="str">
        <f>IFERROR(__xludf.DUMMYFUNCTION("""COMPUTED_VALUE"""),"")</f>
        <v/>
      </c>
      <c r="F230" s="16" t="str">
        <f>IFERROR(__xludf.DUMMYFUNCTION("""COMPUTED_VALUE"""),"")</f>
        <v/>
      </c>
      <c r="G230" s="16" t="str">
        <f>IFERROR(__xludf.DUMMYFUNCTION("""COMPUTED_VALUE"""),"")</f>
        <v/>
      </c>
      <c r="H230" s="16" t="str">
        <f>IFERROR(__xludf.DUMMYFUNCTION("""COMPUTED_VALUE"""),"")</f>
        <v/>
      </c>
      <c r="I230" s="16" t="str">
        <f>IFERROR(__xludf.DUMMYFUNCTION("""COMPUTED_VALUE"""),"")</f>
        <v/>
      </c>
      <c r="J230" s="16" t="str">
        <f>IFERROR(__xludf.DUMMYFUNCTION("""COMPUTED_VALUE"""),"")</f>
        <v/>
      </c>
      <c r="K230" s="16" t="str">
        <f>IFERROR(__xludf.DUMMYFUNCTION("""COMPUTED_VALUE"""),"")</f>
        <v/>
      </c>
      <c r="L230" s="16" t="str">
        <f>IFERROR(__xludf.DUMMYFUNCTION("""COMPUTED_VALUE"""),"")</f>
        <v/>
      </c>
      <c r="M230" s="16" t="str">
        <f>IFERROR(__xludf.DUMMYFUNCTION("""COMPUTED_VALUE"""),"")</f>
        <v/>
      </c>
      <c r="N230" s="16" t="str">
        <f>IFERROR(__xludf.DUMMYFUNCTION("""COMPUTED_VALUE"""),"")</f>
        <v/>
      </c>
      <c r="O230" s="16" t="str">
        <f>IFERROR(__xludf.DUMMYFUNCTION("""COMPUTED_VALUE"""),"")</f>
        <v/>
      </c>
      <c r="P230" s="16" t="str">
        <f>IFERROR(__xludf.DUMMYFUNCTION("""COMPUTED_VALUE"""),"")</f>
        <v/>
      </c>
      <c r="Q230" s="16" t="str">
        <f>IFERROR(__xludf.DUMMYFUNCTION("""COMPUTED_VALUE"""),"")</f>
        <v/>
      </c>
      <c r="R230" s="16" t="str">
        <f>IFERROR(__xludf.DUMMYFUNCTION("""COMPUTED_VALUE"""),"")</f>
        <v/>
      </c>
      <c r="S230" s="16" t="str">
        <f>IFERROR(__xludf.DUMMYFUNCTION("""COMPUTED_VALUE"""),"")</f>
        <v/>
      </c>
      <c r="T230" s="16" t="str">
        <f>IFERROR(__xludf.DUMMYFUNCTION("""COMPUTED_VALUE"""),"")</f>
        <v/>
      </c>
      <c r="U230" s="16" t="str">
        <f>IFERROR(__xludf.DUMMYFUNCTION("""COMPUTED_VALUE"""),"")</f>
        <v/>
      </c>
      <c r="V230" s="16" t="str">
        <f>IFERROR(__xludf.DUMMYFUNCTION("""COMPUTED_VALUE"""),"")</f>
        <v/>
      </c>
      <c r="W230" s="16" t="str">
        <f>IFERROR(__xludf.DUMMYFUNCTION("""COMPUTED_VALUE"""),"")</f>
        <v/>
      </c>
      <c r="X230" s="16" t="str">
        <f>IFERROR(__xludf.DUMMYFUNCTION("""COMPUTED_VALUE"""),"")</f>
        <v/>
      </c>
      <c r="Y230" s="16" t="str">
        <f>IFERROR(__xludf.DUMMYFUNCTION("""COMPUTED_VALUE"""),"")</f>
        <v/>
      </c>
      <c r="Z230" s="16"/>
      <c r="AA230" s="16"/>
      <c r="AB230" s="16"/>
      <c r="AC230" s="16"/>
      <c r="AD230" s="16"/>
      <c r="AE230" s="16"/>
      <c r="AF230" s="16"/>
      <c r="AG230" s="16"/>
      <c r="AH230" s="16"/>
      <c r="AI230" s="16"/>
      <c r="AJ230" s="16"/>
      <c r="AK230" s="16"/>
      <c r="AL230" s="16"/>
      <c r="AM230" s="16"/>
      <c r="AN230" s="16"/>
      <c r="AO230" s="16"/>
      <c r="AP230" s="16"/>
      <c r="AQ230" s="16"/>
      <c r="AR230" s="16"/>
      <c r="AS230" s="16"/>
      <c r="AT230" s="16"/>
      <c r="AU230" s="16"/>
      <c r="AV230" s="16"/>
      <c r="AW230" s="16"/>
      <c r="AX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c r="AA231" s="16"/>
      <c r="AB231" s="16"/>
      <c r="AC231" s="16"/>
      <c r="AD231" s="16"/>
      <c r="AE231" s="16"/>
      <c r="AF231" s="16"/>
      <c r="AG231" s="16"/>
      <c r="AH231" s="16"/>
      <c r="AI231" s="16"/>
      <c r="AJ231" s="16"/>
      <c r="AK231" s="16"/>
      <c r="AL231" s="16"/>
      <c r="AM231" s="16"/>
      <c r="AN231" s="16"/>
      <c r="AO231" s="16"/>
      <c r="AP231" s="16"/>
      <c r="AQ231" s="16"/>
      <c r="AR231" s="16"/>
      <c r="AS231" s="16"/>
      <c r="AT231" s="16"/>
      <c r="AU231" s="16"/>
      <c r="AV231" s="16"/>
      <c r="AW231" s="16"/>
      <c r="AX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c r="AA258" s="16"/>
      <c r="AB258" s="16"/>
      <c r="AC258" s="16"/>
      <c r="AD258" s="16"/>
      <c r="AE258" s="16"/>
      <c r="AF258" s="16"/>
      <c r="AG258" s="16"/>
      <c r="AH258" s="16"/>
      <c r="AI258" s="16"/>
      <c r="AJ258" s="16"/>
      <c r="AK258" s="16"/>
      <c r="AL258" s="16"/>
      <c r="AM258" s="16"/>
      <c r="AN258" s="16"/>
      <c r="AO258" s="16"/>
      <c r="AP258" s="16"/>
      <c r="AQ258" s="16"/>
      <c r="AR258" s="16"/>
      <c r="AS258" s="16"/>
      <c r="AT258" s="16"/>
      <c r="AU258" s="16"/>
      <c r="AV258" s="16"/>
      <c r="AW258" s="16"/>
      <c r="AX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c r="AH274" s="16"/>
      <c r="AI274" s="16"/>
      <c r="AJ274" s="16"/>
      <c r="AK274" s="16"/>
      <c r="AL274" s="16"/>
      <c r="AM274" s="16"/>
      <c r="AN274" s="16"/>
      <c r="AO274" s="16"/>
      <c r="AP274" s="16"/>
      <c r="AQ274" s="16"/>
      <c r="AR274" s="16"/>
      <c r="AS274" s="16"/>
      <c r="AT274" s="16"/>
      <c r="AU274" s="16"/>
      <c r="AV274" s="16"/>
      <c r="AW274" s="16"/>
      <c r="AX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c r="AG275" s="16"/>
      <c r="AH275" s="16"/>
      <c r="AI275" s="16"/>
      <c r="AJ275" s="16"/>
      <c r="AK275" s="16"/>
      <c r="AL275" s="16"/>
      <c r="AM275" s="16"/>
      <c r="AN275" s="16"/>
      <c r="AO275" s="16"/>
      <c r="AP275" s="16"/>
      <c r="AQ275" s="16"/>
      <c r="AR275" s="16"/>
      <c r="AS275" s="16"/>
      <c r="AT275" s="16"/>
      <c r="AU275" s="16"/>
      <c r="AV275" s="16"/>
      <c r="AW275" s="16"/>
      <c r="AX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c r="AH276" s="16"/>
      <c r="AI276" s="16"/>
      <c r="AJ276" s="16"/>
      <c r="AK276" s="16"/>
      <c r="AL276" s="16"/>
      <c r="AM276" s="16"/>
      <c r="AN276" s="16"/>
      <c r="AO276" s="16"/>
      <c r="AP276" s="16"/>
      <c r="AQ276" s="16"/>
      <c r="AR276" s="16"/>
      <c r="AS276" s="16"/>
      <c r="AT276" s="16"/>
      <c r="AU276" s="16"/>
      <c r="AV276" s="16"/>
      <c r="AW276" s="16"/>
      <c r="AX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c r="AA277" s="16"/>
      <c r="AB277" s="16"/>
      <c r="AC277" s="16"/>
      <c r="AD277" s="16"/>
      <c r="AE277" s="16"/>
      <c r="AF277" s="16"/>
      <c r="AG277" s="16"/>
      <c r="AH277" s="16"/>
      <c r="AI277" s="16"/>
      <c r="AJ277" s="16"/>
      <c r="AK277" s="16"/>
      <c r="AL277" s="16"/>
      <c r="AM277" s="16"/>
      <c r="AN277" s="16"/>
      <c r="AO277" s="16"/>
      <c r="AP277" s="16"/>
      <c r="AQ277" s="16"/>
      <c r="AR277" s="16"/>
      <c r="AS277" s="16"/>
      <c r="AT277" s="16"/>
      <c r="AU277" s="16"/>
      <c r="AV277" s="16"/>
      <c r="AW277" s="16"/>
      <c r="AX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c r="AG278" s="16"/>
      <c r="AH278" s="16"/>
      <c r="AI278" s="16"/>
      <c r="AJ278" s="16"/>
      <c r="AK278" s="16"/>
      <c r="AL278" s="16"/>
      <c r="AM278" s="16"/>
      <c r="AN278" s="16"/>
      <c r="AO278" s="16"/>
      <c r="AP278" s="16"/>
      <c r="AQ278" s="16"/>
      <c r="AR278" s="16"/>
      <c r="AS278" s="16"/>
      <c r="AT278" s="16"/>
      <c r="AU278" s="16"/>
      <c r="AV278" s="16"/>
      <c r="AW278" s="16"/>
      <c r="AX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c r="AA279" s="16"/>
      <c r="AB279" s="16"/>
      <c r="AC279" s="16"/>
      <c r="AD279" s="16"/>
      <c r="AE279" s="16"/>
      <c r="AF279" s="16"/>
      <c r="AG279" s="16"/>
      <c r="AH279" s="16"/>
      <c r="AI279" s="16"/>
      <c r="AJ279" s="16"/>
      <c r="AK279" s="16"/>
      <c r="AL279" s="16"/>
      <c r="AM279" s="16"/>
      <c r="AN279" s="16"/>
      <c r="AO279" s="16"/>
      <c r="AP279" s="16"/>
      <c r="AQ279" s="16"/>
      <c r="AR279" s="16"/>
      <c r="AS279" s="16"/>
      <c r="AT279" s="16"/>
      <c r="AU279" s="16"/>
      <c r="AV279" s="16"/>
      <c r="AW279" s="16"/>
      <c r="AX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c r="AA280" s="16"/>
      <c r="AB280" s="16"/>
      <c r="AC280" s="16"/>
      <c r="AD280" s="16"/>
      <c r="AE280" s="16"/>
      <c r="AF280" s="16"/>
      <c r="AG280" s="16"/>
      <c r="AH280" s="16"/>
      <c r="AI280" s="16"/>
      <c r="AJ280" s="16"/>
      <c r="AK280" s="16"/>
      <c r="AL280" s="16"/>
      <c r="AM280" s="16"/>
      <c r="AN280" s="16"/>
      <c r="AO280" s="16"/>
      <c r="AP280" s="16"/>
      <c r="AQ280" s="16"/>
      <c r="AR280" s="16"/>
      <c r="AS280" s="16"/>
      <c r="AT280" s="16"/>
      <c r="AU280" s="16"/>
      <c r="AV280" s="16"/>
      <c r="AW280" s="16"/>
      <c r="AX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c r="AG281" s="16"/>
      <c r="AH281" s="16"/>
      <c r="AI281" s="16"/>
      <c r="AJ281" s="16"/>
      <c r="AK281" s="16"/>
      <c r="AL281" s="16"/>
      <c r="AM281" s="16"/>
      <c r="AN281" s="16"/>
      <c r="AO281" s="16"/>
      <c r="AP281" s="16"/>
      <c r="AQ281" s="16"/>
      <c r="AR281" s="16"/>
      <c r="AS281" s="16"/>
      <c r="AT281" s="16"/>
      <c r="AU281" s="16"/>
      <c r="AV281" s="16"/>
      <c r="AW281" s="16"/>
      <c r="AX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c r="AG282" s="16"/>
      <c r="AH282" s="16"/>
      <c r="AI282" s="16"/>
      <c r="AJ282" s="16"/>
      <c r="AK282" s="16"/>
      <c r="AL282" s="16"/>
      <c r="AM282" s="16"/>
      <c r="AN282" s="16"/>
      <c r="AO282" s="16"/>
      <c r="AP282" s="16"/>
      <c r="AQ282" s="16"/>
      <c r="AR282" s="16"/>
      <c r="AS282" s="16"/>
      <c r="AT282" s="16"/>
      <c r="AU282" s="16"/>
      <c r="AV282" s="16"/>
      <c r="AW282" s="16"/>
      <c r="AX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c r="AA283" s="16"/>
      <c r="AB283" s="16"/>
      <c r="AC283" s="16"/>
      <c r="AD283" s="16"/>
      <c r="AE283" s="16"/>
      <c r="AF283" s="16"/>
      <c r="AG283" s="16"/>
      <c r="AH283" s="16"/>
      <c r="AI283" s="16"/>
      <c r="AJ283" s="16"/>
      <c r="AK283" s="16"/>
      <c r="AL283" s="16"/>
      <c r="AM283" s="16"/>
      <c r="AN283" s="16"/>
      <c r="AO283" s="16"/>
      <c r="AP283" s="16"/>
      <c r="AQ283" s="16"/>
      <c r="AR283" s="16"/>
      <c r="AS283" s="16"/>
      <c r="AT283" s="16"/>
      <c r="AU283" s="16"/>
      <c r="AV283" s="16"/>
      <c r="AW283" s="16"/>
      <c r="AX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c r="AA297" s="16"/>
      <c r="AB297" s="16"/>
      <c r="AC297" s="16"/>
      <c r="AD297" s="16"/>
      <c r="AE297" s="16"/>
      <c r="AF297" s="16"/>
      <c r="AG297" s="16"/>
      <c r="AH297" s="16"/>
      <c r="AI297" s="16"/>
      <c r="AJ297" s="16"/>
      <c r="AK297" s="16"/>
      <c r="AL297" s="16"/>
      <c r="AM297" s="16"/>
      <c r="AN297" s="16"/>
      <c r="AO297" s="16"/>
      <c r="AP297" s="16"/>
      <c r="AQ297" s="16"/>
      <c r="AR297" s="16"/>
      <c r="AS297" s="16"/>
      <c r="AT297" s="16"/>
      <c r="AU297" s="16"/>
      <c r="AV297" s="16"/>
      <c r="AW297" s="16"/>
      <c r="AX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c r="AC298" s="16"/>
      <c r="AD298" s="16"/>
      <c r="AE298" s="16"/>
      <c r="AF298" s="16"/>
      <c r="AG298" s="16"/>
      <c r="AH298" s="16"/>
      <c r="AI298" s="16"/>
      <c r="AJ298" s="16"/>
      <c r="AK298" s="16"/>
      <c r="AL298" s="16"/>
      <c r="AM298" s="16"/>
      <c r="AN298" s="16"/>
      <c r="AO298" s="16"/>
      <c r="AP298" s="16"/>
      <c r="AQ298" s="16"/>
      <c r="AR298" s="16"/>
      <c r="AS298" s="16"/>
      <c r="AT298" s="16"/>
      <c r="AU298" s="16"/>
      <c r="AV298" s="16"/>
      <c r="AW298" s="16"/>
      <c r="AX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c r="AC299" s="16"/>
      <c r="AD299" s="16"/>
      <c r="AE299" s="16"/>
      <c r="AF299" s="16"/>
      <c r="AG299" s="16"/>
      <c r="AH299" s="16"/>
      <c r="AI299" s="16"/>
      <c r="AJ299" s="16"/>
      <c r="AK299" s="16"/>
      <c r="AL299" s="16"/>
      <c r="AM299" s="16"/>
      <c r="AN299" s="16"/>
      <c r="AO299" s="16"/>
      <c r="AP299" s="16"/>
      <c r="AQ299" s="16"/>
      <c r="AR299" s="16"/>
      <c r="AS299" s="16"/>
      <c r="AT299" s="16"/>
      <c r="AU299" s="16"/>
      <c r="AV299" s="16"/>
      <c r="AW299" s="16"/>
      <c r="AX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c r="AC300" s="16"/>
      <c r="AD300" s="16"/>
      <c r="AE300" s="16"/>
      <c r="AF300" s="16"/>
      <c r="AG300" s="16"/>
      <c r="AH300" s="16"/>
      <c r="AI300" s="16"/>
      <c r="AJ300" s="16"/>
      <c r="AK300" s="16"/>
      <c r="AL300" s="16"/>
      <c r="AM300" s="16"/>
      <c r="AN300" s="16"/>
      <c r="AO300" s="16"/>
      <c r="AP300" s="16"/>
      <c r="AQ300" s="16"/>
      <c r="AR300" s="16"/>
      <c r="AS300" s="16"/>
      <c r="AT300" s="16"/>
      <c r="AU300" s="16"/>
      <c r="AV300" s="16"/>
      <c r="AW300" s="16"/>
      <c r="AX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c r="AC301" s="16"/>
      <c r="AD301" s="16"/>
      <c r="AE301" s="16"/>
      <c r="AF301" s="16"/>
      <c r="AG301" s="16"/>
      <c r="AH301" s="16"/>
      <c r="AI301" s="16"/>
      <c r="AJ301" s="16"/>
      <c r="AK301" s="16"/>
      <c r="AL301" s="16"/>
      <c r="AM301" s="16"/>
      <c r="AN301" s="16"/>
      <c r="AO301" s="16"/>
      <c r="AP301" s="16"/>
      <c r="AQ301" s="16"/>
      <c r="AR301" s="16"/>
      <c r="AS301" s="16"/>
      <c r="AT301" s="16"/>
      <c r="AU301" s="16"/>
      <c r="AV301" s="16"/>
      <c r="AW301" s="16"/>
      <c r="AX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c r="AC302" s="16"/>
      <c r="AD302" s="16"/>
      <c r="AE302" s="16"/>
      <c r="AF302" s="16"/>
      <c r="AG302" s="16"/>
      <c r="AH302" s="16"/>
      <c r="AI302" s="16"/>
      <c r="AJ302" s="16"/>
      <c r="AK302" s="16"/>
      <c r="AL302" s="16"/>
      <c r="AM302" s="16"/>
      <c r="AN302" s="16"/>
      <c r="AO302" s="16"/>
      <c r="AP302" s="16"/>
      <c r="AQ302" s="16"/>
      <c r="AR302" s="16"/>
      <c r="AS302" s="16"/>
      <c r="AT302" s="16"/>
      <c r="AU302" s="16"/>
      <c r="AV302" s="16"/>
      <c r="AW302" s="16"/>
      <c r="AX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c r="AC303" s="16"/>
      <c r="AD303" s="16"/>
      <c r="AE303" s="16"/>
      <c r="AF303" s="16"/>
      <c r="AG303" s="16"/>
      <c r="AH303" s="16"/>
      <c r="AI303" s="16"/>
      <c r="AJ303" s="16"/>
      <c r="AK303" s="16"/>
      <c r="AL303" s="16"/>
      <c r="AM303" s="16"/>
      <c r="AN303" s="16"/>
      <c r="AO303" s="16"/>
      <c r="AP303" s="16"/>
      <c r="AQ303" s="16"/>
      <c r="AR303" s="16"/>
      <c r="AS303" s="16"/>
      <c r="AT303" s="16"/>
      <c r="AU303" s="16"/>
      <c r="AV303" s="16"/>
      <c r="AW303" s="16"/>
      <c r="AX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c r="AC304" s="16"/>
      <c r="AD304" s="16"/>
      <c r="AE304" s="16"/>
      <c r="AF304" s="16"/>
      <c r="AG304" s="16"/>
      <c r="AH304" s="16"/>
      <c r="AI304" s="16"/>
      <c r="AJ304" s="16"/>
      <c r="AK304" s="16"/>
      <c r="AL304" s="16"/>
      <c r="AM304" s="16"/>
      <c r="AN304" s="16"/>
      <c r="AO304" s="16"/>
      <c r="AP304" s="16"/>
      <c r="AQ304" s="16"/>
      <c r="AR304" s="16"/>
      <c r="AS304" s="16"/>
      <c r="AT304" s="16"/>
      <c r="AU304" s="16"/>
      <c r="AV304" s="16"/>
      <c r="AW304" s="16"/>
      <c r="AX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c r="AC305" s="16"/>
      <c r="AD305" s="16"/>
      <c r="AE305" s="16"/>
      <c r="AF305" s="16"/>
      <c r="AG305" s="16"/>
      <c r="AH305" s="16"/>
      <c r="AI305" s="16"/>
      <c r="AJ305" s="16"/>
      <c r="AK305" s="16"/>
      <c r="AL305" s="16"/>
      <c r="AM305" s="16"/>
      <c r="AN305" s="16"/>
      <c r="AO305" s="16"/>
      <c r="AP305" s="16"/>
      <c r="AQ305" s="16"/>
      <c r="AR305" s="16"/>
      <c r="AS305" s="16"/>
      <c r="AT305" s="16"/>
      <c r="AU305" s="16"/>
      <c r="AV305" s="16"/>
      <c r="AW305" s="16"/>
      <c r="AX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c r="AI306" s="16"/>
      <c r="AJ306" s="16"/>
      <c r="AK306" s="16"/>
      <c r="AL306" s="16"/>
      <c r="AM306" s="16"/>
      <c r="AN306" s="16"/>
      <c r="AO306" s="16"/>
      <c r="AP306" s="16"/>
      <c r="AQ306" s="16"/>
      <c r="AR306" s="16"/>
      <c r="AS306" s="16"/>
      <c r="AT306" s="16"/>
      <c r="AU306" s="16"/>
      <c r="AV306" s="16"/>
      <c r="AW306" s="16"/>
      <c r="AX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c r="AI307" s="16"/>
      <c r="AJ307" s="16"/>
      <c r="AK307" s="16"/>
      <c r="AL307" s="16"/>
      <c r="AM307" s="16"/>
      <c r="AN307" s="16"/>
      <c r="AO307" s="16"/>
      <c r="AP307" s="16"/>
      <c r="AQ307" s="16"/>
      <c r="AR307" s="16"/>
      <c r="AS307" s="16"/>
      <c r="AT307" s="16"/>
      <c r="AU307" s="16"/>
      <c r="AV307" s="16"/>
      <c r="AW307" s="16"/>
      <c r="AX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c r="AI308" s="16"/>
      <c r="AJ308" s="16"/>
      <c r="AK308" s="16"/>
      <c r="AL308" s="16"/>
      <c r="AM308" s="16"/>
      <c r="AN308" s="16"/>
      <c r="AO308" s="16"/>
      <c r="AP308" s="16"/>
      <c r="AQ308" s="16"/>
      <c r="AR308" s="16"/>
      <c r="AS308" s="16"/>
      <c r="AT308" s="16"/>
      <c r="AU308" s="16"/>
      <c r="AV308" s="16"/>
      <c r="AW308" s="16"/>
      <c r="AX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c r="AI309" s="16"/>
      <c r="AJ309" s="16"/>
      <c r="AK309" s="16"/>
      <c r="AL309" s="16"/>
      <c r="AM309" s="16"/>
      <c r="AN309" s="16"/>
      <c r="AO309" s="16"/>
      <c r="AP309" s="16"/>
      <c r="AQ309" s="16"/>
      <c r="AR309" s="16"/>
      <c r="AS309" s="16"/>
      <c r="AT309" s="16"/>
      <c r="AU309" s="16"/>
      <c r="AV309" s="16"/>
      <c r="AW309" s="16"/>
      <c r="AX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c r="AI310" s="16"/>
      <c r="AJ310" s="16"/>
      <c r="AK310" s="16"/>
      <c r="AL310" s="16"/>
      <c r="AM310" s="16"/>
      <c r="AN310" s="16"/>
      <c r="AO310" s="16"/>
      <c r="AP310" s="16"/>
      <c r="AQ310" s="16"/>
      <c r="AR310" s="16"/>
      <c r="AS310" s="16"/>
      <c r="AT310" s="16"/>
      <c r="AU310" s="16"/>
      <c r="AV310" s="16"/>
      <c r="AW310" s="16"/>
      <c r="AX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c r="AI311" s="16"/>
      <c r="AJ311" s="16"/>
      <c r="AK311" s="16"/>
      <c r="AL311" s="16"/>
      <c r="AM311" s="16"/>
      <c r="AN311" s="16"/>
      <c r="AO311" s="16"/>
      <c r="AP311" s="16"/>
      <c r="AQ311" s="16"/>
      <c r="AR311" s="16"/>
      <c r="AS311" s="16"/>
      <c r="AT311" s="16"/>
      <c r="AU311" s="16"/>
      <c r="AV311" s="16"/>
      <c r="AW311" s="16"/>
      <c r="AX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c r="AI312" s="16"/>
      <c r="AJ312" s="16"/>
      <c r="AK312" s="16"/>
      <c r="AL312" s="16"/>
      <c r="AM312" s="16"/>
      <c r="AN312" s="16"/>
      <c r="AO312" s="16"/>
      <c r="AP312" s="16"/>
      <c r="AQ312" s="16"/>
      <c r="AR312" s="16"/>
      <c r="AS312" s="16"/>
      <c r="AT312" s="16"/>
      <c r="AU312" s="16"/>
      <c r="AV312" s="16"/>
      <c r="AW312" s="16"/>
      <c r="AX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c r="AI313" s="16"/>
      <c r="AJ313" s="16"/>
      <c r="AK313" s="16"/>
      <c r="AL313" s="16"/>
      <c r="AM313" s="16"/>
      <c r="AN313" s="16"/>
      <c r="AO313" s="16"/>
      <c r="AP313" s="16"/>
      <c r="AQ313" s="16"/>
      <c r="AR313" s="16"/>
      <c r="AS313" s="16"/>
      <c r="AT313" s="16"/>
      <c r="AU313" s="16"/>
      <c r="AV313" s="16"/>
      <c r="AW313" s="16"/>
      <c r="AX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c r="AI314" s="16"/>
      <c r="AJ314" s="16"/>
      <c r="AK314" s="16"/>
      <c r="AL314" s="16"/>
      <c r="AM314" s="16"/>
      <c r="AN314" s="16"/>
      <c r="AO314" s="16"/>
      <c r="AP314" s="16"/>
      <c r="AQ314" s="16"/>
      <c r="AR314" s="16"/>
      <c r="AS314" s="16"/>
      <c r="AT314" s="16"/>
      <c r="AU314" s="16"/>
      <c r="AV314" s="16"/>
      <c r="AW314" s="16"/>
      <c r="AX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c r="AI315" s="16"/>
      <c r="AJ315" s="16"/>
      <c r="AK315" s="16"/>
      <c r="AL315" s="16"/>
      <c r="AM315" s="16"/>
      <c r="AN315" s="16"/>
      <c r="AO315" s="16"/>
      <c r="AP315" s="16"/>
      <c r="AQ315" s="16"/>
      <c r="AR315" s="16"/>
      <c r="AS315" s="16"/>
      <c r="AT315" s="16"/>
      <c r="AU315" s="16"/>
      <c r="AV315" s="16"/>
      <c r="AW315" s="16"/>
      <c r="AX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c r="AI316" s="16"/>
      <c r="AJ316" s="16"/>
      <c r="AK316" s="16"/>
      <c r="AL316" s="16"/>
      <c r="AM316" s="16"/>
      <c r="AN316" s="16"/>
      <c r="AO316" s="16"/>
      <c r="AP316" s="16"/>
      <c r="AQ316" s="16"/>
      <c r="AR316" s="16"/>
      <c r="AS316" s="16"/>
      <c r="AT316" s="16"/>
      <c r="AU316" s="16"/>
      <c r="AV316" s="16"/>
      <c r="AW316" s="16"/>
      <c r="AX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c r="AI317" s="16"/>
      <c r="AJ317" s="16"/>
      <c r="AK317" s="16"/>
      <c r="AL317" s="16"/>
      <c r="AM317" s="16"/>
      <c r="AN317" s="16"/>
      <c r="AO317" s="16"/>
      <c r="AP317" s="16"/>
      <c r="AQ317" s="16"/>
      <c r="AR317" s="16"/>
      <c r="AS317" s="16"/>
      <c r="AT317" s="16"/>
      <c r="AU317" s="16"/>
      <c r="AV317" s="16"/>
      <c r="AW317" s="16"/>
      <c r="AX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c r="AI318" s="16"/>
      <c r="AJ318" s="16"/>
      <c r="AK318" s="16"/>
      <c r="AL318" s="16"/>
      <c r="AM318" s="16"/>
      <c r="AN318" s="16"/>
      <c r="AO318" s="16"/>
      <c r="AP318" s="16"/>
      <c r="AQ318" s="16"/>
      <c r="AR318" s="16"/>
      <c r="AS318" s="16"/>
      <c r="AT318" s="16"/>
      <c r="AU318" s="16"/>
      <c r="AV318" s="16"/>
      <c r="AW318" s="16"/>
      <c r="AX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c r="AI319" s="16"/>
      <c r="AJ319" s="16"/>
      <c r="AK319" s="16"/>
      <c r="AL319" s="16"/>
      <c r="AM319" s="16"/>
      <c r="AN319" s="16"/>
      <c r="AO319" s="16"/>
      <c r="AP319" s="16"/>
      <c r="AQ319" s="16"/>
      <c r="AR319" s="16"/>
      <c r="AS319" s="16"/>
      <c r="AT319" s="16"/>
      <c r="AU319" s="16"/>
      <c r="AV319" s="16"/>
      <c r="AW319" s="16"/>
      <c r="AX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c r="AI320" s="16"/>
      <c r="AJ320" s="16"/>
      <c r="AK320" s="16"/>
      <c r="AL320" s="16"/>
      <c r="AM320" s="16"/>
      <c r="AN320" s="16"/>
      <c r="AO320" s="16"/>
      <c r="AP320" s="16"/>
      <c r="AQ320" s="16"/>
      <c r="AR320" s="16"/>
      <c r="AS320" s="16"/>
      <c r="AT320" s="16"/>
      <c r="AU320" s="16"/>
      <c r="AV320" s="16"/>
      <c r="AW320" s="16"/>
      <c r="AX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c r="AI321" s="16"/>
      <c r="AJ321" s="16"/>
      <c r="AK321" s="16"/>
      <c r="AL321" s="16"/>
      <c r="AM321" s="16"/>
      <c r="AN321" s="16"/>
      <c r="AO321" s="16"/>
      <c r="AP321" s="16"/>
      <c r="AQ321" s="16"/>
      <c r="AR321" s="16"/>
      <c r="AS321" s="16"/>
      <c r="AT321" s="16"/>
      <c r="AU321" s="16"/>
      <c r="AV321" s="16"/>
      <c r="AW321" s="16"/>
      <c r="AX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c r="AI322" s="16"/>
      <c r="AJ322" s="16"/>
      <c r="AK322" s="16"/>
      <c r="AL322" s="16"/>
      <c r="AM322" s="16"/>
      <c r="AN322" s="16"/>
      <c r="AO322" s="16"/>
      <c r="AP322" s="16"/>
      <c r="AQ322" s="16"/>
      <c r="AR322" s="16"/>
      <c r="AS322" s="16"/>
      <c r="AT322" s="16"/>
      <c r="AU322" s="16"/>
      <c r="AV322" s="16"/>
      <c r="AW322" s="16"/>
      <c r="AX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c r="AI323" s="16"/>
      <c r="AJ323" s="16"/>
      <c r="AK323" s="16"/>
      <c r="AL323" s="16"/>
      <c r="AM323" s="16"/>
      <c r="AN323" s="16"/>
      <c r="AO323" s="16"/>
      <c r="AP323" s="16"/>
      <c r="AQ323" s="16"/>
      <c r="AR323" s="16"/>
      <c r="AS323" s="16"/>
      <c r="AT323" s="16"/>
      <c r="AU323" s="16"/>
      <c r="AV323" s="16"/>
      <c r="AW323" s="16"/>
      <c r="AX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c r="AI324" s="16"/>
      <c r="AJ324" s="16"/>
      <c r="AK324" s="16"/>
      <c r="AL324" s="16"/>
      <c r="AM324" s="16"/>
      <c r="AN324" s="16"/>
      <c r="AO324" s="16"/>
      <c r="AP324" s="16"/>
      <c r="AQ324" s="16"/>
      <c r="AR324" s="16"/>
      <c r="AS324" s="16"/>
      <c r="AT324" s="16"/>
      <c r="AU324" s="16"/>
      <c r="AV324" s="16"/>
      <c r="AW324" s="16"/>
      <c r="AX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c r="AG325" s="16"/>
      <c r="AH325" s="16"/>
      <c r="AI325" s="16"/>
      <c r="AJ325" s="16"/>
      <c r="AK325" s="16"/>
      <c r="AL325" s="16"/>
      <c r="AM325" s="16"/>
      <c r="AN325" s="16"/>
      <c r="AO325" s="16"/>
      <c r="AP325" s="16"/>
      <c r="AQ325" s="16"/>
      <c r="AR325" s="16"/>
      <c r="AS325" s="16"/>
      <c r="AT325" s="16"/>
      <c r="AU325" s="16"/>
      <c r="AV325" s="16"/>
      <c r="AW325" s="16"/>
      <c r="AX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c r="AA326" s="16"/>
      <c r="AB326" s="16"/>
      <c r="AC326" s="16"/>
      <c r="AD326" s="16"/>
      <c r="AE326" s="16"/>
      <c r="AF326" s="16"/>
      <c r="AG326" s="16"/>
      <c r="AH326" s="16"/>
      <c r="AI326" s="16"/>
      <c r="AJ326" s="16"/>
      <c r="AK326" s="16"/>
      <c r="AL326" s="16"/>
      <c r="AM326" s="16"/>
      <c r="AN326" s="16"/>
      <c r="AO326" s="16"/>
      <c r="AP326" s="16"/>
      <c r="AQ326" s="16"/>
      <c r="AR326" s="16"/>
      <c r="AS326" s="16"/>
      <c r="AT326" s="16"/>
      <c r="AU326" s="16"/>
      <c r="AV326" s="16"/>
      <c r="AW326" s="16"/>
      <c r="AX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c r="AH327" s="16"/>
      <c r="AI327" s="16"/>
      <c r="AJ327" s="16"/>
      <c r="AK327" s="16"/>
      <c r="AL327" s="16"/>
      <c r="AM327" s="16"/>
      <c r="AN327" s="16"/>
      <c r="AO327" s="16"/>
      <c r="AP327" s="16"/>
      <c r="AQ327" s="16"/>
      <c r="AR327" s="16"/>
      <c r="AS327" s="16"/>
      <c r="AT327" s="16"/>
      <c r="AU327" s="16"/>
      <c r="AV327" s="16"/>
      <c r="AW327" s="16"/>
      <c r="AX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c r="AA328" s="16"/>
      <c r="AB328" s="16"/>
      <c r="AC328" s="16"/>
      <c r="AD328" s="16"/>
      <c r="AE328" s="16"/>
      <c r="AF328" s="16"/>
      <c r="AG328" s="16"/>
      <c r="AH328" s="16"/>
      <c r="AI328" s="16"/>
      <c r="AJ328" s="16"/>
      <c r="AK328" s="16"/>
      <c r="AL328" s="16"/>
      <c r="AM328" s="16"/>
      <c r="AN328" s="16"/>
      <c r="AO328" s="16"/>
      <c r="AP328" s="16"/>
      <c r="AQ328" s="16"/>
      <c r="AR328" s="16"/>
      <c r="AS328" s="16"/>
      <c r="AT328" s="16"/>
      <c r="AU328" s="16"/>
      <c r="AV328" s="16"/>
      <c r="AW328" s="16"/>
      <c r="AX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c r="AA329" s="16"/>
      <c r="AB329" s="16"/>
      <c r="AC329" s="16"/>
      <c r="AD329" s="16"/>
      <c r="AE329" s="16"/>
      <c r="AF329" s="16"/>
      <c r="AG329" s="16"/>
      <c r="AH329" s="16"/>
      <c r="AI329" s="16"/>
      <c r="AJ329" s="16"/>
      <c r="AK329" s="16"/>
      <c r="AL329" s="16"/>
      <c r="AM329" s="16"/>
      <c r="AN329" s="16"/>
      <c r="AO329" s="16"/>
      <c r="AP329" s="16"/>
      <c r="AQ329" s="16"/>
      <c r="AR329" s="16"/>
      <c r="AS329" s="16"/>
      <c r="AT329" s="16"/>
      <c r="AU329" s="16"/>
      <c r="AV329" s="16"/>
      <c r="AW329" s="16"/>
      <c r="AX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c r="AG330" s="16"/>
      <c r="AH330" s="16"/>
      <c r="AI330" s="16"/>
      <c r="AJ330" s="16"/>
      <c r="AK330" s="16"/>
      <c r="AL330" s="16"/>
      <c r="AM330" s="16"/>
      <c r="AN330" s="16"/>
      <c r="AO330" s="16"/>
      <c r="AP330" s="16"/>
      <c r="AQ330" s="16"/>
      <c r="AR330" s="16"/>
      <c r="AS330" s="16"/>
      <c r="AT330" s="16"/>
      <c r="AU330" s="16"/>
      <c r="AV330" s="16"/>
      <c r="AW330" s="16"/>
      <c r="AX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c r="AG331" s="16"/>
      <c r="AH331" s="16"/>
      <c r="AI331" s="16"/>
      <c r="AJ331" s="16"/>
      <c r="AK331" s="16"/>
      <c r="AL331" s="16"/>
      <c r="AM331" s="16"/>
      <c r="AN331" s="16"/>
      <c r="AO331" s="16"/>
      <c r="AP331" s="16"/>
      <c r="AQ331" s="16"/>
      <c r="AR331" s="16"/>
      <c r="AS331" s="16"/>
      <c r="AT331" s="16"/>
      <c r="AU331" s="16"/>
      <c r="AV331" s="16"/>
      <c r="AW331" s="16"/>
      <c r="AX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c r="AH332" s="16"/>
      <c r="AI332" s="16"/>
      <c r="AJ332" s="16"/>
      <c r="AK332" s="16"/>
      <c r="AL332" s="16"/>
      <c r="AM332" s="16"/>
      <c r="AN332" s="16"/>
      <c r="AO332" s="16"/>
      <c r="AP332" s="16"/>
      <c r="AQ332" s="16"/>
      <c r="AR332" s="16"/>
      <c r="AS332" s="16"/>
      <c r="AT332" s="16"/>
      <c r="AU332" s="16"/>
      <c r="AV332" s="16"/>
      <c r="AW332" s="16"/>
      <c r="AX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c r="AH333" s="16"/>
      <c r="AI333" s="16"/>
      <c r="AJ333" s="16"/>
      <c r="AK333" s="16"/>
      <c r="AL333" s="16"/>
      <c r="AM333" s="16"/>
      <c r="AN333" s="16"/>
      <c r="AO333" s="16"/>
      <c r="AP333" s="16"/>
      <c r="AQ333" s="16"/>
      <c r="AR333" s="16"/>
      <c r="AS333" s="16"/>
      <c r="AT333" s="16"/>
      <c r="AU333" s="16"/>
      <c r="AV333" s="16"/>
      <c r="AW333" s="16"/>
      <c r="AX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c r="AH334" s="16"/>
      <c r="AI334" s="16"/>
      <c r="AJ334" s="16"/>
      <c r="AK334" s="16"/>
      <c r="AL334" s="16"/>
      <c r="AM334" s="16"/>
      <c r="AN334" s="16"/>
      <c r="AO334" s="16"/>
      <c r="AP334" s="16"/>
      <c r="AQ334" s="16"/>
      <c r="AR334" s="16"/>
      <c r="AS334" s="16"/>
      <c r="AT334" s="16"/>
      <c r="AU334" s="16"/>
      <c r="AV334" s="16"/>
      <c r="AW334" s="16"/>
      <c r="AX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c r="AA335" s="16"/>
      <c r="AB335" s="16"/>
      <c r="AC335" s="16"/>
      <c r="AD335" s="16"/>
      <c r="AE335" s="16"/>
      <c r="AF335" s="16"/>
      <c r="AG335" s="16"/>
      <c r="AH335" s="16"/>
      <c r="AI335" s="16"/>
      <c r="AJ335" s="16"/>
      <c r="AK335" s="16"/>
      <c r="AL335" s="16"/>
      <c r="AM335" s="16"/>
      <c r="AN335" s="16"/>
      <c r="AO335" s="16"/>
      <c r="AP335" s="16"/>
      <c r="AQ335" s="16"/>
      <c r="AR335" s="16"/>
      <c r="AS335" s="16"/>
      <c r="AT335" s="16"/>
      <c r="AU335" s="16"/>
      <c r="AV335" s="16"/>
      <c r="AW335" s="16"/>
      <c r="AX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c r="AA336" s="16"/>
      <c r="AB336" s="16"/>
      <c r="AC336" s="16"/>
      <c r="AD336" s="16"/>
      <c r="AE336" s="16"/>
      <c r="AF336" s="16"/>
      <c r="AG336" s="16"/>
      <c r="AH336" s="16"/>
      <c r="AI336" s="16"/>
      <c r="AJ336" s="16"/>
      <c r="AK336" s="16"/>
      <c r="AL336" s="16"/>
      <c r="AM336" s="16"/>
      <c r="AN336" s="16"/>
      <c r="AO336" s="16"/>
      <c r="AP336" s="16"/>
      <c r="AQ336" s="16"/>
      <c r="AR336" s="16"/>
      <c r="AS336" s="16"/>
      <c r="AT336" s="16"/>
      <c r="AU336" s="16"/>
      <c r="AV336" s="16"/>
      <c r="AW336" s="16"/>
      <c r="AX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c r="AA337" s="16"/>
      <c r="AB337" s="16"/>
      <c r="AC337" s="16"/>
      <c r="AD337" s="16"/>
      <c r="AE337" s="16"/>
      <c r="AF337" s="16"/>
      <c r="AG337" s="16"/>
      <c r="AH337" s="16"/>
      <c r="AI337" s="16"/>
      <c r="AJ337" s="16"/>
      <c r="AK337" s="16"/>
      <c r="AL337" s="16"/>
      <c r="AM337" s="16"/>
      <c r="AN337" s="16"/>
      <c r="AO337" s="16"/>
      <c r="AP337" s="16"/>
      <c r="AQ337" s="16"/>
      <c r="AR337" s="16"/>
      <c r="AS337" s="16"/>
      <c r="AT337" s="16"/>
      <c r="AU337" s="16"/>
      <c r="AV337" s="16"/>
      <c r="AW337" s="16"/>
      <c r="AX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c r="AH352" s="16"/>
      <c r="AI352" s="16"/>
      <c r="AJ352" s="16"/>
      <c r="AK352" s="16"/>
      <c r="AL352" s="16"/>
      <c r="AM352" s="16"/>
      <c r="AN352" s="16"/>
      <c r="AO352" s="16"/>
      <c r="AP352" s="16"/>
      <c r="AQ352" s="16"/>
      <c r="AR352" s="16"/>
      <c r="AS352" s="16"/>
      <c r="AT352" s="16"/>
      <c r="AU352" s="16"/>
      <c r="AV352" s="16"/>
      <c r="AW352" s="16"/>
      <c r="AX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c r="AA353" s="16"/>
      <c r="AB353" s="16"/>
      <c r="AC353" s="16"/>
      <c r="AD353" s="16"/>
      <c r="AE353" s="16"/>
      <c r="AF353" s="16"/>
      <c r="AG353" s="16"/>
      <c r="AH353" s="16"/>
      <c r="AI353" s="16"/>
      <c r="AJ353" s="16"/>
      <c r="AK353" s="16"/>
      <c r="AL353" s="16"/>
      <c r="AM353" s="16"/>
      <c r="AN353" s="16"/>
      <c r="AO353" s="16"/>
      <c r="AP353" s="16"/>
      <c r="AQ353" s="16"/>
      <c r="AR353" s="16"/>
      <c r="AS353" s="16"/>
      <c r="AT353" s="16"/>
      <c r="AU353" s="16"/>
      <c r="AV353" s="16"/>
      <c r="AW353" s="16"/>
      <c r="AX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c r="AG354" s="16"/>
      <c r="AH354" s="16"/>
      <c r="AI354" s="16"/>
      <c r="AJ354" s="16"/>
      <c r="AK354" s="16"/>
      <c r="AL354" s="16"/>
      <c r="AM354" s="16"/>
      <c r="AN354" s="16"/>
      <c r="AO354" s="16"/>
      <c r="AP354" s="16"/>
      <c r="AQ354" s="16"/>
      <c r="AR354" s="16"/>
      <c r="AS354" s="16"/>
      <c r="AT354" s="16"/>
      <c r="AU354" s="16"/>
      <c r="AV354" s="16"/>
      <c r="AW354" s="16"/>
      <c r="AX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c r="AG355" s="16"/>
      <c r="AH355" s="16"/>
      <c r="AI355" s="16"/>
      <c r="AJ355" s="16"/>
      <c r="AK355" s="16"/>
      <c r="AL355" s="16"/>
      <c r="AM355" s="16"/>
      <c r="AN355" s="16"/>
      <c r="AO355" s="16"/>
      <c r="AP355" s="16"/>
      <c r="AQ355" s="16"/>
      <c r="AR355" s="16"/>
      <c r="AS355" s="16"/>
      <c r="AT355" s="16"/>
      <c r="AU355" s="16"/>
      <c r="AV355" s="16"/>
      <c r="AW355" s="16"/>
      <c r="AX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c r="AG356" s="16"/>
      <c r="AH356" s="16"/>
      <c r="AI356" s="16"/>
      <c r="AJ356" s="16"/>
      <c r="AK356" s="16"/>
      <c r="AL356" s="16"/>
      <c r="AM356" s="16"/>
      <c r="AN356" s="16"/>
      <c r="AO356" s="16"/>
      <c r="AP356" s="16"/>
      <c r="AQ356" s="16"/>
      <c r="AR356" s="16"/>
      <c r="AS356" s="16"/>
      <c r="AT356" s="16"/>
      <c r="AU356" s="16"/>
      <c r="AV356" s="16"/>
      <c r="AW356" s="16"/>
      <c r="AX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c r="AA357" s="16"/>
      <c r="AB357" s="16"/>
      <c r="AC357" s="16"/>
      <c r="AD357" s="16"/>
      <c r="AE357" s="16"/>
      <c r="AF357" s="16"/>
      <c r="AG357" s="16"/>
      <c r="AH357" s="16"/>
      <c r="AI357" s="16"/>
      <c r="AJ357" s="16"/>
      <c r="AK357" s="16"/>
      <c r="AL357" s="16"/>
      <c r="AM357" s="16"/>
      <c r="AN357" s="16"/>
      <c r="AO357" s="16"/>
      <c r="AP357" s="16"/>
      <c r="AQ357" s="16"/>
      <c r="AR357" s="16"/>
      <c r="AS357" s="16"/>
      <c r="AT357" s="16"/>
      <c r="AU357" s="16"/>
      <c r="AV357" s="16"/>
      <c r="AW357" s="16"/>
      <c r="AX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c r="AA358" s="16"/>
      <c r="AB358" s="16"/>
      <c r="AC358" s="16"/>
      <c r="AD358" s="16"/>
      <c r="AE358" s="16"/>
      <c r="AF358" s="16"/>
      <c r="AG358" s="16"/>
      <c r="AH358" s="16"/>
      <c r="AI358" s="16"/>
      <c r="AJ358" s="16"/>
      <c r="AK358" s="16"/>
      <c r="AL358" s="16"/>
      <c r="AM358" s="16"/>
      <c r="AN358" s="16"/>
      <c r="AO358" s="16"/>
      <c r="AP358" s="16"/>
      <c r="AQ358" s="16"/>
      <c r="AR358" s="16"/>
      <c r="AS358" s="16"/>
      <c r="AT358" s="16"/>
      <c r="AU358" s="16"/>
      <c r="AV358" s="16"/>
      <c r="AW358" s="16"/>
      <c r="AX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c r="AA359" s="16"/>
      <c r="AB359" s="16"/>
      <c r="AC359" s="16"/>
      <c r="AD359" s="16"/>
      <c r="AE359" s="16"/>
      <c r="AF359" s="16"/>
      <c r="AG359" s="16"/>
      <c r="AH359" s="16"/>
      <c r="AI359" s="16"/>
      <c r="AJ359" s="16"/>
      <c r="AK359" s="16"/>
      <c r="AL359" s="16"/>
      <c r="AM359" s="16"/>
      <c r="AN359" s="16"/>
      <c r="AO359" s="16"/>
      <c r="AP359" s="16"/>
      <c r="AQ359" s="16"/>
      <c r="AR359" s="16"/>
      <c r="AS359" s="16"/>
      <c r="AT359" s="16"/>
      <c r="AU359" s="16"/>
      <c r="AV359" s="16"/>
      <c r="AW359" s="16"/>
      <c r="AX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c r="AA360" s="16"/>
      <c r="AB360" s="16"/>
      <c r="AC360" s="16"/>
      <c r="AD360" s="16"/>
      <c r="AE360" s="16"/>
      <c r="AF360" s="16"/>
      <c r="AG360" s="16"/>
      <c r="AH360" s="16"/>
      <c r="AI360" s="16"/>
      <c r="AJ360" s="16"/>
      <c r="AK360" s="16"/>
      <c r="AL360" s="16"/>
      <c r="AM360" s="16"/>
      <c r="AN360" s="16"/>
      <c r="AO360" s="16"/>
      <c r="AP360" s="16"/>
      <c r="AQ360" s="16"/>
      <c r="AR360" s="16"/>
      <c r="AS360" s="16"/>
      <c r="AT360" s="16"/>
      <c r="AU360" s="16"/>
      <c r="AV360" s="16"/>
      <c r="AW360" s="16"/>
      <c r="AX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c r="AA361" s="16"/>
      <c r="AB361" s="16"/>
      <c r="AC361" s="16"/>
      <c r="AD361" s="16"/>
      <c r="AE361" s="16"/>
      <c r="AF361" s="16"/>
      <c r="AG361" s="16"/>
      <c r="AH361" s="16"/>
      <c r="AI361" s="16"/>
      <c r="AJ361" s="16"/>
      <c r="AK361" s="16"/>
      <c r="AL361" s="16"/>
      <c r="AM361" s="16"/>
      <c r="AN361" s="16"/>
      <c r="AO361" s="16"/>
      <c r="AP361" s="16"/>
      <c r="AQ361" s="16"/>
      <c r="AR361" s="16"/>
      <c r="AS361" s="16"/>
      <c r="AT361" s="16"/>
      <c r="AU361" s="16"/>
      <c r="AV361" s="16"/>
      <c r="AW361" s="16"/>
      <c r="AX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c r="AA362" s="16"/>
      <c r="AB362" s="16"/>
      <c r="AC362" s="16"/>
      <c r="AD362" s="16"/>
      <c r="AE362" s="16"/>
      <c r="AF362" s="16"/>
      <c r="AG362" s="16"/>
      <c r="AH362" s="16"/>
      <c r="AI362" s="16"/>
      <c r="AJ362" s="16"/>
      <c r="AK362" s="16"/>
      <c r="AL362" s="16"/>
      <c r="AM362" s="16"/>
      <c r="AN362" s="16"/>
      <c r="AO362" s="16"/>
      <c r="AP362" s="16"/>
      <c r="AQ362" s="16"/>
      <c r="AR362" s="16"/>
      <c r="AS362" s="16"/>
      <c r="AT362" s="16"/>
      <c r="AU362" s="16"/>
      <c r="AV362" s="16"/>
      <c r="AW362" s="16"/>
      <c r="AX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c r="AA363" s="16"/>
      <c r="AB363" s="16"/>
      <c r="AC363" s="16"/>
      <c r="AD363" s="16"/>
      <c r="AE363" s="16"/>
      <c r="AF363" s="16"/>
      <c r="AG363" s="16"/>
      <c r="AH363" s="16"/>
      <c r="AI363" s="16"/>
      <c r="AJ363" s="16"/>
      <c r="AK363" s="16"/>
      <c r="AL363" s="16"/>
      <c r="AM363" s="16"/>
      <c r="AN363" s="16"/>
      <c r="AO363" s="16"/>
      <c r="AP363" s="16"/>
      <c r="AQ363" s="16"/>
      <c r="AR363" s="16"/>
      <c r="AS363" s="16"/>
      <c r="AT363" s="16"/>
      <c r="AU363" s="16"/>
      <c r="AV363" s="16"/>
      <c r="AW363" s="16"/>
      <c r="AX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c r="AA372" s="16"/>
      <c r="AB372" s="16"/>
      <c r="AC372" s="16"/>
      <c r="AD372" s="16"/>
      <c r="AE372" s="16"/>
      <c r="AF372" s="16"/>
      <c r="AG372" s="16"/>
      <c r="AH372" s="16"/>
      <c r="AI372" s="16"/>
      <c r="AJ372" s="16"/>
      <c r="AK372" s="16"/>
      <c r="AL372" s="16"/>
      <c r="AM372" s="16"/>
      <c r="AN372" s="16"/>
      <c r="AO372" s="16"/>
      <c r="AP372" s="16"/>
      <c r="AQ372" s="16"/>
      <c r="AR372" s="16"/>
      <c r="AS372" s="16"/>
      <c r="AT372" s="16"/>
      <c r="AU372" s="16"/>
      <c r="AV372" s="16"/>
      <c r="AW372" s="16"/>
      <c r="AX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c r="AA373" s="16"/>
      <c r="AB373" s="16"/>
      <c r="AC373" s="16"/>
      <c r="AD373" s="16"/>
      <c r="AE373" s="16"/>
      <c r="AF373" s="16"/>
      <c r="AG373" s="16"/>
      <c r="AH373" s="16"/>
      <c r="AI373" s="16"/>
      <c r="AJ373" s="16"/>
      <c r="AK373" s="16"/>
      <c r="AL373" s="16"/>
      <c r="AM373" s="16"/>
      <c r="AN373" s="16"/>
      <c r="AO373" s="16"/>
      <c r="AP373" s="16"/>
      <c r="AQ373" s="16"/>
      <c r="AR373" s="16"/>
      <c r="AS373" s="16"/>
      <c r="AT373" s="16"/>
      <c r="AU373" s="16"/>
      <c r="AV373" s="16"/>
      <c r="AW373" s="16"/>
      <c r="AX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c r="AA374" s="16"/>
      <c r="AB374" s="16"/>
      <c r="AC374" s="16"/>
      <c r="AD374" s="16"/>
      <c r="AE374" s="16"/>
      <c r="AF374" s="16"/>
      <c r="AG374" s="16"/>
      <c r="AH374" s="16"/>
      <c r="AI374" s="16"/>
      <c r="AJ374" s="16"/>
      <c r="AK374" s="16"/>
      <c r="AL374" s="16"/>
      <c r="AM374" s="16"/>
      <c r="AN374" s="16"/>
      <c r="AO374" s="16"/>
      <c r="AP374" s="16"/>
      <c r="AQ374" s="16"/>
      <c r="AR374" s="16"/>
      <c r="AS374" s="16"/>
      <c r="AT374" s="16"/>
      <c r="AU374" s="16"/>
      <c r="AV374" s="16"/>
      <c r="AW374" s="16"/>
      <c r="AX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c r="AA375" s="16"/>
      <c r="AB375" s="16"/>
      <c r="AC375" s="16"/>
      <c r="AD375" s="16"/>
      <c r="AE375" s="16"/>
      <c r="AF375" s="16"/>
      <c r="AG375" s="16"/>
      <c r="AH375" s="16"/>
      <c r="AI375" s="16"/>
      <c r="AJ375" s="16"/>
      <c r="AK375" s="16"/>
      <c r="AL375" s="16"/>
      <c r="AM375" s="16"/>
      <c r="AN375" s="16"/>
      <c r="AO375" s="16"/>
      <c r="AP375" s="16"/>
      <c r="AQ375" s="16"/>
      <c r="AR375" s="16"/>
      <c r="AS375" s="16"/>
      <c r="AT375" s="16"/>
      <c r="AU375" s="16"/>
      <c r="AV375" s="16"/>
      <c r="AW375" s="16"/>
      <c r="AX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c r="AA376" s="16"/>
      <c r="AB376" s="16"/>
      <c r="AC376" s="16"/>
      <c r="AD376" s="16"/>
      <c r="AE376" s="16"/>
      <c r="AF376" s="16"/>
      <c r="AG376" s="16"/>
      <c r="AH376" s="16"/>
      <c r="AI376" s="16"/>
      <c r="AJ376" s="16"/>
      <c r="AK376" s="16"/>
      <c r="AL376" s="16"/>
      <c r="AM376" s="16"/>
      <c r="AN376" s="16"/>
      <c r="AO376" s="16"/>
      <c r="AP376" s="16"/>
      <c r="AQ376" s="16"/>
      <c r="AR376" s="16"/>
      <c r="AS376" s="16"/>
      <c r="AT376" s="16"/>
      <c r="AU376" s="16"/>
      <c r="AV376" s="16"/>
      <c r="AW376" s="16"/>
      <c r="AX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c r="AA377" s="16"/>
      <c r="AB377" s="16"/>
      <c r="AC377" s="16"/>
      <c r="AD377" s="16"/>
      <c r="AE377" s="16"/>
      <c r="AF377" s="16"/>
      <c r="AG377" s="16"/>
      <c r="AH377" s="16"/>
      <c r="AI377" s="16"/>
      <c r="AJ377" s="16"/>
      <c r="AK377" s="16"/>
      <c r="AL377" s="16"/>
      <c r="AM377" s="16"/>
      <c r="AN377" s="16"/>
      <c r="AO377" s="16"/>
      <c r="AP377" s="16"/>
      <c r="AQ377" s="16"/>
      <c r="AR377" s="16"/>
      <c r="AS377" s="16"/>
      <c r="AT377" s="16"/>
      <c r="AU377" s="16"/>
      <c r="AV377" s="16"/>
      <c r="AW377" s="16"/>
      <c r="AX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c r="AA378" s="16"/>
      <c r="AB378" s="16"/>
      <c r="AC378" s="16"/>
      <c r="AD378" s="16"/>
      <c r="AE378" s="16"/>
      <c r="AF378" s="16"/>
      <c r="AG378" s="16"/>
      <c r="AH378" s="16"/>
      <c r="AI378" s="16"/>
      <c r="AJ378" s="16"/>
      <c r="AK378" s="16"/>
      <c r="AL378" s="16"/>
      <c r="AM378" s="16"/>
      <c r="AN378" s="16"/>
      <c r="AO378" s="16"/>
      <c r="AP378" s="16"/>
      <c r="AQ378" s="16"/>
      <c r="AR378" s="16"/>
      <c r="AS378" s="16"/>
      <c r="AT378" s="16"/>
      <c r="AU378" s="16"/>
      <c r="AV378" s="16"/>
      <c r="AW378" s="16"/>
      <c r="AX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c r="AA379" s="16"/>
      <c r="AB379" s="16"/>
      <c r="AC379" s="16"/>
      <c r="AD379" s="16"/>
      <c r="AE379" s="16"/>
      <c r="AF379" s="16"/>
      <c r="AG379" s="16"/>
      <c r="AH379" s="16"/>
      <c r="AI379" s="16"/>
      <c r="AJ379" s="16"/>
      <c r="AK379" s="16"/>
      <c r="AL379" s="16"/>
      <c r="AM379" s="16"/>
      <c r="AN379" s="16"/>
      <c r="AO379" s="16"/>
      <c r="AP379" s="16"/>
      <c r="AQ379" s="16"/>
      <c r="AR379" s="16"/>
      <c r="AS379" s="16"/>
      <c r="AT379" s="16"/>
      <c r="AU379" s="16"/>
      <c r="AV379" s="16"/>
      <c r="AW379" s="16"/>
      <c r="AX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c r="AA380" s="16"/>
      <c r="AB380" s="16"/>
      <c r="AC380" s="16"/>
      <c r="AD380" s="16"/>
      <c r="AE380" s="16"/>
      <c r="AF380" s="16"/>
      <c r="AG380" s="16"/>
      <c r="AH380" s="16"/>
      <c r="AI380" s="16"/>
      <c r="AJ380" s="16"/>
      <c r="AK380" s="16"/>
      <c r="AL380" s="16"/>
      <c r="AM380" s="16"/>
      <c r="AN380" s="16"/>
      <c r="AO380" s="16"/>
      <c r="AP380" s="16"/>
      <c r="AQ380" s="16"/>
      <c r="AR380" s="16"/>
      <c r="AS380" s="16"/>
      <c r="AT380" s="16"/>
      <c r="AU380" s="16"/>
      <c r="AV380" s="16"/>
      <c r="AW380" s="16"/>
      <c r="AX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c r="AA381" s="16"/>
      <c r="AB381" s="16"/>
      <c r="AC381" s="16"/>
      <c r="AD381" s="16"/>
      <c r="AE381" s="16"/>
      <c r="AF381" s="16"/>
      <c r="AG381" s="16"/>
      <c r="AH381" s="16"/>
      <c r="AI381" s="16"/>
      <c r="AJ381" s="16"/>
      <c r="AK381" s="16"/>
      <c r="AL381" s="16"/>
      <c r="AM381" s="16"/>
      <c r="AN381" s="16"/>
      <c r="AO381" s="16"/>
      <c r="AP381" s="16"/>
      <c r="AQ381" s="16"/>
      <c r="AR381" s="16"/>
      <c r="AS381" s="16"/>
      <c r="AT381" s="16"/>
      <c r="AU381" s="16"/>
      <c r="AV381" s="16"/>
      <c r="AW381" s="16"/>
      <c r="AX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c r="AA382" s="16"/>
      <c r="AB382" s="16"/>
      <c r="AC382" s="16"/>
      <c r="AD382" s="16"/>
      <c r="AE382" s="16"/>
      <c r="AF382" s="16"/>
      <c r="AG382" s="16"/>
      <c r="AH382" s="16"/>
      <c r="AI382" s="16"/>
      <c r="AJ382" s="16"/>
      <c r="AK382" s="16"/>
      <c r="AL382" s="16"/>
      <c r="AM382" s="16"/>
      <c r="AN382" s="16"/>
      <c r="AO382" s="16"/>
      <c r="AP382" s="16"/>
      <c r="AQ382" s="16"/>
      <c r="AR382" s="16"/>
      <c r="AS382" s="16"/>
      <c r="AT382" s="16"/>
      <c r="AU382" s="16"/>
      <c r="AV382" s="16"/>
      <c r="AW382" s="16"/>
      <c r="AX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c r="AA383" s="16"/>
      <c r="AB383" s="16"/>
      <c r="AC383" s="16"/>
      <c r="AD383" s="16"/>
      <c r="AE383" s="16"/>
      <c r="AF383" s="16"/>
      <c r="AG383" s="16"/>
      <c r="AH383" s="16"/>
      <c r="AI383" s="16"/>
      <c r="AJ383" s="16"/>
      <c r="AK383" s="16"/>
      <c r="AL383" s="16"/>
      <c r="AM383" s="16"/>
      <c r="AN383" s="16"/>
      <c r="AO383" s="16"/>
      <c r="AP383" s="16"/>
      <c r="AQ383" s="16"/>
      <c r="AR383" s="16"/>
      <c r="AS383" s="16"/>
      <c r="AT383" s="16"/>
      <c r="AU383" s="16"/>
      <c r="AV383" s="16"/>
      <c r="AW383" s="16"/>
      <c r="AX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c r="AN384" s="16"/>
      <c r="AO384" s="16"/>
      <c r="AP384" s="16"/>
      <c r="AQ384" s="16"/>
      <c r="AR384" s="16"/>
      <c r="AS384" s="16"/>
      <c r="AT384" s="16"/>
      <c r="AU384" s="16"/>
      <c r="AV384" s="16"/>
      <c r="AW384" s="16"/>
      <c r="AX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c r="AA385" s="16"/>
      <c r="AB385" s="16"/>
      <c r="AC385" s="16"/>
      <c r="AD385" s="16"/>
      <c r="AE385" s="16"/>
      <c r="AF385" s="16"/>
      <c r="AG385" s="16"/>
      <c r="AH385" s="16"/>
      <c r="AI385" s="16"/>
      <c r="AJ385" s="16"/>
      <c r="AK385" s="16"/>
      <c r="AL385" s="16"/>
      <c r="AM385" s="16"/>
      <c r="AN385" s="16"/>
      <c r="AO385" s="16"/>
      <c r="AP385" s="16"/>
      <c r="AQ385" s="16"/>
      <c r="AR385" s="16"/>
      <c r="AS385" s="16"/>
      <c r="AT385" s="16"/>
      <c r="AU385" s="16"/>
      <c r="AV385" s="16"/>
      <c r="AW385" s="16"/>
      <c r="AX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c r="AA386" s="16"/>
      <c r="AB386" s="16"/>
      <c r="AC386" s="16"/>
      <c r="AD386" s="16"/>
      <c r="AE386" s="16"/>
      <c r="AF386" s="16"/>
      <c r="AG386" s="16"/>
      <c r="AH386" s="16"/>
      <c r="AI386" s="16"/>
      <c r="AJ386" s="16"/>
      <c r="AK386" s="16"/>
      <c r="AL386" s="16"/>
      <c r="AM386" s="16"/>
      <c r="AN386" s="16"/>
      <c r="AO386" s="16"/>
      <c r="AP386" s="16"/>
      <c r="AQ386" s="16"/>
      <c r="AR386" s="16"/>
      <c r="AS386" s="16"/>
      <c r="AT386" s="16"/>
      <c r="AU386" s="16"/>
      <c r="AV386" s="16"/>
      <c r="AW386" s="16"/>
      <c r="AX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c r="AA387" s="16"/>
      <c r="AB387" s="16"/>
      <c r="AC387" s="16"/>
      <c r="AD387" s="16"/>
      <c r="AE387" s="16"/>
      <c r="AF387" s="16"/>
      <c r="AG387" s="16"/>
      <c r="AH387" s="16"/>
      <c r="AI387" s="16"/>
      <c r="AJ387" s="16"/>
      <c r="AK387" s="16"/>
      <c r="AL387" s="16"/>
      <c r="AM387" s="16"/>
      <c r="AN387" s="16"/>
      <c r="AO387" s="16"/>
      <c r="AP387" s="16"/>
      <c r="AQ387" s="16"/>
      <c r="AR387" s="16"/>
      <c r="AS387" s="16"/>
      <c r="AT387" s="16"/>
      <c r="AU387" s="16"/>
      <c r="AV387" s="16"/>
      <c r="AW387" s="16"/>
      <c r="AX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c r="AA388" s="16"/>
      <c r="AB388" s="16"/>
      <c r="AC388" s="16"/>
      <c r="AD388" s="16"/>
      <c r="AE388" s="16"/>
      <c r="AF388" s="16"/>
      <c r="AG388" s="16"/>
      <c r="AH388" s="16"/>
      <c r="AI388" s="16"/>
      <c r="AJ388" s="16"/>
      <c r="AK388" s="16"/>
      <c r="AL388" s="16"/>
      <c r="AM388" s="16"/>
      <c r="AN388" s="16"/>
      <c r="AO388" s="16"/>
      <c r="AP388" s="16"/>
      <c r="AQ388" s="16"/>
      <c r="AR388" s="16"/>
      <c r="AS388" s="16"/>
      <c r="AT388" s="16"/>
      <c r="AU388" s="16"/>
      <c r="AV388" s="16"/>
      <c r="AW388" s="16"/>
      <c r="AX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c r="AA389" s="16"/>
      <c r="AB389" s="16"/>
      <c r="AC389" s="16"/>
      <c r="AD389" s="16"/>
      <c r="AE389" s="16"/>
      <c r="AF389" s="16"/>
      <c r="AG389" s="16"/>
      <c r="AH389" s="16"/>
      <c r="AI389" s="16"/>
      <c r="AJ389" s="16"/>
      <c r="AK389" s="16"/>
      <c r="AL389" s="16"/>
      <c r="AM389" s="16"/>
      <c r="AN389" s="16"/>
      <c r="AO389" s="16"/>
      <c r="AP389" s="16"/>
      <c r="AQ389" s="16"/>
      <c r="AR389" s="16"/>
      <c r="AS389" s="16"/>
      <c r="AT389" s="16"/>
      <c r="AU389" s="16"/>
      <c r="AV389" s="16"/>
      <c r="AW389" s="16"/>
      <c r="AX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c r="AH390" s="16"/>
      <c r="AI390" s="16"/>
      <c r="AJ390" s="16"/>
      <c r="AK390" s="16"/>
      <c r="AL390" s="16"/>
      <c r="AM390" s="16"/>
      <c r="AN390" s="16"/>
      <c r="AO390" s="16"/>
      <c r="AP390" s="16"/>
      <c r="AQ390" s="16"/>
      <c r="AR390" s="16"/>
      <c r="AS390" s="16"/>
      <c r="AT390" s="16"/>
      <c r="AU390" s="16"/>
      <c r="AV390" s="16"/>
      <c r="AW390" s="16"/>
      <c r="AX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c r="AA391" s="16"/>
      <c r="AB391" s="16"/>
      <c r="AC391" s="16"/>
      <c r="AD391" s="16"/>
      <c r="AE391" s="16"/>
      <c r="AF391" s="16"/>
      <c r="AG391" s="16"/>
      <c r="AH391" s="16"/>
      <c r="AI391" s="16"/>
      <c r="AJ391" s="16"/>
      <c r="AK391" s="16"/>
      <c r="AL391" s="16"/>
      <c r="AM391" s="16"/>
      <c r="AN391" s="16"/>
      <c r="AO391" s="16"/>
      <c r="AP391" s="16"/>
      <c r="AQ391" s="16"/>
      <c r="AR391" s="16"/>
      <c r="AS391" s="16"/>
      <c r="AT391" s="16"/>
      <c r="AU391" s="16"/>
      <c r="AV391" s="16"/>
      <c r="AW391" s="16"/>
      <c r="AX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c r="AG392" s="16"/>
      <c r="AH392" s="16"/>
      <c r="AI392" s="16"/>
      <c r="AJ392" s="16"/>
      <c r="AK392" s="16"/>
      <c r="AL392" s="16"/>
      <c r="AM392" s="16"/>
      <c r="AN392" s="16"/>
      <c r="AO392" s="16"/>
      <c r="AP392" s="16"/>
      <c r="AQ392" s="16"/>
      <c r="AR392" s="16"/>
      <c r="AS392" s="16"/>
      <c r="AT392" s="16"/>
      <c r="AU392" s="16"/>
      <c r="AV392" s="16"/>
      <c r="AW392" s="16"/>
      <c r="AX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c r="AG393" s="16"/>
      <c r="AH393" s="16"/>
      <c r="AI393" s="16"/>
      <c r="AJ393" s="16"/>
      <c r="AK393" s="16"/>
      <c r="AL393" s="16"/>
      <c r="AM393" s="16"/>
      <c r="AN393" s="16"/>
      <c r="AO393" s="16"/>
      <c r="AP393" s="16"/>
      <c r="AQ393" s="16"/>
      <c r="AR393" s="16"/>
      <c r="AS393" s="16"/>
      <c r="AT393" s="16"/>
      <c r="AU393" s="16"/>
      <c r="AV393" s="16"/>
      <c r="AW393" s="16"/>
      <c r="AX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c r="AG394" s="16"/>
      <c r="AH394" s="16"/>
      <c r="AI394" s="16"/>
      <c r="AJ394" s="16"/>
      <c r="AK394" s="16"/>
      <c r="AL394" s="16"/>
      <c r="AM394" s="16"/>
      <c r="AN394" s="16"/>
      <c r="AO394" s="16"/>
      <c r="AP394" s="16"/>
      <c r="AQ394" s="16"/>
      <c r="AR394" s="16"/>
      <c r="AS394" s="16"/>
      <c r="AT394" s="16"/>
      <c r="AU394" s="16"/>
      <c r="AV394" s="16"/>
      <c r="AW394" s="16"/>
      <c r="AX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c r="AG395" s="16"/>
      <c r="AH395" s="16"/>
      <c r="AI395" s="16"/>
      <c r="AJ395" s="16"/>
      <c r="AK395" s="16"/>
      <c r="AL395" s="16"/>
      <c r="AM395" s="16"/>
      <c r="AN395" s="16"/>
      <c r="AO395" s="16"/>
      <c r="AP395" s="16"/>
      <c r="AQ395" s="16"/>
      <c r="AR395" s="16"/>
      <c r="AS395" s="16"/>
      <c r="AT395" s="16"/>
      <c r="AU395" s="16"/>
      <c r="AV395" s="16"/>
      <c r="AW395" s="16"/>
      <c r="AX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c r="AG396" s="16"/>
      <c r="AH396" s="16"/>
      <c r="AI396" s="16"/>
      <c r="AJ396" s="16"/>
      <c r="AK396" s="16"/>
      <c r="AL396" s="16"/>
      <c r="AM396" s="16"/>
      <c r="AN396" s="16"/>
      <c r="AO396" s="16"/>
      <c r="AP396" s="16"/>
      <c r="AQ396" s="16"/>
      <c r="AR396" s="16"/>
      <c r="AS396" s="16"/>
      <c r="AT396" s="16"/>
      <c r="AU396" s="16"/>
      <c r="AV396" s="16"/>
      <c r="AW396" s="16"/>
      <c r="AX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c r="AG397" s="16"/>
      <c r="AH397" s="16"/>
      <c r="AI397" s="16"/>
      <c r="AJ397" s="16"/>
      <c r="AK397" s="16"/>
      <c r="AL397" s="16"/>
      <c r="AM397" s="16"/>
      <c r="AN397" s="16"/>
      <c r="AO397" s="16"/>
      <c r="AP397" s="16"/>
      <c r="AQ397" s="16"/>
      <c r="AR397" s="16"/>
      <c r="AS397" s="16"/>
      <c r="AT397" s="16"/>
      <c r="AU397" s="16"/>
      <c r="AV397" s="16"/>
      <c r="AW397" s="16"/>
      <c r="AX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V398" s="16"/>
      <c r="AW398" s="16"/>
      <c r="AX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V399" s="16"/>
      <c r="AW399" s="16"/>
      <c r="AX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V400" s="16"/>
      <c r="AW400" s="16"/>
      <c r="AX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c r="AW402" s="16"/>
      <c r="AX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V404" s="16"/>
      <c r="AW404" s="16"/>
      <c r="AX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c r="AW405" s="16"/>
      <c r="AX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V406" s="16"/>
      <c r="AW406" s="16"/>
      <c r="AX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c r="AW407" s="16"/>
      <c r="AX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V408" s="16"/>
      <c r="AW408" s="16"/>
      <c r="AX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c r="AW409" s="16"/>
      <c r="AX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V410" s="16"/>
      <c r="AW410" s="16"/>
      <c r="AX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V412" s="16"/>
      <c r="AW412" s="16"/>
      <c r="AX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V413" s="16"/>
      <c r="AW413" s="16"/>
      <c r="AX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c r="AV414" s="16"/>
      <c r="AW414" s="16"/>
      <c r="AX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c r="AV415" s="16"/>
      <c r="AW415" s="16"/>
      <c r="AX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U416" s="16"/>
      <c r="AV416" s="16"/>
      <c r="AW416" s="16"/>
      <c r="AX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c r="AV417" s="16"/>
      <c r="AW417" s="16"/>
      <c r="AX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c r="AV418" s="16"/>
      <c r="AW418" s="16"/>
      <c r="AX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V419" s="16"/>
      <c r="AW419" s="16"/>
      <c r="AX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c r="AV420" s="16"/>
      <c r="AW420" s="16"/>
      <c r="AX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V421" s="16"/>
      <c r="AW421" s="16"/>
      <c r="AX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c r="AV422" s="16"/>
      <c r="AW422" s="16"/>
      <c r="AX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c r="AW423" s="16"/>
      <c r="AX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V424" s="16"/>
      <c r="AW424" s="16"/>
      <c r="AX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c r="AV425" s="16"/>
      <c r="AW425" s="16"/>
      <c r="AX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V426" s="16"/>
      <c r="AW426" s="16"/>
      <c r="AX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V427" s="16"/>
      <c r="AW427" s="16"/>
      <c r="AX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c r="AU428" s="16"/>
      <c r="AV428" s="16"/>
      <c r="AW428" s="16"/>
      <c r="AX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V429" s="16"/>
      <c r="AW429" s="16"/>
      <c r="AX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V430" s="16"/>
      <c r="AW430" s="16"/>
      <c r="AX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V431" s="16"/>
      <c r="AW431" s="16"/>
      <c r="AX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V432" s="16"/>
      <c r="AW432" s="16"/>
      <c r="AX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c r="AV433" s="16"/>
      <c r="AW433" s="16"/>
      <c r="AX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c r="AA434" s="16"/>
      <c r="AB434" s="16"/>
      <c r="AC434" s="16"/>
      <c r="AD434" s="16"/>
      <c r="AE434" s="16"/>
      <c r="AF434" s="16"/>
      <c r="AG434" s="16"/>
      <c r="AH434" s="16"/>
      <c r="AI434" s="16"/>
      <c r="AJ434" s="16"/>
      <c r="AK434" s="16"/>
      <c r="AL434" s="16"/>
      <c r="AM434" s="16"/>
      <c r="AN434" s="16"/>
      <c r="AO434" s="16"/>
      <c r="AP434" s="16"/>
      <c r="AQ434" s="16"/>
      <c r="AR434" s="16"/>
      <c r="AS434" s="16"/>
      <c r="AT434" s="16"/>
      <c r="AU434" s="16"/>
      <c r="AV434" s="16"/>
      <c r="AW434" s="16"/>
      <c r="AX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c r="AA435" s="16"/>
      <c r="AB435" s="16"/>
      <c r="AC435" s="16"/>
      <c r="AD435" s="16"/>
      <c r="AE435" s="16"/>
      <c r="AF435" s="16"/>
      <c r="AG435" s="16"/>
      <c r="AH435" s="16"/>
      <c r="AI435" s="16"/>
      <c r="AJ435" s="16"/>
      <c r="AK435" s="16"/>
      <c r="AL435" s="16"/>
      <c r="AM435" s="16"/>
      <c r="AN435" s="16"/>
      <c r="AO435" s="16"/>
      <c r="AP435" s="16"/>
      <c r="AQ435" s="16"/>
      <c r="AR435" s="16"/>
      <c r="AS435" s="16"/>
      <c r="AT435" s="16"/>
      <c r="AU435" s="16"/>
      <c r="AV435" s="16"/>
      <c r="AW435" s="16"/>
      <c r="AX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c r="AA436" s="16"/>
      <c r="AB436" s="16"/>
      <c r="AC436" s="16"/>
      <c r="AD436" s="16"/>
      <c r="AE436" s="16"/>
      <c r="AF436" s="16"/>
      <c r="AG436" s="16"/>
      <c r="AH436" s="16"/>
      <c r="AI436" s="16"/>
      <c r="AJ436" s="16"/>
      <c r="AK436" s="16"/>
      <c r="AL436" s="16"/>
      <c r="AM436" s="16"/>
      <c r="AN436" s="16"/>
      <c r="AO436" s="16"/>
      <c r="AP436" s="16"/>
      <c r="AQ436" s="16"/>
      <c r="AR436" s="16"/>
      <c r="AS436" s="16"/>
      <c r="AT436" s="16"/>
      <c r="AU436" s="16"/>
      <c r="AV436" s="16"/>
      <c r="AW436" s="16"/>
      <c r="AX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c r="AA437" s="16"/>
      <c r="AB437" s="16"/>
      <c r="AC437" s="16"/>
      <c r="AD437" s="16"/>
      <c r="AE437" s="16"/>
      <c r="AF437" s="16"/>
      <c r="AG437" s="16"/>
      <c r="AH437" s="16"/>
      <c r="AI437" s="16"/>
      <c r="AJ437" s="16"/>
      <c r="AK437" s="16"/>
      <c r="AL437" s="16"/>
      <c r="AM437" s="16"/>
      <c r="AN437" s="16"/>
      <c r="AO437" s="16"/>
      <c r="AP437" s="16"/>
      <c r="AQ437" s="16"/>
      <c r="AR437" s="16"/>
      <c r="AS437" s="16"/>
      <c r="AT437" s="16"/>
      <c r="AU437" s="16"/>
      <c r="AV437" s="16"/>
      <c r="AW437" s="16"/>
      <c r="AX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c r="AA438" s="16"/>
      <c r="AB438" s="16"/>
      <c r="AC438" s="16"/>
      <c r="AD438" s="16"/>
      <c r="AE438" s="16"/>
      <c r="AF438" s="16"/>
      <c r="AG438" s="16"/>
      <c r="AH438" s="16"/>
      <c r="AI438" s="16"/>
      <c r="AJ438" s="16"/>
      <c r="AK438" s="16"/>
      <c r="AL438" s="16"/>
      <c r="AM438" s="16"/>
      <c r="AN438" s="16"/>
      <c r="AO438" s="16"/>
      <c r="AP438" s="16"/>
      <c r="AQ438" s="16"/>
      <c r="AR438" s="16"/>
      <c r="AS438" s="16"/>
      <c r="AT438" s="16"/>
      <c r="AU438" s="16"/>
      <c r="AV438" s="16"/>
      <c r="AW438" s="16"/>
      <c r="AX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c r="AG439" s="16"/>
      <c r="AH439" s="16"/>
      <c r="AI439" s="16"/>
      <c r="AJ439" s="16"/>
      <c r="AK439" s="16"/>
      <c r="AL439" s="16"/>
      <c r="AM439" s="16"/>
      <c r="AN439" s="16"/>
      <c r="AO439" s="16"/>
      <c r="AP439" s="16"/>
      <c r="AQ439" s="16"/>
      <c r="AR439" s="16"/>
      <c r="AS439" s="16"/>
      <c r="AT439" s="16"/>
      <c r="AU439" s="16"/>
      <c r="AV439" s="16"/>
      <c r="AW439" s="16"/>
      <c r="AX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c r="AA440" s="16"/>
      <c r="AB440" s="16"/>
      <c r="AC440" s="16"/>
      <c r="AD440" s="16"/>
      <c r="AE440" s="16"/>
      <c r="AF440" s="16"/>
      <c r="AG440" s="16"/>
      <c r="AH440" s="16"/>
      <c r="AI440" s="16"/>
      <c r="AJ440" s="16"/>
      <c r="AK440" s="16"/>
      <c r="AL440" s="16"/>
      <c r="AM440" s="16"/>
      <c r="AN440" s="16"/>
      <c r="AO440" s="16"/>
      <c r="AP440" s="16"/>
      <c r="AQ440" s="16"/>
      <c r="AR440" s="16"/>
      <c r="AS440" s="16"/>
      <c r="AT440" s="16"/>
      <c r="AU440" s="16"/>
      <c r="AV440" s="16"/>
      <c r="AW440" s="16"/>
      <c r="AX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c r="AG441" s="16"/>
      <c r="AH441" s="16"/>
      <c r="AI441" s="16"/>
      <c r="AJ441" s="16"/>
      <c r="AK441" s="16"/>
      <c r="AL441" s="16"/>
      <c r="AM441" s="16"/>
      <c r="AN441" s="16"/>
      <c r="AO441" s="16"/>
      <c r="AP441" s="16"/>
      <c r="AQ441" s="16"/>
      <c r="AR441" s="16"/>
      <c r="AS441" s="16"/>
      <c r="AT441" s="16"/>
      <c r="AU441" s="16"/>
      <c r="AV441" s="16"/>
      <c r="AW441" s="16"/>
      <c r="AX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c r="AA442" s="16"/>
      <c r="AB442" s="16"/>
      <c r="AC442" s="16"/>
      <c r="AD442" s="16"/>
      <c r="AE442" s="16"/>
      <c r="AF442" s="16"/>
      <c r="AG442" s="16"/>
      <c r="AH442" s="16"/>
      <c r="AI442" s="16"/>
      <c r="AJ442" s="16"/>
      <c r="AK442" s="16"/>
      <c r="AL442" s="16"/>
      <c r="AM442" s="16"/>
      <c r="AN442" s="16"/>
      <c r="AO442" s="16"/>
      <c r="AP442" s="16"/>
      <c r="AQ442" s="16"/>
      <c r="AR442" s="16"/>
      <c r="AS442" s="16"/>
      <c r="AT442" s="16"/>
      <c r="AU442" s="16"/>
      <c r="AV442" s="16"/>
      <c r="AW442" s="16"/>
      <c r="AX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c r="AA443" s="16"/>
      <c r="AB443" s="16"/>
      <c r="AC443" s="16"/>
      <c r="AD443" s="16"/>
      <c r="AE443" s="16"/>
      <c r="AF443" s="16"/>
      <c r="AG443" s="16"/>
      <c r="AH443" s="16"/>
      <c r="AI443" s="16"/>
      <c r="AJ443" s="16"/>
      <c r="AK443" s="16"/>
      <c r="AL443" s="16"/>
      <c r="AM443" s="16"/>
      <c r="AN443" s="16"/>
      <c r="AO443" s="16"/>
      <c r="AP443" s="16"/>
      <c r="AQ443" s="16"/>
      <c r="AR443" s="16"/>
      <c r="AS443" s="16"/>
      <c r="AT443" s="16"/>
      <c r="AU443" s="16"/>
      <c r="AV443" s="16"/>
      <c r="AW443" s="16"/>
      <c r="AX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c r="AG444" s="16"/>
      <c r="AH444" s="16"/>
      <c r="AI444" s="16"/>
      <c r="AJ444" s="16"/>
      <c r="AK444" s="16"/>
      <c r="AL444" s="16"/>
      <c r="AM444" s="16"/>
      <c r="AN444" s="16"/>
      <c r="AO444" s="16"/>
      <c r="AP444" s="16"/>
      <c r="AQ444" s="16"/>
      <c r="AR444" s="16"/>
      <c r="AS444" s="16"/>
      <c r="AT444" s="16"/>
      <c r="AU444" s="16"/>
      <c r="AV444" s="16"/>
      <c r="AW444" s="16"/>
      <c r="AX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c r="AA445" s="16"/>
      <c r="AB445" s="16"/>
      <c r="AC445" s="16"/>
      <c r="AD445" s="16"/>
      <c r="AE445" s="16"/>
      <c r="AF445" s="16"/>
      <c r="AG445" s="16"/>
      <c r="AH445" s="16"/>
      <c r="AI445" s="16"/>
      <c r="AJ445" s="16"/>
      <c r="AK445" s="16"/>
      <c r="AL445" s="16"/>
      <c r="AM445" s="16"/>
      <c r="AN445" s="16"/>
      <c r="AO445" s="16"/>
      <c r="AP445" s="16"/>
      <c r="AQ445" s="16"/>
      <c r="AR445" s="16"/>
      <c r="AS445" s="16"/>
      <c r="AT445" s="16"/>
      <c r="AU445" s="16"/>
      <c r="AV445" s="16"/>
      <c r="AW445" s="16"/>
      <c r="AX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c r="AA446" s="16"/>
      <c r="AB446" s="16"/>
      <c r="AC446" s="16"/>
      <c r="AD446" s="16"/>
      <c r="AE446" s="16"/>
      <c r="AF446" s="16"/>
      <c r="AG446" s="16"/>
      <c r="AH446" s="16"/>
      <c r="AI446" s="16"/>
      <c r="AJ446" s="16"/>
      <c r="AK446" s="16"/>
      <c r="AL446" s="16"/>
      <c r="AM446" s="16"/>
      <c r="AN446" s="16"/>
      <c r="AO446" s="16"/>
      <c r="AP446" s="16"/>
      <c r="AQ446" s="16"/>
      <c r="AR446" s="16"/>
      <c r="AS446" s="16"/>
      <c r="AT446" s="16"/>
      <c r="AU446" s="16"/>
      <c r="AV446" s="16"/>
      <c r="AW446" s="16"/>
      <c r="AX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c r="AA447" s="16"/>
      <c r="AB447" s="16"/>
      <c r="AC447" s="16"/>
      <c r="AD447" s="16"/>
      <c r="AE447" s="16"/>
      <c r="AF447" s="16"/>
      <c r="AG447" s="16"/>
      <c r="AH447" s="16"/>
      <c r="AI447" s="16"/>
      <c r="AJ447" s="16"/>
      <c r="AK447" s="16"/>
      <c r="AL447" s="16"/>
      <c r="AM447" s="16"/>
      <c r="AN447" s="16"/>
      <c r="AO447" s="16"/>
      <c r="AP447" s="16"/>
      <c r="AQ447" s="16"/>
      <c r="AR447" s="16"/>
      <c r="AS447" s="16"/>
      <c r="AT447" s="16"/>
      <c r="AU447" s="16"/>
      <c r="AV447" s="16"/>
      <c r="AW447" s="16"/>
      <c r="AX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c r="AA448" s="16"/>
      <c r="AB448" s="16"/>
      <c r="AC448" s="16"/>
      <c r="AD448" s="16"/>
      <c r="AE448" s="16"/>
      <c r="AF448" s="16"/>
      <c r="AG448" s="16"/>
      <c r="AH448" s="16"/>
      <c r="AI448" s="16"/>
      <c r="AJ448" s="16"/>
      <c r="AK448" s="16"/>
      <c r="AL448" s="16"/>
      <c r="AM448" s="16"/>
      <c r="AN448" s="16"/>
      <c r="AO448" s="16"/>
      <c r="AP448" s="16"/>
      <c r="AQ448" s="16"/>
      <c r="AR448" s="16"/>
      <c r="AS448" s="16"/>
      <c r="AT448" s="16"/>
      <c r="AU448" s="16"/>
      <c r="AV448" s="16"/>
      <c r="AW448" s="16"/>
      <c r="AX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c r="AA449" s="16"/>
      <c r="AB449" s="16"/>
      <c r="AC449" s="16"/>
      <c r="AD449" s="16"/>
      <c r="AE449" s="16"/>
      <c r="AF449" s="16"/>
      <c r="AG449" s="16"/>
      <c r="AH449" s="16"/>
      <c r="AI449" s="16"/>
      <c r="AJ449" s="16"/>
      <c r="AK449" s="16"/>
      <c r="AL449" s="16"/>
      <c r="AM449" s="16"/>
      <c r="AN449" s="16"/>
      <c r="AO449" s="16"/>
      <c r="AP449" s="16"/>
      <c r="AQ449" s="16"/>
      <c r="AR449" s="16"/>
      <c r="AS449" s="16"/>
      <c r="AT449" s="16"/>
      <c r="AU449" s="16"/>
      <c r="AV449" s="16"/>
      <c r="AW449" s="16"/>
      <c r="AX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c r="AA450" s="16"/>
      <c r="AB450" s="16"/>
      <c r="AC450" s="16"/>
      <c r="AD450" s="16"/>
      <c r="AE450" s="16"/>
      <c r="AF450" s="16"/>
      <c r="AG450" s="16"/>
      <c r="AH450" s="16"/>
      <c r="AI450" s="16"/>
      <c r="AJ450" s="16"/>
      <c r="AK450" s="16"/>
      <c r="AL450" s="16"/>
      <c r="AM450" s="16"/>
      <c r="AN450" s="16"/>
      <c r="AO450" s="16"/>
      <c r="AP450" s="16"/>
      <c r="AQ450" s="16"/>
      <c r="AR450" s="16"/>
      <c r="AS450" s="16"/>
      <c r="AT450" s="16"/>
      <c r="AU450" s="16"/>
      <c r="AV450" s="16"/>
      <c r="AW450" s="16"/>
      <c r="AX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c r="AA451" s="16"/>
      <c r="AB451" s="16"/>
      <c r="AC451" s="16"/>
      <c r="AD451" s="16"/>
      <c r="AE451" s="16"/>
      <c r="AF451" s="16"/>
      <c r="AG451" s="16"/>
      <c r="AH451" s="16"/>
      <c r="AI451" s="16"/>
      <c r="AJ451" s="16"/>
      <c r="AK451" s="16"/>
      <c r="AL451" s="16"/>
      <c r="AM451" s="16"/>
      <c r="AN451" s="16"/>
      <c r="AO451" s="16"/>
      <c r="AP451" s="16"/>
      <c r="AQ451" s="16"/>
      <c r="AR451" s="16"/>
      <c r="AS451" s="16"/>
      <c r="AT451" s="16"/>
      <c r="AU451" s="16"/>
      <c r="AV451" s="16"/>
      <c r="AW451" s="16"/>
      <c r="AX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c r="AA452" s="16"/>
      <c r="AB452" s="16"/>
      <c r="AC452" s="16"/>
      <c r="AD452" s="16"/>
      <c r="AE452" s="16"/>
      <c r="AF452" s="16"/>
      <c r="AG452" s="16"/>
      <c r="AH452" s="16"/>
      <c r="AI452" s="16"/>
      <c r="AJ452" s="16"/>
      <c r="AK452" s="16"/>
      <c r="AL452" s="16"/>
      <c r="AM452" s="16"/>
      <c r="AN452" s="16"/>
      <c r="AO452" s="16"/>
      <c r="AP452" s="16"/>
      <c r="AQ452" s="16"/>
      <c r="AR452" s="16"/>
      <c r="AS452" s="16"/>
      <c r="AT452" s="16"/>
      <c r="AU452" s="16"/>
      <c r="AV452" s="16"/>
      <c r="AW452" s="16"/>
      <c r="AX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c r="AA453" s="16"/>
      <c r="AB453" s="16"/>
      <c r="AC453" s="16"/>
      <c r="AD453" s="16"/>
      <c r="AE453" s="16"/>
      <c r="AF453" s="16"/>
      <c r="AG453" s="16"/>
      <c r="AH453" s="16"/>
      <c r="AI453" s="16"/>
      <c r="AJ453" s="16"/>
      <c r="AK453" s="16"/>
      <c r="AL453" s="16"/>
      <c r="AM453" s="16"/>
      <c r="AN453" s="16"/>
      <c r="AO453" s="16"/>
      <c r="AP453" s="16"/>
      <c r="AQ453" s="16"/>
      <c r="AR453" s="16"/>
      <c r="AS453" s="16"/>
      <c r="AT453" s="16"/>
      <c r="AU453" s="16"/>
      <c r="AV453" s="16"/>
      <c r="AW453" s="16"/>
      <c r="AX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c r="AA454" s="16"/>
      <c r="AB454" s="16"/>
      <c r="AC454" s="16"/>
      <c r="AD454" s="16"/>
      <c r="AE454" s="16"/>
      <c r="AF454" s="16"/>
      <c r="AG454" s="16"/>
      <c r="AH454" s="16"/>
      <c r="AI454" s="16"/>
      <c r="AJ454" s="16"/>
      <c r="AK454" s="16"/>
      <c r="AL454" s="16"/>
      <c r="AM454" s="16"/>
      <c r="AN454" s="16"/>
      <c r="AO454" s="16"/>
      <c r="AP454" s="16"/>
      <c r="AQ454" s="16"/>
      <c r="AR454" s="16"/>
      <c r="AS454" s="16"/>
      <c r="AT454" s="16"/>
      <c r="AU454" s="16"/>
      <c r="AV454" s="16"/>
      <c r="AW454" s="16"/>
      <c r="AX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c r="AA455" s="16"/>
      <c r="AB455" s="16"/>
      <c r="AC455" s="16"/>
      <c r="AD455" s="16"/>
      <c r="AE455" s="16"/>
      <c r="AF455" s="16"/>
      <c r="AG455" s="16"/>
      <c r="AH455" s="16"/>
      <c r="AI455" s="16"/>
      <c r="AJ455" s="16"/>
      <c r="AK455" s="16"/>
      <c r="AL455" s="16"/>
      <c r="AM455" s="16"/>
      <c r="AN455" s="16"/>
      <c r="AO455" s="16"/>
      <c r="AP455" s="16"/>
      <c r="AQ455" s="16"/>
      <c r="AR455" s="16"/>
      <c r="AS455" s="16"/>
      <c r="AT455" s="16"/>
      <c r="AU455" s="16"/>
      <c r="AV455" s="16"/>
      <c r="AW455" s="16"/>
      <c r="AX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c r="AA456" s="16"/>
      <c r="AB456" s="16"/>
      <c r="AC456" s="16"/>
      <c r="AD456" s="16"/>
      <c r="AE456" s="16"/>
      <c r="AF456" s="16"/>
      <c r="AG456" s="16"/>
      <c r="AH456" s="16"/>
      <c r="AI456" s="16"/>
      <c r="AJ456" s="16"/>
      <c r="AK456" s="16"/>
      <c r="AL456" s="16"/>
      <c r="AM456" s="16"/>
      <c r="AN456" s="16"/>
      <c r="AO456" s="16"/>
      <c r="AP456" s="16"/>
      <c r="AQ456" s="16"/>
      <c r="AR456" s="16"/>
      <c r="AS456" s="16"/>
      <c r="AT456" s="16"/>
      <c r="AU456" s="16"/>
      <c r="AV456" s="16"/>
      <c r="AW456" s="16"/>
      <c r="AX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c r="AA457" s="16"/>
      <c r="AB457" s="16"/>
      <c r="AC457" s="16"/>
      <c r="AD457" s="16"/>
      <c r="AE457" s="16"/>
      <c r="AF457" s="16"/>
      <c r="AG457" s="16"/>
      <c r="AH457" s="16"/>
      <c r="AI457" s="16"/>
      <c r="AJ457" s="16"/>
      <c r="AK457" s="16"/>
      <c r="AL457" s="16"/>
      <c r="AM457" s="16"/>
      <c r="AN457" s="16"/>
      <c r="AO457" s="16"/>
      <c r="AP457" s="16"/>
      <c r="AQ457" s="16"/>
      <c r="AR457" s="16"/>
      <c r="AS457" s="16"/>
      <c r="AT457" s="16"/>
      <c r="AU457" s="16"/>
      <c r="AV457" s="16"/>
      <c r="AW457" s="16"/>
      <c r="AX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c r="AA458" s="16"/>
      <c r="AB458" s="16"/>
      <c r="AC458" s="16"/>
      <c r="AD458" s="16"/>
      <c r="AE458" s="16"/>
      <c r="AF458" s="16"/>
      <c r="AG458" s="16"/>
      <c r="AH458" s="16"/>
      <c r="AI458" s="16"/>
      <c r="AJ458" s="16"/>
      <c r="AK458" s="16"/>
      <c r="AL458" s="16"/>
      <c r="AM458" s="16"/>
      <c r="AN458" s="16"/>
      <c r="AO458" s="16"/>
      <c r="AP458" s="16"/>
      <c r="AQ458" s="16"/>
      <c r="AR458" s="16"/>
      <c r="AS458" s="16"/>
      <c r="AT458" s="16"/>
      <c r="AU458" s="16"/>
      <c r="AV458" s="16"/>
      <c r="AW458" s="16"/>
      <c r="AX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c r="AA459" s="16"/>
      <c r="AB459" s="16"/>
      <c r="AC459" s="16"/>
      <c r="AD459" s="16"/>
      <c r="AE459" s="16"/>
      <c r="AF459" s="16"/>
      <c r="AG459" s="16"/>
      <c r="AH459" s="16"/>
      <c r="AI459" s="16"/>
      <c r="AJ459" s="16"/>
      <c r="AK459" s="16"/>
      <c r="AL459" s="16"/>
      <c r="AM459" s="16"/>
      <c r="AN459" s="16"/>
      <c r="AO459" s="16"/>
      <c r="AP459" s="16"/>
      <c r="AQ459" s="16"/>
      <c r="AR459" s="16"/>
      <c r="AS459" s="16"/>
      <c r="AT459" s="16"/>
      <c r="AU459" s="16"/>
      <c r="AV459" s="16"/>
      <c r="AW459" s="16"/>
      <c r="AX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c r="AA460" s="16"/>
      <c r="AB460" s="16"/>
      <c r="AC460" s="16"/>
      <c r="AD460" s="16"/>
      <c r="AE460" s="16"/>
      <c r="AF460" s="16"/>
      <c r="AG460" s="16"/>
      <c r="AH460" s="16"/>
      <c r="AI460" s="16"/>
      <c r="AJ460" s="16"/>
      <c r="AK460" s="16"/>
      <c r="AL460" s="16"/>
      <c r="AM460" s="16"/>
      <c r="AN460" s="16"/>
      <c r="AO460" s="16"/>
      <c r="AP460" s="16"/>
      <c r="AQ460" s="16"/>
      <c r="AR460" s="16"/>
      <c r="AS460" s="16"/>
      <c r="AT460" s="16"/>
      <c r="AU460" s="16"/>
      <c r="AV460" s="16"/>
      <c r="AW460" s="16"/>
      <c r="AX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c r="AA461" s="16"/>
      <c r="AB461" s="16"/>
      <c r="AC461" s="16"/>
      <c r="AD461" s="16"/>
      <c r="AE461" s="16"/>
      <c r="AF461" s="16"/>
      <c r="AG461" s="16"/>
      <c r="AH461" s="16"/>
      <c r="AI461" s="16"/>
      <c r="AJ461" s="16"/>
      <c r="AK461" s="16"/>
      <c r="AL461" s="16"/>
      <c r="AM461" s="16"/>
      <c r="AN461" s="16"/>
      <c r="AO461" s="16"/>
      <c r="AP461" s="16"/>
      <c r="AQ461" s="16"/>
      <c r="AR461" s="16"/>
      <c r="AS461" s="16"/>
      <c r="AT461" s="16"/>
      <c r="AU461" s="16"/>
      <c r="AV461" s="16"/>
      <c r="AW461" s="16"/>
      <c r="AX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c r="AA472" s="16"/>
      <c r="AB472" s="16"/>
      <c r="AC472" s="16"/>
      <c r="AD472" s="16"/>
      <c r="AE472" s="16"/>
      <c r="AF472" s="16"/>
      <c r="AG472" s="16"/>
      <c r="AH472" s="16"/>
      <c r="AI472" s="16"/>
      <c r="AJ472" s="16"/>
      <c r="AK472" s="16"/>
      <c r="AL472" s="16"/>
      <c r="AM472" s="16"/>
      <c r="AN472" s="16"/>
      <c r="AO472" s="16"/>
      <c r="AP472" s="16"/>
      <c r="AQ472" s="16"/>
      <c r="AR472" s="16"/>
      <c r="AS472" s="16"/>
      <c r="AT472" s="16"/>
      <c r="AU472" s="16"/>
      <c r="AV472" s="16"/>
      <c r="AW472" s="16"/>
      <c r="AX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c r="AA473" s="16"/>
      <c r="AB473" s="16"/>
      <c r="AC473" s="16"/>
      <c r="AD473" s="16"/>
      <c r="AE473" s="16"/>
      <c r="AF473" s="16"/>
      <c r="AG473" s="16"/>
      <c r="AH473" s="16"/>
      <c r="AI473" s="16"/>
      <c r="AJ473" s="16"/>
      <c r="AK473" s="16"/>
      <c r="AL473" s="16"/>
      <c r="AM473" s="16"/>
      <c r="AN473" s="16"/>
      <c r="AO473" s="16"/>
      <c r="AP473" s="16"/>
      <c r="AQ473" s="16"/>
      <c r="AR473" s="16"/>
      <c r="AS473" s="16"/>
      <c r="AT473" s="16"/>
      <c r="AU473" s="16"/>
      <c r="AV473" s="16"/>
      <c r="AW473" s="16"/>
      <c r="AX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c r="AA474" s="16"/>
      <c r="AB474" s="16"/>
      <c r="AC474" s="16"/>
      <c r="AD474" s="16"/>
      <c r="AE474" s="16"/>
      <c r="AF474" s="16"/>
      <c r="AG474" s="16"/>
      <c r="AH474" s="16"/>
      <c r="AI474" s="16"/>
      <c r="AJ474" s="16"/>
      <c r="AK474" s="16"/>
      <c r="AL474" s="16"/>
      <c r="AM474" s="16"/>
      <c r="AN474" s="16"/>
      <c r="AO474" s="16"/>
      <c r="AP474" s="16"/>
      <c r="AQ474" s="16"/>
      <c r="AR474" s="16"/>
      <c r="AS474" s="16"/>
      <c r="AT474" s="16"/>
      <c r="AU474" s="16"/>
      <c r="AV474" s="16"/>
      <c r="AW474" s="16"/>
      <c r="AX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c r="AA475" s="16"/>
      <c r="AB475" s="16"/>
      <c r="AC475" s="16"/>
      <c r="AD475" s="16"/>
      <c r="AE475" s="16"/>
      <c r="AF475" s="16"/>
      <c r="AG475" s="16"/>
      <c r="AH475" s="16"/>
      <c r="AI475" s="16"/>
      <c r="AJ475" s="16"/>
      <c r="AK475" s="16"/>
      <c r="AL475" s="16"/>
      <c r="AM475" s="16"/>
      <c r="AN475" s="16"/>
      <c r="AO475" s="16"/>
      <c r="AP475" s="16"/>
      <c r="AQ475" s="16"/>
      <c r="AR475" s="16"/>
      <c r="AS475" s="16"/>
      <c r="AT475" s="16"/>
      <c r="AU475" s="16"/>
      <c r="AV475" s="16"/>
      <c r="AW475" s="16"/>
      <c r="AX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c r="AA476" s="16"/>
      <c r="AB476" s="16"/>
      <c r="AC476" s="16"/>
      <c r="AD476" s="16"/>
      <c r="AE476" s="16"/>
      <c r="AF476" s="16"/>
      <c r="AG476" s="16"/>
      <c r="AH476" s="16"/>
      <c r="AI476" s="16"/>
      <c r="AJ476" s="16"/>
      <c r="AK476" s="16"/>
      <c r="AL476" s="16"/>
      <c r="AM476" s="16"/>
      <c r="AN476" s="16"/>
      <c r="AO476" s="16"/>
      <c r="AP476" s="16"/>
      <c r="AQ476" s="16"/>
      <c r="AR476" s="16"/>
      <c r="AS476" s="16"/>
      <c r="AT476" s="16"/>
      <c r="AU476" s="16"/>
      <c r="AV476" s="16"/>
      <c r="AW476" s="16"/>
      <c r="AX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c r="AA477" s="16"/>
      <c r="AB477" s="16"/>
      <c r="AC477" s="16"/>
      <c r="AD477" s="16"/>
      <c r="AE477" s="16"/>
      <c r="AF477" s="16"/>
      <c r="AG477" s="16"/>
      <c r="AH477" s="16"/>
      <c r="AI477" s="16"/>
      <c r="AJ477" s="16"/>
      <c r="AK477" s="16"/>
      <c r="AL477" s="16"/>
      <c r="AM477" s="16"/>
      <c r="AN477" s="16"/>
      <c r="AO477" s="16"/>
      <c r="AP477" s="16"/>
      <c r="AQ477" s="16"/>
      <c r="AR477" s="16"/>
      <c r="AS477" s="16"/>
      <c r="AT477" s="16"/>
      <c r="AU477" s="16"/>
      <c r="AV477" s="16"/>
      <c r="AW477" s="16"/>
      <c r="AX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c r="AA478" s="16"/>
      <c r="AB478" s="16"/>
      <c r="AC478" s="16"/>
      <c r="AD478" s="16"/>
      <c r="AE478" s="16"/>
      <c r="AF478" s="16"/>
      <c r="AG478" s="16"/>
      <c r="AH478" s="16"/>
      <c r="AI478" s="16"/>
      <c r="AJ478" s="16"/>
      <c r="AK478" s="16"/>
      <c r="AL478" s="16"/>
      <c r="AM478" s="16"/>
      <c r="AN478" s="16"/>
      <c r="AO478" s="16"/>
      <c r="AP478" s="16"/>
      <c r="AQ478" s="16"/>
      <c r="AR478" s="16"/>
      <c r="AS478" s="16"/>
      <c r="AT478" s="16"/>
      <c r="AU478" s="16"/>
      <c r="AV478" s="16"/>
      <c r="AW478" s="16"/>
      <c r="AX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c r="AG479" s="16"/>
      <c r="AH479" s="16"/>
      <c r="AI479" s="16"/>
      <c r="AJ479" s="16"/>
      <c r="AK479" s="16"/>
      <c r="AL479" s="16"/>
      <c r="AM479" s="16"/>
      <c r="AN479" s="16"/>
      <c r="AO479" s="16"/>
      <c r="AP479" s="16"/>
      <c r="AQ479" s="16"/>
      <c r="AR479" s="16"/>
      <c r="AS479" s="16"/>
      <c r="AT479" s="16"/>
      <c r="AU479" s="16"/>
      <c r="AV479" s="16"/>
      <c r="AW479" s="16"/>
      <c r="AX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c r="AH480" s="16"/>
      <c r="AI480" s="16"/>
      <c r="AJ480" s="16"/>
      <c r="AK480" s="16"/>
      <c r="AL480" s="16"/>
      <c r="AM480" s="16"/>
      <c r="AN480" s="16"/>
      <c r="AO480" s="16"/>
      <c r="AP480" s="16"/>
      <c r="AQ480" s="16"/>
      <c r="AR480" s="16"/>
      <c r="AS480" s="16"/>
      <c r="AT480" s="16"/>
      <c r="AU480" s="16"/>
      <c r="AV480" s="16"/>
      <c r="AW480" s="16"/>
      <c r="AX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c r="AI481" s="16"/>
      <c r="AJ481" s="16"/>
      <c r="AK481" s="16"/>
      <c r="AL481" s="16"/>
      <c r="AM481" s="16"/>
      <c r="AN481" s="16"/>
      <c r="AO481" s="16"/>
      <c r="AP481" s="16"/>
      <c r="AQ481" s="16"/>
      <c r="AR481" s="16"/>
      <c r="AS481" s="16"/>
      <c r="AT481" s="16"/>
      <c r="AU481" s="16"/>
      <c r="AV481" s="16"/>
      <c r="AW481" s="16"/>
      <c r="AX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c r="AA482" s="16"/>
      <c r="AB482" s="16"/>
      <c r="AC482" s="16"/>
      <c r="AD482" s="16"/>
      <c r="AE482" s="16"/>
      <c r="AF482" s="16"/>
      <c r="AG482" s="16"/>
      <c r="AH482" s="16"/>
      <c r="AI482" s="16"/>
      <c r="AJ482" s="16"/>
      <c r="AK482" s="16"/>
      <c r="AL482" s="16"/>
      <c r="AM482" s="16"/>
      <c r="AN482" s="16"/>
      <c r="AO482" s="16"/>
      <c r="AP482" s="16"/>
      <c r="AQ482" s="16"/>
      <c r="AR482" s="16"/>
      <c r="AS482" s="16"/>
      <c r="AT482" s="16"/>
      <c r="AU482" s="16"/>
      <c r="AV482" s="16"/>
      <c r="AW482" s="16"/>
      <c r="AX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c r="AA483" s="16"/>
      <c r="AB483" s="16"/>
      <c r="AC483" s="16"/>
      <c r="AD483" s="16"/>
      <c r="AE483" s="16"/>
      <c r="AF483" s="16"/>
      <c r="AG483" s="16"/>
      <c r="AH483" s="16"/>
      <c r="AI483" s="16"/>
      <c r="AJ483" s="16"/>
      <c r="AK483" s="16"/>
      <c r="AL483" s="16"/>
      <c r="AM483" s="16"/>
      <c r="AN483" s="16"/>
      <c r="AO483" s="16"/>
      <c r="AP483" s="16"/>
      <c r="AQ483" s="16"/>
      <c r="AR483" s="16"/>
      <c r="AS483" s="16"/>
      <c r="AT483" s="16"/>
      <c r="AU483" s="16"/>
      <c r="AV483" s="16"/>
      <c r="AW483" s="16"/>
      <c r="AX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c r="AH484" s="16"/>
      <c r="AI484" s="16"/>
      <c r="AJ484" s="16"/>
      <c r="AK484" s="16"/>
      <c r="AL484" s="16"/>
      <c r="AM484" s="16"/>
      <c r="AN484" s="16"/>
      <c r="AO484" s="16"/>
      <c r="AP484" s="16"/>
      <c r="AQ484" s="16"/>
      <c r="AR484" s="16"/>
      <c r="AS484" s="16"/>
      <c r="AT484" s="16"/>
      <c r="AU484" s="16"/>
      <c r="AV484" s="16"/>
      <c r="AW484" s="16"/>
      <c r="AX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c r="AH485" s="16"/>
      <c r="AI485" s="16"/>
      <c r="AJ485" s="16"/>
      <c r="AK485" s="16"/>
      <c r="AL485" s="16"/>
      <c r="AM485" s="16"/>
      <c r="AN485" s="16"/>
      <c r="AO485" s="16"/>
      <c r="AP485" s="16"/>
      <c r="AQ485" s="16"/>
      <c r="AR485" s="16"/>
      <c r="AS485" s="16"/>
      <c r="AT485" s="16"/>
      <c r="AU485" s="16"/>
      <c r="AV485" s="16"/>
      <c r="AW485" s="16"/>
      <c r="AX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c r="AA486" s="16"/>
      <c r="AB486" s="16"/>
      <c r="AC486" s="16"/>
      <c r="AD486" s="16"/>
      <c r="AE486" s="16"/>
      <c r="AF486" s="16"/>
      <c r="AG486" s="16"/>
      <c r="AH486" s="16"/>
      <c r="AI486" s="16"/>
      <c r="AJ486" s="16"/>
      <c r="AK486" s="16"/>
      <c r="AL486" s="16"/>
      <c r="AM486" s="16"/>
      <c r="AN486" s="16"/>
      <c r="AO486" s="16"/>
      <c r="AP486" s="16"/>
      <c r="AQ486" s="16"/>
      <c r="AR486" s="16"/>
      <c r="AS486" s="16"/>
      <c r="AT486" s="16"/>
      <c r="AU486" s="16"/>
      <c r="AV486" s="16"/>
      <c r="AW486" s="16"/>
      <c r="AX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c r="AG487" s="16"/>
      <c r="AH487" s="16"/>
      <c r="AI487" s="16"/>
      <c r="AJ487" s="16"/>
      <c r="AK487" s="16"/>
      <c r="AL487" s="16"/>
      <c r="AM487" s="16"/>
      <c r="AN487" s="16"/>
      <c r="AO487" s="16"/>
      <c r="AP487" s="16"/>
      <c r="AQ487" s="16"/>
      <c r="AR487" s="16"/>
      <c r="AS487" s="16"/>
      <c r="AT487" s="16"/>
      <c r="AU487" s="16"/>
      <c r="AV487" s="16"/>
      <c r="AW487" s="16"/>
      <c r="AX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c r="AA488" s="16"/>
      <c r="AB488" s="16"/>
      <c r="AC488" s="16"/>
      <c r="AD488" s="16"/>
      <c r="AE488" s="16"/>
      <c r="AF488" s="16"/>
      <c r="AG488" s="16"/>
      <c r="AH488" s="16"/>
      <c r="AI488" s="16"/>
      <c r="AJ488" s="16"/>
      <c r="AK488" s="16"/>
      <c r="AL488" s="16"/>
      <c r="AM488" s="16"/>
      <c r="AN488" s="16"/>
      <c r="AO488" s="16"/>
      <c r="AP488" s="16"/>
      <c r="AQ488" s="16"/>
      <c r="AR488" s="16"/>
      <c r="AS488" s="16"/>
      <c r="AT488" s="16"/>
      <c r="AU488" s="16"/>
      <c r="AV488" s="16"/>
      <c r="AW488" s="16"/>
      <c r="AX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c r="AA489" s="16"/>
      <c r="AB489" s="16"/>
      <c r="AC489" s="16"/>
      <c r="AD489" s="16"/>
      <c r="AE489" s="16"/>
      <c r="AF489" s="16"/>
      <c r="AG489" s="16"/>
      <c r="AH489" s="16"/>
      <c r="AI489" s="16"/>
      <c r="AJ489" s="16"/>
      <c r="AK489" s="16"/>
      <c r="AL489" s="16"/>
      <c r="AM489" s="16"/>
      <c r="AN489" s="16"/>
      <c r="AO489" s="16"/>
      <c r="AP489" s="16"/>
      <c r="AQ489" s="16"/>
      <c r="AR489" s="16"/>
      <c r="AS489" s="16"/>
      <c r="AT489" s="16"/>
      <c r="AU489" s="16"/>
      <c r="AV489" s="16"/>
      <c r="AW489" s="16"/>
      <c r="AX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c r="AA490" s="16"/>
      <c r="AB490" s="16"/>
      <c r="AC490" s="16"/>
      <c r="AD490" s="16"/>
      <c r="AE490" s="16"/>
      <c r="AF490" s="16"/>
      <c r="AG490" s="16"/>
      <c r="AH490" s="16"/>
      <c r="AI490" s="16"/>
      <c r="AJ490" s="16"/>
      <c r="AK490" s="16"/>
      <c r="AL490" s="16"/>
      <c r="AM490" s="16"/>
      <c r="AN490" s="16"/>
      <c r="AO490" s="16"/>
      <c r="AP490" s="16"/>
      <c r="AQ490" s="16"/>
      <c r="AR490" s="16"/>
      <c r="AS490" s="16"/>
      <c r="AT490" s="16"/>
      <c r="AU490" s="16"/>
      <c r="AV490" s="16"/>
      <c r="AW490" s="16"/>
      <c r="AX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c r="AA491" s="16"/>
      <c r="AB491" s="16"/>
      <c r="AC491" s="16"/>
      <c r="AD491" s="16"/>
      <c r="AE491" s="16"/>
      <c r="AF491" s="16"/>
      <c r="AG491" s="16"/>
      <c r="AH491" s="16"/>
      <c r="AI491" s="16"/>
      <c r="AJ491" s="16"/>
      <c r="AK491" s="16"/>
      <c r="AL491" s="16"/>
      <c r="AM491" s="16"/>
      <c r="AN491" s="16"/>
      <c r="AO491" s="16"/>
      <c r="AP491" s="16"/>
      <c r="AQ491" s="16"/>
      <c r="AR491" s="16"/>
      <c r="AS491" s="16"/>
      <c r="AT491" s="16"/>
      <c r="AU491" s="16"/>
      <c r="AV491" s="16"/>
      <c r="AW491" s="16"/>
      <c r="AX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c r="AA492" s="16"/>
      <c r="AB492" s="16"/>
      <c r="AC492" s="16"/>
      <c r="AD492" s="16"/>
      <c r="AE492" s="16"/>
      <c r="AF492" s="16"/>
      <c r="AG492" s="16"/>
      <c r="AH492" s="16"/>
      <c r="AI492" s="16"/>
      <c r="AJ492" s="16"/>
      <c r="AK492" s="16"/>
      <c r="AL492" s="16"/>
      <c r="AM492" s="16"/>
      <c r="AN492" s="16"/>
      <c r="AO492" s="16"/>
      <c r="AP492" s="16"/>
      <c r="AQ492" s="16"/>
      <c r="AR492" s="16"/>
      <c r="AS492" s="16"/>
      <c r="AT492" s="16"/>
      <c r="AU492" s="16"/>
      <c r="AV492" s="16"/>
      <c r="AW492" s="16"/>
      <c r="AX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c r="AG493" s="16"/>
      <c r="AH493" s="16"/>
      <c r="AI493" s="16"/>
      <c r="AJ493" s="16"/>
      <c r="AK493" s="16"/>
      <c r="AL493" s="16"/>
      <c r="AM493" s="16"/>
      <c r="AN493" s="16"/>
      <c r="AO493" s="16"/>
      <c r="AP493" s="16"/>
      <c r="AQ493" s="16"/>
      <c r="AR493" s="16"/>
      <c r="AS493" s="16"/>
      <c r="AT493" s="16"/>
      <c r="AU493" s="16"/>
      <c r="AV493" s="16"/>
      <c r="AW493" s="16"/>
      <c r="AX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c r="AA494" s="16"/>
      <c r="AB494" s="16"/>
      <c r="AC494" s="16"/>
      <c r="AD494" s="16"/>
      <c r="AE494" s="16"/>
      <c r="AF494" s="16"/>
      <c r="AG494" s="16"/>
      <c r="AH494" s="16"/>
      <c r="AI494" s="16"/>
      <c r="AJ494" s="16"/>
      <c r="AK494" s="16"/>
      <c r="AL494" s="16"/>
      <c r="AM494" s="16"/>
      <c r="AN494" s="16"/>
      <c r="AO494" s="16"/>
      <c r="AP494" s="16"/>
      <c r="AQ494" s="16"/>
      <c r="AR494" s="16"/>
      <c r="AS494" s="16"/>
      <c r="AT494" s="16"/>
      <c r="AU494" s="16"/>
      <c r="AV494" s="16"/>
      <c r="AW494" s="16"/>
      <c r="AX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c r="AA495" s="16"/>
      <c r="AB495" s="16"/>
      <c r="AC495" s="16"/>
      <c r="AD495" s="16"/>
      <c r="AE495" s="16"/>
      <c r="AF495" s="16"/>
      <c r="AG495" s="16"/>
      <c r="AH495" s="16"/>
      <c r="AI495" s="16"/>
      <c r="AJ495" s="16"/>
      <c r="AK495" s="16"/>
      <c r="AL495" s="16"/>
      <c r="AM495" s="16"/>
      <c r="AN495" s="16"/>
      <c r="AO495" s="16"/>
      <c r="AP495" s="16"/>
      <c r="AQ495" s="16"/>
      <c r="AR495" s="16"/>
      <c r="AS495" s="16"/>
      <c r="AT495" s="16"/>
      <c r="AU495" s="16"/>
      <c r="AV495" s="16"/>
      <c r="AW495" s="16"/>
      <c r="AX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c r="AA496" s="16"/>
      <c r="AB496" s="16"/>
      <c r="AC496" s="16"/>
      <c r="AD496" s="16"/>
      <c r="AE496" s="16"/>
      <c r="AF496" s="16"/>
      <c r="AG496" s="16"/>
      <c r="AH496" s="16"/>
      <c r="AI496" s="16"/>
      <c r="AJ496" s="16"/>
      <c r="AK496" s="16"/>
      <c r="AL496" s="16"/>
      <c r="AM496" s="16"/>
      <c r="AN496" s="16"/>
      <c r="AO496" s="16"/>
      <c r="AP496" s="16"/>
      <c r="AQ496" s="16"/>
      <c r="AR496" s="16"/>
      <c r="AS496" s="16"/>
      <c r="AT496" s="16"/>
      <c r="AU496" s="16"/>
      <c r="AV496" s="16"/>
      <c r="AW496" s="16"/>
      <c r="AX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c r="AA497" s="16"/>
      <c r="AB497" s="16"/>
      <c r="AC497" s="16"/>
      <c r="AD497" s="16"/>
      <c r="AE497" s="16"/>
      <c r="AF497" s="16"/>
      <c r="AG497" s="16"/>
      <c r="AH497" s="16"/>
      <c r="AI497" s="16"/>
      <c r="AJ497" s="16"/>
      <c r="AK497" s="16"/>
      <c r="AL497" s="16"/>
      <c r="AM497" s="16"/>
      <c r="AN497" s="16"/>
      <c r="AO497" s="16"/>
      <c r="AP497" s="16"/>
      <c r="AQ497" s="16"/>
      <c r="AR497" s="16"/>
      <c r="AS497" s="16"/>
      <c r="AT497" s="16"/>
      <c r="AU497" s="16"/>
      <c r="AV497" s="16"/>
      <c r="AW497" s="16"/>
      <c r="AX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c r="AA498" s="16"/>
      <c r="AB498" s="16"/>
      <c r="AC498" s="16"/>
      <c r="AD498" s="16"/>
      <c r="AE498" s="16"/>
      <c r="AF498" s="16"/>
      <c r="AG498" s="16"/>
      <c r="AH498" s="16"/>
      <c r="AI498" s="16"/>
      <c r="AJ498" s="16"/>
      <c r="AK498" s="16"/>
      <c r="AL498" s="16"/>
      <c r="AM498" s="16"/>
      <c r="AN498" s="16"/>
      <c r="AO498" s="16"/>
      <c r="AP498" s="16"/>
      <c r="AQ498" s="16"/>
      <c r="AR498" s="16"/>
      <c r="AS498" s="16"/>
      <c r="AT498" s="16"/>
      <c r="AU498" s="16"/>
      <c r="AV498" s="16"/>
      <c r="AW498" s="16"/>
      <c r="AX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c r="AA499" s="16"/>
      <c r="AB499" s="16"/>
      <c r="AC499" s="16"/>
      <c r="AD499" s="16"/>
      <c r="AE499" s="16"/>
      <c r="AF499" s="16"/>
      <c r="AG499" s="16"/>
      <c r="AH499" s="16"/>
      <c r="AI499" s="16"/>
      <c r="AJ499" s="16"/>
      <c r="AK499" s="16"/>
      <c r="AL499" s="16"/>
      <c r="AM499" s="16"/>
      <c r="AN499" s="16"/>
      <c r="AO499" s="16"/>
      <c r="AP499" s="16"/>
      <c r="AQ499" s="16"/>
      <c r="AR499" s="16"/>
      <c r="AS499" s="16"/>
      <c r="AT499" s="16"/>
      <c r="AU499" s="16"/>
      <c r="AV499" s="16"/>
      <c r="AW499" s="16"/>
      <c r="AX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c r="AG500" s="16"/>
      <c r="AH500" s="16"/>
      <c r="AI500" s="16"/>
      <c r="AJ500" s="16"/>
      <c r="AK500" s="16"/>
      <c r="AL500" s="16"/>
      <c r="AM500" s="16"/>
      <c r="AN500" s="16"/>
      <c r="AO500" s="16"/>
      <c r="AP500" s="16"/>
      <c r="AQ500" s="16"/>
      <c r="AR500" s="16"/>
      <c r="AS500" s="16"/>
      <c r="AT500" s="16"/>
      <c r="AU500" s="16"/>
      <c r="AV500" s="16"/>
      <c r="AW500" s="16"/>
      <c r="AX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c r="AG501" s="16"/>
      <c r="AH501" s="16"/>
      <c r="AI501" s="16"/>
      <c r="AJ501" s="16"/>
      <c r="AK501" s="16"/>
      <c r="AL501" s="16"/>
      <c r="AM501" s="16"/>
      <c r="AN501" s="16"/>
      <c r="AO501" s="16"/>
      <c r="AP501" s="16"/>
      <c r="AQ501" s="16"/>
      <c r="AR501" s="16"/>
      <c r="AS501" s="16"/>
      <c r="AT501" s="16"/>
      <c r="AU501" s="16"/>
      <c r="AV501" s="16"/>
      <c r="AW501" s="16"/>
      <c r="AX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c r="AA502" s="16"/>
      <c r="AB502" s="16"/>
      <c r="AC502" s="16"/>
      <c r="AD502" s="16"/>
      <c r="AE502" s="16"/>
      <c r="AF502" s="16"/>
      <c r="AG502" s="16"/>
      <c r="AH502" s="16"/>
      <c r="AI502" s="16"/>
      <c r="AJ502" s="16"/>
      <c r="AK502" s="16"/>
      <c r="AL502" s="16"/>
      <c r="AM502" s="16"/>
      <c r="AN502" s="16"/>
      <c r="AO502" s="16"/>
      <c r="AP502" s="16"/>
      <c r="AQ502" s="16"/>
      <c r="AR502" s="16"/>
      <c r="AS502" s="16"/>
      <c r="AT502" s="16"/>
      <c r="AU502" s="16"/>
      <c r="AV502" s="16"/>
      <c r="AW502" s="16"/>
      <c r="AX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c r="AA503" s="16"/>
      <c r="AB503" s="16"/>
      <c r="AC503" s="16"/>
      <c r="AD503" s="16"/>
      <c r="AE503" s="16"/>
      <c r="AF503" s="16"/>
      <c r="AG503" s="16"/>
      <c r="AH503" s="16"/>
      <c r="AI503" s="16"/>
      <c r="AJ503" s="16"/>
      <c r="AK503" s="16"/>
      <c r="AL503" s="16"/>
      <c r="AM503" s="16"/>
      <c r="AN503" s="16"/>
      <c r="AO503" s="16"/>
      <c r="AP503" s="16"/>
      <c r="AQ503" s="16"/>
      <c r="AR503" s="16"/>
      <c r="AS503" s="16"/>
      <c r="AT503" s="16"/>
      <c r="AU503" s="16"/>
      <c r="AV503" s="16"/>
      <c r="AW503" s="16"/>
      <c r="AX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c r="AG504" s="16"/>
      <c r="AH504" s="16"/>
      <c r="AI504" s="16"/>
      <c r="AJ504" s="16"/>
      <c r="AK504" s="16"/>
      <c r="AL504" s="16"/>
      <c r="AM504" s="16"/>
      <c r="AN504" s="16"/>
      <c r="AO504" s="16"/>
      <c r="AP504" s="16"/>
      <c r="AQ504" s="16"/>
      <c r="AR504" s="16"/>
      <c r="AS504" s="16"/>
      <c r="AT504" s="16"/>
      <c r="AU504" s="16"/>
      <c r="AV504" s="16"/>
      <c r="AW504" s="16"/>
      <c r="AX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c r="AG505" s="16"/>
      <c r="AH505" s="16"/>
      <c r="AI505" s="16"/>
      <c r="AJ505" s="16"/>
      <c r="AK505" s="16"/>
      <c r="AL505" s="16"/>
      <c r="AM505" s="16"/>
      <c r="AN505" s="16"/>
      <c r="AO505" s="16"/>
      <c r="AP505" s="16"/>
      <c r="AQ505" s="16"/>
      <c r="AR505" s="16"/>
      <c r="AS505" s="16"/>
      <c r="AT505" s="16"/>
      <c r="AU505" s="16"/>
      <c r="AV505" s="16"/>
      <c r="AW505" s="16"/>
      <c r="AX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c r="AG506" s="16"/>
      <c r="AH506" s="16"/>
      <c r="AI506" s="16"/>
      <c r="AJ506" s="16"/>
      <c r="AK506" s="16"/>
      <c r="AL506" s="16"/>
      <c r="AM506" s="16"/>
      <c r="AN506" s="16"/>
      <c r="AO506" s="16"/>
      <c r="AP506" s="16"/>
      <c r="AQ506" s="16"/>
      <c r="AR506" s="16"/>
      <c r="AS506" s="16"/>
      <c r="AT506" s="16"/>
      <c r="AU506" s="16"/>
      <c r="AV506" s="16"/>
      <c r="AW506" s="16"/>
      <c r="AX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c r="AG507" s="16"/>
      <c r="AH507" s="16"/>
      <c r="AI507" s="16"/>
      <c r="AJ507" s="16"/>
      <c r="AK507" s="16"/>
      <c r="AL507" s="16"/>
      <c r="AM507" s="16"/>
      <c r="AN507" s="16"/>
      <c r="AO507" s="16"/>
      <c r="AP507" s="16"/>
      <c r="AQ507" s="16"/>
      <c r="AR507" s="16"/>
      <c r="AS507" s="16"/>
      <c r="AT507" s="16"/>
      <c r="AU507" s="16"/>
      <c r="AV507" s="16"/>
      <c r="AW507" s="16"/>
      <c r="AX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c r="AG508" s="16"/>
      <c r="AH508" s="16"/>
      <c r="AI508" s="16"/>
      <c r="AJ508" s="16"/>
      <c r="AK508" s="16"/>
      <c r="AL508" s="16"/>
      <c r="AM508" s="16"/>
      <c r="AN508" s="16"/>
      <c r="AO508" s="16"/>
      <c r="AP508" s="16"/>
      <c r="AQ508" s="16"/>
      <c r="AR508" s="16"/>
      <c r="AS508" s="16"/>
      <c r="AT508" s="16"/>
      <c r="AU508" s="16"/>
      <c r="AV508" s="16"/>
      <c r="AW508" s="16"/>
      <c r="AX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c r="AG509" s="16"/>
      <c r="AH509" s="16"/>
      <c r="AI509" s="16"/>
      <c r="AJ509" s="16"/>
      <c r="AK509" s="16"/>
      <c r="AL509" s="16"/>
      <c r="AM509" s="16"/>
      <c r="AN509" s="16"/>
      <c r="AO509" s="16"/>
      <c r="AP509" s="16"/>
      <c r="AQ509" s="16"/>
      <c r="AR509" s="16"/>
      <c r="AS509" s="16"/>
      <c r="AT509" s="16"/>
      <c r="AU509" s="16"/>
      <c r="AV509" s="16"/>
      <c r="AW509" s="16"/>
      <c r="AX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c r="AG510" s="16"/>
      <c r="AH510" s="16"/>
      <c r="AI510" s="16"/>
      <c r="AJ510" s="16"/>
      <c r="AK510" s="16"/>
      <c r="AL510" s="16"/>
      <c r="AM510" s="16"/>
      <c r="AN510" s="16"/>
      <c r="AO510" s="16"/>
      <c r="AP510" s="16"/>
      <c r="AQ510" s="16"/>
      <c r="AR510" s="16"/>
      <c r="AS510" s="16"/>
      <c r="AT510" s="16"/>
      <c r="AU510" s="16"/>
      <c r="AV510" s="16"/>
      <c r="AW510" s="16"/>
      <c r="AX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c r="AG511" s="16"/>
      <c r="AH511" s="16"/>
      <c r="AI511" s="16"/>
      <c r="AJ511" s="16"/>
      <c r="AK511" s="16"/>
      <c r="AL511" s="16"/>
      <c r="AM511" s="16"/>
      <c r="AN511" s="16"/>
      <c r="AO511" s="16"/>
      <c r="AP511" s="16"/>
      <c r="AQ511" s="16"/>
      <c r="AR511" s="16"/>
      <c r="AS511" s="16"/>
      <c r="AT511" s="16"/>
      <c r="AU511" s="16"/>
      <c r="AV511" s="16"/>
      <c r="AW511" s="16"/>
      <c r="AX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c r="AG512" s="16"/>
      <c r="AH512" s="16"/>
      <c r="AI512" s="16"/>
      <c r="AJ512" s="16"/>
      <c r="AK512" s="16"/>
      <c r="AL512" s="16"/>
      <c r="AM512" s="16"/>
      <c r="AN512" s="16"/>
      <c r="AO512" s="16"/>
      <c r="AP512" s="16"/>
      <c r="AQ512" s="16"/>
      <c r="AR512" s="16"/>
      <c r="AS512" s="16"/>
      <c r="AT512" s="16"/>
      <c r="AU512" s="16"/>
      <c r="AV512" s="16"/>
      <c r="AW512" s="16"/>
      <c r="AX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c r="AG513" s="16"/>
      <c r="AH513" s="16"/>
      <c r="AI513" s="16"/>
      <c r="AJ513" s="16"/>
      <c r="AK513" s="16"/>
      <c r="AL513" s="16"/>
      <c r="AM513" s="16"/>
      <c r="AN513" s="16"/>
      <c r="AO513" s="16"/>
      <c r="AP513" s="16"/>
      <c r="AQ513" s="16"/>
      <c r="AR513" s="16"/>
      <c r="AS513" s="16"/>
      <c r="AT513" s="16"/>
      <c r="AU513" s="16"/>
      <c r="AV513" s="16"/>
      <c r="AW513" s="16"/>
      <c r="AX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c r="AG514" s="16"/>
      <c r="AH514" s="16"/>
      <c r="AI514" s="16"/>
      <c r="AJ514" s="16"/>
      <c r="AK514" s="16"/>
      <c r="AL514" s="16"/>
      <c r="AM514" s="16"/>
      <c r="AN514" s="16"/>
      <c r="AO514" s="16"/>
      <c r="AP514" s="16"/>
      <c r="AQ514" s="16"/>
      <c r="AR514" s="16"/>
      <c r="AS514" s="16"/>
      <c r="AT514" s="16"/>
      <c r="AU514" s="16"/>
      <c r="AV514" s="16"/>
      <c r="AW514" s="16"/>
      <c r="AX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c r="AG515" s="16"/>
      <c r="AH515" s="16"/>
      <c r="AI515" s="16"/>
      <c r="AJ515" s="16"/>
      <c r="AK515" s="16"/>
      <c r="AL515" s="16"/>
      <c r="AM515" s="16"/>
      <c r="AN515" s="16"/>
      <c r="AO515" s="16"/>
      <c r="AP515" s="16"/>
      <c r="AQ515" s="16"/>
      <c r="AR515" s="16"/>
      <c r="AS515" s="16"/>
      <c r="AT515" s="16"/>
      <c r="AU515" s="16"/>
      <c r="AV515" s="16"/>
      <c r="AW515" s="16"/>
      <c r="AX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c r="AG516" s="16"/>
      <c r="AH516" s="16"/>
      <c r="AI516" s="16"/>
      <c r="AJ516" s="16"/>
      <c r="AK516" s="16"/>
      <c r="AL516" s="16"/>
      <c r="AM516" s="16"/>
      <c r="AN516" s="16"/>
      <c r="AO516" s="16"/>
      <c r="AP516" s="16"/>
      <c r="AQ516" s="16"/>
      <c r="AR516" s="16"/>
      <c r="AS516" s="16"/>
      <c r="AT516" s="16"/>
      <c r="AU516" s="16"/>
      <c r="AV516" s="16"/>
      <c r="AW516" s="16"/>
      <c r="AX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c r="AG517" s="16"/>
      <c r="AH517" s="16"/>
      <c r="AI517" s="16"/>
      <c r="AJ517" s="16"/>
      <c r="AK517" s="16"/>
      <c r="AL517" s="16"/>
      <c r="AM517" s="16"/>
      <c r="AN517" s="16"/>
      <c r="AO517" s="16"/>
      <c r="AP517" s="16"/>
      <c r="AQ517" s="16"/>
      <c r="AR517" s="16"/>
      <c r="AS517" s="16"/>
      <c r="AT517" s="16"/>
      <c r="AU517" s="16"/>
      <c r="AV517" s="16"/>
      <c r="AW517" s="16"/>
      <c r="AX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c r="AG518" s="16"/>
      <c r="AH518" s="16"/>
      <c r="AI518" s="16"/>
      <c r="AJ518" s="16"/>
      <c r="AK518" s="16"/>
      <c r="AL518" s="16"/>
      <c r="AM518" s="16"/>
      <c r="AN518" s="16"/>
      <c r="AO518" s="16"/>
      <c r="AP518" s="16"/>
      <c r="AQ518" s="16"/>
      <c r="AR518" s="16"/>
      <c r="AS518" s="16"/>
      <c r="AT518" s="16"/>
      <c r="AU518" s="16"/>
      <c r="AV518" s="16"/>
      <c r="AW518" s="16"/>
      <c r="AX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c r="AG519" s="16"/>
      <c r="AH519" s="16"/>
      <c r="AI519" s="16"/>
      <c r="AJ519" s="16"/>
      <c r="AK519" s="16"/>
      <c r="AL519" s="16"/>
      <c r="AM519" s="16"/>
      <c r="AN519" s="16"/>
      <c r="AO519" s="16"/>
      <c r="AP519" s="16"/>
      <c r="AQ519" s="16"/>
      <c r="AR519" s="16"/>
      <c r="AS519" s="16"/>
      <c r="AT519" s="16"/>
      <c r="AU519" s="16"/>
      <c r="AV519" s="16"/>
      <c r="AW519" s="16"/>
      <c r="AX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c r="AG520" s="16"/>
      <c r="AH520" s="16"/>
      <c r="AI520" s="16"/>
      <c r="AJ520" s="16"/>
      <c r="AK520" s="16"/>
      <c r="AL520" s="16"/>
      <c r="AM520" s="16"/>
      <c r="AN520" s="16"/>
      <c r="AO520" s="16"/>
      <c r="AP520" s="16"/>
      <c r="AQ520" s="16"/>
      <c r="AR520" s="16"/>
      <c r="AS520" s="16"/>
      <c r="AT520" s="16"/>
      <c r="AU520" s="16"/>
      <c r="AV520" s="16"/>
      <c r="AW520" s="16"/>
      <c r="AX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c r="AG521" s="16"/>
      <c r="AH521" s="16"/>
      <c r="AI521" s="16"/>
      <c r="AJ521" s="16"/>
      <c r="AK521" s="16"/>
      <c r="AL521" s="16"/>
      <c r="AM521" s="16"/>
      <c r="AN521" s="16"/>
      <c r="AO521" s="16"/>
      <c r="AP521" s="16"/>
      <c r="AQ521" s="16"/>
      <c r="AR521" s="16"/>
      <c r="AS521" s="16"/>
      <c r="AT521" s="16"/>
      <c r="AU521" s="16"/>
      <c r="AV521" s="16"/>
      <c r="AW521" s="16"/>
      <c r="AX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c r="AG522" s="16"/>
      <c r="AH522" s="16"/>
      <c r="AI522" s="16"/>
      <c r="AJ522" s="16"/>
      <c r="AK522" s="16"/>
      <c r="AL522" s="16"/>
      <c r="AM522" s="16"/>
      <c r="AN522" s="16"/>
      <c r="AO522" s="16"/>
      <c r="AP522" s="16"/>
      <c r="AQ522" s="16"/>
      <c r="AR522" s="16"/>
      <c r="AS522" s="16"/>
      <c r="AT522" s="16"/>
      <c r="AU522" s="16"/>
      <c r="AV522" s="16"/>
      <c r="AW522" s="16"/>
      <c r="AX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c r="AG523" s="16"/>
      <c r="AH523" s="16"/>
      <c r="AI523" s="16"/>
      <c r="AJ523" s="16"/>
      <c r="AK523" s="16"/>
      <c r="AL523" s="16"/>
      <c r="AM523" s="16"/>
      <c r="AN523" s="16"/>
      <c r="AO523" s="16"/>
      <c r="AP523" s="16"/>
      <c r="AQ523" s="16"/>
      <c r="AR523" s="16"/>
      <c r="AS523" s="16"/>
      <c r="AT523" s="16"/>
      <c r="AU523" s="16"/>
      <c r="AV523" s="16"/>
      <c r="AW523" s="16"/>
      <c r="AX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c r="AG524" s="16"/>
      <c r="AH524" s="16"/>
      <c r="AI524" s="16"/>
      <c r="AJ524" s="16"/>
      <c r="AK524" s="16"/>
      <c r="AL524" s="16"/>
      <c r="AM524" s="16"/>
      <c r="AN524" s="16"/>
      <c r="AO524" s="16"/>
      <c r="AP524" s="16"/>
      <c r="AQ524" s="16"/>
      <c r="AR524" s="16"/>
      <c r="AS524" s="16"/>
      <c r="AT524" s="16"/>
      <c r="AU524" s="16"/>
      <c r="AV524" s="16"/>
      <c r="AW524" s="16"/>
      <c r="AX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c r="AG525" s="16"/>
      <c r="AH525" s="16"/>
      <c r="AI525" s="16"/>
      <c r="AJ525" s="16"/>
      <c r="AK525" s="16"/>
      <c r="AL525" s="16"/>
      <c r="AM525" s="16"/>
      <c r="AN525" s="16"/>
      <c r="AO525" s="16"/>
      <c r="AP525" s="16"/>
      <c r="AQ525" s="16"/>
      <c r="AR525" s="16"/>
      <c r="AS525" s="16"/>
      <c r="AT525" s="16"/>
      <c r="AU525" s="16"/>
      <c r="AV525" s="16"/>
      <c r="AW525" s="16"/>
      <c r="AX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c r="AG526" s="16"/>
      <c r="AH526" s="16"/>
      <c r="AI526" s="16"/>
      <c r="AJ526" s="16"/>
      <c r="AK526" s="16"/>
      <c r="AL526" s="16"/>
      <c r="AM526" s="16"/>
      <c r="AN526" s="16"/>
      <c r="AO526" s="16"/>
      <c r="AP526" s="16"/>
      <c r="AQ526" s="16"/>
      <c r="AR526" s="16"/>
      <c r="AS526" s="16"/>
      <c r="AT526" s="16"/>
      <c r="AU526" s="16"/>
      <c r="AV526" s="16"/>
      <c r="AW526" s="16"/>
      <c r="AX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c r="AG527" s="16"/>
      <c r="AH527" s="16"/>
      <c r="AI527" s="16"/>
      <c r="AJ527" s="16"/>
      <c r="AK527" s="16"/>
      <c r="AL527" s="16"/>
      <c r="AM527" s="16"/>
      <c r="AN527" s="16"/>
      <c r="AO527" s="16"/>
      <c r="AP527" s="16"/>
      <c r="AQ527" s="16"/>
      <c r="AR527" s="16"/>
      <c r="AS527" s="16"/>
      <c r="AT527" s="16"/>
      <c r="AU527" s="16"/>
      <c r="AV527" s="16"/>
      <c r="AW527" s="16"/>
      <c r="AX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c r="AG528" s="16"/>
      <c r="AH528" s="16"/>
      <c r="AI528" s="16"/>
      <c r="AJ528" s="16"/>
      <c r="AK528" s="16"/>
      <c r="AL528" s="16"/>
      <c r="AM528" s="16"/>
      <c r="AN528" s="16"/>
      <c r="AO528" s="16"/>
      <c r="AP528" s="16"/>
      <c r="AQ528" s="16"/>
      <c r="AR528" s="16"/>
      <c r="AS528" s="16"/>
      <c r="AT528" s="16"/>
      <c r="AU528" s="16"/>
      <c r="AV528" s="16"/>
      <c r="AW528" s="16"/>
      <c r="AX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c r="AA529" s="16"/>
      <c r="AB529" s="16"/>
      <c r="AC529" s="16"/>
      <c r="AD529" s="16"/>
      <c r="AE529" s="16"/>
      <c r="AF529" s="16"/>
      <c r="AG529" s="16"/>
      <c r="AH529" s="16"/>
      <c r="AI529" s="16"/>
      <c r="AJ529" s="16"/>
      <c r="AK529" s="16"/>
      <c r="AL529" s="16"/>
      <c r="AM529" s="16"/>
      <c r="AN529" s="16"/>
      <c r="AO529" s="16"/>
      <c r="AP529" s="16"/>
      <c r="AQ529" s="16"/>
      <c r="AR529" s="16"/>
      <c r="AS529" s="16"/>
      <c r="AT529" s="16"/>
      <c r="AU529" s="16"/>
      <c r="AV529" s="16"/>
      <c r="AW529" s="16"/>
      <c r="AX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c r="AA530" s="16"/>
      <c r="AB530" s="16"/>
      <c r="AC530" s="16"/>
      <c r="AD530" s="16"/>
      <c r="AE530" s="16"/>
      <c r="AF530" s="16"/>
      <c r="AG530" s="16"/>
      <c r="AH530" s="16"/>
      <c r="AI530" s="16"/>
      <c r="AJ530" s="16"/>
      <c r="AK530" s="16"/>
      <c r="AL530" s="16"/>
      <c r="AM530" s="16"/>
      <c r="AN530" s="16"/>
      <c r="AO530" s="16"/>
      <c r="AP530" s="16"/>
      <c r="AQ530" s="16"/>
      <c r="AR530" s="16"/>
      <c r="AS530" s="16"/>
      <c r="AT530" s="16"/>
      <c r="AU530" s="16"/>
      <c r="AV530" s="16"/>
      <c r="AW530" s="16"/>
      <c r="AX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c r="AA531" s="16"/>
      <c r="AB531" s="16"/>
      <c r="AC531" s="16"/>
      <c r="AD531" s="16"/>
      <c r="AE531" s="16"/>
      <c r="AF531" s="16"/>
      <c r="AG531" s="16"/>
      <c r="AH531" s="16"/>
      <c r="AI531" s="16"/>
      <c r="AJ531" s="16"/>
      <c r="AK531" s="16"/>
      <c r="AL531" s="16"/>
      <c r="AM531" s="16"/>
      <c r="AN531" s="16"/>
      <c r="AO531" s="16"/>
      <c r="AP531" s="16"/>
      <c r="AQ531" s="16"/>
      <c r="AR531" s="16"/>
      <c r="AS531" s="16"/>
      <c r="AT531" s="16"/>
      <c r="AU531" s="16"/>
      <c r="AV531" s="16"/>
      <c r="AW531" s="16"/>
      <c r="AX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c r="AA532" s="16"/>
      <c r="AB532" s="16"/>
      <c r="AC532" s="16"/>
      <c r="AD532" s="16"/>
      <c r="AE532" s="16"/>
      <c r="AF532" s="16"/>
      <c r="AG532" s="16"/>
      <c r="AH532" s="16"/>
      <c r="AI532" s="16"/>
      <c r="AJ532" s="16"/>
      <c r="AK532" s="16"/>
      <c r="AL532" s="16"/>
      <c r="AM532" s="16"/>
      <c r="AN532" s="16"/>
      <c r="AO532" s="16"/>
      <c r="AP532" s="16"/>
      <c r="AQ532" s="16"/>
      <c r="AR532" s="16"/>
      <c r="AS532" s="16"/>
      <c r="AT532" s="16"/>
      <c r="AU532" s="16"/>
      <c r="AV532" s="16"/>
      <c r="AW532" s="16"/>
      <c r="AX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c r="AA546" s="16"/>
      <c r="AB546" s="16"/>
      <c r="AC546" s="16"/>
      <c r="AD546" s="16"/>
      <c r="AE546" s="16"/>
      <c r="AF546" s="16"/>
      <c r="AG546" s="16"/>
      <c r="AH546" s="16"/>
      <c r="AI546" s="16"/>
      <c r="AJ546" s="16"/>
      <c r="AK546" s="16"/>
      <c r="AL546" s="16"/>
      <c r="AM546" s="16"/>
      <c r="AN546" s="16"/>
      <c r="AO546" s="16"/>
      <c r="AP546" s="16"/>
      <c r="AQ546" s="16"/>
      <c r="AR546" s="16"/>
      <c r="AS546" s="16"/>
      <c r="AT546" s="16"/>
      <c r="AU546" s="16"/>
      <c r="AV546" s="16"/>
      <c r="AW546" s="16"/>
      <c r="AX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c r="AG547" s="16"/>
      <c r="AH547" s="16"/>
      <c r="AI547" s="16"/>
      <c r="AJ547" s="16"/>
      <c r="AK547" s="16"/>
      <c r="AL547" s="16"/>
      <c r="AM547" s="16"/>
      <c r="AN547" s="16"/>
      <c r="AO547" s="16"/>
      <c r="AP547" s="16"/>
      <c r="AQ547" s="16"/>
      <c r="AR547" s="16"/>
      <c r="AS547" s="16"/>
      <c r="AT547" s="16"/>
      <c r="AU547" s="16"/>
      <c r="AV547" s="16"/>
      <c r="AW547" s="16"/>
      <c r="AX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c r="AG548" s="16"/>
      <c r="AH548" s="16"/>
      <c r="AI548" s="16"/>
      <c r="AJ548" s="16"/>
      <c r="AK548" s="16"/>
      <c r="AL548" s="16"/>
      <c r="AM548" s="16"/>
      <c r="AN548" s="16"/>
      <c r="AO548" s="16"/>
      <c r="AP548" s="16"/>
      <c r="AQ548" s="16"/>
      <c r="AR548" s="16"/>
      <c r="AS548" s="16"/>
      <c r="AT548" s="16"/>
      <c r="AU548" s="16"/>
      <c r="AV548" s="16"/>
      <c r="AW548" s="16"/>
      <c r="AX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V549" s="16"/>
      <c r="AW549" s="16"/>
      <c r="AX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c r="AS550" s="16"/>
      <c r="AT550" s="16"/>
      <c r="AU550" s="16"/>
      <c r="AV550" s="16"/>
      <c r="AW550" s="16"/>
      <c r="AX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V551" s="16"/>
      <c r="AW551" s="16"/>
      <c r="AX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c r="AS552" s="16"/>
      <c r="AT552" s="16"/>
      <c r="AU552" s="16"/>
      <c r="AV552" s="16"/>
      <c r="AW552" s="16"/>
      <c r="AX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c r="AS554" s="16"/>
      <c r="AT554" s="16"/>
      <c r="AU554" s="16"/>
      <c r="AV554" s="16"/>
      <c r="AW554" s="16"/>
      <c r="AX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V555" s="16"/>
      <c r="AW555" s="16"/>
      <c r="AX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c r="AS556" s="16"/>
      <c r="AT556" s="16"/>
      <c r="AU556" s="16"/>
      <c r="AV556" s="16"/>
      <c r="AW556" s="16"/>
      <c r="AX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V557" s="16"/>
      <c r="AW557" s="16"/>
      <c r="AX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c r="AG568" s="16"/>
      <c r="AH568" s="16"/>
      <c r="AI568" s="16"/>
      <c r="AJ568" s="16"/>
      <c r="AK568" s="16"/>
      <c r="AL568" s="16"/>
      <c r="AM568" s="16"/>
      <c r="AN568" s="16"/>
      <c r="AO568" s="16"/>
      <c r="AP568" s="16"/>
      <c r="AQ568" s="16"/>
      <c r="AR568" s="16"/>
      <c r="AS568" s="16"/>
      <c r="AT568" s="16"/>
      <c r="AU568" s="16"/>
      <c r="AV568" s="16"/>
      <c r="AW568" s="16"/>
      <c r="AX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c r="AA569" s="16"/>
      <c r="AB569" s="16"/>
      <c r="AC569" s="16"/>
      <c r="AD569" s="16"/>
      <c r="AE569" s="16"/>
      <c r="AF569" s="16"/>
      <c r="AG569" s="16"/>
      <c r="AH569" s="16"/>
      <c r="AI569" s="16"/>
      <c r="AJ569" s="16"/>
      <c r="AK569" s="16"/>
      <c r="AL569" s="16"/>
      <c r="AM569" s="16"/>
      <c r="AN569" s="16"/>
      <c r="AO569" s="16"/>
      <c r="AP569" s="16"/>
      <c r="AQ569" s="16"/>
      <c r="AR569" s="16"/>
      <c r="AS569" s="16"/>
      <c r="AT569" s="16"/>
      <c r="AU569" s="16"/>
      <c r="AV569" s="16"/>
      <c r="AW569" s="16"/>
      <c r="AX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c r="AA570" s="16"/>
      <c r="AB570" s="16"/>
      <c r="AC570" s="16"/>
      <c r="AD570" s="16"/>
      <c r="AE570" s="16"/>
      <c r="AF570" s="16"/>
      <c r="AG570" s="16"/>
      <c r="AH570" s="16"/>
      <c r="AI570" s="16"/>
      <c r="AJ570" s="16"/>
      <c r="AK570" s="16"/>
      <c r="AL570" s="16"/>
      <c r="AM570" s="16"/>
      <c r="AN570" s="16"/>
      <c r="AO570" s="16"/>
      <c r="AP570" s="16"/>
      <c r="AQ570" s="16"/>
      <c r="AR570" s="16"/>
      <c r="AS570" s="16"/>
      <c r="AT570" s="16"/>
      <c r="AU570" s="16"/>
      <c r="AV570" s="16"/>
      <c r="AW570" s="16"/>
      <c r="AX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F571" s="16"/>
      <c r="AG571" s="16"/>
      <c r="AH571" s="16"/>
      <c r="AI571" s="16"/>
      <c r="AJ571" s="16"/>
      <c r="AK571" s="16"/>
      <c r="AL571" s="16"/>
      <c r="AM571" s="16"/>
      <c r="AN571" s="16"/>
      <c r="AO571" s="16"/>
      <c r="AP571" s="16"/>
      <c r="AQ571" s="16"/>
      <c r="AR571" s="16"/>
      <c r="AS571" s="16"/>
      <c r="AT571" s="16"/>
      <c r="AU571" s="16"/>
      <c r="AV571" s="16"/>
      <c r="AW571" s="16"/>
      <c r="AX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F572" s="16"/>
      <c r="AG572" s="16"/>
      <c r="AH572" s="16"/>
      <c r="AI572" s="16"/>
      <c r="AJ572" s="16"/>
      <c r="AK572" s="16"/>
      <c r="AL572" s="16"/>
      <c r="AM572" s="16"/>
      <c r="AN572" s="16"/>
      <c r="AO572" s="16"/>
      <c r="AP572" s="16"/>
      <c r="AQ572" s="16"/>
      <c r="AR572" s="16"/>
      <c r="AS572" s="16"/>
      <c r="AT572" s="16"/>
      <c r="AU572" s="16"/>
      <c r="AV572" s="16"/>
      <c r="AW572" s="16"/>
      <c r="AX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F573" s="16"/>
      <c r="AG573" s="16"/>
      <c r="AH573" s="16"/>
      <c r="AI573" s="16"/>
      <c r="AJ573" s="16"/>
      <c r="AK573" s="16"/>
      <c r="AL573" s="16"/>
      <c r="AM573" s="16"/>
      <c r="AN573" s="16"/>
      <c r="AO573" s="16"/>
      <c r="AP573" s="16"/>
      <c r="AQ573" s="16"/>
      <c r="AR573" s="16"/>
      <c r="AS573" s="16"/>
      <c r="AT573" s="16"/>
      <c r="AU573" s="16"/>
      <c r="AV573" s="16"/>
      <c r="AW573" s="16"/>
      <c r="AX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c r="AG574" s="16"/>
      <c r="AH574" s="16"/>
      <c r="AI574" s="16"/>
      <c r="AJ574" s="16"/>
      <c r="AK574" s="16"/>
      <c r="AL574" s="16"/>
      <c r="AM574" s="16"/>
      <c r="AN574" s="16"/>
      <c r="AO574" s="16"/>
      <c r="AP574" s="16"/>
      <c r="AQ574" s="16"/>
      <c r="AR574" s="16"/>
      <c r="AS574" s="16"/>
      <c r="AT574" s="16"/>
      <c r="AU574" s="16"/>
      <c r="AV574" s="16"/>
      <c r="AW574" s="16"/>
      <c r="AX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c r="AH575" s="16"/>
      <c r="AI575" s="16"/>
      <c r="AJ575" s="16"/>
      <c r="AK575" s="16"/>
      <c r="AL575" s="16"/>
      <c r="AM575" s="16"/>
      <c r="AN575" s="16"/>
      <c r="AO575" s="16"/>
      <c r="AP575" s="16"/>
      <c r="AQ575" s="16"/>
      <c r="AR575" s="16"/>
      <c r="AS575" s="16"/>
      <c r="AT575" s="16"/>
      <c r="AU575" s="16"/>
      <c r="AV575" s="16"/>
      <c r="AW575" s="16"/>
      <c r="AX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c r="AH576" s="16"/>
      <c r="AI576" s="16"/>
      <c r="AJ576" s="16"/>
      <c r="AK576" s="16"/>
      <c r="AL576" s="16"/>
      <c r="AM576" s="16"/>
      <c r="AN576" s="16"/>
      <c r="AO576" s="16"/>
      <c r="AP576" s="16"/>
      <c r="AQ576" s="16"/>
      <c r="AR576" s="16"/>
      <c r="AS576" s="16"/>
      <c r="AT576" s="16"/>
      <c r="AU576" s="16"/>
      <c r="AV576" s="16"/>
      <c r="AW576" s="16"/>
      <c r="AX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c r="AG577" s="16"/>
      <c r="AH577" s="16"/>
      <c r="AI577" s="16"/>
      <c r="AJ577" s="16"/>
      <c r="AK577" s="16"/>
      <c r="AL577" s="16"/>
      <c r="AM577" s="16"/>
      <c r="AN577" s="16"/>
      <c r="AO577" s="16"/>
      <c r="AP577" s="16"/>
      <c r="AQ577" s="16"/>
      <c r="AR577" s="16"/>
      <c r="AS577" s="16"/>
      <c r="AT577" s="16"/>
      <c r="AU577" s="16"/>
      <c r="AV577" s="16"/>
      <c r="AW577" s="16"/>
      <c r="AX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c r="AH578" s="16"/>
      <c r="AI578" s="16"/>
      <c r="AJ578" s="16"/>
      <c r="AK578" s="16"/>
      <c r="AL578" s="16"/>
      <c r="AM578" s="16"/>
      <c r="AN578" s="16"/>
      <c r="AO578" s="16"/>
      <c r="AP578" s="16"/>
      <c r="AQ578" s="16"/>
      <c r="AR578" s="16"/>
      <c r="AS578" s="16"/>
      <c r="AT578" s="16"/>
      <c r="AU578" s="16"/>
      <c r="AV578" s="16"/>
      <c r="AW578" s="16"/>
      <c r="AX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c r="AH579" s="16"/>
      <c r="AI579" s="16"/>
      <c r="AJ579" s="16"/>
      <c r="AK579" s="16"/>
      <c r="AL579" s="16"/>
      <c r="AM579" s="16"/>
      <c r="AN579" s="16"/>
      <c r="AO579" s="16"/>
      <c r="AP579" s="16"/>
      <c r="AQ579" s="16"/>
      <c r="AR579" s="16"/>
      <c r="AS579" s="16"/>
      <c r="AT579" s="16"/>
      <c r="AU579" s="16"/>
      <c r="AV579" s="16"/>
      <c r="AW579" s="16"/>
      <c r="AX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c r="AG580" s="16"/>
      <c r="AH580" s="16"/>
      <c r="AI580" s="16"/>
      <c r="AJ580" s="16"/>
      <c r="AK580" s="16"/>
      <c r="AL580" s="16"/>
      <c r="AM580" s="16"/>
      <c r="AN580" s="16"/>
      <c r="AO580" s="16"/>
      <c r="AP580" s="16"/>
      <c r="AQ580" s="16"/>
      <c r="AR580" s="16"/>
      <c r="AS580" s="16"/>
      <c r="AT580" s="16"/>
      <c r="AU580" s="16"/>
      <c r="AV580" s="16"/>
      <c r="AW580" s="16"/>
      <c r="AX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c r="AG581" s="16"/>
      <c r="AH581" s="16"/>
      <c r="AI581" s="16"/>
      <c r="AJ581" s="16"/>
      <c r="AK581" s="16"/>
      <c r="AL581" s="16"/>
      <c r="AM581" s="16"/>
      <c r="AN581" s="16"/>
      <c r="AO581" s="16"/>
      <c r="AP581" s="16"/>
      <c r="AQ581" s="16"/>
      <c r="AR581" s="16"/>
      <c r="AS581" s="16"/>
      <c r="AT581" s="16"/>
      <c r="AU581" s="16"/>
      <c r="AV581" s="16"/>
      <c r="AW581" s="16"/>
      <c r="AX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F582" s="16"/>
      <c r="AG582" s="16"/>
      <c r="AH582" s="16"/>
      <c r="AI582" s="16"/>
      <c r="AJ582" s="16"/>
      <c r="AK582" s="16"/>
      <c r="AL582" s="16"/>
      <c r="AM582" s="16"/>
      <c r="AN582" s="16"/>
      <c r="AO582" s="16"/>
      <c r="AP582" s="16"/>
      <c r="AQ582" s="16"/>
      <c r="AR582" s="16"/>
      <c r="AS582" s="16"/>
      <c r="AT582" s="16"/>
      <c r="AU582" s="16"/>
      <c r="AV582" s="16"/>
      <c r="AW582" s="16"/>
      <c r="AX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F583" s="16"/>
      <c r="AG583" s="16"/>
      <c r="AH583" s="16"/>
      <c r="AI583" s="16"/>
      <c r="AJ583" s="16"/>
      <c r="AK583" s="16"/>
      <c r="AL583" s="16"/>
      <c r="AM583" s="16"/>
      <c r="AN583" s="16"/>
      <c r="AO583" s="16"/>
      <c r="AP583" s="16"/>
      <c r="AQ583" s="16"/>
      <c r="AR583" s="16"/>
      <c r="AS583" s="16"/>
      <c r="AT583" s="16"/>
      <c r="AU583" s="16"/>
      <c r="AV583" s="16"/>
      <c r="AW583" s="16"/>
      <c r="AX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c r="AG594" s="16"/>
      <c r="AH594" s="16"/>
      <c r="AI594" s="16"/>
      <c r="AJ594" s="16"/>
      <c r="AK594" s="16"/>
      <c r="AL594" s="16"/>
      <c r="AM594" s="16"/>
      <c r="AN594" s="16"/>
      <c r="AO594" s="16"/>
      <c r="AP594" s="16"/>
      <c r="AQ594" s="16"/>
      <c r="AR594" s="16"/>
      <c r="AS594" s="16"/>
      <c r="AT594" s="16"/>
      <c r="AU594" s="16"/>
      <c r="AV594" s="16"/>
      <c r="AW594" s="16"/>
      <c r="AX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c r="AH595" s="16"/>
      <c r="AI595" s="16"/>
      <c r="AJ595" s="16"/>
      <c r="AK595" s="16"/>
      <c r="AL595" s="16"/>
      <c r="AM595" s="16"/>
      <c r="AN595" s="16"/>
      <c r="AO595" s="16"/>
      <c r="AP595" s="16"/>
      <c r="AQ595" s="16"/>
      <c r="AR595" s="16"/>
      <c r="AS595" s="16"/>
      <c r="AT595" s="16"/>
      <c r="AU595" s="16"/>
      <c r="AV595" s="16"/>
      <c r="AW595" s="16"/>
      <c r="AX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c r="AG596" s="16"/>
      <c r="AH596" s="16"/>
      <c r="AI596" s="16"/>
      <c r="AJ596" s="16"/>
      <c r="AK596" s="16"/>
      <c r="AL596" s="16"/>
      <c r="AM596" s="16"/>
      <c r="AN596" s="16"/>
      <c r="AO596" s="16"/>
      <c r="AP596" s="16"/>
      <c r="AQ596" s="16"/>
      <c r="AR596" s="16"/>
      <c r="AS596" s="16"/>
      <c r="AT596" s="16"/>
      <c r="AU596" s="16"/>
      <c r="AV596" s="16"/>
      <c r="AW596" s="16"/>
      <c r="AX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c r="AH597" s="16"/>
      <c r="AI597" s="16"/>
      <c r="AJ597" s="16"/>
      <c r="AK597" s="16"/>
      <c r="AL597" s="16"/>
      <c r="AM597" s="16"/>
      <c r="AN597" s="16"/>
      <c r="AO597" s="16"/>
      <c r="AP597" s="16"/>
      <c r="AQ597" s="16"/>
      <c r="AR597" s="16"/>
      <c r="AS597" s="16"/>
      <c r="AT597" s="16"/>
      <c r="AU597" s="16"/>
      <c r="AV597" s="16"/>
      <c r="AW597" s="16"/>
      <c r="AX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c r="AG598" s="16"/>
      <c r="AH598" s="16"/>
      <c r="AI598" s="16"/>
      <c r="AJ598" s="16"/>
      <c r="AK598" s="16"/>
      <c r="AL598" s="16"/>
      <c r="AM598" s="16"/>
      <c r="AN598" s="16"/>
      <c r="AO598" s="16"/>
      <c r="AP598" s="16"/>
      <c r="AQ598" s="16"/>
      <c r="AR598" s="16"/>
      <c r="AS598" s="16"/>
      <c r="AT598" s="16"/>
      <c r="AU598" s="16"/>
      <c r="AV598" s="16"/>
      <c r="AW598" s="16"/>
      <c r="AX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c r="AG599" s="16"/>
      <c r="AH599" s="16"/>
      <c r="AI599" s="16"/>
      <c r="AJ599" s="16"/>
      <c r="AK599" s="16"/>
      <c r="AL599" s="16"/>
      <c r="AM599" s="16"/>
      <c r="AN599" s="16"/>
      <c r="AO599" s="16"/>
      <c r="AP599" s="16"/>
      <c r="AQ599" s="16"/>
      <c r="AR599" s="16"/>
      <c r="AS599" s="16"/>
      <c r="AT599" s="16"/>
      <c r="AU599" s="16"/>
      <c r="AV599" s="16"/>
      <c r="AW599" s="16"/>
      <c r="AX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c r="AG600" s="16"/>
      <c r="AH600" s="16"/>
      <c r="AI600" s="16"/>
      <c r="AJ600" s="16"/>
      <c r="AK600" s="16"/>
      <c r="AL600" s="16"/>
      <c r="AM600" s="16"/>
      <c r="AN600" s="16"/>
      <c r="AO600" s="16"/>
      <c r="AP600" s="16"/>
      <c r="AQ600" s="16"/>
      <c r="AR600" s="16"/>
      <c r="AS600" s="16"/>
      <c r="AT600" s="16"/>
      <c r="AU600" s="16"/>
      <c r="AV600" s="16"/>
      <c r="AW600" s="16"/>
      <c r="AX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c r="AG601" s="16"/>
      <c r="AH601" s="16"/>
      <c r="AI601" s="16"/>
      <c r="AJ601" s="16"/>
      <c r="AK601" s="16"/>
      <c r="AL601" s="16"/>
      <c r="AM601" s="16"/>
      <c r="AN601" s="16"/>
      <c r="AO601" s="16"/>
      <c r="AP601" s="16"/>
      <c r="AQ601" s="16"/>
      <c r="AR601" s="16"/>
      <c r="AS601" s="16"/>
      <c r="AT601" s="16"/>
      <c r="AU601" s="16"/>
      <c r="AV601" s="16"/>
      <c r="AW601" s="16"/>
      <c r="AX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c r="AG602" s="16"/>
      <c r="AH602" s="16"/>
      <c r="AI602" s="16"/>
      <c r="AJ602" s="16"/>
      <c r="AK602" s="16"/>
      <c r="AL602" s="16"/>
      <c r="AM602" s="16"/>
      <c r="AN602" s="16"/>
      <c r="AO602" s="16"/>
      <c r="AP602" s="16"/>
      <c r="AQ602" s="16"/>
      <c r="AR602" s="16"/>
      <c r="AS602" s="16"/>
      <c r="AT602" s="16"/>
      <c r="AU602" s="16"/>
      <c r="AV602" s="16"/>
      <c r="AW602" s="16"/>
      <c r="AX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c r="AG603" s="16"/>
      <c r="AH603" s="16"/>
      <c r="AI603" s="16"/>
      <c r="AJ603" s="16"/>
      <c r="AK603" s="16"/>
      <c r="AL603" s="16"/>
      <c r="AM603" s="16"/>
      <c r="AN603" s="16"/>
      <c r="AO603" s="16"/>
      <c r="AP603" s="16"/>
      <c r="AQ603" s="16"/>
      <c r="AR603" s="16"/>
      <c r="AS603" s="16"/>
      <c r="AT603" s="16"/>
      <c r="AU603" s="16"/>
      <c r="AV603" s="16"/>
      <c r="AW603" s="16"/>
      <c r="AX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c r="AG604" s="16"/>
      <c r="AH604" s="16"/>
      <c r="AI604" s="16"/>
      <c r="AJ604" s="16"/>
      <c r="AK604" s="16"/>
      <c r="AL604" s="16"/>
      <c r="AM604" s="16"/>
      <c r="AN604" s="16"/>
      <c r="AO604" s="16"/>
      <c r="AP604" s="16"/>
      <c r="AQ604" s="16"/>
      <c r="AR604" s="16"/>
      <c r="AS604" s="16"/>
      <c r="AT604" s="16"/>
      <c r="AU604" s="16"/>
      <c r="AV604" s="16"/>
      <c r="AW604" s="16"/>
      <c r="AX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F605" s="16"/>
      <c r="AG605" s="16"/>
      <c r="AH605" s="16"/>
      <c r="AI605" s="16"/>
      <c r="AJ605" s="16"/>
      <c r="AK605" s="16"/>
      <c r="AL605" s="16"/>
      <c r="AM605" s="16"/>
      <c r="AN605" s="16"/>
      <c r="AO605" s="16"/>
      <c r="AP605" s="16"/>
      <c r="AQ605" s="16"/>
      <c r="AR605" s="16"/>
      <c r="AS605" s="16"/>
      <c r="AT605" s="16"/>
      <c r="AU605" s="16"/>
      <c r="AV605" s="16"/>
      <c r="AW605" s="16"/>
      <c r="AX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F606" s="16"/>
      <c r="AG606" s="16"/>
      <c r="AH606" s="16"/>
      <c r="AI606" s="16"/>
      <c r="AJ606" s="16"/>
      <c r="AK606" s="16"/>
      <c r="AL606" s="16"/>
      <c r="AM606" s="16"/>
      <c r="AN606" s="16"/>
      <c r="AO606" s="16"/>
      <c r="AP606" s="16"/>
      <c r="AQ606" s="16"/>
      <c r="AR606" s="16"/>
      <c r="AS606" s="16"/>
      <c r="AT606" s="16"/>
      <c r="AU606" s="16"/>
      <c r="AV606" s="16"/>
      <c r="AW606" s="16"/>
      <c r="AX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c r="AH607" s="16"/>
      <c r="AI607" s="16"/>
      <c r="AJ607" s="16"/>
      <c r="AK607" s="16"/>
      <c r="AL607" s="16"/>
      <c r="AM607" s="16"/>
      <c r="AN607" s="16"/>
      <c r="AO607" s="16"/>
      <c r="AP607" s="16"/>
      <c r="AQ607" s="16"/>
      <c r="AR607" s="16"/>
      <c r="AS607" s="16"/>
      <c r="AT607" s="16"/>
      <c r="AU607" s="16"/>
      <c r="AV607" s="16"/>
      <c r="AW607" s="16"/>
      <c r="AX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c r="AH608" s="16"/>
      <c r="AI608" s="16"/>
      <c r="AJ608" s="16"/>
      <c r="AK608" s="16"/>
      <c r="AL608" s="16"/>
      <c r="AM608" s="16"/>
      <c r="AN608" s="16"/>
      <c r="AO608" s="16"/>
      <c r="AP608" s="16"/>
      <c r="AQ608" s="16"/>
      <c r="AR608" s="16"/>
      <c r="AS608" s="16"/>
      <c r="AT608" s="16"/>
      <c r="AU608" s="16"/>
      <c r="AV608" s="16"/>
      <c r="AW608" s="16"/>
      <c r="AX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c r="AH609" s="16"/>
      <c r="AI609" s="16"/>
      <c r="AJ609" s="16"/>
      <c r="AK609" s="16"/>
      <c r="AL609" s="16"/>
      <c r="AM609" s="16"/>
      <c r="AN609" s="16"/>
      <c r="AO609" s="16"/>
      <c r="AP609" s="16"/>
      <c r="AQ609" s="16"/>
      <c r="AR609" s="16"/>
      <c r="AS609" s="16"/>
      <c r="AT609" s="16"/>
      <c r="AU609" s="16"/>
      <c r="AV609" s="16"/>
      <c r="AW609" s="16"/>
      <c r="AX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c r="AH610" s="16"/>
      <c r="AI610" s="16"/>
      <c r="AJ610" s="16"/>
      <c r="AK610" s="16"/>
      <c r="AL610" s="16"/>
      <c r="AM610" s="16"/>
      <c r="AN610" s="16"/>
      <c r="AO610" s="16"/>
      <c r="AP610" s="16"/>
      <c r="AQ610" s="16"/>
      <c r="AR610" s="16"/>
      <c r="AS610" s="16"/>
      <c r="AT610" s="16"/>
      <c r="AU610" s="16"/>
      <c r="AV610" s="16"/>
      <c r="AW610" s="16"/>
      <c r="AX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c r="AH611" s="16"/>
      <c r="AI611" s="16"/>
      <c r="AJ611" s="16"/>
      <c r="AK611" s="16"/>
      <c r="AL611" s="16"/>
      <c r="AM611" s="16"/>
      <c r="AN611" s="16"/>
      <c r="AO611" s="16"/>
      <c r="AP611" s="16"/>
      <c r="AQ611" s="16"/>
      <c r="AR611" s="16"/>
      <c r="AS611" s="16"/>
      <c r="AT611" s="16"/>
      <c r="AU611" s="16"/>
      <c r="AV611" s="16"/>
      <c r="AW611" s="16"/>
      <c r="AX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c r="AH612" s="16"/>
      <c r="AI612" s="16"/>
      <c r="AJ612" s="16"/>
      <c r="AK612" s="16"/>
      <c r="AL612" s="16"/>
      <c r="AM612" s="16"/>
      <c r="AN612" s="16"/>
      <c r="AO612" s="16"/>
      <c r="AP612" s="16"/>
      <c r="AQ612" s="16"/>
      <c r="AR612" s="16"/>
      <c r="AS612" s="16"/>
      <c r="AT612" s="16"/>
      <c r="AU612" s="16"/>
      <c r="AV612" s="16"/>
      <c r="AW612" s="16"/>
      <c r="AX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c r="AG613" s="16"/>
      <c r="AH613" s="16"/>
      <c r="AI613" s="16"/>
      <c r="AJ613" s="16"/>
      <c r="AK613" s="16"/>
      <c r="AL613" s="16"/>
      <c r="AM613" s="16"/>
      <c r="AN613" s="16"/>
      <c r="AO613" s="16"/>
      <c r="AP613" s="16"/>
      <c r="AQ613" s="16"/>
      <c r="AR613" s="16"/>
      <c r="AS613" s="16"/>
      <c r="AT613" s="16"/>
      <c r="AU613" s="16"/>
      <c r="AV613" s="16"/>
      <c r="AW613" s="16"/>
      <c r="AX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c r="AH614" s="16"/>
      <c r="AI614" s="16"/>
      <c r="AJ614" s="16"/>
      <c r="AK614" s="16"/>
      <c r="AL614" s="16"/>
      <c r="AM614" s="16"/>
      <c r="AN614" s="16"/>
      <c r="AO614" s="16"/>
      <c r="AP614" s="16"/>
      <c r="AQ614" s="16"/>
      <c r="AR614" s="16"/>
      <c r="AS614" s="16"/>
      <c r="AT614" s="16"/>
      <c r="AU614" s="16"/>
      <c r="AV614" s="16"/>
      <c r="AW614" s="16"/>
      <c r="AX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c r="AG615" s="16"/>
      <c r="AH615" s="16"/>
      <c r="AI615" s="16"/>
      <c r="AJ615" s="16"/>
      <c r="AK615" s="16"/>
      <c r="AL615" s="16"/>
      <c r="AM615" s="16"/>
      <c r="AN615" s="16"/>
      <c r="AO615" s="16"/>
      <c r="AP615" s="16"/>
      <c r="AQ615" s="16"/>
      <c r="AR615" s="16"/>
      <c r="AS615" s="16"/>
      <c r="AT615" s="16"/>
      <c r="AU615" s="16"/>
      <c r="AV615" s="16"/>
      <c r="AW615" s="16"/>
      <c r="AX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c r="AG616" s="16"/>
      <c r="AH616" s="16"/>
      <c r="AI616" s="16"/>
      <c r="AJ616" s="16"/>
      <c r="AK616" s="16"/>
      <c r="AL616" s="16"/>
      <c r="AM616" s="16"/>
      <c r="AN616" s="16"/>
      <c r="AO616" s="16"/>
      <c r="AP616" s="16"/>
      <c r="AQ616" s="16"/>
      <c r="AR616" s="16"/>
      <c r="AS616" s="16"/>
      <c r="AT616" s="16"/>
      <c r="AU616" s="16"/>
      <c r="AV616" s="16"/>
      <c r="AW616" s="16"/>
      <c r="AX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c r="AF617" s="16"/>
      <c r="AG617" s="16"/>
      <c r="AH617" s="16"/>
      <c r="AI617" s="16"/>
      <c r="AJ617" s="16"/>
      <c r="AK617" s="16"/>
      <c r="AL617" s="16"/>
      <c r="AM617" s="16"/>
      <c r="AN617" s="16"/>
      <c r="AO617" s="16"/>
      <c r="AP617" s="16"/>
      <c r="AQ617" s="16"/>
      <c r="AR617" s="16"/>
      <c r="AS617" s="16"/>
      <c r="AT617" s="16"/>
      <c r="AU617" s="16"/>
      <c r="AV617" s="16"/>
      <c r="AW617" s="16"/>
      <c r="AX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c r="AS618" s="16"/>
      <c r="AT618" s="16"/>
      <c r="AU618" s="16"/>
      <c r="AV618" s="16"/>
      <c r="AW618" s="16"/>
      <c r="AX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c r="AS619" s="16"/>
      <c r="AT619" s="16"/>
      <c r="AU619" s="16"/>
      <c r="AV619" s="16"/>
      <c r="AW619" s="16"/>
      <c r="AX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c r="AS620" s="16"/>
      <c r="AT620" s="16"/>
      <c r="AU620" s="16"/>
      <c r="AV620" s="16"/>
      <c r="AW620" s="16"/>
      <c r="AX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c r="AS621" s="16"/>
      <c r="AT621" s="16"/>
      <c r="AU621" s="16"/>
      <c r="AV621" s="16"/>
      <c r="AW621" s="16"/>
      <c r="AX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c r="AS622" s="16"/>
      <c r="AT622" s="16"/>
      <c r="AU622" s="16"/>
      <c r="AV622" s="16"/>
      <c r="AW622" s="16"/>
      <c r="AX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c r="AS623" s="16"/>
      <c r="AT623" s="16"/>
      <c r="AU623" s="16"/>
      <c r="AV623" s="16"/>
      <c r="AW623" s="16"/>
      <c r="AX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c r="AS624" s="16"/>
      <c r="AT624" s="16"/>
      <c r="AU624" s="16"/>
      <c r="AV624" s="16"/>
      <c r="AW624" s="16"/>
      <c r="AX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c r="AS625" s="16"/>
      <c r="AT625" s="16"/>
      <c r="AU625" s="16"/>
      <c r="AV625" s="16"/>
      <c r="AW625" s="16"/>
      <c r="AX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c r="AF626" s="16"/>
      <c r="AG626" s="16"/>
      <c r="AH626" s="16"/>
      <c r="AI626" s="16"/>
      <c r="AJ626" s="16"/>
      <c r="AK626" s="16"/>
      <c r="AL626" s="16"/>
      <c r="AM626" s="16"/>
      <c r="AN626" s="16"/>
      <c r="AO626" s="16"/>
      <c r="AP626" s="16"/>
      <c r="AQ626" s="16"/>
      <c r="AR626" s="16"/>
      <c r="AS626" s="16"/>
      <c r="AT626" s="16"/>
      <c r="AU626" s="16"/>
      <c r="AV626" s="16"/>
      <c r="AW626" s="16"/>
      <c r="AX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c r="AF627" s="16"/>
      <c r="AG627" s="16"/>
      <c r="AH627" s="16"/>
      <c r="AI627" s="16"/>
      <c r="AJ627" s="16"/>
      <c r="AK627" s="16"/>
      <c r="AL627" s="16"/>
      <c r="AM627" s="16"/>
      <c r="AN627" s="16"/>
      <c r="AO627" s="16"/>
      <c r="AP627" s="16"/>
      <c r="AQ627" s="16"/>
      <c r="AR627" s="16"/>
      <c r="AS627" s="16"/>
      <c r="AT627" s="16"/>
      <c r="AU627" s="16"/>
      <c r="AV627" s="16"/>
      <c r="AW627" s="16"/>
      <c r="AX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c r="AG628" s="16"/>
      <c r="AH628" s="16"/>
      <c r="AI628" s="16"/>
      <c r="AJ628" s="16"/>
      <c r="AK628" s="16"/>
      <c r="AL628" s="16"/>
      <c r="AM628" s="16"/>
      <c r="AN628" s="16"/>
      <c r="AO628" s="16"/>
      <c r="AP628" s="16"/>
      <c r="AQ628" s="16"/>
      <c r="AR628" s="16"/>
      <c r="AS628" s="16"/>
      <c r="AT628" s="16"/>
      <c r="AU628" s="16"/>
      <c r="AV628" s="16"/>
      <c r="AW628" s="16"/>
      <c r="AX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c r="AF629" s="16"/>
      <c r="AG629" s="16"/>
      <c r="AH629" s="16"/>
      <c r="AI629" s="16"/>
      <c r="AJ629" s="16"/>
      <c r="AK629" s="16"/>
      <c r="AL629" s="16"/>
      <c r="AM629" s="16"/>
      <c r="AN629" s="16"/>
      <c r="AO629" s="16"/>
      <c r="AP629" s="16"/>
      <c r="AQ629" s="16"/>
      <c r="AR629" s="16"/>
      <c r="AS629" s="16"/>
      <c r="AT629" s="16"/>
      <c r="AU629" s="16"/>
      <c r="AV629" s="16"/>
      <c r="AW629" s="16"/>
      <c r="AX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c r="AH630" s="16"/>
      <c r="AI630" s="16"/>
      <c r="AJ630" s="16"/>
      <c r="AK630" s="16"/>
      <c r="AL630" s="16"/>
      <c r="AM630" s="16"/>
      <c r="AN630" s="16"/>
      <c r="AO630" s="16"/>
      <c r="AP630" s="16"/>
      <c r="AQ630" s="16"/>
      <c r="AR630" s="16"/>
      <c r="AS630" s="16"/>
      <c r="AT630" s="16"/>
      <c r="AU630" s="16"/>
      <c r="AV630" s="16"/>
      <c r="AW630" s="16"/>
      <c r="AX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c r="AH631" s="16"/>
      <c r="AI631" s="16"/>
      <c r="AJ631" s="16"/>
      <c r="AK631" s="16"/>
      <c r="AL631" s="16"/>
      <c r="AM631" s="16"/>
      <c r="AN631" s="16"/>
      <c r="AO631" s="16"/>
      <c r="AP631" s="16"/>
      <c r="AQ631" s="16"/>
      <c r="AR631" s="16"/>
      <c r="AS631" s="16"/>
      <c r="AT631" s="16"/>
      <c r="AU631" s="16"/>
      <c r="AV631" s="16"/>
      <c r="AW631" s="16"/>
      <c r="AX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c r="AG632" s="16"/>
      <c r="AH632" s="16"/>
      <c r="AI632" s="16"/>
      <c r="AJ632" s="16"/>
      <c r="AK632" s="16"/>
      <c r="AL632" s="16"/>
      <c r="AM632" s="16"/>
      <c r="AN632" s="16"/>
      <c r="AO632" s="16"/>
      <c r="AP632" s="16"/>
      <c r="AQ632" s="16"/>
      <c r="AR632" s="16"/>
      <c r="AS632" s="16"/>
      <c r="AT632" s="16"/>
      <c r="AU632" s="16"/>
      <c r="AV632" s="16"/>
      <c r="AW632" s="16"/>
      <c r="AX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c r="AF633" s="16"/>
      <c r="AG633" s="16"/>
      <c r="AH633" s="16"/>
      <c r="AI633" s="16"/>
      <c r="AJ633" s="16"/>
      <c r="AK633" s="16"/>
      <c r="AL633" s="16"/>
      <c r="AM633" s="16"/>
      <c r="AN633" s="16"/>
      <c r="AO633" s="16"/>
      <c r="AP633" s="16"/>
      <c r="AQ633" s="16"/>
      <c r="AR633" s="16"/>
      <c r="AS633" s="16"/>
      <c r="AT633" s="16"/>
      <c r="AU633" s="16"/>
      <c r="AV633" s="16"/>
      <c r="AW633" s="16"/>
      <c r="AX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c r="AG634" s="16"/>
      <c r="AH634" s="16"/>
      <c r="AI634" s="16"/>
      <c r="AJ634" s="16"/>
      <c r="AK634" s="16"/>
      <c r="AL634" s="16"/>
      <c r="AM634" s="16"/>
      <c r="AN634" s="16"/>
      <c r="AO634" s="16"/>
      <c r="AP634" s="16"/>
      <c r="AQ634" s="16"/>
      <c r="AR634" s="16"/>
      <c r="AS634" s="16"/>
      <c r="AT634" s="16"/>
      <c r="AU634" s="16"/>
      <c r="AV634" s="16"/>
      <c r="AW634" s="16"/>
      <c r="AX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c r="AG635" s="16"/>
      <c r="AH635" s="16"/>
      <c r="AI635" s="16"/>
      <c r="AJ635" s="16"/>
      <c r="AK635" s="16"/>
      <c r="AL635" s="16"/>
      <c r="AM635" s="16"/>
      <c r="AN635" s="16"/>
      <c r="AO635" s="16"/>
      <c r="AP635" s="16"/>
      <c r="AQ635" s="16"/>
      <c r="AR635" s="16"/>
      <c r="AS635" s="16"/>
      <c r="AT635" s="16"/>
      <c r="AU635" s="16"/>
      <c r="AV635" s="16"/>
      <c r="AW635" s="16"/>
      <c r="AX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c r="AA636" s="16"/>
      <c r="AB636" s="16"/>
      <c r="AC636" s="16"/>
      <c r="AD636" s="16"/>
      <c r="AE636" s="16"/>
      <c r="AF636" s="16"/>
      <c r="AG636" s="16"/>
      <c r="AH636" s="16"/>
      <c r="AI636" s="16"/>
      <c r="AJ636" s="16"/>
      <c r="AK636" s="16"/>
      <c r="AL636" s="16"/>
      <c r="AM636" s="16"/>
      <c r="AN636" s="16"/>
      <c r="AO636" s="16"/>
      <c r="AP636" s="16"/>
      <c r="AQ636" s="16"/>
      <c r="AR636" s="16"/>
      <c r="AS636" s="16"/>
      <c r="AT636" s="16"/>
      <c r="AU636" s="16"/>
      <c r="AV636" s="16"/>
      <c r="AW636" s="16"/>
      <c r="AX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c r="AH637" s="16"/>
      <c r="AI637" s="16"/>
      <c r="AJ637" s="16"/>
      <c r="AK637" s="16"/>
      <c r="AL637" s="16"/>
      <c r="AM637" s="16"/>
      <c r="AN637" s="16"/>
      <c r="AO637" s="16"/>
      <c r="AP637" s="16"/>
      <c r="AQ637" s="16"/>
      <c r="AR637" s="16"/>
      <c r="AS637" s="16"/>
      <c r="AT637" s="16"/>
      <c r="AU637" s="16"/>
      <c r="AV637" s="16"/>
      <c r="AW637" s="16"/>
      <c r="AX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c r="AA638" s="16"/>
      <c r="AB638" s="16"/>
      <c r="AC638" s="16"/>
      <c r="AD638" s="16"/>
      <c r="AE638" s="16"/>
      <c r="AF638" s="16"/>
      <c r="AG638" s="16"/>
      <c r="AH638" s="16"/>
      <c r="AI638" s="16"/>
      <c r="AJ638" s="16"/>
      <c r="AK638" s="16"/>
      <c r="AL638" s="16"/>
      <c r="AM638" s="16"/>
      <c r="AN638" s="16"/>
      <c r="AO638" s="16"/>
      <c r="AP638" s="16"/>
      <c r="AQ638" s="16"/>
      <c r="AR638" s="16"/>
      <c r="AS638" s="16"/>
      <c r="AT638" s="16"/>
      <c r="AU638" s="16"/>
      <c r="AV638" s="16"/>
      <c r="AW638" s="16"/>
      <c r="AX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c r="AG639" s="16"/>
      <c r="AH639" s="16"/>
      <c r="AI639" s="16"/>
      <c r="AJ639" s="16"/>
      <c r="AK639" s="16"/>
      <c r="AL639" s="16"/>
      <c r="AM639" s="16"/>
      <c r="AN639" s="16"/>
      <c r="AO639" s="16"/>
      <c r="AP639" s="16"/>
      <c r="AQ639" s="16"/>
      <c r="AR639" s="16"/>
      <c r="AS639" s="16"/>
      <c r="AT639" s="16"/>
      <c r="AU639" s="16"/>
      <c r="AV639" s="16"/>
      <c r="AW639" s="16"/>
      <c r="AX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c r="AG640" s="16"/>
      <c r="AH640" s="16"/>
      <c r="AI640" s="16"/>
      <c r="AJ640" s="16"/>
      <c r="AK640" s="16"/>
      <c r="AL640" s="16"/>
      <c r="AM640" s="16"/>
      <c r="AN640" s="16"/>
      <c r="AO640" s="16"/>
      <c r="AP640" s="16"/>
      <c r="AQ640" s="16"/>
      <c r="AR640" s="16"/>
      <c r="AS640" s="16"/>
      <c r="AT640" s="16"/>
      <c r="AU640" s="16"/>
      <c r="AV640" s="16"/>
      <c r="AW640" s="16"/>
      <c r="AX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c r="AA641" s="16"/>
      <c r="AB641" s="16"/>
      <c r="AC641" s="16"/>
      <c r="AD641" s="16"/>
      <c r="AE641" s="16"/>
      <c r="AF641" s="16"/>
      <c r="AG641" s="16"/>
      <c r="AH641" s="16"/>
      <c r="AI641" s="16"/>
      <c r="AJ641" s="16"/>
      <c r="AK641" s="16"/>
      <c r="AL641" s="16"/>
      <c r="AM641" s="16"/>
      <c r="AN641" s="16"/>
      <c r="AO641" s="16"/>
      <c r="AP641" s="16"/>
      <c r="AQ641" s="16"/>
      <c r="AR641" s="16"/>
      <c r="AS641" s="16"/>
      <c r="AT641" s="16"/>
      <c r="AU641" s="16"/>
      <c r="AV641" s="16"/>
      <c r="AW641" s="16"/>
      <c r="AX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c r="AA642" s="16"/>
      <c r="AB642" s="16"/>
      <c r="AC642" s="16"/>
      <c r="AD642" s="16"/>
      <c r="AE642" s="16"/>
      <c r="AF642" s="16"/>
      <c r="AG642" s="16"/>
      <c r="AH642" s="16"/>
      <c r="AI642" s="16"/>
      <c r="AJ642" s="16"/>
      <c r="AK642" s="16"/>
      <c r="AL642" s="16"/>
      <c r="AM642" s="16"/>
      <c r="AN642" s="16"/>
      <c r="AO642" s="16"/>
      <c r="AP642" s="16"/>
      <c r="AQ642" s="16"/>
      <c r="AR642" s="16"/>
      <c r="AS642" s="16"/>
      <c r="AT642" s="16"/>
      <c r="AU642" s="16"/>
      <c r="AV642" s="16"/>
      <c r="AW642" s="16"/>
      <c r="AX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c r="AA643" s="16"/>
      <c r="AB643" s="16"/>
      <c r="AC643" s="16"/>
      <c r="AD643" s="16"/>
      <c r="AE643" s="16"/>
      <c r="AF643" s="16"/>
      <c r="AG643" s="16"/>
      <c r="AH643" s="16"/>
      <c r="AI643" s="16"/>
      <c r="AJ643" s="16"/>
      <c r="AK643" s="16"/>
      <c r="AL643" s="16"/>
      <c r="AM643" s="16"/>
      <c r="AN643" s="16"/>
      <c r="AO643" s="16"/>
      <c r="AP643" s="16"/>
      <c r="AQ643" s="16"/>
      <c r="AR643" s="16"/>
      <c r="AS643" s="16"/>
      <c r="AT643" s="16"/>
      <c r="AU643" s="16"/>
      <c r="AV643" s="16"/>
      <c r="AW643" s="16"/>
      <c r="AX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c r="AG644" s="16"/>
      <c r="AH644" s="16"/>
      <c r="AI644" s="16"/>
      <c r="AJ644" s="16"/>
      <c r="AK644" s="16"/>
      <c r="AL644" s="16"/>
      <c r="AM644" s="16"/>
      <c r="AN644" s="16"/>
      <c r="AO644" s="16"/>
      <c r="AP644" s="16"/>
      <c r="AQ644" s="16"/>
      <c r="AR644" s="16"/>
      <c r="AS644" s="16"/>
      <c r="AT644" s="16"/>
      <c r="AU644" s="16"/>
      <c r="AV644" s="16"/>
      <c r="AW644" s="16"/>
      <c r="AX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6"/>
      <c r="AF645" s="16"/>
      <c r="AG645" s="16"/>
      <c r="AH645" s="16"/>
      <c r="AI645" s="16"/>
      <c r="AJ645" s="16"/>
      <c r="AK645" s="16"/>
      <c r="AL645" s="16"/>
      <c r="AM645" s="16"/>
      <c r="AN645" s="16"/>
      <c r="AO645" s="16"/>
      <c r="AP645" s="16"/>
      <c r="AQ645" s="16"/>
      <c r="AR645" s="16"/>
      <c r="AS645" s="16"/>
      <c r="AT645" s="16"/>
      <c r="AU645" s="16"/>
      <c r="AV645" s="16"/>
      <c r="AW645" s="16"/>
      <c r="AX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c r="AG646" s="16"/>
      <c r="AH646" s="16"/>
      <c r="AI646" s="16"/>
      <c r="AJ646" s="16"/>
      <c r="AK646" s="16"/>
      <c r="AL646" s="16"/>
      <c r="AM646" s="16"/>
      <c r="AN646" s="16"/>
      <c r="AO646" s="16"/>
      <c r="AP646" s="16"/>
      <c r="AQ646" s="16"/>
      <c r="AR646" s="16"/>
      <c r="AS646" s="16"/>
      <c r="AT646" s="16"/>
      <c r="AU646" s="16"/>
      <c r="AV646" s="16"/>
      <c r="AW646" s="16"/>
      <c r="AX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c r="AG647" s="16"/>
      <c r="AH647" s="16"/>
      <c r="AI647" s="16"/>
      <c r="AJ647" s="16"/>
      <c r="AK647" s="16"/>
      <c r="AL647" s="16"/>
      <c r="AM647" s="16"/>
      <c r="AN647" s="16"/>
      <c r="AO647" s="16"/>
      <c r="AP647" s="16"/>
      <c r="AQ647" s="16"/>
      <c r="AR647" s="16"/>
      <c r="AS647" s="16"/>
      <c r="AT647" s="16"/>
      <c r="AU647" s="16"/>
      <c r="AV647" s="16"/>
      <c r="AW647" s="16"/>
      <c r="AX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c r="AG648" s="16"/>
      <c r="AH648" s="16"/>
      <c r="AI648" s="16"/>
      <c r="AJ648" s="16"/>
      <c r="AK648" s="16"/>
      <c r="AL648" s="16"/>
      <c r="AM648" s="16"/>
      <c r="AN648" s="16"/>
      <c r="AO648" s="16"/>
      <c r="AP648" s="16"/>
      <c r="AQ648" s="16"/>
      <c r="AR648" s="16"/>
      <c r="AS648" s="16"/>
      <c r="AT648" s="16"/>
      <c r="AU648" s="16"/>
      <c r="AV648" s="16"/>
      <c r="AW648" s="16"/>
      <c r="AX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c r="AG649" s="16"/>
      <c r="AH649" s="16"/>
      <c r="AI649" s="16"/>
      <c r="AJ649" s="16"/>
      <c r="AK649" s="16"/>
      <c r="AL649" s="16"/>
      <c r="AM649" s="16"/>
      <c r="AN649" s="16"/>
      <c r="AO649" s="16"/>
      <c r="AP649" s="16"/>
      <c r="AQ649" s="16"/>
      <c r="AR649" s="16"/>
      <c r="AS649" s="16"/>
      <c r="AT649" s="16"/>
      <c r="AU649" s="16"/>
      <c r="AV649" s="16"/>
      <c r="AW649" s="16"/>
      <c r="AX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c r="AG650" s="16"/>
      <c r="AH650" s="16"/>
      <c r="AI650" s="16"/>
      <c r="AJ650" s="16"/>
      <c r="AK650" s="16"/>
      <c r="AL650" s="16"/>
      <c r="AM650" s="16"/>
      <c r="AN650" s="16"/>
      <c r="AO650" s="16"/>
      <c r="AP650" s="16"/>
      <c r="AQ650" s="16"/>
      <c r="AR650" s="16"/>
      <c r="AS650" s="16"/>
      <c r="AT650" s="16"/>
      <c r="AU650" s="16"/>
      <c r="AV650" s="16"/>
      <c r="AW650" s="16"/>
      <c r="AX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c r="AG651" s="16"/>
      <c r="AH651" s="16"/>
      <c r="AI651" s="16"/>
      <c r="AJ651" s="16"/>
      <c r="AK651" s="16"/>
      <c r="AL651" s="16"/>
      <c r="AM651" s="16"/>
      <c r="AN651" s="16"/>
      <c r="AO651" s="16"/>
      <c r="AP651" s="16"/>
      <c r="AQ651" s="16"/>
      <c r="AR651" s="16"/>
      <c r="AS651" s="16"/>
      <c r="AT651" s="16"/>
      <c r="AU651" s="16"/>
      <c r="AV651" s="16"/>
      <c r="AW651" s="16"/>
      <c r="AX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c r="AG652" s="16"/>
      <c r="AH652" s="16"/>
      <c r="AI652" s="16"/>
      <c r="AJ652" s="16"/>
      <c r="AK652" s="16"/>
      <c r="AL652" s="16"/>
      <c r="AM652" s="16"/>
      <c r="AN652" s="16"/>
      <c r="AO652" s="16"/>
      <c r="AP652" s="16"/>
      <c r="AQ652" s="16"/>
      <c r="AR652" s="16"/>
      <c r="AS652" s="16"/>
      <c r="AT652" s="16"/>
      <c r="AU652" s="16"/>
      <c r="AV652" s="16"/>
      <c r="AW652" s="16"/>
      <c r="AX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c r="AG653" s="16"/>
      <c r="AH653" s="16"/>
      <c r="AI653" s="16"/>
      <c r="AJ653" s="16"/>
      <c r="AK653" s="16"/>
      <c r="AL653" s="16"/>
      <c r="AM653" s="16"/>
      <c r="AN653" s="16"/>
      <c r="AO653" s="16"/>
      <c r="AP653" s="16"/>
      <c r="AQ653" s="16"/>
      <c r="AR653" s="16"/>
      <c r="AS653" s="16"/>
      <c r="AT653" s="16"/>
      <c r="AU653" s="16"/>
      <c r="AV653" s="16"/>
      <c r="AW653" s="16"/>
      <c r="AX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c r="AG654" s="16"/>
      <c r="AH654" s="16"/>
      <c r="AI654" s="16"/>
      <c r="AJ654" s="16"/>
      <c r="AK654" s="16"/>
      <c r="AL654" s="16"/>
      <c r="AM654" s="16"/>
      <c r="AN654" s="16"/>
      <c r="AO654" s="16"/>
      <c r="AP654" s="16"/>
      <c r="AQ654" s="16"/>
      <c r="AR654" s="16"/>
      <c r="AS654" s="16"/>
      <c r="AT654" s="16"/>
      <c r="AU654" s="16"/>
      <c r="AV654" s="16"/>
      <c r="AW654" s="16"/>
      <c r="AX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c r="AH655" s="16"/>
      <c r="AI655" s="16"/>
      <c r="AJ655" s="16"/>
      <c r="AK655" s="16"/>
      <c r="AL655" s="16"/>
      <c r="AM655" s="16"/>
      <c r="AN655" s="16"/>
      <c r="AO655" s="16"/>
      <c r="AP655" s="16"/>
      <c r="AQ655" s="16"/>
      <c r="AR655" s="16"/>
      <c r="AS655" s="16"/>
      <c r="AT655" s="16"/>
      <c r="AU655" s="16"/>
      <c r="AV655" s="16"/>
      <c r="AW655" s="16"/>
      <c r="AX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c r="AG656" s="16"/>
      <c r="AH656" s="16"/>
      <c r="AI656" s="16"/>
      <c r="AJ656" s="16"/>
      <c r="AK656" s="16"/>
      <c r="AL656" s="16"/>
      <c r="AM656" s="16"/>
      <c r="AN656" s="16"/>
      <c r="AO656" s="16"/>
      <c r="AP656" s="16"/>
      <c r="AQ656" s="16"/>
      <c r="AR656" s="16"/>
      <c r="AS656" s="16"/>
      <c r="AT656" s="16"/>
      <c r="AU656" s="16"/>
      <c r="AV656" s="16"/>
      <c r="AW656" s="16"/>
      <c r="AX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c r="AG657" s="16"/>
      <c r="AH657" s="16"/>
      <c r="AI657" s="16"/>
      <c r="AJ657" s="16"/>
      <c r="AK657" s="16"/>
      <c r="AL657" s="16"/>
      <c r="AM657" s="16"/>
      <c r="AN657" s="16"/>
      <c r="AO657" s="16"/>
      <c r="AP657" s="16"/>
      <c r="AQ657" s="16"/>
      <c r="AR657" s="16"/>
      <c r="AS657" s="16"/>
      <c r="AT657" s="16"/>
      <c r="AU657" s="16"/>
      <c r="AV657" s="16"/>
      <c r="AW657" s="16"/>
      <c r="AX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c r="AG658" s="16"/>
      <c r="AH658" s="16"/>
      <c r="AI658" s="16"/>
      <c r="AJ658" s="16"/>
      <c r="AK658" s="16"/>
      <c r="AL658" s="16"/>
      <c r="AM658" s="16"/>
      <c r="AN658" s="16"/>
      <c r="AO658" s="16"/>
      <c r="AP658" s="16"/>
      <c r="AQ658" s="16"/>
      <c r="AR658" s="16"/>
      <c r="AS658" s="16"/>
      <c r="AT658" s="16"/>
      <c r="AU658" s="16"/>
      <c r="AV658" s="16"/>
      <c r="AW658" s="16"/>
      <c r="AX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c r="AG659" s="16"/>
      <c r="AH659" s="16"/>
      <c r="AI659" s="16"/>
      <c r="AJ659" s="16"/>
      <c r="AK659" s="16"/>
      <c r="AL659" s="16"/>
      <c r="AM659" s="16"/>
      <c r="AN659" s="16"/>
      <c r="AO659" s="16"/>
      <c r="AP659" s="16"/>
      <c r="AQ659" s="16"/>
      <c r="AR659" s="16"/>
      <c r="AS659" s="16"/>
      <c r="AT659" s="16"/>
      <c r="AU659" s="16"/>
      <c r="AV659" s="16"/>
      <c r="AW659" s="16"/>
      <c r="AX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c r="AG660" s="16"/>
      <c r="AH660" s="16"/>
      <c r="AI660" s="16"/>
      <c r="AJ660" s="16"/>
      <c r="AK660" s="16"/>
      <c r="AL660" s="16"/>
      <c r="AM660" s="16"/>
      <c r="AN660" s="16"/>
      <c r="AO660" s="16"/>
      <c r="AP660" s="16"/>
      <c r="AQ660" s="16"/>
      <c r="AR660" s="16"/>
      <c r="AS660" s="16"/>
      <c r="AT660" s="16"/>
      <c r="AU660" s="16"/>
      <c r="AV660" s="16"/>
      <c r="AW660" s="16"/>
      <c r="AX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c r="AG661" s="16"/>
      <c r="AH661" s="16"/>
      <c r="AI661" s="16"/>
      <c r="AJ661" s="16"/>
      <c r="AK661" s="16"/>
      <c r="AL661" s="16"/>
      <c r="AM661" s="16"/>
      <c r="AN661" s="16"/>
      <c r="AO661" s="16"/>
      <c r="AP661" s="16"/>
      <c r="AQ661" s="16"/>
      <c r="AR661" s="16"/>
      <c r="AS661" s="16"/>
      <c r="AT661" s="16"/>
      <c r="AU661" s="16"/>
      <c r="AV661" s="16"/>
      <c r="AW661" s="16"/>
      <c r="AX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c r="AG662" s="16"/>
      <c r="AH662" s="16"/>
      <c r="AI662" s="16"/>
      <c r="AJ662" s="16"/>
      <c r="AK662" s="16"/>
      <c r="AL662" s="16"/>
      <c r="AM662" s="16"/>
      <c r="AN662" s="16"/>
      <c r="AO662" s="16"/>
      <c r="AP662" s="16"/>
      <c r="AQ662" s="16"/>
      <c r="AR662" s="16"/>
      <c r="AS662" s="16"/>
      <c r="AT662" s="16"/>
      <c r="AU662" s="16"/>
      <c r="AV662" s="16"/>
      <c r="AW662" s="16"/>
      <c r="AX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c r="AG663" s="16"/>
      <c r="AH663" s="16"/>
      <c r="AI663" s="16"/>
      <c r="AJ663" s="16"/>
      <c r="AK663" s="16"/>
      <c r="AL663" s="16"/>
      <c r="AM663" s="16"/>
      <c r="AN663" s="16"/>
      <c r="AO663" s="16"/>
      <c r="AP663" s="16"/>
      <c r="AQ663" s="16"/>
      <c r="AR663" s="16"/>
      <c r="AS663" s="16"/>
      <c r="AT663" s="16"/>
      <c r="AU663" s="16"/>
      <c r="AV663" s="16"/>
      <c r="AW663" s="16"/>
      <c r="AX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c r="AG664" s="16"/>
      <c r="AH664" s="16"/>
      <c r="AI664" s="16"/>
      <c r="AJ664" s="16"/>
      <c r="AK664" s="16"/>
      <c r="AL664" s="16"/>
      <c r="AM664" s="16"/>
      <c r="AN664" s="16"/>
      <c r="AO664" s="16"/>
      <c r="AP664" s="16"/>
      <c r="AQ664" s="16"/>
      <c r="AR664" s="16"/>
      <c r="AS664" s="16"/>
      <c r="AT664" s="16"/>
      <c r="AU664" s="16"/>
      <c r="AV664" s="16"/>
      <c r="AW664" s="16"/>
      <c r="AX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c r="AG665" s="16"/>
      <c r="AH665" s="16"/>
      <c r="AI665" s="16"/>
      <c r="AJ665" s="16"/>
      <c r="AK665" s="16"/>
      <c r="AL665" s="16"/>
      <c r="AM665" s="16"/>
      <c r="AN665" s="16"/>
      <c r="AO665" s="16"/>
      <c r="AP665" s="16"/>
      <c r="AQ665" s="16"/>
      <c r="AR665" s="16"/>
      <c r="AS665" s="16"/>
      <c r="AT665" s="16"/>
      <c r="AU665" s="16"/>
      <c r="AV665" s="16"/>
      <c r="AW665" s="16"/>
      <c r="AX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c r="AG666" s="16"/>
      <c r="AH666" s="16"/>
      <c r="AI666" s="16"/>
      <c r="AJ666" s="16"/>
      <c r="AK666" s="16"/>
      <c r="AL666" s="16"/>
      <c r="AM666" s="16"/>
      <c r="AN666" s="16"/>
      <c r="AO666" s="16"/>
      <c r="AP666" s="16"/>
      <c r="AQ666" s="16"/>
      <c r="AR666" s="16"/>
      <c r="AS666" s="16"/>
      <c r="AT666" s="16"/>
      <c r="AU666" s="16"/>
      <c r="AV666" s="16"/>
      <c r="AW666" s="16"/>
      <c r="AX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c r="AG667" s="16"/>
      <c r="AH667" s="16"/>
      <c r="AI667" s="16"/>
      <c r="AJ667" s="16"/>
      <c r="AK667" s="16"/>
      <c r="AL667" s="16"/>
      <c r="AM667" s="16"/>
      <c r="AN667" s="16"/>
      <c r="AO667" s="16"/>
      <c r="AP667" s="16"/>
      <c r="AQ667" s="16"/>
      <c r="AR667" s="16"/>
      <c r="AS667" s="16"/>
      <c r="AT667" s="16"/>
      <c r="AU667" s="16"/>
      <c r="AV667" s="16"/>
      <c r="AW667" s="16"/>
      <c r="AX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c r="AG668" s="16"/>
      <c r="AH668" s="16"/>
      <c r="AI668" s="16"/>
      <c r="AJ668" s="16"/>
      <c r="AK668" s="16"/>
      <c r="AL668" s="16"/>
      <c r="AM668" s="16"/>
      <c r="AN668" s="16"/>
      <c r="AO668" s="16"/>
      <c r="AP668" s="16"/>
      <c r="AQ668" s="16"/>
      <c r="AR668" s="16"/>
      <c r="AS668" s="16"/>
      <c r="AT668" s="16"/>
      <c r="AU668" s="16"/>
      <c r="AV668" s="16"/>
      <c r="AW668" s="16"/>
      <c r="AX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c r="AG669" s="16"/>
      <c r="AH669" s="16"/>
      <c r="AI669" s="16"/>
      <c r="AJ669" s="16"/>
      <c r="AK669" s="16"/>
      <c r="AL669" s="16"/>
      <c r="AM669" s="16"/>
      <c r="AN669" s="16"/>
      <c r="AO669" s="16"/>
      <c r="AP669" s="16"/>
      <c r="AQ669" s="16"/>
      <c r="AR669" s="16"/>
      <c r="AS669" s="16"/>
      <c r="AT669" s="16"/>
      <c r="AU669" s="16"/>
      <c r="AV669" s="16"/>
      <c r="AW669" s="16"/>
      <c r="AX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c r="AG670" s="16"/>
      <c r="AH670" s="16"/>
      <c r="AI670" s="16"/>
      <c r="AJ670" s="16"/>
      <c r="AK670" s="16"/>
      <c r="AL670" s="16"/>
      <c r="AM670" s="16"/>
      <c r="AN670" s="16"/>
      <c r="AO670" s="16"/>
      <c r="AP670" s="16"/>
      <c r="AQ670" s="16"/>
      <c r="AR670" s="16"/>
      <c r="AS670" s="16"/>
      <c r="AT670" s="16"/>
      <c r="AU670" s="16"/>
      <c r="AV670" s="16"/>
      <c r="AW670" s="16"/>
      <c r="AX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c r="AG671" s="16"/>
      <c r="AH671" s="16"/>
      <c r="AI671" s="16"/>
      <c r="AJ671" s="16"/>
      <c r="AK671" s="16"/>
      <c r="AL671" s="16"/>
      <c r="AM671" s="16"/>
      <c r="AN671" s="16"/>
      <c r="AO671" s="16"/>
      <c r="AP671" s="16"/>
      <c r="AQ671" s="16"/>
      <c r="AR671" s="16"/>
      <c r="AS671" s="16"/>
      <c r="AT671" s="16"/>
      <c r="AU671" s="16"/>
      <c r="AV671" s="16"/>
      <c r="AW671" s="16"/>
      <c r="AX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c r="AG672" s="16"/>
      <c r="AH672" s="16"/>
      <c r="AI672" s="16"/>
      <c r="AJ672" s="16"/>
      <c r="AK672" s="16"/>
      <c r="AL672" s="16"/>
      <c r="AM672" s="16"/>
      <c r="AN672" s="16"/>
      <c r="AO672" s="16"/>
      <c r="AP672" s="16"/>
      <c r="AQ672" s="16"/>
      <c r="AR672" s="16"/>
      <c r="AS672" s="16"/>
      <c r="AT672" s="16"/>
      <c r="AU672" s="16"/>
      <c r="AV672" s="16"/>
      <c r="AW672" s="16"/>
      <c r="AX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c r="AG673" s="16"/>
      <c r="AH673" s="16"/>
      <c r="AI673" s="16"/>
      <c r="AJ673" s="16"/>
      <c r="AK673" s="16"/>
      <c r="AL673" s="16"/>
      <c r="AM673" s="16"/>
      <c r="AN673" s="16"/>
      <c r="AO673" s="16"/>
      <c r="AP673" s="16"/>
      <c r="AQ673" s="16"/>
      <c r="AR673" s="16"/>
      <c r="AS673" s="16"/>
      <c r="AT673" s="16"/>
      <c r="AU673" s="16"/>
      <c r="AV673" s="16"/>
      <c r="AW673" s="16"/>
      <c r="AX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c r="AA674" s="16"/>
      <c r="AB674" s="16"/>
      <c r="AC674" s="16"/>
      <c r="AD674" s="16"/>
      <c r="AE674" s="16"/>
      <c r="AF674" s="16"/>
      <c r="AG674" s="16"/>
      <c r="AH674" s="16"/>
      <c r="AI674" s="16"/>
      <c r="AJ674" s="16"/>
      <c r="AK674" s="16"/>
      <c r="AL674" s="16"/>
      <c r="AM674" s="16"/>
      <c r="AN674" s="16"/>
      <c r="AO674" s="16"/>
      <c r="AP674" s="16"/>
      <c r="AQ674" s="16"/>
      <c r="AR674" s="16"/>
      <c r="AS674" s="16"/>
      <c r="AT674" s="16"/>
      <c r="AU674" s="16"/>
      <c r="AV674" s="16"/>
      <c r="AW674" s="16"/>
      <c r="AX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c r="AG675" s="16"/>
      <c r="AH675" s="16"/>
      <c r="AI675" s="16"/>
      <c r="AJ675" s="16"/>
      <c r="AK675" s="16"/>
      <c r="AL675" s="16"/>
      <c r="AM675" s="16"/>
      <c r="AN675" s="16"/>
      <c r="AO675" s="16"/>
      <c r="AP675" s="16"/>
      <c r="AQ675" s="16"/>
      <c r="AR675" s="16"/>
      <c r="AS675" s="16"/>
      <c r="AT675" s="16"/>
      <c r="AU675" s="16"/>
      <c r="AV675" s="16"/>
      <c r="AW675" s="16"/>
      <c r="AX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U676" s="16"/>
      <c r="AV676" s="16"/>
      <c r="AW676" s="16"/>
      <c r="AX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V677" s="16"/>
      <c r="AW677" s="16"/>
      <c r="AX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U678" s="16"/>
      <c r="AV678" s="16"/>
      <c r="AW678" s="16"/>
      <c r="AX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c r="AS679" s="16"/>
      <c r="AT679" s="16"/>
      <c r="AU679" s="16"/>
      <c r="AV679" s="16"/>
      <c r="AW679" s="16"/>
      <c r="AX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c r="AU680" s="16"/>
      <c r="AV680" s="16"/>
      <c r="AW680" s="16"/>
      <c r="AX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c r="AS681" s="16"/>
      <c r="AT681" s="16"/>
      <c r="AU681" s="16"/>
      <c r="AV681" s="16"/>
      <c r="AW681" s="16"/>
      <c r="AX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c r="AS682" s="16"/>
      <c r="AT682" s="16"/>
      <c r="AU682" s="16"/>
      <c r="AV682" s="16"/>
      <c r="AW682" s="16"/>
      <c r="AX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c r="AS683" s="16"/>
      <c r="AT683" s="16"/>
      <c r="AU683" s="16"/>
      <c r="AV683" s="16"/>
      <c r="AW683" s="16"/>
      <c r="AX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c r="AS684" s="16"/>
      <c r="AT684" s="16"/>
      <c r="AU684" s="16"/>
      <c r="AV684" s="16"/>
      <c r="AW684" s="16"/>
      <c r="AX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c r="AS685" s="16"/>
      <c r="AT685" s="16"/>
      <c r="AU685" s="16"/>
      <c r="AV685" s="16"/>
      <c r="AW685" s="16"/>
      <c r="AX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V686" s="16"/>
      <c r="AW686" s="16"/>
      <c r="AX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U687" s="16"/>
      <c r="AV687" s="16"/>
      <c r="AW687" s="16"/>
      <c r="AX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V688" s="16"/>
      <c r="AW688" s="16"/>
      <c r="AX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c r="AS689" s="16"/>
      <c r="AT689" s="16"/>
      <c r="AU689" s="16"/>
      <c r="AV689" s="16"/>
      <c r="AW689" s="16"/>
      <c r="AX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F690" s="16"/>
      <c r="AG690" s="16"/>
      <c r="AH690" s="16"/>
      <c r="AI690" s="16"/>
      <c r="AJ690" s="16"/>
      <c r="AK690" s="16"/>
      <c r="AL690" s="16"/>
      <c r="AM690" s="16"/>
      <c r="AN690" s="16"/>
      <c r="AO690" s="16"/>
      <c r="AP690" s="16"/>
      <c r="AQ690" s="16"/>
      <c r="AR690" s="16"/>
      <c r="AS690" s="16"/>
      <c r="AT690" s="16"/>
      <c r="AU690" s="16"/>
      <c r="AV690" s="16"/>
      <c r="AW690" s="16"/>
      <c r="AX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F691" s="16"/>
      <c r="AG691" s="16"/>
      <c r="AH691" s="16"/>
      <c r="AI691" s="16"/>
      <c r="AJ691" s="16"/>
      <c r="AK691" s="16"/>
      <c r="AL691" s="16"/>
      <c r="AM691" s="16"/>
      <c r="AN691" s="16"/>
      <c r="AO691" s="16"/>
      <c r="AP691" s="16"/>
      <c r="AQ691" s="16"/>
      <c r="AR691" s="16"/>
      <c r="AS691" s="16"/>
      <c r="AT691" s="16"/>
      <c r="AU691" s="16"/>
      <c r="AV691" s="16"/>
      <c r="AW691" s="16"/>
      <c r="AX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F692" s="16"/>
      <c r="AG692" s="16"/>
      <c r="AH692" s="16"/>
      <c r="AI692" s="16"/>
      <c r="AJ692" s="16"/>
      <c r="AK692" s="16"/>
      <c r="AL692" s="16"/>
      <c r="AM692" s="16"/>
      <c r="AN692" s="16"/>
      <c r="AO692" s="16"/>
      <c r="AP692" s="16"/>
      <c r="AQ692" s="16"/>
      <c r="AR692" s="16"/>
      <c r="AS692" s="16"/>
      <c r="AT692" s="16"/>
      <c r="AU692" s="16"/>
      <c r="AV692" s="16"/>
      <c r="AW692" s="16"/>
      <c r="AX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F693" s="16"/>
      <c r="AG693" s="16"/>
      <c r="AH693" s="16"/>
      <c r="AI693" s="16"/>
      <c r="AJ693" s="16"/>
      <c r="AK693" s="16"/>
      <c r="AL693" s="16"/>
      <c r="AM693" s="16"/>
      <c r="AN693" s="16"/>
      <c r="AO693" s="16"/>
      <c r="AP693" s="16"/>
      <c r="AQ693" s="16"/>
      <c r="AR693" s="16"/>
      <c r="AS693" s="16"/>
      <c r="AT693" s="16"/>
      <c r="AU693" s="16"/>
      <c r="AV693" s="16"/>
      <c r="AW693" s="16"/>
      <c r="AX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F694" s="16"/>
      <c r="AG694" s="16"/>
      <c r="AH694" s="16"/>
      <c r="AI694" s="16"/>
      <c r="AJ694" s="16"/>
      <c r="AK694" s="16"/>
      <c r="AL694" s="16"/>
      <c r="AM694" s="16"/>
      <c r="AN694" s="16"/>
      <c r="AO694" s="16"/>
      <c r="AP694" s="16"/>
      <c r="AQ694" s="16"/>
      <c r="AR694" s="16"/>
      <c r="AS694" s="16"/>
      <c r="AT694" s="16"/>
      <c r="AU694" s="16"/>
      <c r="AV694" s="16"/>
      <c r="AW694" s="16"/>
      <c r="AX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F695" s="16"/>
      <c r="AG695" s="16"/>
      <c r="AH695" s="16"/>
      <c r="AI695" s="16"/>
      <c r="AJ695" s="16"/>
      <c r="AK695" s="16"/>
      <c r="AL695" s="16"/>
      <c r="AM695" s="16"/>
      <c r="AN695" s="16"/>
      <c r="AO695" s="16"/>
      <c r="AP695" s="16"/>
      <c r="AQ695" s="16"/>
      <c r="AR695" s="16"/>
      <c r="AS695" s="16"/>
      <c r="AT695" s="16"/>
      <c r="AU695" s="16"/>
      <c r="AV695" s="16"/>
      <c r="AW695" s="16"/>
      <c r="AX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F696" s="16"/>
      <c r="AG696" s="16"/>
      <c r="AH696" s="16"/>
      <c r="AI696" s="16"/>
      <c r="AJ696" s="16"/>
      <c r="AK696" s="16"/>
      <c r="AL696" s="16"/>
      <c r="AM696" s="16"/>
      <c r="AN696" s="16"/>
      <c r="AO696" s="16"/>
      <c r="AP696" s="16"/>
      <c r="AQ696" s="16"/>
      <c r="AR696" s="16"/>
      <c r="AS696" s="16"/>
      <c r="AT696" s="16"/>
      <c r="AU696" s="16"/>
      <c r="AV696" s="16"/>
      <c r="AW696" s="16"/>
      <c r="AX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F697" s="16"/>
      <c r="AG697" s="16"/>
      <c r="AH697" s="16"/>
      <c r="AI697" s="16"/>
      <c r="AJ697" s="16"/>
      <c r="AK697" s="16"/>
      <c r="AL697" s="16"/>
      <c r="AM697" s="16"/>
      <c r="AN697" s="16"/>
      <c r="AO697" s="16"/>
      <c r="AP697" s="16"/>
      <c r="AQ697" s="16"/>
      <c r="AR697" s="16"/>
      <c r="AS697" s="16"/>
      <c r="AT697" s="16"/>
      <c r="AU697" s="16"/>
      <c r="AV697" s="16"/>
      <c r="AW697" s="16"/>
      <c r="AX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F698" s="16"/>
      <c r="AG698" s="16"/>
      <c r="AH698" s="16"/>
      <c r="AI698" s="16"/>
      <c r="AJ698" s="16"/>
      <c r="AK698" s="16"/>
      <c r="AL698" s="16"/>
      <c r="AM698" s="16"/>
      <c r="AN698" s="16"/>
      <c r="AO698" s="16"/>
      <c r="AP698" s="16"/>
      <c r="AQ698" s="16"/>
      <c r="AR698" s="16"/>
      <c r="AS698" s="16"/>
      <c r="AT698" s="16"/>
      <c r="AU698" s="16"/>
      <c r="AV698" s="16"/>
      <c r="AW698" s="16"/>
      <c r="AX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F699" s="16"/>
      <c r="AG699" s="16"/>
      <c r="AH699" s="16"/>
      <c r="AI699" s="16"/>
      <c r="AJ699" s="16"/>
      <c r="AK699" s="16"/>
      <c r="AL699" s="16"/>
      <c r="AM699" s="16"/>
      <c r="AN699" s="16"/>
      <c r="AO699" s="16"/>
      <c r="AP699" s="16"/>
      <c r="AQ699" s="16"/>
      <c r="AR699" s="16"/>
      <c r="AS699" s="16"/>
      <c r="AT699" s="16"/>
      <c r="AU699" s="16"/>
      <c r="AV699" s="16"/>
      <c r="AW699" s="16"/>
      <c r="AX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c r="AG700" s="16"/>
      <c r="AH700" s="16"/>
      <c r="AI700" s="16"/>
      <c r="AJ700" s="16"/>
      <c r="AK700" s="16"/>
      <c r="AL700" s="16"/>
      <c r="AM700" s="16"/>
      <c r="AN700" s="16"/>
      <c r="AO700" s="16"/>
      <c r="AP700" s="16"/>
      <c r="AQ700" s="16"/>
      <c r="AR700" s="16"/>
      <c r="AS700" s="16"/>
      <c r="AT700" s="16"/>
      <c r="AU700" s="16"/>
      <c r="AV700" s="16"/>
      <c r="AW700" s="16"/>
      <c r="AX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c r="AG701" s="16"/>
      <c r="AH701" s="16"/>
      <c r="AI701" s="16"/>
      <c r="AJ701" s="16"/>
      <c r="AK701" s="16"/>
      <c r="AL701" s="16"/>
      <c r="AM701" s="16"/>
      <c r="AN701" s="16"/>
      <c r="AO701" s="16"/>
      <c r="AP701" s="16"/>
      <c r="AQ701" s="16"/>
      <c r="AR701" s="16"/>
      <c r="AS701" s="16"/>
      <c r="AT701" s="16"/>
      <c r="AU701" s="16"/>
      <c r="AV701" s="16"/>
      <c r="AW701" s="16"/>
      <c r="AX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c r="AG702" s="16"/>
      <c r="AH702" s="16"/>
      <c r="AI702" s="16"/>
      <c r="AJ702" s="16"/>
      <c r="AK702" s="16"/>
      <c r="AL702" s="16"/>
      <c r="AM702" s="16"/>
      <c r="AN702" s="16"/>
      <c r="AO702" s="16"/>
      <c r="AP702" s="16"/>
      <c r="AQ702" s="16"/>
      <c r="AR702" s="16"/>
      <c r="AS702" s="16"/>
      <c r="AT702" s="16"/>
      <c r="AU702" s="16"/>
      <c r="AV702" s="16"/>
      <c r="AW702" s="16"/>
      <c r="AX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c r="AG703" s="16"/>
      <c r="AH703" s="16"/>
      <c r="AI703" s="16"/>
      <c r="AJ703" s="16"/>
      <c r="AK703" s="16"/>
      <c r="AL703" s="16"/>
      <c r="AM703" s="16"/>
      <c r="AN703" s="16"/>
      <c r="AO703" s="16"/>
      <c r="AP703" s="16"/>
      <c r="AQ703" s="16"/>
      <c r="AR703" s="16"/>
      <c r="AS703" s="16"/>
      <c r="AT703" s="16"/>
      <c r="AU703" s="16"/>
      <c r="AV703" s="16"/>
      <c r="AW703" s="16"/>
      <c r="AX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c r="AG704" s="16"/>
      <c r="AH704" s="16"/>
      <c r="AI704" s="16"/>
      <c r="AJ704" s="16"/>
      <c r="AK704" s="16"/>
      <c r="AL704" s="16"/>
      <c r="AM704" s="16"/>
      <c r="AN704" s="16"/>
      <c r="AO704" s="16"/>
      <c r="AP704" s="16"/>
      <c r="AQ704" s="16"/>
      <c r="AR704" s="16"/>
      <c r="AS704" s="16"/>
      <c r="AT704" s="16"/>
      <c r="AU704" s="16"/>
      <c r="AV704" s="16"/>
      <c r="AW704" s="16"/>
      <c r="AX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c r="AG705" s="16"/>
      <c r="AH705" s="16"/>
      <c r="AI705" s="16"/>
      <c r="AJ705" s="16"/>
      <c r="AK705" s="16"/>
      <c r="AL705" s="16"/>
      <c r="AM705" s="16"/>
      <c r="AN705" s="16"/>
      <c r="AO705" s="16"/>
      <c r="AP705" s="16"/>
      <c r="AQ705" s="16"/>
      <c r="AR705" s="16"/>
      <c r="AS705" s="16"/>
      <c r="AT705" s="16"/>
      <c r="AU705" s="16"/>
      <c r="AV705" s="16"/>
      <c r="AW705" s="16"/>
      <c r="AX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c r="AG706" s="16"/>
      <c r="AH706" s="16"/>
      <c r="AI706" s="16"/>
      <c r="AJ706" s="16"/>
      <c r="AK706" s="16"/>
      <c r="AL706" s="16"/>
      <c r="AM706" s="16"/>
      <c r="AN706" s="16"/>
      <c r="AO706" s="16"/>
      <c r="AP706" s="16"/>
      <c r="AQ706" s="16"/>
      <c r="AR706" s="16"/>
      <c r="AS706" s="16"/>
      <c r="AT706" s="16"/>
      <c r="AU706" s="16"/>
      <c r="AV706" s="16"/>
      <c r="AW706" s="16"/>
      <c r="AX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c r="AG707" s="16"/>
      <c r="AH707" s="16"/>
      <c r="AI707" s="16"/>
      <c r="AJ707" s="16"/>
      <c r="AK707" s="16"/>
      <c r="AL707" s="16"/>
      <c r="AM707" s="16"/>
      <c r="AN707" s="16"/>
      <c r="AO707" s="16"/>
      <c r="AP707" s="16"/>
      <c r="AQ707" s="16"/>
      <c r="AR707" s="16"/>
      <c r="AS707" s="16"/>
      <c r="AT707" s="16"/>
      <c r="AU707" s="16"/>
      <c r="AV707" s="16"/>
      <c r="AW707" s="16"/>
      <c r="AX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c r="AG708" s="16"/>
      <c r="AH708" s="16"/>
      <c r="AI708" s="16"/>
      <c r="AJ708" s="16"/>
      <c r="AK708" s="16"/>
      <c r="AL708" s="16"/>
      <c r="AM708" s="16"/>
      <c r="AN708" s="16"/>
      <c r="AO708" s="16"/>
      <c r="AP708" s="16"/>
      <c r="AQ708" s="16"/>
      <c r="AR708" s="16"/>
      <c r="AS708" s="16"/>
      <c r="AT708" s="16"/>
      <c r="AU708" s="16"/>
      <c r="AV708" s="16"/>
      <c r="AW708" s="16"/>
      <c r="AX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F709" s="16"/>
      <c r="AG709" s="16"/>
      <c r="AH709" s="16"/>
      <c r="AI709" s="16"/>
      <c r="AJ709" s="16"/>
      <c r="AK709" s="16"/>
      <c r="AL709" s="16"/>
      <c r="AM709" s="16"/>
      <c r="AN709" s="16"/>
      <c r="AO709" s="16"/>
      <c r="AP709" s="16"/>
      <c r="AQ709" s="16"/>
      <c r="AR709" s="16"/>
      <c r="AS709" s="16"/>
      <c r="AT709" s="16"/>
      <c r="AU709" s="16"/>
      <c r="AV709" s="16"/>
      <c r="AW709" s="16"/>
      <c r="AX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c r="AG710" s="16"/>
      <c r="AH710" s="16"/>
      <c r="AI710" s="16"/>
      <c r="AJ710" s="16"/>
      <c r="AK710" s="16"/>
      <c r="AL710" s="16"/>
      <c r="AM710" s="16"/>
      <c r="AN710" s="16"/>
      <c r="AO710" s="16"/>
      <c r="AP710" s="16"/>
      <c r="AQ710" s="16"/>
      <c r="AR710" s="16"/>
      <c r="AS710" s="16"/>
      <c r="AT710" s="16"/>
      <c r="AU710" s="16"/>
      <c r="AV710" s="16"/>
      <c r="AW710" s="16"/>
      <c r="AX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F711" s="16"/>
      <c r="AG711" s="16"/>
      <c r="AH711" s="16"/>
      <c r="AI711" s="16"/>
      <c r="AJ711" s="16"/>
      <c r="AK711" s="16"/>
      <c r="AL711" s="16"/>
      <c r="AM711" s="16"/>
      <c r="AN711" s="16"/>
      <c r="AO711" s="16"/>
      <c r="AP711" s="16"/>
      <c r="AQ711" s="16"/>
      <c r="AR711" s="16"/>
      <c r="AS711" s="16"/>
      <c r="AT711" s="16"/>
      <c r="AU711" s="16"/>
      <c r="AV711" s="16"/>
      <c r="AW711" s="16"/>
      <c r="AX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c r="AG712" s="16"/>
      <c r="AH712" s="16"/>
      <c r="AI712" s="16"/>
      <c r="AJ712" s="16"/>
      <c r="AK712" s="16"/>
      <c r="AL712" s="16"/>
      <c r="AM712" s="16"/>
      <c r="AN712" s="16"/>
      <c r="AO712" s="16"/>
      <c r="AP712" s="16"/>
      <c r="AQ712" s="16"/>
      <c r="AR712" s="16"/>
      <c r="AS712" s="16"/>
      <c r="AT712" s="16"/>
      <c r="AU712" s="16"/>
      <c r="AV712" s="16"/>
      <c r="AW712" s="16"/>
      <c r="AX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F713" s="16"/>
      <c r="AG713" s="16"/>
      <c r="AH713" s="16"/>
      <c r="AI713" s="16"/>
      <c r="AJ713" s="16"/>
      <c r="AK713" s="16"/>
      <c r="AL713" s="16"/>
      <c r="AM713" s="16"/>
      <c r="AN713" s="16"/>
      <c r="AO713" s="16"/>
      <c r="AP713" s="16"/>
      <c r="AQ713" s="16"/>
      <c r="AR713" s="16"/>
      <c r="AS713" s="16"/>
      <c r="AT713" s="16"/>
      <c r="AU713" s="16"/>
      <c r="AV713" s="16"/>
      <c r="AW713" s="16"/>
      <c r="AX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F714" s="16"/>
      <c r="AG714" s="16"/>
      <c r="AH714" s="16"/>
      <c r="AI714" s="16"/>
      <c r="AJ714" s="16"/>
      <c r="AK714" s="16"/>
      <c r="AL714" s="16"/>
      <c r="AM714" s="16"/>
      <c r="AN714" s="16"/>
      <c r="AO714" s="16"/>
      <c r="AP714" s="16"/>
      <c r="AQ714" s="16"/>
      <c r="AR714" s="16"/>
      <c r="AS714" s="16"/>
      <c r="AT714" s="16"/>
      <c r="AU714" s="16"/>
      <c r="AV714" s="16"/>
      <c r="AW714" s="16"/>
      <c r="AX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F715" s="16"/>
      <c r="AG715" s="16"/>
      <c r="AH715" s="16"/>
      <c r="AI715" s="16"/>
      <c r="AJ715" s="16"/>
      <c r="AK715" s="16"/>
      <c r="AL715" s="16"/>
      <c r="AM715" s="16"/>
      <c r="AN715" s="16"/>
      <c r="AO715" s="16"/>
      <c r="AP715" s="16"/>
      <c r="AQ715" s="16"/>
      <c r="AR715" s="16"/>
      <c r="AS715" s="16"/>
      <c r="AT715" s="16"/>
      <c r="AU715" s="16"/>
      <c r="AV715" s="16"/>
      <c r="AW715" s="16"/>
      <c r="AX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F716" s="16"/>
      <c r="AG716" s="16"/>
      <c r="AH716" s="16"/>
      <c r="AI716" s="16"/>
      <c r="AJ716" s="16"/>
      <c r="AK716" s="16"/>
      <c r="AL716" s="16"/>
      <c r="AM716" s="16"/>
      <c r="AN716" s="16"/>
      <c r="AO716" s="16"/>
      <c r="AP716" s="16"/>
      <c r="AQ716" s="16"/>
      <c r="AR716" s="16"/>
      <c r="AS716" s="16"/>
      <c r="AT716" s="16"/>
      <c r="AU716" s="16"/>
      <c r="AV716" s="16"/>
      <c r="AW716" s="16"/>
      <c r="AX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c r="AG717" s="16"/>
      <c r="AH717" s="16"/>
      <c r="AI717" s="16"/>
      <c r="AJ717" s="16"/>
      <c r="AK717" s="16"/>
      <c r="AL717" s="16"/>
      <c r="AM717" s="16"/>
      <c r="AN717" s="16"/>
      <c r="AO717" s="16"/>
      <c r="AP717" s="16"/>
      <c r="AQ717" s="16"/>
      <c r="AR717" s="16"/>
      <c r="AS717" s="16"/>
      <c r="AT717" s="16"/>
      <c r="AU717" s="16"/>
      <c r="AV717" s="16"/>
      <c r="AW717" s="16"/>
      <c r="AX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F718" s="16"/>
      <c r="AG718" s="16"/>
      <c r="AH718" s="16"/>
      <c r="AI718" s="16"/>
      <c r="AJ718" s="16"/>
      <c r="AK718" s="16"/>
      <c r="AL718" s="16"/>
      <c r="AM718" s="16"/>
      <c r="AN718" s="16"/>
      <c r="AO718" s="16"/>
      <c r="AP718" s="16"/>
      <c r="AQ718" s="16"/>
      <c r="AR718" s="16"/>
      <c r="AS718" s="16"/>
      <c r="AT718" s="16"/>
      <c r="AU718" s="16"/>
      <c r="AV718" s="16"/>
      <c r="AW718" s="16"/>
      <c r="AX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F719" s="16"/>
      <c r="AG719" s="16"/>
      <c r="AH719" s="16"/>
      <c r="AI719" s="16"/>
      <c r="AJ719" s="16"/>
      <c r="AK719" s="16"/>
      <c r="AL719" s="16"/>
      <c r="AM719" s="16"/>
      <c r="AN719" s="16"/>
      <c r="AO719" s="16"/>
      <c r="AP719" s="16"/>
      <c r="AQ719" s="16"/>
      <c r="AR719" s="16"/>
      <c r="AS719" s="16"/>
      <c r="AT719" s="16"/>
      <c r="AU719" s="16"/>
      <c r="AV719" s="16"/>
      <c r="AW719" s="16"/>
      <c r="AX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V742" s="16"/>
      <c r="AW742" s="16"/>
      <c r="AX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V744" s="16"/>
      <c r="AW744" s="16"/>
      <c r="AX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V745" s="16"/>
      <c r="AW745" s="16"/>
      <c r="AX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V746" s="16"/>
      <c r="AW746" s="16"/>
      <c r="AX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V749" s="16"/>
      <c r="AW749" s="16"/>
      <c r="AX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V751" s="16"/>
      <c r="AW751" s="16"/>
      <c r="AX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V752" s="16"/>
      <c r="AW752" s="16"/>
      <c r="AX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V755" s="16"/>
      <c r="AW755" s="16"/>
      <c r="AX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V757" s="16"/>
      <c r="AW757" s="16"/>
      <c r="AX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c r="AF760" s="16"/>
      <c r="AG760" s="16"/>
      <c r="AH760" s="16"/>
      <c r="AI760" s="16"/>
      <c r="AJ760" s="16"/>
      <c r="AK760" s="16"/>
      <c r="AL760" s="16"/>
      <c r="AM760" s="16"/>
      <c r="AN760" s="16"/>
      <c r="AO760" s="16"/>
      <c r="AP760" s="16"/>
      <c r="AQ760" s="16"/>
      <c r="AR760" s="16"/>
      <c r="AS760" s="16"/>
      <c r="AT760" s="16"/>
      <c r="AU760" s="16"/>
      <c r="AV760" s="16"/>
      <c r="AW760" s="16"/>
      <c r="AX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c r="AG761" s="16"/>
      <c r="AH761" s="16"/>
      <c r="AI761" s="16"/>
      <c r="AJ761" s="16"/>
      <c r="AK761" s="16"/>
      <c r="AL761" s="16"/>
      <c r="AM761" s="16"/>
      <c r="AN761" s="16"/>
      <c r="AO761" s="16"/>
      <c r="AP761" s="16"/>
      <c r="AQ761" s="16"/>
      <c r="AR761" s="16"/>
      <c r="AS761" s="16"/>
      <c r="AT761" s="16"/>
      <c r="AU761" s="16"/>
      <c r="AV761" s="16"/>
      <c r="AW761" s="16"/>
      <c r="AX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c r="AG762" s="16"/>
      <c r="AH762" s="16"/>
      <c r="AI762" s="16"/>
      <c r="AJ762" s="16"/>
      <c r="AK762" s="16"/>
      <c r="AL762" s="16"/>
      <c r="AM762" s="16"/>
      <c r="AN762" s="16"/>
      <c r="AO762" s="16"/>
      <c r="AP762" s="16"/>
      <c r="AQ762" s="16"/>
      <c r="AR762" s="16"/>
      <c r="AS762" s="16"/>
      <c r="AT762" s="16"/>
      <c r="AU762" s="16"/>
      <c r="AV762" s="16"/>
      <c r="AW762" s="16"/>
      <c r="AX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c r="AH763" s="16"/>
      <c r="AI763" s="16"/>
      <c r="AJ763" s="16"/>
      <c r="AK763" s="16"/>
      <c r="AL763" s="16"/>
      <c r="AM763" s="16"/>
      <c r="AN763" s="16"/>
      <c r="AO763" s="16"/>
      <c r="AP763" s="16"/>
      <c r="AQ763" s="16"/>
      <c r="AR763" s="16"/>
      <c r="AS763" s="16"/>
      <c r="AT763" s="16"/>
      <c r="AU763" s="16"/>
      <c r="AV763" s="16"/>
      <c r="AW763" s="16"/>
      <c r="AX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c r="AG764" s="16"/>
      <c r="AH764" s="16"/>
      <c r="AI764" s="16"/>
      <c r="AJ764" s="16"/>
      <c r="AK764" s="16"/>
      <c r="AL764" s="16"/>
      <c r="AM764" s="16"/>
      <c r="AN764" s="16"/>
      <c r="AO764" s="16"/>
      <c r="AP764" s="16"/>
      <c r="AQ764" s="16"/>
      <c r="AR764" s="16"/>
      <c r="AS764" s="16"/>
      <c r="AT764" s="16"/>
      <c r="AU764" s="16"/>
      <c r="AV764" s="16"/>
      <c r="AW764" s="16"/>
      <c r="AX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c r="AA765" s="16"/>
      <c r="AB765" s="16"/>
      <c r="AC765" s="16"/>
      <c r="AD765" s="16"/>
      <c r="AE765" s="16"/>
      <c r="AF765" s="16"/>
      <c r="AG765" s="16"/>
      <c r="AH765" s="16"/>
      <c r="AI765" s="16"/>
      <c r="AJ765" s="16"/>
      <c r="AK765" s="16"/>
      <c r="AL765" s="16"/>
      <c r="AM765" s="16"/>
      <c r="AN765" s="16"/>
      <c r="AO765" s="16"/>
      <c r="AP765" s="16"/>
      <c r="AQ765" s="16"/>
      <c r="AR765" s="16"/>
      <c r="AS765" s="16"/>
      <c r="AT765" s="16"/>
      <c r="AU765" s="16"/>
      <c r="AV765" s="16"/>
      <c r="AW765" s="16"/>
      <c r="AX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c r="AA766" s="16"/>
      <c r="AB766" s="16"/>
      <c r="AC766" s="16"/>
      <c r="AD766" s="16"/>
      <c r="AE766" s="16"/>
      <c r="AF766" s="16"/>
      <c r="AG766" s="16"/>
      <c r="AH766" s="16"/>
      <c r="AI766" s="16"/>
      <c r="AJ766" s="16"/>
      <c r="AK766" s="16"/>
      <c r="AL766" s="16"/>
      <c r="AM766" s="16"/>
      <c r="AN766" s="16"/>
      <c r="AO766" s="16"/>
      <c r="AP766" s="16"/>
      <c r="AQ766" s="16"/>
      <c r="AR766" s="16"/>
      <c r="AS766" s="16"/>
      <c r="AT766" s="16"/>
      <c r="AU766" s="16"/>
      <c r="AV766" s="16"/>
      <c r="AW766" s="16"/>
      <c r="AX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c r="AH767" s="16"/>
      <c r="AI767" s="16"/>
      <c r="AJ767" s="16"/>
      <c r="AK767" s="16"/>
      <c r="AL767" s="16"/>
      <c r="AM767" s="16"/>
      <c r="AN767" s="16"/>
      <c r="AO767" s="16"/>
      <c r="AP767" s="16"/>
      <c r="AQ767" s="16"/>
      <c r="AR767" s="16"/>
      <c r="AS767" s="16"/>
      <c r="AT767" s="16"/>
      <c r="AU767" s="16"/>
      <c r="AV767" s="16"/>
      <c r="AW767" s="16"/>
      <c r="AX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c r="AA768" s="16"/>
      <c r="AB768" s="16"/>
      <c r="AC768" s="16"/>
      <c r="AD768" s="16"/>
      <c r="AE768" s="16"/>
      <c r="AF768" s="16"/>
      <c r="AG768" s="16"/>
      <c r="AH768" s="16"/>
      <c r="AI768" s="16"/>
      <c r="AJ768" s="16"/>
      <c r="AK768" s="16"/>
      <c r="AL768" s="16"/>
      <c r="AM768" s="16"/>
      <c r="AN768" s="16"/>
      <c r="AO768" s="16"/>
      <c r="AP768" s="16"/>
      <c r="AQ768" s="16"/>
      <c r="AR768" s="16"/>
      <c r="AS768" s="16"/>
      <c r="AT768" s="16"/>
      <c r="AU768" s="16"/>
      <c r="AV768" s="16"/>
      <c r="AW768" s="16"/>
      <c r="AX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c r="AG769" s="16"/>
      <c r="AH769" s="16"/>
      <c r="AI769" s="16"/>
      <c r="AJ769" s="16"/>
      <c r="AK769" s="16"/>
      <c r="AL769" s="16"/>
      <c r="AM769" s="16"/>
      <c r="AN769" s="16"/>
      <c r="AO769" s="16"/>
      <c r="AP769" s="16"/>
      <c r="AQ769" s="16"/>
      <c r="AR769" s="16"/>
      <c r="AS769" s="16"/>
      <c r="AT769" s="16"/>
      <c r="AU769" s="16"/>
      <c r="AV769" s="16"/>
      <c r="AW769" s="16"/>
      <c r="AX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c r="AA770" s="16"/>
      <c r="AB770" s="16"/>
      <c r="AC770" s="16"/>
      <c r="AD770" s="16"/>
      <c r="AE770" s="16"/>
      <c r="AF770" s="16"/>
      <c r="AG770" s="16"/>
      <c r="AH770" s="16"/>
      <c r="AI770" s="16"/>
      <c r="AJ770" s="16"/>
      <c r="AK770" s="16"/>
      <c r="AL770" s="16"/>
      <c r="AM770" s="16"/>
      <c r="AN770" s="16"/>
      <c r="AO770" s="16"/>
      <c r="AP770" s="16"/>
      <c r="AQ770" s="16"/>
      <c r="AR770" s="16"/>
      <c r="AS770" s="16"/>
      <c r="AT770" s="16"/>
      <c r="AU770" s="16"/>
      <c r="AV770" s="16"/>
      <c r="AW770" s="16"/>
      <c r="AX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c r="AG771" s="16"/>
      <c r="AH771" s="16"/>
      <c r="AI771" s="16"/>
      <c r="AJ771" s="16"/>
      <c r="AK771" s="16"/>
      <c r="AL771" s="16"/>
      <c r="AM771" s="16"/>
      <c r="AN771" s="16"/>
      <c r="AO771" s="16"/>
      <c r="AP771" s="16"/>
      <c r="AQ771" s="16"/>
      <c r="AR771" s="16"/>
      <c r="AS771" s="16"/>
      <c r="AT771" s="16"/>
      <c r="AU771" s="16"/>
      <c r="AV771" s="16"/>
      <c r="AW771" s="16"/>
      <c r="AX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c r="AG772" s="16"/>
      <c r="AH772" s="16"/>
      <c r="AI772" s="16"/>
      <c r="AJ772" s="16"/>
      <c r="AK772" s="16"/>
      <c r="AL772" s="16"/>
      <c r="AM772" s="16"/>
      <c r="AN772" s="16"/>
      <c r="AO772" s="16"/>
      <c r="AP772" s="16"/>
      <c r="AQ772" s="16"/>
      <c r="AR772" s="16"/>
      <c r="AS772" s="16"/>
      <c r="AT772" s="16"/>
      <c r="AU772" s="16"/>
      <c r="AV772" s="16"/>
      <c r="AW772" s="16"/>
      <c r="AX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c r="AG773" s="16"/>
      <c r="AH773" s="16"/>
      <c r="AI773" s="16"/>
      <c r="AJ773" s="16"/>
      <c r="AK773" s="16"/>
      <c r="AL773" s="16"/>
      <c r="AM773" s="16"/>
      <c r="AN773" s="16"/>
      <c r="AO773" s="16"/>
      <c r="AP773" s="16"/>
      <c r="AQ773" s="16"/>
      <c r="AR773" s="16"/>
      <c r="AS773" s="16"/>
      <c r="AT773" s="16"/>
      <c r="AU773" s="16"/>
      <c r="AV773" s="16"/>
      <c r="AW773" s="16"/>
      <c r="AX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c r="AG774" s="16"/>
      <c r="AH774" s="16"/>
      <c r="AI774" s="16"/>
      <c r="AJ774" s="16"/>
      <c r="AK774" s="16"/>
      <c r="AL774" s="16"/>
      <c r="AM774" s="16"/>
      <c r="AN774" s="16"/>
      <c r="AO774" s="16"/>
      <c r="AP774" s="16"/>
      <c r="AQ774" s="16"/>
      <c r="AR774" s="16"/>
      <c r="AS774" s="16"/>
      <c r="AT774" s="16"/>
      <c r="AU774" s="16"/>
      <c r="AV774" s="16"/>
      <c r="AW774" s="16"/>
      <c r="AX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c r="AG775" s="16"/>
      <c r="AH775" s="16"/>
      <c r="AI775" s="16"/>
      <c r="AJ775" s="16"/>
      <c r="AK775" s="16"/>
      <c r="AL775" s="16"/>
      <c r="AM775" s="16"/>
      <c r="AN775" s="16"/>
      <c r="AO775" s="16"/>
      <c r="AP775" s="16"/>
      <c r="AQ775" s="16"/>
      <c r="AR775" s="16"/>
      <c r="AS775" s="16"/>
      <c r="AT775" s="16"/>
      <c r="AU775" s="16"/>
      <c r="AV775" s="16"/>
      <c r="AW775" s="16"/>
      <c r="AX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c r="AG776" s="16"/>
      <c r="AH776" s="16"/>
      <c r="AI776" s="16"/>
      <c r="AJ776" s="16"/>
      <c r="AK776" s="16"/>
      <c r="AL776" s="16"/>
      <c r="AM776" s="16"/>
      <c r="AN776" s="16"/>
      <c r="AO776" s="16"/>
      <c r="AP776" s="16"/>
      <c r="AQ776" s="16"/>
      <c r="AR776" s="16"/>
      <c r="AS776" s="16"/>
      <c r="AT776" s="16"/>
      <c r="AU776" s="16"/>
      <c r="AV776" s="16"/>
      <c r="AW776" s="16"/>
      <c r="AX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c r="AG777" s="16"/>
      <c r="AH777" s="16"/>
      <c r="AI777" s="16"/>
      <c r="AJ777" s="16"/>
      <c r="AK777" s="16"/>
      <c r="AL777" s="16"/>
      <c r="AM777" s="16"/>
      <c r="AN777" s="16"/>
      <c r="AO777" s="16"/>
      <c r="AP777" s="16"/>
      <c r="AQ777" s="16"/>
      <c r="AR777" s="16"/>
      <c r="AS777" s="16"/>
      <c r="AT777" s="16"/>
      <c r="AU777" s="16"/>
      <c r="AV777" s="16"/>
      <c r="AW777" s="16"/>
      <c r="AX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c r="AH778" s="16"/>
      <c r="AI778" s="16"/>
      <c r="AJ778" s="16"/>
      <c r="AK778" s="16"/>
      <c r="AL778" s="16"/>
      <c r="AM778" s="16"/>
      <c r="AN778" s="16"/>
      <c r="AO778" s="16"/>
      <c r="AP778" s="16"/>
      <c r="AQ778" s="16"/>
      <c r="AR778" s="16"/>
      <c r="AS778" s="16"/>
      <c r="AT778" s="16"/>
      <c r="AU778" s="16"/>
      <c r="AV778" s="16"/>
      <c r="AW778" s="16"/>
      <c r="AX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c r="AA779" s="16"/>
      <c r="AB779" s="16"/>
      <c r="AC779" s="16"/>
      <c r="AD779" s="16"/>
      <c r="AE779" s="16"/>
      <c r="AF779" s="16"/>
      <c r="AG779" s="16"/>
      <c r="AH779" s="16"/>
      <c r="AI779" s="16"/>
      <c r="AJ779" s="16"/>
      <c r="AK779" s="16"/>
      <c r="AL779" s="16"/>
      <c r="AM779" s="16"/>
      <c r="AN779" s="16"/>
      <c r="AO779" s="16"/>
      <c r="AP779" s="16"/>
      <c r="AQ779" s="16"/>
      <c r="AR779" s="16"/>
      <c r="AS779" s="16"/>
      <c r="AT779" s="16"/>
      <c r="AU779" s="16"/>
      <c r="AV779" s="16"/>
      <c r="AW779" s="16"/>
      <c r="AX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c r="AI780" s="16"/>
      <c r="AJ780" s="16"/>
      <c r="AK780" s="16"/>
      <c r="AL780" s="16"/>
      <c r="AM780" s="16"/>
      <c r="AN780" s="16"/>
      <c r="AO780" s="16"/>
      <c r="AP780" s="16"/>
      <c r="AQ780" s="16"/>
      <c r="AR780" s="16"/>
      <c r="AS780" s="16"/>
      <c r="AT780" s="16"/>
      <c r="AU780" s="16"/>
      <c r="AV780" s="16"/>
      <c r="AW780" s="16"/>
      <c r="AX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c r="AG781" s="16"/>
      <c r="AH781" s="16"/>
      <c r="AI781" s="16"/>
      <c r="AJ781" s="16"/>
      <c r="AK781" s="16"/>
      <c r="AL781" s="16"/>
      <c r="AM781" s="16"/>
      <c r="AN781" s="16"/>
      <c r="AO781" s="16"/>
      <c r="AP781" s="16"/>
      <c r="AQ781" s="16"/>
      <c r="AR781" s="16"/>
      <c r="AS781" s="16"/>
      <c r="AT781" s="16"/>
      <c r="AU781" s="16"/>
      <c r="AV781" s="16"/>
      <c r="AW781" s="16"/>
      <c r="AX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c r="AG782" s="16"/>
      <c r="AH782" s="16"/>
      <c r="AI782" s="16"/>
      <c r="AJ782" s="16"/>
      <c r="AK782" s="16"/>
      <c r="AL782" s="16"/>
      <c r="AM782" s="16"/>
      <c r="AN782" s="16"/>
      <c r="AO782" s="16"/>
      <c r="AP782" s="16"/>
      <c r="AQ782" s="16"/>
      <c r="AR782" s="16"/>
      <c r="AS782" s="16"/>
      <c r="AT782" s="16"/>
      <c r="AU782" s="16"/>
      <c r="AV782" s="16"/>
      <c r="AW782" s="16"/>
      <c r="AX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c r="AI783" s="16"/>
      <c r="AJ783" s="16"/>
      <c r="AK783" s="16"/>
      <c r="AL783" s="16"/>
      <c r="AM783" s="16"/>
      <c r="AN783" s="16"/>
      <c r="AO783" s="16"/>
      <c r="AP783" s="16"/>
      <c r="AQ783" s="16"/>
      <c r="AR783" s="16"/>
      <c r="AS783" s="16"/>
      <c r="AT783" s="16"/>
      <c r="AU783" s="16"/>
      <c r="AV783" s="16"/>
      <c r="AW783" s="16"/>
      <c r="AX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c r="AG784" s="16"/>
      <c r="AH784" s="16"/>
      <c r="AI784" s="16"/>
      <c r="AJ784" s="16"/>
      <c r="AK784" s="16"/>
      <c r="AL784" s="16"/>
      <c r="AM784" s="16"/>
      <c r="AN784" s="16"/>
      <c r="AO784" s="16"/>
      <c r="AP784" s="16"/>
      <c r="AQ784" s="16"/>
      <c r="AR784" s="16"/>
      <c r="AS784" s="16"/>
      <c r="AT784" s="16"/>
      <c r="AU784" s="16"/>
      <c r="AV784" s="16"/>
      <c r="AW784" s="16"/>
      <c r="AX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c r="AG785" s="16"/>
      <c r="AH785" s="16"/>
      <c r="AI785" s="16"/>
      <c r="AJ785" s="16"/>
      <c r="AK785" s="16"/>
      <c r="AL785" s="16"/>
      <c r="AM785" s="16"/>
      <c r="AN785" s="16"/>
      <c r="AO785" s="16"/>
      <c r="AP785" s="16"/>
      <c r="AQ785" s="16"/>
      <c r="AR785" s="16"/>
      <c r="AS785" s="16"/>
      <c r="AT785" s="16"/>
      <c r="AU785" s="16"/>
      <c r="AV785" s="16"/>
      <c r="AW785" s="16"/>
      <c r="AX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c r="AH786" s="16"/>
      <c r="AI786" s="16"/>
      <c r="AJ786" s="16"/>
      <c r="AK786" s="16"/>
      <c r="AL786" s="16"/>
      <c r="AM786" s="16"/>
      <c r="AN786" s="16"/>
      <c r="AO786" s="16"/>
      <c r="AP786" s="16"/>
      <c r="AQ786" s="16"/>
      <c r="AR786" s="16"/>
      <c r="AS786" s="16"/>
      <c r="AT786" s="16"/>
      <c r="AU786" s="16"/>
      <c r="AV786" s="16"/>
      <c r="AW786" s="16"/>
      <c r="AX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c r="AG787" s="16"/>
      <c r="AH787" s="16"/>
      <c r="AI787" s="16"/>
      <c r="AJ787" s="16"/>
      <c r="AK787" s="16"/>
      <c r="AL787" s="16"/>
      <c r="AM787" s="16"/>
      <c r="AN787" s="16"/>
      <c r="AO787" s="16"/>
      <c r="AP787" s="16"/>
      <c r="AQ787" s="16"/>
      <c r="AR787" s="16"/>
      <c r="AS787" s="16"/>
      <c r="AT787" s="16"/>
      <c r="AU787" s="16"/>
      <c r="AV787" s="16"/>
      <c r="AW787" s="16"/>
      <c r="AX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c r="AH788" s="16"/>
      <c r="AI788" s="16"/>
      <c r="AJ788" s="16"/>
      <c r="AK788" s="16"/>
      <c r="AL788" s="16"/>
      <c r="AM788" s="16"/>
      <c r="AN788" s="16"/>
      <c r="AO788" s="16"/>
      <c r="AP788" s="16"/>
      <c r="AQ788" s="16"/>
      <c r="AR788" s="16"/>
      <c r="AS788" s="16"/>
      <c r="AT788" s="16"/>
      <c r="AU788" s="16"/>
      <c r="AV788" s="16"/>
      <c r="AW788" s="16"/>
      <c r="AX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c r="AH789" s="16"/>
      <c r="AI789" s="16"/>
      <c r="AJ789" s="16"/>
      <c r="AK789" s="16"/>
      <c r="AL789" s="16"/>
      <c r="AM789" s="16"/>
      <c r="AN789" s="16"/>
      <c r="AO789" s="16"/>
      <c r="AP789" s="16"/>
      <c r="AQ789" s="16"/>
      <c r="AR789" s="16"/>
      <c r="AS789" s="16"/>
      <c r="AT789" s="16"/>
      <c r="AU789" s="16"/>
      <c r="AV789" s="16"/>
      <c r="AW789" s="16"/>
      <c r="AX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c r="AA790" s="16"/>
      <c r="AB790" s="16"/>
      <c r="AC790" s="16"/>
      <c r="AD790" s="16"/>
      <c r="AE790" s="16"/>
      <c r="AF790" s="16"/>
      <c r="AG790" s="16"/>
      <c r="AH790" s="16"/>
      <c r="AI790" s="16"/>
      <c r="AJ790" s="16"/>
      <c r="AK790" s="16"/>
      <c r="AL790" s="16"/>
      <c r="AM790" s="16"/>
      <c r="AN790" s="16"/>
      <c r="AO790" s="16"/>
      <c r="AP790" s="16"/>
      <c r="AQ790" s="16"/>
      <c r="AR790" s="16"/>
      <c r="AS790" s="16"/>
      <c r="AT790" s="16"/>
      <c r="AU790" s="16"/>
      <c r="AV790" s="16"/>
      <c r="AW790" s="16"/>
      <c r="AX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c r="AG791" s="16"/>
      <c r="AH791" s="16"/>
      <c r="AI791" s="16"/>
      <c r="AJ791" s="16"/>
      <c r="AK791" s="16"/>
      <c r="AL791" s="16"/>
      <c r="AM791" s="16"/>
      <c r="AN791" s="16"/>
      <c r="AO791" s="16"/>
      <c r="AP791" s="16"/>
      <c r="AQ791" s="16"/>
      <c r="AR791" s="16"/>
      <c r="AS791" s="16"/>
      <c r="AT791" s="16"/>
      <c r="AU791" s="16"/>
      <c r="AV791" s="16"/>
      <c r="AW791" s="16"/>
      <c r="AX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c r="AG792" s="16"/>
      <c r="AH792" s="16"/>
      <c r="AI792" s="16"/>
      <c r="AJ792" s="16"/>
      <c r="AK792" s="16"/>
      <c r="AL792" s="16"/>
      <c r="AM792" s="16"/>
      <c r="AN792" s="16"/>
      <c r="AO792" s="16"/>
      <c r="AP792" s="16"/>
      <c r="AQ792" s="16"/>
      <c r="AR792" s="16"/>
      <c r="AS792" s="16"/>
      <c r="AT792" s="16"/>
      <c r="AU792" s="16"/>
      <c r="AV792" s="16"/>
      <c r="AW792" s="16"/>
      <c r="AX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c r="AG793" s="16"/>
      <c r="AH793" s="16"/>
      <c r="AI793" s="16"/>
      <c r="AJ793" s="16"/>
      <c r="AK793" s="16"/>
      <c r="AL793" s="16"/>
      <c r="AM793" s="16"/>
      <c r="AN793" s="16"/>
      <c r="AO793" s="16"/>
      <c r="AP793" s="16"/>
      <c r="AQ793" s="16"/>
      <c r="AR793" s="16"/>
      <c r="AS793" s="16"/>
      <c r="AT793" s="16"/>
      <c r="AU793" s="16"/>
      <c r="AV793" s="16"/>
      <c r="AW793" s="16"/>
      <c r="AX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c r="AG794" s="16"/>
      <c r="AH794" s="16"/>
      <c r="AI794" s="16"/>
      <c r="AJ794" s="16"/>
      <c r="AK794" s="16"/>
      <c r="AL794" s="16"/>
      <c r="AM794" s="16"/>
      <c r="AN794" s="16"/>
      <c r="AO794" s="16"/>
      <c r="AP794" s="16"/>
      <c r="AQ794" s="16"/>
      <c r="AR794" s="16"/>
      <c r="AS794" s="16"/>
      <c r="AT794" s="16"/>
      <c r="AU794" s="16"/>
      <c r="AV794" s="16"/>
      <c r="AW794" s="16"/>
      <c r="AX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c r="AG795" s="16"/>
      <c r="AH795" s="16"/>
      <c r="AI795" s="16"/>
      <c r="AJ795" s="16"/>
      <c r="AK795" s="16"/>
      <c r="AL795" s="16"/>
      <c r="AM795" s="16"/>
      <c r="AN795" s="16"/>
      <c r="AO795" s="16"/>
      <c r="AP795" s="16"/>
      <c r="AQ795" s="16"/>
      <c r="AR795" s="16"/>
      <c r="AS795" s="16"/>
      <c r="AT795" s="16"/>
      <c r="AU795" s="16"/>
      <c r="AV795" s="16"/>
      <c r="AW795" s="16"/>
      <c r="AX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c r="AG796" s="16"/>
      <c r="AH796" s="16"/>
      <c r="AI796" s="16"/>
      <c r="AJ796" s="16"/>
      <c r="AK796" s="16"/>
      <c r="AL796" s="16"/>
      <c r="AM796" s="16"/>
      <c r="AN796" s="16"/>
      <c r="AO796" s="16"/>
      <c r="AP796" s="16"/>
      <c r="AQ796" s="16"/>
      <c r="AR796" s="16"/>
      <c r="AS796" s="16"/>
      <c r="AT796" s="16"/>
      <c r="AU796" s="16"/>
      <c r="AV796" s="16"/>
      <c r="AW796" s="16"/>
      <c r="AX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c r="AG797" s="16"/>
      <c r="AH797" s="16"/>
      <c r="AI797" s="16"/>
      <c r="AJ797" s="16"/>
      <c r="AK797" s="16"/>
      <c r="AL797" s="16"/>
      <c r="AM797" s="16"/>
      <c r="AN797" s="16"/>
      <c r="AO797" s="16"/>
      <c r="AP797" s="16"/>
      <c r="AQ797" s="16"/>
      <c r="AR797" s="16"/>
      <c r="AS797" s="16"/>
      <c r="AT797" s="16"/>
      <c r="AU797" s="16"/>
      <c r="AV797" s="16"/>
      <c r="AW797" s="16"/>
      <c r="AX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c r="AG798" s="16"/>
      <c r="AH798" s="16"/>
      <c r="AI798" s="16"/>
      <c r="AJ798" s="16"/>
      <c r="AK798" s="16"/>
      <c r="AL798" s="16"/>
      <c r="AM798" s="16"/>
      <c r="AN798" s="16"/>
      <c r="AO798" s="16"/>
      <c r="AP798" s="16"/>
      <c r="AQ798" s="16"/>
      <c r="AR798" s="16"/>
      <c r="AS798" s="16"/>
      <c r="AT798" s="16"/>
      <c r="AU798" s="16"/>
      <c r="AV798" s="16"/>
      <c r="AW798" s="16"/>
      <c r="AX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c r="AG799" s="16"/>
      <c r="AH799" s="16"/>
      <c r="AI799" s="16"/>
      <c r="AJ799" s="16"/>
      <c r="AK799" s="16"/>
      <c r="AL799" s="16"/>
      <c r="AM799" s="16"/>
      <c r="AN799" s="16"/>
      <c r="AO799" s="16"/>
      <c r="AP799" s="16"/>
      <c r="AQ799" s="16"/>
      <c r="AR799" s="16"/>
      <c r="AS799" s="16"/>
      <c r="AT799" s="16"/>
      <c r="AU799" s="16"/>
      <c r="AV799" s="16"/>
      <c r="AW799" s="16"/>
      <c r="AX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c r="AG800" s="16"/>
      <c r="AH800" s="16"/>
      <c r="AI800" s="16"/>
      <c r="AJ800" s="16"/>
      <c r="AK800" s="16"/>
      <c r="AL800" s="16"/>
      <c r="AM800" s="16"/>
      <c r="AN800" s="16"/>
      <c r="AO800" s="16"/>
      <c r="AP800" s="16"/>
      <c r="AQ800" s="16"/>
      <c r="AR800" s="16"/>
      <c r="AS800" s="16"/>
      <c r="AT800" s="16"/>
      <c r="AU800" s="16"/>
      <c r="AV800" s="16"/>
      <c r="AW800" s="16"/>
      <c r="AX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c r="AG801" s="16"/>
      <c r="AH801" s="16"/>
      <c r="AI801" s="16"/>
      <c r="AJ801" s="16"/>
      <c r="AK801" s="16"/>
      <c r="AL801" s="16"/>
      <c r="AM801" s="16"/>
      <c r="AN801" s="16"/>
      <c r="AO801" s="16"/>
      <c r="AP801" s="16"/>
      <c r="AQ801" s="16"/>
      <c r="AR801" s="16"/>
      <c r="AS801" s="16"/>
      <c r="AT801" s="16"/>
      <c r="AU801" s="16"/>
      <c r="AV801" s="16"/>
      <c r="AW801" s="16"/>
      <c r="AX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c r="AA802" s="16"/>
      <c r="AB802" s="16"/>
      <c r="AC802" s="16"/>
      <c r="AD802" s="16"/>
      <c r="AE802" s="16"/>
      <c r="AF802" s="16"/>
      <c r="AG802" s="16"/>
      <c r="AH802" s="16"/>
      <c r="AI802" s="16"/>
      <c r="AJ802" s="16"/>
      <c r="AK802" s="16"/>
      <c r="AL802" s="16"/>
      <c r="AM802" s="16"/>
      <c r="AN802" s="16"/>
      <c r="AO802" s="16"/>
      <c r="AP802" s="16"/>
      <c r="AQ802" s="16"/>
      <c r="AR802" s="16"/>
      <c r="AS802" s="16"/>
      <c r="AT802" s="16"/>
      <c r="AU802" s="16"/>
      <c r="AV802" s="16"/>
      <c r="AW802" s="16"/>
      <c r="AX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c r="AH803" s="16"/>
      <c r="AI803" s="16"/>
      <c r="AJ803" s="16"/>
      <c r="AK803" s="16"/>
      <c r="AL803" s="16"/>
      <c r="AM803" s="16"/>
      <c r="AN803" s="16"/>
      <c r="AO803" s="16"/>
      <c r="AP803" s="16"/>
      <c r="AQ803" s="16"/>
      <c r="AR803" s="16"/>
      <c r="AS803" s="16"/>
      <c r="AT803" s="16"/>
      <c r="AU803" s="16"/>
      <c r="AV803" s="16"/>
      <c r="AW803" s="16"/>
      <c r="AX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c r="AG804" s="16"/>
      <c r="AH804" s="16"/>
      <c r="AI804" s="16"/>
      <c r="AJ804" s="16"/>
      <c r="AK804" s="16"/>
      <c r="AL804" s="16"/>
      <c r="AM804" s="16"/>
      <c r="AN804" s="16"/>
      <c r="AO804" s="16"/>
      <c r="AP804" s="16"/>
      <c r="AQ804" s="16"/>
      <c r="AR804" s="16"/>
      <c r="AS804" s="16"/>
      <c r="AT804" s="16"/>
      <c r="AU804" s="16"/>
      <c r="AV804" s="16"/>
      <c r="AW804" s="16"/>
      <c r="AX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c r="AA805" s="16"/>
      <c r="AB805" s="16"/>
      <c r="AC805" s="16"/>
      <c r="AD805" s="16"/>
      <c r="AE805" s="16"/>
      <c r="AF805" s="16"/>
      <c r="AG805" s="16"/>
      <c r="AH805" s="16"/>
      <c r="AI805" s="16"/>
      <c r="AJ805" s="16"/>
      <c r="AK805" s="16"/>
      <c r="AL805" s="16"/>
      <c r="AM805" s="16"/>
      <c r="AN805" s="16"/>
      <c r="AO805" s="16"/>
      <c r="AP805" s="16"/>
      <c r="AQ805" s="16"/>
      <c r="AR805" s="16"/>
      <c r="AS805" s="16"/>
      <c r="AT805" s="16"/>
      <c r="AU805" s="16"/>
      <c r="AV805" s="16"/>
      <c r="AW805" s="16"/>
      <c r="AX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c r="AA806" s="16"/>
      <c r="AB806" s="16"/>
      <c r="AC806" s="16"/>
      <c r="AD806" s="16"/>
      <c r="AE806" s="16"/>
      <c r="AF806" s="16"/>
      <c r="AG806" s="16"/>
      <c r="AH806" s="16"/>
      <c r="AI806" s="16"/>
      <c r="AJ806" s="16"/>
      <c r="AK806" s="16"/>
      <c r="AL806" s="16"/>
      <c r="AM806" s="16"/>
      <c r="AN806" s="16"/>
      <c r="AO806" s="16"/>
      <c r="AP806" s="16"/>
      <c r="AQ806" s="16"/>
      <c r="AR806" s="16"/>
      <c r="AS806" s="16"/>
      <c r="AT806" s="16"/>
      <c r="AU806" s="16"/>
      <c r="AV806" s="16"/>
      <c r="AW806" s="16"/>
      <c r="AX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c r="AA807" s="16"/>
      <c r="AB807" s="16"/>
      <c r="AC807" s="16"/>
      <c r="AD807" s="16"/>
      <c r="AE807" s="16"/>
      <c r="AF807" s="16"/>
      <c r="AG807" s="16"/>
      <c r="AH807" s="16"/>
      <c r="AI807" s="16"/>
      <c r="AJ807" s="16"/>
      <c r="AK807" s="16"/>
      <c r="AL807" s="16"/>
      <c r="AM807" s="16"/>
      <c r="AN807" s="16"/>
      <c r="AO807" s="16"/>
      <c r="AP807" s="16"/>
      <c r="AQ807" s="16"/>
      <c r="AR807" s="16"/>
      <c r="AS807" s="16"/>
      <c r="AT807" s="16"/>
      <c r="AU807" s="16"/>
      <c r="AV807" s="16"/>
      <c r="AW807" s="16"/>
      <c r="AX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c r="AG808" s="16"/>
      <c r="AH808" s="16"/>
      <c r="AI808" s="16"/>
      <c r="AJ808" s="16"/>
      <c r="AK808" s="16"/>
      <c r="AL808" s="16"/>
      <c r="AM808" s="16"/>
      <c r="AN808" s="16"/>
      <c r="AO808" s="16"/>
      <c r="AP808" s="16"/>
      <c r="AQ808" s="16"/>
      <c r="AR808" s="16"/>
      <c r="AS808" s="16"/>
      <c r="AT808" s="16"/>
      <c r="AU808" s="16"/>
      <c r="AV808" s="16"/>
      <c r="AW808" s="16"/>
      <c r="AX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c r="AA809" s="16"/>
      <c r="AB809" s="16"/>
      <c r="AC809" s="16"/>
      <c r="AD809" s="16"/>
      <c r="AE809" s="16"/>
      <c r="AF809" s="16"/>
      <c r="AG809" s="16"/>
      <c r="AH809" s="16"/>
      <c r="AI809" s="16"/>
      <c r="AJ809" s="16"/>
      <c r="AK809" s="16"/>
      <c r="AL809" s="16"/>
      <c r="AM809" s="16"/>
      <c r="AN809" s="16"/>
      <c r="AO809" s="16"/>
      <c r="AP809" s="16"/>
      <c r="AQ809" s="16"/>
      <c r="AR809" s="16"/>
      <c r="AS809" s="16"/>
      <c r="AT809" s="16"/>
      <c r="AU809" s="16"/>
      <c r="AV809" s="16"/>
      <c r="AW809" s="16"/>
      <c r="AX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c r="AA810" s="16"/>
      <c r="AB810" s="16"/>
      <c r="AC810" s="16"/>
      <c r="AD810" s="16"/>
      <c r="AE810" s="16"/>
      <c r="AF810" s="16"/>
      <c r="AG810" s="16"/>
      <c r="AH810" s="16"/>
      <c r="AI810" s="16"/>
      <c r="AJ810" s="16"/>
      <c r="AK810" s="16"/>
      <c r="AL810" s="16"/>
      <c r="AM810" s="16"/>
      <c r="AN810" s="16"/>
      <c r="AO810" s="16"/>
      <c r="AP810" s="16"/>
      <c r="AQ810" s="16"/>
      <c r="AR810" s="16"/>
      <c r="AS810" s="16"/>
      <c r="AT810" s="16"/>
      <c r="AU810" s="16"/>
      <c r="AV810" s="16"/>
      <c r="AW810" s="16"/>
      <c r="AX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c r="AG811" s="16"/>
      <c r="AH811" s="16"/>
      <c r="AI811" s="16"/>
      <c r="AJ811" s="16"/>
      <c r="AK811" s="16"/>
      <c r="AL811" s="16"/>
      <c r="AM811" s="16"/>
      <c r="AN811" s="16"/>
      <c r="AO811" s="16"/>
      <c r="AP811" s="16"/>
      <c r="AQ811" s="16"/>
      <c r="AR811" s="16"/>
      <c r="AS811" s="16"/>
      <c r="AT811" s="16"/>
      <c r="AU811" s="16"/>
      <c r="AV811" s="16"/>
      <c r="AW811" s="16"/>
      <c r="AX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c r="AG812" s="16"/>
      <c r="AH812" s="16"/>
      <c r="AI812" s="16"/>
      <c r="AJ812" s="16"/>
      <c r="AK812" s="16"/>
      <c r="AL812" s="16"/>
      <c r="AM812" s="16"/>
      <c r="AN812" s="16"/>
      <c r="AO812" s="16"/>
      <c r="AP812" s="16"/>
      <c r="AQ812" s="16"/>
      <c r="AR812" s="16"/>
      <c r="AS812" s="16"/>
      <c r="AT812" s="16"/>
      <c r="AU812" s="16"/>
      <c r="AV812" s="16"/>
      <c r="AW812" s="16"/>
      <c r="AX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c r="AG813" s="16"/>
      <c r="AH813" s="16"/>
      <c r="AI813" s="16"/>
      <c r="AJ813" s="16"/>
      <c r="AK813" s="16"/>
      <c r="AL813" s="16"/>
      <c r="AM813" s="16"/>
      <c r="AN813" s="16"/>
      <c r="AO813" s="16"/>
      <c r="AP813" s="16"/>
      <c r="AQ813" s="16"/>
      <c r="AR813" s="16"/>
      <c r="AS813" s="16"/>
      <c r="AT813" s="16"/>
      <c r="AU813" s="16"/>
      <c r="AV813" s="16"/>
      <c r="AW813" s="16"/>
      <c r="AX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c r="AG814" s="16"/>
      <c r="AH814" s="16"/>
      <c r="AI814" s="16"/>
      <c r="AJ814" s="16"/>
      <c r="AK814" s="16"/>
      <c r="AL814" s="16"/>
      <c r="AM814" s="16"/>
      <c r="AN814" s="16"/>
      <c r="AO814" s="16"/>
      <c r="AP814" s="16"/>
      <c r="AQ814" s="16"/>
      <c r="AR814" s="16"/>
      <c r="AS814" s="16"/>
      <c r="AT814" s="16"/>
      <c r="AU814" s="16"/>
      <c r="AV814" s="16"/>
      <c r="AW814" s="16"/>
      <c r="AX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c r="AG815" s="16"/>
      <c r="AH815" s="16"/>
      <c r="AI815" s="16"/>
      <c r="AJ815" s="16"/>
      <c r="AK815" s="16"/>
      <c r="AL815" s="16"/>
      <c r="AM815" s="16"/>
      <c r="AN815" s="16"/>
      <c r="AO815" s="16"/>
      <c r="AP815" s="16"/>
      <c r="AQ815" s="16"/>
      <c r="AR815" s="16"/>
      <c r="AS815" s="16"/>
      <c r="AT815" s="16"/>
      <c r="AU815" s="16"/>
      <c r="AV815" s="16"/>
      <c r="AW815" s="16"/>
      <c r="AX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c r="AG816" s="16"/>
      <c r="AH816" s="16"/>
      <c r="AI816" s="16"/>
      <c r="AJ816" s="16"/>
      <c r="AK816" s="16"/>
      <c r="AL816" s="16"/>
      <c r="AM816" s="16"/>
      <c r="AN816" s="16"/>
      <c r="AO816" s="16"/>
      <c r="AP816" s="16"/>
      <c r="AQ816" s="16"/>
      <c r="AR816" s="16"/>
      <c r="AS816" s="16"/>
      <c r="AT816" s="16"/>
      <c r="AU816" s="16"/>
      <c r="AV816" s="16"/>
      <c r="AW816" s="16"/>
      <c r="AX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c r="AG817" s="16"/>
      <c r="AH817" s="16"/>
      <c r="AI817" s="16"/>
      <c r="AJ817" s="16"/>
      <c r="AK817" s="16"/>
      <c r="AL817" s="16"/>
      <c r="AM817" s="16"/>
      <c r="AN817" s="16"/>
      <c r="AO817" s="16"/>
      <c r="AP817" s="16"/>
      <c r="AQ817" s="16"/>
      <c r="AR817" s="16"/>
      <c r="AS817" s="16"/>
      <c r="AT817" s="16"/>
      <c r="AU817" s="16"/>
      <c r="AV817" s="16"/>
      <c r="AW817" s="16"/>
      <c r="AX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c r="AG818" s="16"/>
      <c r="AH818" s="16"/>
      <c r="AI818" s="16"/>
      <c r="AJ818" s="16"/>
      <c r="AK818" s="16"/>
      <c r="AL818" s="16"/>
      <c r="AM818" s="16"/>
      <c r="AN818" s="16"/>
      <c r="AO818" s="16"/>
      <c r="AP818" s="16"/>
      <c r="AQ818" s="16"/>
      <c r="AR818" s="16"/>
      <c r="AS818" s="16"/>
      <c r="AT818" s="16"/>
      <c r="AU818" s="16"/>
      <c r="AV818" s="16"/>
      <c r="AW818" s="16"/>
      <c r="AX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c r="AG819" s="16"/>
      <c r="AH819" s="16"/>
      <c r="AI819" s="16"/>
      <c r="AJ819" s="16"/>
      <c r="AK819" s="16"/>
      <c r="AL819" s="16"/>
      <c r="AM819" s="16"/>
      <c r="AN819" s="16"/>
      <c r="AO819" s="16"/>
      <c r="AP819" s="16"/>
      <c r="AQ819" s="16"/>
      <c r="AR819" s="16"/>
      <c r="AS819" s="16"/>
      <c r="AT819" s="16"/>
      <c r="AU819" s="16"/>
      <c r="AV819" s="16"/>
      <c r="AW819" s="16"/>
      <c r="AX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c r="AG820" s="16"/>
      <c r="AH820" s="16"/>
      <c r="AI820" s="16"/>
      <c r="AJ820" s="16"/>
      <c r="AK820" s="16"/>
      <c r="AL820" s="16"/>
      <c r="AM820" s="16"/>
      <c r="AN820" s="16"/>
      <c r="AO820" s="16"/>
      <c r="AP820" s="16"/>
      <c r="AQ820" s="16"/>
      <c r="AR820" s="16"/>
      <c r="AS820" s="16"/>
      <c r="AT820" s="16"/>
      <c r="AU820" s="16"/>
      <c r="AV820" s="16"/>
      <c r="AW820" s="16"/>
      <c r="AX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c r="AG821" s="16"/>
      <c r="AH821" s="16"/>
      <c r="AI821" s="16"/>
      <c r="AJ821" s="16"/>
      <c r="AK821" s="16"/>
      <c r="AL821" s="16"/>
      <c r="AM821" s="16"/>
      <c r="AN821" s="16"/>
      <c r="AO821" s="16"/>
      <c r="AP821" s="16"/>
      <c r="AQ821" s="16"/>
      <c r="AR821" s="16"/>
      <c r="AS821" s="16"/>
      <c r="AT821" s="16"/>
      <c r="AU821" s="16"/>
      <c r="AV821" s="16"/>
      <c r="AW821" s="16"/>
      <c r="AX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c r="AG822" s="16"/>
      <c r="AH822" s="16"/>
      <c r="AI822" s="16"/>
      <c r="AJ822" s="16"/>
      <c r="AK822" s="16"/>
      <c r="AL822" s="16"/>
      <c r="AM822" s="16"/>
      <c r="AN822" s="16"/>
      <c r="AO822" s="16"/>
      <c r="AP822" s="16"/>
      <c r="AQ822" s="16"/>
      <c r="AR822" s="16"/>
      <c r="AS822" s="16"/>
      <c r="AT822" s="16"/>
      <c r="AU822" s="16"/>
      <c r="AV822" s="16"/>
      <c r="AW822" s="16"/>
      <c r="AX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c r="AG823" s="16"/>
      <c r="AH823" s="16"/>
      <c r="AI823" s="16"/>
      <c r="AJ823" s="16"/>
      <c r="AK823" s="16"/>
      <c r="AL823" s="16"/>
      <c r="AM823" s="16"/>
      <c r="AN823" s="16"/>
      <c r="AO823" s="16"/>
      <c r="AP823" s="16"/>
      <c r="AQ823" s="16"/>
      <c r="AR823" s="16"/>
      <c r="AS823" s="16"/>
      <c r="AT823" s="16"/>
      <c r="AU823" s="16"/>
      <c r="AV823" s="16"/>
      <c r="AW823" s="16"/>
      <c r="AX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c r="AG824" s="16"/>
      <c r="AH824" s="16"/>
      <c r="AI824" s="16"/>
      <c r="AJ824" s="16"/>
      <c r="AK824" s="16"/>
      <c r="AL824" s="16"/>
      <c r="AM824" s="16"/>
      <c r="AN824" s="16"/>
      <c r="AO824" s="16"/>
      <c r="AP824" s="16"/>
      <c r="AQ824" s="16"/>
      <c r="AR824" s="16"/>
      <c r="AS824" s="16"/>
      <c r="AT824" s="16"/>
      <c r="AU824" s="16"/>
      <c r="AV824" s="16"/>
      <c r="AW824" s="16"/>
      <c r="AX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c r="AG825" s="16"/>
      <c r="AH825" s="16"/>
      <c r="AI825" s="16"/>
      <c r="AJ825" s="16"/>
      <c r="AK825" s="16"/>
      <c r="AL825" s="16"/>
      <c r="AM825" s="16"/>
      <c r="AN825" s="16"/>
      <c r="AO825" s="16"/>
      <c r="AP825" s="16"/>
      <c r="AQ825" s="16"/>
      <c r="AR825" s="16"/>
      <c r="AS825" s="16"/>
      <c r="AT825" s="16"/>
      <c r="AU825" s="16"/>
      <c r="AV825" s="16"/>
      <c r="AW825" s="16"/>
      <c r="AX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c r="AA826" s="16"/>
      <c r="AB826" s="16"/>
      <c r="AC826" s="16"/>
      <c r="AD826" s="16"/>
      <c r="AE826" s="16"/>
      <c r="AF826" s="16"/>
      <c r="AG826" s="16"/>
      <c r="AH826" s="16"/>
      <c r="AI826" s="16"/>
      <c r="AJ826" s="16"/>
      <c r="AK826" s="16"/>
      <c r="AL826" s="16"/>
      <c r="AM826" s="16"/>
      <c r="AN826" s="16"/>
      <c r="AO826" s="16"/>
      <c r="AP826" s="16"/>
      <c r="AQ826" s="16"/>
      <c r="AR826" s="16"/>
      <c r="AS826" s="16"/>
      <c r="AT826" s="16"/>
      <c r="AU826" s="16"/>
      <c r="AV826" s="16"/>
      <c r="AW826" s="16"/>
      <c r="AX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c r="AA827" s="16"/>
      <c r="AB827" s="16"/>
      <c r="AC827" s="16"/>
      <c r="AD827" s="16"/>
      <c r="AE827" s="16"/>
      <c r="AF827" s="16"/>
      <c r="AG827" s="16"/>
      <c r="AH827" s="16"/>
      <c r="AI827" s="16"/>
      <c r="AJ827" s="16"/>
      <c r="AK827" s="16"/>
      <c r="AL827" s="16"/>
      <c r="AM827" s="16"/>
      <c r="AN827" s="16"/>
      <c r="AO827" s="16"/>
      <c r="AP827" s="16"/>
      <c r="AQ827" s="16"/>
      <c r="AR827" s="16"/>
      <c r="AS827" s="16"/>
      <c r="AT827" s="16"/>
      <c r="AU827" s="16"/>
      <c r="AV827" s="16"/>
      <c r="AW827" s="16"/>
      <c r="AX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c r="AG828" s="16"/>
      <c r="AH828" s="16"/>
      <c r="AI828" s="16"/>
      <c r="AJ828" s="16"/>
      <c r="AK828" s="16"/>
      <c r="AL828" s="16"/>
      <c r="AM828" s="16"/>
      <c r="AN828" s="16"/>
      <c r="AO828" s="16"/>
      <c r="AP828" s="16"/>
      <c r="AQ828" s="16"/>
      <c r="AR828" s="16"/>
      <c r="AS828" s="16"/>
      <c r="AT828" s="16"/>
      <c r="AU828" s="16"/>
      <c r="AV828" s="16"/>
      <c r="AW828" s="16"/>
      <c r="AX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c r="AG829" s="16"/>
      <c r="AH829" s="16"/>
      <c r="AI829" s="16"/>
      <c r="AJ829" s="16"/>
      <c r="AK829" s="16"/>
      <c r="AL829" s="16"/>
      <c r="AM829" s="16"/>
      <c r="AN829" s="16"/>
      <c r="AO829" s="16"/>
      <c r="AP829" s="16"/>
      <c r="AQ829" s="16"/>
      <c r="AR829" s="16"/>
      <c r="AS829" s="16"/>
      <c r="AT829" s="16"/>
      <c r="AU829" s="16"/>
      <c r="AV829" s="16"/>
      <c r="AW829" s="16"/>
      <c r="AX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c r="AA830" s="16"/>
      <c r="AB830" s="16"/>
      <c r="AC830" s="16"/>
      <c r="AD830" s="16"/>
      <c r="AE830" s="16"/>
      <c r="AF830" s="16"/>
      <c r="AG830" s="16"/>
      <c r="AH830" s="16"/>
      <c r="AI830" s="16"/>
      <c r="AJ830" s="16"/>
      <c r="AK830" s="16"/>
      <c r="AL830" s="16"/>
      <c r="AM830" s="16"/>
      <c r="AN830" s="16"/>
      <c r="AO830" s="16"/>
      <c r="AP830" s="16"/>
      <c r="AQ830" s="16"/>
      <c r="AR830" s="16"/>
      <c r="AS830" s="16"/>
      <c r="AT830" s="16"/>
      <c r="AU830" s="16"/>
      <c r="AV830" s="16"/>
      <c r="AW830" s="16"/>
      <c r="AX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c r="AF831" s="16"/>
      <c r="AG831" s="16"/>
      <c r="AH831" s="16"/>
      <c r="AI831" s="16"/>
      <c r="AJ831" s="16"/>
      <c r="AK831" s="16"/>
      <c r="AL831" s="16"/>
      <c r="AM831" s="16"/>
      <c r="AN831" s="16"/>
      <c r="AO831" s="16"/>
      <c r="AP831" s="16"/>
      <c r="AQ831" s="16"/>
      <c r="AR831" s="16"/>
      <c r="AS831" s="16"/>
      <c r="AT831" s="16"/>
      <c r="AU831" s="16"/>
      <c r="AV831" s="16"/>
      <c r="AW831" s="16"/>
      <c r="AX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V832" s="16"/>
      <c r="AW832" s="16"/>
      <c r="AX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c r="AU833" s="16"/>
      <c r="AV833" s="16"/>
      <c r="AW833" s="16"/>
      <c r="AX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U834" s="16"/>
      <c r="AV834" s="16"/>
      <c r="AW834" s="16"/>
      <c r="AX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c r="AU835" s="16"/>
      <c r="AV835" s="16"/>
      <c r="AW835" s="16"/>
      <c r="AX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U838" s="16"/>
      <c r="AV838" s="16"/>
      <c r="AW838" s="16"/>
      <c r="AX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V839" s="16"/>
      <c r="AW839" s="16"/>
      <c r="AX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c r="AU841" s="16"/>
      <c r="AV841" s="16"/>
      <c r="AW841" s="16"/>
      <c r="AX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c r="AU843" s="16"/>
      <c r="AV843" s="16"/>
      <c r="AW843" s="16"/>
      <c r="AX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V847" s="16"/>
      <c r="AW847" s="16"/>
      <c r="AX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c r="AA848" s="16"/>
      <c r="AB848" s="16"/>
      <c r="AC848" s="16"/>
      <c r="AD848" s="16"/>
      <c r="AE848" s="16"/>
      <c r="AF848" s="16"/>
      <c r="AG848" s="16"/>
      <c r="AH848" s="16"/>
      <c r="AI848" s="16"/>
      <c r="AJ848" s="16"/>
      <c r="AK848" s="16"/>
      <c r="AL848" s="16"/>
      <c r="AM848" s="16"/>
      <c r="AN848" s="16"/>
      <c r="AO848" s="16"/>
      <c r="AP848" s="16"/>
      <c r="AQ848" s="16"/>
      <c r="AR848" s="16"/>
      <c r="AS848" s="16"/>
      <c r="AT848" s="16"/>
      <c r="AU848" s="16"/>
      <c r="AV848" s="16"/>
      <c r="AW848" s="16"/>
      <c r="AX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c r="AH849" s="16"/>
      <c r="AI849" s="16"/>
      <c r="AJ849" s="16"/>
      <c r="AK849" s="16"/>
      <c r="AL849" s="16"/>
      <c r="AM849" s="16"/>
      <c r="AN849" s="16"/>
      <c r="AO849" s="16"/>
      <c r="AP849" s="16"/>
      <c r="AQ849" s="16"/>
      <c r="AR849" s="16"/>
      <c r="AS849" s="16"/>
      <c r="AT849" s="16"/>
      <c r="AU849" s="16"/>
      <c r="AV849" s="16"/>
      <c r="AW849" s="16"/>
      <c r="AX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c r="AG850" s="16"/>
      <c r="AH850" s="16"/>
      <c r="AI850" s="16"/>
      <c r="AJ850" s="16"/>
      <c r="AK850" s="16"/>
      <c r="AL850" s="16"/>
      <c r="AM850" s="16"/>
      <c r="AN850" s="16"/>
      <c r="AO850" s="16"/>
      <c r="AP850" s="16"/>
      <c r="AQ850" s="16"/>
      <c r="AR850" s="16"/>
      <c r="AS850" s="16"/>
      <c r="AT850" s="16"/>
      <c r="AU850" s="16"/>
      <c r="AV850" s="16"/>
      <c r="AW850" s="16"/>
      <c r="AX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V851" s="16"/>
      <c r="AW851" s="16"/>
      <c r="AX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V853" s="16"/>
      <c r="AW853" s="16"/>
      <c r="AX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V854" s="16"/>
      <c r="AW854" s="16"/>
      <c r="AX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V855" s="16"/>
      <c r="AW855" s="16"/>
      <c r="AX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V856" s="16"/>
      <c r="AW856" s="16"/>
      <c r="AX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U857" s="16"/>
      <c r="AV857" s="16"/>
      <c r="AW857" s="16"/>
      <c r="AX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V859" s="16"/>
      <c r="AW859" s="16"/>
      <c r="AX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V860" s="16"/>
      <c r="AW860" s="16"/>
      <c r="AX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V863" s="16"/>
      <c r="AW863" s="16"/>
      <c r="AX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c r="AA865" s="16"/>
      <c r="AB865" s="16"/>
      <c r="AC865" s="16"/>
      <c r="AD865" s="16"/>
      <c r="AE865" s="16"/>
      <c r="AF865" s="16"/>
      <c r="AG865" s="16"/>
      <c r="AH865" s="16"/>
      <c r="AI865" s="16"/>
      <c r="AJ865" s="16"/>
      <c r="AK865" s="16"/>
      <c r="AL865" s="16"/>
      <c r="AM865" s="16"/>
      <c r="AN865" s="16"/>
      <c r="AO865" s="16"/>
      <c r="AP865" s="16"/>
      <c r="AQ865" s="16"/>
      <c r="AR865" s="16"/>
      <c r="AS865" s="16"/>
      <c r="AT865" s="16"/>
      <c r="AU865" s="16"/>
      <c r="AV865" s="16"/>
      <c r="AW865" s="16"/>
      <c r="AX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c r="AA866" s="16"/>
      <c r="AB866" s="16"/>
      <c r="AC866" s="16"/>
      <c r="AD866" s="16"/>
      <c r="AE866" s="16"/>
      <c r="AF866" s="16"/>
      <c r="AG866" s="16"/>
      <c r="AH866" s="16"/>
      <c r="AI866" s="16"/>
      <c r="AJ866" s="16"/>
      <c r="AK866" s="16"/>
      <c r="AL866" s="16"/>
      <c r="AM866" s="16"/>
      <c r="AN866" s="16"/>
      <c r="AO866" s="16"/>
      <c r="AP866" s="16"/>
      <c r="AQ866" s="16"/>
      <c r="AR866" s="16"/>
      <c r="AS866" s="16"/>
      <c r="AT866" s="16"/>
      <c r="AU866" s="16"/>
      <c r="AV866" s="16"/>
      <c r="AW866" s="16"/>
      <c r="AX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c r="AA867" s="16"/>
      <c r="AB867" s="16"/>
      <c r="AC867" s="16"/>
      <c r="AD867" s="16"/>
      <c r="AE867" s="16"/>
      <c r="AF867" s="16"/>
      <c r="AG867" s="16"/>
      <c r="AH867" s="16"/>
      <c r="AI867" s="16"/>
      <c r="AJ867" s="16"/>
      <c r="AK867" s="16"/>
      <c r="AL867" s="16"/>
      <c r="AM867" s="16"/>
      <c r="AN867" s="16"/>
      <c r="AO867" s="16"/>
      <c r="AP867" s="16"/>
      <c r="AQ867" s="16"/>
      <c r="AR867" s="16"/>
      <c r="AS867" s="16"/>
      <c r="AT867" s="16"/>
      <c r="AU867" s="16"/>
      <c r="AV867" s="16"/>
      <c r="AW867" s="16"/>
      <c r="AX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c r="AA868" s="16"/>
      <c r="AB868" s="16"/>
      <c r="AC868" s="16"/>
      <c r="AD868" s="16"/>
      <c r="AE868" s="16"/>
      <c r="AF868" s="16"/>
      <c r="AG868" s="16"/>
      <c r="AH868" s="16"/>
      <c r="AI868" s="16"/>
      <c r="AJ868" s="16"/>
      <c r="AK868" s="16"/>
      <c r="AL868" s="16"/>
      <c r="AM868" s="16"/>
      <c r="AN868" s="16"/>
      <c r="AO868" s="16"/>
      <c r="AP868" s="16"/>
      <c r="AQ868" s="16"/>
      <c r="AR868" s="16"/>
      <c r="AS868" s="16"/>
      <c r="AT868" s="16"/>
      <c r="AU868" s="16"/>
      <c r="AV868" s="16"/>
      <c r="AW868" s="16"/>
      <c r="AX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c r="AA869" s="16"/>
      <c r="AB869" s="16"/>
      <c r="AC869" s="16"/>
      <c r="AD869" s="16"/>
      <c r="AE869" s="16"/>
      <c r="AF869" s="16"/>
      <c r="AG869" s="16"/>
      <c r="AH869" s="16"/>
      <c r="AI869" s="16"/>
      <c r="AJ869" s="16"/>
      <c r="AK869" s="16"/>
      <c r="AL869" s="16"/>
      <c r="AM869" s="16"/>
      <c r="AN869" s="16"/>
      <c r="AO869" s="16"/>
      <c r="AP869" s="16"/>
      <c r="AQ869" s="16"/>
      <c r="AR869" s="16"/>
      <c r="AS869" s="16"/>
      <c r="AT869" s="16"/>
      <c r="AU869" s="16"/>
      <c r="AV869" s="16"/>
      <c r="AW869" s="16"/>
      <c r="AX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c r="AG870" s="16"/>
      <c r="AH870" s="16"/>
      <c r="AI870" s="16"/>
      <c r="AJ870" s="16"/>
      <c r="AK870" s="16"/>
      <c r="AL870" s="16"/>
      <c r="AM870" s="16"/>
      <c r="AN870" s="16"/>
      <c r="AO870" s="16"/>
      <c r="AP870" s="16"/>
      <c r="AQ870" s="16"/>
      <c r="AR870" s="16"/>
      <c r="AS870" s="16"/>
      <c r="AT870" s="16"/>
      <c r="AU870" s="16"/>
      <c r="AV870" s="16"/>
      <c r="AW870" s="16"/>
      <c r="AX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c r="AA871" s="16"/>
      <c r="AB871" s="16"/>
      <c r="AC871" s="16"/>
      <c r="AD871" s="16"/>
      <c r="AE871" s="16"/>
      <c r="AF871" s="16"/>
      <c r="AG871" s="16"/>
      <c r="AH871" s="16"/>
      <c r="AI871" s="16"/>
      <c r="AJ871" s="16"/>
      <c r="AK871" s="16"/>
      <c r="AL871" s="16"/>
      <c r="AM871" s="16"/>
      <c r="AN871" s="16"/>
      <c r="AO871" s="16"/>
      <c r="AP871" s="16"/>
      <c r="AQ871" s="16"/>
      <c r="AR871" s="16"/>
      <c r="AS871" s="16"/>
      <c r="AT871" s="16"/>
      <c r="AU871" s="16"/>
      <c r="AV871" s="16"/>
      <c r="AW871" s="16"/>
      <c r="AX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c r="AG872" s="16"/>
      <c r="AH872" s="16"/>
      <c r="AI872" s="16"/>
      <c r="AJ872" s="16"/>
      <c r="AK872" s="16"/>
      <c r="AL872" s="16"/>
      <c r="AM872" s="16"/>
      <c r="AN872" s="16"/>
      <c r="AO872" s="16"/>
      <c r="AP872" s="16"/>
      <c r="AQ872" s="16"/>
      <c r="AR872" s="16"/>
      <c r="AS872" s="16"/>
      <c r="AT872" s="16"/>
      <c r="AU872" s="16"/>
      <c r="AV872" s="16"/>
      <c r="AW872" s="16"/>
      <c r="AX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c r="AH873" s="16"/>
      <c r="AI873" s="16"/>
      <c r="AJ873" s="16"/>
      <c r="AK873" s="16"/>
      <c r="AL873" s="16"/>
      <c r="AM873" s="16"/>
      <c r="AN873" s="16"/>
      <c r="AO873" s="16"/>
      <c r="AP873" s="16"/>
      <c r="AQ873" s="16"/>
      <c r="AR873" s="16"/>
      <c r="AS873" s="16"/>
      <c r="AT873" s="16"/>
      <c r="AU873" s="16"/>
      <c r="AV873" s="16"/>
      <c r="AW873" s="16"/>
      <c r="AX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c r="AA874" s="16"/>
      <c r="AB874" s="16"/>
      <c r="AC874" s="16"/>
      <c r="AD874" s="16"/>
      <c r="AE874" s="16"/>
      <c r="AF874" s="16"/>
      <c r="AG874" s="16"/>
      <c r="AH874" s="16"/>
      <c r="AI874" s="16"/>
      <c r="AJ874" s="16"/>
      <c r="AK874" s="16"/>
      <c r="AL874" s="16"/>
      <c r="AM874" s="16"/>
      <c r="AN874" s="16"/>
      <c r="AO874" s="16"/>
      <c r="AP874" s="16"/>
      <c r="AQ874" s="16"/>
      <c r="AR874" s="16"/>
      <c r="AS874" s="16"/>
      <c r="AT874" s="16"/>
      <c r="AU874" s="16"/>
      <c r="AV874" s="16"/>
      <c r="AW874" s="16"/>
      <c r="AX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c r="AA875" s="16"/>
      <c r="AB875" s="16"/>
      <c r="AC875" s="16"/>
      <c r="AD875" s="16"/>
      <c r="AE875" s="16"/>
      <c r="AF875" s="16"/>
      <c r="AG875" s="16"/>
      <c r="AH875" s="16"/>
      <c r="AI875" s="16"/>
      <c r="AJ875" s="16"/>
      <c r="AK875" s="16"/>
      <c r="AL875" s="16"/>
      <c r="AM875" s="16"/>
      <c r="AN875" s="16"/>
      <c r="AO875" s="16"/>
      <c r="AP875" s="16"/>
      <c r="AQ875" s="16"/>
      <c r="AR875" s="16"/>
      <c r="AS875" s="16"/>
      <c r="AT875" s="16"/>
      <c r="AU875" s="16"/>
      <c r="AV875" s="16"/>
      <c r="AW875" s="16"/>
      <c r="AX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c r="AA876" s="16"/>
      <c r="AB876" s="16"/>
      <c r="AC876" s="16"/>
      <c r="AD876" s="16"/>
      <c r="AE876" s="16"/>
      <c r="AF876" s="16"/>
      <c r="AG876" s="16"/>
      <c r="AH876" s="16"/>
      <c r="AI876" s="16"/>
      <c r="AJ876" s="16"/>
      <c r="AK876" s="16"/>
      <c r="AL876" s="16"/>
      <c r="AM876" s="16"/>
      <c r="AN876" s="16"/>
      <c r="AO876" s="16"/>
      <c r="AP876" s="16"/>
      <c r="AQ876" s="16"/>
      <c r="AR876" s="16"/>
      <c r="AS876" s="16"/>
      <c r="AT876" s="16"/>
      <c r="AU876" s="16"/>
      <c r="AV876" s="16"/>
      <c r="AW876" s="16"/>
      <c r="AX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c r="AA877" s="16"/>
      <c r="AB877" s="16"/>
      <c r="AC877" s="16"/>
      <c r="AD877" s="16"/>
      <c r="AE877" s="16"/>
      <c r="AF877" s="16"/>
      <c r="AG877" s="16"/>
      <c r="AH877" s="16"/>
      <c r="AI877" s="16"/>
      <c r="AJ877" s="16"/>
      <c r="AK877" s="16"/>
      <c r="AL877" s="16"/>
      <c r="AM877" s="16"/>
      <c r="AN877" s="16"/>
      <c r="AO877" s="16"/>
      <c r="AP877" s="16"/>
      <c r="AQ877" s="16"/>
      <c r="AR877" s="16"/>
      <c r="AS877" s="16"/>
      <c r="AT877" s="16"/>
      <c r="AU877" s="16"/>
      <c r="AV877" s="16"/>
      <c r="AW877" s="16"/>
      <c r="AX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c r="AA878" s="16"/>
      <c r="AB878" s="16"/>
      <c r="AC878" s="16"/>
      <c r="AD878" s="16"/>
      <c r="AE878" s="16"/>
      <c r="AF878" s="16"/>
      <c r="AG878" s="16"/>
      <c r="AH878" s="16"/>
      <c r="AI878" s="16"/>
      <c r="AJ878" s="16"/>
      <c r="AK878" s="16"/>
      <c r="AL878" s="16"/>
      <c r="AM878" s="16"/>
      <c r="AN878" s="16"/>
      <c r="AO878" s="16"/>
      <c r="AP878" s="16"/>
      <c r="AQ878" s="16"/>
      <c r="AR878" s="16"/>
      <c r="AS878" s="16"/>
      <c r="AT878" s="16"/>
      <c r="AU878" s="16"/>
      <c r="AV878" s="16"/>
      <c r="AW878" s="16"/>
      <c r="AX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c r="AA879" s="16"/>
      <c r="AB879" s="16"/>
      <c r="AC879" s="16"/>
      <c r="AD879" s="16"/>
      <c r="AE879" s="16"/>
      <c r="AF879" s="16"/>
      <c r="AG879" s="16"/>
      <c r="AH879" s="16"/>
      <c r="AI879" s="16"/>
      <c r="AJ879" s="16"/>
      <c r="AK879" s="16"/>
      <c r="AL879" s="16"/>
      <c r="AM879" s="16"/>
      <c r="AN879" s="16"/>
      <c r="AO879" s="16"/>
      <c r="AP879" s="16"/>
      <c r="AQ879" s="16"/>
      <c r="AR879" s="16"/>
      <c r="AS879" s="16"/>
      <c r="AT879" s="16"/>
      <c r="AU879" s="16"/>
      <c r="AV879" s="16"/>
      <c r="AW879" s="16"/>
      <c r="AX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c r="AX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c r="AX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c r="AX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c r="AI913" s="16"/>
      <c r="AJ913" s="16"/>
      <c r="AK913" s="16"/>
      <c r="AL913" s="16"/>
      <c r="AM913" s="16"/>
      <c r="AN913" s="16"/>
      <c r="AO913" s="16"/>
      <c r="AP913" s="16"/>
      <c r="AQ913" s="16"/>
      <c r="AR913" s="16"/>
      <c r="AS913" s="16"/>
      <c r="AT913" s="16"/>
      <c r="AU913" s="16"/>
      <c r="AV913" s="16"/>
      <c r="AW913" s="16"/>
      <c r="AX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c r="AI914" s="16"/>
      <c r="AJ914" s="16"/>
      <c r="AK914" s="16"/>
      <c r="AL914" s="16"/>
      <c r="AM914" s="16"/>
      <c r="AN914" s="16"/>
      <c r="AO914" s="16"/>
      <c r="AP914" s="16"/>
      <c r="AQ914" s="16"/>
      <c r="AR914" s="16"/>
      <c r="AS914" s="16"/>
      <c r="AT914" s="16"/>
      <c r="AU914" s="16"/>
      <c r="AV914" s="16"/>
      <c r="AW914" s="16"/>
      <c r="AX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c r="AI915" s="16"/>
      <c r="AJ915" s="16"/>
      <c r="AK915" s="16"/>
      <c r="AL915" s="16"/>
      <c r="AM915" s="16"/>
      <c r="AN915" s="16"/>
      <c r="AO915" s="16"/>
      <c r="AP915" s="16"/>
      <c r="AQ915" s="16"/>
      <c r="AR915" s="16"/>
      <c r="AS915" s="16"/>
      <c r="AT915" s="16"/>
      <c r="AU915" s="16"/>
      <c r="AV915" s="16"/>
      <c r="AW915" s="16"/>
      <c r="AX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c r="AI916" s="16"/>
      <c r="AJ916" s="16"/>
      <c r="AK916" s="16"/>
      <c r="AL916" s="16"/>
      <c r="AM916" s="16"/>
      <c r="AN916" s="16"/>
      <c r="AO916" s="16"/>
      <c r="AP916" s="16"/>
      <c r="AQ916" s="16"/>
      <c r="AR916" s="16"/>
      <c r="AS916" s="16"/>
      <c r="AT916" s="16"/>
      <c r="AU916" s="16"/>
      <c r="AV916" s="16"/>
      <c r="AW916" s="16"/>
      <c r="AX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c r="AI917" s="16"/>
      <c r="AJ917" s="16"/>
      <c r="AK917" s="16"/>
      <c r="AL917" s="16"/>
      <c r="AM917" s="16"/>
      <c r="AN917" s="16"/>
      <c r="AO917" s="16"/>
      <c r="AP917" s="16"/>
      <c r="AQ917" s="16"/>
      <c r="AR917" s="16"/>
      <c r="AS917" s="16"/>
      <c r="AT917" s="16"/>
      <c r="AU917" s="16"/>
      <c r="AV917" s="16"/>
      <c r="AW917" s="16"/>
      <c r="AX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c r="AI918" s="16"/>
      <c r="AJ918" s="16"/>
      <c r="AK918" s="16"/>
      <c r="AL918" s="16"/>
      <c r="AM918" s="16"/>
      <c r="AN918" s="16"/>
      <c r="AO918" s="16"/>
      <c r="AP918" s="16"/>
      <c r="AQ918" s="16"/>
      <c r="AR918" s="16"/>
      <c r="AS918" s="16"/>
      <c r="AT918" s="16"/>
      <c r="AU918" s="16"/>
      <c r="AV918" s="16"/>
      <c r="AW918" s="16"/>
      <c r="AX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c r="AI919" s="16"/>
      <c r="AJ919" s="16"/>
      <c r="AK919" s="16"/>
      <c r="AL919" s="16"/>
      <c r="AM919" s="16"/>
      <c r="AN919" s="16"/>
      <c r="AO919" s="16"/>
      <c r="AP919" s="16"/>
      <c r="AQ919" s="16"/>
      <c r="AR919" s="16"/>
      <c r="AS919" s="16"/>
      <c r="AT919" s="16"/>
      <c r="AU919" s="16"/>
      <c r="AV919" s="16"/>
      <c r="AW919" s="16"/>
      <c r="AX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c r="AI920" s="16"/>
      <c r="AJ920" s="16"/>
      <c r="AK920" s="16"/>
      <c r="AL920" s="16"/>
      <c r="AM920" s="16"/>
      <c r="AN920" s="16"/>
      <c r="AO920" s="16"/>
      <c r="AP920" s="16"/>
      <c r="AQ920" s="16"/>
      <c r="AR920" s="16"/>
      <c r="AS920" s="16"/>
      <c r="AT920" s="16"/>
      <c r="AU920" s="16"/>
      <c r="AV920" s="16"/>
      <c r="AW920" s="16"/>
      <c r="AX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c r="AI921" s="16"/>
      <c r="AJ921" s="16"/>
      <c r="AK921" s="16"/>
      <c r="AL921" s="16"/>
      <c r="AM921" s="16"/>
      <c r="AN921" s="16"/>
      <c r="AO921" s="16"/>
      <c r="AP921" s="16"/>
      <c r="AQ921" s="16"/>
      <c r="AR921" s="16"/>
      <c r="AS921" s="16"/>
      <c r="AT921" s="16"/>
      <c r="AU921" s="16"/>
      <c r="AV921" s="16"/>
      <c r="AW921" s="16"/>
      <c r="AX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c r="AI922" s="16"/>
      <c r="AJ922" s="16"/>
      <c r="AK922" s="16"/>
      <c r="AL922" s="16"/>
      <c r="AM922" s="16"/>
      <c r="AN922" s="16"/>
      <c r="AO922" s="16"/>
      <c r="AP922" s="16"/>
      <c r="AQ922" s="16"/>
      <c r="AR922" s="16"/>
      <c r="AS922" s="16"/>
      <c r="AT922" s="16"/>
      <c r="AU922" s="16"/>
      <c r="AV922" s="16"/>
      <c r="AW922" s="16"/>
      <c r="AX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c r="AI923" s="16"/>
      <c r="AJ923" s="16"/>
      <c r="AK923" s="16"/>
      <c r="AL923" s="16"/>
      <c r="AM923" s="16"/>
      <c r="AN923" s="16"/>
      <c r="AO923" s="16"/>
      <c r="AP923" s="16"/>
      <c r="AQ923" s="16"/>
      <c r="AR923" s="16"/>
      <c r="AS923" s="16"/>
      <c r="AT923" s="16"/>
      <c r="AU923" s="16"/>
      <c r="AV923" s="16"/>
      <c r="AW923" s="16"/>
      <c r="AX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c r="AI924" s="16"/>
      <c r="AJ924" s="16"/>
      <c r="AK924" s="16"/>
      <c r="AL924" s="16"/>
      <c r="AM924" s="16"/>
      <c r="AN924" s="16"/>
      <c r="AO924" s="16"/>
      <c r="AP924" s="16"/>
      <c r="AQ924" s="16"/>
      <c r="AR924" s="16"/>
      <c r="AS924" s="16"/>
      <c r="AT924" s="16"/>
      <c r="AU924" s="16"/>
      <c r="AV924" s="16"/>
      <c r="AW924" s="16"/>
      <c r="AX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c r="AI925" s="16"/>
      <c r="AJ925" s="16"/>
      <c r="AK925" s="16"/>
      <c r="AL925" s="16"/>
      <c r="AM925" s="16"/>
      <c r="AN925" s="16"/>
      <c r="AO925" s="16"/>
      <c r="AP925" s="16"/>
      <c r="AQ925" s="16"/>
      <c r="AR925" s="16"/>
      <c r="AS925" s="16"/>
      <c r="AT925" s="16"/>
      <c r="AU925" s="16"/>
      <c r="AV925" s="16"/>
      <c r="AW925" s="16"/>
      <c r="AX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c r="AI926" s="16"/>
      <c r="AJ926" s="16"/>
      <c r="AK926" s="16"/>
      <c r="AL926" s="16"/>
      <c r="AM926" s="16"/>
      <c r="AN926" s="16"/>
      <c r="AO926" s="16"/>
      <c r="AP926" s="16"/>
      <c r="AQ926" s="16"/>
      <c r="AR926" s="16"/>
      <c r="AS926" s="16"/>
      <c r="AT926" s="16"/>
      <c r="AU926" s="16"/>
      <c r="AV926" s="16"/>
      <c r="AW926" s="16"/>
      <c r="AX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c r="AI927" s="16"/>
      <c r="AJ927" s="16"/>
      <c r="AK927" s="16"/>
      <c r="AL927" s="16"/>
      <c r="AM927" s="16"/>
      <c r="AN927" s="16"/>
      <c r="AO927" s="16"/>
      <c r="AP927" s="16"/>
      <c r="AQ927" s="16"/>
      <c r="AR927" s="16"/>
      <c r="AS927" s="16"/>
      <c r="AT927" s="16"/>
      <c r="AU927" s="16"/>
      <c r="AV927" s="16"/>
      <c r="AW927" s="16"/>
      <c r="AX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c r="AI928" s="16"/>
      <c r="AJ928" s="16"/>
      <c r="AK928" s="16"/>
      <c r="AL928" s="16"/>
      <c r="AM928" s="16"/>
      <c r="AN928" s="16"/>
      <c r="AO928" s="16"/>
      <c r="AP928" s="16"/>
      <c r="AQ928" s="16"/>
      <c r="AR928" s="16"/>
      <c r="AS928" s="16"/>
      <c r="AT928" s="16"/>
      <c r="AU928" s="16"/>
      <c r="AV928" s="16"/>
      <c r="AW928" s="16"/>
      <c r="AX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c r="AI929" s="16"/>
      <c r="AJ929" s="16"/>
      <c r="AK929" s="16"/>
      <c r="AL929" s="16"/>
      <c r="AM929" s="16"/>
      <c r="AN929" s="16"/>
      <c r="AO929" s="16"/>
      <c r="AP929" s="16"/>
      <c r="AQ929" s="16"/>
      <c r="AR929" s="16"/>
      <c r="AS929" s="16"/>
      <c r="AT929" s="16"/>
      <c r="AU929" s="16"/>
      <c r="AV929" s="16"/>
      <c r="AW929" s="16"/>
      <c r="AX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c r="AI930" s="16"/>
      <c r="AJ930" s="16"/>
      <c r="AK930" s="16"/>
      <c r="AL930" s="16"/>
      <c r="AM930" s="16"/>
      <c r="AN930" s="16"/>
      <c r="AO930" s="16"/>
      <c r="AP930" s="16"/>
      <c r="AQ930" s="16"/>
      <c r="AR930" s="16"/>
      <c r="AS930" s="16"/>
      <c r="AT930" s="16"/>
      <c r="AU930" s="16"/>
      <c r="AV930" s="16"/>
      <c r="AW930" s="16"/>
      <c r="AX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c r="AI931" s="16"/>
      <c r="AJ931" s="16"/>
      <c r="AK931" s="16"/>
      <c r="AL931" s="16"/>
      <c r="AM931" s="16"/>
      <c r="AN931" s="16"/>
      <c r="AO931" s="16"/>
      <c r="AP931" s="16"/>
      <c r="AQ931" s="16"/>
      <c r="AR931" s="16"/>
      <c r="AS931" s="16"/>
      <c r="AT931" s="16"/>
      <c r="AU931" s="16"/>
      <c r="AV931" s="16"/>
      <c r="AW931" s="16"/>
      <c r="AX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c r="AI932" s="16"/>
      <c r="AJ932" s="16"/>
      <c r="AK932" s="16"/>
      <c r="AL932" s="16"/>
      <c r="AM932" s="16"/>
      <c r="AN932" s="16"/>
      <c r="AO932" s="16"/>
      <c r="AP932" s="16"/>
      <c r="AQ932" s="16"/>
      <c r="AR932" s="16"/>
      <c r="AS932" s="16"/>
      <c r="AT932" s="16"/>
      <c r="AU932" s="16"/>
      <c r="AV932" s="16"/>
      <c r="AW932" s="16"/>
      <c r="AX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c r="AI933" s="16"/>
      <c r="AJ933" s="16"/>
      <c r="AK933" s="16"/>
      <c r="AL933" s="16"/>
      <c r="AM933" s="16"/>
      <c r="AN933" s="16"/>
      <c r="AO933" s="16"/>
      <c r="AP933" s="16"/>
      <c r="AQ933" s="16"/>
      <c r="AR933" s="16"/>
      <c r="AS933" s="16"/>
      <c r="AT933" s="16"/>
      <c r="AU933" s="16"/>
      <c r="AV933" s="16"/>
      <c r="AW933" s="16"/>
      <c r="AX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c r="AI934" s="16"/>
      <c r="AJ934" s="16"/>
      <c r="AK934" s="16"/>
      <c r="AL934" s="16"/>
      <c r="AM934" s="16"/>
      <c r="AN934" s="16"/>
      <c r="AO934" s="16"/>
      <c r="AP934" s="16"/>
      <c r="AQ934" s="16"/>
      <c r="AR934" s="16"/>
      <c r="AS934" s="16"/>
      <c r="AT934" s="16"/>
      <c r="AU934" s="16"/>
      <c r="AV934" s="16"/>
      <c r="AW934" s="16"/>
      <c r="AX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c r="AI935" s="16"/>
      <c r="AJ935" s="16"/>
      <c r="AK935" s="16"/>
      <c r="AL935" s="16"/>
      <c r="AM935" s="16"/>
      <c r="AN935" s="16"/>
      <c r="AO935" s="16"/>
      <c r="AP935" s="16"/>
      <c r="AQ935" s="16"/>
      <c r="AR935" s="16"/>
      <c r="AS935" s="16"/>
      <c r="AT935" s="16"/>
      <c r="AU935" s="16"/>
      <c r="AV935" s="16"/>
      <c r="AW935" s="16"/>
      <c r="AX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c r="AI936" s="16"/>
      <c r="AJ936" s="16"/>
      <c r="AK936" s="16"/>
      <c r="AL936" s="16"/>
      <c r="AM936" s="16"/>
      <c r="AN936" s="16"/>
      <c r="AO936" s="16"/>
      <c r="AP936" s="16"/>
      <c r="AQ936" s="16"/>
      <c r="AR936" s="16"/>
      <c r="AS936" s="16"/>
      <c r="AT936" s="16"/>
      <c r="AU936" s="16"/>
      <c r="AV936" s="16"/>
      <c r="AW936" s="16"/>
      <c r="AX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c r="AI937" s="16"/>
      <c r="AJ937" s="16"/>
      <c r="AK937" s="16"/>
      <c r="AL937" s="16"/>
      <c r="AM937" s="16"/>
      <c r="AN937" s="16"/>
      <c r="AO937" s="16"/>
      <c r="AP937" s="16"/>
      <c r="AQ937" s="16"/>
      <c r="AR937" s="16"/>
      <c r="AS937" s="16"/>
      <c r="AT937" s="16"/>
      <c r="AU937" s="16"/>
      <c r="AV937" s="16"/>
      <c r="AW937" s="16"/>
      <c r="AX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c r="AI938" s="16"/>
      <c r="AJ938" s="16"/>
      <c r="AK938" s="16"/>
      <c r="AL938" s="16"/>
      <c r="AM938" s="16"/>
      <c r="AN938" s="16"/>
      <c r="AO938" s="16"/>
      <c r="AP938" s="16"/>
      <c r="AQ938" s="16"/>
      <c r="AR938" s="16"/>
      <c r="AS938" s="16"/>
      <c r="AT938" s="16"/>
      <c r="AU938" s="16"/>
      <c r="AV938" s="16"/>
      <c r="AW938" s="16"/>
      <c r="AX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c r="AI939" s="16"/>
      <c r="AJ939" s="16"/>
      <c r="AK939" s="16"/>
      <c r="AL939" s="16"/>
      <c r="AM939" s="16"/>
      <c r="AN939" s="16"/>
      <c r="AO939" s="16"/>
      <c r="AP939" s="16"/>
      <c r="AQ939" s="16"/>
      <c r="AR939" s="16"/>
      <c r="AS939" s="16"/>
      <c r="AT939" s="16"/>
      <c r="AU939" s="16"/>
      <c r="AV939" s="16"/>
      <c r="AW939" s="16"/>
      <c r="AX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c r="AI940" s="16"/>
      <c r="AJ940" s="16"/>
      <c r="AK940" s="16"/>
      <c r="AL940" s="16"/>
      <c r="AM940" s="16"/>
      <c r="AN940" s="16"/>
      <c r="AO940" s="16"/>
      <c r="AP940" s="16"/>
      <c r="AQ940" s="16"/>
      <c r="AR940" s="16"/>
      <c r="AS940" s="16"/>
      <c r="AT940" s="16"/>
      <c r="AU940" s="16"/>
      <c r="AV940" s="16"/>
      <c r="AW940" s="16"/>
      <c r="AX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c r="AI941" s="16"/>
      <c r="AJ941" s="16"/>
      <c r="AK941" s="16"/>
      <c r="AL941" s="16"/>
      <c r="AM941" s="16"/>
      <c r="AN941" s="16"/>
      <c r="AO941" s="16"/>
      <c r="AP941" s="16"/>
      <c r="AQ941" s="16"/>
      <c r="AR941" s="16"/>
      <c r="AS941" s="16"/>
      <c r="AT941" s="16"/>
      <c r="AU941" s="16"/>
      <c r="AV941" s="16"/>
      <c r="AW941" s="16"/>
      <c r="AX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c r="AI942" s="16"/>
      <c r="AJ942" s="16"/>
      <c r="AK942" s="16"/>
      <c r="AL942" s="16"/>
      <c r="AM942" s="16"/>
      <c r="AN942" s="16"/>
      <c r="AO942" s="16"/>
      <c r="AP942" s="16"/>
      <c r="AQ942" s="16"/>
      <c r="AR942" s="16"/>
      <c r="AS942" s="16"/>
      <c r="AT942" s="16"/>
      <c r="AU942" s="16"/>
      <c r="AV942" s="16"/>
      <c r="AW942" s="16"/>
      <c r="AX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c r="AI943" s="16"/>
      <c r="AJ943" s="16"/>
      <c r="AK943" s="16"/>
      <c r="AL943" s="16"/>
      <c r="AM943" s="16"/>
      <c r="AN943" s="16"/>
      <c r="AO943" s="16"/>
      <c r="AP943" s="16"/>
      <c r="AQ943" s="16"/>
      <c r="AR943" s="16"/>
      <c r="AS943" s="16"/>
      <c r="AT943" s="16"/>
      <c r="AU943" s="16"/>
      <c r="AV943" s="16"/>
      <c r="AW943" s="16"/>
      <c r="AX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c r="AI944" s="16"/>
      <c r="AJ944" s="16"/>
      <c r="AK944" s="16"/>
      <c r="AL944" s="16"/>
      <c r="AM944" s="16"/>
      <c r="AN944" s="16"/>
      <c r="AO944" s="16"/>
      <c r="AP944" s="16"/>
      <c r="AQ944" s="16"/>
      <c r="AR944" s="16"/>
      <c r="AS944" s="16"/>
      <c r="AT944" s="16"/>
      <c r="AU944" s="16"/>
      <c r="AV944" s="16"/>
      <c r="AW944" s="16"/>
      <c r="AX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c r="AI945" s="16"/>
      <c r="AJ945" s="16"/>
      <c r="AK945" s="16"/>
      <c r="AL945" s="16"/>
      <c r="AM945" s="16"/>
      <c r="AN945" s="16"/>
      <c r="AO945" s="16"/>
      <c r="AP945" s="16"/>
      <c r="AQ945" s="16"/>
      <c r="AR945" s="16"/>
      <c r="AS945" s="16"/>
      <c r="AT945" s="16"/>
      <c r="AU945" s="16"/>
      <c r="AV945" s="16"/>
      <c r="AW945" s="16"/>
      <c r="AX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c r="AI946" s="16"/>
      <c r="AJ946" s="16"/>
      <c r="AK946" s="16"/>
      <c r="AL946" s="16"/>
      <c r="AM946" s="16"/>
      <c r="AN946" s="16"/>
      <c r="AO946" s="16"/>
      <c r="AP946" s="16"/>
      <c r="AQ946" s="16"/>
      <c r="AR946" s="16"/>
      <c r="AS946" s="16"/>
      <c r="AT946" s="16"/>
      <c r="AU946" s="16"/>
      <c r="AV946" s="16"/>
      <c r="AW946" s="16"/>
      <c r="AX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c r="AI947" s="16"/>
      <c r="AJ947" s="16"/>
      <c r="AK947" s="16"/>
      <c r="AL947" s="16"/>
      <c r="AM947" s="16"/>
      <c r="AN947" s="16"/>
      <c r="AO947" s="16"/>
      <c r="AP947" s="16"/>
      <c r="AQ947" s="16"/>
      <c r="AR947" s="16"/>
      <c r="AS947" s="16"/>
      <c r="AT947" s="16"/>
      <c r="AU947" s="16"/>
      <c r="AV947" s="16"/>
      <c r="AW947" s="16"/>
      <c r="AX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c r="AI948" s="16"/>
      <c r="AJ948" s="16"/>
      <c r="AK948" s="16"/>
      <c r="AL948" s="16"/>
      <c r="AM948" s="16"/>
      <c r="AN948" s="16"/>
      <c r="AO948" s="16"/>
      <c r="AP948" s="16"/>
      <c r="AQ948" s="16"/>
      <c r="AR948" s="16"/>
      <c r="AS948" s="16"/>
      <c r="AT948" s="16"/>
      <c r="AU948" s="16"/>
      <c r="AV948" s="16"/>
      <c r="AW948" s="16"/>
      <c r="AX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c r="AI949" s="16"/>
      <c r="AJ949" s="16"/>
      <c r="AK949" s="16"/>
      <c r="AL949" s="16"/>
      <c r="AM949" s="16"/>
      <c r="AN949" s="16"/>
      <c r="AO949" s="16"/>
      <c r="AP949" s="16"/>
      <c r="AQ949" s="16"/>
      <c r="AR949" s="16"/>
      <c r="AS949" s="16"/>
      <c r="AT949" s="16"/>
      <c r="AU949" s="16"/>
      <c r="AV949" s="16"/>
      <c r="AW949" s="16"/>
      <c r="AX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c r="AI950" s="16"/>
      <c r="AJ950" s="16"/>
      <c r="AK950" s="16"/>
      <c r="AL950" s="16"/>
      <c r="AM950" s="16"/>
      <c r="AN950" s="16"/>
      <c r="AO950" s="16"/>
      <c r="AP950" s="16"/>
      <c r="AQ950" s="16"/>
      <c r="AR950" s="16"/>
      <c r="AS950" s="16"/>
      <c r="AT950" s="16"/>
      <c r="AU950" s="16"/>
      <c r="AV950" s="16"/>
      <c r="AW950" s="16"/>
      <c r="AX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c r="AI951" s="16"/>
      <c r="AJ951" s="16"/>
      <c r="AK951" s="16"/>
      <c r="AL951" s="16"/>
      <c r="AM951" s="16"/>
      <c r="AN951" s="16"/>
      <c r="AO951" s="16"/>
      <c r="AP951" s="16"/>
      <c r="AQ951" s="16"/>
      <c r="AR951" s="16"/>
      <c r="AS951" s="16"/>
      <c r="AT951" s="16"/>
      <c r="AU951" s="16"/>
      <c r="AV951" s="16"/>
      <c r="AW951" s="16"/>
      <c r="AX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c r="AI952" s="16"/>
      <c r="AJ952" s="16"/>
      <c r="AK952" s="16"/>
      <c r="AL952" s="16"/>
      <c r="AM952" s="16"/>
      <c r="AN952" s="16"/>
      <c r="AO952" s="16"/>
      <c r="AP952" s="16"/>
      <c r="AQ952" s="16"/>
      <c r="AR952" s="16"/>
      <c r="AS952" s="16"/>
      <c r="AT952" s="16"/>
      <c r="AU952" s="16"/>
      <c r="AV952" s="16"/>
      <c r="AW952" s="16"/>
      <c r="AX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c r="AI953" s="16"/>
      <c r="AJ953" s="16"/>
      <c r="AK953" s="16"/>
      <c r="AL953" s="16"/>
      <c r="AM953" s="16"/>
      <c r="AN953" s="16"/>
      <c r="AO953" s="16"/>
      <c r="AP953" s="16"/>
      <c r="AQ953" s="16"/>
      <c r="AR953" s="16"/>
      <c r="AS953" s="16"/>
      <c r="AT953" s="16"/>
      <c r="AU953" s="16"/>
      <c r="AV953" s="16"/>
      <c r="AW953" s="16"/>
      <c r="AX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c r="AI954" s="16"/>
      <c r="AJ954" s="16"/>
      <c r="AK954" s="16"/>
      <c r="AL954" s="16"/>
      <c r="AM954" s="16"/>
      <c r="AN954" s="16"/>
      <c r="AO954" s="16"/>
      <c r="AP954" s="16"/>
      <c r="AQ954" s="16"/>
      <c r="AR954" s="16"/>
      <c r="AS954" s="16"/>
      <c r="AT954" s="16"/>
      <c r="AU954" s="16"/>
      <c r="AV954" s="16"/>
      <c r="AW954" s="16"/>
      <c r="AX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c r="AI955" s="16"/>
      <c r="AJ955" s="16"/>
      <c r="AK955" s="16"/>
      <c r="AL955" s="16"/>
      <c r="AM955" s="16"/>
      <c r="AN955" s="16"/>
      <c r="AO955" s="16"/>
      <c r="AP955" s="16"/>
      <c r="AQ955" s="16"/>
      <c r="AR955" s="16"/>
      <c r="AS955" s="16"/>
      <c r="AT955" s="16"/>
      <c r="AU955" s="16"/>
      <c r="AV955" s="16"/>
      <c r="AW955" s="16"/>
      <c r="AX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c r="AU956" s="16"/>
      <c r="AV956" s="16"/>
      <c r="AW956" s="16"/>
      <c r="AX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c r="AR957" s="16"/>
      <c r="AS957" s="16"/>
      <c r="AT957" s="16"/>
      <c r="AU957" s="16"/>
      <c r="AV957" s="16"/>
      <c r="AW957" s="16"/>
      <c r="AX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c r="AS958" s="16"/>
      <c r="AT958" s="16"/>
      <c r="AU958" s="16"/>
      <c r="AV958" s="16"/>
      <c r="AW958" s="16"/>
      <c r="AX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c r="AM959" s="16"/>
      <c r="AN959" s="16"/>
      <c r="AO959" s="16"/>
      <c r="AP959" s="16"/>
      <c r="AQ959" s="16"/>
      <c r="AR959" s="16"/>
      <c r="AS959" s="16"/>
      <c r="AT959" s="16"/>
      <c r="AU959" s="16"/>
      <c r="AV959" s="16"/>
      <c r="AW959" s="16"/>
      <c r="AX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c r="AR960" s="16"/>
      <c r="AS960" s="16"/>
      <c r="AT960" s="16"/>
      <c r="AU960" s="16"/>
      <c r="AV960" s="16"/>
      <c r="AW960" s="16"/>
      <c r="AX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c r="AM961" s="16"/>
      <c r="AN961" s="16"/>
      <c r="AO961" s="16"/>
      <c r="AP961" s="16"/>
      <c r="AQ961" s="16"/>
      <c r="AR961" s="16"/>
      <c r="AS961" s="16"/>
      <c r="AT961" s="16"/>
      <c r="AU961" s="16"/>
      <c r="AV961" s="16"/>
      <c r="AW961" s="16"/>
      <c r="AX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c r="AR962" s="16"/>
      <c r="AS962" s="16"/>
      <c r="AT962" s="16"/>
      <c r="AU962" s="16"/>
      <c r="AV962" s="16"/>
      <c r="AW962" s="16"/>
      <c r="AX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c r="AM963" s="16"/>
      <c r="AN963" s="16"/>
      <c r="AO963" s="16"/>
      <c r="AP963" s="16"/>
      <c r="AQ963" s="16"/>
      <c r="AR963" s="16"/>
      <c r="AS963" s="16"/>
      <c r="AT963" s="16"/>
      <c r="AU963" s="16"/>
      <c r="AV963" s="16"/>
      <c r="AW963" s="16"/>
      <c r="AX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c r="AR964" s="16"/>
      <c r="AS964" s="16"/>
      <c r="AT964" s="16"/>
      <c r="AU964" s="16"/>
      <c r="AV964" s="16"/>
      <c r="AW964" s="16"/>
      <c r="AX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c r="AR965" s="16"/>
      <c r="AS965" s="16"/>
      <c r="AT965" s="16"/>
      <c r="AU965" s="16"/>
      <c r="AV965" s="16"/>
      <c r="AW965" s="16"/>
      <c r="AX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c r="AU966" s="16"/>
      <c r="AV966" s="16"/>
      <c r="AW966" s="16"/>
      <c r="AX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c r="AM967" s="16"/>
      <c r="AN967" s="16"/>
      <c r="AO967" s="16"/>
      <c r="AP967" s="16"/>
      <c r="AQ967" s="16"/>
      <c r="AR967" s="16"/>
      <c r="AS967" s="16"/>
      <c r="AT967" s="16"/>
      <c r="AU967" s="16"/>
      <c r="AV967" s="16"/>
      <c r="AW967" s="16"/>
      <c r="AX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c r="AR968" s="16"/>
      <c r="AS968" s="16"/>
      <c r="AT968" s="16"/>
      <c r="AU968" s="16"/>
      <c r="AV968" s="16"/>
      <c r="AW968" s="16"/>
      <c r="AX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16"/>
      <c r="AO969" s="16"/>
      <c r="AP969" s="16"/>
      <c r="AQ969" s="16"/>
      <c r="AR969" s="16"/>
      <c r="AS969" s="16"/>
      <c r="AT969" s="16"/>
      <c r="AU969" s="16"/>
      <c r="AV969" s="16"/>
      <c r="AW969" s="16"/>
      <c r="AX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16"/>
      <c r="AO970" s="16"/>
      <c r="AP970" s="16"/>
      <c r="AQ970" s="16"/>
      <c r="AR970" s="16"/>
      <c r="AS970" s="16"/>
      <c r="AT970" s="16"/>
      <c r="AU970" s="16"/>
      <c r="AV970" s="16"/>
      <c r="AW970" s="16"/>
      <c r="AX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16"/>
      <c r="AO971" s="16"/>
      <c r="AP971" s="16"/>
      <c r="AQ971" s="16"/>
      <c r="AR971" s="16"/>
      <c r="AS971" s="16"/>
      <c r="AT971" s="16"/>
      <c r="AU971" s="16"/>
      <c r="AV971" s="16"/>
      <c r="AW971" s="16"/>
      <c r="AX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c r="AR972" s="16"/>
      <c r="AS972" s="16"/>
      <c r="AT972" s="16"/>
      <c r="AU972" s="16"/>
      <c r="AV972" s="16"/>
      <c r="AW972" s="16"/>
      <c r="AX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c r="AM973" s="16"/>
      <c r="AN973" s="16"/>
      <c r="AO973" s="16"/>
      <c r="AP973" s="16"/>
      <c r="AQ973" s="16"/>
      <c r="AR973" s="16"/>
      <c r="AS973" s="16"/>
      <c r="AT973" s="16"/>
      <c r="AU973" s="16"/>
      <c r="AV973" s="16"/>
      <c r="AW973" s="16"/>
      <c r="AX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c r="AR974" s="16"/>
      <c r="AS974" s="16"/>
      <c r="AT974" s="16"/>
      <c r="AU974" s="16"/>
      <c r="AV974" s="16"/>
      <c r="AW974" s="16"/>
      <c r="AX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c r="AS975" s="16"/>
      <c r="AT975" s="16"/>
      <c r="AU975" s="16"/>
      <c r="AV975" s="16"/>
      <c r="AW975" s="16"/>
      <c r="AX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16"/>
      <c r="AO976" s="16"/>
      <c r="AP976" s="16"/>
      <c r="AQ976" s="16"/>
      <c r="AR976" s="16"/>
      <c r="AS976" s="16"/>
      <c r="AT976" s="16"/>
      <c r="AU976" s="16"/>
      <c r="AV976" s="16"/>
      <c r="AW976" s="16"/>
      <c r="AX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16"/>
      <c r="AP977" s="16"/>
      <c r="AQ977" s="16"/>
      <c r="AR977" s="16"/>
      <c r="AS977" s="16"/>
      <c r="AT977" s="16"/>
      <c r="AU977" s="16"/>
      <c r="AV977" s="16"/>
      <c r="AW977" s="16"/>
      <c r="AX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c r="AM978" s="16"/>
      <c r="AN978" s="16"/>
      <c r="AO978" s="16"/>
      <c r="AP978" s="16"/>
      <c r="AQ978" s="16"/>
      <c r="AR978" s="16"/>
      <c r="AS978" s="16"/>
      <c r="AT978" s="16"/>
      <c r="AU978" s="16"/>
      <c r="AV978" s="16"/>
      <c r="AW978" s="16"/>
      <c r="AX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c r="AQ979" s="16"/>
      <c r="AR979" s="16"/>
      <c r="AS979" s="16"/>
      <c r="AT979" s="16"/>
      <c r="AU979" s="16"/>
      <c r="AV979" s="16"/>
      <c r="AW979" s="16"/>
      <c r="AX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c r="AM980" s="16"/>
      <c r="AN980" s="16"/>
      <c r="AO980" s="16"/>
      <c r="AP980" s="16"/>
      <c r="AQ980" s="16"/>
      <c r="AR980" s="16"/>
      <c r="AS980" s="16"/>
      <c r="AT980" s="16"/>
      <c r="AU980" s="16"/>
      <c r="AV980" s="16"/>
      <c r="AW980" s="16"/>
      <c r="AX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6"/>
      <c r="AK981" s="16"/>
      <c r="AL981" s="16"/>
      <c r="AM981" s="16"/>
      <c r="AN981" s="16"/>
      <c r="AO981" s="16"/>
      <c r="AP981" s="16"/>
      <c r="AQ981" s="16"/>
      <c r="AR981" s="16"/>
      <c r="AS981" s="16"/>
      <c r="AT981" s="16"/>
      <c r="AU981" s="16"/>
      <c r="AV981" s="16"/>
      <c r="AW981" s="16"/>
      <c r="AX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c r="AS982" s="16"/>
      <c r="AT982" s="16"/>
      <c r="AU982" s="16"/>
      <c r="AV982" s="16"/>
      <c r="AW982" s="16"/>
      <c r="AX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c r="AR983" s="16"/>
      <c r="AS983" s="16"/>
      <c r="AT983" s="16"/>
      <c r="AU983" s="16"/>
      <c r="AV983" s="16"/>
      <c r="AW983" s="16"/>
      <c r="AX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c r="AI984" s="16"/>
      <c r="AJ984" s="16"/>
      <c r="AK984" s="16"/>
      <c r="AL984" s="16"/>
      <c r="AM984" s="16"/>
      <c r="AN984" s="16"/>
      <c r="AO984" s="16"/>
      <c r="AP984" s="16"/>
      <c r="AQ984" s="16"/>
      <c r="AR984" s="16"/>
      <c r="AS984" s="16"/>
      <c r="AT984" s="16"/>
      <c r="AU984" s="16"/>
      <c r="AV984" s="16"/>
      <c r="AW984" s="16"/>
      <c r="AX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c r="AI985" s="16"/>
      <c r="AJ985" s="16"/>
      <c r="AK985" s="16"/>
      <c r="AL985" s="16"/>
      <c r="AM985" s="16"/>
      <c r="AN985" s="16"/>
      <c r="AO985" s="16"/>
      <c r="AP985" s="16"/>
      <c r="AQ985" s="16"/>
      <c r="AR985" s="16"/>
      <c r="AS985" s="16"/>
      <c r="AT985" s="16"/>
      <c r="AU985" s="16"/>
      <c r="AV985" s="16"/>
      <c r="AW985" s="16"/>
      <c r="AX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c r="AI986" s="16"/>
      <c r="AJ986" s="16"/>
      <c r="AK986" s="16"/>
      <c r="AL986" s="16"/>
      <c r="AM986" s="16"/>
      <c r="AN986" s="16"/>
      <c r="AO986" s="16"/>
      <c r="AP986" s="16"/>
      <c r="AQ986" s="16"/>
      <c r="AR986" s="16"/>
      <c r="AS986" s="16"/>
      <c r="AT986" s="16"/>
      <c r="AU986" s="16"/>
      <c r="AV986" s="16"/>
      <c r="AW986" s="16"/>
      <c r="AX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c r="AI987" s="16"/>
      <c r="AJ987" s="16"/>
      <c r="AK987" s="16"/>
      <c r="AL987" s="16"/>
      <c r="AM987" s="16"/>
      <c r="AN987" s="16"/>
      <c r="AO987" s="16"/>
      <c r="AP987" s="16"/>
      <c r="AQ987" s="16"/>
      <c r="AR987" s="16"/>
      <c r="AS987" s="16"/>
      <c r="AT987" s="16"/>
      <c r="AU987" s="16"/>
      <c r="AV987" s="16"/>
      <c r="AW987" s="16"/>
      <c r="AX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c r="AI988" s="16"/>
      <c r="AJ988" s="16"/>
      <c r="AK988" s="16"/>
      <c r="AL988" s="16"/>
      <c r="AM988" s="16"/>
      <c r="AN988" s="16"/>
      <c r="AO988" s="16"/>
      <c r="AP988" s="16"/>
      <c r="AQ988" s="16"/>
      <c r="AR988" s="16"/>
      <c r="AS988" s="16"/>
      <c r="AT988" s="16"/>
      <c r="AU988" s="16"/>
      <c r="AV988" s="16"/>
      <c r="AW988" s="16"/>
      <c r="AX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c r="AI989" s="16"/>
      <c r="AJ989" s="16"/>
      <c r="AK989" s="16"/>
      <c r="AL989" s="16"/>
      <c r="AM989" s="16"/>
      <c r="AN989" s="16"/>
      <c r="AO989" s="16"/>
      <c r="AP989" s="16"/>
      <c r="AQ989" s="16"/>
      <c r="AR989" s="16"/>
      <c r="AS989" s="16"/>
      <c r="AT989" s="16"/>
      <c r="AU989" s="16"/>
      <c r="AV989" s="16"/>
      <c r="AW989" s="16"/>
      <c r="AX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c r="AI990" s="16"/>
      <c r="AJ990" s="16"/>
      <c r="AK990" s="16"/>
      <c r="AL990" s="16"/>
      <c r="AM990" s="16"/>
      <c r="AN990" s="16"/>
      <c r="AO990" s="16"/>
      <c r="AP990" s="16"/>
      <c r="AQ990" s="16"/>
      <c r="AR990" s="16"/>
      <c r="AS990" s="16"/>
      <c r="AT990" s="16"/>
      <c r="AU990" s="16"/>
      <c r="AV990" s="16"/>
      <c r="AW990" s="16"/>
      <c r="AX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c r="AI991" s="16"/>
      <c r="AJ991" s="16"/>
      <c r="AK991" s="16"/>
      <c r="AL991" s="16"/>
      <c r="AM991" s="16"/>
      <c r="AN991" s="16"/>
      <c r="AO991" s="16"/>
      <c r="AP991" s="16"/>
      <c r="AQ991" s="16"/>
      <c r="AR991" s="16"/>
      <c r="AS991" s="16"/>
      <c r="AT991" s="16"/>
      <c r="AU991" s="16"/>
      <c r="AV991" s="16"/>
      <c r="AW991" s="16"/>
      <c r="AX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c r="AI992" s="16"/>
      <c r="AJ992" s="16"/>
      <c r="AK992" s="16"/>
      <c r="AL992" s="16"/>
      <c r="AM992" s="16"/>
      <c r="AN992" s="16"/>
      <c r="AO992" s="16"/>
      <c r="AP992" s="16"/>
      <c r="AQ992" s="16"/>
      <c r="AR992" s="16"/>
      <c r="AS992" s="16"/>
      <c r="AT992" s="16"/>
      <c r="AU992" s="16"/>
      <c r="AV992" s="16"/>
      <c r="AW992" s="16"/>
      <c r="AX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c r="AI993" s="16"/>
      <c r="AJ993" s="16"/>
      <c r="AK993" s="16"/>
      <c r="AL993" s="16"/>
      <c r="AM993" s="16"/>
      <c r="AN993" s="16"/>
      <c r="AO993" s="16"/>
      <c r="AP993" s="16"/>
      <c r="AQ993" s="16"/>
      <c r="AR993" s="16"/>
      <c r="AS993" s="16"/>
      <c r="AT993" s="16"/>
      <c r="AU993" s="16"/>
      <c r="AV993" s="16"/>
      <c r="AW993" s="16"/>
      <c r="AX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c r="AI994" s="16"/>
      <c r="AJ994" s="16"/>
      <c r="AK994" s="16"/>
      <c r="AL994" s="16"/>
      <c r="AM994" s="16"/>
      <c r="AN994" s="16"/>
      <c r="AO994" s="16"/>
      <c r="AP994" s="16"/>
      <c r="AQ994" s="16"/>
      <c r="AR994" s="16"/>
      <c r="AS994" s="16"/>
      <c r="AT994" s="16"/>
      <c r="AU994" s="16"/>
      <c r="AV994" s="16"/>
      <c r="AW994" s="16"/>
      <c r="AX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c r="AI995" s="16"/>
      <c r="AJ995" s="16"/>
      <c r="AK995" s="16"/>
      <c r="AL995" s="16"/>
      <c r="AM995" s="16"/>
      <c r="AN995" s="16"/>
      <c r="AO995" s="16"/>
      <c r="AP995" s="16"/>
      <c r="AQ995" s="16"/>
      <c r="AR995" s="16"/>
      <c r="AS995" s="16"/>
      <c r="AT995" s="16"/>
      <c r="AU995" s="16"/>
      <c r="AV995" s="16"/>
      <c r="AW995" s="16"/>
      <c r="AX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c r="AI996" s="16"/>
      <c r="AJ996" s="16"/>
      <c r="AK996" s="16"/>
      <c r="AL996" s="16"/>
      <c r="AM996" s="16"/>
      <c r="AN996" s="16"/>
      <c r="AO996" s="16"/>
      <c r="AP996" s="16"/>
      <c r="AQ996" s="16"/>
      <c r="AR996" s="16"/>
      <c r="AS996" s="16"/>
      <c r="AT996" s="16"/>
      <c r="AU996" s="16"/>
      <c r="AV996" s="16"/>
      <c r="AW996" s="16"/>
      <c r="AX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c r="AI997" s="16"/>
      <c r="AJ997" s="16"/>
      <c r="AK997" s="16"/>
      <c r="AL997" s="16"/>
      <c r="AM997" s="16"/>
      <c r="AN997" s="16"/>
      <c r="AO997" s="16"/>
      <c r="AP997" s="16"/>
      <c r="AQ997" s="16"/>
      <c r="AR997" s="16"/>
      <c r="AS997" s="16"/>
      <c r="AT997" s="16"/>
      <c r="AU997" s="16"/>
      <c r="AV997" s="16"/>
      <c r="AW997" s="16"/>
      <c r="AX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c r="AI998" s="16"/>
      <c r="AJ998" s="16"/>
      <c r="AK998" s="16"/>
      <c r="AL998" s="16"/>
      <c r="AM998" s="16"/>
      <c r="AN998" s="16"/>
      <c r="AO998" s="16"/>
      <c r="AP998" s="16"/>
      <c r="AQ998" s="16"/>
      <c r="AR998" s="16"/>
      <c r="AS998" s="16"/>
      <c r="AT998" s="16"/>
      <c r="AU998" s="16"/>
      <c r="AV998" s="16"/>
      <c r="AW998" s="16"/>
      <c r="AX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c r="AI999" s="16"/>
      <c r="AJ999" s="16"/>
      <c r="AK999" s="16"/>
      <c r="AL999" s="16"/>
      <c r="AM999" s="16"/>
      <c r="AN999" s="16"/>
      <c r="AO999" s="16"/>
      <c r="AP999" s="16"/>
      <c r="AQ999" s="16"/>
      <c r="AR999" s="16"/>
      <c r="AS999" s="16"/>
      <c r="AT999" s="16"/>
      <c r="AU999" s="16"/>
      <c r="AV999" s="16"/>
      <c r="AW999" s="16"/>
      <c r="AX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c r="AI1000" s="16"/>
      <c r="AJ1000" s="16"/>
      <c r="AK1000" s="16"/>
      <c r="AL1000" s="16"/>
      <c r="AM1000" s="16"/>
      <c r="AN1000" s="16"/>
      <c r="AO1000" s="16"/>
      <c r="AP1000" s="16"/>
      <c r="AQ1000" s="16"/>
      <c r="AR1000" s="16"/>
      <c r="AS1000" s="16"/>
      <c r="AT1000" s="16"/>
      <c r="AU1000" s="16"/>
      <c r="AV1000" s="16"/>
      <c r="AW1000" s="16"/>
      <c r="AX1000" s="16"/>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IFERROR(__xludf.DUMMYFUNCTION("IMPORTRANGE(""https://docs.google.com/spreadsheets/d/""&amp;Config!B1,""Items!A:C"")"),"Name")</f>
        <v>Name</v>
      </c>
      <c r="B1" s="16" t="str">
        <f>IFERROR(__xludf.DUMMYFUNCTION("""COMPUTED_VALUE"""),"Description")</f>
        <v>Description</v>
      </c>
      <c r="C1" s="16" t="str">
        <f>IFERROR(__xludf.DUMMYFUNCTION("""COMPUTED_VALUE"""),"Type")</f>
        <v>Type</v>
      </c>
    </row>
    <row r="2">
      <c r="A2" s="16" t="str">
        <f>IFERROR(__xludf.DUMMYFUNCTION("""COMPUTED_VALUE"""),"Nothing")</f>
        <v>Nothing</v>
      </c>
      <c r="B2" s="16"/>
      <c r="C2" s="16"/>
    </row>
    <row r="3">
      <c r="A3" s="16" t="str">
        <f>IFERROR(__xludf.DUMMYFUNCTION("""COMPUTED_VALUE"""),"Slime core")</f>
        <v>Slime core</v>
      </c>
      <c r="B3" s="16" t="str">
        <f>IFERROR(__xludf.DUMMYFUNCTION("""COMPUTED_VALUE"""),"restores 5 SP; can be used to make mana potions")</f>
        <v>restores 5 SP; can be used to make mana potions</v>
      </c>
      <c r="C3" s="16" t="str">
        <f>IFERROR(__xludf.DUMMYFUNCTION("""COMPUTED_VALUE"""),"Item")</f>
        <v>Item</v>
      </c>
    </row>
    <row r="4">
      <c r="A4" s="16" t="str">
        <f>IFERROR(__xludf.DUMMYFUNCTION("""COMPUTED_VALUE"""),"Mysterious egg")</f>
        <v>Mysterious egg</v>
      </c>
      <c r="B4" s="16" t="str">
        <f>IFERROR(__xludf.DUMMYFUNCTION("""COMPUTED_VALUE"""),"This egg will be determined by DM/GM")</f>
        <v>This egg will be determined by DM/GM</v>
      </c>
      <c r="C4" s="16" t="str">
        <f>IFERROR(__xludf.DUMMYFUNCTION("""COMPUTED_VALUE"""),"Item")</f>
        <v>Item</v>
      </c>
    </row>
    <row r="5">
      <c r="A5" s="16" t="str">
        <f>IFERROR(__xludf.DUMMYFUNCTION("""COMPUTED_VALUE"""),"Emerald of Luck")</f>
        <v>Emerald of Luck</v>
      </c>
      <c r="B5" s="16" t="str">
        <f>IFERROR(__xludf.DUMMYFUNCTION("""COMPUTED_VALUE"""),"It’s said when holding one of these you feel like it's a happy spring day...")</f>
        <v>It’s said when holding one of these you feel like it's a happy spring day...</v>
      </c>
      <c r="C5" s="16" t="str">
        <f>IFERROR(__xludf.DUMMYFUNCTION("""COMPUTED_VALUE"""),"Item")</f>
        <v>Item</v>
      </c>
    </row>
    <row r="6">
      <c r="A6" s="16" t="str">
        <f>IFERROR(__xludf.DUMMYFUNCTION("""COMPUTED_VALUE"""),"Gold")</f>
        <v>Gold</v>
      </c>
      <c r="B6" s="16" t="str">
        <f>IFERROR(__xludf.DUMMYFUNCTION("""COMPUTED_VALUE"""),"Crafting Material, roll a d20 to see how many you get if this is a loot drop.l. Can be used to repair an item.")</f>
        <v>Crafting Material, roll a d20 to see how many you get if this is a loot drop.l. Can be used to repair an item.</v>
      </c>
      <c r="C6" s="16" t="str">
        <f>IFERROR(__xludf.DUMMYFUNCTION("""COMPUTED_VALUE"""),"Item")</f>
        <v>Item</v>
      </c>
    </row>
    <row r="7">
      <c r="A7" s="16" t="str">
        <f>IFERROR(__xludf.DUMMYFUNCTION("""COMPUTED_VALUE"""),"Iron")</f>
        <v>Iron</v>
      </c>
      <c r="B7" s="16" t="str">
        <f>IFERROR(__xludf.DUMMYFUNCTION("""COMPUTED_VALUE"""),"Crafting Material, roll a d20 to see how many you get if this is a loot drop.. Can be used to repair an item.")</f>
        <v>Crafting Material, roll a d20 to see how many you get if this is a loot drop.. Can be used to repair an item.</v>
      </c>
      <c r="C7" s="16" t="str">
        <f>IFERROR(__xludf.DUMMYFUNCTION("""COMPUTED_VALUE"""),"Item")</f>
        <v>Item</v>
      </c>
    </row>
    <row r="8">
      <c r="A8" s="16" t="str">
        <f>IFERROR(__xludf.DUMMYFUNCTION("""COMPUTED_VALUE"""),"Dragon scales")</f>
        <v>Dragon scales</v>
      </c>
      <c r="B8" s="16" t="str">
        <f>IFERROR(__xludf.DUMMYFUNCTION("""COMPUTED_VALUE"""),"Crafting Material, roll a d20 to see how many you get if this is a loot drop.. Can be used to repair an item.")</f>
        <v>Crafting Material, roll a d20 to see how many you get if this is a loot drop.. Can be used to repair an item.</v>
      </c>
      <c r="C8" s="16" t="str">
        <f>IFERROR(__xludf.DUMMYFUNCTION("""COMPUTED_VALUE"""),"Item")</f>
        <v>Item</v>
      </c>
    </row>
    <row r="9">
      <c r="A9" s="16" t="str">
        <f>IFERROR(__xludf.DUMMYFUNCTION("""COMPUTED_VALUE"""),"Desert Emerald")</f>
        <v>Desert Emerald</v>
      </c>
      <c r="B9" s="16" t="str">
        <f>IFERROR(__xludf.DUMMYFUNCTION("""COMPUTED_VALUE"""),"Crafting Material, roll a d20 to see how many you get if this is a loot drop.. Can be used to repair an item.")</f>
        <v>Crafting Material, roll a d20 to see how many you get if this is a loot drop.. Can be used to repair an item.</v>
      </c>
      <c r="C9" s="16" t="str">
        <f>IFERROR(__xludf.DUMMYFUNCTION("""COMPUTED_VALUE"""),"Item")</f>
        <v>Item</v>
      </c>
    </row>
    <row r="10">
      <c r="A10" s="16" t="str">
        <f>IFERROR(__xludf.DUMMYFUNCTION("""COMPUTED_VALUE"""),"Desert Ruby")</f>
        <v>Desert Ruby</v>
      </c>
      <c r="B10" s="16" t="str">
        <f>IFERROR(__xludf.DUMMYFUNCTION("""COMPUTED_VALUE"""),"Crafting Material, roll a d20 to see how many you get if this is a loot drop.. Can be used to repair an item.")</f>
        <v>Crafting Material, roll a d20 to see how many you get if this is a loot drop.. Can be used to repair an item.</v>
      </c>
      <c r="C10" s="16" t="str">
        <f>IFERROR(__xludf.DUMMYFUNCTION("""COMPUTED_VALUE"""),"Item")</f>
        <v>Item</v>
      </c>
    </row>
    <row r="11">
      <c r="A11" s="16" t="str">
        <f>IFERROR(__xludf.DUMMYFUNCTION("""COMPUTED_VALUE"""),"Diamonds")</f>
        <v>Diamonds</v>
      </c>
      <c r="B11" s="16" t="str">
        <f>IFERROR(__xludf.DUMMYFUNCTION("""COMPUTED_VALUE"""),"Crafting Material, roll a d20 to see how many you get if this is a loot drop.. Can be used to repair an item.")</f>
        <v>Crafting Material, roll a d20 to see how many you get if this is a loot drop.. Can be used to repair an item.</v>
      </c>
      <c r="C11" s="16" t="str">
        <f>IFERROR(__xludf.DUMMYFUNCTION("""COMPUTED_VALUE"""),"Item")</f>
        <v>Item</v>
      </c>
    </row>
    <row r="12">
      <c r="A12" s="16" t="str">
        <f>IFERROR(__xludf.DUMMYFUNCTION("""COMPUTED_VALUE"""),"Bricks")</f>
        <v>Bricks</v>
      </c>
      <c r="B12" s="16" t="str">
        <f>IFERROR(__xludf.DUMMYFUNCTION("""COMPUTED_VALUE"""),"Crafting Material, roll a d20 to see how many you get if this is a loot drop.. Can be used to repair an item.")</f>
        <v>Crafting Material, roll a d20 to see how many you get if this is a loot drop.. Can be used to repair an item.</v>
      </c>
      <c r="C12" s="16" t="str">
        <f>IFERROR(__xludf.DUMMYFUNCTION("""COMPUTED_VALUE"""),"Item")</f>
        <v>Item</v>
      </c>
    </row>
    <row r="13">
      <c r="A13" s="16" t="str">
        <f>IFERROR(__xludf.DUMMYFUNCTION("""COMPUTED_VALUE"""),"Obsidian")</f>
        <v>Obsidian</v>
      </c>
      <c r="B13" s="16" t="str">
        <f>IFERROR(__xludf.DUMMYFUNCTION("""COMPUTED_VALUE"""),"Crafting Material, roll a d20 to see how many you get if this is a loot drop., roll a d20 to see how many you get if this is a loot drop.. Can be used to repair an item.")</f>
        <v>Crafting Material, roll a d20 to see how many you get if this is a loot drop., roll a d20 to see how many you get if this is a loot drop.. Can be used to repair an item.</v>
      </c>
      <c r="C13" s="16" t="str">
        <f>IFERROR(__xludf.DUMMYFUNCTION("""COMPUTED_VALUE"""),"Item")</f>
        <v>Item</v>
      </c>
    </row>
    <row r="14">
      <c r="A14" s="16" t="str">
        <f>IFERROR(__xludf.DUMMYFUNCTION("""COMPUTED_VALUE"""),"Sand")</f>
        <v>Sand</v>
      </c>
      <c r="B14" s="16" t="str">
        <f>IFERROR(__xludf.DUMMYFUNCTION("""COMPUTED_VALUE"""),"Crafting Material, roll a d20 to see how many you get if this is a loot drop., roll a d20 to see how many you get if this is a loot drop.")</f>
        <v>Crafting Material, roll a d20 to see how many you get if this is a loot drop., roll a d20 to see how many you get if this is a loot drop.</v>
      </c>
      <c r="C14" s="16" t="str">
        <f>IFERROR(__xludf.DUMMYFUNCTION("""COMPUTED_VALUE"""),"Item")</f>
        <v>Item</v>
      </c>
    </row>
    <row r="15">
      <c r="A15" s="16" t="str">
        <f>IFERROR(__xludf.DUMMYFUNCTION("""COMPUTED_VALUE"""),"Glowing rocks")</f>
        <v>Glowing rocks</v>
      </c>
      <c r="B15" s="16" t="str">
        <f>IFERROR(__xludf.DUMMYFUNCTION("""COMPUTED_VALUE""")," Can be forged into armor or a weapon to give it +200 additional light damage or resistance")</f>
        <v> Can be forged into armor or a weapon to give it +200 additional light damage or resistance</v>
      </c>
      <c r="C15" s="16" t="str">
        <f>IFERROR(__xludf.DUMMYFUNCTION("""COMPUTED_VALUE"""),"Item")</f>
        <v>Item</v>
      </c>
    </row>
    <row r="16">
      <c r="A16" s="16" t="str">
        <f>IFERROR(__xludf.DUMMYFUNCTION("""COMPUTED_VALUE"""),"Steel")</f>
        <v>Steel</v>
      </c>
      <c r="B16" s="16" t="str">
        <f>IFERROR(__xludf.DUMMYFUNCTION("""COMPUTED_VALUE"""),"Crafting Material, roll a d20 to see how many you get if this is a loot drop. Can be used to repair an item. ")</f>
        <v>Crafting Material, roll a d20 to see how many you get if this is a loot drop. Can be used to repair an item. </v>
      </c>
      <c r="C16" s="16" t="str">
        <f>IFERROR(__xludf.DUMMYFUNCTION("""COMPUTED_VALUE"""),"Item")</f>
        <v>Item</v>
      </c>
    </row>
    <row r="17">
      <c r="A17" s="16" t="str">
        <f>IFERROR(__xludf.DUMMYFUNCTION("""COMPUTED_VALUE"""),"Silver")</f>
        <v>Silver</v>
      </c>
      <c r="B17" s="16" t="str">
        <f>IFERROR(__xludf.DUMMYFUNCTION("""COMPUTED_VALUE"""),"Crafting Material, roll a d20 to see how many you get if this is a loot drop., roll a d20 to see how many you get if this is a loot drop., roll a d20 to see how many you get if this is a loot drop.. Can be used to repair an item.")</f>
        <v>Crafting Material, roll a d20 to see how many you get if this is a loot drop., roll a d20 to see how many you get if this is a loot drop., roll a d20 to see how many you get if this is a loot drop.. Can be used to repair an item.</v>
      </c>
      <c r="C17" s="16" t="str">
        <f>IFERROR(__xludf.DUMMYFUNCTION("""COMPUTED_VALUE"""),"Item")</f>
        <v>Item</v>
      </c>
    </row>
    <row r="18">
      <c r="A18" s="16" t="str">
        <f>IFERROR(__xludf.DUMMYFUNCTION("""COMPUTED_VALUE"""),"Chains")</f>
        <v>Chains</v>
      </c>
      <c r="B18" s="16" t="str">
        <f>IFERROR(__xludf.DUMMYFUNCTION("""COMPUTED_VALUE"""),"Crafting Material, roll a d20 to see how many you get if this is a loot drop., roll a d20 to see how many you get if this is a loot drop.")</f>
        <v>Crafting Material, roll a d20 to see how many you get if this is a loot drop., roll a d20 to see how many you get if this is a loot drop.</v>
      </c>
      <c r="C18" s="16" t="str">
        <f>IFERROR(__xludf.DUMMYFUNCTION("""COMPUTED_VALUE"""),"Item")</f>
        <v>Item</v>
      </c>
    </row>
    <row r="19">
      <c r="A19" s="16" t="str">
        <f>IFERROR(__xludf.DUMMYFUNCTION("""COMPUTED_VALUE"""),"Steel Pickaxe ")</f>
        <v>Steel Pickaxe </v>
      </c>
      <c r="B19" s="16" t="str">
        <f>IFERROR(__xludf.DUMMYFUNCTION("""COMPUTED_VALUE"""),"40/40 Uses. Used for mining.")</f>
        <v>40/40 Uses. Used for mining.</v>
      </c>
      <c r="C19" s="16" t="str">
        <f>IFERROR(__xludf.DUMMYFUNCTION("""COMPUTED_VALUE"""),"Item")</f>
        <v>Item</v>
      </c>
    </row>
    <row r="20">
      <c r="A20" s="16" t="str">
        <f>IFERROR(__xludf.DUMMYFUNCTION("""COMPUTED_VALUE"""),"Haggis Bowl")</f>
        <v>Haggis Bowl</v>
      </c>
      <c r="B20" s="16" t="str">
        <f>IFERROR(__xludf.DUMMYFUNCTION("""COMPUTED_VALUE"""),"Restores 75 Hunger +50 energy")</f>
        <v>Restores 75 Hunger +50 energy</v>
      </c>
      <c r="C20" s="16" t="str">
        <f>IFERROR(__xludf.DUMMYFUNCTION("""COMPUTED_VALUE"""),"Crop")</f>
        <v>Crop</v>
      </c>
    </row>
    <row r="21">
      <c r="A21" s="16" t="str">
        <f>IFERROR(__xludf.DUMMYFUNCTION("""COMPUTED_VALUE"""),"Chunk of Salmon")</f>
        <v>Chunk of Salmon</v>
      </c>
      <c r="B21" s="16" t="str">
        <f>IFERROR(__xludf.DUMMYFUNCTION("""COMPUTED_VALUE"""),"Restores 10 Hunger +5 energy")</f>
        <v>Restores 10 Hunger +5 energy</v>
      </c>
      <c r="C21" s="16" t="str">
        <f>IFERROR(__xludf.DUMMYFUNCTION("""COMPUTED_VALUE"""),"Crop")</f>
        <v>Crop</v>
      </c>
    </row>
    <row r="22">
      <c r="A22" s="16" t="str">
        <f>IFERROR(__xludf.DUMMYFUNCTION("""COMPUTED_VALUE"""),"Dragon Jerky")</f>
        <v>Dragon Jerky</v>
      </c>
      <c r="B22" s="16" t="str">
        <f>IFERROR(__xludf.DUMMYFUNCTION("""COMPUTED_VALUE"""),"Restores 100 Hunger + 100 energy")</f>
        <v>Restores 100 Hunger + 100 energy</v>
      </c>
      <c r="C22" s="16" t="str">
        <f>IFERROR(__xludf.DUMMYFUNCTION("""COMPUTED_VALUE"""),"Crop")</f>
        <v>Crop</v>
      </c>
    </row>
    <row r="23">
      <c r="A23" s="16" t="str">
        <f>IFERROR(__xludf.DUMMYFUNCTION("""COMPUTED_VALUE"""),"Bacon Strip")</f>
        <v>Bacon Strip</v>
      </c>
      <c r="B23" s="16" t="str">
        <f>IFERROR(__xludf.DUMMYFUNCTION("""COMPUTED_VALUE"""),"Restores 5 Hunger +4 energy")</f>
        <v>Restores 5 Hunger +4 energy</v>
      </c>
      <c r="C23" s="16" t="str">
        <f>IFERROR(__xludf.DUMMYFUNCTION("""COMPUTED_VALUE"""),"Crop")</f>
        <v>Crop</v>
      </c>
    </row>
    <row r="24">
      <c r="A24" s="16" t="str">
        <f>IFERROR(__xludf.DUMMYFUNCTION("""COMPUTED_VALUE"""),"Smoked Salmon")</f>
        <v>Smoked Salmon</v>
      </c>
      <c r="B24" s="16" t="str">
        <f>IFERROR(__xludf.DUMMYFUNCTION("""COMPUTED_VALUE"""),"Restores 20 Hunger +10 energy")</f>
        <v>Restores 20 Hunger +10 energy</v>
      </c>
      <c r="C24" s="16" t="str">
        <f>IFERROR(__xludf.DUMMYFUNCTION("""COMPUTED_VALUE"""),"Crop")</f>
        <v>Crop</v>
      </c>
    </row>
    <row r="25">
      <c r="A25" s="16" t="str">
        <f>IFERROR(__xludf.DUMMYFUNCTION("""COMPUTED_VALUE"""),"Smoked Lamb")</f>
        <v>Smoked Lamb</v>
      </c>
      <c r="B25" s="16" t="str">
        <f>IFERROR(__xludf.DUMMYFUNCTION("""COMPUTED_VALUE"""),"Restores 25 Hunger")</f>
        <v>Restores 25 Hunger</v>
      </c>
      <c r="C25" s="16" t="str">
        <f>IFERROR(__xludf.DUMMYFUNCTION("""COMPUTED_VALUE"""),"Crop")</f>
        <v>Crop</v>
      </c>
    </row>
    <row r="26">
      <c r="A26" s="16" t="str">
        <f>IFERROR(__xludf.DUMMYFUNCTION("""COMPUTED_VALUE"""),"Volcanic Venison")</f>
        <v>Volcanic Venison</v>
      </c>
      <c r="B26" s="16" t="str">
        <f>IFERROR(__xludf.DUMMYFUNCTION("""COMPUTED_VALUE"""),"Restores 50 Hunger")</f>
        <v>Restores 50 Hunger</v>
      </c>
      <c r="C26" s="16" t="str">
        <f>IFERROR(__xludf.DUMMYFUNCTION("""COMPUTED_VALUE"""),"Crop")</f>
        <v>Crop</v>
      </c>
    </row>
    <row r="27">
      <c r="A27" s="16" t="str">
        <f>IFERROR(__xludf.DUMMYFUNCTION("""COMPUTED_VALUE"""),"Pulled Pork")</f>
        <v>Pulled Pork</v>
      </c>
      <c r="B27" s="16" t="str">
        <f>IFERROR(__xludf.DUMMYFUNCTION("""COMPUTED_VALUE"""),"Restores 40 Hunger")</f>
        <v>Restores 40 Hunger</v>
      </c>
      <c r="C27" s="16" t="str">
        <f>IFERROR(__xludf.DUMMYFUNCTION("""COMPUTED_VALUE"""),"Crop")</f>
        <v>Crop</v>
      </c>
    </row>
    <row r="28">
      <c r="A28" s="16" t="str">
        <f>IFERROR(__xludf.DUMMYFUNCTION("""COMPUTED_VALUE"""),"Honeyed Nordic Mead")</f>
        <v>Honeyed Nordic Mead</v>
      </c>
      <c r="B28" s="16" t="str">
        <f>IFERROR(__xludf.DUMMYFUNCTION("""COMPUTED_VALUE"""),"Restores 100 Thirst +100 energy")</f>
        <v>Restores 100 Thirst +100 energy</v>
      </c>
      <c r="C28" s="16" t="str">
        <f>IFERROR(__xludf.DUMMYFUNCTION("""COMPUTED_VALUE"""),"Item")</f>
        <v>Item</v>
      </c>
    </row>
    <row r="29">
      <c r="A29" s="16" t="str">
        <f>IFERROR(__xludf.DUMMYFUNCTION("""COMPUTED_VALUE"""),"Wine")</f>
        <v>Wine</v>
      </c>
      <c r="B29" s="16" t="str">
        <f>IFERROR(__xludf.DUMMYFUNCTION("""COMPUTED_VALUE"""),"Restores 25 Thirst +15 energy")</f>
        <v>Restores 25 Thirst +15 energy</v>
      </c>
      <c r="C29" s="16" t="str">
        <f>IFERROR(__xludf.DUMMYFUNCTION("""COMPUTED_VALUE"""),"Item")</f>
        <v>Item</v>
      </c>
    </row>
    <row r="30">
      <c r="A30" s="16" t="str">
        <f>IFERROR(__xludf.DUMMYFUNCTION("""COMPUTED_VALUE"""),"Melomel (Mead w/ fruit added)")</f>
        <v>Melomel (Mead w/ fruit added)</v>
      </c>
      <c r="B30" s="16" t="str">
        <f>IFERROR(__xludf.DUMMYFUNCTION("""COMPUTED_VALUE"""),"Restores 50 Thirst and hunger +25 energy")</f>
        <v>Restores 50 Thirst and hunger +25 energy</v>
      </c>
      <c r="C30" s="16" t="str">
        <f>IFERROR(__xludf.DUMMYFUNCTION("""COMPUTED_VALUE"""),"Crop")</f>
        <v>Crop</v>
      </c>
    </row>
    <row r="31">
      <c r="A31" s="16" t="str">
        <f>IFERROR(__xludf.DUMMYFUNCTION("""COMPUTED_VALUE"""),"Docile Desert Djinn Gin")</f>
        <v>Docile Desert Djinn Gin</v>
      </c>
      <c r="B31" s="16" t="str">
        <f>IFERROR(__xludf.DUMMYFUNCTION("""COMPUTED_VALUE"""),"Restore 200 thirst +150 energy, has a 50% to decrease your attack and accuracy by half for 3 game days (disorientated status effect) 
If you drink too much you will be known as a bumbling joker, stumbling stooge, jumbling jester, and or plastered plank (N"&amp;"PCs will start to call you this in-game as it will be listed on your character sheet as an ANTI-achievement)")</f>
        <v>Restore 200 thirst +150 energy, has a 50% to decrease your attack and accuracy by half for 3 game days (disorientated status effect) 
If you drink too much you will be known as a bumbling joker, stumbling stooge, jumbling jester, and or plastered plank (NPCs will start to call you this in-game as it will be listed on your character sheet as an ANTI-achievement)</v>
      </c>
      <c r="C31" s="16" t="str">
        <f>IFERROR(__xludf.DUMMYFUNCTION("""COMPUTED_VALUE"""),"Item")</f>
        <v>Item</v>
      </c>
    </row>
    <row r="32">
      <c r="A32" s="16" t="str">
        <f>IFERROR(__xludf.DUMMYFUNCTION("""COMPUTED_VALUE"""),"Small Battery")</f>
        <v>Small Battery</v>
      </c>
      <c r="B32" s="16" t="str">
        <f>IFERROR(__xludf.DUMMYFUNCTION("""COMPUTED_VALUE"""),"Restores 100 energy.")</f>
        <v>Restores 100 energy.</v>
      </c>
      <c r="C32" s="16" t="str">
        <f>IFERROR(__xludf.DUMMYFUNCTION("""COMPUTED_VALUE"""),"Item")</f>
        <v>Item</v>
      </c>
    </row>
    <row r="33">
      <c r="A33" s="16" t="str">
        <f>IFERROR(__xludf.DUMMYFUNCTION("""COMPUTED_VALUE"""),"Medium Battery")</f>
        <v>Medium Battery</v>
      </c>
      <c r="B33" s="16" t="str">
        <f>IFERROR(__xludf.DUMMYFUNCTION("""COMPUTED_VALUE"""),"Restores 250 energy.")</f>
        <v>Restores 250 energy.</v>
      </c>
      <c r="C33" s="16" t="str">
        <f>IFERROR(__xludf.DUMMYFUNCTION("""COMPUTED_VALUE"""),"Item")</f>
        <v>Item</v>
      </c>
    </row>
    <row r="34">
      <c r="A34" s="16" t="str">
        <f>IFERROR(__xludf.DUMMYFUNCTION("""COMPUTED_VALUE"""),"Large Battery")</f>
        <v>Large Battery</v>
      </c>
      <c r="B34" s="16" t="str">
        <f>IFERROR(__xludf.DUMMYFUNCTION("""COMPUTED_VALUE"""),"Restores 500 energy.")</f>
        <v>Restores 500 energy.</v>
      </c>
      <c r="C34" s="16" t="str">
        <f>IFERROR(__xludf.DUMMYFUNCTION("""COMPUTED_VALUE"""),"Item")</f>
        <v>Item</v>
      </c>
    </row>
    <row r="35">
      <c r="A35" s="16" t="str">
        <f>IFERROR(__xludf.DUMMYFUNCTION("""COMPUTED_VALUE"""),"Wind Queen's Soul")</f>
        <v>Wind Queen's Soul</v>
      </c>
      <c r="B35" s="16" t="str">
        <f>IFERROR(__xludf.DUMMYFUNCTION("""COMPUTED_VALUE"""),"(Quest Item) It pulses with a dark energy")</f>
        <v>(Quest Item) It pulses with a dark energy</v>
      </c>
      <c r="C35" s="16" t="str">
        <f>IFERROR(__xludf.DUMMYFUNCTION("""COMPUTED_VALUE"""),"Item")</f>
        <v>Item</v>
      </c>
    </row>
    <row r="36">
      <c r="A36" s="16" t="str">
        <f>IFERROR(__xludf.DUMMYFUNCTION("""COMPUTED_VALUE"""),"Wave Queen's Soul")</f>
        <v>Wave Queen's Soul</v>
      </c>
      <c r="B36" s="16" t="str">
        <f>IFERROR(__xludf.DUMMYFUNCTION("""COMPUTED_VALUE"""),"(Quest Item) It pulses with a dark energy")</f>
        <v>(Quest Item) It pulses with a dark energy</v>
      </c>
      <c r="C36" s="16" t="str">
        <f>IFERROR(__xludf.DUMMYFUNCTION("""COMPUTED_VALUE"""),"Item")</f>
        <v>Item</v>
      </c>
    </row>
    <row r="37">
      <c r="A37" s="16" t="str">
        <f>IFERROR(__xludf.DUMMYFUNCTION("""COMPUTED_VALUE"""),"Storm King's Soul")</f>
        <v>Storm King's Soul</v>
      </c>
      <c r="B37" s="16" t="str">
        <f>IFERROR(__xludf.DUMMYFUNCTION("""COMPUTED_VALUE"""),"(Quest Item) It pulses with a dark energy")</f>
        <v>(Quest Item) It pulses with a dark energy</v>
      </c>
      <c r="C37" s="16" t="str">
        <f>IFERROR(__xludf.DUMMYFUNCTION("""COMPUTED_VALUE"""),"Item")</f>
        <v>Item</v>
      </c>
    </row>
    <row r="38">
      <c r="A38" s="16" t="str">
        <f>IFERROR(__xludf.DUMMYFUNCTION("""COMPUTED_VALUE"""),"Stone King's Soul")</f>
        <v>Stone King's Soul</v>
      </c>
      <c r="B38" s="16" t="str">
        <f>IFERROR(__xludf.DUMMYFUNCTION("""COMPUTED_VALUE"""),"(Quest Item) It pulses with a dark energy")</f>
        <v>(Quest Item) It pulses with a dark energy</v>
      </c>
      <c r="C38" s="16" t="str">
        <f>IFERROR(__xludf.DUMMYFUNCTION("""COMPUTED_VALUE"""),"Item")</f>
        <v>Item</v>
      </c>
    </row>
    <row r="39">
      <c r="A39" s="16" t="str">
        <f>IFERROR(__xludf.DUMMYFUNCTION("""COMPUTED_VALUE"""),"Inferno King Soul")</f>
        <v>Inferno King Soul</v>
      </c>
      <c r="B39" s="16" t="str">
        <f>IFERROR(__xludf.DUMMYFUNCTION("""COMPUTED_VALUE"""),"(Quest Item) It pulses with a dark energy")</f>
        <v>(Quest Item) It pulses with a dark energy</v>
      </c>
      <c r="C39" s="16" t="str">
        <f>IFERROR(__xludf.DUMMYFUNCTION("""COMPUTED_VALUE"""),"Item")</f>
        <v>Item</v>
      </c>
    </row>
    <row r="40">
      <c r="A40" s="16"/>
      <c r="B40" s="16"/>
      <c r="C40" s="16" t="str">
        <f>IFERROR(__xludf.DUMMYFUNCTION("""COMPUTED_VALUE"""),"Item")</f>
        <v>Item</v>
      </c>
    </row>
    <row r="41">
      <c r="A41" s="16"/>
      <c r="B41" s="16"/>
      <c r="C41" s="16" t="str">
        <f>IFERROR(__xludf.DUMMYFUNCTION("""COMPUTED_VALUE"""),"Item")</f>
        <v>Item</v>
      </c>
    </row>
    <row r="42">
      <c r="A42" s="16"/>
      <c r="B42" s="16"/>
      <c r="C42" s="16" t="str">
        <f>IFERROR(__xludf.DUMMYFUNCTION("""COMPUTED_VALUE"""),"Item")</f>
        <v>Item</v>
      </c>
    </row>
    <row r="43">
      <c r="A43" s="16"/>
      <c r="B43" s="16"/>
      <c r="C43" s="16" t="str">
        <f>IFERROR(__xludf.DUMMYFUNCTION("""COMPUTED_VALUE"""),"Item")</f>
        <v>Item</v>
      </c>
    </row>
    <row r="44">
      <c r="A44" s="16"/>
      <c r="B44" s="16"/>
      <c r="C44" s="16" t="str">
        <f>IFERROR(__xludf.DUMMYFUNCTION("""COMPUTED_VALUE"""),"Item")</f>
        <v>Item</v>
      </c>
    </row>
    <row r="45">
      <c r="A45" s="16"/>
      <c r="B45" s="16"/>
      <c r="C45" s="16" t="str">
        <f>IFERROR(__xludf.DUMMYFUNCTION("""COMPUTED_VALUE"""),"Item")</f>
        <v>Item</v>
      </c>
    </row>
    <row r="46">
      <c r="A46" s="16"/>
      <c r="B46" s="16"/>
      <c r="C46" s="16" t="str">
        <f>IFERROR(__xludf.DUMMYFUNCTION("""COMPUTED_VALUE"""),"Item")</f>
        <v>Item</v>
      </c>
    </row>
    <row r="47">
      <c r="A47" s="16"/>
      <c r="B47" s="16"/>
      <c r="C47" s="16" t="str">
        <f>IFERROR(__xludf.DUMMYFUNCTION("""COMPUTED_VALUE"""),"Item")</f>
        <v>Item</v>
      </c>
    </row>
    <row r="48">
      <c r="A48" s="16"/>
      <c r="B48" s="16"/>
      <c r="C48" s="16" t="str">
        <f>IFERROR(__xludf.DUMMYFUNCTION("""COMPUTED_VALUE"""),"Item")</f>
        <v>Item</v>
      </c>
    </row>
    <row r="49">
      <c r="A49" s="16" t="str">
        <f>IFERROR(__xludf.DUMMYFUNCTION("""COMPUTED_VALUE"""),"Docile Desert Djinn’s Gin")</f>
        <v>Docile Desert Djinn’s Gin</v>
      </c>
      <c r="B49" s="16"/>
      <c r="C49" s="16" t="str">
        <f>IFERROR(__xludf.DUMMYFUNCTION("""COMPUTED_VALUE"""),"Item")</f>
        <v>Item</v>
      </c>
    </row>
    <row r="50">
      <c r="A50" s="16" t="str">
        <f>IFERROR(__xludf.DUMMYFUNCTION("""COMPUTED_VALUE"""),"Minor Health Potion")</f>
        <v>Minor Health Potion</v>
      </c>
      <c r="B50" s="16" t="str">
        <f>IFERROR(__xludf.DUMMYFUNCTION("""COMPUTED_VALUE"""),"Restores 20HP")</f>
        <v>Restores 20HP</v>
      </c>
      <c r="C50" s="16" t="str">
        <f>IFERROR(__xludf.DUMMYFUNCTION("""COMPUTED_VALUE"""),"Item")</f>
        <v>Item</v>
      </c>
    </row>
    <row r="51">
      <c r="A51" s="16" t="str">
        <f>IFERROR(__xludf.DUMMYFUNCTION("""COMPUTED_VALUE"""),"Medium Health Potion")</f>
        <v>Medium Health Potion</v>
      </c>
      <c r="B51" s="16" t="str">
        <f>IFERROR(__xludf.DUMMYFUNCTION("""COMPUTED_VALUE"""),"Restores 50HP")</f>
        <v>Restores 50HP</v>
      </c>
      <c r="C51" s="16" t="str">
        <f>IFERROR(__xludf.DUMMYFUNCTION("""COMPUTED_VALUE"""),"Item")</f>
        <v>Item</v>
      </c>
    </row>
    <row r="52">
      <c r="A52" s="16" t="str">
        <f>IFERROR(__xludf.DUMMYFUNCTION("""COMPUTED_VALUE"""),"Max Health Potion")</f>
        <v>Max Health Potion</v>
      </c>
      <c r="B52" s="16" t="str">
        <f>IFERROR(__xludf.DUMMYFUNCTION("""COMPUTED_VALUE"""),"Restores 100HP")</f>
        <v>Restores 100HP</v>
      </c>
      <c r="C52" s="16" t="str">
        <f>IFERROR(__xludf.DUMMYFUNCTION("""COMPUTED_VALUE"""),"Item")</f>
        <v>Item</v>
      </c>
    </row>
    <row r="53">
      <c r="A53" s="16" t="str">
        <f>IFERROR(__xludf.DUMMYFUNCTION("""COMPUTED_VALUE"""),"Minor Mana Potion")</f>
        <v>Minor Mana Potion</v>
      </c>
      <c r="B53" s="16" t="str">
        <f>IFERROR(__xludf.DUMMYFUNCTION("""COMPUTED_VALUE"""),"Restores 20SP")</f>
        <v>Restores 20SP</v>
      </c>
      <c r="C53" s="16" t="str">
        <f>IFERROR(__xludf.DUMMYFUNCTION("""COMPUTED_VALUE"""),"Item")</f>
        <v>Item</v>
      </c>
    </row>
    <row r="54">
      <c r="A54" s="16" t="str">
        <f>IFERROR(__xludf.DUMMYFUNCTION("""COMPUTED_VALUE"""),"Medium Mana Potion")</f>
        <v>Medium Mana Potion</v>
      </c>
      <c r="B54" s="16" t="str">
        <f>IFERROR(__xludf.DUMMYFUNCTION("""COMPUTED_VALUE"""),"Restores 50SP")</f>
        <v>Restores 50SP</v>
      </c>
      <c r="C54" s="16" t="str">
        <f>IFERROR(__xludf.DUMMYFUNCTION("""COMPUTED_VALUE"""),"Item")</f>
        <v>Item</v>
      </c>
    </row>
    <row r="55">
      <c r="A55" s="16" t="str">
        <f>IFERROR(__xludf.DUMMYFUNCTION("""COMPUTED_VALUE"""),"Max Mana Potion")</f>
        <v>Max Mana Potion</v>
      </c>
      <c r="B55" s="16" t="str">
        <f>IFERROR(__xludf.DUMMYFUNCTION("""COMPUTED_VALUE"""),"Restores 100SP")</f>
        <v>Restores 100SP</v>
      </c>
      <c r="C55" s="16" t="str">
        <f>IFERROR(__xludf.DUMMYFUNCTION("""COMPUTED_VALUE"""),"Item")</f>
        <v>Item</v>
      </c>
    </row>
    <row r="56">
      <c r="A56" s="16" t="str">
        <f>IFERROR(__xludf.DUMMYFUNCTION("""COMPUTED_VALUE"""),"Potion of Multishot")</f>
        <v>Potion of Multishot</v>
      </c>
      <c r="B56" s="16" t="str">
        <f>IFERROR(__xludf.DUMMYFUNCTION("""COMPUTED_VALUE"""),"Allows multishot use without consuming mana")</f>
        <v>Allows multishot use without consuming mana</v>
      </c>
      <c r="C56" s="16" t="str">
        <f>IFERROR(__xludf.DUMMYFUNCTION("""COMPUTED_VALUE"""),"Item")</f>
        <v>Item</v>
      </c>
    </row>
    <row r="57">
      <c r="A57" s="16" t="str">
        <f>IFERROR(__xludf.DUMMYFUNCTION("""COMPUTED_VALUE"""),"Potion of Eel Nado")</f>
        <v>Potion of Eel Nado</v>
      </c>
      <c r="B57" s="16" t="str">
        <f>IFERROR(__xludf.DUMMYFUNCTION("""COMPUTED_VALUE"""),"Allows use of Eel Nado without consuming mana")</f>
        <v>Allows use of Eel Nado without consuming mana</v>
      </c>
      <c r="C57" s="16" t="str">
        <f>IFERROR(__xludf.DUMMYFUNCTION("""COMPUTED_VALUE"""),"Item")</f>
        <v>Item</v>
      </c>
    </row>
    <row r="58">
      <c r="A58" s="16" t="str">
        <f>IFERROR(__xludf.DUMMYFUNCTION("""COMPUTED_VALUE"""),"Potion of Minor Health")</f>
        <v>Potion of Minor Health</v>
      </c>
      <c r="B58" s="16" t="str">
        <f>IFERROR(__xludf.DUMMYFUNCTION("""COMPUTED_VALUE"""),"Restores 10 Health")</f>
        <v>Restores 10 Health</v>
      </c>
      <c r="C58" s="16" t="str">
        <f>IFERROR(__xludf.DUMMYFUNCTION("""COMPUTED_VALUE"""),"Item")</f>
        <v>Item</v>
      </c>
    </row>
    <row r="59">
      <c r="A59" s="16" t="str">
        <f>IFERROR(__xludf.DUMMYFUNCTION("""COMPUTED_VALUE"""),"Potion of Health")</f>
        <v>Potion of Health</v>
      </c>
      <c r="B59" s="16" t="str">
        <f>IFERROR(__xludf.DUMMYFUNCTION("""COMPUTED_VALUE"""),"Restores 50 Health")</f>
        <v>Restores 50 Health</v>
      </c>
      <c r="C59" s="16" t="str">
        <f>IFERROR(__xludf.DUMMYFUNCTION("""COMPUTED_VALUE"""),"Item")</f>
        <v>Item</v>
      </c>
    </row>
    <row r="60">
      <c r="A60" s="16" t="str">
        <f>IFERROR(__xludf.DUMMYFUNCTION("""COMPUTED_VALUE"""),"Potion of Major Health")</f>
        <v>Potion of Major Health</v>
      </c>
      <c r="B60" s="16" t="str">
        <f>IFERROR(__xludf.DUMMYFUNCTION("""COMPUTED_VALUE"""),"Restores 100 Health")</f>
        <v>Restores 100 Health</v>
      </c>
      <c r="C60" s="16" t="str">
        <f>IFERROR(__xludf.DUMMYFUNCTION("""COMPUTED_VALUE"""),"Item")</f>
        <v>Item</v>
      </c>
    </row>
    <row r="61">
      <c r="A61" s="16"/>
      <c r="B61" s="16"/>
      <c r="C61" s="16" t="str">
        <f>IFERROR(__xludf.DUMMYFUNCTION("""COMPUTED_VALUE"""),"Item")</f>
        <v>Item</v>
      </c>
    </row>
    <row r="62">
      <c r="A62" s="16" t="str">
        <f>IFERROR(__xludf.DUMMYFUNCTION("""COMPUTED_VALUE"""),"Potion of Minor Mana")</f>
        <v>Potion of Minor Mana</v>
      </c>
      <c r="B62" s="16" t="str">
        <f>IFERROR(__xludf.DUMMYFUNCTION("""COMPUTED_VALUE"""),"Restores 10 SP")</f>
        <v>Restores 10 SP</v>
      </c>
      <c r="C62" s="16" t="str">
        <f>IFERROR(__xludf.DUMMYFUNCTION("""COMPUTED_VALUE"""),"Item")</f>
        <v>Item</v>
      </c>
    </row>
    <row r="63">
      <c r="A63" s="16" t="str">
        <f>IFERROR(__xludf.DUMMYFUNCTION("""COMPUTED_VALUE"""),"Potion of Mana")</f>
        <v>Potion of Mana</v>
      </c>
      <c r="B63" s="16" t="str">
        <f>IFERROR(__xludf.DUMMYFUNCTION("""COMPUTED_VALUE"""),"Restores 50 SP")</f>
        <v>Restores 50 SP</v>
      </c>
      <c r="C63" s="16" t="str">
        <f>IFERROR(__xludf.DUMMYFUNCTION("""COMPUTED_VALUE"""),"Item")</f>
        <v>Item</v>
      </c>
    </row>
    <row r="64">
      <c r="A64" s="16" t="str">
        <f>IFERROR(__xludf.DUMMYFUNCTION("""COMPUTED_VALUE"""),"Potion of Extreme Mana")</f>
        <v>Potion of Extreme Mana</v>
      </c>
      <c r="B64" s="16" t="str">
        <f>IFERROR(__xludf.DUMMYFUNCTION("""COMPUTED_VALUE"""),"Restores 100 SP")</f>
        <v>Restores 100 SP</v>
      </c>
      <c r="C64" s="16" t="str">
        <f>IFERROR(__xludf.DUMMYFUNCTION("""COMPUTED_VALUE"""),"Item")</f>
        <v>Item</v>
      </c>
    </row>
    <row r="65">
      <c r="A65" s="16" t="str">
        <f>IFERROR(__xludf.DUMMYFUNCTION("""COMPUTED_VALUE"""),"Potion of Invigoration")</f>
        <v>Potion of Invigoration</v>
      </c>
      <c r="B65" s="16" t="str">
        <f>IFERROR(__xludf.DUMMYFUNCTION("""COMPUTED_VALUE"""),"Restores 50 SP each turn for 3 rounds")</f>
        <v>Restores 50 SP each turn for 3 rounds</v>
      </c>
      <c r="C65" s="16" t="str">
        <f>IFERROR(__xludf.DUMMYFUNCTION("""COMPUTED_VALUE"""),"Item")</f>
        <v>Item</v>
      </c>
    </row>
    <row r="66">
      <c r="A66" s="16" t="str">
        <f>IFERROR(__xludf.DUMMYFUNCTION("""COMPUTED_VALUE"""),"Potion of Invulnerability")</f>
        <v>Potion of Invulnerability</v>
      </c>
      <c r="B66" s="16" t="str">
        <f>IFERROR(__xludf.DUMMYFUNCTION("""COMPUTED_VALUE"""),"Immune to damage for 3 rounds")</f>
        <v>Immune to damage for 3 rounds</v>
      </c>
      <c r="C66" s="16" t="str">
        <f>IFERROR(__xludf.DUMMYFUNCTION("""COMPUTED_VALUE"""),"Item")</f>
        <v>Item</v>
      </c>
    </row>
    <row r="67">
      <c r="A67" s="16" t="str">
        <f>IFERROR(__xludf.DUMMYFUNCTION("""COMPUTED_VALUE"""),"Potion of Stun Resist")</f>
        <v>Potion of Stun Resist</v>
      </c>
      <c r="B67" s="16" t="str">
        <f>IFERROR(__xludf.DUMMYFUNCTION("""COMPUTED_VALUE"""),"Immune to Stun for 3 rounds")</f>
        <v>Immune to Stun for 3 rounds</v>
      </c>
      <c r="C67" s="16" t="str">
        <f>IFERROR(__xludf.DUMMYFUNCTION("""COMPUTED_VALUE"""),"Item")</f>
        <v>Item</v>
      </c>
    </row>
    <row r="68">
      <c r="A68" s="16" t="str">
        <f>IFERROR(__xludf.DUMMYFUNCTION("""COMPUTED_VALUE"""),"Potion Of Sobriety")</f>
        <v>Potion Of Sobriety</v>
      </c>
      <c r="B68" s="16" t="str">
        <f>IFERROR(__xludf.DUMMYFUNCTION("""COMPUTED_VALUE"""),"Removes Disoriented Status, 50% failure, if you fail, you become even more disoriented (2x). If you fail/become too drunk, your character will black out and contract alcohol poisoning (25% of death, not-permanent)")</f>
        <v>Removes Disoriented Status, 50% failure, if you fail, you become even more disoriented (2x). If you fail/become too drunk, your character will black out and contract alcohol poisoning (25% of death, not-permanent)</v>
      </c>
      <c r="C68" s="16" t="str">
        <f>IFERROR(__xludf.DUMMYFUNCTION("""COMPUTED_VALUE"""),"Item")</f>
        <v>Item</v>
      </c>
    </row>
    <row r="69">
      <c r="A69" s="16" t="str">
        <f>IFERROR(__xludf.DUMMYFUNCTION("""COMPUTED_VALUE"""),"Legendary Tome")</f>
        <v>Legendary Tome</v>
      </c>
      <c r="B69" s="16" t="str">
        <f>IFERROR(__xludf.DUMMYFUNCTION("""COMPUTED_VALUE"""),"(Quest item)")</f>
        <v>(Quest item)</v>
      </c>
      <c r="C69" s="16" t="str">
        <f>IFERROR(__xludf.DUMMYFUNCTION("""COMPUTED_VALUE"""),"Item")</f>
        <v>Item</v>
      </c>
    </row>
    <row r="70">
      <c r="A70" s="16" t="str">
        <f>IFERROR(__xludf.DUMMYFUNCTION("""COMPUTED_VALUE"""),"Murky Emerald")</f>
        <v>Murky Emerald</v>
      </c>
      <c r="B70" s="16" t="str">
        <f>IFERROR(__xludf.DUMMYFUNCTION("""COMPUTED_VALUE"""),"Crafting Material, roll a d20 to see how many you get if this is a loot drop.")</f>
        <v>Crafting Material, roll a d20 to see how many you get if this is a loot drop.</v>
      </c>
      <c r="C70" s="16" t="str">
        <f>IFERROR(__xludf.DUMMYFUNCTION("""COMPUTED_VALUE"""),"Item")</f>
        <v>Item</v>
      </c>
    </row>
    <row r="71">
      <c r="A71" s="16" t="str">
        <f>IFERROR(__xludf.DUMMYFUNCTION("""COMPUTED_VALUE"""),"Foul Night Swamp water vile")</f>
        <v>Foul Night Swamp water vile</v>
      </c>
      <c r="B71" s="16" t="str">
        <f>IFERROR(__xludf.DUMMYFUNCTION("""COMPUTED_VALUE"""),"Immunity to Nature for 3 rounds.")</f>
        <v>Immunity to Nature for 3 rounds.</v>
      </c>
      <c r="C71" s="16" t="str">
        <f>IFERROR(__xludf.DUMMYFUNCTION("""COMPUTED_VALUE"""),"Item")</f>
        <v>Item</v>
      </c>
    </row>
    <row r="72">
      <c r="A72" s="16" t="str">
        <f>IFERROR(__xludf.DUMMYFUNCTION("""COMPUTED_VALUE"""),"Foul Night Foul Smelling potion")</f>
        <v>Foul Night Foul Smelling potion</v>
      </c>
      <c r="B72" s="16" t="str">
        <f>IFERROR(__xludf.DUMMYFUNCTION("""COMPUTED_VALUE"""),"2500 damage and 2500 nature damage and 500 poison damage for 3 rounds")</f>
        <v>2500 damage and 2500 nature damage and 500 poison damage for 3 rounds</v>
      </c>
      <c r="C72" s="16" t="str">
        <f>IFERROR(__xludf.DUMMYFUNCTION("""COMPUTED_VALUE"""),"Item")</f>
        <v>Item</v>
      </c>
    </row>
    <row r="73">
      <c r="A73" s="16" t="str">
        <f>IFERROR(__xludf.DUMMYFUNCTION("""COMPUTED_VALUE"""),"Swampy Seaweed")</f>
        <v>Swampy Seaweed</v>
      </c>
      <c r="B73" s="16" t="str">
        <f>IFERROR(__xludf.DUMMYFUNCTION("""COMPUTED_VALUE""")," Restores 5000 HP and SP.")</f>
        <v> Restores 5000 HP and SP.</v>
      </c>
      <c r="C73" s="16" t="str">
        <f>IFERROR(__xludf.DUMMYFUNCTION("""COMPUTED_VALUE"""),"Item")</f>
        <v>Item</v>
      </c>
    </row>
    <row r="74">
      <c r="A74" s="16" t="str">
        <f>IFERROR(__xludf.DUMMYFUNCTION("""COMPUTED_VALUE"""),"Foul Night Swamp Bubble Grenade")</f>
        <v>Foul Night Swamp Bubble Grenade</v>
      </c>
      <c r="B74" s="16" t="str">
        <f>IFERROR(__xludf.DUMMYFUNCTION("""COMPUTED_VALUE"""),"Poison 10,000 for 3 rounds.")</f>
        <v>Poison 10,000 for 3 rounds.</v>
      </c>
      <c r="C74" s="16" t="str">
        <f>IFERROR(__xludf.DUMMYFUNCTION("""COMPUTED_VALUE"""),"Item")</f>
        <v>Item</v>
      </c>
    </row>
    <row r="75">
      <c r="A75" s="16" t="str">
        <f>IFERROR(__xludf.DUMMYFUNCTION("""COMPUTED_VALUE"""),"Block of Ice")</f>
        <v>Block of Ice</v>
      </c>
      <c r="B75" s="16" t="str">
        <f>IFERROR(__xludf.DUMMYFUNCTION("""COMPUTED_VALUE"""),"Crafting Material, roll a d20 to see how many you get if this is a loot drop.")</f>
        <v>Crafting Material, roll a d20 to see how many you get if this is a loot drop.</v>
      </c>
      <c r="C75" s="16" t="str">
        <f>IFERROR(__xludf.DUMMYFUNCTION("""COMPUTED_VALUE"""),"Item")</f>
        <v>Item</v>
      </c>
    </row>
    <row r="76">
      <c r="A76" s="16" t="str">
        <f>IFERROR(__xludf.DUMMYFUNCTION("""COMPUTED_VALUE"""),"Frost Kings Map")</f>
        <v>Frost Kings Map</v>
      </c>
      <c r="B76" s="16" t="str">
        <f>IFERROR(__xludf.DUMMYFUNCTION("""COMPUTED_VALUE"""),"Special quest item. Speak to the frost king for more info.")</f>
        <v>Special quest item. Speak to the frost king for more info.</v>
      </c>
      <c r="C76" s="16" t="str">
        <f>IFERROR(__xludf.DUMMYFUNCTION("""COMPUTED_VALUE"""),"Item")</f>
        <v>Item</v>
      </c>
    </row>
    <row r="77">
      <c r="A77" s="16" t="str">
        <f>IFERROR(__xludf.DUMMYFUNCTION("""COMPUTED_VALUE"""),"Bacon")</f>
        <v>Bacon</v>
      </c>
      <c r="B77" s="16" t="str">
        <f>IFERROR(__xludf.DUMMYFUNCTION("""COMPUTED_VALUE"""),"Restores 5 health and 5 hunger")</f>
        <v>Restores 5 health and 5 hunger</v>
      </c>
      <c r="C77" s="16" t="str">
        <f>IFERROR(__xludf.DUMMYFUNCTION("""COMPUTED_VALUE"""),"Crop")</f>
        <v>Crop</v>
      </c>
    </row>
    <row r="78">
      <c r="A78" s="16" t="str">
        <f>IFERROR(__xludf.DUMMYFUNCTION("""COMPUTED_VALUE"""),"Bread")</f>
        <v>Bread</v>
      </c>
      <c r="B78" s="16" t="str">
        <f>IFERROR(__xludf.DUMMYFUNCTION("""COMPUTED_VALUE"""),"10 Hunger")</f>
        <v>10 Hunger</v>
      </c>
      <c r="C78" s="16" t="str">
        <f>IFERROR(__xludf.DUMMYFUNCTION("""COMPUTED_VALUE"""),"Crop")</f>
        <v>Crop</v>
      </c>
    </row>
    <row r="79">
      <c r="A79" s="16" t="str">
        <f>IFERROR(__xludf.DUMMYFUNCTION("""COMPUTED_VALUE"""),"Unknown dried meat")</f>
        <v>Unknown dried meat</v>
      </c>
      <c r="B79" s="16" t="str">
        <f>IFERROR(__xludf.DUMMYFUNCTION("""COMPUTED_VALUE"""),"15 Hunger, 5% chance to lose 10 HP")</f>
        <v>15 Hunger, 5% chance to lose 10 HP</v>
      </c>
      <c r="C79" s="16" t="str">
        <f>IFERROR(__xludf.DUMMYFUNCTION("""COMPUTED_VALUE"""),"Crop")</f>
        <v>Crop</v>
      </c>
    </row>
    <row r="80">
      <c r="A80" s="16" t="str">
        <f>IFERROR(__xludf.DUMMYFUNCTION("""COMPUTED_VALUE"""),"Water")</f>
        <v>Water</v>
      </c>
      <c r="B80" s="16" t="str">
        <f>IFERROR(__xludf.DUMMYFUNCTION("""COMPUTED_VALUE"""),"10 Thirst")</f>
        <v>10 Thirst</v>
      </c>
      <c r="C80" s="16" t="str">
        <f>IFERROR(__xludf.DUMMYFUNCTION("""COMPUTED_VALUE"""),"Item")</f>
        <v>Item</v>
      </c>
    </row>
    <row r="81">
      <c r="A81" s="16" t="str">
        <f>IFERROR(__xludf.DUMMYFUNCTION("""COMPUTED_VALUE"""),"Rum")</f>
        <v>Rum</v>
      </c>
      <c r="B81" s="16" t="str">
        <f>IFERROR(__xludf.DUMMYFUNCTION("""COMPUTED_VALUE"""),"50 Thirst, -1 SP")</f>
        <v>50 Thirst, -1 SP</v>
      </c>
      <c r="C81" s="16" t="str">
        <f>IFERROR(__xludf.DUMMYFUNCTION("""COMPUTED_VALUE"""),"Item")</f>
        <v>Item</v>
      </c>
    </row>
    <row r="82">
      <c r="A82" s="16" t="str">
        <f>IFERROR(__xludf.DUMMYFUNCTION("""COMPUTED_VALUE"""),"Spirits")</f>
        <v>Spirits</v>
      </c>
      <c r="B82" s="16" t="str">
        <f>IFERROR(__xludf.DUMMYFUNCTION("""COMPUTED_VALUE"""),"20 Thirst, +2 SP")</f>
        <v>20 Thirst, +2 SP</v>
      </c>
      <c r="C82" s="16" t="str">
        <f>IFERROR(__xludf.DUMMYFUNCTION("""COMPUTED_VALUE"""),"Item")</f>
        <v>Item</v>
      </c>
    </row>
    <row r="83">
      <c r="A83" s="16" t="str">
        <f>IFERROR(__xludf.DUMMYFUNCTION("""COMPUTED_VALUE"""),"Yeast")</f>
        <v>Yeast</v>
      </c>
      <c r="B83" s="16" t="str">
        <f>IFERROR(__xludf.DUMMYFUNCTION("""COMPUTED_VALUE"""),"Crafting Material, roll a d20 to see how many you get if this is a loot drop.")</f>
        <v>Crafting Material, roll a d20 to see how many you get if this is a loot drop.</v>
      </c>
      <c r="C83" s="16" t="str">
        <f>IFERROR(__xludf.DUMMYFUNCTION("""COMPUTED_VALUE"""),"Item")</f>
        <v>Item</v>
      </c>
    </row>
    <row r="84">
      <c r="A84" s="16" t="str">
        <f>IFERROR(__xludf.DUMMYFUNCTION("""COMPUTED_VALUE"""),"Mead")</f>
        <v>Mead</v>
      </c>
      <c r="B84" s="16" t="str">
        <f>IFERROR(__xludf.DUMMYFUNCTION("""COMPUTED_VALUE"""),"25 Thirst")</f>
        <v>25 Thirst</v>
      </c>
      <c r="C84" s="16" t="str">
        <f>IFERROR(__xludf.DUMMYFUNCTION("""COMPUTED_VALUE"""),"Item")</f>
        <v>Item</v>
      </c>
    </row>
    <row r="85">
      <c r="A85" s="16" t="str">
        <f>IFERROR(__xludf.DUMMYFUNCTION("""COMPUTED_VALUE"""),"Water Tome Rank 9")</f>
        <v>Water Tome Rank 9</v>
      </c>
      <c r="B85" s="16" t="str">
        <f>IFERROR(__xludf.DUMMYFUNCTION("""COMPUTED_VALUE"""),"Can use up to Rank 9 Water Spells")</f>
        <v>Can use up to Rank 9 Water Spells</v>
      </c>
      <c r="C85" s="16" t="str">
        <f>IFERROR(__xludf.DUMMYFUNCTION("""COMPUTED_VALUE"""),"Item")</f>
        <v>Item</v>
      </c>
    </row>
    <row r="86">
      <c r="A86" s="16" t="str">
        <f>IFERROR(__xludf.DUMMYFUNCTION("""COMPUTED_VALUE"""),"Dragon Flute")</f>
        <v>Dragon Flute</v>
      </c>
      <c r="B86" s="16" t="str">
        <f>IFERROR(__xludf.DUMMYFUNCTION("""COMPUTED_VALUE"""),"Summons 1 of the following dragons with a d4 roll: Fire Dragon, Poison Dragon, Storm Dragon, Ancient Water Dragon (Can only be used once) (Level determined by dm/gm)")</f>
        <v>Summons 1 of the following dragons with a d4 roll: Fire Dragon, Poison Dragon, Storm Dragon, Ancient Water Dragon (Can only be used once) (Level determined by dm/gm)</v>
      </c>
      <c r="C86" s="16" t="str">
        <f>IFERROR(__xludf.DUMMYFUNCTION("""COMPUTED_VALUE"""),"Item")</f>
        <v>Item</v>
      </c>
    </row>
    <row r="87">
      <c r="A87" s="16" t="str">
        <f>IFERROR(__xludf.DUMMYFUNCTION("""COMPUTED_VALUE"""),"Last Resort Potion")</f>
        <v>Last Resort Potion</v>
      </c>
      <c r="B87" s="16" t="str">
        <f>IFERROR(__xludf.DUMMYFUNCTION("""COMPUTED_VALUE"""),"You can only use this when you have no sp left. When consumed, Gain all of your sp and hp back and deal X4 towards your next attack, but you will instantly die after 3 rounds.")</f>
        <v>You can only use this when you have no sp left. When consumed, Gain all of your sp and hp back and deal X4 towards your next attack, but you will instantly die after 3 rounds.</v>
      </c>
      <c r="C87" s="16" t="str">
        <f>IFERROR(__xludf.DUMMYFUNCTION("""COMPUTED_VALUE"""),"Item")</f>
        <v>Item</v>
      </c>
    </row>
    <row r="88">
      <c r="A88" s="16" t="str">
        <f>IFERROR(__xludf.DUMMYFUNCTION("""COMPUTED_VALUE"""),"Fish in a Bottle")</f>
        <v>Fish in a Bottle</v>
      </c>
      <c r="B88" s="16" t="str">
        <f>IFERROR(__xludf.DUMMYFUNCTION("""COMPUTED_VALUE"""),"Consume to regain 50HP and 50SP")</f>
        <v>Consume to regain 50HP and 50SP</v>
      </c>
      <c r="C88" s="16" t="str">
        <f>IFERROR(__xludf.DUMMYFUNCTION("""COMPUTED_VALUE"""),"Item")</f>
        <v>Item</v>
      </c>
    </row>
    <row r="89">
      <c r="A89" s="16"/>
      <c r="B89" s="16"/>
      <c r="C89" s="16"/>
    </row>
    <row r="90">
      <c r="A90" s="16" t="str">
        <f>IFERROR(__xludf.DUMMYFUNCTION("""COMPUTED_VALUE"""),"Barrel of Poisonous Water")</f>
        <v>Barrel of Poisonous Water</v>
      </c>
      <c r="B90" s="16" t="str">
        <f>IFERROR(__xludf.DUMMYFUNCTION("""COMPUTED_VALUE"""),"POISON THE QUEEN!")</f>
        <v>POISON THE QUEEN!</v>
      </c>
      <c r="C90" s="16" t="str">
        <f>IFERROR(__xludf.DUMMYFUNCTION("""COMPUTED_VALUE"""),"Item")</f>
        <v>Item</v>
      </c>
    </row>
    <row r="91">
      <c r="A91" s="16" t="str">
        <f>IFERROR(__xludf.DUMMYFUNCTION("""COMPUTED_VALUE"""),"Live Worm")</f>
        <v>Live Worm</v>
      </c>
      <c r="B91" s="16" t="str">
        <f>IFERROR(__xludf.DUMMYFUNCTION("""COMPUTED_VALUE"""),"Can be used as bait. 1 use per worm")</f>
        <v>Can be used as bait. 1 use per worm</v>
      </c>
      <c r="C91" s="16" t="str">
        <f>IFERROR(__xludf.DUMMYFUNCTION("""COMPUTED_VALUE"""),"Item")</f>
        <v>Item</v>
      </c>
    </row>
    <row r="92">
      <c r="A92" s="16" t="str">
        <f>IFERROR(__xludf.DUMMYFUNCTION("""COMPUTED_VALUE"""),"Iron Fishing Pole")</f>
        <v>Iron Fishing Pole</v>
      </c>
      <c r="B92" s="16" t="str">
        <f>IFERROR(__xludf.DUMMYFUNCTION("""COMPUTED_VALUE"""),"20/20 Uses. Used for fishing.")</f>
        <v>20/20 Uses. Used for fishing.</v>
      </c>
      <c r="C92" s="16" t="str">
        <f>IFERROR(__xludf.DUMMYFUNCTION("""COMPUTED_VALUE"""),"Item")</f>
        <v>Item</v>
      </c>
    </row>
    <row r="93">
      <c r="A93" s="16" t="str">
        <f>IFERROR(__xludf.DUMMYFUNCTION("""COMPUTED_VALUE"""),"Fishing Lure Beginner")</f>
        <v>Fishing Lure Beginner</v>
      </c>
      <c r="B93" s="16" t="str">
        <f>IFERROR(__xludf.DUMMYFUNCTION("""COMPUTED_VALUE"""),"Used for fishing competition, add a +1 or -1 to your fishing rolls")</f>
        <v>Used for fishing competition, add a +1 or -1 to your fishing rolls</v>
      </c>
      <c r="C93" s="16" t="str">
        <f>IFERROR(__xludf.DUMMYFUNCTION("""COMPUTED_VALUE"""),"Item")</f>
        <v>Item</v>
      </c>
    </row>
    <row r="94">
      <c r="A94" s="16" t="str">
        <f>IFERROR(__xludf.DUMMYFUNCTION("""COMPUTED_VALUE"""),"Fishing Lure Moderate")</f>
        <v>Fishing Lure Moderate</v>
      </c>
      <c r="B94" s="16" t="str">
        <f>IFERROR(__xludf.DUMMYFUNCTION("""COMPUTED_VALUE"""),"Used for fishing competition, add a +3 or -3 to your fishing rolls")</f>
        <v>Used for fishing competition, add a +3 or -3 to your fishing rolls</v>
      </c>
      <c r="C94" s="16" t="str">
        <f>IFERROR(__xludf.DUMMYFUNCTION("""COMPUTED_VALUE"""),"Item")</f>
        <v>Item</v>
      </c>
    </row>
    <row r="95">
      <c r="A95" s="16" t="str">
        <f>IFERROR(__xludf.DUMMYFUNCTION("""COMPUTED_VALUE"""),"Fishing Lure Expert")</f>
        <v>Fishing Lure Expert</v>
      </c>
      <c r="B95" s="16" t="str">
        <f>IFERROR(__xludf.DUMMYFUNCTION("""COMPUTED_VALUE"""),"Used for fishing competition, add a +5 or -5 to your fishing rolls")</f>
        <v>Used for fishing competition, add a +5 or -5 to your fishing rolls</v>
      </c>
      <c r="C95" s="16" t="str">
        <f>IFERROR(__xludf.DUMMYFUNCTION("""COMPUTED_VALUE"""),"Item")</f>
        <v>Item</v>
      </c>
    </row>
    <row r="96">
      <c r="A96" s="16" t="str">
        <f>IFERROR(__xludf.DUMMYFUNCTION("""COMPUTED_VALUE"""),"Fossilized Water Dragon Bones")</f>
        <v>Fossilized Water Dragon Bones</v>
      </c>
      <c r="B96" s="16" t="str">
        <f>IFERROR(__xludf.DUMMYFUNCTION("""COMPUTED_VALUE"""),"Crafting Material, roll a d20 to see how many you get if this is a loot drop.")</f>
        <v>Crafting Material, roll a d20 to see how many you get if this is a loot drop.</v>
      </c>
      <c r="C96" s="16" t="str">
        <f>IFERROR(__xludf.DUMMYFUNCTION("""COMPUTED_VALUE"""),"Item")</f>
        <v>Item</v>
      </c>
    </row>
    <row r="97">
      <c r="A97" s="16" t="str">
        <f>IFERROR(__xludf.DUMMYFUNCTION("""COMPUTED_VALUE"""),"Return Home Gem")</f>
        <v>Return Home Gem</v>
      </c>
      <c r="B97" s="16" t="str">
        <f>IFERROR(__xludf.DUMMYFUNCTION("""COMPUTED_VALUE"""),"Only one per player in backpack. Instantly teleports you to the last town you were at without fail.")</f>
        <v>Only one per player in backpack. Instantly teleports you to the last town you were at without fail.</v>
      </c>
      <c r="C97" s="16" t="str">
        <f>IFERROR(__xludf.DUMMYFUNCTION("""COMPUTED_VALUE"""),"Item")</f>
        <v>Item</v>
      </c>
    </row>
    <row r="98">
      <c r="A98" s="16" t="str">
        <f>IFERROR(__xludf.DUMMYFUNCTION("""COMPUTED_VALUE"""),"Immunity to water potion temp")</f>
        <v>Immunity to water potion temp</v>
      </c>
      <c r="B98" s="16" t="str">
        <f>IFERROR(__xludf.DUMMYFUNCTION("""COMPUTED_VALUE"""),"Immune to water based attacks for one battle (does not count as a turn)")</f>
        <v>Immune to water based attacks for one battle (does not count as a turn)</v>
      </c>
      <c r="C98" s="16" t="str">
        <f>IFERROR(__xludf.DUMMYFUNCTION("""COMPUTED_VALUE"""),"Item")</f>
        <v>Item</v>
      </c>
    </row>
    <row r="99">
      <c r="A99" s="16" t="str">
        <f>IFERROR(__xludf.DUMMYFUNCTION("""COMPUTED_VALUE"""),"Legendary Sea Monster Meat")</f>
        <v>Legendary Sea Monster Meat</v>
      </c>
      <c r="B99" s="16" t="str">
        <f>IFERROR(__xludf.DUMMYFUNCTION("""COMPUTED_VALUE"""),"Increase Health and Defense by 100 for next three battles (Can not be used in battle must be used between battles)")</f>
        <v>Increase Health and Defense by 100 for next three battles (Can not be used in battle must be used between battles)</v>
      </c>
      <c r="C99" s="16" t="str">
        <f>IFERROR(__xludf.DUMMYFUNCTION("""COMPUTED_VALUE"""),"Item")</f>
        <v>Item</v>
      </c>
    </row>
    <row r="100">
      <c r="A100" s="16" t="str">
        <f>IFERROR(__xludf.DUMMYFUNCTION("""COMPUTED_VALUE"""),"Scroll of The Sea Monster")</f>
        <v>Scroll of The Sea Monster</v>
      </c>
      <c r="B100" s="16" t="str">
        <f>IFERROR(__xludf.DUMMYFUNCTION("""COMPUTED_VALUE"""),"X2 to water damage for the caster until end of battle, water spells also become unblockable for 3 rounds.")</f>
        <v>X2 to water damage for the caster until end of battle, water spells also become unblockable for 3 rounds.</v>
      </c>
      <c r="C100" s="16" t="str">
        <f>IFERROR(__xludf.DUMMYFUNCTION("""COMPUTED_VALUE"""),"Item")</f>
        <v>Item</v>
      </c>
    </row>
    <row r="101">
      <c r="A101" s="16" t="str">
        <f>IFERROR(__xludf.DUMMYFUNCTION("""COMPUTED_VALUE"""),"Paper scraps")</f>
        <v>Paper scraps</v>
      </c>
      <c r="B101" s="16" t="str">
        <f>IFERROR(__xludf.DUMMYFUNCTION("""COMPUTED_VALUE"""),"Crafting Material, roll a d20 to see how many you get if this is a loot drop.")</f>
        <v>Crafting Material, roll a d20 to see how many you get if this is a loot drop.</v>
      </c>
      <c r="C101" s="16" t="str">
        <f>IFERROR(__xludf.DUMMYFUNCTION("""COMPUTED_VALUE"""),"Item")</f>
        <v>Item</v>
      </c>
    </row>
    <row r="102">
      <c r="A102" s="16" t="str">
        <f>IFERROR(__xludf.DUMMYFUNCTION("""COMPUTED_VALUE"""),"Blank piece of paper")</f>
        <v>Blank piece of paper</v>
      </c>
      <c r="B102" s="16" t="str">
        <f>IFERROR(__xludf.DUMMYFUNCTION("""COMPUTED_VALUE"""),"Crafting Material, roll a d20 to see how many you get if this is a loot drop.")</f>
        <v>Crafting Material, roll a d20 to see how many you get if this is a loot drop.</v>
      </c>
      <c r="C102" s="16" t="str">
        <f>IFERROR(__xludf.DUMMYFUNCTION("""COMPUTED_VALUE"""),"Item")</f>
        <v>Item</v>
      </c>
    </row>
    <row r="103">
      <c r="A103" s="16" t="str">
        <f>IFERROR(__xludf.DUMMYFUNCTION("""COMPUTED_VALUE"""),"Broken pistol")</f>
        <v>Broken pistol</v>
      </c>
      <c r="B103" s="16" t="str">
        <f>IFERROR(__xludf.DUMMYFUNCTION("""COMPUTED_VALUE"""),"Crafting Material, roll a d20 to see how many you get if this is a loot drop.")</f>
        <v>Crafting Material, roll a d20 to see how many you get if this is a loot drop.</v>
      </c>
      <c r="C103" s="16" t="str">
        <f>IFERROR(__xludf.DUMMYFUNCTION("""COMPUTED_VALUE"""),"Item")</f>
        <v>Item</v>
      </c>
    </row>
    <row r="104">
      <c r="A104" s="16" t="str">
        <f>IFERROR(__xludf.DUMMYFUNCTION("""COMPUTED_VALUE"""),"Cannon Ball")</f>
        <v>Cannon Ball</v>
      </c>
      <c r="B104" s="16" t="str">
        <f>IFERROR(__xludf.DUMMYFUNCTION("""COMPUTED_VALUE"""),"Cannon Ammunition, +1000 damage. roll a d20 to see how many you get if this is a loot drop.")</f>
        <v>Cannon Ammunition, +1000 damage. roll a d20 to see how many you get if this is a loot drop.</v>
      </c>
      <c r="C104" s="16" t="str">
        <f>IFERROR(__xludf.DUMMYFUNCTION("""COMPUTED_VALUE"""),"Item")</f>
        <v>Item</v>
      </c>
    </row>
    <row r="105">
      <c r="A105" s="16" t="str">
        <f>IFERROR(__xludf.DUMMYFUNCTION("""COMPUTED_VALUE"""),"Blank Book")</f>
        <v>Blank Book</v>
      </c>
      <c r="B105" s="16" t="str">
        <f>IFERROR(__xludf.DUMMYFUNCTION("""COMPUTED_VALUE"""),"Crafting Material, roll a d20 to see how many you get.")</f>
        <v>Crafting Material, roll a d20 to see how many you get.</v>
      </c>
      <c r="C105" s="16" t="str">
        <f>IFERROR(__xludf.DUMMYFUNCTION("""COMPUTED_VALUE"""),"Item")</f>
        <v>Item</v>
      </c>
    </row>
    <row r="106">
      <c r="A106" s="16" t="str">
        <f>IFERROR(__xludf.DUMMYFUNCTION("""COMPUTED_VALUE"""),"Bronze")</f>
        <v>Bronze</v>
      </c>
      <c r="B106" s="16" t="str">
        <f>IFERROR(__xludf.DUMMYFUNCTION("""COMPUTED_VALUE"""),"Crafting Material, roll a d20 to see how many you get.")</f>
        <v>Crafting Material, roll a d20 to see how many you get.</v>
      </c>
      <c r="C106" s="16" t="str">
        <f>IFERROR(__xludf.DUMMYFUNCTION("""COMPUTED_VALUE"""),"Item")</f>
        <v>Item</v>
      </c>
    </row>
    <row r="107">
      <c r="A107" s="16" t="str">
        <f>IFERROR(__xludf.DUMMYFUNCTION("""COMPUTED_VALUE"""),"Diamond")</f>
        <v>Diamond</v>
      </c>
      <c r="B107" s="16" t="str">
        <f>IFERROR(__xludf.DUMMYFUNCTION("""COMPUTED_VALUE"""),"Crafting Material, roll a d20 to see how many you get.")</f>
        <v>Crafting Material, roll a d20 to see how many you get.</v>
      </c>
      <c r="C107" s="16" t="str">
        <f>IFERROR(__xludf.DUMMYFUNCTION("""COMPUTED_VALUE"""),"Item")</f>
        <v>Item</v>
      </c>
    </row>
    <row r="108">
      <c r="A108" s="16" t="str">
        <f>IFERROR(__xludf.DUMMYFUNCTION("""COMPUTED_VALUE"""),"Wood")</f>
        <v>Wood</v>
      </c>
      <c r="B108" s="16" t="str">
        <f>IFERROR(__xludf.DUMMYFUNCTION("""COMPUTED_VALUE"""),"Crafting Material, roll a d20 to see how many you get.")</f>
        <v>Crafting Material, roll a d20 to see how many you get.</v>
      </c>
      <c r="C108" s="16" t="str">
        <f>IFERROR(__xludf.DUMMYFUNCTION("""COMPUTED_VALUE"""),"Item")</f>
        <v>Item</v>
      </c>
    </row>
    <row r="109">
      <c r="A109" s="16" t="str">
        <f>IFERROR(__xludf.DUMMYFUNCTION("""COMPUTED_VALUE"""),"Stone")</f>
        <v>Stone</v>
      </c>
      <c r="B109" s="16" t="str">
        <f>IFERROR(__xludf.DUMMYFUNCTION("""COMPUTED_VALUE"""),"Crafting Material, roll a d20 to see how many you get.")</f>
        <v>Crafting Material, roll a d20 to see how many you get.</v>
      </c>
      <c r="C109" s="16" t="str">
        <f>IFERROR(__xludf.DUMMYFUNCTION("""COMPUTED_VALUE"""),"Item")</f>
        <v>Item</v>
      </c>
    </row>
    <row r="110">
      <c r="A110" s="16" t="str">
        <f>IFERROR(__xludf.DUMMYFUNCTION("""COMPUTED_VALUE"""),"Raw Meat")</f>
        <v>Raw Meat</v>
      </c>
      <c r="B110" s="16" t="str">
        <f>IFERROR(__xludf.DUMMYFUNCTION("""COMPUTED_VALUE"""),"-100 Hunger")</f>
        <v>-100 Hunger</v>
      </c>
      <c r="C110" s="16" t="str">
        <f>IFERROR(__xludf.DUMMYFUNCTION("""COMPUTED_VALUE"""),"Crop")</f>
        <v>Crop</v>
      </c>
    </row>
    <row r="111">
      <c r="A111" s="16" t="str">
        <f>IFERROR(__xludf.DUMMYFUNCTION("""COMPUTED_VALUE"""),"Cooked Meat")</f>
        <v>Cooked Meat</v>
      </c>
      <c r="B111" s="16" t="str">
        <f>IFERROR(__xludf.DUMMYFUNCTION("""COMPUTED_VALUE"""),"Restores 35 Hunger")</f>
        <v>Restores 35 Hunger</v>
      </c>
      <c r="C111" s="16" t="str">
        <f>IFERROR(__xludf.DUMMYFUNCTION("""COMPUTED_VALUE"""),"Crop")</f>
        <v>Crop</v>
      </c>
    </row>
    <row r="112">
      <c r="A112" s="16" t="str">
        <f>IFERROR(__xludf.DUMMYFUNCTION("""COMPUTED_VALUE"""),"Dried Meat")</f>
        <v>Dried Meat</v>
      </c>
      <c r="B112" s="16" t="str">
        <f>IFERROR(__xludf.DUMMYFUNCTION("""COMPUTED_VALUE"""),"25 Hunger")</f>
        <v>25 Hunger</v>
      </c>
      <c r="C112" s="16" t="str">
        <f>IFERROR(__xludf.DUMMYFUNCTION("""COMPUTED_VALUE"""),"Crop")</f>
        <v>Crop</v>
      </c>
    </row>
    <row r="113">
      <c r="A113" s="16" t="str">
        <f>IFERROR(__xludf.DUMMYFUNCTION("""COMPUTED_VALUE"""),"Medium Rare Steak")</f>
        <v>Medium Rare Steak</v>
      </c>
      <c r="B113" s="16" t="str">
        <f>IFERROR(__xludf.DUMMYFUNCTION("""COMPUTED_VALUE"""),"Restores 30 Hunger and 5 HP")</f>
        <v>Restores 30 Hunger and 5 HP</v>
      </c>
      <c r="C113" s="16" t="str">
        <f>IFERROR(__xludf.DUMMYFUNCTION("""COMPUTED_VALUE"""),"Crop")</f>
        <v>Crop</v>
      </c>
    </row>
    <row r="114">
      <c r="A114" s="16" t="str">
        <f>IFERROR(__xludf.DUMMYFUNCTION("""COMPUTED_VALUE"""),"Well Done Steak")</f>
        <v>Well Done Steak</v>
      </c>
      <c r="B114" s="16" t="str">
        <f>IFERROR(__xludf.DUMMYFUNCTION("""COMPUTED_VALUE"""),"10 Hunger and 3 HP are restored each turn for the next three turns")</f>
        <v>10 Hunger and 3 HP are restored each turn for the next three turns</v>
      </c>
      <c r="C114" s="16" t="str">
        <f>IFERROR(__xludf.DUMMYFUNCTION("""COMPUTED_VALUE"""),"Crop")</f>
        <v>Crop</v>
      </c>
    </row>
    <row r="115">
      <c r="A115" s="16" t="str">
        <f>IFERROR(__xludf.DUMMYFUNCTION("""COMPUTED_VALUE"""),"Kebab")</f>
        <v>Kebab</v>
      </c>
      <c r="B115" s="16" t="str">
        <f>IFERROR(__xludf.DUMMYFUNCTION("""COMPUTED_VALUE"""),"Restores 10 Hunger, 5 HP, and 15 SP")</f>
        <v>Restores 10 Hunger, 5 HP, and 15 SP</v>
      </c>
      <c r="C115" s="16" t="str">
        <f>IFERROR(__xludf.DUMMYFUNCTION("""COMPUTED_VALUE"""),"Crop")</f>
        <v>Crop</v>
      </c>
    </row>
    <row r="116">
      <c r="A116" s="16" t="str">
        <f>IFERROR(__xludf.DUMMYFUNCTION("""COMPUTED_VALUE"""),"Melon Bread")</f>
        <v>Melon Bread</v>
      </c>
      <c r="B116" s="16" t="str">
        <f>IFERROR(__xludf.DUMMYFUNCTION("""COMPUTED_VALUE"""),"15 Hunger")</f>
        <v>15 Hunger</v>
      </c>
      <c r="C116" s="16" t="str">
        <f>IFERROR(__xludf.DUMMYFUNCTION("""COMPUTED_VALUE"""),"Crop")</f>
        <v>Crop</v>
      </c>
    </row>
    <row r="117">
      <c r="A117" s="16" t="str">
        <f>IFERROR(__xludf.DUMMYFUNCTION("""COMPUTED_VALUE"""),"Cake")</f>
        <v>Cake</v>
      </c>
      <c r="B117" s="16" t="str">
        <f>IFERROR(__xludf.DUMMYFUNCTION("""COMPUTED_VALUE"""),"8 uses, each use restores 20 Hunger")</f>
        <v>8 uses, each use restores 20 Hunger</v>
      </c>
      <c r="C117" s="16" t="str">
        <f>IFERROR(__xludf.DUMMYFUNCTION("""COMPUTED_VALUE"""),"Crop")</f>
        <v>Crop</v>
      </c>
    </row>
    <row r="118">
      <c r="A118" s="16" t="str">
        <f>IFERROR(__xludf.DUMMYFUNCTION("""COMPUTED_VALUE"""),"Cherry Pie")</f>
        <v>Cherry Pie</v>
      </c>
      <c r="B118" s="16" t="str">
        <f>IFERROR(__xludf.DUMMYFUNCTION("""COMPUTED_VALUE"""),"4 uses, restores 20 Hunger, 10 HP, and 5 SP with each use")</f>
        <v>4 uses, restores 20 Hunger, 10 HP, and 5 SP with each use</v>
      </c>
      <c r="C118" s="16" t="str">
        <f>IFERROR(__xludf.DUMMYFUNCTION("""COMPUTED_VALUE"""),"Crop")</f>
        <v>Crop</v>
      </c>
    </row>
    <row r="119">
      <c r="A119" s="16" t="str">
        <f>IFERROR(__xludf.DUMMYFUNCTION("""COMPUTED_VALUE"""),"Saltwater")</f>
        <v>Saltwater</v>
      </c>
      <c r="B119" s="16" t="str">
        <f>IFERROR(__xludf.DUMMYFUNCTION("""COMPUTED_VALUE"""),"Crafting Material, roll a d20 to see how many you get if this is a loot drop.")</f>
        <v>Crafting Material, roll a d20 to see how many you get if this is a loot drop.</v>
      </c>
      <c r="C119" s="16" t="str">
        <f>IFERROR(__xludf.DUMMYFUNCTION("""COMPUTED_VALUE"""),"Item")</f>
        <v>Item</v>
      </c>
    </row>
    <row r="120">
      <c r="A120" s="16" t="str">
        <f>IFERROR(__xludf.DUMMYFUNCTION("""COMPUTED_VALUE"""),"Fisherman’s Lucky Totem")</f>
        <v>Fisherman’s Lucky Totem</v>
      </c>
      <c r="B120" s="16" t="str">
        <f>IFERROR(__xludf.DUMMYFUNCTION("""COMPUTED_VALUE"""),"This will Guarantee you 1 fish from a quest")</f>
        <v>This will Guarantee you 1 fish from a quest</v>
      </c>
      <c r="C120" s="16" t="str">
        <f>IFERROR(__xludf.DUMMYFUNCTION("""COMPUTED_VALUE"""),"Item")</f>
        <v>Item</v>
      </c>
    </row>
    <row r="121">
      <c r="A121" s="16" t="str">
        <f>IFERROR(__xludf.DUMMYFUNCTION("""COMPUTED_VALUE"""),"The Fish Pendant")</f>
        <v>The Fish Pendant</v>
      </c>
      <c r="B121" s="16" t="str">
        <f>IFERROR(__xludf.DUMMYFUNCTION("""COMPUTED_VALUE"""),"Choose the rarity of the fish when fishing during a quest.")</f>
        <v>Choose the rarity of the fish when fishing during a quest.</v>
      </c>
      <c r="C121" s="16" t="str">
        <f>IFERROR(__xludf.DUMMYFUNCTION("""COMPUTED_VALUE"""),"Item")</f>
        <v>Item</v>
      </c>
    </row>
    <row r="122">
      <c r="A122" s="16" t="str">
        <f>IFERROR(__xludf.DUMMYFUNCTION("""COMPUTED_VALUE"""),"Fish Stone")</f>
        <v>Fish Stone</v>
      </c>
      <c r="B122" s="16" t="str">
        <f>IFERROR(__xludf.DUMMYFUNCTION("""COMPUTED_VALUE"""),"if you catch this when fishing you get 2 of the fish you caught with this item.")</f>
        <v>if you catch this when fishing you get 2 of the fish you caught with this item.</v>
      </c>
      <c r="C122" s="16" t="str">
        <f>IFERROR(__xludf.DUMMYFUNCTION("""COMPUTED_VALUE"""),"Item")</f>
        <v>Item</v>
      </c>
    </row>
    <row r="123">
      <c r="A123" s="16" t="str">
        <f>IFERROR(__xludf.DUMMYFUNCTION("""COMPUTED_VALUE"""),"Pumpkin")</f>
        <v>Pumpkin</v>
      </c>
      <c r="B123" s="16" t="str">
        <f>IFERROR(__xludf.DUMMYFUNCTION("""COMPUTED_VALUE"""),"100 hunger for self and up to 2 party members.")</f>
        <v>100 hunger for self and up to 2 party members.</v>
      </c>
      <c r="C123" s="16" t="str">
        <f>IFERROR(__xludf.DUMMYFUNCTION("""COMPUTED_VALUE"""),"Crop")</f>
        <v>Crop</v>
      </c>
    </row>
    <row r="124">
      <c r="A124" s="16" t="str">
        <f>IFERROR(__xludf.DUMMYFUNCTION("""COMPUTED_VALUE"""),"Premium Pumpkin")</f>
        <v>Premium Pumpkin</v>
      </c>
      <c r="B124" s="16" t="str">
        <f>IFERROR(__xludf.DUMMYFUNCTION("""COMPUTED_VALUE"""),"200 hunger for self and up to 2 party members.")</f>
        <v>200 hunger for self and up to 2 party members.</v>
      </c>
      <c r="C124" s="16" t="str">
        <f>IFERROR(__xludf.DUMMYFUNCTION("""COMPUTED_VALUE"""),"Crop")</f>
        <v>Crop</v>
      </c>
    </row>
    <row r="125">
      <c r="A125" s="16" t="str">
        <f>IFERROR(__xludf.DUMMYFUNCTION("""COMPUTED_VALUE"""),"Pumpkin Soup")</f>
        <v>Pumpkin Soup</v>
      </c>
      <c r="B125" s="16" t="str">
        <f>IFERROR(__xludf.DUMMYFUNCTION("""COMPUTED_VALUE"""),"100 hunger for self and up to 4 party members.")</f>
        <v>100 hunger for self and up to 4 party members.</v>
      </c>
      <c r="C125" s="16" t="str">
        <f>IFERROR(__xludf.DUMMYFUNCTION("""COMPUTED_VALUE"""),"Crop")</f>
        <v>Crop</v>
      </c>
    </row>
    <row r="126">
      <c r="A126" s="16" t="str">
        <f>IFERROR(__xludf.DUMMYFUNCTION("""COMPUTED_VALUE"""),"Premium Pumpkin Soup")</f>
        <v>Premium Pumpkin Soup</v>
      </c>
      <c r="B126" s="16" t="str">
        <f>IFERROR(__xludf.DUMMYFUNCTION("""COMPUTED_VALUE"""),"200 hunger for self and up to 4 party members.")</f>
        <v>200 hunger for self and up to 4 party members.</v>
      </c>
      <c r="C126" s="16" t="str">
        <f>IFERROR(__xludf.DUMMYFUNCTION("""COMPUTED_VALUE"""),"Crop")</f>
        <v>Crop</v>
      </c>
    </row>
    <row r="127">
      <c r="A127" s="16" t="str">
        <f>IFERROR(__xludf.DUMMYFUNCTION("""COMPUTED_VALUE"""),"Forbidden Book")</f>
        <v>Forbidden Book</v>
      </c>
      <c r="B127" s="16" t="str">
        <f>IFERROR(__xludf.DUMMYFUNCTION("""COMPUTED_VALUE"""),"A forbidden book. if the guards see it in your inventory they will autmatically confiscate it and arrest you.")</f>
        <v>A forbidden book. if the guards see it in your inventory they will autmatically confiscate it and arrest you.</v>
      </c>
      <c r="C127" s="16" t="str">
        <f>IFERROR(__xludf.DUMMYFUNCTION("""COMPUTED_VALUE"""),"Item")</f>
        <v>Item</v>
      </c>
    </row>
    <row r="128">
      <c r="A128" s="16" t="str">
        <f>IFERROR(__xludf.DUMMYFUNCTION("""COMPUTED_VALUE"""),"a random stick")</f>
        <v>a random stick</v>
      </c>
      <c r="B128" s="16" t="str">
        <f>IFERROR(__xludf.DUMMYFUNCTION("""COMPUTED_VALUE"""),"A random stick the shopkeeper found out back")</f>
        <v>A random stick the shopkeeper found out back</v>
      </c>
      <c r="C128" s="16" t="str">
        <f>IFERROR(__xludf.DUMMYFUNCTION("""COMPUTED_VALUE"""),"Item")</f>
        <v>Item</v>
      </c>
    </row>
    <row r="129">
      <c r="A129" s="16" t="str">
        <f>IFERROR(__xludf.DUMMYFUNCTION("""COMPUTED_VALUE"""),"Rank 9 Storm Tome")</f>
        <v>Rank 9 Storm Tome</v>
      </c>
      <c r="B129" s="16" t="str">
        <f>IFERROR(__xludf.DUMMYFUNCTION("""COMPUTED_VALUE"""),"Can use up to Rank 9 Storm Spells")</f>
        <v>Can use up to Rank 9 Storm Spells</v>
      </c>
      <c r="C129" s="16" t="str">
        <f>IFERROR(__xludf.DUMMYFUNCTION("""COMPUTED_VALUE"""),"Item")</f>
        <v>Item</v>
      </c>
    </row>
    <row r="130">
      <c r="A130" s="16"/>
      <c r="B130" s="16"/>
      <c r="C130" s="16"/>
    </row>
    <row r="131">
      <c r="A131" s="16" t="str">
        <f>IFERROR(__xludf.DUMMYFUNCTION("""COMPUTED_VALUE"""),"Common Tree Branch")</f>
        <v>Common Tree Branch</v>
      </c>
      <c r="B131" s="16" t="str">
        <f>IFERROR(__xludf.DUMMYFUNCTION("""COMPUTED_VALUE"""),"When thrown, each enemy has a 25% chance to be distracted, skipping their next turn")</f>
        <v>When thrown, each enemy has a 25% chance to be distracted, skipping their next turn</v>
      </c>
      <c r="C131" s="16" t="str">
        <f>IFERROR(__xludf.DUMMYFUNCTION("""COMPUTED_VALUE"""),"Item")</f>
        <v>Item</v>
      </c>
    </row>
    <row r="132">
      <c r="A132" s="16" t="str">
        <f>IFERROR(__xludf.DUMMYFUNCTION("""COMPUTED_VALUE"""),"Uncommon Tree branch")</f>
        <v>Uncommon Tree branch</v>
      </c>
      <c r="B132" s="16" t="str">
        <f>IFERROR(__xludf.DUMMYFUNCTION("""COMPUTED_VALUE"""),"When thrown, Roll a d20 and apply the result. If 1-19, deal 20,000 damage to one target Hit/Miss. If 20, deal 40,000 damage to one target Hit/Miss, each enemy has a 50% chance to be distracted, skipping their next turn.
")</f>
        <v>When thrown, Roll a d20 and apply the result. If 1-19, deal 20,000 damage to one target Hit/Miss. If 20, deal 40,000 damage to one target Hit/Miss, each enemy has a 50% chance to be distracted, skipping their next turn.
</v>
      </c>
      <c r="C132" s="16" t="str">
        <f>IFERROR(__xludf.DUMMYFUNCTION("""COMPUTED_VALUE"""),"Item")</f>
        <v>Item</v>
      </c>
    </row>
    <row r="133">
      <c r="A133" s="16" t="str">
        <f>IFERROR(__xludf.DUMMYFUNCTION("""COMPUTED_VALUE"""),"Stale bread")</f>
        <v>Stale bread</v>
      </c>
      <c r="B133" s="16" t="str">
        <f>IFERROR(__xludf.DUMMYFUNCTION("""COMPUTED_VALUE"""),"Recovers 9 hunger")</f>
        <v>Recovers 9 hunger</v>
      </c>
      <c r="C133" s="16" t="str">
        <f>IFERROR(__xludf.DUMMYFUNCTION("""COMPUTED_VALUE"""),"Crop")</f>
        <v>Crop</v>
      </c>
    </row>
    <row r="134">
      <c r="A134" s="16" t="str">
        <f>IFERROR(__xludf.DUMMYFUNCTION("""COMPUTED_VALUE"""),"Coal")</f>
        <v>Coal</v>
      </c>
      <c r="B134" s="16" t="str">
        <f>IFERROR(__xludf.DUMMYFUNCTION("""COMPUTED_VALUE"""),"Crafting Material, roll a d20 to see how many you get if this is a loot drop.")</f>
        <v>Crafting Material, roll a d20 to see how many you get if this is a loot drop.</v>
      </c>
      <c r="C134" s="16" t="str">
        <f>IFERROR(__xludf.DUMMYFUNCTION("""COMPUTED_VALUE"""),"Item")</f>
        <v>Item</v>
      </c>
    </row>
    <row r="135">
      <c r="A135" s="16"/>
      <c r="B135" s="16"/>
      <c r="C135" s="16" t="str">
        <f>IFERROR(__xludf.DUMMYFUNCTION("""COMPUTED_VALUE"""),"Item")</f>
        <v>Item</v>
      </c>
    </row>
    <row r="136">
      <c r="A136" s="16"/>
      <c r="B136" s="16"/>
      <c r="C136" s="16" t="str">
        <f>IFERROR(__xludf.DUMMYFUNCTION("""COMPUTED_VALUE"""),"Item")</f>
        <v>Item</v>
      </c>
    </row>
    <row r="137">
      <c r="A137" s="16"/>
      <c r="B137" s="16"/>
      <c r="C137" s="16" t="str">
        <f>IFERROR(__xludf.DUMMYFUNCTION("""COMPUTED_VALUE"""),"Item")</f>
        <v>Item</v>
      </c>
    </row>
    <row r="138">
      <c r="A138" s="16" t="str">
        <f>IFERROR(__xludf.DUMMYFUNCTION("""COMPUTED_VALUE"""),"Red Coral Gem")</f>
        <v>Red Coral Gem</v>
      </c>
      <c r="B138" s="16" t="str">
        <f>IFERROR(__xludf.DUMMYFUNCTION("""COMPUTED_VALUE"""),"500 Fire dmg or Resistance")</f>
        <v>500 Fire dmg or Resistance</v>
      </c>
      <c r="C138" s="16" t="str">
        <f>IFERROR(__xludf.DUMMYFUNCTION("""COMPUTED_VALUE"""),"Item")</f>
        <v>Item</v>
      </c>
    </row>
    <row r="139">
      <c r="A139" s="16" t="str">
        <f>IFERROR(__xludf.DUMMYFUNCTION("""COMPUTED_VALUE"""),"Blue Coral Gem")</f>
        <v>Blue Coral Gem</v>
      </c>
      <c r="B139" s="16" t="str">
        <f>IFERROR(__xludf.DUMMYFUNCTION("""COMPUTED_VALUE"""),"500 Water dmg or Resistance")</f>
        <v>500 Water dmg or Resistance</v>
      </c>
      <c r="C139" s="16" t="str">
        <f>IFERROR(__xludf.DUMMYFUNCTION("""COMPUTED_VALUE"""),"Item")</f>
        <v>Item</v>
      </c>
    </row>
    <row r="140">
      <c r="A140" s="16" t="str">
        <f>IFERROR(__xludf.DUMMYFUNCTION("""COMPUTED_VALUE"""),"Yellow Coral Gem")</f>
        <v>Yellow Coral Gem</v>
      </c>
      <c r="B140" s="16" t="str">
        <f>IFERROR(__xludf.DUMMYFUNCTION("""COMPUTED_VALUE"""),"500 Strom dmg or Resistance")</f>
        <v>500 Strom dmg or Resistance</v>
      </c>
      <c r="C140" s="16" t="str">
        <f>IFERROR(__xludf.DUMMYFUNCTION("""COMPUTED_VALUE"""),"Item")</f>
        <v>Item</v>
      </c>
    </row>
    <row r="141">
      <c r="A141" s="16" t="str">
        <f>IFERROR(__xludf.DUMMYFUNCTION("""COMPUTED_VALUE"""),"Green Coral Gem")</f>
        <v>Green Coral Gem</v>
      </c>
      <c r="B141" s="16" t="str">
        <f>IFERROR(__xludf.DUMMYFUNCTION("""COMPUTED_VALUE"""),"500 nature dmg or Resistance")</f>
        <v>500 nature dmg or Resistance</v>
      </c>
      <c r="C141" s="16" t="str">
        <f>IFERROR(__xludf.DUMMYFUNCTION("""COMPUTED_VALUE"""),"Item")</f>
        <v>Item</v>
      </c>
    </row>
    <row r="142">
      <c r="A142" s="16" t="str">
        <f>IFERROR(__xludf.DUMMYFUNCTION("""COMPUTED_VALUE"""),"White Coral Gem")</f>
        <v>White Coral Gem</v>
      </c>
      <c r="B142" s="16" t="str">
        <f>IFERROR(__xludf.DUMMYFUNCTION("""COMPUTED_VALUE"""),"500 Spirit dmg or Resistance")</f>
        <v>500 Spirit dmg or Resistance</v>
      </c>
      <c r="C142" s="16" t="str">
        <f>IFERROR(__xludf.DUMMYFUNCTION("""COMPUTED_VALUE"""),"Item")</f>
        <v>Item</v>
      </c>
    </row>
    <row r="143">
      <c r="A143" s="16" t="str">
        <f>IFERROR(__xludf.DUMMYFUNCTION("""COMPUTED_VALUE"""),"Black Coral Gem")</f>
        <v>Black Coral Gem</v>
      </c>
      <c r="B143" s="16" t="str">
        <f>IFERROR(__xludf.DUMMYFUNCTION("""COMPUTED_VALUE"""),"500 Dark dmg or Resistance")</f>
        <v>500 Dark dmg or Resistance</v>
      </c>
      <c r="C143" s="16" t="str">
        <f>IFERROR(__xludf.DUMMYFUNCTION("""COMPUTED_VALUE"""),"Item")</f>
        <v>Item</v>
      </c>
    </row>
    <row r="144">
      <c r="A144" s="16" t="str">
        <f>IFERROR(__xludf.DUMMYFUNCTION("""COMPUTED_VALUE"""),"Pink Coral Gem")</f>
        <v>Pink Coral Gem</v>
      </c>
      <c r="B144" s="16" t="str">
        <f>IFERROR(__xludf.DUMMYFUNCTION("""COMPUTED_VALUE"""),"500 dmg or resistance")</f>
        <v>500 dmg or resistance</v>
      </c>
      <c r="C144" s="16" t="str">
        <f>IFERROR(__xludf.DUMMYFUNCTION("""COMPUTED_VALUE"""),"Item")</f>
        <v>Item</v>
      </c>
    </row>
    <row r="145">
      <c r="A145" s="16" t="str">
        <f>IFERROR(__xludf.DUMMYFUNCTION("""COMPUTED_VALUE"""),"Coral")</f>
        <v>Coral</v>
      </c>
      <c r="B145" s="16" t="str">
        <f>IFERROR(__xludf.DUMMYFUNCTION("""COMPUTED_VALUE"""),"Crafting Material, roll a d20 to see how many you get if this is a loot drop.")</f>
        <v>Crafting Material, roll a d20 to see how many you get if this is a loot drop.</v>
      </c>
      <c r="C145" s="16" t="str">
        <f>IFERROR(__xludf.DUMMYFUNCTION("""COMPUTED_VALUE"""),"Item")</f>
        <v>Item</v>
      </c>
    </row>
    <row r="146">
      <c r="A146" s="16" t="str">
        <f>IFERROR(__xludf.DUMMYFUNCTION("""COMPUTED_VALUE"""),"Ivory")</f>
        <v>Ivory</v>
      </c>
      <c r="B146" s="16" t="str">
        <f>IFERROR(__xludf.DUMMYFUNCTION("""COMPUTED_VALUE"""),"Crafting Material, roll a d20 to see how many you get if this is a loot drop.")</f>
        <v>Crafting Material, roll a d20 to see how many you get if this is a loot drop.</v>
      </c>
      <c r="C146" s="16" t="str">
        <f>IFERROR(__xludf.DUMMYFUNCTION("""COMPUTED_VALUE"""),"Item")</f>
        <v>Item</v>
      </c>
    </row>
    <row r="147">
      <c r="A147" s="16" t="str">
        <f>IFERROR(__xludf.DUMMYFUNCTION("""COMPUTED_VALUE"""),"Onyx")</f>
        <v>Onyx</v>
      </c>
      <c r="B147" s="16" t="str">
        <f>IFERROR(__xludf.DUMMYFUNCTION("""COMPUTED_VALUE"""),"Crafting Material, roll a d20 to see how many you get if this is a loot drop.")</f>
        <v>Crafting Material, roll a d20 to see how many you get if this is a loot drop.</v>
      </c>
      <c r="C147" s="16" t="str">
        <f>IFERROR(__xludf.DUMMYFUNCTION("""COMPUTED_VALUE"""),"Item")</f>
        <v>Item</v>
      </c>
    </row>
    <row r="148">
      <c r="A148" s="16" t="str">
        <f>IFERROR(__xludf.DUMMYFUNCTION("""COMPUTED_VALUE"""),"Jade")</f>
        <v>Jade</v>
      </c>
      <c r="B148" s="16" t="str">
        <f>IFERROR(__xludf.DUMMYFUNCTION("""COMPUTED_VALUE"""),"Crafting Material, roll a d20 to see how many you get if this is a loot drop.")</f>
        <v>Crafting Material, roll a d20 to see how many you get if this is a loot drop.</v>
      </c>
      <c r="C148" s="16" t="str">
        <f>IFERROR(__xludf.DUMMYFUNCTION("""COMPUTED_VALUE"""),"Item")</f>
        <v>Item</v>
      </c>
    </row>
    <row r="149">
      <c r="A149" s="16" t="str">
        <f>IFERROR(__xludf.DUMMYFUNCTION("""COMPUTED_VALUE"""),"Emerald")</f>
        <v>Emerald</v>
      </c>
      <c r="B149" s="16" t="str">
        <f>IFERROR(__xludf.DUMMYFUNCTION("""COMPUTED_VALUE"""),"Crafting Material, roll a d20 to see how many you get if this is a loot drop.")</f>
        <v>Crafting Material, roll a d20 to see how many you get if this is a loot drop.</v>
      </c>
      <c r="C149" s="16" t="str">
        <f>IFERROR(__xludf.DUMMYFUNCTION("""COMPUTED_VALUE"""),"Item")</f>
        <v>Item</v>
      </c>
    </row>
    <row r="150">
      <c r="A150" s="16" t="str">
        <f>IFERROR(__xludf.DUMMYFUNCTION("""COMPUTED_VALUE"""),"Ruby")</f>
        <v>Ruby</v>
      </c>
      <c r="B150" s="16" t="str">
        <f>IFERROR(__xludf.DUMMYFUNCTION("""COMPUTED_VALUE"""),"Crafting Material, roll a d20 to see how many you get if this is a loot drop.")</f>
        <v>Crafting Material, roll a d20 to see how many you get if this is a loot drop.</v>
      </c>
      <c r="C150" s="16" t="str">
        <f>IFERROR(__xludf.DUMMYFUNCTION("""COMPUTED_VALUE"""),"Item")</f>
        <v>Item</v>
      </c>
    </row>
    <row r="151">
      <c r="A151" s="16" t="str">
        <f>IFERROR(__xludf.DUMMYFUNCTION("""COMPUTED_VALUE"""),"Sapphire")</f>
        <v>Sapphire</v>
      </c>
      <c r="B151" s="16" t="str">
        <f>IFERROR(__xludf.DUMMYFUNCTION("""COMPUTED_VALUE"""),"Crafting Material, roll a d20 to see how many you get if this is a loot drop.")</f>
        <v>Crafting Material, roll a d20 to see how many you get if this is a loot drop.</v>
      </c>
      <c r="C151" s="16" t="str">
        <f>IFERROR(__xludf.DUMMYFUNCTION("""COMPUTED_VALUE"""),"Item")</f>
        <v>Item</v>
      </c>
    </row>
    <row r="152">
      <c r="A152" s="16" t="str">
        <f>IFERROR(__xludf.DUMMYFUNCTION("""COMPUTED_VALUE"""),"Candy Corn")</f>
        <v>Candy Corn</v>
      </c>
      <c r="B152" s="16" t="str">
        <f>IFERROR(__xludf.DUMMYFUNCTION("""COMPUTED_VALUE"""),"Gun ammunition. 5000 damage, +5000 fire damage.")</f>
        <v>Gun ammunition. 5000 damage, +5000 fire damage.</v>
      </c>
      <c r="C152" s="16" t="str">
        <f>IFERROR(__xludf.DUMMYFUNCTION("""COMPUTED_VALUE"""),"Item")</f>
        <v>Item</v>
      </c>
    </row>
    <row r="153">
      <c r="A153" s="16" t="str">
        <f>IFERROR(__xludf.DUMMYFUNCTION("""COMPUTED_VALUE"""),"Pumpkin Arrow")</f>
        <v>Pumpkin Arrow</v>
      </c>
      <c r="B153" s="16" t="str">
        <f>IFERROR(__xludf.DUMMYFUNCTION("""COMPUTED_VALUE"""),"Bow Ammunition. +5000 fire damage. roll a d20 to see how many you get if this is a loot drop.")</f>
        <v>Bow Ammunition. +5000 fire damage. roll a d20 to see how many you get if this is a loot drop.</v>
      </c>
      <c r="C153" s="16" t="str">
        <f>IFERROR(__xludf.DUMMYFUNCTION("""COMPUTED_VALUE"""),"Item")</f>
        <v>Item</v>
      </c>
    </row>
    <row r="154">
      <c r="A154" s="16" t="str">
        <f>IFERROR(__xludf.DUMMYFUNCTION("""COMPUTED_VALUE"""),"Candy Corn Gem")</f>
        <v>Candy Corn Gem</v>
      </c>
      <c r="B154" s="16" t="str">
        <f>IFERROR(__xludf.DUMMYFUNCTION("""COMPUTED_VALUE"""),"(Can be turned in for Halloween Coins Decided by the current DM / GM )")</f>
        <v>(Can be turned in for Halloween Coins Decided by the current DM / GM )</v>
      </c>
      <c r="C154" s="16" t="str">
        <f>IFERROR(__xludf.DUMMYFUNCTION("""COMPUTED_VALUE"""),"Item")</f>
        <v>Item</v>
      </c>
    </row>
    <row r="155">
      <c r="A155" s="16" t="str">
        <f>IFERROR(__xludf.DUMMYFUNCTION("""COMPUTED_VALUE"""),"Steel Arrow")</f>
        <v>Steel Arrow</v>
      </c>
      <c r="B155" s="16" t="str">
        <f>IFERROR(__xludf.DUMMYFUNCTION("""COMPUTED_VALUE"""),"Bow Ammunition. +100 damage. roll a d20 to see how many you get if this is a loot drop.")</f>
        <v>Bow Ammunition. +100 damage. roll a d20 to see how many you get if this is a loot drop.</v>
      </c>
      <c r="C155" s="16" t="str">
        <f>IFERROR(__xludf.DUMMYFUNCTION("""COMPUTED_VALUE"""),"Item")</f>
        <v>Item</v>
      </c>
    </row>
    <row r="156">
      <c r="A156" s="16" t="str">
        <f>IFERROR(__xludf.DUMMYFUNCTION("""COMPUTED_VALUE"""),"Bone Key")</f>
        <v>Bone Key</v>
      </c>
      <c r="B156" s="16" t="str">
        <f>IFERROR(__xludf.DUMMYFUNCTION("""COMPUTED_VALUE"""),"Opens bone chest")</f>
        <v>Opens bone chest</v>
      </c>
      <c r="C156" s="16" t="str">
        <f>IFERROR(__xludf.DUMMYFUNCTION("""COMPUTED_VALUE"""),"Item")</f>
        <v>Item</v>
      </c>
    </row>
    <row r="157">
      <c r="A157" s="16" t="str">
        <f>IFERROR(__xludf.DUMMYFUNCTION("""COMPUTED_VALUE"""),"Bone")</f>
        <v>Bone</v>
      </c>
      <c r="B157" s="16" t="str">
        <f>IFERROR(__xludf.DUMMYFUNCTION("""COMPUTED_VALUE"""),"Crafting Material, roll a d20 to see how many you get if this is a loot drop.")</f>
        <v>Crafting Material, roll a d20 to see how many you get if this is a loot drop.</v>
      </c>
      <c r="C157" s="16" t="str">
        <f>IFERROR(__xludf.DUMMYFUNCTION("""COMPUTED_VALUE"""),"Item")</f>
        <v>Item</v>
      </c>
    </row>
    <row r="158">
      <c r="A158" s="16" t="str">
        <f>IFERROR(__xludf.DUMMYFUNCTION("""COMPUTED_VALUE"""),"Bone Chest")</f>
        <v>Bone Chest</v>
      </c>
      <c r="B158" s="16" t="str">
        <f>IFERROR(__xludf.DUMMYFUNCTION("""COMPUTED_VALUE"""),"Determine the tier by a d10 roll.")</f>
        <v>Determine the tier by a d10 roll.</v>
      </c>
      <c r="C158" s="16" t="str">
        <f>IFERROR(__xludf.DUMMYFUNCTION("""COMPUTED_VALUE"""),"Item")</f>
        <v>Item</v>
      </c>
    </row>
    <row r="159">
      <c r="A159" s="16" t="str">
        <f>IFERROR(__xludf.DUMMYFUNCTION("""COMPUTED_VALUE"""),"Viking Key")</f>
        <v>Viking Key</v>
      </c>
      <c r="B159" s="16" t="str">
        <f>IFERROR(__xludf.DUMMYFUNCTION("""COMPUTED_VALUE"""),"Opens the Viking Chest")</f>
        <v>Opens the Viking Chest</v>
      </c>
      <c r="C159" s="16" t="str">
        <f>IFERROR(__xludf.DUMMYFUNCTION("""COMPUTED_VALUE"""),"Item")</f>
        <v>Item</v>
      </c>
    </row>
    <row r="160">
      <c r="A160" s="16" t="str">
        <f>IFERROR(__xludf.DUMMYFUNCTION("""COMPUTED_VALUE"""),"Viking Chest")</f>
        <v>Viking Chest</v>
      </c>
      <c r="B160" s="16" t="str">
        <f>IFERROR(__xludf.DUMMYFUNCTION("""COMPUTED_VALUE"""),"Determine the tier by a d10 roll.")</f>
        <v>Determine the tier by a d10 roll.</v>
      </c>
      <c r="C160" s="16" t="str">
        <f>IFERROR(__xludf.DUMMYFUNCTION("""COMPUTED_VALUE"""),"Item")</f>
        <v>Item</v>
      </c>
    </row>
    <row r="161">
      <c r="A161" s="16" t="str">
        <f>IFERROR(__xludf.DUMMYFUNCTION("""COMPUTED_VALUE"""),"Vikings Cove Key")</f>
        <v>Vikings Cove Key</v>
      </c>
      <c r="B161" s="16" t="str">
        <f>IFERROR(__xludf.DUMMYFUNCTION("""COMPUTED_VALUE"""),"Gain access to Vikings Cove")</f>
        <v>Gain access to Vikings Cove</v>
      </c>
      <c r="C161" s="16" t="str">
        <f>IFERROR(__xludf.DUMMYFUNCTION("""COMPUTED_VALUE"""),"Item")</f>
        <v>Item</v>
      </c>
    </row>
    <row r="162">
      <c r="A162" s="16" t="str">
        <f>IFERROR(__xludf.DUMMYFUNCTION("""COMPUTED_VALUE"""),"Baboon meat")</f>
        <v>Baboon meat</v>
      </c>
      <c r="B162" s="16" t="str">
        <f>IFERROR(__xludf.DUMMYFUNCTION("""COMPUTED_VALUE""")," +2 hunger")</f>
        <v> +2 hunger</v>
      </c>
      <c r="C162" s="16" t="str">
        <f>IFERROR(__xludf.DUMMYFUNCTION("""COMPUTED_VALUE"""),"Crop")</f>
        <v>Crop</v>
      </c>
    </row>
    <row r="163">
      <c r="A163" s="16" t="str">
        <f>IFERROR(__xludf.DUMMYFUNCTION("""COMPUTED_VALUE"""),"Eagle Feathers")</f>
        <v>Eagle Feathers</v>
      </c>
      <c r="B163" s="16" t="str">
        <f>IFERROR(__xludf.DUMMYFUNCTION("""COMPUTED_VALUE"""),"Crafting Material, roll a d20 to see how many you get if this is a loot drop.")</f>
        <v>Crafting Material, roll a d20 to see how many you get if this is a loot drop.</v>
      </c>
      <c r="C163" s="16" t="str">
        <f>IFERROR(__xludf.DUMMYFUNCTION("""COMPUTED_VALUE"""),"Item")</f>
        <v>Item</v>
      </c>
    </row>
    <row r="164">
      <c r="A164" s="16" t="str">
        <f>IFERROR(__xludf.DUMMYFUNCTION("""COMPUTED_VALUE"""),"The Cycle")</f>
        <v>The Cycle</v>
      </c>
      <c r="B164" s="16" t="str">
        <f>IFERROR(__xludf.DUMMYFUNCTION("""COMPUTED_VALUE"""),"1 damage initially to all enemies, Does X damage each round until all targets escape the cycle, must roll a 11 or higher adding you mobility as a bonus to your roll while attempting to escape each round")</f>
        <v>1 damage initially to all enemies, Does X damage each round until all targets escape the cycle, must roll a 11 or higher adding you mobility as a bonus to your roll while attempting to escape each round</v>
      </c>
      <c r="C164" s="16" t="str">
        <f>IFERROR(__xludf.DUMMYFUNCTION("""COMPUTED_VALUE"""),"Item")</f>
        <v>Item</v>
      </c>
    </row>
    <row r="165">
      <c r="A165" s="16" t="str">
        <f>IFERROR(__xludf.DUMMYFUNCTION("""COMPUTED_VALUE"""),"Scale")</f>
        <v>Scale</v>
      </c>
      <c r="B165" s="16" t="str">
        <f>IFERROR(__xludf.DUMMYFUNCTION("""COMPUTED_VALUE"""),"can be added to armor to give it +1 Earth resistance, once added to armor it can’t be removed")</f>
        <v>can be added to armor to give it +1 Earth resistance, once added to armor it can’t be removed</v>
      </c>
      <c r="C165" s="16" t="str">
        <f>IFERROR(__xludf.DUMMYFUNCTION("""COMPUTED_VALUE"""),"Item")</f>
        <v>Item</v>
      </c>
    </row>
    <row r="166">
      <c r="A166" s="16" t="str">
        <f>IFERROR(__xludf.DUMMYFUNCTION("""COMPUTED_VALUE"""),"Egg")</f>
        <v>Egg</v>
      </c>
      <c r="B166" s="16" t="str">
        <f>IFERROR(__xludf.DUMMYFUNCTION("""COMPUTED_VALUE"""),"Will hatch in X/X days.")</f>
        <v>Will hatch in X/X days.</v>
      </c>
      <c r="C166" s="16" t="str">
        <f>IFERROR(__xludf.DUMMYFUNCTION("""COMPUTED_VALUE"""),"Item")</f>
        <v>Item</v>
      </c>
    </row>
    <row r="167">
      <c r="A167" s="16" t="str">
        <f>IFERROR(__xludf.DUMMYFUNCTION("""COMPUTED_VALUE"""),"Soul")</f>
        <v>Soul</v>
      </c>
      <c r="B167" s="16" t="str">
        <f>IFERROR(__xludf.DUMMYFUNCTION("""COMPUTED_VALUE"""),"usable can be used to temporarily summon a minion of the creature the soul came from, the minion disappears after battle or when it's killed, If you have 3 or more souls you can gain 1 power from the creature, when you have gained 5 or more souls they can"&amp;" become the creature.")</f>
        <v>usable can be used to temporarily summon a minion of the creature the soul came from, the minion disappears after battle or when it's killed, If you have 3 or more souls you can gain 1 power from the creature, when you have gained 5 or more souls they can become the creature.</v>
      </c>
      <c r="C167" s="16" t="str">
        <f>IFERROR(__xludf.DUMMYFUNCTION("""COMPUTED_VALUE"""),"Item")</f>
        <v>Item</v>
      </c>
    </row>
    <row r="168">
      <c r="A168" s="16" t="str">
        <f>IFERROR(__xludf.DUMMYFUNCTION("""COMPUTED_VALUE"""),"Crystal")</f>
        <v>Crystal</v>
      </c>
      <c r="B168" s="16" t="str">
        <f>IFERROR(__xludf.DUMMYFUNCTION("""COMPUTED_VALUE"""),"Crafting Material, roll a d20 to see how many you get if this is a loot drop.")</f>
        <v>Crafting Material, roll a d20 to see how many you get if this is a loot drop.</v>
      </c>
      <c r="C168" s="16" t="str">
        <f>IFERROR(__xludf.DUMMYFUNCTION("""COMPUTED_VALUE"""),"Item")</f>
        <v>Item</v>
      </c>
    </row>
    <row r="169">
      <c r="A169" s="16" t="str">
        <f>IFERROR(__xludf.DUMMYFUNCTION("""COMPUTED_VALUE"""),"Delta Gems")</f>
        <v>Delta Gems</v>
      </c>
      <c r="B169" s="16" t="str">
        <f>IFERROR(__xludf.DUMMYFUNCTION("""COMPUTED_VALUE"""),"Crafting Material, roll a d20 to see how many you get if this is a loot drop.")</f>
        <v>Crafting Material, roll a d20 to see how many you get if this is a loot drop.</v>
      </c>
      <c r="C169" s="16" t="str">
        <f>IFERROR(__xludf.DUMMYFUNCTION("""COMPUTED_VALUE"""),"Item")</f>
        <v>Item</v>
      </c>
    </row>
    <row r="170">
      <c r="A170" s="16" t="str">
        <f>IFERROR(__xludf.DUMMYFUNCTION("""COMPUTED_VALUE"""),"Fire Diamonds")</f>
        <v>Fire Diamonds</v>
      </c>
      <c r="B170" s="16" t="str">
        <f>IFERROR(__xludf.DUMMYFUNCTION("""COMPUTED_VALUE"""),"Crafting Material, roll a d20 to see how many you get if this is a loot drop.")</f>
        <v>Crafting Material, roll a d20 to see how many you get if this is a loot drop.</v>
      </c>
      <c r="C170" s="16" t="str">
        <f>IFERROR(__xludf.DUMMYFUNCTION("""COMPUTED_VALUE"""),"Item")</f>
        <v>Item</v>
      </c>
    </row>
    <row r="171">
      <c r="A171" s="16" t="str">
        <f>IFERROR(__xludf.DUMMYFUNCTION("""COMPUTED_VALUE"""),"plant containing the ‘instant death status effect’")</f>
        <v>plant containing the ‘instant death status effect’</v>
      </c>
      <c r="B171" s="16" t="str">
        <f>IFERROR(__xludf.DUMMYFUNCTION("""COMPUTED_VALUE"""),"Quest item")</f>
        <v>Quest item</v>
      </c>
      <c r="C171" s="16" t="str">
        <f>IFERROR(__xludf.DUMMYFUNCTION("""COMPUTED_VALUE"""),"Item")</f>
        <v>Item</v>
      </c>
    </row>
    <row r="172">
      <c r="A172" s="16"/>
      <c r="B172" s="16"/>
      <c r="C172" s="16"/>
    </row>
    <row r="173">
      <c r="A173" s="16" t="str">
        <f>IFERROR(__xludf.DUMMYFUNCTION("""COMPUTED_VALUE"""),"Potion of Cure Curse")</f>
        <v>Potion of Cure Curse</v>
      </c>
      <c r="B173" s="16" t="str">
        <f>IFERROR(__xludf.DUMMYFUNCTION("""COMPUTED_VALUE"""),"Curse Antidote")</f>
        <v>Curse Antidote</v>
      </c>
      <c r="C173" s="16" t="str">
        <f>IFERROR(__xludf.DUMMYFUNCTION("""COMPUTED_VALUE"""),"Item")</f>
        <v>Item</v>
      </c>
    </row>
    <row r="174">
      <c r="A174" s="16" t="str">
        <f>IFERROR(__xludf.DUMMYFUNCTION("""COMPUTED_VALUE"""),"Glowing Blue Jelly")</f>
        <v>Glowing Blue Jelly</v>
      </c>
      <c r="B174" s="16" t="str">
        <f>IFERROR(__xludf.DUMMYFUNCTION("""COMPUTED_VALUE"""),"Crafting Material, roll a d20 to see how many you get if this is a loot drop.")</f>
        <v>Crafting Material, roll a d20 to see how many you get if this is a loot drop.</v>
      </c>
      <c r="C174" s="16" t="str">
        <f>IFERROR(__xludf.DUMMYFUNCTION("""COMPUTED_VALUE"""),"Item")</f>
        <v>Item</v>
      </c>
    </row>
    <row r="175">
      <c r="A175" s="16" t="str">
        <f>IFERROR(__xludf.DUMMYFUNCTION("""COMPUTED_VALUE"""),"Feather")</f>
        <v>Feather</v>
      </c>
      <c r="B175" s="16" t="str">
        <f>IFERROR(__xludf.DUMMYFUNCTION("""COMPUTED_VALUE"""),"Crafting Material, roll a d20 to see how many you get if this is a loot drop.")</f>
        <v>Crafting Material, roll a d20 to see how many you get if this is a loot drop.</v>
      </c>
      <c r="C175" s="16" t="str">
        <f>IFERROR(__xludf.DUMMYFUNCTION("""COMPUTED_VALUE"""),"Item")</f>
        <v>Item</v>
      </c>
    </row>
    <row r="176">
      <c r="A176" s="16" t="str">
        <f>IFERROR(__xludf.DUMMYFUNCTION("""COMPUTED_VALUE"""),"Talon")</f>
        <v>Talon</v>
      </c>
      <c r="B176" s="16" t="str">
        <f>IFERROR(__xludf.DUMMYFUNCTION("""COMPUTED_VALUE"""),"Crafting Material, roll a d20 to see how many you get if this is a loot drop.")</f>
        <v>Crafting Material, roll a d20 to see how many you get if this is a loot drop.</v>
      </c>
      <c r="C176" s="16" t="str">
        <f>IFERROR(__xludf.DUMMYFUNCTION("""COMPUTED_VALUE"""),"Item")</f>
        <v>Item</v>
      </c>
    </row>
    <row r="177">
      <c r="A177" s="16" t="str">
        <f>IFERROR(__xludf.DUMMYFUNCTION("""COMPUTED_VALUE"""),"Eyeball")</f>
        <v>Eyeball</v>
      </c>
      <c r="B177" s="16" t="str">
        <f>IFERROR(__xludf.DUMMYFUNCTION("""COMPUTED_VALUE"""),"Crafting Material, roll a d20 to see how many you get if this is a loot drop.")</f>
        <v>Crafting Material, roll a d20 to see how many you get if this is a loot drop.</v>
      </c>
      <c r="C177" s="16" t="str">
        <f>IFERROR(__xludf.DUMMYFUNCTION("""COMPUTED_VALUE"""),"Item")</f>
        <v>Item</v>
      </c>
    </row>
    <row r="178">
      <c r="A178" s="16" t="str">
        <f>IFERROR(__xludf.DUMMYFUNCTION("""COMPUTED_VALUE"""),"Spider Egg")</f>
        <v>Spider Egg</v>
      </c>
      <c r="B178" s="16" t="str">
        <f>IFERROR(__xludf.DUMMYFUNCTION("""COMPUTED_VALUE"""),"Crafting Material, roll a d20 to see how many you get if this is a loot drop.")</f>
        <v>Crafting Material, roll a d20 to see how many you get if this is a loot drop.</v>
      </c>
      <c r="C178" s="16" t="str">
        <f>IFERROR(__xludf.DUMMYFUNCTION("""COMPUTED_VALUE"""),"Item")</f>
        <v>Item</v>
      </c>
    </row>
    <row r="179">
      <c r="A179" s="16" t="str">
        <f>IFERROR(__xludf.DUMMYFUNCTION("""COMPUTED_VALUE"""),"Giant Spider Exoskeleton")</f>
        <v>Giant Spider Exoskeleton</v>
      </c>
      <c r="B179" s="16" t="str">
        <f>IFERROR(__xludf.DUMMYFUNCTION("""COMPUTED_VALUE"""),"Crafting Material, roll a d20 to see how many you get if this is a loot drop.")</f>
        <v>Crafting Material, roll a d20 to see how many you get if this is a loot drop.</v>
      </c>
      <c r="C179" s="16" t="str">
        <f>IFERROR(__xludf.DUMMYFUNCTION("""COMPUTED_VALUE"""),"Item")</f>
        <v>Item</v>
      </c>
    </row>
    <row r="180">
      <c r="A180" s="16" t="str">
        <f>IFERROR(__xludf.DUMMYFUNCTION("""COMPUTED_VALUE"""),"Giant Spider Poison")</f>
        <v>Giant Spider Poison</v>
      </c>
      <c r="B180" s="16" t="str">
        <f>IFERROR(__xludf.DUMMYFUNCTION("""COMPUTED_VALUE"""),"Crafting Material, roll a d20 to see how many you get if this is a loot drop.")</f>
        <v>Crafting Material, roll a d20 to see how many you get if this is a loot drop.</v>
      </c>
      <c r="C180" s="16" t="str">
        <f>IFERROR(__xludf.DUMMYFUNCTION("""COMPUTED_VALUE"""),"Item")</f>
        <v>Item</v>
      </c>
    </row>
    <row r="181">
      <c r="A181" s="16" t="str">
        <f>IFERROR(__xludf.DUMMYFUNCTION("""COMPUTED_VALUE"""),"Poison Gem")</f>
        <v>Poison Gem</v>
      </c>
      <c r="B181" s="16" t="str">
        <f>IFERROR(__xludf.DUMMYFUNCTION("""COMPUTED_VALUE"""),"Crafting Material, roll a d20 to see how many you get if this is a loot drop.")</f>
        <v>Crafting Material, roll a d20 to see how many you get if this is a loot drop.</v>
      </c>
      <c r="C181" s="16" t="str">
        <f>IFERROR(__xludf.DUMMYFUNCTION("""COMPUTED_VALUE"""),"Item")</f>
        <v>Item</v>
      </c>
    </row>
    <row r="182">
      <c r="A182" s="16" t="str">
        <f>IFERROR(__xludf.DUMMYFUNCTION("""COMPUTED_VALUE"""),"Returning Arrow")</f>
        <v>Returning Arrow</v>
      </c>
      <c r="B182" s="16" t="str">
        <f>IFERROR(__xludf.DUMMYFUNCTION("""COMPUTED_VALUE"""),"Bow Ammunition. +500 damage.  returns to the user. roll a d20 to see how many you get if this is a loot drop.")</f>
        <v>Bow Ammunition. +500 damage.  returns to the user. roll a d20 to see how many you get if this is a loot drop.</v>
      </c>
      <c r="C182" s="16" t="str">
        <f>IFERROR(__xludf.DUMMYFUNCTION("""COMPUTED_VALUE"""),"Item")</f>
        <v>Item</v>
      </c>
    </row>
    <row r="183">
      <c r="A183" s="16" t="str">
        <f>IFERROR(__xludf.DUMMYFUNCTION("""COMPUTED_VALUE"""),"Shadow Fluid")</f>
        <v>Shadow Fluid</v>
      </c>
      <c r="B183" s="16" t="str">
        <f>IFERROR(__xludf.DUMMYFUNCTION("""COMPUTED_VALUE"""),"Crafting Material, roll a d20 to see how many you get if this is a loot drop.")</f>
        <v>Crafting Material, roll a d20 to see how many you get if this is a loot drop.</v>
      </c>
      <c r="C183" s="16" t="str">
        <f>IFERROR(__xludf.DUMMYFUNCTION("""COMPUTED_VALUE"""),"Item")</f>
        <v>Item</v>
      </c>
    </row>
    <row r="184">
      <c r="A184" s="16" t="str">
        <f>IFERROR(__xludf.DUMMYFUNCTION("""COMPUTED_VALUE"""),"Skull")</f>
        <v>Skull</v>
      </c>
      <c r="B184" s="16" t="str">
        <f>IFERROR(__xludf.DUMMYFUNCTION("""COMPUTED_VALUE"""),"Crafting Material, roll a d20 to see how many you get if this is a loot drop.")</f>
        <v>Crafting Material, roll a d20 to see how many you get if this is a loot drop.</v>
      </c>
      <c r="C184" s="16" t="str">
        <f>IFERROR(__xludf.DUMMYFUNCTION("""COMPUTED_VALUE"""),"Item")</f>
        <v>Item</v>
      </c>
    </row>
    <row r="185">
      <c r="A185" s="16" t="str">
        <f>IFERROR(__xludf.DUMMYFUNCTION("""COMPUTED_VALUE"""),"pumpkin gem")</f>
        <v>pumpkin gem</v>
      </c>
      <c r="B185" s="16" t="str">
        <f>IFERROR(__xludf.DUMMYFUNCTION("""COMPUTED_VALUE"""),"Crafting Material, roll a d20 to see how many you get if this is a loot drop.")</f>
        <v>Crafting Material, roll a d20 to see how many you get if this is a loot drop.</v>
      </c>
      <c r="C185" s="16" t="str">
        <f>IFERROR(__xludf.DUMMYFUNCTION("""COMPUTED_VALUE"""),"Item")</f>
        <v>Item</v>
      </c>
    </row>
    <row r="186">
      <c r="A186" s="16" t="str">
        <f>IFERROR(__xludf.DUMMYFUNCTION("""COMPUTED_VALUE"""),"Rotton Flesh")</f>
        <v>Rotton Flesh</v>
      </c>
      <c r="B186" s="16" t="str">
        <f>IFERROR(__xludf.DUMMYFUNCTION("""COMPUTED_VALUE"""),"-100 Hunger if you are not undead. +200 hunger and energy if you are undead.")</f>
        <v>-100 Hunger if you are not undead. +200 hunger and energy if you are undead.</v>
      </c>
      <c r="C186" s="16" t="str">
        <f>IFERROR(__xludf.DUMMYFUNCTION("""COMPUTED_VALUE"""),"Crop")</f>
        <v>Crop</v>
      </c>
    </row>
    <row r="187">
      <c r="A187" s="16" t="str">
        <f>IFERROR(__xludf.DUMMYFUNCTION("""COMPUTED_VALUE"""),"Bag of Sand")</f>
        <v>Bag of Sand</v>
      </c>
      <c r="B187" s="16" t="str">
        <f>IFERROR(__xludf.DUMMYFUNCTION("""COMPUTED_VALUE"""),"Crafting Material, roll a d20 to see how many you get if this is a loot drop.")</f>
        <v>Crafting Material, roll a d20 to see how many you get if this is a loot drop.</v>
      </c>
      <c r="C187" s="16" t="str">
        <f>IFERROR(__xludf.DUMMYFUNCTION("""COMPUTED_VALUE"""),"Item")</f>
        <v>Item</v>
      </c>
    </row>
    <row r="188">
      <c r="A188" s="16" t="str">
        <f>IFERROR(__xludf.DUMMYFUNCTION("""COMPUTED_VALUE"""),"Glowing Red eye")</f>
        <v>Glowing Red eye</v>
      </c>
      <c r="B188" s="16" t="str">
        <f>IFERROR(__xludf.DUMMYFUNCTION("""COMPUTED_VALUE""")," +10SP")</f>
        <v> +10SP</v>
      </c>
      <c r="C188" s="16" t="str">
        <f>IFERROR(__xludf.DUMMYFUNCTION("""COMPUTED_VALUE"""),"Item")</f>
        <v>Item</v>
      </c>
    </row>
    <row r="189">
      <c r="A189" s="16" t="str">
        <f>IFERROR(__xludf.DUMMYFUNCTION("""COMPUTED_VALUE"""),"Sand Gem")</f>
        <v>Sand Gem</v>
      </c>
      <c r="B189" s="16" t="str">
        <f>IFERROR(__xludf.DUMMYFUNCTION("""COMPUTED_VALUE"""),"Crafting Material, roll a d20 to see how many you get if this is a loot drop.")</f>
        <v>Crafting Material, roll a d20 to see how many you get if this is a loot drop.</v>
      </c>
      <c r="C189" s="16" t="str">
        <f>IFERROR(__xludf.DUMMYFUNCTION("""COMPUTED_VALUE"""),"Item")</f>
        <v>Item</v>
      </c>
    </row>
    <row r="190">
      <c r="A190" s="16" t="str">
        <f>IFERROR(__xludf.DUMMYFUNCTION("""COMPUTED_VALUE"""),"Poison water")</f>
        <v>Poison water</v>
      </c>
      <c r="B190" s="16"/>
      <c r="C190" s="16" t="str">
        <f>IFERROR(__xludf.DUMMYFUNCTION("""COMPUTED_VALUE"""),"Item")</f>
        <v>Item</v>
      </c>
    </row>
    <row r="191">
      <c r="A191" s="16" t="str">
        <f>IFERROR(__xludf.DUMMYFUNCTION("""COMPUTED_VALUE"""),"Poison Mushroom")</f>
        <v>Poison Mushroom</v>
      </c>
      <c r="B191" s="16" t="str">
        <f>IFERROR(__xludf.DUMMYFUNCTION("""COMPUTED_VALUE"""),"-100 Hunger, Causes poison 100 for 10 days of travel.")</f>
        <v>-100 Hunger, Causes poison 100 for 10 days of travel.</v>
      </c>
      <c r="C191" s="16" t="str">
        <f>IFERROR(__xludf.DUMMYFUNCTION("""COMPUTED_VALUE"""),"Crop")</f>
        <v>Crop</v>
      </c>
    </row>
    <row r="192">
      <c r="A192" s="16" t="str">
        <f>IFERROR(__xludf.DUMMYFUNCTION("""COMPUTED_VALUE"""),"Vile of Poison")</f>
        <v>Vile of Poison</v>
      </c>
      <c r="B192" s="16" t="str">
        <f>IFERROR(__xludf.DUMMYFUNCTION("""COMPUTED_VALUE"""),"Crafting Material, roll a d20 to see how many you get if this is a loot drop.")</f>
        <v>Crafting Material, roll a d20 to see how many you get if this is a loot drop.</v>
      </c>
      <c r="C192" s="16" t="str">
        <f>IFERROR(__xludf.DUMMYFUNCTION("""COMPUTED_VALUE"""),"Item")</f>
        <v>Item</v>
      </c>
    </row>
    <row r="193">
      <c r="A193" s="16" t="str">
        <f>IFERROR(__xludf.DUMMYFUNCTION("""COMPUTED_VALUE"""),"Explosive Arrow")</f>
        <v>Explosive Arrow</v>
      </c>
      <c r="B193" s="16" t="str">
        <f>IFERROR(__xludf.DUMMYFUNCTION("""COMPUTED_VALUE"""),"Bow Ammunition. +1000 fire damage to the enemy it hits. +500 fire damage to all other enemies. roll a d20 to see how many you get if this is a loot drop.")</f>
        <v>Bow Ammunition. +1000 fire damage to the enemy it hits. +500 fire damage to all other enemies. roll a d20 to see how many you get if this is a loot drop.</v>
      </c>
      <c r="C193" s="16" t="str">
        <f>IFERROR(__xludf.DUMMYFUNCTION("""COMPUTED_VALUE"""),"Item")</f>
        <v>Item</v>
      </c>
    </row>
    <row r="194">
      <c r="A194" s="16" t="str">
        <f>IFERROR(__xludf.DUMMYFUNCTION("""COMPUTED_VALUE"""),"Frost diamond")</f>
        <v>Frost diamond</v>
      </c>
      <c r="B194" s="16" t="str">
        <f>IFERROR(__xludf.DUMMYFUNCTION("""COMPUTED_VALUE"""),"Crafting Material, roll a d20 to see how many you get if this is a loot drop.")</f>
        <v>Crafting Material, roll a d20 to see how many you get if this is a loot drop.</v>
      </c>
      <c r="C194" s="16" t="str">
        <f>IFERROR(__xludf.DUMMYFUNCTION("""COMPUTED_VALUE"""),"Item")</f>
        <v>Item</v>
      </c>
    </row>
    <row r="195">
      <c r="A195" s="16" t="str">
        <f>IFERROR(__xludf.DUMMYFUNCTION("""COMPUTED_VALUE"""),"Big Frost Owl Feathers")</f>
        <v>Big Frost Owl Feathers</v>
      </c>
      <c r="B195" s="16" t="str">
        <f>IFERROR(__xludf.DUMMYFUNCTION("""COMPUTED_VALUE"""),"Crafting Material, roll a d20 to see how many you get if this is a loot drop.")</f>
        <v>Crafting Material, roll a d20 to see how many you get if this is a loot drop.</v>
      </c>
      <c r="C195" s="16" t="str">
        <f>IFERROR(__xludf.DUMMYFUNCTION("""COMPUTED_VALUE"""),"Item")</f>
        <v>Item</v>
      </c>
    </row>
    <row r="196">
      <c r="A196" s="16" t="str">
        <f>IFERROR(__xludf.DUMMYFUNCTION("""COMPUTED_VALUE"""),"Big Frost Owl egg")</f>
        <v>Big Frost Owl egg</v>
      </c>
      <c r="B196" s="16"/>
      <c r="C196" s="16" t="str">
        <f>IFERROR(__xludf.DUMMYFUNCTION("""COMPUTED_VALUE"""),"Item")</f>
        <v>Item</v>
      </c>
    </row>
    <row r="197">
      <c r="A197" s="16" t="str">
        <f>IFERROR(__xludf.DUMMYFUNCTION("""COMPUTED_VALUE"""),"Giant Frost Diamond")</f>
        <v>Giant Frost Diamond</v>
      </c>
      <c r="B197" s="16" t="str">
        <f>IFERROR(__xludf.DUMMYFUNCTION("""COMPUTED_VALUE"""),"Crafting Material, roll a d20 to see how many you get if this is a loot drop.")</f>
        <v>Crafting Material, roll a d20 to see how many you get if this is a loot drop.</v>
      </c>
      <c r="C197" s="16" t="str">
        <f>IFERROR(__xludf.DUMMYFUNCTION("""COMPUTED_VALUE"""),"Item")</f>
        <v>Item</v>
      </c>
    </row>
    <row r="198">
      <c r="A198" s="16" t="str">
        <f>IFERROR(__xludf.DUMMYFUNCTION("""COMPUTED_VALUE"""),"Gold Brick")</f>
        <v>Gold Brick</v>
      </c>
      <c r="B198" s="16" t="str">
        <f>IFERROR(__xludf.DUMMYFUNCTION("""COMPUTED_VALUE"""),"Crafting Material, roll a d20 to see how many you get if this is a loot drop.")</f>
        <v>Crafting Material, roll a d20 to see how many you get if this is a loot drop.</v>
      </c>
      <c r="C198" s="16" t="str">
        <f>IFERROR(__xludf.DUMMYFUNCTION("""COMPUTED_VALUE"""),"Item")</f>
        <v>Item</v>
      </c>
    </row>
    <row r="199">
      <c r="A199" s="16" t="str">
        <f>IFERROR(__xludf.DUMMYFUNCTION("""COMPUTED_VALUE"""),"Arrow of Mutiplying ")</f>
        <v>Arrow of Mutiplying </v>
      </c>
      <c r="B199" s="16" t="str">
        <f>IFERROR(__xludf.DUMMYFUNCTION("""COMPUTED_VALUE"""),"Bow Ammunition. +1000 damage. +This arrow will summon X copies of itself which will also strike the target being attacked. X is equal to a d20 roll. roll a d20 to see how many you get if this is a loot drop.")</f>
        <v>Bow Ammunition. +1000 damage. +This arrow will summon X copies of itself which will also strike the target being attacked. X is equal to a d20 roll. roll a d20 to see how many you get if this is a loot drop.</v>
      </c>
      <c r="C199" s="16" t="str">
        <f>IFERROR(__xludf.DUMMYFUNCTION("""COMPUTED_VALUE"""),"Item")</f>
        <v>Item</v>
      </c>
    </row>
    <row r="200">
      <c r="A200" s="16" t="str">
        <f>IFERROR(__xludf.DUMMYFUNCTION("""COMPUTED_VALUE"""),"Water Gem")</f>
        <v>Water Gem</v>
      </c>
      <c r="B200" s="16" t="str">
        <f>IFERROR(__xludf.DUMMYFUNCTION("""COMPUTED_VALUE"""),"Crafting Material, roll a d20 to see how many you get if this is a loot drop.")</f>
        <v>Crafting Material, roll a d20 to see how many you get if this is a loot drop.</v>
      </c>
      <c r="C200" s="16" t="str">
        <f>IFERROR(__xludf.DUMMYFUNCTION("""COMPUTED_VALUE"""),"Item")</f>
        <v>Item</v>
      </c>
    </row>
    <row r="201">
      <c r="A201" s="16" t="str">
        <f>IFERROR(__xludf.DUMMYFUNCTION("""COMPUTED_VALUE"""),"Goose Meat")</f>
        <v>Goose Meat</v>
      </c>
      <c r="B201" s="16" t="str">
        <f>IFERROR(__xludf.DUMMYFUNCTION("""COMPUTED_VALUE"""),"-200 hunger to any character that is not owner by Hunter Gooseman. +500 Hunger to any character Hunter Owns.")</f>
        <v>-200 hunger to any character that is not owner by Hunter Gooseman. +500 Hunger to any character Hunter Owns.</v>
      </c>
      <c r="C201" s="16" t="str">
        <f>IFERROR(__xludf.DUMMYFUNCTION("""COMPUTED_VALUE"""),"Crop")</f>
        <v>Crop</v>
      </c>
    </row>
    <row r="202">
      <c r="A202" s="16" t="str">
        <f>IFERROR(__xludf.DUMMYFUNCTION("""COMPUTED_VALUE"""),"Mysterious Gem")</f>
        <v>Mysterious Gem</v>
      </c>
      <c r="B202" s="16" t="str">
        <f>IFERROR(__xludf.DUMMYFUNCTION("""COMPUTED_VALUE"""),"Crafting Material, roll a d20 to see how many you get if this is a loot drop.")</f>
        <v>Crafting Material, roll a d20 to see how many you get if this is a loot drop.</v>
      </c>
      <c r="C202" s="16" t="str">
        <f>IFERROR(__xludf.DUMMYFUNCTION("""COMPUTED_VALUE"""),"Item")</f>
        <v>Item</v>
      </c>
    </row>
    <row r="203">
      <c r="A203" s="16" t="str">
        <f>IFERROR(__xludf.DUMMYFUNCTION("""COMPUTED_VALUE"""),"Turtle Shell")</f>
        <v>Turtle Shell</v>
      </c>
      <c r="B203" s="16" t="str">
        <f>IFERROR(__xludf.DUMMYFUNCTION("""COMPUTED_VALUE"""),"Crafting Material, roll a d20 to see how many you get if this is a loot drop.")</f>
        <v>Crafting Material, roll a d20 to see how many you get if this is a loot drop.</v>
      </c>
      <c r="C203" s="16" t="str">
        <f>IFERROR(__xludf.DUMMYFUNCTION("""COMPUTED_VALUE"""),"Item")</f>
        <v>Item</v>
      </c>
    </row>
    <row r="204">
      <c r="A204" s="16" t="str">
        <f>IFERROR(__xludf.DUMMYFUNCTION("""COMPUTED_VALUE"""),"Pumpkin Diamond")</f>
        <v>Pumpkin Diamond</v>
      </c>
      <c r="B204" s="16" t="str">
        <f>IFERROR(__xludf.DUMMYFUNCTION("""COMPUTED_VALUE"""),"Crafting Material, roll a d20 to see how many you get if this is a loot drop.")</f>
        <v>Crafting Material, roll a d20 to see how many you get if this is a loot drop.</v>
      </c>
      <c r="C204" s="16" t="str">
        <f>IFERROR(__xludf.DUMMYFUNCTION("""COMPUTED_VALUE"""),"Item")</f>
        <v>Item</v>
      </c>
    </row>
    <row r="205">
      <c r="A205" s="16" t="str">
        <f>IFERROR(__xludf.DUMMYFUNCTION("""COMPUTED_VALUE"""),"Shadow Diamond")</f>
        <v>Shadow Diamond</v>
      </c>
      <c r="B205" s="16" t="str">
        <f>IFERROR(__xludf.DUMMYFUNCTION("""COMPUTED_VALUE"""),"Crafting Material, roll a d20 to see how many you get if this is a loot drop.")</f>
        <v>Crafting Material, roll a d20 to see how many you get if this is a loot drop.</v>
      </c>
      <c r="C205" s="16" t="str">
        <f>IFERROR(__xludf.DUMMYFUNCTION("""COMPUTED_VALUE"""),"Item")</f>
        <v>Item</v>
      </c>
    </row>
    <row r="206">
      <c r="A206" s="16" t="str">
        <f>IFERROR(__xludf.DUMMYFUNCTION("""COMPUTED_VALUE"""),"Rank 6 Earth tome")</f>
        <v>Rank 6 Earth tome</v>
      </c>
      <c r="B206" s="16" t="str">
        <f>IFERROR(__xludf.DUMMYFUNCTION("""COMPUTED_VALUE"""),"Allows use of up to Rank 6 Earth Powers")</f>
        <v>Allows use of up to Rank 6 Earth Powers</v>
      </c>
      <c r="C206" s="16" t="str">
        <f>IFERROR(__xludf.DUMMYFUNCTION("""COMPUTED_VALUE"""),"Item")</f>
        <v>Item</v>
      </c>
    </row>
    <row r="207">
      <c r="A207" s="16" t="str">
        <f>IFERROR(__xludf.DUMMYFUNCTION("""COMPUTED_VALUE"""),"Demon Claw")</f>
        <v>Demon Claw</v>
      </c>
      <c r="B207" s="16" t="str">
        <f>IFERROR(__xludf.DUMMYFUNCTION("""COMPUTED_VALUE"""),"Crafting Material, roll a d20 to see how many you get if this is a loot drop.")</f>
        <v>Crafting Material, roll a d20 to see how many you get if this is a loot drop.</v>
      </c>
      <c r="C207" s="16" t="str">
        <f>IFERROR(__xludf.DUMMYFUNCTION("""COMPUTED_VALUE"""),"Item")</f>
        <v>Item</v>
      </c>
    </row>
    <row r="208">
      <c r="A208" s="16" t="str">
        <f>IFERROR(__xludf.DUMMYFUNCTION("""COMPUTED_VALUE"""),"Golden Bug")</f>
        <v>Golden Bug</v>
      </c>
      <c r="B208" s="16" t="str">
        <f>IFERROR(__xludf.DUMMYFUNCTION("""COMPUTED_VALUE"""),"Crafting Material, roll a d20 to see how many you get if this is a loot drop.")</f>
        <v>Crafting Material, roll a d20 to see how many you get if this is a loot drop.</v>
      </c>
      <c r="C208" s="16" t="str">
        <f>IFERROR(__xludf.DUMMYFUNCTION("""COMPUTED_VALUE"""),"Item")</f>
        <v>Item</v>
      </c>
    </row>
    <row r="209">
      <c r="A209" s="16" t="str">
        <f>IFERROR(__xludf.DUMMYFUNCTION("""COMPUTED_VALUE"""),"Dragon Orb")</f>
        <v>Dragon Orb</v>
      </c>
      <c r="B209" s="16" t="str">
        <f>IFERROR(__xludf.DUMMYFUNCTION("""COMPUTED_VALUE"""),"Crafting Material, roll a d20 to see how many you get if this is a loot drop.")</f>
        <v>Crafting Material, roll a d20 to see how many you get if this is a loot drop.</v>
      </c>
      <c r="C209" s="16" t="str">
        <f>IFERROR(__xludf.DUMMYFUNCTION("""COMPUTED_VALUE"""),"Item")</f>
        <v>Item</v>
      </c>
    </row>
    <row r="210">
      <c r="A210" s="16" t="str">
        <f>IFERROR(__xludf.DUMMYFUNCTION("""COMPUTED_VALUE"""),"Water potion")</f>
        <v>Water potion</v>
      </c>
      <c r="B210" s="16" t="str">
        <f>IFERROR(__xludf.DUMMYFUNCTION("""COMPUTED_VALUE"""),"Gives water immunity for 1 round")</f>
        <v>Gives water immunity for 1 round</v>
      </c>
      <c r="C210" s="16" t="str">
        <f>IFERROR(__xludf.DUMMYFUNCTION("""COMPUTED_VALUE"""),"Item")</f>
        <v>Item</v>
      </c>
    </row>
    <row r="211">
      <c r="A211" s="16" t="str">
        <f>IFERROR(__xludf.DUMMYFUNCTION("""COMPUTED_VALUE"""),"Jellyfish Stinger")</f>
        <v>Jellyfish Stinger</v>
      </c>
      <c r="B211" s="16" t="str">
        <f>IFERROR(__xludf.DUMMYFUNCTION("""COMPUTED_VALUE"""),"Crafting Material, roll a d20 to see how many you get if this is a loot drop.")</f>
        <v>Crafting Material, roll a d20 to see how many you get if this is a loot drop.</v>
      </c>
      <c r="C211" s="16" t="str">
        <f>IFERROR(__xludf.DUMMYFUNCTION("""COMPUTED_VALUE"""),"Item")</f>
        <v>Item</v>
      </c>
    </row>
    <row r="212">
      <c r="A212" s="16" t="str">
        <f>IFERROR(__xludf.DUMMYFUNCTION("""COMPUTED_VALUE"""),"Bee Stinger ")</f>
        <v>Bee Stinger </v>
      </c>
      <c r="B212" s="16" t="str">
        <f>IFERROR(__xludf.DUMMYFUNCTION("""COMPUTED_VALUE"""),"Crafting Material, roll a d20 to see how many you get if this is a loot drop.")</f>
        <v>Crafting Material, roll a d20 to see how many you get if this is a loot drop.</v>
      </c>
      <c r="C212" s="16" t="str">
        <f>IFERROR(__xludf.DUMMYFUNCTION("""COMPUTED_VALUE"""),"Item")</f>
        <v>Item</v>
      </c>
    </row>
    <row r="213">
      <c r="A213" s="16" t="str">
        <f>IFERROR(__xludf.DUMMYFUNCTION("""COMPUTED_VALUE"""),"Squid Ink")</f>
        <v>Squid Ink</v>
      </c>
      <c r="B213" s="16" t="str">
        <f>IFERROR(__xludf.DUMMYFUNCTION("""COMPUTED_VALUE"""),"Crafting Material, roll a d20 to see how many you get if this is a loot drop.")</f>
        <v>Crafting Material, roll a d20 to see how many you get if this is a loot drop.</v>
      </c>
      <c r="C213" s="16" t="str">
        <f>IFERROR(__xludf.DUMMYFUNCTION("""COMPUTED_VALUE"""),"Item")</f>
        <v>Item</v>
      </c>
    </row>
    <row r="214">
      <c r="A214" s="16" t="str">
        <f>IFERROR(__xludf.DUMMYFUNCTION("""COMPUTED_VALUE"""),"Potion of Water Breathing")</f>
        <v>Potion of Water Breathing</v>
      </c>
      <c r="B214" s="16" t="str">
        <f>IFERROR(__xludf.DUMMYFUNCTION("""COMPUTED_VALUE"""),"Immune to water for for 3 rounds in battle or 3 days of travel.")</f>
        <v>Immune to water for for 3 rounds in battle or 3 days of travel.</v>
      </c>
      <c r="C214" s="16" t="str">
        <f>IFERROR(__xludf.DUMMYFUNCTION("""COMPUTED_VALUE"""),"Item")</f>
        <v>Item</v>
      </c>
    </row>
    <row r="215">
      <c r="A215" s="16" t="str">
        <f>IFERROR(__xludf.DUMMYFUNCTION("""COMPUTED_VALUE"""),"Shark Fin")</f>
        <v>Shark Fin</v>
      </c>
      <c r="B215" s="16" t="str">
        <f>IFERROR(__xludf.DUMMYFUNCTION("""COMPUTED_VALUE"""),"Restores 10 Hunger, +1 ATK until rest")</f>
        <v>Restores 10 Hunger, +1 ATK until rest</v>
      </c>
      <c r="C215" s="16" t="str">
        <f>IFERROR(__xludf.DUMMYFUNCTION("""COMPUTED_VALUE"""),"Crop")</f>
        <v>Crop</v>
      </c>
    </row>
    <row r="216">
      <c r="A216" s="16" t="str">
        <f>IFERROR(__xludf.DUMMYFUNCTION("""COMPUTED_VALUE"""),"Shark Teeth")</f>
        <v>Shark Teeth</v>
      </c>
      <c r="B216" s="16" t="str">
        <f>IFERROR(__xludf.DUMMYFUNCTION("""COMPUTED_VALUE"""),"100 = permanently increase Atk by 1")</f>
        <v>100 = permanently increase Atk by 1</v>
      </c>
      <c r="C216" s="16" t="str">
        <f>IFERROR(__xludf.DUMMYFUNCTION("""COMPUTED_VALUE"""),"Item")</f>
        <v>Item</v>
      </c>
    </row>
    <row r="217">
      <c r="A217" s="16" t="str">
        <f>IFERROR(__xludf.DUMMYFUNCTION("""COMPUTED_VALUE"""),"Fish")</f>
        <v>Fish</v>
      </c>
      <c r="B217" s="16" t="str">
        <f>IFERROR(__xludf.DUMMYFUNCTION("""COMPUTED_VALUE"""),"5 Hunger, +100 water Resist until rest")</f>
        <v>5 Hunger, +100 water Resist until rest</v>
      </c>
      <c r="C217" s="16" t="str">
        <f>IFERROR(__xludf.DUMMYFUNCTION("""COMPUTED_VALUE"""),"Crop")</f>
        <v>Crop</v>
      </c>
    </row>
    <row r="218">
      <c r="A218" s="16" t="str">
        <f>IFERROR(__xludf.DUMMYFUNCTION("""COMPUTED_VALUE"""),"Huge Teeth")</f>
        <v>Huge Teeth</v>
      </c>
      <c r="B218" s="16" t="str">
        <f>IFERROR(__xludf.DUMMYFUNCTION("""COMPUTED_VALUE"""),"Worth 1000G at a shop.")</f>
        <v>Worth 1000G at a shop.</v>
      </c>
      <c r="C218" s="16" t="str">
        <f>IFERROR(__xludf.DUMMYFUNCTION("""COMPUTED_VALUE"""),"Item")</f>
        <v>Item</v>
      </c>
    </row>
    <row r="219">
      <c r="A219" s="16" t="str">
        <f>IFERROR(__xludf.DUMMYFUNCTION("""COMPUTED_VALUE"""),"Enchanted Teeth")</f>
        <v>Enchanted Teeth</v>
      </c>
      <c r="B219" s="16" t="str">
        <f>IFERROR(__xludf.DUMMYFUNCTION("""COMPUTED_VALUE"""),"Worth 5000G at a shop.")</f>
        <v>Worth 5000G at a shop.</v>
      </c>
      <c r="C219" s="16" t="str">
        <f>IFERROR(__xludf.DUMMYFUNCTION("""COMPUTED_VALUE"""),"Item")</f>
        <v>Item</v>
      </c>
    </row>
    <row r="220">
      <c r="A220" s="16"/>
      <c r="B220" s="16"/>
      <c r="C220" s="16" t="str">
        <f>IFERROR(__xludf.DUMMYFUNCTION("""COMPUTED_VALUE"""),"Item")</f>
        <v>Item</v>
      </c>
    </row>
    <row r="221">
      <c r="A221" s="16" t="str">
        <f>IFERROR(__xludf.DUMMYFUNCTION("""COMPUTED_VALUE"""),"Sea Dinosaur Bones")</f>
        <v>Sea Dinosaur Bones</v>
      </c>
      <c r="B221" s="16" t="str">
        <f>IFERROR(__xludf.DUMMYFUNCTION("""COMPUTED_VALUE"""),"Crafting Material, roll a d20 to see how many you get if this is a loot drop.")</f>
        <v>Crafting Material, roll a d20 to see how many you get if this is a loot drop.</v>
      </c>
      <c r="C221" s="16" t="str">
        <f>IFERROR(__xludf.DUMMYFUNCTION("""COMPUTED_VALUE"""),"Item")</f>
        <v>Item</v>
      </c>
    </row>
    <row r="222">
      <c r="A222" s="16" t="str">
        <f>IFERROR(__xludf.DUMMYFUNCTION("""COMPUTED_VALUE"""),"Ancient Sea Dinosaur Egg")</f>
        <v>Ancient Sea Dinosaur Egg</v>
      </c>
      <c r="B222" s="16"/>
      <c r="C222" s="16" t="str">
        <f>IFERROR(__xludf.DUMMYFUNCTION("""COMPUTED_VALUE"""),"Item")</f>
        <v>Item</v>
      </c>
    </row>
    <row r="223">
      <c r="A223" s="16" t="str">
        <f>IFERROR(__xludf.DUMMYFUNCTION("""COMPUTED_VALUE"""),"Water Abyss Key")</f>
        <v>Water Abyss Key</v>
      </c>
      <c r="B223" s="16" t="str">
        <f>IFERROR(__xludf.DUMMYFUNCTION("""COMPUTED_VALUE"""),"Gain access to the Abyss Dungeon. Cannot be duplicated")</f>
        <v>Gain access to the Abyss Dungeon. Cannot be duplicated</v>
      </c>
      <c r="C223" s="16" t="str">
        <f>IFERROR(__xludf.DUMMYFUNCTION("""COMPUTED_VALUE"""),"Item")</f>
        <v>Item</v>
      </c>
    </row>
    <row r="224">
      <c r="A224" s="16" t="str">
        <f>IFERROR(__xludf.DUMMYFUNCTION("""COMPUTED_VALUE"""),"Fire Diamond")</f>
        <v>Fire Diamond</v>
      </c>
      <c r="B224" s="16" t="str">
        <f>IFERROR(__xludf.DUMMYFUNCTION("""COMPUTED_VALUE"""),"Crafting Material, roll a d20 to see how many you get if this is a loot drop.")</f>
        <v>Crafting Material, roll a d20 to see how many you get if this is a loot drop.</v>
      </c>
      <c r="C224" s="16" t="str">
        <f>IFERROR(__xludf.DUMMYFUNCTION("""COMPUTED_VALUE"""),"Item")</f>
        <v>Item</v>
      </c>
    </row>
    <row r="225">
      <c r="A225" s="16" t="str">
        <f>IFERROR(__xludf.DUMMYFUNCTION("""COMPUTED_VALUE"""),"Giant Fire Diamond")</f>
        <v>Giant Fire Diamond</v>
      </c>
      <c r="B225" s="16" t="str">
        <f>IFERROR(__xludf.DUMMYFUNCTION("""COMPUTED_VALUE"""),"Crafting Material, roll a d20 to see how many you get if this is a loot drop.")</f>
        <v>Crafting Material, roll a d20 to see how many you get if this is a loot drop.</v>
      </c>
      <c r="C225" s="16" t="str">
        <f>IFERROR(__xludf.DUMMYFUNCTION("""COMPUTED_VALUE"""),"Item")</f>
        <v>Item</v>
      </c>
    </row>
    <row r="226">
      <c r="A226" s="16" t="str">
        <f>IFERROR(__xludf.DUMMYFUNCTION("""COMPUTED_VALUE"""),"Heatmore Flame Golem Soul")</f>
        <v>Heatmore Flame Golem Soul</v>
      </c>
      <c r="B226" s="16"/>
      <c r="C226" s="16" t="str">
        <f>IFERROR(__xludf.DUMMYFUNCTION("""COMPUTED_VALUE"""),"Item")</f>
        <v>Item</v>
      </c>
    </row>
    <row r="227">
      <c r="A227" s="16" t="str">
        <f>IFERROR(__xludf.DUMMYFUNCTION("""COMPUTED_VALUE"""),"Flaming Feathers")</f>
        <v>Flaming Feathers</v>
      </c>
      <c r="B227" s="16" t="str">
        <f>IFERROR(__xludf.DUMMYFUNCTION("""COMPUTED_VALUE"""),"Crafting Material, roll a d20 to see how many you get if this is a loot drop.")</f>
        <v>Crafting Material, roll a d20 to see how many you get if this is a loot drop.</v>
      </c>
      <c r="C227" s="16" t="str">
        <f>IFERROR(__xludf.DUMMYFUNCTION("""COMPUTED_VALUE"""),"Item")</f>
        <v>Item</v>
      </c>
    </row>
    <row r="228">
      <c r="A228" s="16" t="str">
        <f>IFERROR(__xludf.DUMMYFUNCTION("""COMPUTED_VALUE"""),"Flaming Horns")</f>
        <v>Flaming Horns</v>
      </c>
      <c r="B228" s="16" t="str">
        <f>IFERROR(__xludf.DUMMYFUNCTION("""COMPUTED_VALUE"""),"Crafting Material, roll a d20 to see how many you get if this is a loot drop.")</f>
        <v>Crafting Material, roll a d20 to see how many you get if this is a loot drop.</v>
      </c>
      <c r="C228" s="16" t="str">
        <f>IFERROR(__xludf.DUMMYFUNCTION("""COMPUTED_VALUE"""),"Item")</f>
        <v>Item</v>
      </c>
    </row>
    <row r="229">
      <c r="A229" s="16" t="str">
        <f>IFERROR(__xludf.DUMMYFUNCTION("""COMPUTED_VALUE"""),"Cooked Yak Meat")</f>
        <v>Cooked Yak Meat</v>
      </c>
      <c r="B229" s="16" t="str">
        <f>IFERROR(__xludf.DUMMYFUNCTION("""COMPUTED_VALUE"""),"Restores 10 hunger and energy")</f>
        <v>Restores 10 hunger and energy</v>
      </c>
      <c r="C229" s="16" t="str">
        <f>IFERROR(__xludf.DUMMYFUNCTION("""COMPUTED_VALUE"""),"Crop")</f>
        <v>Crop</v>
      </c>
    </row>
    <row r="230">
      <c r="A230" s="16" t="str">
        <f>IFERROR(__xludf.DUMMYFUNCTION("""COMPUTED_VALUE"""),"Leaf Of The Ancient Tree Of Flames")</f>
        <v>Leaf Of The Ancient Tree Of Flames</v>
      </c>
      <c r="B230" s="16" t="str">
        <f>IFERROR(__xludf.DUMMYFUNCTION("""COMPUTED_VALUE"""),"Gain 1 free fire power of choosing. (Can only be obtained once per player)")</f>
        <v>Gain 1 free fire power of choosing. (Can only be obtained once per player)</v>
      </c>
      <c r="C230" s="16" t="str">
        <f>IFERROR(__xludf.DUMMYFUNCTION("""COMPUTED_VALUE"""),"Item")</f>
        <v>Item</v>
      </c>
    </row>
    <row r="231">
      <c r="A231" s="16" t="str">
        <f>IFERROR(__xludf.DUMMYFUNCTION("""COMPUTED_VALUE"""),"Ancient Volcanic Worm Egg")</f>
        <v>Ancient Volcanic Worm Egg</v>
      </c>
      <c r="B231" s="16"/>
      <c r="C231" s="16" t="str">
        <f>IFERROR(__xludf.DUMMYFUNCTION("""COMPUTED_VALUE"""),"Item")</f>
        <v>Item</v>
      </c>
    </row>
    <row r="232">
      <c r="A232" s="16" t="str">
        <f>IFERROR(__xludf.DUMMYFUNCTION("""COMPUTED_VALUE"""),"Ancient Volcanic Worm Core")</f>
        <v>Ancient Volcanic Worm Core</v>
      </c>
      <c r="B232" s="16" t="str">
        <f>IFERROR(__xludf.DUMMYFUNCTION("""COMPUTED_VALUE"""),"Consume to gain permanent 2000 fire resistance. (Can only obtain 1 per player)")</f>
        <v>Consume to gain permanent 2000 fire resistance. (Can only obtain 1 per player)</v>
      </c>
      <c r="C232" s="16" t="str">
        <f>IFERROR(__xludf.DUMMYFUNCTION("""COMPUTED_VALUE"""),"Item")</f>
        <v>Item</v>
      </c>
    </row>
    <row r="233">
      <c r="A233" s="16" t="str">
        <f>IFERROR(__xludf.DUMMYFUNCTION("""COMPUTED_VALUE"""),"Lava Tiger Skin")</f>
        <v>Lava Tiger Skin</v>
      </c>
      <c r="B233" s="16" t="str">
        <f>IFERROR(__xludf.DUMMYFUNCTION("""COMPUTED_VALUE"""),"Crafting Material, roll a d20 to see how many you get if this is a loot drop.")</f>
        <v>Crafting Material, roll a d20 to see how many you get if this is a loot drop.</v>
      </c>
      <c r="C233" s="16" t="str">
        <f>IFERROR(__xludf.DUMMYFUNCTION("""COMPUTED_VALUE"""),"Item")</f>
        <v>Item</v>
      </c>
    </row>
    <row r="234">
      <c r="A234" s="16" t="str">
        <f>IFERROR(__xludf.DUMMYFUNCTION("""COMPUTED_VALUE"""),"Cooked Tiger Meat")</f>
        <v>Cooked Tiger Meat</v>
      </c>
      <c r="B234" s="16" t="str">
        <f>IFERROR(__xludf.DUMMYFUNCTION("""COMPUTED_VALUE"""),"restores 20 hunger and energy")</f>
        <v>restores 20 hunger and energy</v>
      </c>
      <c r="C234" s="16" t="str">
        <f>IFERROR(__xludf.DUMMYFUNCTION("""COMPUTED_VALUE"""),"Crop")</f>
        <v>Crop</v>
      </c>
    </row>
    <row r="235">
      <c r="A235" s="16" t="str">
        <f>IFERROR(__xludf.DUMMYFUNCTION("""COMPUTED_VALUE"""),"Liches Eye")</f>
        <v>Liches Eye</v>
      </c>
      <c r="B235" s="16" t="str">
        <f>IFERROR(__xludf.DUMMYFUNCTION("""COMPUTED_VALUE"""),"Consumable, 100= permanent +5 to accuracy")</f>
        <v>Consumable, 100= permanent +5 to accuracy</v>
      </c>
      <c r="C235" s="16" t="str">
        <f>IFERROR(__xludf.DUMMYFUNCTION("""COMPUTED_VALUE"""),"Item")</f>
        <v>Item</v>
      </c>
    </row>
    <row r="236">
      <c r="A236" s="16" t="str">
        <f>IFERROR(__xludf.DUMMYFUNCTION("""COMPUTED_VALUE"""),"Rank 9 Fire Tome")</f>
        <v>Rank 9 Fire Tome</v>
      </c>
      <c r="B236" s="16" t="str">
        <f>IFERROR(__xludf.DUMMYFUNCTION("""COMPUTED_VALUE"""),"Can only obtain 1 per player")</f>
        <v>Can only obtain 1 per player</v>
      </c>
      <c r="C236" s="16" t="str">
        <f>IFERROR(__xludf.DUMMYFUNCTION("""COMPUTED_VALUE"""),"Item")</f>
        <v>Item</v>
      </c>
    </row>
    <row r="237">
      <c r="A237" s="16" t="str">
        <f>IFERROR(__xludf.DUMMYFUNCTION("""COMPUTED_VALUE"""),"Ancient Fire Serpent Egg")</f>
        <v>Ancient Fire Serpent Egg</v>
      </c>
      <c r="B237" s="16"/>
      <c r="C237" s="16" t="str">
        <f>IFERROR(__xludf.DUMMYFUNCTION("""COMPUTED_VALUE"""),"Item")</f>
        <v>Item</v>
      </c>
    </row>
    <row r="238">
      <c r="A238" s="16" t="str">
        <f>IFERROR(__xludf.DUMMYFUNCTION("""COMPUTED_VALUE"""),"Demons Eye")</f>
        <v>Demons Eye</v>
      </c>
      <c r="B238" s="16" t="str">
        <f>IFERROR(__xludf.DUMMYFUNCTION("""COMPUTED_VALUE"""),"Crafting Material, roll a d20 to see how many you get if this is a loot drop.")</f>
        <v>Crafting Material, roll a d20 to see how many you get if this is a loot drop.</v>
      </c>
      <c r="C238" s="16" t="str">
        <f>IFERROR(__xludf.DUMMYFUNCTION("""COMPUTED_VALUE"""),"Item")</f>
        <v>Item</v>
      </c>
    </row>
    <row r="239">
      <c r="A239" s="16" t="str">
        <f>IFERROR(__xludf.DUMMYFUNCTION("""COMPUTED_VALUE"""),"Demon Core")</f>
        <v>Demon Core</v>
      </c>
      <c r="B239" s="16" t="str">
        <f>IFERROR(__xludf.DUMMYFUNCTION("""COMPUTED_VALUE"""),"Consumable, 1 free chaos power of choice. (Can only obtain 1 per player)")</f>
        <v>Consumable, 1 free chaos power of choice. (Can only obtain 1 per player)</v>
      </c>
      <c r="C239" s="16" t="str">
        <f>IFERROR(__xludf.DUMMYFUNCTION("""COMPUTED_VALUE"""),"Item")</f>
        <v>Item</v>
      </c>
    </row>
    <row r="240">
      <c r="A240" s="16" t="str">
        <f>IFERROR(__xludf.DUMMYFUNCTION("""COMPUTED_VALUE"""),"Sentinel Core")</f>
        <v>Sentinel Core</v>
      </c>
      <c r="B240" s="16" t="str">
        <f>IFERROR(__xludf.DUMMYFUNCTION("""COMPUTED_VALUE"""),"Summon an Ancient Fire Sentinel to battle, Level determined by DM/GM. Can only be used once.")</f>
        <v>Summon an Ancient Fire Sentinel to battle, Level determined by DM/GM. Can only be used once.</v>
      </c>
      <c r="C240" s="16" t="str">
        <f>IFERROR(__xludf.DUMMYFUNCTION("""COMPUTED_VALUE"""),"Item")</f>
        <v>Item</v>
      </c>
    </row>
    <row r="241">
      <c r="A241" s="16" t="str">
        <f>IFERROR(__xludf.DUMMYFUNCTION("""COMPUTED_VALUE"""),"Fire Gem")</f>
        <v>Fire Gem</v>
      </c>
      <c r="B241" s="16" t="str">
        <f>IFERROR(__xludf.DUMMYFUNCTION("""COMPUTED_VALUE"""),"Crafting Material, roll a d20 to see how many you get if this is a loot drop.")</f>
        <v>Crafting Material, roll a d20 to see how many you get if this is a loot drop.</v>
      </c>
      <c r="C241" s="16" t="str">
        <f>IFERROR(__xludf.DUMMYFUNCTION("""COMPUTED_VALUE"""),"Item")</f>
        <v>Item</v>
      </c>
    </row>
    <row r="242">
      <c r="A242" s="16" t="str">
        <f>IFERROR(__xludf.DUMMYFUNCTION("""COMPUTED_VALUE"""),"Aquatic Diamond")</f>
        <v>Aquatic Diamond</v>
      </c>
      <c r="B242" s="16" t="str">
        <f>IFERROR(__xludf.DUMMYFUNCTION("""COMPUTED_VALUE"""),"Crafting Material, roll a d20 to see how many you get if this is a loot drop.")</f>
        <v>Crafting Material, roll a d20 to see how many you get if this is a loot drop.</v>
      </c>
      <c r="C242" s="16" t="str">
        <f>IFERROR(__xludf.DUMMYFUNCTION("""COMPUTED_VALUE"""),"Item")</f>
        <v>Item</v>
      </c>
    </row>
    <row r="243">
      <c r="A243" s="16" t="str">
        <f>IFERROR(__xludf.DUMMYFUNCTION("""COMPUTED_VALUE"""),"Corrupted Twilight Knight Soul")</f>
        <v>Corrupted Twilight Knight Soul</v>
      </c>
      <c r="B243" s="16"/>
      <c r="C243" s="16" t="str">
        <f>IFERROR(__xludf.DUMMYFUNCTION("""COMPUTED_VALUE"""),"Item")</f>
        <v>Item</v>
      </c>
    </row>
    <row r="244">
      <c r="A244" s="16" t="str">
        <f>IFERROR(__xludf.DUMMYFUNCTION("""COMPUTED_VALUE"""),"Hay")</f>
        <v>Hay</v>
      </c>
      <c r="B244" s="16" t="str">
        <f>IFERROR(__xludf.DUMMYFUNCTION("""COMPUTED_VALUE"""),"Restores 5 hunger.")</f>
        <v>Restores 5 hunger.</v>
      </c>
      <c r="C244" s="16" t="str">
        <f>IFERROR(__xludf.DUMMYFUNCTION("""COMPUTED_VALUE"""),"Crop")</f>
        <v>Crop</v>
      </c>
    </row>
    <row r="245">
      <c r="A245" s="16" t="str">
        <f>IFERROR(__xludf.DUMMYFUNCTION("""COMPUTED_VALUE"""),"Shadow Suit of armor Soul")</f>
        <v>Shadow Suit of armor Soul</v>
      </c>
      <c r="B245" s="16"/>
      <c r="C245" s="16" t="str">
        <f>IFERROR(__xludf.DUMMYFUNCTION("""COMPUTED_VALUE"""),"Item")</f>
        <v>Item</v>
      </c>
    </row>
    <row r="246">
      <c r="A246" s="16" t="str">
        <f>IFERROR(__xludf.DUMMYFUNCTION("""COMPUTED_VALUE"""),"Mana Potion")</f>
        <v>Mana Potion</v>
      </c>
      <c r="B246" s="16" t="str">
        <f>IFERROR(__xludf.DUMMYFUNCTION("""COMPUTED_VALUE"""),"Regain 10 SP")</f>
        <v>Regain 10 SP</v>
      </c>
      <c r="C246" s="16" t="str">
        <f>IFERROR(__xludf.DUMMYFUNCTION("""COMPUTED_VALUE"""),"Item")</f>
        <v>Item</v>
      </c>
    </row>
    <row r="247">
      <c r="A247" s="16" t="str">
        <f>IFERROR(__xludf.DUMMYFUNCTION("""COMPUTED_VALUE"""),"Werewolf Pelt")</f>
        <v>Werewolf Pelt</v>
      </c>
      <c r="B247" s="16" t="str">
        <f>IFERROR(__xludf.DUMMYFUNCTION("""COMPUTED_VALUE"""),"Crafting Material, roll a d20 to see how many you get if this is a loot drop.")</f>
        <v>Crafting Material, roll a d20 to see how many you get if this is a loot drop.</v>
      </c>
      <c r="C247" s="16" t="str">
        <f>IFERROR(__xludf.DUMMYFUNCTION("""COMPUTED_VALUE"""),"Item")</f>
        <v>Item</v>
      </c>
    </row>
    <row r="248">
      <c r="A248" s="16" t="str">
        <f>IFERROR(__xludf.DUMMYFUNCTION("""COMPUTED_VALUE"""),"Halloween Emerald")</f>
        <v>Halloween Emerald</v>
      </c>
      <c r="B248" s="16" t="str">
        <f>IFERROR(__xludf.DUMMYFUNCTION("""COMPUTED_VALUE"""),"Crafting Material, roll a d20 to see how many you get if this is a loot drop.")</f>
        <v>Crafting Material, roll a d20 to see how many you get if this is a loot drop.</v>
      </c>
      <c r="C248" s="16" t="str">
        <f>IFERROR(__xludf.DUMMYFUNCTION("""COMPUTED_VALUE"""),"Item")</f>
        <v>Item</v>
      </c>
    </row>
    <row r="249">
      <c r="A249" s="16" t="str">
        <f>IFERROR(__xludf.DUMMYFUNCTION("""COMPUTED_VALUE"""),"Giant Halloween Diamond")</f>
        <v>Giant Halloween Diamond</v>
      </c>
      <c r="B249" s="16" t="str">
        <f>IFERROR(__xludf.DUMMYFUNCTION("""COMPUTED_VALUE"""),"Crafting Material, roll a d20 to see how many you get if this is a loot drop.")</f>
        <v>Crafting Material, roll a d20 to see how many you get if this is a loot drop.</v>
      </c>
      <c r="C249" s="16" t="str">
        <f>IFERROR(__xludf.DUMMYFUNCTION("""COMPUTED_VALUE"""),"Item")</f>
        <v>Item</v>
      </c>
    </row>
    <row r="250">
      <c r="A250" s="16" t="str">
        <f>IFERROR(__xludf.DUMMYFUNCTION("""COMPUTED_VALUE"""),"Rank 9 Twilight Tome")</f>
        <v>Rank 9 Twilight Tome</v>
      </c>
      <c r="B250" s="16" t="str">
        <f>IFERROR(__xludf.DUMMYFUNCTION("""COMPUTED_VALUE"""),"Allows use of up to Rank 9 Twilight Powers")</f>
        <v>Allows use of up to Rank 9 Twilight Powers</v>
      </c>
      <c r="C250" s="16" t="str">
        <f>IFERROR(__xludf.DUMMYFUNCTION("""COMPUTED_VALUE"""),"Item")</f>
        <v>Item</v>
      </c>
    </row>
    <row r="251">
      <c r="A251" s="16" t="str">
        <f>IFERROR(__xludf.DUMMYFUNCTION("""COMPUTED_VALUE"""),"Stasis Tome Rank 9")</f>
        <v>Stasis Tome Rank 9</v>
      </c>
      <c r="B251" s="16" t="str">
        <f>IFERROR(__xludf.DUMMYFUNCTION("""COMPUTED_VALUE"""),"Allows use of up to Rank 9 Stasis Powers")</f>
        <v>Allows use of up to Rank 9 Stasis Powers</v>
      </c>
      <c r="C251" s="16" t="str">
        <f>IFERROR(__xludf.DUMMYFUNCTION("""COMPUTED_VALUE"""),"Item")</f>
        <v>Item</v>
      </c>
    </row>
    <row r="252">
      <c r="A252" s="16" t="str">
        <f>IFERROR(__xludf.DUMMYFUNCTION("""COMPUTED_VALUE"""),"Celestial Core")</f>
        <v>Celestial Core</v>
      </c>
      <c r="B252" s="16" t="str">
        <f>IFERROR(__xludf.DUMMYFUNCTION("""COMPUTED_VALUE"""),"Crafting Material, roll a d20 to see how many you get if this is a loot drop.")</f>
        <v>Crafting Material, roll a d20 to see how many you get if this is a loot drop.</v>
      </c>
      <c r="C252" s="16" t="str">
        <f>IFERROR(__xludf.DUMMYFUNCTION("""COMPUTED_VALUE"""),"Item")</f>
        <v>Item</v>
      </c>
    </row>
    <row r="253">
      <c r="A253" s="16" t="str">
        <f>IFERROR(__xludf.DUMMYFUNCTION("""COMPUTED_VALUE"""),"Vampires Tooth")</f>
        <v>Vampires Tooth</v>
      </c>
      <c r="B253" s="16" t="str">
        <f>IFERROR(__xludf.DUMMYFUNCTION("""COMPUTED_VALUE"""),"Crafting Material, roll a d20 to see how many you get if this is a loot drop.")</f>
        <v>Crafting Material, roll a d20 to see how many you get if this is a loot drop.</v>
      </c>
      <c r="C253" s="16" t="str">
        <f>IFERROR(__xludf.DUMMYFUNCTION("""COMPUTED_VALUE"""),"Item")</f>
        <v>Item</v>
      </c>
    </row>
    <row r="254">
      <c r="A254" s="16" t="str">
        <f>IFERROR(__xludf.DUMMYFUNCTION("""COMPUTED_VALUE"""),"Cursed Statue Of Knowing")</f>
        <v>Cursed Statue Of Knowing</v>
      </c>
      <c r="B254" s="16" t="str">
        <f>IFERROR(__xludf.DUMMYFUNCTION("""COMPUTED_VALUE"""),"Quest item.")</f>
        <v>Quest item.</v>
      </c>
      <c r="C254" s="16" t="str">
        <f>IFERROR(__xludf.DUMMYFUNCTION("""COMPUTED_VALUE"""),"Item")</f>
        <v>Item</v>
      </c>
    </row>
    <row r="255">
      <c r="A255" s="16" t="str">
        <f>IFERROR(__xludf.DUMMYFUNCTION("""COMPUTED_VALUE"""),"Orb Of Shadows")</f>
        <v>Orb Of Shadows</v>
      </c>
      <c r="B255" s="16" t="str">
        <f>IFERROR(__xludf.DUMMYFUNCTION("""COMPUTED_VALUE"""),"Quest item.")</f>
        <v>Quest item.</v>
      </c>
      <c r="C255" s="16" t="str">
        <f>IFERROR(__xludf.DUMMYFUNCTION("""COMPUTED_VALUE"""),"Item")</f>
        <v>Item</v>
      </c>
    </row>
    <row r="256">
      <c r="A256" s="16" t="str">
        <f>IFERROR(__xludf.DUMMYFUNCTION("""COMPUTED_VALUE"""),"Blessed Torch")</f>
        <v>Blessed Torch</v>
      </c>
      <c r="B256" s="16" t="str">
        <f>IFERROR(__xludf.DUMMYFUNCTION("""COMPUTED_VALUE"""),"Lights a bonfire. (guaranteed drop)")</f>
        <v>Lights a bonfire. (guaranteed drop)</v>
      </c>
      <c r="C256" s="16" t="str">
        <f>IFERROR(__xludf.DUMMYFUNCTION("""COMPUTED_VALUE"""),"Item")</f>
        <v>Item</v>
      </c>
    </row>
    <row r="257">
      <c r="A257" s="16" t="str">
        <f>IFERROR(__xludf.DUMMYFUNCTION("""COMPUTED_VALUE"""),"Pebble of Fertility")</f>
        <v>Pebble of Fertility</v>
      </c>
      <c r="B257" s="16" t="str">
        <f>IFERROR(__xludf.DUMMYFUNCTION("""COMPUTED_VALUE"""),"double the loot when consumed before battle.")</f>
        <v>double the loot when consumed before battle.</v>
      </c>
      <c r="C257" s="16" t="str">
        <f>IFERROR(__xludf.DUMMYFUNCTION("""COMPUTED_VALUE"""),"Item")</f>
        <v>Item</v>
      </c>
    </row>
    <row r="258">
      <c r="A258" s="16" t="str">
        <f>IFERROR(__xludf.DUMMYFUNCTION("""COMPUTED_VALUE"""),"Forest Faery Egg")</f>
        <v>Forest Faery Egg</v>
      </c>
      <c r="B258" s="16" t="str">
        <f>IFERROR(__xludf.DUMMYFUNCTION("""COMPUTED_VALUE"""),"Gives a Faery companion (60) (must be in a forest for the egg to hatch)")</f>
        <v>Gives a Faery companion (60) (must be in a forest for the egg to hatch)</v>
      </c>
      <c r="C258" s="16" t="str">
        <f>IFERROR(__xludf.DUMMYFUNCTION("""COMPUTED_VALUE"""),"Item")</f>
        <v>Item</v>
      </c>
    </row>
    <row r="259">
      <c r="A259" s="16" t="str">
        <f>IFERROR(__xludf.DUMMYFUNCTION("""COMPUTED_VALUE"""),"Pandan flower")</f>
        <v>Pandan flower</v>
      </c>
      <c r="B259" s="16" t="str">
        <f>IFERROR(__xludf.DUMMYFUNCTION("""COMPUTED_VALUE"""),"Cures 1 curse")</f>
        <v>Cures 1 curse</v>
      </c>
      <c r="C259" s="16" t="str">
        <f>IFERROR(__xludf.DUMMYFUNCTION("""COMPUTED_VALUE"""),"Item")</f>
        <v>Item</v>
      </c>
    </row>
    <row r="260">
      <c r="A260" s="16" t="str">
        <f>IFERROR(__xludf.DUMMYFUNCTION("""COMPUTED_VALUE"""),"Rank 5 Earth Tome")</f>
        <v>Rank 5 Earth Tome</v>
      </c>
      <c r="B260" s="16" t="str">
        <f>IFERROR(__xludf.DUMMYFUNCTION("""COMPUTED_VALUE"""),"Allows use of up to Rank 5 Earth Powers")</f>
        <v>Allows use of up to Rank 5 Earth Powers</v>
      </c>
      <c r="C260" s="16" t="str">
        <f>IFERROR(__xludf.DUMMYFUNCTION("""COMPUTED_VALUE"""),"Item")</f>
        <v>Item</v>
      </c>
    </row>
    <row r="261">
      <c r="A261" s="16" t="str">
        <f>IFERROR(__xludf.DUMMYFUNCTION("""COMPUTED_VALUE"""),"Earth Gem")</f>
        <v>Earth Gem</v>
      </c>
      <c r="B261" s="16" t="str">
        <f>IFERROR(__xludf.DUMMYFUNCTION("""COMPUTED_VALUE"""),"Crafting Material, roll a d20 to see how many you get if this is a loot drop.")</f>
        <v>Crafting Material, roll a d20 to see how many you get if this is a loot drop.</v>
      </c>
      <c r="C261" s="16" t="str">
        <f>IFERROR(__xludf.DUMMYFUNCTION("""COMPUTED_VALUE"""),"Item")</f>
        <v>Item</v>
      </c>
    </row>
    <row r="262">
      <c r="A262" s="16" t="str">
        <f>IFERROR(__xludf.DUMMYFUNCTION("""COMPUTED_VALUE"""),"Key Of Knowledge")</f>
        <v>Key Of Knowledge</v>
      </c>
      <c r="B262" s="16" t="str">
        <f>IFERROR(__xludf.DUMMYFUNCTION("""COMPUTED_VALUE"""),"grants access to the room of knowledge")</f>
        <v>grants access to the room of knowledge</v>
      </c>
      <c r="C262" s="16" t="str">
        <f>IFERROR(__xludf.DUMMYFUNCTION("""COMPUTED_VALUE"""),"Item")</f>
        <v>Item</v>
      </c>
    </row>
    <row r="263">
      <c r="A263" s="16" t="str">
        <f>IFERROR(__xludf.DUMMYFUNCTION("""COMPUTED_VALUE"""),"Medallion 1")</f>
        <v>Medallion 1</v>
      </c>
      <c r="B263" s="16" t="str">
        <f>IFERROR(__xludf.DUMMYFUNCTION("""COMPUTED_VALUE"""),"Grants access to the Ruins of Mana.")</f>
        <v>Grants access to the Ruins of Mana.</v>
      </c>
      <c r="C263" s="16" t="str">
        <f>IFERROR(__xludf.DUMMYFUNCTION("""COMPUTED_VALUE"""),"Item")</f>
        <v>Item</v>
      </c>
    </row>
    <row r="264">
      <c r="A264" s="16" t="str">
        <f>IFERROR(__xludf.DUMMYFUNCTION("""COMPUTED_VALUE"""),"Medallion 2")</f>
        <v>Medallion 2</v>
      </c>
      <c r="B264" s="16" t="str">
        <f>IFERROR(__xludf.DUMMYFUNCTION("""COMPUTED_VALUE"""),"Grants access to the Ruins of Mana.")</f>
        <v>Grants access to the Ruins of Mana.</v>
      </c>
      <c r="C264" s="16" t="str">
        <f>IFERROR(__xludf.DUMMYFUNCTION("""COMPUTED_VALUE"""),"Item")</f>
        <v>Item</v>
      </c>
    </row>
    <row r="265">
      <c r="A265" s="16" t="str">
        <f>IFERROR(__xludf.DUMMYFUNCTION("""COMPUTED_VALUE"""),"Medallion 3")</f>
        <v>Medallion 3</v>
      </c>
      <c r="B265" s="16" t="str">
        <f>IFERROR(__xludf.DUMMYFUNCTION("""COMPUTED_VALUE"""),"Grants access to the Ruins of Mana.")</f>
        <v>Grants access to the Ruins of Mana.</v>
      </c>
      <c r="C265" s="16" t="str">
        <f>IFERROR(__xludf.DUMMYFUNCTION("""COMPUTED_VALUE"""),"Item")</f>
        <v>Item</v>
      </c>
    </row>
    <row r="266">
      <c r="A266" s="16" t="str">
        <f>IFERROR(__xludf.DUMMYFUNCTION("""COMPUTED_VALUE"""),"Medallion 4")</f>
        <v>Medallion 4</v>
      </c>
      <c r="B266" s="16" t="str">
        <f>IFERROR(__xludf.DUMMYFUNCTION("""COMPUTED_VALUE"""),"Grants access to the Ruins of Mana.")</f>
        <v>Grants access to the Ruins of Mana.</v>
      </c>
      <c r="C266" s="16" t="str">
        <f>IFERROR(__xludf.DUMMYFUNCTION("""COMPUTED_VALUE"""),"Item")</f>
        <v>Item</v>
      </c>
    </row>
    <row r="267">
      <c r="A267" s="16" t="str">
        <f>IFERROR(__xludf.DUMMYFUNCTION("""COMPUTED_VALUE"""),"Enchanted Ice Gem")</f>
        <v>Enchanted Ice Gem</v>
      </c>
      <c r="B267" s="16" t="str">
        <f>IFERROR(__xludf.DUMMYFUNCTION("""COMPUTED_VALUE"""),"Crafting Material, roll a d20 to see how many you get if this is a loot drop., can be forged into an weapon to give it +5%  chance of freezing 1 target. can forge multiple of these gems together to increase the percentage to a max of 100%")</f>
        <v>Crafting Material, roll a d20 to see how many you get if this is a loot drop., can be forged into an weapon to give it +5%  chance of freezing 1 target. can forge multiple of these gems together to increase the percentage to a max of 100%</v>
      </c>
      <c r="C267" s="16" t="str">
        <f>IFERROR(__xludf.DUMMYFUNCTION("""COMPUTED_VALUE"""),"Item")</f>
        <v>Item</v>
      </c>
    </row>
    <row r="268">
      <c r="A268" s="16" t="str">
        <f>IFERROR(__xludf.DUMMYFUNCTION("""COMPUTED_VALUE"""),"Carnelian Crystal")</f>
        <v>Carnelian Crystal</v>
      </c>
      <c r="B268" s="16" t="str">
        <f>IFERROR(__xludf.DUMMYFUNCTION("""COMPUTED_VALUE"""),"Can be forged into armor, one crystal max inside forged equipment. +2 Mobility  ")</f>
        <v>Can be forged into armor, one crystal max inside forged equipment. +2 Mobility  </v>
      </c>
      <c r="C268" s="16" t="str">
        <f>IFERROR(__xludf.DUMMYFUNCTION("""COMPUTED_VALUE"""),"Item")</f>
        <v>Item</v>
      </c>
    </row>
    <row r="269">
      <c r="A269" s="16" t="str">
        <f>IFERROR(__xludf.DUMMYFUNCTION("""COMPUTED_VALUE"""),"Citrine Crystal")</f>
        <v>Citrine Crystal</v>
      </c>
      <c r="B269" s="16" t="str">
        <f>IFERROR(__xludf.DUMMYFUNCTION("""COMPUTED_VALUE"""),"Can be forged into armor, one crystal max inside forged equipment. 25% chance to move up one spot in the turn order this effect is unnaffected by other forged items/effects.")</f>
        <v>Can be forged into armor, one crystal max inside forged equipment. 25% chance to move up one spot in the turn order this effect is unnaffected by other forged items/effects.</v>
      </c>
      <c r="C269" s="16" t="str">
        <f>IFERROR(__xludf.DUMMYFUNCTION("""COMPUTED_VALUE"""),"Item")</f>
        <v>Item</v>
      </c>
    </row>
    <row r="270">
      <c r="A270" s="16" t="str">
        <f>IFERROR(__xludf.DUMMYFUNCTION("""COMPUTED_VALUE"""),"Tiger's Eye Crystal")</f>
        <v>Tiger's Eye Crystal</v>
      </c>
      <c r="B270" s="16" t="str">
        <f>IFERROR(__xludf.DUMMYFUNCTION("""COMPUTED_VALUE"""),"Can be forged into a weapon, one crystal max inside forged equipment. 25% chance to dodge an attack, this effect is unnaffected by other forged items/effects.")</f>
        <v>Can be forged into a weapon, one crystal max inside forged equipment. 25% chance to dodge an attack, this effect is unnaffected by other forged items/effects.</v>
      </c>
      <c r="C270" s="16" t="str">
        <f>IFERROR(__xludf.DUMMYFUNCTION("""COMPUTED_VALUE"""),"Item")</f>
        <v>Item</v>
      </c>
    </row>
    <row r="271">
      <c r="A271" s="16" t="str">
        <f>IFERROR(__xludf.DUMMYFUNCTION("""COMPUTED_VALUE"""),"Lodestone Crystal")</f>
        <v>Lodestone Crystal</v>
      </c>
      <c r="B271" s="16" t="str">
        <f>IFERROR(__xludf.DUMMYFUNCTION("""COMPUTED_VALUE"""),"Can be forged into a weapon, one crystal max inside forged equipment. absorbs the first attack of each battle.")</f>
        <v>Can be forged into a weapon, one crystal max inside forged equipment. absorbs the first attack of each battle.</v>
      </c>
      <c r="C271" s="16" t="str">
        <f>IFERROR(__xludf.DUMMYFUNCTION("""COMPUTED_VALUE"""),"Item")</f>
        <v>Item</v>
      </c>
    </row>
    <row r="272">
      <c r="A272" s="16" t="str">
        <f>IFERROR(__xludf.DUMMYFUNCTION("""COMPUTED_VALUE"""),"Peridot Crystal")</f>
        <v>Peridot Crystal</v>
      </c>
      <c r="B272" s="16" t="str">
        <f>IFERROR(__xludf.DUMMYFUNCTION("""COMPUTED_VALUE"""),"Can be forged into a armor, one crystal max inside forged equipment. +300HP per round.")</f>
        <v>Can be forged into a armor, one crystal max inside forged equipment. +300HP per round.</v>
      </c>
      <c r="C272" s="16" t="str">
        <f>IFERROR(__xludf.DUMMYFUNCTION("""COMPUTED_VALUE"""),"Item")</f>
        <v>Item</v>
      </c>
    </row>
    <row r="273">
      <c r="A273" s="16" t="str">
        <f>IFERROR(__xludf.DUMMYFUNCTION("""COMPUTED_VALUE"""),"Golden Topaz")</f>
        <v>Golden Topaz</v>
      </c>
      <c r="B273" s="16" t="str">
        <f>IFERROR(__xludf.DUMMYFUNCTION("""COMPUTED_VALUE"""),"Can be forged into a armor, one crystal max inside forged equipment. 50% chance to cure a curse for user only while cursed, this effect is unnaffected by other forged items/effects.")</f>
        <v>Can be forged into a armor, one crystal max inside forged equipment. 50% chance to cure a curse for user only while cursed, this effect is unnaffected by other forged items/effects.</v>
      </c>
      <c r="C273" s="16" t="str">
        <f>IFERROR(__xludf.DUMMYFUNCTION("""COMPUTED_VALUE"""),"Item")</f>
        <v>Item</v>
      </c>
    </row>
    <row r="274">
      <c r="A274" s="16" t="str">
        <f>IFERROR(__xludf.DUMMYFUNCTION("""COMPUTED_VALUE"""),"Sea Crystal ")</f>
        <v>Sea Crystal </v>
      </c>
      <c r="B274" s="16" t="str">
        <f>IFERROR(__xludf.DUMMYFUNCTION("""COMPUTED_VALUE"""),"Can be forged into an item. all water damage now gives hp and sp back equal to the amount of damage caused. Cannot be duplicated.")</f>
        <v>Can be forged into an item. all water damage now gives hp and sp back equal to the amount of damage caused. Cannot be duplicated.</v>
      </c>
      <c r="C274" s="16" t="str">
        <f>IFERROR(__xludf.DUMMYFUNCTION("""COMPUTED_VALUE"""),"Item")</f>
        <v>Item</v>
      </c>
    </row>
    <row r="275">
      <c r="A275" s="16" t="str">
        <f>IFERROR(__xludf.DUMMYFUNCTION("""COMPUTED_VALUE"""),"The Root Of Nature")</f>
        <v>The Root Of Nature</v>
      </c>
      <c r="B275" s="16" t="str">
        <f>IFERROR(__xludf.DUMMYFUNCTION("""COMPUTED_VALUE"""),"Can be brewed into a potion then consumed to give the user permanant immunity to nature and give the user a permanant x10 to nature damage. Cannot be duplicated.")</f>
        <v>Can be brewed into a potion then consumed to give the user permanant immunity to nature and give the user a permanant x10 to nature damage. Cannot be duplicated.</v>
      </c>
      <c r="C275" s="16" t="str">
        <f>IFERROR(__xludf.DUMMYFUNCTION("""COMPUTED_VALUE"""),"Item")</f>
        <v>Item</v>
      </c>
    </row>
    <row r="276">
      <c r="A276" s="16" t="str">
        <f>IFERROR(__xludf.DUMMYFUNCTION("""COMPUTED_VALUE"""),"Rich Sand")</f>
        <v>Rich Sand</v>
      </c>
      <c r="B276" s="16" t="str">
        <f>IFERROR(__xludf.DUMMYFUNCTION("""COMPUTED_VALUE"""),"can be forged into armor to give the user an immunity to earth and X10 earth damage. Cannot be duplicated.")</f>
        <v>can be forged into armor to give the user an immunity to earth and X10 earth damage. Cannot be duplicated.</v>
      </c>
      <c r="C276" s="16" t="str">
        <f>IFERROR(__xludf.DUMMYFUNCTION("""COMPUTED_VALUE"""),"Item")</f>
        <v>Item</v>
      </c>
    </row>
    <row r="277">
      <c r="A277" s="16" t="str">
        <f>IFERROR(__xludf.DUMMYFUNCTION("""COMPUTED_VALUE"""),"Sacred Sap")</f>
        <v>Sacred Sap</v>
      </c>
      <c r="B277" s="16" t="str">
        <f>IFERROR(__xludf.DUMMYFUNCTION("""COMPUTED_VALUE"""),"Can be brewed into a potion then consumed to gain 200 levels. Cannot be duplicated.")</f>
        <v>Can be brewed into a potion then consumed to gain 200 levels. Cannot be duplicated.</v>
      </c>
      <c r="C277" s="16" t="str">
        <f>IFERROR(__xludf.DUMMYFUNCTION("""COMPUTED_VALUE"""),"Item")</f>
        <v>Item</v>
      </c>
    </row>
    <row r="278">
      <c r="A278" s="16" t="str">
        <f>IFERROR(__xludf.DUMMYFUNCTION("""COMPUTED_VALUE"""),"Frozen Shard")</f>
        <v>Frozen Shard</v>
      </c>
      <c r="B278" s="16" t="str">
        <f>IFERROR(__xludf.DUMMYFUNCTION("""COMPUTED_VALUE"""),"Can be forged into a weapon to give it a 100% chance to freeze a target it hits, or forged into a piece of armor to give you immunity to freezing. Cannot be duplicated.")</f>
        <v>Can be forged into a weapon to give it a 100% chance to freeze a target it hits, or forged into a piece of armor to give you immunity to freezing. Cannot be duplicated.</v>
      </c>
      <c r="C278" s="16" t="str">
        <f>IFERROR(__xludf.DUMMYFUNCTION("""COMPUTED_VALUE"""),"Item")</f>
        <v>Item</v>
      </c>
    </row>
    <row r="279">
      <c r="A279" s="16" t="str">
        <f>IFERROR(__xludf.DUMMYFUNCTION("""COMPUTED_VALUE"""),"Tome of Chaotic Darkness")</f>
        <v>Tome of Chaotic Darkness</v>
      </c>
      <c r="B279" s="16" t="str">
        <f>IFERROR(__xludf.DUMMYFUNCTION("""COMPUTED_VALUE"""),"Allows use of up to Rank 9 Dark and Chaos Powers.")</f>
        <v>Allows use of up to Rank 9 Dark and Chaos Powers.</v>
      </c>
      <c r="C279" s="16" t="str">
        <f>IFERROR(__xludf.DUMMYFUNCTION("""COMPUTED_VALUE"""),"Item")</f>
        <v>Item</v>
      </c>
    </row>
    <row r="280">
      <c r="A280" s="16" t="str">
        <f>IFERROR(__xludf.DUMMYFUNCTION("""COMPUTED_VALUE"""),"The Land of The Forgotten Map")</f>
        <v>The Land of The Forgotten Map</v>
      </c>
      <c r="B280" s="16" t="str">
        <f>IFERROR(__xludf.DUMMYFUNCTION("""COMPUTED_VALUE"""),"Shows you where to find The Land of The Forgotten.")</f>
        <v>Shows you where to find The Land of The Forgotten.</v>
      </c>
      <c r="C280" s="16" t="str">
        <f>IFERROR(__xludf.DUMMYFUNCTION("""COMPUTED_VALUE"""),"Item")</f>
        <v>Item</v>
      </c>
    </row>
    <row r="281">
      <c r="A281" s="16" t="str">
        <f>IFERROR(__xludf.DUMMYFUNCTION("""COMPUTED_VALUE"""),"Corn On The Cob")</f>
        <v>Corn On The Cob</v>
      </c>
      <c r="B281" s="16" t="str">
        <f>IFERROR(__xludf.DUMMYFUNCTION("""COMPUTED_VALUE"""),"Restores 10 hunger.")</f>
        <v>Restores 10 hunger.</v>
      </c>
      <c r="C281" s="16" t="str">
        <f>IFERROR(__xludf.DUMMYFUNCTION("""COMPUTED_VALUE"""),"Crop")</f>
        <v>Crop</v>
      </c>
    </row>
    <row r="282">
      <c r="A282" s="16" t="str">
        <f>IFERROR(__xludf.DUMMYFUNCTION("""COMPUTED_VALUE"""),"Festival Bread Loaf")</f>
        <v>Festival Bread Loaf</v>
      </c>
      <c r="B282" s="16" t="str">
        <f>IFERROR(__xludf.DUMMYFUNCTION("""COMPUTED_VALUE"""),"Restores 30 hunger and decreases 10 thirst.")</f>
        <v>Restores 30 hunger and decreases 10 thirst.</v>
      </c>
      <c r="C282" s="16" t="str">
        <f>IFERROR(__xludf.DUMMYFUNCTION("""COMPUTED_VALUE"""),"Crop")</f>
        <v>Crop</v>
      </c>
    </row>
    <row r="283">
      <c r="A283" s="16" t="str">
        <f>IFERROR(__xludf.DUMMYFUNCTION("""COMPUTED_VALUE"""),"Fruit Cake")</f>
        <v>Fruit Cake</v>
      </c>
      <c r="B283" s="16" t="str">
        <f>IFERROR(__xludf.DUMMYFUNCTION("""COMPUTED_VALUE"""),"Restores 20 energy and hunger")</f>
        <v>Restores 20 energy and hunger</v>
      </c>
      <c r="C283" s="16" t="str">
        <f>IFERROR(__xludf.DUMMYFUNCTION("""COMPUTED_VALUE"""),"Crop")</f>
        <v>Crop</v>
      </c>
    </row>
    <row r="284">
      <c r="A284" s="16" t="str">
        <f>IFERROR(__xludf.DUMMYFUNCTION("""COMPUTED_VALUE"""),"Festival Mead")</f>
        <v>Festival Mead</v>
      </c>
      <c r="B284" s="16" t="str">
        <f>IFERROR(__xludf.DUMMYFUNCTION("""COMPUTED_VALUE"""),"Restores 20 thirst.")</f>
        <v>Restores 20 thirst.</v>
      </c>
      <c r="C284" s="16" t="str">
        <f>IFERROR(__xludf.DUMMYFUNCTION("""COMPUTED_VALUE"""),"Item")</f>
        <v>Item</v>
      </c>
    </row>
    <row r="285">
      <c r="A285" s="16" t="str">
        <f>IFERROR(__xludf.DUMMYFUNCTION("""COMPUTED_VALUE"""),"Lemonade")</f>
        <v>Lemonade</v>
      </c>
      <c r="B285" s="16" t="str">
        <f>IFERROR(__xludf.DUMMYFUNCTION("""COMPUTED_VALUE"""),"Restores 10 thirst and energy.")</f>
        <v>Restores 10 thirst and energy.</v>
      </c>
      <c r="C285" s="16" t="str">
        <f>IFERROR(__xludf.DUMMYFUNCTION("""COMPUTED_VALUE"""),"Item")</f>
        <v>Item</v>
      </c>
    </row>
    <row r="286">
      <c r="A286" s="16" t="str">
        <f>IFERROR(__xludf.DUMMYFUNCTION("""COMPUTED_VALUE"""),"Forbidden Amulet Shard")</f>
        <v>Forbidden Amulet Shard</v>
      </c>
      <c r="B286" s="16" t="str">
        <f>IFERROR(__xludf.DUMMYFUNCTION("""COMPUTED_VALUE"""),"A piece of shard that is used to create The Forbidden Amulet of The Halloween Kingdom when you collect all of the pieces.")</f>
        <v>A piece of shard that is used to create The Forbidden Amulet of The Halloween Kingdom when you collect all of the pieces.</v>
      </c>
      <c r="C286" s="16" t="str">
        <f>IFERROR(__xludf.DUMMYFUNCTION("""COMPUTED_VALUE"""),"Item")</f>
        <v>Item</v>
      </c>
    </row>
    <row r="287">
      <c r="A287" s="16" t="str">
        <f>IFERROR(__xludf.DUMMYFUNCTION("""COMPUTED_VALUE"""),"The Forbidden Amulet of The Halloween Kingdom.")</f>
        <v>The Forbidden Amulet of The Halloween Kingdom.</v>
      </c>
      <c r="B287" s="16" t="str">
        <f>IFERROR(__xludf.DUMMYFUNCTION("""COMPUTED_VALUE"""),"An amulet used to break the barrier on Lord Dreadfuls castle in the Halloween Kingdom.")</f>
        <v>An amulet used to break the barrier on Lord Dreadfuls castle in the Halloween Kingdom.</v>
      </c>
      <c r="C287" s="16" t="str">
        <f>IFERROR(__xludf.DUMMYFUNCTION("""COMPUTED_VALUE"""),"Item")</f>
        <v>Item</v>
      </c>
    </row>
    <row r="288">
      <c r="A288" s="16" t="str">
        <f>IFERROR(__xludf.DUMMYFUNCTION("""COMPUTED_VALUE"""),"Slime Jelly")</f>
        <v>Slime Jelly</v>
      </c>
      <c r="B288" s="16" t="str">
        <f>IFERROR(__xludf.DUMMYFUNCTION("""COMPUTED_VALUE"""),"Restores 50 HP, 75 Mana, 50 Hunger, and 50 Thirst, -30 Energy cause it tastes bad")</f>
        <v>Restores 50 HP, 75 Mana, 50 Hunger, and 50 Thirst, -30 Energy cause it tastes bad</v>
      </c>
      <c r="C288" s="16" t="str">
        <f>IFERROR(__xludf.DUMMYFUNCTION("""COMPUTED_VALUE"""),"Crop")</f>
        <v>Crop</v>
      </c>
    </row>
    <row r="289">
      <c r="A289" s="16" t="str">
        <f>IFERROR(__xludf.DUMMYFUNCTION("""COMPUTED_VALUE"""),"Broken Robot")</f>
        <v>Broken Robot</v>
      </c>
      <c r="B289" s="16" t="str">
        <f>IFERROR(__xludf.DUMMYFUNCTION("""COMPUTED_VALUE"""),"An item that is purchased and given to a mysterious cloaked figure. ")</f>
        <v>An item that is purchased and given to a mysterious cloaked figure. </v>
      </c>
      <c r="C289" s="16" t="str">
        <f>IFERROR(__xludf.DUMMYFUNCTION("""COMPUTED_VALUE"""),"Item")</f>
        <v>Item</v>
      </c>
    </row>
    <row r="290">
      <c r="A290" s="16" t="str">
        <f>IFERROR(__xludf.DUMMYFUNCTION("""COMPUTED_VALUE"""),"Boar Hide")</f>
        <v>Boar Hide</v>
      </c>
      <c r="B290" s="16" t="str">
        <f>IFERROR(__xludf.DUMMYFUNCTION("""COMPUTED_VALUE"""),"Crafting Material, roll a d20 to see how many you get if this is a loot drop.")</f>
        <v>Crafting Material, roll a d20 to see how many you get if this is a loot drop.</v>
      </c>
      <c r="C290" s="16" t="str">
        <f>IFERROR(__xludf.DUMMYFUNCTION("""COMPUTED_VALUE"""),"Item")</f>
        <v>Item</v>
      </c>
    </row>
    <row r="291">
      <c r="A291" s="16" t="str">
        <f>IFERROR(__xludf.DUMMYFUNCTION("""COMPUTED_VALUE"""),"Bullet")</f>
        <v>Bullet</v>
      </c>
      <c r="B291" s="16" t="str">
        <f>IFERROR(__xludf.DUMMYFUNCTION("""COMPUTED_VALUE"""),"Firearm Ammunition. +100 damage. roll a d20 to see how many you get if this is a loot drop.")</f>
        <v>Firearm Ammunition. +100 damage. roll a d20 to see how many you get if this is a loot drop.</v>
      </c>
      <c r="C291" s="16" t="str">
        <f>IFERROR(__xludf.DUMMYFUNCTION("""COMPUTED_VALUE"""),"Item")</f>
        <v>Item</v>
      </c>
    </row>
    <row r="292">
      <c r="A292" s="16" t="str">
        <f>IFERROR(__xludf.DUMMYFUNCTION("""COMPUTED_VALUE"""),"The Ancient Medallion of Frost")</f>
        <v>The Ancient Medallion of Frost</v>
      </c>
      <c r="B292" s="16" t="str">
        <f>IFERROR(__xludf.DUMMYFUNCTION("""COMPUTED_VALUE"""),"The key to getting into the final tower of the winter event.")</f>
        <v>The key to getting into the final tower of the winter event.</v>
      </c>
      <c r="C292" s="16" t="str">
        <f>IFERROR(__xludf.DUMMYFUNCTION("""COMPUTED_VALUE"""),"Item")</f>
        <v>Item</v>
      </c>
    </row>
    <row r="293">
      <c r="A293" s="16" t="str">
        <f>IFERROR(__xludf.DUMMYFUNCTION("""COMPUTED_VALUE"""),"Gargoyle Stone Tablet")</f>
        <v>Gargoyle Stone Tablet</v>
      </c>
      <c r="B293" s="16" t="str">
        <f>IFERROR(__xludf.DUMMYFUNCTION("""COMPUTED_VALUE"""),"Tells you the Location of 3 Tiny Gargoyles. This item can only be used once.")</f>
        <v>Tells you the Location of 3 Tiny Gargoyles. This item can only be used once.</v>
      </c>
      <c r="C293" s="16" t="str">
        <f>IFERROR(__xludf.DUMMYFUNCTION("""COMPUTED_VALUE"""),"Item")</f>
        <v>Item</v>
      </c>
    </row>
    <row r="294">
      <c r="A294" s="16" t="str">
        <f>IFERROR(__xludf.DUMMYFUNCTION("""COMPUTED_VALUE"""),"Map of the Gargoyle’s")</f>
        <v>Map of the Gargoyle’s</v>
      </c>
      <c r="B294" s="16" t="str">
        <f>IFERROR(__xludf.DUMMYFUNCTION("""COMPUTED_VALUE"""),"Allows Use to see Special Gargoyle’s")</f>
        <v>Allows Use to see Special Gargoyle’s</v>
      </c>
      <c r="C294" s="16" t="str">
        <f>IFERROR(__xludf.DUMMYFUNCTION("""COMPUTED_VALUE"""),"Item")</f>
        <v>Item</v>
      </c>
    </row>
    <row r="295">
      <c r="A295" s="16" t="str">
        <f>IFERROR(__xludf.DUMMYFUNCTION("""COMPUTED_VALUE"""),"The Tome of Abstara")</f>
        <v>The Tome of Abstara</v>
      </c>
      <c r="B295" s="16" t="str">
        <f>IFERROR(__xludf.DUMMYFUNCTION("""COMPUTED_VALUE"""),"Can use up to Rank 9 Fire, Chaos, and Dark spells.")</f>
        <v>Can use up to Rank 9 Fire, Chaos, and Dark spells.</v>
      </c>
      <c r="C295" s="16" t="str">
        <f>IFERROR(__xludf.DUMMYFUNCTION("""COMPUTED_VALUE"""),"Item")</f>
        <v>Item</v>
      </c>
    </row>
    <row r="296">
      <c r="A296" s="16" t="str">
        <f>IFERROR(__xludf.DUMMYFUNCTION("""COMPUTED_VALUE"""),"Gargoyle’s Fishing Pole")</f>
        <v>Gargoyle’s Fishing Pole</v>
      </c>
      <c r="B296" s="16" t="str">
        <f>IFERROR(__xludf.DUMMYFUNCTION("""COMPUTED_VALUE"""),"500/500 Uses. Used for lava fishing. Made of Stone.")</f>
        <v>500/500 Uses. Used for lava fishing. Made of Stone.</v>
      </c>
      <c r="C296" s="16" t="str">
        <f>IFERROR(__xludf.DUMMYFUNCTION("""COMPUTED_VALUE"""),"Item")</f>
        <v>Item</v>
      </c>
    </row>
    <row r="297">
      <c r="A297" s="16" t="str">
        <f>IFERROR(__xludf.DUMMYFUNCTION("""COMPUTED_VALUE"""),"Stone Worm")</f>
        <v>Stone Worm</v>
      </c>
      <c r="B297" s="16" t="str">
        <f>IFERROR(__xludf.DUMMYFUNCTION("""COMPUTED_VALUE"""),"Fishing bait. Used for lava fishing.")</f>
        <v>Fishing bait. Used for lava fishing.</v>
      </c>
      <c r="C297" s="16" t="str">
        <f>IFERROR(__xludf.DUMMYFUNCTION("""COMPUTED_VALUE"""),"Item")</f>
        <v>Item</v>
      </c>
    </row>
    <row r="298">
      <c r="A298" s="16" t="str">
        <f>IFERROR(__xludf.DUMMYFUNCTION("""COMPUTED_VALUE"""),"Rock Soup")</f>
        <v>Rock Soup</v>
      </c>
      <c r="B298" s="16" t="str">
        <f>IFERROR(__xludf.DUMMYFUNCTION("""COMPUTED_VALUE"""),"25 Hunger and +15 Thirst")</f>
        <v>25 Hunger and +15 Thirst</v>
      </c>
      <c r="C298" s="16" t="str">
        <f>IFERROR(__xludf.DUMMYFUNCTION("""COMPUTED_VALUE"""),"Crop")</f>
        <v>Crop</v>
      </c>
    </row>
    <row r="299">
      <c r="A299" s="16" t="str">
        <f>IFERROR(__xludf.DUMMYFUNCTION("""COMPUTED_VALUE"""),"Gargoyle’s slumbering mead")</f>
        <v>Gargoyle’s slumbering mead</v>
      </c>
      <c r="B299" s="16" t="str">
        <f>IFERROR(__xludf.DUMMYFUNCTION("""COMPUTED_VALUE"""),"100 Thirst +100 Energy")</f>
        <v>100 Thirst +100 Energy</v>
      </c>
      <c r="C299" s="16" t="str">
        <f>IFERROR(__xludf.DUMMYFUNCTION("""COMPUTED_VALUE"""),"Item")</f>
        <v>Item</v>
      </c>
    </row>
    <row r="300">
      <c r="A300" s="16" t="str">
        <f>IFERROR(__xludf.DUMMYFUNCTION("""COMPUTED_VALUE"""),"Dark rum")</f>
        <v>Dark rum</v>
      </c>
      <c r="B300" s="16" t="str">
        <f>IFERROR(__xludf.DUMMYFUNCTION("""COMPUTED_VALUE"""),"200 Thirst +200 Energy")</f>
        <v>200 Thirst +200 Energy</v>
      </c>
      <c r="C300" s="16" t="str">
        <f>IFERROR(__xludf.DUMMYFUNCTION("""COMPUTED_VALUE"""),"Item")</f>
        <v>Item</v>
      </c>
    </row>
    <row r="301">
      <c r="A301" s="16" t="str">
        <f>IFERROR(__xludf.DUMMYFUNCTION("""COMPUTED_VALUE"""),"Blank steak")</f>
        <v>Blank steak</v>
      </c>
      <c r="B301" s="16" t="str">
        <f>IFERROR(__xludf.DUMMYFUNCTION("""COMPUTED_VALUE"""),"25 Hunger")</f>
        <v>25 Hunger</v>
      </c>
      <c r="C301" s="16" t="str">
        <f>IFERROR(__xludf.DUMMYFUNCTION("""COMPUTED_VALUE"""),"Crop")</f>
        <v>Crop</v>
      </c>
    </row>
    <row r="302">
      <c r="A302" s="16" t="str">
        <f>IFERROR(__xludf.DUMMYFUNCTION("""COMPUTED_VALUE"""),"Geode jello")</f>
        <v>Geode jello</v>
      </c>
      <c r="B302" s="16" t="str">
        <f>IFERROR(__xludf.DUMMYFUNCTION("""COMPUTED_VALUE"""),"20 Thirst")</f>
        <v>20 Thirst</v>
      </c>
      <c r="C302" s="16" t="str">
        <f>IFERROR(__xludf.DUMMYFUNCTION("""COMPUTED_VALUE"""),"Item")</f>
        <v>Item</v>
      </c>
    </row>
    <row r="303">
      <c r="A303" s="16" t="str">
        <f>IFERROR(__xludf.DUMMYFUNCTION("""COMPUTED_VALUE"""),"Black baked potatoes")</f>
        <v>Black baked potatoes</v>
      </c>
      <c r="B303" s="16" t="str">
        <f>IFERROR(__xludf.DUMMYFUNCTION("""COMPUTED_VALUE"""),"50 Hunger")</f>
        <v>50 Hunger</v>
      </c>
      <c r="C303" s="16" t="str">
        <f>IFERROR(__xludf.DUMMYFUNCTION("""COMPUTED_VALUE"""),"Crop")</f>
        <v>Crop</v>
      </c>
    </row>
    <row r="304">
      <c r="A304" s="16" t="str">
        <f>IFERROR(__xludf.DUMMYFUNCTION("""COMPUTED_VALUE"""),"Human Steak")</f>
        <v>Human Steak</v>
      </c>
      <c r="B304" s="16" t="str">
        <f>IFERROR(__xludf.DUMMYFUNCTION("""COMPUTED_VALUE"""),"300 Hunger")</f>
        <v>300 Hunger</v>
      </c>
      <c r="C304" s="16" t="str">
        <f>IFERROR(__xludf.DUMMYFUNCTION("""COMPUTED_VALUE"""),"Crop")</f>
        <v>Crop</v>
      </c>
    </row>
    <row r="305">
      <c r="A305" s="16" t="str">
        <f>IFERROR(__xludf.DUMMYFUNCTION("""COMPUTED_VALUE"""),"Black Sheep mutton")</f>
        <v>Black Sheep mutton</v>
      </c>
      <c r="B305" s="16" t="str">
        <f>IFERROR(__xludf.DUMMYFUNCTION("""COMPUTED_VALUE"""),"250 Hunger")</f>
        <v>250 Hunger</v>
      </c>
      <c r="C305" s="16" t="str">
        <f>IFERROR(__xludf.DUMMYFUNCTION("""COMPUTED_VALUE"""),"Crop")</f>
        <v>Crop</v>
      </c>
    </row>
    <row r="306">
      <c r="A306" s="16" t="str">
        <f>IFERROR(__xludf.DUMMYFUNCTION("""COMPUTED_VALUE"""),"Ebony Caviar")</f>
        <v>Ebony Caviar</v>
      </c>
      <c r="B306" s="16" t="str">
        <f>IFERROR(__xludf.DUMMYFUNCTION("""COMPUTED_VALUE"""),"100 Hunger +105 Energy")</f>
        <v>100 Hunger +105 Energy</v>
      </c>
      <c r="C306" s="16" t="str">
        <f>IFERROR(__xludf.DUMMYFUNCTION("""COMPUTED_VALUE"""),"Crop")</f>
        <v>Crop</v>
      </c>
    </row>
    <row r="307">
      <c r="A307" s="16" t="str">
        <f>IFERROR(__xludf.DUMMYFUNCTION("""COMPUTED_VALUE"""),"Black Kale")</f>
        <v>Black Kale</v>
      </c>
      <c r="B307" s="16" t="str">
        <f>IFERROR(__xludf.DUMMYFUNCTION("""COMPUTED_VALUE"""),"140 Hunger")</f>
        <v>140 Hunger</v>
      </c>
      <c r="C307" s="16" t="str">
        <f>IFERROR(__xludf.DUMMYFUNCTION("""COMPUTED_VALUE"""),"Crop")</f>
        <v>Crop</v>
      </c>
    </row>
    <row r="308">
      <c r="A308" s="16" t="str">
        <f>IFERROR(__xludf.DUMMYFUNCTION("""COMPUTED_VALUE"""),"Smokey Champagne")</f>
        <v>Smokey Champagne</v>
      </c>
      <c r="B308" s="16" t="str">
        <f>IFERROR(__xludf.DUMMYFUNCTION("""COMPUTED_VALUE"""),"140 Thirst")</f>
        <v>140 Thirst</v>
      </c>
      <c r="C308" s="16" t="str">
        <f>IFERROR(__xludf.DUMMYFUNCTION("""COMPUTED_VALUE"""),"Item")</f>
        <v>Item</v>
      </c>
    </row>
    <row r="309">
      <c r="A309" s="16" t="str">
        <f>IFERROR(__xludf.DUMMYFUNCTION("""COMPUTED_VALUE"""),"Dead Island iced tea")</f>
        <v>Dead Island iced tea</v>
      </c>
      <c r="B309" s="16" t="str">
        <f>IFERROR(__xludf.DUMMYFUNCTION("""COMPUTED_VALUE"""),"150 Thirst +125 Energy")</f>
        <v>150 Thirst +125 Energy</v>
      </c>
      <c r="C309" s="16" t="str">
        <f>IFERROR(__xludf.DUMMYFUNCTION("""COMPUTED_VALUE"""),"Item")</f>
        <v>Item</v>
      </c>
    </row>
    <row r="310">
      <c r="A310" s="16" t="str">
        <f>IFERROR(__xludf.DUMMYFUNCTION("""COMPUTED_VALUE"""),"Black russian")</f>
        <v>Black russian</v>
      </c>
      <c r="B310" s="16" t="str">
        <f>IFERROR(__xludf.DUMMYFUNCTION("""COMPUTED_VALUE"""),"200 Thirst +200 Energy")</f>
        <v>200 Thirst +200 Energy</v>
      </c>
      <c r="C310" s="16" t="str">
        <f>IFERROR(__xludf.DUMMYFUNCTION("""COMPUTED_VALUE"""),"Item")</f>
        <v>Item</v>
      </c>
    </row>
    <row r="311">
      <c r="A311" s="16" t="str">
        <f>IFERROR(__xludf.DUMMYFUNCTION("""COMPUTED_VALUE"""),"Obsidian Lobster")</f>
        <v>Obsidian Lobster</v>
      </c>
      <c r="B311" s="16" t="str">
        <f>IFERROR(__xludf.DUMMYFUNCTION("""COMPUTED_VALUE"""),"200 Hunger +200 Energy")</f>
        <v>200 Hunger +200 Energy</v>
      </c>
      <c r="C311" s="16" t="str">
        <f>IFERROR(__xludf.DUMMYFUNCTION("""COMPUTED_VALUE"""),"Crop")</f>
        <v>Crop</v>
      </c>
    </row>
    <row r="312">
      <c r="A312" s="16" t="str">
        <f>IFERROR(__xludf.DUMMYFUNCTION("""COMPUTED_VALUE"""),"Charcoal Truffles")</f>
        <v>Charcoal Truffles</v>
      </c>
      <c r="B312" s="16" t="str">
        <f>IFERROR(__xludf.DUMMYFUNCTION("""COMPUTED_VALUE"""),"100 Hunger +100 Energy")</f>
        <v>100 Hunger +100 Energy</v>
      </c>
      <c r="C312" s="16" t="str">
        <f>IFERROR(__xludf.DUMMYFUNCTION("""COMPUTED_VALUE"""),"Crop")</f>
        <v>Crop</v>
      </c>
    </row>
    <row r="313">
      <c r="A313" s="16" t="str">
        <f>IFERROR(__xludf.DUMMYFUNCTION("""COMPUTED_VALUE"""),"Italian spaghetti and meatballs")</f>
        <v>Italian spaghetti and meatballs</v>
      </c>
      <c r="B313" s="16" t="str">
        <f>IFERROR(__xludf.DUMMYFUNCTION("""COMPUTED_VALUE"""),"Full HP, Energy, Hunger, Thirst")</f>
        <v>Full HP, Energy, Hunger, Thirst</v>
      </c>
      <c r="C313" s="16" t="str">
        <f>IFERROR(__xludf.DUMMYFUNCTION("""COMPUTED_VALUE"""),"Crop")</f>
        <v>Crop</v>
      </c>
    </row>
    <row r="314">
      <c r="A314" s="16" t="str">
        <f>IFERROR(__xludf.DUMMYFUNCTION("""COMPUTED_VALUE"""),"Enclosed Spirits (enchantment)")</f>
        <v>Enclosed Spirits (enchantment)</v>
      </c>
      <c r="B314" s="16" t="str">
        <f>IFERROR(__xludf.DUMMYFUNCTION("""COMPUTED_VALUE"""),"Add 1000 Spirit damage or resistance to any Spirit related Weapon or armor.")</f>
        <v>Add 1000 Spirit damage or resistance to any Spirit related Weapon or armor.</v>
      </c>
      <c r="C314" s="16" t="str">
        <f>IFERROR(__xludf.DUMMYFUNCTION("""COMPUTED_VALUE"""),"Item")</f>
        <v>Item</v>
      </c>
    </row>
    <row r="315">
      <c r="A315" s="16" t="str">
        <f>IFERROR(__xludf.DUMMYFUNCTION("""COMPUTED_VALUE"""),"Goat’s eye")</f>
        <v>Goat’s eye</v>
      </c>
      <c r="B315" s="16" t="str">
        <f>IFERROR(__xludf.DUMMYFUNCTION("""COMPUTED_VALUE"""),"Crafting Material, roll a d20 to see how many you get if this is a loot drop.")</f>
        <v>Crafting Material, roll a d20 to see how many you get if this is a loot drop.</v>
      </c>
      <c r="C315" s="16" t="str">
        <f>IFERROR(__xludf.DUMMYFUNCTION("""COMPUTED_VALUE"""),"Item")</f>
        <v>Item</v>
      </c>
    </row>
    <row r="316">
      <c r="A316" s="16" t="str">
        <f>IFERROR(__xludf.DUMMYFUNCTION("""COMPUTED_VALUE"""),"Heart of the Demon")</f>
        <v>Heart of the Demon</v>
      </c>
      <c r="B316" s="16" t="str">
        <f>IFERROR(__xludf.DUMMYFUNCTION("""COMPUTED_VALUE"""),"Crafting Material, roll a d20 to see how many you get if this is a loot drop.")</f>
        <v>Crafting Material, roll a d20 to see how many you get if this is a loot drop.</v>
      </c>
      <c r="C316" s="16" t="str">
        <f>IFERROR(__xludf.DUMMYFUNCTION("""COMPUTED_VALUE"""),"Item")</f>
        <v>Item</v>
      </c>
    </row>
    <row r="317">
      <c r="A317" s="16" t="str">
        <f>IFERROR(__xludf.DUMMYFUNCTION("""COMPUTED_VALUE"""),"Tooth of the Volcanic Serpent")</f>
        <v>Tooth of the Volcanic Serpent</v>
      </c>
      <c r="B317" s="16" t="str">
        <f>IFERROR(__xludf.DUMMYFUNCTION("""COMPUTED_VALUE"""),"Crafting Material, roll a d20 to see how many you get if this is a loot drop.")</f>
        <v>Crafting Material, roll a d20 to see how many you get if this is a loot drop.</v>
      </c>
      <c r="C317" s="16" t="str">
        <f>IFERROR(__xludf.DUMMYFUNCTION("""COMPUTED_VALUE"""),"Item")</f>
        <v>Item</v>
      </c>
    </row>
    <row r="318">
      <c r="A318" s="16" t="str">
        <f>IFERROR(__xludf.DUMMYFUNCTION("""COMPUTED_VALUE"""),"Fire Jaguars Leather Skin")</f>
        <v>Fire Jaguars Leather Skin</v>
      </c>
      <c r="B318" s="16" t="str">
        <f>IFERROR(__xludf.DUMMYFUNCTION("""COMPUTED_VALUE"""),"Crafting Material, roll a d20 to see how many you get if this is a loot drop.")</f>
        <v>Crafting Material, roll a d20 to see how many you get if this is a loot drop.</v>
      </c>
      <c r="C318" s="16" t="str">
        <f>IFERROR(__xludf.DUMMYFUNCTION("""COMPUTED_VALUE"""),"Item")</f>
        <v>Item</v>
      </c>
    </row>
    <row r="319">
      <c r="A319" s="16" t="str">
        <f>IFERROR(__xludf.DUMMYFUNCTION("""COMPUTED_VALUE"""),"Black Lake Soup")</f>
        <v>Black Lake Soup</v>
      </c>
      <c r="B319" s="16" t="str">
        <f>IFERROR(__xludf.DUMMYFUNCTION("""COMPUTED_VALUE"""),"500 Thirst and 400 Hunger")</f>
        <v>500 Thirst and 400 Hunger</v>
      </c>
      <c r="C319" s="16" t="str">
        <f>IFERROR(__xludf.DUMMYFUNCTION("""COMPUTED_VALUE"""),"Crop")</f>
        <v>Crop</v>
      </c>
    </row>
    <row r="320">
      <c r="A320" s="16" t="str">
        <f>IFERROR(__xludf.DUMMYFUNCTION("""COMPUTED_VALUE"""),"Basilisk Veal")</f>
        <v>Basilisk Veal</v>
      </c>
      <c r="B320" s="16" t="str">
        <f>IFERROR(__xludf.DUMMYFUNCTION("""COMPUTED_VALUE"""),"500 Hunger")</f>
        <v>500 Hunger</v>
      </c>
      <c r="C320" s="16" t="str">
        <f>IFERROR(__xludf.DUMMYFUNCTION("""COMPUTED_VALUE"""),"Crop")</f>
        <v>Crop</v>
      </c>
    </row>
    <row r="321">
      <c r="A321" s="16" t="str">
        <f>IFERROR(__xludf.DUMMYFUNCTION("""COMPUTED_VALUE"""),"Black Cactus juice")</f>
        <v>Black Cactus juice</v>
      </c>
      <c r="B321" s="16" t="str">
        <f>IFERROR(__xludf.DUMMYFUNCTION("""COMPUTED_VALUE"""),"500 Thirst")</f>
        <v>500 Thirst</v>
      </c>
      <c r="C321" s="16" t="str">
        <f>IFERROR(__xludf.DUMMYFUNCTION("""COMPUTED_VALUE"""),"Item")</f>
        <v>Item</v>
      </c>
    </row>
    <row r="322">
      <c r="A322" s="16" t="str">
        <f>IFERROR(__xludf.DUMMYFUNCTION("""COMPUTED_VALUE"""),"Black Lake Purified Water")</f>
        <v>Black Lake Purified Water</v>
      </c>
      <c r="B322" s="16" t="str">
        <f>IFERROR(__xludf.DUMMYFUNCTION("""COMPUTED_VALUE"""),"650 Thirst")</f>
        <v>650 Thirst</v>
      </c>
      <c r="C322" s="16" t="str">
        <f>IFERROR(__xludf.DUMMYFUNCTION("""COMPUTED_VALUE"""),"Item")</f>
        <v>Item</v>
      </c>
    </row>
    <row r="323">
      <c r="A323" s="16" t="str">
        <f>IFERROR(__xludf.DUMMYFUNCTION("""COMPUTED_VALUE"""),"Neutralized Basilisk Venom Shot")</f>
        <v>Neutralized Basilisk Venom Shot</v>
      </c>
      <c r="B323" s="16" t="str">
        <f>IFERROR(__xludf.DUMMYFUNCTION("""COMPUTED_VALUE"""),"1000 Thirst")</f>
        <v>1000 Thirst</v>
      </c>
      <c r="C323" s="16" t="str">
        <f>IFERROR(__xludf.DUMMYFUNCTION("""COMPUTED_VALUE"""),"Item")</f>
        <v>Item</v>
      </c>
    </row>
    <row r="324">
      <c r="A324" s="16" t="str">
        <f>IFERROR(__xludf.DUMMYFUNCTION("""COMPUTED_VALUE"""),"Ebony Mushrooms")</f>
        <v>Ebony Mushrooms</v>
      </c>
      <c r="B324" s="16" t="str">
        <f>IFERROR(__xludf.DUMMYFUNCTION("""COMPUTED_VALUE"""),"250 Hunger")</f>
        <v>250 Hunger</v>
      </c>
      <c r="C324" s="16" t="str">
        <f>IFERROR(__xludf.DUMMYFUNCTION("""COMPUTED_VALUE"""),"Crop")</f>
        <v>Crop</v>
      </c>
    </row>
    <row r="325">
      <c r="A325" s="16" t="str">
        <f>IFERROR(__xludf.DUMMYFUNCTION("""COMPUTED_VALUE"""),"Black Sludge")</f>
        <v>Black Sludge</v>
      </c>
      <c r="B325" s="16" t="str">
        <f>IFERROR(__xludf.DUMMYFUNCTION("""COMPUTED_VALUE"""),"Make a fail/succeed roll
Success - +500 Hunger and Thirst
Fail - -250 Hunger and Thirst From Vomiting.")</f>
        <v>Make a fail/succeed roll
Success - +500 Hunger and Thirst
Fail - -250 Hunger and Thirst From Vomiting.</v>
      </c>
      <c r="C325" s="16" t="str">
        <f>IFERROR(__xludf.DUMMYFUNCTION("""COMPUTED_VALUE"""),"Crop")</f>
        <v>Crop</v>
      </c>
    </row>
    <row r="326">
      <c r="A326" s="16" t="str">
        <f>IFERROR(__xludf.DUMMYFUNCTION("""COMPUTED_VALUE"""),"Black Sepent Dragon Scales")</f>
        <v>Black Sepent Dragon Scales</v>
      </c>
      <c r="B326" s="16" t="str">
        <f>IFERROR(__xludf.DUMMYFUNCTION("""COMPUTED_VALUE"""),"Crafting Material, roll a d20 to see how many you get if this is a loot drop.")</f>
        <v>Crafting Material, roll a d20 to see how many you get if this is a loot drop.</v>
      </c>
      <c r="C326" s="16" t="str">
        <f>IFERROR(__xludf.DUMMYFUNCTION("""COMPUTED_VALUE"""),"Item")</f>
        <v>Item</v>
      </c>
    </row>
    <row r="327">
      <c r="A327" s="16" t="str">
        <f>IFERROR(__xludf.DUMMYFUNCTION("""COMPUTED_VALUE"""),"Chaotic Shadow Dragon Scales")</f>
        <v>Chaotic Shadow Dragon Scales</v>
      </c>
      <c r="B327" s="16" t="str">
        <f>IFERROR(__xludf.DUMMYFUNCTION("""COMPUTED_VALUE"""),"Crafting Material, roll a d20 to see how many you get if this is a loot drop.")</f>
        <v>Crafting Material, roll a d20 to see how many you get if this is a loot drop.</v>
      </c>
      <c r="C327" s="16" t="str">
        <f>IFERROR(__xludf.DUMMYFUNCTION("""COMPUTED_VALUE"""),"Item")</f>
        <v>Item</v>
      </c>
    </row>
    <row r="328">
      <c r="A328" s="16" t="str">
        <f>IFERROR(__xludf.DUMMYFUNCTION("""COMPUTED_VALUE"""),"Chaotic Shadow Dragon Skull")</f>
        <v>Chaotic Shadow Dragon Skull</v>
      </c>
      <c r="B328" s="16" t="str">
        <f>IFERROR(__xludf.DUMMYFUNCTION("""COMPUTED_VALUE"""),"can be consumed to obtain 1 free dark or chaos power. (Only one per character)")</f>
        <v>can be consumed to obtain 1 free dark or chaos power. (Only one per character)</v>
      </c>
      <c r="C328" s="16" t="str">
        <f>IFERROR(__xludf.DUMMYFUNCTION("""COMPUTED_VALUE"""),"Item")</f>
        <v>Item</v>
      </c>
    </row>
    <row r="329">
      <c r="A329" s="16" t="str">
        <f>IFERROR(__xludf.DUMMYFUNCTION("""COMPUTED_VALUE"""),"Sharp Teeth")</f>
        <v>Sharp Teeth</v>
      </c>
      <c r="B329" s="16" t="str">
        <f>IFERROR(__xludf.DUMMYFUNCTION("""COMPUTED_VALUE"""),"Consumable, 100 sharp teeth = permanantly increase attack by 1.")</f>
        <v>Consumable, 100 sharp teeth = permanantly increase attack by 1.</v>
      </c>
      <c r="C329" s="16" t="str">
        <f>IFERROR(__xludf.DUMMYFUNCTION("""COMPUTED_VALUE"""),"Item")</f>
        <v>Item</v>
      </c>
    </row>
    <row r="330">
      <c r="A330" s="16" t="str">
        <f>IFERROR(__xludf.DUMMYFUNCTION("""COMPUTED_VALUE"""),"Letter from the Warden")</f>
        <v>Letter from the Warden</v>
      </c>
      <c r="B330" s="16" t="str">
        <f>IFERROR(__xludf.DUMMYFUNCTION("""COMPUTED_VALUE"""),"Get out of jail for free. Can only be used once, Cannot be duplicated.")</f>
        <v>Get out of jail for free. Can only be used once, Cannot be duplicated.</v>
      </c>
      <c r="C330" s="16" t="str">
        <f>IFERROR(__xludf.DUMMYFUNCTION("""COMPUTED_VALUE"""),"Item")</f>
        <v>Item</v>
      </c>
    </row>
    <row r="331">
      <c r="A331" s="16" t="str">
        <f>IFERROR(__xludf.DUMMYFUNCTION("""COMPUTED_VALUE"""),"Rank 9 Light Tome")</f>
        <v>Rank 9 Light Tome</v>
      </c>
      <c r="B331" s="16" t="str">
        <f>IFERROR(__xludf.DUMMYFUNCTION("""COMPUTED_VALUE"""),"Allows you to use up to Rank 9 Light Powers.")</f>
        <v>Allows you to use up to Rank 9 Light Powers.</v>
      </c>
      <c r="C331" s="16" t="str">
        <f>IFERROR(__xludf.DUMMYFUNCTION("""COMPUTED_VALUE"""),"Item")</f>
        <v>Item</v>
      </c>
    </row>
    <row r="332">
      <c r="A332" s="16" t="str">
        <f>IFERROR(__xludf.DUMMYFUNCTION("""COMPUTED_VALUE"""),"Lesser Healing Potion")</f>
        <v>Lesser Healing Potion</v>
      </c>
      <c r="B332" s="16" t="str">
        <f>IFERROR(__xludf.DUMMYFUNCTION("""COMPUTED_VALUE"""),": + +25HP")</f>
        <v>: + +25HP</v>
      </c>
      <c r="C332" s="16" t="str">
        <f>IFERROR(__xludf.DUMMYFUNCTION("""COMPUTED_VALUE"""),"Item")</f>
        <v>Item</v>
      </c>
    </row>
    <row r="333">
      <c r="A333" s="16" t="str">
        <f>IFERROR(__xludf.DUMMYFUNCTION("""COMPUTED_VALUE"""),"Blackhorn Healing Potion")</f>
        <v>Blackhorn Healing Potion</v>
      </c>
      <c r="B333" s="16" t="str">
        <f>IFERROR(__xludf.DUMMYFUNCTION("""COMPUTED_VALUE"""),": + +75HP")</f>
        <v>: + +75HP</v>
      </c>
      <c r="C333" s="16" t="str">
        <f>IFERROR(__xludf.DUMMYFUNCTION("""COMPUTED_VALUE"""),"Item")</f>
        <v>Item</v>
      </c>
    </row>
    <row r="334">
      <c r="A334" s="16" t="str">
        <f>IFERROR(__xludf.DUMMYFUNCTION("""COMPUTED_VALUE"""),"Greater Healing Potion")</f>
        <v>Greater Healing Potion</v>
      </c>
      <c r="B334" s="16" t="str">
        <f>IFERROR(__xludf.DUMMYFUNCTION("""COMPUTED_VALUE"""),": + +100HP")</f>
        <v>: + +100HP</v>
      </c>
      <c r="C334" s="16" t="str">
        <f>IFERROR(__xludf.DUMMYFUNCTION("""COMPUTED_VALUE"""),"Item")</f>
        <v>Item</v>
      </c>
    </row>
    <row r="335">
      <c r="A335" s="16" t="str">
        <f>IFERROR(__xludf.DUMMYFUNCTION("""COMPUTED_VALUE"""),"Awkward Potion")</f>
        <v>Awkward Potion</v>
      </c>
      <c r="B335" s="16" t="str">
        <f>IFERROR(__xludf.DUMMYFUNCTION("""COMPUTED_VALUE"""),": + +100HP And 100 SP")</f>
        <v>: + +100HP And 100 SP</v>
      </c>
      <c r="C335" s="16" t="str">
        <f>IFERROR(__xludf.DUMMYFUNCTION("""COMPUTED_VALUE"""),"Item")</f>
        <v>Item</v>
      </c>
    </row>
    <row r="336">
      <c r="A336" s="16" t="str">
        <f>IFERROR(__xludf.DUMMYFUNCTION("""COMPUTED_VALUE"""),"Defensive Potion")</f>
        <v>Defensive Potion</v>
      </c>
      <c r="B336" s="16" t="str">
        <f>IFERROR(__xludf.DUMMYFUNCTION("""COMPUTED_VALUE"""),": + +1000 def for 3 rounds")</f>
        <v>: + +1000 def for 3 rounds</v>
      </c>
      <c r="C336" s="16" t="str">
        <f>IFERROR(__xludf.DUMMYFUNCTION("""COMPUTED_VALUE"""),"Item")</f>
        <v>Item</v>
      </c>
    </row>
    <row r="337">
      <c r="A337" s="16" t="str">
        <f>IFERROR(__xludf.DUMMYFUNCTION("""COMPUTED_VALUE"""),"Offensive Potion")</f>
        <v>Offensive Potion</v>
      </c>
      <c r="B337" s="16" t="str">
        <f>IFERROR(__xludf.DUMMYFUNCTION("""COMPUTED_VALUE"""),": + +1000 atk for 3 rounds")</f>
        <v>: + +1000 atk for 3 rounds</v>
      </c>
      <c r="C337" s="16" t="str">
        <f>IFERROR(__xludf.DUMMYFUNCTION("""COMPUTED_VALUE"""),"Item")</f>
        <v>Item</v>
      </c>
    </row>
    <row r="338">
      <c r="A338" s="16" t="str">
        <f>IFERROR(__xludf.DUMMYFUNCTION("""COMPUTED_VALUE"""),"Potion of Swift")</f>
        <v>Potion of Swift</v>
      </c>
      <c r="B338" s="16" t="str">
        <f>IFERROR(__xludf.DUMMYFUNCTION("""COMPUTED_VALUE"""),": + +add 5 evasion for 3 rounds")</f>
        <v>: + +add 5 evasion for 3 rounds</v>
      </c>
      <c r="C338" s="16" t="str">
        <f>IFERROR(__xludf.DUMMYFUNCTION("""COMPUTED_VALUE"""),"Item")</f>
        <v>Item</v>
      </c>
    </row>
    <row r="339">
      <c r="A339" s="16" t="str">
        <f>IFERROR(__xludf.DUMMYFUNCTION("""COMPUTED_VALUE"""),"Potion of Mana Regeneration")</f>
        <v>Potion of Mana Regeneration</v>
      </c>
      <c r="B339" s="16" t="str">
        <f>IFERROR(__xludf.DUMMYFUNCTION("""COMPUTED_VALUE"""),": + +500SP p/r for 3 rounds")</f>
        <v>: + +500SP p/r for 3 rounds</v>
      </c>
      <c r="C339" s="16" t="str">
        <f>IFERROR(__xludf.DUMMYFUNCTION("""COMPUTED_VALUE"""),"Item")</f>
        <v>Item</v>
      </c>
    </row>
    <row r="340">
      <c r="A340" s="16" t="str">
        <f>IFERROR(__xludf.DUMMYFUNCTION("""COMPUTED_VALUE"""),"Potion of Thorns")</f>
        <v>Potion of Thorns</v>
      </c>
      <c r="B340" s="16" t="str">
        <f>IFERROR(__xludf.DUMMYFUNCTION("""COMPUTED_VALUE"""),": + +When a target deals damage to you they take the same amount of damage back.")</f>
        <v>: + +When a target deals damage to you they take the same amount of damage back.</v>
      </c>
      <c r="C340" s="16" t="str">
        <f>IFERROR(__xludf.DUMMYFUNCTION("""COMPUTED_VALUE"""),"Item")</f>
        <v>Item</v>
      </c>
    </row>
    <row r="341">
      <c r="A341" s="16" t="str">
        <f>IFERROR(__xludf.DUMMYFUNCTION("""COMPUTED_VALUE"""),"Potion of Resistance")</f>
        <v>Potion of Resistance</v>
      </c>
      <c r="B341" s="16" t="str">
        <f>IFERROR(__xludf.DUMMYFUNCTION("""COMPUTED_VALUE"""),": + +1000 resistance to all attacks for 3 rounds.")</f>
        <v>: + +1000 resistance to all attacks for 3 rounds.</v>
      </c>
      <c r="C341" s="16" t="str">
        <f>IFERROR(__xludf.DUMMYFUNCTION("""COMPUTED_VALUE"""),"Item")</f>
        <v>Item</v>
      </c>
    </row>
    <row r="342">
      <c r="A342" s="16" t="str">
        <f>IFERROR(__xludf.DUMMYFUNCTION("""COMPUTED_VALUE"""),"Potion of Speed")</f>
        <v>Potion of Speed</v>
      </c>
      <c r="B342" s="16" t="str">
        <f>IFERROR(__xludf.DUMMYFUNCTION("""COMPUTED_VALUE"""),": + +Allows 2 additional turns in one on your next turn.")</f>
        <v>: + +Allows 2 additional turns in one on your next turn.</v>
      </c>
      <c r="C342" s="16" t="str">
        <f>IFERROR(__xludf.DUMMYFUNCTION("""COMPUTED_VALUE"""),"Item")</f>
        <v>Item</v>
      </c>
    </row>
    <row r="343">
      <c r="A343" s="16" t="str">
        <f>IFERROR(__xludf.DUMMYFUNCTION("""COMPUTED_VALUE"""),"Potion of Luck")</f>
        <v>Potion of Luck</v>
      </c>
      <c r="B343" s="16" t="str">
        <f>IFERROR(__xludf.DUMMYFUNCTION("""COMPUTED_VALUE"""),": + +Allows you to get an enemies highest loot role (Must be used during battle)")</f>
        <v>: + +Allows you to get an enemies highest loot role (Must be used during battle)</v>
      </c>
      <c r="C343" s="16" t="str">
        <f>IFERROR(__xludf.DUMMYFUNCTION("""COMPUTED_VALUE"""),"Item")</f>
        <v>Item</v>
      </c>
    </row>
    <row r="344">
      <c r="A344" s="16" t="str">
        <f>IFERROR(__xludf.DUMMYFUNCTION("""COMPUTED_VALUE"""),"Potion of Regeneration")</f>
        <v>Potion of Regeneration</v>
      </c>
      <c r="B344" s="16" t="str">
        <f>IFERROR(__xludf.DUMMYFUNCTION("""COMPUTED_VALUE"""),": + +500HP p/r for 3 rounds.")</f>
        <v>: + +500HP p/r for 3 rounds.</v>
      </c>
      <c r="C344" s="16" t="str">
        <f>IFERROR(__xludf.DUMMYFUNCTION("""COMPUTED_VALUE"""),"Item")</f>
        <v>Item</v>
      </c>
    </row>
    <row r="345">
      <c r="A345" s="16" t="str">
        <f>IFERROR(__xludf.DUMMYFUNCTION("""COMPUTED_VALUE"""),"Potion of Immunity")</f>
        <v>Potion of Immunity</v>
      </c>
      <c r="B345" s="16" t="str">
        <f>IFERROR(__xludf.DUMMYFUNCTION("""COMPUTED_VALUE"""),": + +Gain immunity to all attacks for 3 rounds.")</f>
        <v>: + +Gain immunity to all attacks for 3 rounds.</v>
      </c>
      <c r="C345" s="16" t="str">
        <f>IFERROR(__xludf.DUMMYFUNCTION("""COMPUTED_VALUE"""),"Item")</f>
        <v>Item</v>
      </c>
    </row>
    <row r="346">
      <c r="A346" s="16" t="str">
        <f>IFERROR(__xludf.DUMMYFUNCTION("""COMPUTED_VALUE"""),"Apple")</f>
        <v>Apple</v>
      </c>
      <c r="B346" s="16" t="str">
        <f>IFERROR(__xludf.DUMMYFUNCTION("""COMPUTED_VALUE"""),"5 hunger and thirst.")</f>
        <v>5 hunger and thirst.</v>
      </c>
      <c r="C346" s="16" t="str">
        <f>IFERROR(__xludf.DUMMYFUNCTION("""COMPUTED_VALUE"""),"Crop")</f>
        <v>Crop</v>
      </c>
    </row>
    <row r="347">
      <c r="A347" s="16" t="str">
        <f>IFERROR(__xludf.DUMMYFUNCTION("""COMPUTED_VALUE"""),"Watermelon")</f>
        <v>Watermelon</v>
      </c>
      <c r="B347" s="16" t="str">
        <f>IFERROR(__xludf.DUMMYFUNCTION("""COMPUTED_VALUE"""),"100 hunger, thirst, and energy. Feeds self and up to 2 party members.")</f>
        <v>100 hunger, thirst, and energy. Feeds self and up to 2 party members.</v>
      </c>
      <c r="C347" s="16" t="str">
        <f>IFERROR(__xludf.DUMMYFUNCTION("""COMPUTED_VALUE"""),"Crop")</f>
        <v>Crop</v>
      </c>
    </row>
    <row r="348">
      <c r="A348" s="16" t="str">
        <f>IFERROR(__xludf.DUMMYFUNCTION("""COMPUTED_VALUE"""),"Orange")</f>
        <v>Orange</v>
      </c>
      <c r="B348" s="16" t="str">
        <f>IFERROR(__xludf.DUMMYFUNCTION("""COMPUTED_VALUE"""),"5 hunger and thirst.")</f>
        <v>5 hunger and thirst.</v>
      </c>
      <c r="C348" s="16" t="str">
        <f>IFERROR(__xludf.DUMMYFUNCTION("""COMPUTED_VALUE"""),"Crop")</f>
        <v>Crop</v>
      </c>
    </row>
    <row r="349">
      <c r="A349" s="16" t="str">
        <f>IFERROR(__xludf.DUMMYFUNCTION("""COMPUTED_VALUE"""),"Pear")</f>
        <v>Pear</v>
      </c>
      <c r="B349" s="16" t="str">
        <f>IFERROR(__xludf.DUMMYFUNCTION("""COMPUTED_VALUE"""),"5 hunger and thirst.")</f>
        <v>5 hunger and thirst.</v>
      </c>
      <c r="C349" s="16" t="str">
        <f>IFERROR(__xludf.DUMMYFUNCTION("""COMPUTED_VALUE"""),"Crop")</f>
        <v>Crop</v>
      </c>
    </row>
    <row r="350">
      <c r="A350" s="16" t="str">
        <f>IFERROR(__xludf.DUMMYFUNCTION("""COMPUTED_VALUE"""),"Cherry")</f>
        <v>Cherry</v>
      </c>
      <c r="B350" s="16" t="str">
        <f>IFERROR(__xludf.DUMMYFUNCTION("""COMPUTED_VALUE"""),"5 hunger and thirst.")</f>
        <v>5 hunger and thirst.</v>
      </c>
      <c r="C350" s="16" t="str">
        <f>IFERROR(__xludf.DUMMYFUNCTION("""COMPUTED_VALUE"""),"Crop")</f>
        <v>Crop</v>
      </c>
    </row>
    <row r="351">
      <c r="A351" s="16" t="str">
        <f>IFERROR(__xludf.DUMMYFUNCTION("""COMPUTED_VALUE"""),"Strawberries")</f>
        <v>Strawberries</v>
      </c>
      <c r="B351" s="16" t="str">
        <f>IFERROR(__xludf.DUMMYFUNCTION("""COMPUTED_VALUE"""),"5 hunger and thirst.")</f>
        <v>5 hunger and thirst.</v>
      </c>
      <c r="C351" s="16" t="str">
        <f>IFERROR(__xludf.DUMMYFUNCTION("""COMPUTED_VALUE"""),"Crop")</f>
        <v>Crop</v>
      </c>
    </row>
    <row r="352">
      <c r="A352" s="16" t="str">
        <f>IFERROR(__xludf.DUMMYFUNCTION("""COMPUTED_VALUE"""),"Nectarine")</f>
        <v>Nectarine</v>
      </c>
      <c r="B352" s="16" t="str">
        <f>IFERROR(__xludf.DUMMYFUNCTION("""COMPUTED_VALUE"""),"5 hunger and thirst.")</f>
        <v>5 hunger and thirst.</v>
      </c>
      <c r="C352" s="16" t="str">
        <f>IFERROR(__xludf.DUMMYFUNCTION("""COMPUTED_VALUE"""),"Crop")</f>
        <v>Crop</v>
      </c>
    </row>
    <row r="353">
      <c r="A353" s="16" t="str">
        <f>IFERROR(__xludf.DUMMYFUNCTION("""COMPUTED_VALUE"""),"Grapes")</f>
        <v>Grapes</v>
      </c>
      <c r="B353" s="16" t="str">
        <f>IFERROR(__xludf.DUMMYFUNCTION("""COMPUTED_VALUE"""),"5 hunger and thirst.")</f>
        <v>5 hunger and thirst.</v>
      </c>
      <c r="C353" s="16" t="str">
        <f>IFERROR(__xludf.DUMMYFUNCTION("""COMPUTED_VALUE"""),"Crop")</f>
        <v>Crop</v>
      </c>
    </row>
    <row r="354">
      <c r="A354" s="16" t="str">
        <f>IFERROR(__xludf.DUMMYFUNCTION("""COMPUTED_VALUE"""),"Mango")</f>
        <v>Mango</v>
      </c>
      <c r="B354" s="16" t="str">
        <f>IFERROR(__xludf.DUMMYFUNCTION("""COMPUTED_VALUE"""),"5 hunger and thirst.")</f>
        <v>5 hunger and thirst.</v>
      </c>
      <c r="C354" s="16" t="str">
        <f>IFERROR(__xludf.DUMMYFUNCTION("""COMPUTED_VALUE"""),"Crop")</f>
        <v>Crop</v>
      </c>
    </row>
    <row r="355">
      <c r="A355" s="16" t="str">
        <f>IFERROR(__xludf.DUMMYFUNCTION("""COMPUTED_VALUE"""),"Blueberries")</f>
        <v>Blueberries</v>
      </c>
      <c r="B355" s="16" t="str">
        <f>IFERROR(__xludf.DUMMYFUNCTION("""COMPUTED_VALUE"""),"5 hunger and thirst.")</f>
        <v>5 hunger and thirst.</v>
      </c>
      <c r="C355" s="16" t="str">
        <f>IFERROR(__xludf.DUMMYFUNCTION("""COMPUTED_VALUE"""),"Crop")</f>
        <v>Crop</v>
      </c>
    </row>
    <row r="356">
      <c r="A356" s="16" t="str">
        <f>IFERROR(__xludf.DUMMYFUNCTION("""COMPUTED_VALUE"""),"Pomegranate")</f>
        <v>Pomegranate</v>
      </c>
      <c r="B356" s="16" t="str">
        <f>IFERROR(__xludf.DUMMYFUNCTION("""COMPUTED_VALUE"""),"10 hunger and thirst.")</f>
        <v>10 hunger and thirst.</v>
      </c>
      <c r="C356" s="16" t="str">
        <f>IFERROR(__xludf.DUMMYFUNCTION("""COMPUTED_VALUE"""),"Crop")</f>
        <v>Crop</v>
      </c>
    </row>
    <row r="357">
      <c r="A357" s="16" t="str">
        <f>IFERROR(__xludf.DUMMYFUNCTION("""COMPUTED_VALUE"""),"StarFruit")</f>
        <v>StarFruit</v>
      </c>
      <c r="B357" s="16" t="str">
        <f>IFERROR(__xludf.DUMMYFUNCTION("""COMPUTED_VALUE"""),"5 hunger and thirst.")</f>
        <v>5 hunger and thirst.</v>
      </c>
      <c r="C357" s="16" t="str">
        <f>IFERROR(__xludf.DUMMYFUNCTION("""COMPUTED_VALUE"""),"Crop")</f>
        <v>Crop</v>
      </c>
    </row>
    <row r="358">
      <c r="A358" s="16" t="str">
        <f>IFERROR(__xludf.DUMMYFUNCTION("""COMPUTED_VALUE"""),"Plum")</f>
        <v>Plum</v>
      </c>
      <c r="B358" s="16" t="str">
        <f>IFERROR(__xludf.DUMMYFUNCTION("""COMPUTED_VALUE"""),"5 hunger and thirst.")</f>
        <v>5 hunger and thirst.</v>
      </c>
      <c r="C358" s="16" t="str">
        <f>IFERROR(__xludf.DUMMYFUNCTION("""COMPUTED_VALUE"""),"Crop")</f>
        <v>Crop</v>
      </c>
    </row>
    <row r="359">
      <c r="A359" s="16" t="str">
        <f>IFERROR(__xludf.DUMMYFUNCTION("""COMPUTED_VALUE"""),"Bananas")</f>
        <v>Bananas</v>
      </c>
      <c r="B359" s="16" t="str">
        <f>IFERROR(__xludf.DUMMYFUNCTION("""COMPUTED_VALUE"""),"10 hunger.")</f>
        <v>10 hunger.</v>
      </c>
      <c r="C359" s="16" t="str">
        <f>IFERROR(__xludf.DUMMYFUNCTION("""COMPUTED_VALUE"""),"Crop")</f>
        <v>Crop</v>
      </c>
    </row>
    <row r="360">
      <c r="A360" s="16" t="str">
        <f>IFERROR(__xludf.DUMMYFUNCTION("""COMPUTED_VALUE"""),"Raspberry")</f>
        <v>Raspberry</v>
      </c>
      <c r="B360" s="16" t="str">
        <f>IFERROR(__xludf.DUMMYFUNCTION("""COMPUTED_VALUE"""),"5 hunger and thirst.")</f>
        <v>5 hunger and thirst.</v>
      </c>
      <c r="C360" s="16" t="str">
        <f>IFERROR(__xludf.DUMMYFUNCTION("""COMPUTED_VALUE"""),"Crop")</f>
        <v>Crop</v>
      </c>
    </row>
    <row r="361">
      <c r="A361" s="16" t="str">
        <f>IFERROR(__xludf.DUMMYFUNCTION("""COMPUTED_VALUE"""),"Mandarin")</f>
        <v>Mandarin</v>
      </c>
      <c r="B361" s="16" t="str">
        <f>IFERROR(__xludf.DUMMYFUNCTION("""COMPUTED_VALUE"""),"5 hunger and thirst.")</f>
        <v>5 hunger and thirst.</v>
      </c>
      <c r="C361" s="16" t="str">
        <f>IFERROR(__xludf.DUMMYFUNCTION("""COMPUTED_VALUE"""),"Crop")</f>
        <v>Crop</v>
      </c>
    </row>
    <row r="362">
      <c r="A362" s="16" t="str">
        <f>IFERROR(__xludf.DUMMYFUNCTION("""COMPUTED_VALUE"""),"Jackfruit")</f>
        <v>Jackfruit</v>
      </c>
      <c r="B362" s="16" t="str">
        <f>IFERROR(__xludf.DUMMYFUNCTION("""COMPUTED_VALUE"""),"5 hunger and thirst.")</f>
        <v>5 hunger and thirst.</v>
      </c>
      <c r="C362" s="16" t="str">
        <f>IFERROR(__xludf.DUMMYFUNCTION("""COMPUTED_VALUE"""),"Crop")</f>
        <v>Crop</v>
      </c>
    </row>
    <row r="363">
      <c r="A363" s="16" t="str">
        <f>IFERROR(__xludf.DUMMYFUNCTION("""COMPUTED_VALUE"""),"Papaya")</f>
        <v>Papaya</v>
      </c>
      <c r="B363" s="16" t="str">
        <f>IFERROR(__xludf.DUMMYFUNCTION("""COMPUTED_VALUE"""),"10 hunger and thirst.")</f>
        <v>10 hunger and thirst.</v>
      </c>
      <c r="C363" s="16" t="str">
        <f>IFERROR(__xludf.DUMMYFUNCTION("""COMPUTED_VALUE"""),"Crop")</f>
        <v>Crop</v>
      </c>
    </row>
    <row r="364">
      <c r="A364" s="16" t="str">
        <f>IFERROR(__xludf.DUMMYFUNCTION("""COMPUTED_VALUE"""),"Kiwi")</f>
        <v>Kiwi</v>
      </c>
      <c r="B364" s="16" t="str">
        <f>IFERROR(__xludf.DUMMYFUNCTION("""COMPUTED_VALUE"""),"5 hunger and thirst.")</f>
        <v>5 hunger and thirst.</v>
      </c>
      <c r="C364" s="16" t="str">
        <f>IFERROR(__xludf.DUMMYFUNCTION("""COMPUTED_VALUE"""),"Crop")</f>
        <v>Crop</v>
      </c>
    </row>
    <row r="365">
      <c r="A365" s="16" t="str">
        <f>IFERROR(__xludf.DUMMYFUNCTION("""COMPUTED_VALUE"""),"Pineapple")</f>
        <v>Pineapple</v>
      </c>
      <c r="B365" s="16" t="str">
        <f>IFERROR(__xludf.DUMMYFUNCTION("""COMPUTED_VALUE"""),"20 hunger and thirst.")</f>
        <v>20 hunger and thirst.</v>
      </c>
      <c r="C365" s="16" t="str">
        <f>IFERROR(__xludf.DUMMYFUNCTION("""COMPUTED_VALUE"""),"Crop")</f>
        <v>Crop</v>
      </c>
    </row>
    <row r="366">
      <c r="A366" s="16" t="str">
        <f>IFERROR(__xludf.DUMMYFUNCTION("""COMPUTED_VALUE"""),"Lime")</f>
        <v>Lime</v>
      </c>
      <c r="B366" s="16" t="str">
        <f>IFERROR(__xludf.DUMMYFUNCTION("""COMPUTED_VALUE"""),"5 hunger and thirst or 25% chance to lose 10 hunger and thirst.")</f>
        <v>5 hunger and thirst or 25% chance to lose 10 hunger and thirst.</v>
      </c>
      <c r="C366" s="16" t="str">
        <f>IFERROR(__xludf.DUMMYFUNCTION("""COMPUTED_VALUE"""),"Crop")</f>
        <v>Crop</v>
      </c>
    </row>
    <row r="367">
      <c r="A367" s="16" t="str">
        <f>IFERROR(__xludf.DUMMYFUNCTION("""COMPUTED_VALUE"""),"Lemon")</f>
        <v>Lemon</v>
      </c>
      <c r="B367" s="16" t="str">
        <f>IFERROR(__xludf.DUMMYFUNCTION("""COMPUTED_VALUE"""),"5 hunger and thirst or 50% chance to lose 10 hunger and thirst.")</f>
        <v>5 hunger and thirst or 50% chance to lose 10 hunger and thirst.</v>
      </c>
      <c r="C367" s="16" t="str">
        <f>IFERROR(__xludf.DUMMYFUNCTION("""COMPUTED_VALUE"""),"Crop")</f>
        <v>Crop</v>
      </c>
    </row>
    <row r="368">
      <c r="A368" s="16" t="str">
        <f>IFERROR(__xludf.DUMMYFUNCTION("""COMPUTED_VALUE"""),"Apricot")</f>
        <v>Apricot</v>
      </c>
      <c r="B368" s="16" t="str">
        <f>IFERROR(__xludf.DUMMYFUNCTION("""COMPUTED_VALUE"""),"5 hunger and thirst.")</f>
        <v>5 hunger and thirst.</v>
      </c>
      <c r="C368" s="16" t="str">
        <f>IFERROR(__xludf.DUMMYFUNCTION("""COMPUTED_VALUE"""),"Crop")</f>
        <v>Crop</v>
      </c>
    </row>
    <row r="369">
      <c r="A369" s="16" t="str">
        <f>IFERROR(__xludf.DUMMYFUNCTION("""COMPUTED_VALUE"""),"Grapefruit")</f>
        <v>Grapefruit</v>
      </c>
      <c r="B369" s="16" t="str">
        <f>IFERROR(__xludf.DUMMYFUNCTION("""COMPUTED_VALUE"""),"10 hunger and thirst.")</f>
        <v>10 hunger and thirst.</v>
      </c>
      <c r="C369" s="16" t="str">
        <f>IFERROR(__xludf.DUMMYFUNCTION("""COMPUTED_VALUE"""),"Crop")</f>
        <v>Crop</v>
      </c>
    </row>
    <row r="370">
      <c r="A370" s="16" t="str">
        <f>IFERROR(__xludf.DUMMYFUNCTION("""COMPUTED_VALUE"""),"Coconut")</f>
        <v>Coconut</v>
      </c>
      <c r="B370" s="16" t="str">
        <f>IFERROR(__xludf.DUMMYFUNCTION("""COMPUTED_VALUE"""),"10 hunger and thirst.")</f>
        <v>10 hunger and thirst.</v>
      </c>
      <c r="C370" s="16" t="str">
        <f>IFERROR(__xludf.DUMMYFUNCTION("""COMPUTED_VALUE"""),"Crop")</f>
        <v>Crop</v>
      </c>
    </row>
    <row r="371">
      <c r="A371" s="16" t="str">
        <f>IFERROR(__xludf.DUMMYFUNCTION("""COMPUTED_VALUE"""),"Avocado")</f>
        <v>Avocado</v>
      </c>
      <c r="B371" s="16" t="str">
        <f>IFERROR(__xludf.DUMMYFUNCTION("""COMPUTED_VALUE"""),"5 hunger.")</f>
        <v>5 hunger.</v>
      </c>
      <c r="C371" s="16" t="str">
        <f>IFERROR(__xludf.DUMMYFUNCTION("""COMPUTED_VALUE"""),"Crop")</f>
        <v>Crop</v>
      </c>
    </row>
    <row r="372">
      <c r="A372" s="16" t="str">
        <f>IFERROR(__xludf.DUMMYFUNCTION("""COMPUTED_VALUE"""),"Peach")</f>
        <v>Peach</v>
      </c>
      <c r="B372" s="16" t="str">
        <f>IFERROR(__xludf.DUMMYFUNCTION("""COMPUTED_VALUE"""),"5 hunger and thirst.")</f>
        <v>5 hunger and thirst.</v>
      </c>
      <c r="C372" s="16" t="str">
        <f>IFERROR(__xludf.DUMMYFUNCTION("""COMPUTED_VALUE"""),"Crop")</f>
        <v>Crop</v>
      </c>
    </row>
    <row r="373">
      <c r="A373" s="16" t="str">
        <f>IFERROR(__xludf.DUMMYFUNCTION("""COMPUTED_VALUE"""),"Corn")</f>
        <v>Corn</v>
      </c>
      <c r="B373" s="16" t="str">
        <f>IFERROR(__xludf.DUMMYFUNCTION("""COMPUTED_VALUE"""),"10 hunger.")</f>
        <v>10 hunger.</v>
      </c>
      <c r="C373" s="16" t="str">
        <f>IFERROR(__xludf.DUMMYFUNCTION("""COMPUTED_VALUE"""),"Crop")</f>
        <v>Crop</v>
      </c>
    </row>
    <row r="374">
      <c r="A374" s="16" t="str">
        <f>IFERROR(__xludf.DUMMYFUNCTION("""COMPUTED_VALUE"""),"Mushroom")</f>
        <v>Mushroom</v>
      </c>
      <c r="B374" s="16" t="str">
        <f>IFERROR(__xludf.DUMMYFUNCTION("""COMPUTED_VALUE"""),"10 hunger, 25% chance of wandering away from the party.")</f>
        <v>10 hunger, 25% chance of wandering away from the party.</v>
      </c>
      <c r="C374" s="16" t="str">
        <f>IFERROR(__xludf.DUMMYFUNCTION("""COMPUTED_VALUE"""),"Crop")</f>
        <v>Crop</v>
      </c>
    </row>
    <row r="375">
      <c r="A375" s="16" t="str">
        <f>IFERROR(__xludf.DUMMYFUNCTION("""COMPUTED_VALUE"""),"Broccoli")</f>
        <v>Broccoli</v>
      </c>
      <c r="B375" s="16" t="str">
        <f>IFERROR(__xludf.DUMMYFUNCTION("""COMPUTED_VALUE"""),"5 hunger")</f>
        <v>5 hunger</v>
      </c>
      <c r="C375" s="16" t="str">
        <f>IFERROR(__xludf.DUMMYFUNCTION("""COMPUTED_VALUE"""),"Crop")</f>
        <v>Crop</v>
      </c>
    </row>
    <row r="376">
      <c r="A376" s="16" t="str">
        <f>IFERROR(__xludf.DUMMYFUNCTION("""COMPUTED_VALUE"""),"Cucumber")</f>
        <v>Cucumber</v>
      </c>
      <c r="B376" s="16" t="str">
        <f>IFERROR(__xludf.DUMMYFUNCTION("""COMPUTED_VALUE"""),"5 hunger")</f>
        <v>5 hunger</v>
      </c>
      <c r="C376" s="16" t="str">
        <f>IFERROR(__xludf.DUMMYFUNCTION("""COMPUTED_VALUE"""),"Crop")</f>
        <v>Crop</v>
      </c>
    </row>
    <row r="377">
      <c r="A377" s="16" t="str">
        <f>IFERROR(__xludf.DUMMYFUNCTION("""COMPUTED_VALUE"""),"Red Pepper/Red Bell Pepper")</f>
        <v>Red Pepper/Red Bell Pepper</v>
      </c>
      <c r="B377" s="16" t="str">
        <f>IFERROR(__xludf.DUMMYFUNCTION("""COMPUTED_VALUE"""),"5 hunger")</f>
        <v>5 hunger</v>
      </c>
      <c r="C377" s="16" t="str">
        <f>IFERROR(__xludf.DUMMYFUNCTION("""COMPUTED_VALUE"""),"Crop")</f>
        <v>Crop</v>
      </c>
    </row>
    <row r="378">
      <c r="A378" s="16" t="str">
        <f>IFERROR(__xludf.DUMMYFUNCTION("""COMPUTED_VALUE"""),"Tomato")</f>
        <v>Tomato</v>
      </c>
      <c r="B378" s="16" t="str">
        <f>IFERROR(__xludf.DUMMYFUNCTION("""COMPUTED_VALUE"""),"5 hunger and thirst")</f>
        <v>5 hunger and thirst</v>
      </c>
      <c r="C378" s="16" t="str">
        <f>IFERROR(__xludf.DUMMYFUNCTION("""COMPUTED_VALUE"""),"Crop")</f>
        <v>Crop</v>
      </c>
    </row>
    <row r="379">
      <c r="A379" s="16" t="str">
        <f>IFERROR(__xludf.DUMMYFUNCTION("""COMPUTED_VALUE"""),"Carrot")</f>
        <v>Carrot</v>
      </c>
      <c r="B379" s="16" t="str">
        <f>IFERROR(__xludf.DUMMYFUNCTION("""COMPUTED_VALUE"""),"5 hunger")</f>
        <v>5 hunger</v>
      </c>
      <c r="C379" s="16" t="str">
        <f>IFERROR(__xludf.DUMMYFUNCTION("""COMPUTED_VALUE"""),"Crop")</f>
        <v>Crop</v>
      </c>
    </row>
    <row r="380">
      <c r="A380" s="16" t="str">
        <f>IFERROR(__xludf.DUMMYFUNCTION("""COMPUTED_VALUE"""),"Brussels Sprout")</f>
        <v>Brussels Sprout</v>
      </c>
      <c r="B380" s="16" t="str">
        <f>IFERROR(__xludf.DUMMYFUNCTION("""COMPUTED_VALUE"""),"5 hunger")</f>
        <v>5 hunger</v>
      </c>
      <c r="C380" s="16" t="str">
        <f>IFERROR(__xludf.DUMMYFUNCTION("""COMPUTED_VALUE"""),"Crop")</f>
        <v>Crop</v>
      </c>
    </row>
    <row r="381">
      <c r="A381" s="16" t="str">
        <f>IFERROR(__xludf.DUMMYFUNCTION("""COMPUTED_VALUE"""),"Cabbage")</f>
        <v>Cabbage</v>
      </c>
      <c r="B381" s="16" t="str">
        <f>IFERROR(__xludf.DUMMYFUNCTION("""COMPUTED_VALUE"""),"10 hunger")</f>
        <v>10 hunger</v>
      </c>
      <c r="C381" s="16" t="str">
        <f>IFERROR(__xludf.DUMMYFUNCTION("""COMPUTED_VALUE"""),"Crop")</f>
        <v>Crop</v>
      </c>
    </row>
    <row r="382">
      <c r="A382" s="16" t="str">
        <f>IFERROR(__xludf.DUMMYFUNCTION("""COMPUTED_VALUE"""),"Potato")</f>
        <v>Potato</v>
      </c>
      <c r="B382" s="16" t="str">
        <f>IFERROR(__xludf.DUMMYFUNCTION("""COMPUTED_VALUE"""),"5 hunger")</f>
        <v>5 hunger</v>
      </c>
      <c r="C382" s="16" t="str">
        <f>IFERROR(__xludf.DUMMYFUNCTION("""COMPUTED_VALUE"""),"Crop")</f>
        <v>Crop</v>
      </c>
    </row>
    <row r="383">
      <c r="A383" s="16" t="str">
        <f>IFERROR(__xludf.DUMMYFUNCTION("""COMPUTED_VALUE"""),"Eggplant")</f>
        <v>Eggplant</v>
      </c>
      <c r="B383" s="16" t="str">
        <f>IFERROR(__xludf.DUMMYFUNCTION("""COMPUTED_VALUE"""),"10 hunger")</f>
        <v>10 hunger</v>
      </c>
      <c r="C383" s="16" t="str">
        <f>IFERROR(__xludf.DUMMYFUNCTION("""COMPUTED_VALUE"""),"Crop")</f>
        <v>Crop</v>
      </c>
    </row>
    <row r="384">
      <c r="A384" s="16" t="str">
        <f>IFERROR(__xludf.DUMMYFUNCTION("""COMPUTED_VALUE"""),"Sweet Potato")</f>
        <v>Sweet Potato</v>
      </c>
      <c r="B384" s="16" t="str">
        <f>IFERROR(__xludf.DUMMYFUNCTION("""COMPUTED_VALUE"""),"5 hunger")</f>
        <v>5 hunger</v>
      </c>
      <c r="C384" s="16" t="str">
        <f>IFERROR(__xludf.DUMMYFUNCTION("""COMPUTED_VALUE"""),"Crop")</f>
        <v>Crop</v>
      </c>
    </row>
    <row r="385">
      <c r="A385" s="16" t="str">
        <f>IFERROR(__xludf.DUMMYFUNCTION("""COMPUTED_VALUE"""),"Turnip")</f>
        <v>Turnip</v>
      </c>
      <c r="B385" s="16" t="str">
        <f>IFERROR(__xludf.DUMMYFUNCTION("""COMPUTED_VALUE"""),"5 hunger")</f>
        <v>5 hunger</v>
      </c>
      <c r="C385" s="16" t="str">
        <f>IFERROR(__xludf.DUMMYFUNCTION("""COMPUTED_VALUE"""),"Crop")</f>
        <v>Crop</v>
      </c>
    </row>
    <row r="386">
      <c r="A386" s="16" t="str">
        <f>IFERROR(__xludf.DUMMYFUNCTION("""COMPUTED_VALUE"""),"Green Chilli")</f>
        <v>Green Chilli</v>
      </c>
      <c r="B386" s="16" t="str">
        <f>IFERROR(__xludf.DUMMYFUNCTION("""COMPUTED_VALUE"""),"5 hunger")</f>
        <v>5 hunger</v>
      </c>
      <c r="C386" s="16" t="str">
        <f>IFERROR(__xludf.DUMMYFUNCTION("""COMPUTED_VALUE"""),"Crop")</f>
        <v>Crop</v>
      </c>
    </row>
    <row r="387">
      <c r="A387" s="16" t="str">
        <f>IFERROR(__xludf.DUMMYFUNCTION("""COMPUTED_VALUE"""),"Onion")</f>
        <v>Onion</v>
      </c>
      <c r="B387" s="16" t="str">
        <f>IFERROR(__xludf.DUMMYFUNCTION("""COMPUTED_VALUE"""),"5 hunger, 50% Blindness 3 during the next battle.")</f>
        <v>5 hunger, 50% Blindness 3 during the next battle.</v>
      </c>
      <c r="C387" s="16" t="str">
        <f>IFERROR(__xludf.DUMMYFUNCTION("""COMPUTED_VALUE"""),"Crop")</f>
        <v>Crop</v>
      </c>
    </row>
    <row r="388">
      <c r="A388" s="16" t="str">
        <f>IFERROR(__xludf.DUMMYFUNCTION("""COMPUTED_VALUE"""),"Lettuce")</f>
        <v>Lettuce</v>
      </c>
      <c r="B388" s="16" t="str">
        <f>IFERROR(__xludf.DUMMYFUNCTION("""COMPUTED_VALUE"""),"5 hunger")</f>
        <v>5 hunger</v>
      </c>
      <c r="C388" s="16" t="str">
        <f>IFERROR(__xludf.DUMMYFUNCTION("""COMPUTED_VALUE"""),"Crop")</f>
        <v>Crop</v>
      </c>
    </row>
    <row r="389">
      <c r="A389" s="16" t="str">
        <f>IFERROR(__xludf.DUMMYFUNCTION("""COMPUTED_VALUE"""),"Radish")</f>
        <v>Radish</v>
      </c>
      <c r="B389" s="16" t="str">
        <f>IFERROR(__xludf.DUMMYFUNCTION("""COMPUTED_VALUE"""),"5 hunger")</f>
        <v>5 hunger</v>
      </c>
      <c r="C389" s="16" t="str">
        <f>IFERROR(__xludf.DUMMYFUNCTION("""COMPUTED_VALUE"""),"Crop")</f>
        <v>Crop</v>
      </c>
    </row>
    <row r="390">
      <c r="A390" s="16" t="str">
        <f>IFERROR(__xludf.DUMMYFUNCTION("""COMPUTED_VALUE"""),"Peas")</f>
        <v>Peas</v>
      </c>
      <c r="B390" s="16" t="str">
        <f>IFERROR(__xludf.DUMMYFUNCTION("""COMPUTED_VALUE"""),"5 hunger")</f>
        <v>5 hunger</v>
      </c>
      <c r="C390" s="16" t="str">
        <f>IFERROR(__xludf.DUMMYFUNCTION("""COMPUTED_VALUE"""),"Crop")</f>
        <v>Crop</v>
      </c>
    </row>
    <row r="391">
      <c r="A391" s="16" t="str">
        <f>IFERROR(__xludf.DUMMYFUNCTION("""COMPUTED_VALUE"""),"Asparagus")</f>
        <v>Asparagus</v>
      </c>
      <c r="B391" s="16" t="str">
        <f>IFERROR(__xludf.DUMMYFUNCTION("""COMPUTED_VALUE"""),"5 hunger")</f>
        <v>5 hunger</v>
      </c>
      <c r="C391" s="16" t="str">
        <f>IFERROR(__xludf.DUMMYFUNCTION("""COMPUTED_VALUE"""),"Crop")</f>
        <v>Crop</v>
      </c>
    </row>
    <row r="392">
      <c r="A392" s="16" t="str">
        <f>IFERROR(__xludf.DUMMYFUNCTION("""COMPUTED_VALUE"""),"Celery")</f>
        <v>Celery</v>
      </c>
      <c r="B392" s="16" t="str">
        <f>IFERROR(__xludf.DUMMYFUNCTION("""COMPUTED_VALUE"""),"5 hunger")</f>
        <v>5 hunger</v>
      </c>
      <c r="C392" s="16" t="str">
        <f>IFERROR(__xludf.DUMMYFUNCTION("""COMPUTED_VALUE"""),"Crop")</f>
        <v>Crop</v>
      </c>
    </row>
    <row r="393">
      <c r="A393" s="16" t="str">
        <f>IFERROR(__xludf.DUMMYFUNCTION("""COMPUTED_VALUE"""),"Green Pepper")</f>
        <v>Green Pepper</v>
      </c>
      <c r="B393" s="16" t="str">
        <f>IFERROR(__xludf.DUMMYFUNCTION("""COMPUTED_VALUE"""),"5 hunger")</f>
        <v>5 hunger</v>
      </c>
      <c r="C393" s="16" t="str">
        <f>IFERROR(__xludf.DUMMYFUNCTION("""COMPUTED_VALUE"""),"Crop")</f>
        <v>Crop</v>
      </c>
    </row>
    <row r="394">
      <c r="A394" s="16" t="str">
        <f>IFERROR(__xludf.DUMMYFUNCTION("""COMPUTED_VALUE"""),"French Beans")</f>
        <v>French Beans</v>
      </c>
      <c r="B394" s="16" t="str">
        <f>IFERROR(__xludf.DUMMYFUNCTION("""COMPUTED_VALUE"""),"5 hunger")</f>
        <v>5 hunger</v>
      </c>
      <c r="C394" s="16" t="str">
        <f>IFERROR(__xludf.DUMMYFUNCTION("""COMPUTED_VALUE"""),"Crop")</f>
        <v>Crop</v>
      </c>
    </row>
    <row r="395">
      <c r="A395" s="16" t="str">
        <f>IFERROR(__xludf.DUMMYFUNCTION("""COMPUTED_VALUE"""),"Spinach")</f>
        <v>Spinach</v>
      </c>
      <c r="B395" s="16" t="str">
        <f>IFERROR(__xludf.DUMMYFUNCTION("""COMPUTED_VALUE"""),"5 hunger")</f>
        <v>5 hunger</v>
      </c>
      <c r="C395" s="16" t="str">
        <f>IFERROR(__xludf.DUMMYFUNCTION("""COMPUTED_VALUE"""),"Crop")</f>
        <v>Crop</v>
      </c>
    </row>
    <row r="396">
      <c r="A396" s="16" t="str">
        <f>IFERROR(__xludf.DUMMYFUNCTION("""COMPUTED_VALUE"""),"Beetroot")</f>
        <v>Beetroot</v>
      </c>
      <c r="B396" s="16" t="str">
        <f>IFERROR(__xludf.DUMMYFUNCTION("""COMPUTED_VALUE"""),"5 hunger")</f>
        <v>5 hunger</v>
      </c>
      <c r="C396" s="16" t="str">
        <f>IFERROR(__xludf.DUMMYFUNCTION("""COMPUTED_VALUE"""),"Crop")</f>
        <v>Crop</v>
      </c>
    </row>
    <row r="397">
      <c r="A397" s="16" t="str">
        <f>IFERROR(__xludf.DUMMYFUNCTION("""COMPUTED_VALUE"""),"Red Chili Peppers ")</f>
        <v>Red Chili Peppers </v>
      </c>
      <c r="B397" s="16" t="str">
        <f>IFERROR(__xludf.DUMMYFUNCTION("""COMPUTED_VALUE"""),"5 hunger")</f>
        <v>5 hunger</v>
      </c>
      <c r="C397" s="16" t="str">
        <f>IFERROR(__xludf.DUMMYFUNCTION("""COMPUTED_VALUE"""),"Crop")</f>
        <v>Crop</v>
      </c>
    </row>
    <row r="398">
      <c r="A398" s="16"/>
      <c r="B398" s="16"/>
      <c r="C398" s="16" t="str">
        <f>IFERROR(__xludf.DUMMYFUNCTION("""COMPUTED_VALUE"""),"Item")</f>
        <v>Item</v>
      </c>
    </row>
    <row r="399">
      <c r="A399" s="16" t="str">
        <f>IFERROR(__xludf.DUMMYFUNCTION("""COMPUTED_VALUE"""),"Crystal Apple")</f>
        <v>Crystal Apple</v>
      </c>
      <c r="B399" s="16" t="str">
        <f>IFERROR(__xludf.DUMMYFUNCTION("""COMPUTED_VALUE"""),"When consumed X2 additional Damage towards the users weapons. (Can only use 1 per battle)")</f>
        <v>When consumed X2 additional Damage towards the users weapons. (Can only use 1 per battle)</v>
      </c>
      <c r="C399" s="16" t="str">
        <f>IFERROR(__xludf.DUMMYFUNCTION("""COMPUTED_VALUE"""),"Item")</f>
        <v>Item</v>
      </c>
    </row>
    <row r="400">
      <c r="A400" s="16" t="str">
        <f>IFERROR(__xludf.DUMMYFUNCTION("""COMPUTED_VALUE"""),"Dark Crystal Shard")</f>
        <v>Dark Crystal Shard</v>
      </c>
      <c r="B400" s="16" t="str">
        <f>IFERROR(__xludf.DUMMYFUNCTION("""COMPUTED_VALUE"""),"Quest item, Crafting Material, roll a d20 to see how many you get if this is a loot drop.")</f>
        <v>Quest item, Crafting Material, roll a d20 to see how many you get if this is a loot drop.</v>
      </c>
      <c r="C400" s="16" t="str">
        <f>IFERROR(__xludf.DUMMYFUNCTION("""COMPUTED_VALUE"""),"Item")</f>
        <v>Item</v>
      </c>
    </row>
    <row r="401">
      <c r="A401" s="16" t="str">
        <f>IFERROR(__xludf.DUMMYFUNCTION("""COMPUTED_VALUE"""),"Small Fuel Canister")</f>
        <v>Small Fuel Canister</v>
      </c>
      <c r="B401" s="16" t="str">
        <f>IFERROR(__xludf.DUMMYFUNCTION("""COMPUTED_VALUE"""),"Restores 100 Fuel")</f>
        <v>Restores 100 Fuel</v>
      </c>
      <c r="C401" s="16" t="str">
        <f>IFERROR(__xludf.DUMMYFUNCTION("""COMPUTED_VALUE"""),"Item")</f>
        <v>Item</v>
      </c>
    </row>
    <row r="402">
      <c r="A402" s="16" t="str">
        <f>IFERROR(__xludf.DUMMYFUNCTION("""COMPUTED_VALUE"""),"Medium Fuel Canister")</f>
        <v>Medium Fuel Canister</v>
      </c>
      <c r="B402" s="16" t="str">
        <f>IFERROR(__xludf.DUMMYFUNCTION("""COMPUTED_VALUE"""),"Restores 250 Fuel")</f>
        <v>Restores 250 Fuel</v>
      </c>
      <c r="C402" s="16" t="str">
        <f>IFERROR(__xludf.DUMMYFUNCTION("""COMPUTED_VALUE"""),"Item")</f>
        <v>Item</v>
      </c>
    </row>
    <row r="403">
      <c r="A403" s="16" t="str">
        <f>IFERROR(__xludf.DUMMYFUNCTION("""COMPUTED_VALUE"""),"Large Fuel Canister")</f>
        <v>Large Fuel Canister</v>
      </c>
      <c r="B403" s="16" t="str">
        <f>IFERROR(__xludf.DUMMYFUNCTION("""COMPUTED_VALUE"""),"Restores 500 Fuel")</f>
        <v>Restores 500 Fuel</v>
      </c>
      <c r="C403" s="16" t="str">
        <f>IFERROR(__xludf.DUMMYFUNCTION("""COMPUTED_VALUE"""),"Item")</f>
        <v>Item</v>
      </c>
    </row>
    <row r="404">
      <c r="A404" s="16" t="str">
        <f>IFERROR(__xludf.DUMMYFUNCTION("""COMPUTED_VALUE"""),"Letter from the Lord of Spira")</f>
        <v>Letter from the Lord of Spira</v>
      </c>
      <c r="B404" s="16" t="str">
        <f>IFERROR(__xludf.DUMMYFUNCTION("""COMPUTED_VALUE"""),"Absolved from all crimes whitin The Land of Spira. Can only be used once, Cannot be duplicated")</f>
        <v>Absolved from all crimes whitin The Land of Spira. Can only be used once, Cannot be duplicated</v>
      </c>
      <c r="C404" s="16" t="str">
        <f>IFERROR(__xludf.DUMMYFUNCTION("""COMPUTED_VALUE"""),"Item")</f>
        <v>Item</v>
      </c>
    </row>
    <row r="405">
      <c r="A405" s="16" t="str">
        <f>IFERROR(__xludf.DUMMYFUNCTION("""COMPUTED_VALUE"""),"Scroll of Bad Dreams")</f>
        <v>Scroll of Bad Dreams</v>
      </c>
      <c r="B405" s="16" t="str">
        <f>IFERROR(__xludf.DUMMYFUNCTION("""COMPUTED_VALUE"""),"if you can learn the power you may absorb it and put it in your spell book, otherwise you can read the scroll to use the power once")</f>
        <v>if you can learn the power you may absorb it and put it in your spell book, otherwise you can read the scroll to use the power once</v>
      </c>
      <c r="C405" s="16" t="str">
        <f>IFERROR(__xludf.DUMMYFUNCTION("""COMPUTED_VALUE"""),"Item")</f>
        <v>Item</v>
      </c>
    </row>
    <row r="406">
      <c r="A406" s="16" t="str">
        <f>IFERROR(__xludf.DUMMYFUNCTION("""COMPUTED_VALUE"""),"A Jar of Blood")</f>
        <v>A Jar of Blood</v>
      </c>
      <c r="B406" s="16" t="str">
        <f>IFERROR(__xludf.DUMMYFUNCTION("""COMPUTED_VALUE"""),"Crafting Material, roll a d20 to see how many you get if this is a loot drop.")</f>
        <v>Crafting Material, roll a d20 to see how many you get if this is a loot drop.</v>
      </c>
      <c r="C406" s="16" t="str">
        <f>IFERROR(__xludf.DUMMYFUNCTION("""COMPUTED_VALUE"""),"Item")</f>
        <v>Item</v>
      </c>
    </row>
    <row r="407">
      <c r="A407" s="16" t="str">
        <f>IFERROR(__xludf.DUMMYFUNCTION("""COMPUTED_VALUE"""),"Demon Blood")</f>
        <v>Demon Blood</v>
      </c>
      <c r="B407" s="16" t="str">
        <f>IFERROR(__xludf.DUMMYFUNCTION("""COMPUTED_VALUE"""),"Crafting Material, roll a d20 to see how many you get if this is a loot drop.")</f>
        <v>Crafting Material, roll a d20 to see how many you get if this is a loot drop.</v>
      </c>
      <c r="C407" s="16" t="str">
        <f>IFERROR(__xludf.DUMMYFUNCTION("""COMPUTED_VALUE"""),"Item")</f>
        <v>Item</v>
      </c>
    </row>
    <row r="408">
      <c r="A408" s="16" t="str">
        <f>IFERROR(__xludf.DUMMYFUNCTION("""COMPUTED_VALUE"""),"Demon Skull")</f>
        <v>Demon Skull</v>
      </c>
      <c r="B408" s="16" t="str">
        <f>IFERROR(__xludf.DUMMYFUNCTION("""COMPUTED_VALUE"""),"Crafting Material, roll a d20 to see how many you get if this is a loot drop.")</f>
        <v>Crafting Material, roll a d20 to see how many you get if this is a loot drop.</v>
      </c>
      <c r="C408" s="16" t="str">
        <f>IFERROR(__xludf.DUMMYFUNCTION("""COMPUTED_VALUE"""),"Item")</f>
        <v>Item</v>
      </c>
    </row>
    <row r="409">
      <c r="A409" s="16" t="str">
        <f>IFERROR(__xludf.DUMMYFUNCTION("""COMPUTED_VALUE"""),"Volcanic Teeth")</f>
        <v>Volcanic Teeth</v>
      </c>
      <c r="B409" s="16" t="str">
        <f>IFERROR(__xludf.DUMMYFUNCTION("""COMPUTED_VALUE"""),"Crafting Material, roll a d20 to see how many you get if this is a loot drop.")</f>
        <v>Crafting Material, roll a d20 to see how many you get if this is a loot drop.</v>
      </c>
      <c r="C409" s="16" t="str">
        <f>IFERROR(__xludf.DUMMYFUNCTION("""COMPUTED_VALUE"""),"Item")</f>
        <v>Item</v>
      </c>
    </row>
    <row r="410">
      <c r="A410" s="16" t="str">
        <f>IFERROR(__xludf.DUMMYFUNCTION("""COMPUTED_VALUE"""),"Volcanic Serpent Teeth ")</f>
        <v>Volcanic Serpent Teeth </v>
      </c>
      <c r="B410" s="16" t="str">
        <f>IFERROR(__xludf.DUMMYFUNCTION("""COMPUTED_VALUE"""),"Crafting Material, roll a d20 to see how many you get if this is a loot drop.")</f>
        <v>Crafting Material, roll a d20 to see how many you get if this is a loot drop.</v>
      </c>
      <c r="C410" s="16" t="str">
        <f>IFERROR(__xludf.DUMMYFUNCTION("""COMPUTED_VALUE"""),"Item")</f>
        <v>Item</v>
      </c>
    </row>
    <row r="411">
      <c r="A411" s="16" t="str">
        <f>IFERROR(__xludf.DUMMYFUNCTION("""COMPUTED_VALUE"""),"Volcanic Serpent Scales")</f>
        <v>Volcanic Serpent Scales</v>
      </c>
      <c r="B411" s="16" t="str">
        <f>IFERROR(__xludf.DUMMYFUNCTION("""COMPUTED_VALUE"""),"Crafting Material, roll a d20 to see how many you get if this is a loot drop.")</f>
        <v>Crafting Material, roll a d20 to see how many you get if this is a loot drop.</v>
      </c>
      <c r="C411" s="16" t="str">
        <f>IFERROR(__xludf.DUMMYFUNCTION("""COMPUTED_VALUE"""),"Item")</f>
        <v>Item</v>
      </c>
    </row>
    <row r="412">
      <c r="A412" s="16" t="str">
        <f>IFERROR(__xludf.DUMMYFUNCTION("""COMPUTED_VALUE"""),"Lava Panther Leather")</f>
        <v>Lava Panther Leather</v>
      </c>
      <c r="B412" s="16" t="str">
        <f>IFERROR(__xludf.DUMMYFUNCTION("""COMPUTED_VALUE"""),"Crafting Material, roll a d20 to see how many you get if this is a loot drop.")</f>
        <v>Crafting Material, roll a d20 to see how many you get if this is a loot drop.</v>
      </c>
      <c r="C412" s="16" t="str">
        <f>IFERROR(__xludf.DUMMYFUNCTION("""COMPUTED_VALUE"""),"Item")</f>
        <v>Item</v>
      </c>
    </row>
    <row r="413">
      <c r="A413" s="16" t="str">
        <f>IFERROR(__xludf.DUMMYFUNCTION("""COMPUTED_VALUE"""),"Endless Dark Core")</f>
        <v>Endless Dark Core</v>
      </c>
      <c r="B413" s="16" t="str">
        <f>IFERROR(__xludf.DUMMYFUNCTION("""COMPUTED_VALUE"""),"Return a banished character from banishment without having to fight the Keeper of the Banished. (1 use)")</f>
        <v>Return a banished character from banishment without having to fight the Keeper of the Banished. (1 use)</v>
      </c>
      <c r="C413" s="16" t="str">
        <f>IFERROR(__xludf.DUMMYFUNCTION("""COMPUTED_VALUE"""),"Item")</f>
        <v>Item</v>
      </c>
    </row>
    <row r="414">
      <c r="A414" s="16" t="str">
        <f>IFERROR(__xludf.DUMMYFUNCTION("""COMPUTED_VALUE"""),"Endless Dark Dragon Scales")</f>
        <v>Endless Dark Dragon Scales</v>
      </c>
      <c r="B414" s="16" t="str">
        <f>IFERROR(__xludf.DUMMYFUNCTION("""COMPUTED_VALUE"""),"Crafting Material, roll a d20 to see how many you get if this is a loot drop.")</f>
        <v>Crafting Material, roll a d20 to see how many you get if this is a loot drop.</v>
      </c>
      <c r="C414" s="16" t="str">
        <f>IFERROR(__xludf.DUMMYFUNCTION("""COMPUTED_VALUE"""),"Item")</f>
        <v>Item</v>
      </c>
    </row>
    <row r="415">
      <c r="A415" s="16" t="str">
        <f>IFERROR(__xludf.DUMMYFUNCTION("""COMPUTED_VALUE"""),"Magma Stone")</f>
        <v>Magma Stone</v>
      </c>
      <c r="B415" s="16" t="str">
        <f>IFERROR(__xludf.DUMMYFUNCTION("""COMPUTED_VALUE"""),"Crafting Material, roll a d20 to see how many you get if this is a loot drop.")</f>
        <v>Crafting Material, roll a d20 to see how many you get if this is a loot drop.</v>
      </c>
      <c r="C415" s="16" t="str">
        <f>IFERROR(__xludf.DUMMYFUNCTION("""COMPUTED_VALUE"""),"Item")</f>
        <v>Item</v>
      </c>
    </row>
    <row r="416">
      <c r="A416" s="16" t="str">
        <f>IFERROR(__xludf.DUMMYFUNCTION("""COMPUTED_VALUE"""),"Inferno Feather")</f>
        <v>Inferno Feather</v>
      </c>
      <c r="B416" s="16" t="str">
        <f>IFERROR(__xludf.DUMMYFUNCTION("""COMPUTED_VALUE"""),"Crafting Material, roll a d20 to see how many you get if this is a loot drop.")</f>
        <v>Crafting Material, roll a d20 to see how many you get if this is a loot drop.</v>
      </c>
      <c r="C416" s="16" t="str">
        <f>IFERROR(__xludf.DUMMYFUNCTION("""COMPUTED_VALUE"""),"Item")</f>
        <v>Item</v>
      </c>
    </row>
    <row r="417">
      <c r="A417" s="16" t="str">
        <f>IFERROR(__xludf.DUMMYFUNCTION("""COMPUTED_VALUE"""),"Ancient Stone Medallion")</f>
        <v>Ancient Stone Medallion</v>
      </c>
      <c r="B417" s="16" t="str">
        <f>IFERROR(__xludf.DUMMYFUNCTION("""COMPUTED_VALUE"""),"Allows access to the Ruins of Mana.")</f>
        <v>Allows access to the Ruins of Mana.</v>
      </c>
      <c r="C417" s="16" t="str">
        <f>IFERROR(__xludf.DUMMYFUNCTION("""COMPUTED_VALUE"""),"Item")</f>
        <v>Item</v>
      </c>
    </row>
    <row r="418">
      <c r="A418" s="16" t="str">
        <f>IFERROR(__xludf.DUMMYFUNCTION("""COMPUTED_VALUE"""),"Vial of Unknown Liquid")</f>
        <v>Vial of Unknown Liquid</v>
      </c>
      <c r="B418" s="16" t="str">
        <f>IFERROR(__xludf.DUMMYFUNCTION("""COMPUTED_VALUE"""),"When consumed, roll a d20. For the next 3 rounds, lose the result d20x100 health and gain the result d20x500SP.")</f>
        <v>When consumed, roll a d20. For the next 3 rounds, lose the result d20x100 health and gain the result d20x500SP.</v>
      </c>
      <c r="C418" s="16" t="str">
        <f>IFERROR(__xludf.DUMMYFUNCTION("""COMPUTED_VALUE"""),"Item")</f>
        <v>Item</v>
      </c>
    </row>
    <row r="419">
      <c r="A419" s="16" t="str">
        <f>IFERROR(__xludf.DUMMYFUNCTION("""COMPUTED_VALUE"""),"Diamond Fishing Pole ")</f>
        <v>Diamond Fishing Pole </v>
      </c>
      <c r="B419" s="16" t="str">
        <f>IFERROR(__xludf.DUMMYFUNCTION("""COMPUTED_VALUE"""),"100/100 Uses. Used for fishing.")</f>
        <v>100/100 Uses. Used for fishing.</v>
      </c>
      <c r="C419" s="16" t="str">
        <f>IFERROR(__xludf.DUMMYFUNCTION("""COMPUTED_VALUE"""),"Item")</f>
        <v>Item</v>
      </c>
    </row>
    <row r="420">
      <c r="A420" s="16" t="str">
        <f>IFERROR(__xludf.DUMMYFUNCTION("""COMPUTED_VALUE"""),"Obsidian Fishing Pole ")</f>
        <v>Obsidian Fishing Pole </v>
      </c>
      <c r="B420" s="16" t="str">
        <f>IFERROR(__xludf.DUMMYFUNCTION("""COMPUTED_VALUE"""),"120/120 Uses. Used for fishing.")</f>
        <v>120/120 Uses. Used for fishing.</v>
      </c>
      <c r="C420" s="16" t="str">
        <f>IFERROR(__xludf.DUMMYFUNCTION("""COMPUTED_VALUE"""),"Item")</f>
        <v>Item</v>
      </c>
    </row>
    <row r="421">
      <c r="A421" s="16" t="str">
        <f>IFERROR(__xludf.DUMMYFUNCTION("""COMPUTED_VALUE"""),"Golden Pickaxe")</f>
        <v>Golden Pickaxe</v>
      </c>
      <c r="B421" s="16" t="str">
        <f>IFERROR(__xludf.DUMMYFUNCTION("""COMPUTED_VALUE"""),"80/80 Uses. Used for mining.")</f>
        <v>80/80 Uses. Used for mining.</v>
      </c>
      <c r="C421" s="16" t="str">
        <f>IFERROR(__xludf.DUMMYFUNCTION("""COMPUTED_VALUE"""),"Item")</f>
        <v>Item</v>
      </c>
    </row>
    <row r="422">
      <c r="A422" s="16" t="str">
        <f>IFERROR(__xludf.DUMMYFUNCTION("""COMPUTED_VALUE"""),"Wooden Pickaxe")</f>
        <v>Wooden Pickaxe</v>
      </c>
      <c r="B422" s="16" t="str">
        <f>IFERROR(__xludf.DUMMYFUNCTION("""COMPUTED_VALUE"""),"10/10 Uses. Used for mining.")</f>
        <v>10/10 Uses. Used for mining.</v>
      </c>
      <c r="C422" s="16" t="str">
        <f>IFERROR(__xludf.DUMMYFUNCTION("""COMPUTED_VALUE"""),"Item")</f>
        <v>Item</v>
      </c>
    </row>
    <row r="423">
      <c r="A423" s="16" t="str">
        <f>IFERROR(__xludf.DUMMYFUNCTION("""COMPUTED_VALUE"""),"Iron Pickaxe")</f>
        <v>Iron Pickaxe</v>
      </c>
      <c r="B423" s="16" t="str">
        <f>IFERROR(__xludf.DUMMYFUNCTION("""COMPUTED_VALUE"""),"20/20 Uses. Used for mining.")</f>
        <v>20/20 Uses. Used for mining.</v>
      </c>
      <c r="C423" s="16" t="str">
        <f>IFERROR(__xludf.DUMMYFUNCTION("""COMPUTED_VALUE"""),"Item")</f>
        <v>Item</v>
      </c>
    </row>
    <row r="424">
      <c r="A424" s="16" t="str">
        <f>IFERROR(__xludf.DUMMYFUNCTION("""COMPUTED_VALUE"""),"Silver Pickaxe")</f>
        <v>Silver Pickaxe</v>
      </c>
      <c r="B424" s="16" t="str">
        <f>IFERROR(__xludf.DUMMYFUNCTION("""COMPUTED_VALUE"""),"60/60 Uses. Used for mining.")</f>
        <v>60/60 Uses. Used for mining.</v>
      </c>
      <c r="C424" s="16" t="str">
        <f>IFERROR(__xludf.DUMMYFUNCTION("""COMPUTED_VALUE"""),"Item")</f>
        <v>Item</v>
      </c>
    </row>
    <row r="425">
      <c r="A425" s="16" t="str">
        <f>IFERROR(__xludf.DUMMYFUNCTION("""COMPUTED_VALUE"""),"Diamond Pickaxe")</f>
        <v>Diamond Pickaxe</v>
      </c>
      <c r="B425" s="16" t="str">
        <f>IFERROR(__xludf.DUMMYFUNCTION("""COMPUTED_VALUE"""),"100/100 Uses. Used for mining.")</f>
        <v>100/100 Uses. Used for mining.</v>
      </c>
      <c r="C425" s="16" t="str">
        <f>IFERROR(__xludf.DUMMYFUNCTION("""COMPUTED_VALUE"""),"Item")</f>
        <v>Item</v>
      </c>
    </row>
    <row r="426">
      <c r="A426" s="16" t="str">
        <f>IFERROR(__xludf.DUMMYFUNCTION("""COMPUTED_VALUE"""),"Obsidian Pickaxe")</f>
        <v>Obsidian Pickaxe</v>
      </c>
      <c r="B426" s="16" t="str">
        <f>IFERROR(__xludf.DUMMYFUNCTION("""COMPUTED_VALUE"""),"120/120 Uses. Used for mining.")</f>
        <v>120/120 Uses. Used for mining.</v>
      </c>
      <c r="C426" s="16" t="str">
        <f>IFERROR(__xludf.DUMMYFUNCTION("""COMPUTED_VALUE"""),"Item")</f>
        <v>Item</v>
      </c>
    </row>
    <row r="427">
      <c r="A427" s="16" t="str">
        <f>IFERROR(__xludf.DUMMYFUNCTION("""COMPUTED_VALUE"""),"Fire Fishing Pole ")</f>
        <v>Fire Fishing Pole </v>
      </c>
      <c r="B427" s="16" t="str">
        <f>IFERROR(__xludf.DUMMYFUNCTION("""COMPUTED_VALUE"""),"Made out of Iron. 20/20 Uses. Will cook fish caught giving them an additional hunger. Used for fishing.")</f>
        <v>Made out of Iron. 20/20 Uses. Will cook fish caught giving them an additional hunger. Used for fishing.</v>
      </c>
      <c r="C427" s="16" t="str">
        <f>IFERROR(__xludf.DUMMYFUNCTION("""COMPUTED_VALUE"""),"Crop")</f>
        <v>Crop</v>
      </c>
    </row>
    <row r="428">
      <c r="A428" s="16" t="str">
        <f>IFERROR(__xludf.DUMMYFUNCTION("""COMPUTED_VALUE"""),"Golden Fishing Pole ")</f>
        <v>Golden Fishing Pole </v>
      </c>
      <c r="B428" s="16" t="str">
        <f>IFERROR(__xludf.DUMMYFUNCTION("""COMPUTED_VALUE"""),"80/80 uses. Used for fishing.")</f>
        <v>80/80 uses. Used for fishing.</v>
      </c>
      <c r="C428" s="16" t="str">
        <f>IFERROR(__xludf.DUMMYFUNCTION("""COMPUTED_VALUE"""),"Item")</f>
        <v>Item</v>
      </c>
    </row>
    <row r="429">
      <c r="A429" s="16" t="str">
        <f>IFERROR(__xludf.DUMMYFUNCTION("""COMPUTED_VALUE"""),"Wooden Fishing Pole ")</f>
        <v>Wooden Fishing Pole </v>
      </c>
      <c r="B429" s="16" t="str">
        <f>IFERROR(__xludf.DUMMYFUNCTION("""COMPUTED_VALUE"""),"10/10 uses. Used for fishing.")</f>
        <v>10/10 uses. Used for fishing.</v>
      </c>
      <c r="C429" s="16" t="str">
        <f>IFERROR(__xludf.DUMMYFUNCTION("""COMPUTED_VALUE"""),"Item")</f>
        <v>Item</v>
      </c>
    </row>
    <row r="430">
      <c r="A430" s="16" t="str">
        <f>IFERROR(__xludf.DUMMYFUNCTION("""COMPUTED_VALUE"""),"Steel Fishing Pole ")</f>
        <v>Steel Fishing Pole </v>
      </c>
      <c r="B430" s="16" t="str">
        <f>IFERROR(__xludf.DUMMYFUNCTION("""COMPUTED_VALUE"""),"40/40 Uses. Used for fishing.")</f>
        <v>40/40 Uses. Used for fishing.</v>
      </c>
      <c r="C430" s="16" t="str">
        <f>IFERROR(__xludf.DUMMYFUNCTION("""COMPUTED_VALUE"""),"Item")</f>
        <v>Item</v>
      </c>
    </row>
    <row r="431">
      <c r="A431" s="16" t="str">
        <f>IFERROR(__xludf.DUMMYFUNCTION("""COMPUTED_VALUE"""),"Silver Fishing Pole ")</f>
        <v>Silver Fishing Pole </v>
      </c>
      <c r="B431" s="16" t="str">
        <f>IFERROR(__xludf.DUMMYFUNCTION("""COMPUTED_VALUE"""),"60/60 Uses. Used for fishing.")</f>
        <v>60/60 Uses. Used for fishing.</v>
      </c>
      <c r="C431" s="16" t="str">
        <f>IFERROR(__xludf.DUMMYFUNCTION("""COMPUTED_VALUE"""),"Item")</f>
        <v>Item</v>
      </c>
    </row>
    <row r="432">
      <c r="A432" s="16" t="str">
        <f>IFERROR(__xludf.DUMMYFUNCTION("""COMPUTED_VALUE"""),"Iron Fishing Pole ")</f>
        <v>Iron Fishing Pole </v>
      </c>
      <c r="B432" s="16" t="str">
        <f>IFERROR(__xludf.DUMMYFUNCTION("""COMPUTED_VALUE"""),"20/20 Uses. Used for fishing.")</f>
        <v>20/20 Uses. Used for fishing.</v>
      </c>
      <c r="C432" s="16" t="str">
        <f>IFERROR(__xludf.DUMMYFUNCTION("""COMPUTED_VALUE"""),"Item")</f>
        <v>Item</v>
      </c>
    </row>
    <row r="433">
      <c r="A433" s="16" t="str">
        <f>IFERROR(__xludf.DUMMYFUNCTION("""COMPUTED_VALUE"""),"Elemental Crystal")</f>
        <v>Elemental Crystal</v>
      </c>
      <c r="B433" s="16" t="str">
        <f>IFERROR(__xludf.DUMMYFUNCTION("""COMPUTED_VALUE"""),"Crafting Material, roll a d20 to see how many you get if this is a loot drop.")</f>
        <v>Crafting Material, roll a d20 to see how many you get if this is a loot drop.</v>
      </c>
      <c r="C433" s="16" t="str">
        <f>IFERROR(__xludf.DUMMYFUNCTION("""COMPUTED_VALUE"""),"Item")</f>
        <v>Item</v>
      </c>
    </row>
    <row r="434">
      <c r="A434" s="16" t="str">
        <f>IFERROR(__xludf.DUMMYFUNCTION("""COMPUTED_VALUE"""),"Leather")</f>
        <v>Leather</v>
      </c>
      <c r="B434" s="16" t="str">
        <f>IFERROR(__xludf.DUMMYFUNCTION("""COMPUTED_VALUE"""),"Crafting Material, roll a d20 to see how many you get if this is a loot drop.")</f>
        <v>Crafting Material, roll a d20 to see how many you get if this is a loot drop.</v>
      </c>
      <c r="C434" s="16" t="str">
        <f>IFERROR(__xludf.DUMMYFUNCTION("""COMPUTED_VALUE"""),"Item")</f>
        <v>Item</v>
      </c>
    </row>
    <row r="435">
      <c r="A435" s="16" t="str">
        <f>IFERROR(__xludf.DUMMYFUNCTION("""COMPUTED_VALUE"""),"Pearlescent Fishing Rod ")</f>
        <v>Pearlescent Fishing Rod </v>
      </c>
      <c r="B435" s="16" t="str">
        <f>IFERROR(__xludf.DUMMYFUNCTION("""COMPUTED_VALUE"""),"Allows lava fishing, Unbreakable.")</f>
        <v>Allows lava fishing, Unbreakable.</v>
      </c>
      <c r="C435" s="16" t="str">
        <f>IFERROR(__xludf.DUMMYFUNCTION("""COMPUTED_VALUE"""),"Item")</f>
        <v>Item</v>
      </c>
    </row>
    <row r="436">
      <c r="A436" s="16" t="str">
        <f>IFERROR(__xludf.DUMMYFUNCTION("""COMPUTED_VALUE"""),"Mithril")</f>
        <v>Mithril</v>
      </c>
      <c r="B436" s="16" t="str">
        <f>IFERROR(__xludf.DUMMYFUNCTION("""COMPUTED_VALUE"""),"Crafting Material, roll a d20 to see how many you get if this is a loot drop. A celestial stone holding minor heavenly power.")</f>
        <v>Crafting Material, roll a d20 to see how many you get if this is a loot drop. A celestial stone holding minor heavenly power.</v>
      </c>
      <c r="C436" s="16" t="str">
        <f>IFERROR(__xludf.DUMMYFUNCTION("""COMPUTED_VALUE"""),"Item")</f>
        <v>Item</v>
      </c>
    </row>
    <row r="437">
      <c r="A437" s="16" t="str">
        <f>IFERROR(__xludf.DUMMYFUNCTION("""COMPUTED_VALUE"""),"Enchanted Leather")</f>
        <v>Enchanted Leather</v>
      </c>
      <c r="B437" s="16" t="str">
        <f>IFERROR(__xludf.DUMMYFUNCTION("""COMPUTED_VALUE"""),"Crafting Material, roll a d20 to see how many you get if this is a loot drop.")</f>
        <v>Crafting Material, roll a d20 to see how many you get if this is a loot drop.</v>
      </c>
      <c r="C437" s="16" t="str">
        <f>IFERROR(__xludf.DUMMYFUNCTION("""COMPUTED_VALUE"""),"Item")</f>
        <v>Item</v>
      </c>
    </row>
    <row r="438">
      <c r="A438" s="16" t="str">
        <f>IFERROR(__xludf.DUMMYFUNCTION("""COMPUTED_VALUE"""),"Dart")</f>
        <v>Dart</v>
      </c>
      <c r="B438" s="16" t="str">
        <f>IFERROR(__xludf.DUMMYFUNCTION("""COMPUTED_VALUE"""),"Ammo")</f>
        <v>Ammo</v>
      </c>
      <c r="C438" s="16" t="str">
        <f>IFERROR(__xludf.DUMMYFUNCTION("""COMPUTED_VALUE"""),"Item")</f>
        <v>Item</v>
      </c>
    </row>
    <row r="439">
      <c r="A439" s="16" t="str">
        <f>IFERROR(__xludf.DUMMYFUNCTION("""COMPUTED_VALUE"""),"Golden Coin")</f>
        <v>Golden Coin</v>
      </c>
      <c r="B439" s="16" t="str">
        <f>IFERROR(__xludf.DUMMYFUNCTION("""COMPUTED_VALUE"""),"Flip: If heads 11-20 gain +5 Wisdom and Evasion until the end of battle. If tails 1-10 Half evasion and Wisdom. This item can only be used once per Battle/RP action. Cannot be duplicated.")</f>
        <v>Flip: If heads 11-20 gain +5 Wisdom and Evasion until the end of battle. If tails 1-10 Half evasion and Wisdom. This item can only be used once per Battle/RP action. Cannot be duplicated.</v>
      </c>
      <c r="C439" s="16" t="str">
        <f>IFERROR(__xludf.DUMMYFUNCTION("""COMPUTED_VALUE"""),"Item")</f>
        <v>Item</v>
      </c>
    </row>
    <row r="440">
      <c r="A440" s="16" t="str">
        <f>IFERROR(__xludf.DUMMYFUNCTION("""COMPUTED_VALUE"""),"Oil lamp")</f>
        <v>Oil lamp</v>
      </c>
      <c r="B440" s="16" t="str">
        <f>IFERROR(__xludf.DUMMYFUNCTION("""COMPUTED_VALUE"""),"Illuminates your path or any room your in")</f>
        <v>Illuminates your path or any room your in</v>
      </c>
      <c r="C440" s="16" t="str">
        <f>IFERROR(__xludf.DUMMYFUNCTION("""COMPUTED_VALUE"""),"Item")</f>
        <v>Item</v>
      </c>
    </row>
    <row r="441">
      <c r="A441" s="16" t="str">
        <f>IFERROR(__xludf.DUMMYFUNCTION("""COMPUTED_VALUE"""),"Seed")</f>
        <v>Seed</v>
      </c>
      <c r="B441" s="16" t="str">
        <f>IFERROR(__xludf.DUMMYFUNCTION("""COMPUTED_VALUE"""),"Can harvest in X/X days.")</f>
        <v>Can harvest in X/X days.</v>
      </c>
      <c r="C441" s="16" t="str">
        <f>IFERROR(__xludf.DUMMYFUNCTION("""COMPUTED_VALUE"""),"Item")</f>
        <v>Item</v>
      </c>
    </row>
    <row r="442">
      <c r="A442" s="16" t="str">
        <f>IFERROR(__xludf.DUMMYFUNCTION("""COMPUTED_VALUE"""),"Potion of Cure Disease")</f>
        <v>Potion of Cure Disease</v>
      </c>
      <c r="B442" s="16" t="str">
        <f>IFERROR(__xludf.DUMMYFUNCTION("""COMPUTED_VALUE"""),"Disease Antidote.")</f>
        <v>Disease Antidote.</v>
      </c>
      <c r="C442" s="16" t="str">
        <f>IFERROR(__xludf.DUMMYFUNCTION("""COMPUTED_VALUE"""),"Item")</f>
        <v>Item</v>
      </c>
    </row>
    <row r="443">
      <c r="A443" s="16" t="str">
        <f>IFERROR(__xludf.DUMMYFUNCTION("""COMPUTED_VALUE"""),"Poison Vial")</f>
        <v>Poison Vial</v>
      </c>
      <c r="B443" s="16" t="str">
        <f>IFERROR(__xludf.DUMMYFUNCTION("""COMPUTED_VALUE"""),"Using this will make all your weapon or natural attacks inflict an enemy with Poison 500 for 3 rounds.")</f>
        <v>Using this will make all your weapon or natural attacks inflict an enemy with Poison 500 for 3 rounds.</v>
      </c>
      <c r="C443" s="16" t="str">
        <f>IFERROR(__xludf.DUMMYFUNCTION("""COMPUTED_VALUE"""),"Item")</f>
        <v>Item</v>
      </c>
    </row>
    <row r="444">
      <c r="A444" s="16" t="str">
        <f>IFERROR(__xludf.DUMMYFUNCTION("""COMPUTED_VALUE"""),"Stag Meat")</f>
        <v>Stag Meat</v>
      </c>
      <c r="B444" s="16" t="str">
        <f>IFERROR(__xludf.DUMMYFUNCTION("""COMPUTED_VALUE"""),"Restores 20 hunger")</f>
        <v>Restores 20 hunger</v>
      </c>
      <c r="C444" s="16" t="str">
        <f>IFERROR(__xludf.DUMMYFUNCTION("""COMPUTED_VALUE"""),"Crop")</f>
        <v>Crop</v>
      </c>
    </row>
    <row r="445">
      <c r="A445" s="16" t="str">
        <f>IFERROR(__xludf.DUMMYFUNCTION("""COMPUTED_VALUE"""),"Steed Meat")</f>
        <v>Steed Meat</v>
      </c>
      <c r="B445" s="16" t="str">
        <f>IFERROR(__xludf.DUMMYFUNCTION("""COMPUTED_VALUE"""),"Restores 20 hunger")</f>
        <v>Restores 20 hunger</v>
      </c>
      <c r="C445" s="16" t="str">
        <f>IFERROR(__xludf.DUMMYFUNCTION("""COMPUTED_VALUE"""),"Crop")</f>
        <v>Crop</v>
      </c>
    </row>
    <row r="446">
      <c r="A446" s="16" t="str">
        <f>IFERROR(__xludf.DUMMYFUNCTION("""COMPUTED_VALUE"""),"Moonstone")</f>
        <v>Moonstone</v>
      </c>
      <c r="B446" s="16" t="str">
        <f>IFERROR(__xludf.DUMMYFUNCTION("""COMPUTED_VALUE"""),"Crafting Material, roll a d20 to see how many you get if this is a loot drop.")</f>
        <v>Crafting Material, roll a d20 to see how many you get if this is a loot drop.</v>
      </c>
      <c r="C446" s="16" t="str">
        <f>IFERROR(__xludf.DUMMYFUNCTION("""COMPUTED_VALUE"""),"Item")</f>
        <v>Item</v>
      </c>
    </row>
    <row r="447">
      <c r="A447" s="16" t="str">
        <f>IFERROR(__xludf.DUMMYFUNCTION("""COMPUTED_VALUE"""),"Sunstone")</f>
        <v>Sunstone</v>
      </c>
      <c r="B447" s="16" t="str">
        <f>IFERROR(__xludf.DUMMYFUNCTION("""COMPUTED_VALUE"""),"Crafting Material, roll a d20 to see how many you get if this is a loot drop.")</f>
        <v>Crafting Material, roll a d20 to see how many you get if this is a loot drop.</v>
      </c>
      <c r="C447" s="16" t="str">
        <f>IFERROR(__xludf.DUMMYFUNCTION("""COMPUTED_VALUE"""),"Item")</f>
        <v>Item</v>
      </c>
    </row>
    <row r="448">
      <c r="A448" s="16" t="str">
        <f>IFERROR(__xludf.DUMMYFUNCTION("""COMPUTED_VALUE"""),"Tier 1 Treasure Chest (Non-Magical)")</f>
        <v>Tier 1 Treasure Chest (Non-Magical)</v>
      </c>
      <c r="B448" s="16" t="str">
        <f>IFERROR(__xludf.DUMMYFUNCTION("""COMPUTED_VALUE"""),"Requires a Treasure Chest key to open")</f>
        <v>Requires a Treasure Chest key to open</v>
      </c>
      <c r="C448" s="16" t="str">
        <f>IFERROR(__xludf.DUMMYFUNCTION("""COMPUTED_VALUE"""),"Item")</f>
        <v>Item</v>
      </c>
    </row>
    <row r="449">
      <c r="A449" s="16" t="str">
        <f>IFERROR(__xludf.DUMMYFUNCTION("""COMPUTED_VALUE"""),"Tier 2 Treasure Chest (Non-Magical)")</f>
        <v>Tier 2 Treasure Chest (Non-Magical)</v>
      </c>
      <c r="B449" s="16" t="str">
        <f>IFERROR(__xludf.DUMMYFUNCTION("""COMPUTED_VALUE"""),"Requires a Treasure Chest key to open")</f>
        <v>Requires a Treasure Chest key to open</v>
      </c>
      <c r="C449" s="16" t="str">
        <f>IFERROR(__xludf.DUMMYFUNCTION("""COMPUTED_VALUE"""),"Item")</f>
        <v>Item</v>
      </c>
    </row>
    <row r="450">
      <c r="A450" s="16" t="str">
        <f>IFERROR(__xludf.DUMMYFUNCTION("""COMPUTED_VALUE"""),"Tier 3 Treasure Chest (Non-Magical)")</f>
        <v>Tier 3 Treasure Chest (Non-Magical)</v>
      </c>
      <c r="B450" s="16" t="str">
        <f>IFERROR(__xludf.DUMMYFUNCTION("""COMPUTED_VALUE"""),"Requires a Treasure Chest key to open")</f>
        <v>Requires a Treasure Chest key to open</v>
      </c>
      <c r="C450" s="16" t="str">
        <f>IFERROR(__xludf.DUMMYFUNCTION("""COMPUTED_VALUE"""),"Item")</f>
        <v>Item</v>
      </c>
    </row>
    <row r="451">
      <c r="A451" s="16" t="str">
        <f>IFERROR(__xludf.DUMMYFUNCTION("""COMPUTED_VALUE"""),"Treasure Chest Key (Non-Magical)")</f>
        <v>Treasure Chest Key (Non-Magical)</v>
      </c>
      <c r="B451" s="16" t="str">
        <f>IFERROR(__xludf.DUMMYFUNCTION("""COMPUTED_VALUE"""),"Unlocks Tier 1-3 Treasure Chests.")</f>
        <v>Unlocks Tier 1-3 Treasure Chests.</v>
      </c>
      <c r="C451" s="16" t="str">
        <f>IFERROR(__xludf.DUMMYFUNCTION("""COMPUTED_VALUE"""),"Item")</f>
        <v>Item</v>
      </c>
    </row>
    <row r="452">
      <c r="A452" s="16" t="str">
        <f>IFERROR(__xludf.DUMMYFUNCTION("""COMPUTED_VALUE"""),"Random Dragon Egg")</f>
        <v>Random Dragon Egg</v>
      </c>
      <c r="B452" s="16" t="str">
        <f>IFERROR(__xludf.DUMMYFUNCTION("""COMPUTED_VALUE"""),"determined by DM/GM")</f>
        <v>determined by DM/GM</v>
      </c>
      <c r="C452" s="16" t="str">
        <f>IFERROR(__xludf.DUMMYFUNCTION("""COMPUTED_VALUE"""),"Item")</f>
        <v>Item</v>
      </c>
    </row>
    <row r="453">
      <c r="A453" s="16" t="str">
        <f>IFERROR(__xludf.DUMMYFUNCTION("""COMPUTED_VALUE"""),"Poisoned Bolts")</f>
        <v>Poisoned Bolts</v>
      </c>
      <c r="B453" s="16" t="str">
        <f>IFERROR(__xludf.DUMMYFUNCTION("""COMPUTED_VALUE"""),"+5000 poison damage per round for 3 rounds")</f>
        <v>+5000 poison damage per round for 3 rounds</v>
      </c>
      <c r="C453" s="16" t="str">
        <f>IFERROR(__xludf.DUMMYFUNCTION("""COMPUTED_VALUE"""),"Item")</f>
        <v>Item</v>
      </c>
    </row>
    <row r="454">
      <c r="A454" s="16" t="str">
        <f>IFERROR(__xludf.DUMMYFUNCTION("""COMPUTED_VALUE"""),"Standard Missile")</f>
        <v>Standard Missile</v>
      </c>
      <c r="B454" s="16" t="str">
        <f>IFERROR(__xludf.DUMMYFUNCTION("""COMPUTED_VALUE"""),"Missile Turret Ammunition.+50,000 Damage. +50,000 Fire Damage. roll a d5 to see how many you get if this is a loot drop.")</f>
        <v>Missile Turret Ammunition.+50,000 Damage. +50,000 Fire Damage. roll a d5 to see how many you get if this is a loot drop.</v>
      </c>
      <c r="C454" s="16" t="str">
        <f>IFERROR(__xludf.DUMMYFUNCTION("""COMPUTED_VALUE"""),"Item")</f>
        <v>Item</v>
      </c>
    </row>
    <row r="455">
      <c r="A455" s="16" t="str">
        <f>IFERROR(__xludf.DUMMYFUNCTION("""COMPUTED_VALUE"""),"Nuclear Missile")</f>
        <v>Nuclear Missile</v>
      </c>
      <c r="B455" s="16" t="str">
        <f>IFERROR(__xludf.DUMMYFUNCTION("""COMPUTED_VALUE"""),"Missile Turret Ammunition.+100,000 Damage. +100,000 Fire Damage. +Burn 10,000. +Poison 10,000. roll a d5 to see how many you get if this is a loot drop.")</f>
        <v>Missile Turret Ammunition.+100,000 Damage. +100,000 Fire Damage. +Burn 10,000. +Poison 10,000. roll a d5 to see how many you get if this is a loot drop.</v>
      </c>
      <c r="C455" s="16" t="str">
        <f>IFERROR(__xludf.DUMMYFUNCTION("""COMPUTED_VALUE"""),"Item")</f>
        <v>Item</v>
      </c>
    </row>
    <row r="456">
      <c r="A456" s="16" t="str">
        <f>IFERROR(__xludf.DUMMYFUNCTION("""COMPUTED_VALUE"""),"EMP Missile")</f>
        <v>EMP Missile</v>
      </c>
      <c r="B456" s="16" t="str">
        <f>IFERROR(__xludf.DUMMYFUNCTION("""COMPUTED_VALUE"""),"Missile Turret Ammunition. +50,000 Damage. +50,000 Storm Damage. +25% chance the target(s) losses it's next turn. roll a d5 to see how many you get if this is a loot drop.")</f>
        <v>Missile Turret Ammunition. +50,000 Damage. +50,000 Storm Damage. +25% chance the target(s) losses it's next turn. roll a d5 to see how many you get if this is a loot drop.</v>
      </c>
      <c r="C456" s="16" t="str">
        <f>IFERROR(__xludf.DUMMYFUNCTION("""COMPUTED_VALUE"""),"Item")</f>
        <v>Item</v>
      </c>
    </row>
    <row r="457">
      <c r="A457" s="16" t="str">
        <f>IFERROR(__xludf.DUMMYFUNCTION("""COMPUTED_VALUE"""),"Chaos Bullet")</f>
        <v>Chaos Bullet</v>
      </c>
      <c r="B457" s="16" t="str">
        <f>IFERROR(__xludf.DUMMYFUNCTION("""COMPUTED_VALUE"""),"Firearm Ammunition. +100 chaos damage. roll a d20 to see how many you get if this is a loot drop.")</f>
        <v>Firearm Ammunition. +100 chaos damage. roll a d20 to see how many you get if this is a loot drop.</v>
      </c>
      <c r="C457" s="16" t="str">
        <f>IFERROR(__xludf.DUMMYFUNCTION("""COMPUTED_VALUE"""),"Item")</f>
        <v>Item</v>
      </c>
    </row>
    <row r="458">
      <c r="A458" s="16" t="str">
        <f>IFERROR(__xludf.DUMMYFUNCTION("""COMPUTED_VALUE"""),"Dark Bullet")</f>
        <v>Dark Bullet</v>
      </c>
      <c r="B458" s="16" t="str">
        <f>IFERROR(__xludf.DUMMYFUNCTION("""COMPUTED_VALUE"""),"Firearm Ammunition. +100 dark damage. roll a d20 to see how many you get if this is a loot drop.")</f>
        <v>Firearm Ammunition. +100 dark damage. roll a d20 to see how many you get if this is a loot drop.</v>
      </c>
      <c r="C458" s="16" t="str">
        <f>IFERROR(__xludf.DUMMYFUNCTION("""COMPUTED_VALUE"""),"Item")</f>
        <v>Item</v>
      </c>
    </row>
    <row r="459">
      <c r="A459" s="16" t="str">
        <f>IFERROR(__xludf.DUMMYFUNCTION("""COMPUTED_VALUE"""),"Earth Bullet")</f>
        <v>Earth Bullet</v>
      </c>
      <c r="B459" s="16" t="str">
        <f>IFERROR(__xludf.DUMMYFUNCTION("""COMPUTED_VALUE"""),"Firearm Ammunition. +100 earth damage. roll a d20 to see how many you get if this is a loot drop.")</f>
        <v>Firearm Ammunition. +100 earth damage. roll a d20 to see how many you get if this is a loot drop.</v>
      </c>
      <c r="C459" s="16" t="str">
        <f>IFERROR(__xludf.DUMMYFUNCTION("""COMPUTED_VALUE"""),"Item")</f>
        <v>Item</v>
      </c>
    </row>
    <row r="460">
      <c r="A460" s="16" t="str">
        <f>IFERROR(__xludf.DUMMYFUNCTION("""COMPUTED_VALUE"""),"Fire Bullet")</f>
        <v>Fire Bullet</v>
      </c>
      <c r="B460" s="16" t="str">
        <f>IFERROR(__xludf.DUMMYFUNCTION("""COMPUTED_VALUE"""),"Firearm Ammunition. +100 fire damage. roll a d20 to see how many you get if this is a loot drop.")</f>
        <v>Firearm Ammunition. +100 fire damage. roll a d20 to see how many you get if this is a loot drop.</v>
      </c>
      <c r="C460" s="16" t="str">
        <f>IFERROR(__xludf.DUMMYFUNCTION("""COMPUTED_VALUE"""),"Item")</f>
        <v>Item</v>
      </c>
    </row>
    <row r="461">
      <c r="A461" s="16" t="str">
        <f>IFERROR(__xludf.DUMMYFUNCTION("""COMPUTED_VALUE"""),"Light Bullet")</f>
        <v>Light Bullet</v>
      </c>
      <c r="B461" s="16" t="str">
        <f>IFERROR(__xludf.DUMMYFUNCTION("""COMPUTED_VALUE"""),"Firearm Ammunition. +100 light damage. roll a d20 to see how many you get if this is a loot drop.")</f>
        <v>Firearm Ammunition. +100 light damage. roll a d20 to see how many you get if this is a loot drop.</v>
      </c>
      <c r="C461" s="16" t="str">
        <f>IFERROR(__xludf.DUMMYFUNCTION("""COMPUTED_VALUE"""),"Item")</f>
        <v>Item</v>
      </c>
    </row>
    <row r="462">
      <c r="A462" s="16" t="str">
        <f>IFERROR(__xludf.DUMMYFUNCTION("""COMPUTED_VALUE"""),"Spectral Bullet")</f>
        <v>Spectral Bullet</v>
      </c>
      <c r="B462" s="16" t="str">
        <f>IFERROR(__xludf.DUMMYFUNCTION("""COMPUTED_VALUE"""),"Firearm Ammunition. +100 spirit damage. roll a d20 to see how many you get if this is a loot drop.")</f>
        <v>Firearm Ammunition. +100 spirit damage. roll a d20 to see how many you get if this is a loot drop.</v>
      </c>
      <c r="C462" s="16" t="str">
        <f>IFERROR(__xludf.DUMMYFUNCTION("""COMPUTED_VALUE"""),"Item")</f>
        <v>Item</v>
      </c>
    </row>
    <row r="463">
      <c r="A463" s="16" t="str">
        <f>IFERROR(__xludf.DUMMYFUNCTION("""COMPUTED_VALUE"""),"Stunning Bullet")</f>
        <v>Stunning Bullet</v>
      </c>
      <c r="B463" s="16" t="str">
        <f>IFERROR(__xludf.DUMMYFUNCTION("""COMPUTED_VALUE"""),"Firearm Ammunition. +100 storm damage. +25% chance of Stun 3 to the enemy if using no more than 1 bullet. roll a d20 to see how many you get if this is a loot drop.")</f>
        <v>Firearm Ammunition. +100 storm damage. +25% chance of Stun 3 to the enemy if using no more than 1 bullet. roll a d20 to see how many you get if this is a loot drop.</v>
      </c>
      <c r="C463" s="16" t="str">
        <f>IFERROR(__xludf.DUMMYFUNCTION("""COMPUTED_VALUE"""),"Item")</f>
        <v>Item</v>
      </c>
    </row>
    <row r="464">
      <c r="A464" s="16" t="str">
        <f>IFERROR(__xludf.DUMMYFUNCTION("""COMPUTED_VALUE"""),"Freezing Bullet")</f>
        <v>Freezing Bullet</v>
      </c>
      <c r="B464" s="16" t="str">
        <f>IFERROR(__xludf.DUMMYFUNCTION("""COMPUTED_VALUE"""),"Firearm Ammunition. +100 fire damage. +25% chance of Freeze to the enemy if using no more than 1 bullet. roll a d20 to see how many you get if this is a loot drop.")</f>
        <v>Firearm Ammunition. +100 fire damage. +25% chance of Freeze to the enemy if using no more than 1 bullet. roll a d20 to see how many you get if this is a loot drop.</v>
      </c>
      <c r="C464" s="16" t="str">
        <f>IFERROR(__xludf.DUMMYFUNCTION("""COMPUTED_VALUE"""),"Item")</f>
        <v>Item</v>
      </c>
    </row>
    <row r="465">
      <c r="A465" s="16" t="str">
        <f>IFERROR(__xludf.DUMMYFUNCTION("""COMPUTED_VALUE"""),"Healing Bullet")</f>
        <v>Healing Bullet</v>
      </c>
      <c r="B465" s="16" t="str">
        <f>IFERROR(__xludf.DUMMYFUNCTION("""COMPUTED_VALUE"""),"Firearm Ammunition. +Restores 1000 HP and SP to the target if using no more than 1 bullet. roll a d20 to see how many you get if this is a loot drop.")</f>
        <v>Firearm Ammunition. +Restores 1000 HP and SP to the target if using no more than 1 bullet. roll a d20 to see how many you get if this is a loot drop.</v>
      </c>
      <c r="C465" s="16" t="str">
        <f>IFERROR(__xludf.DUMMYFUNCTION("""COMPUTED_VALUE"""),"Item")</f>
        <v>Item</v>
      </c>
    </row>
    <row r="466">
      <c r="A466" s="16" t="str">
        <f>IFERROR(__xludf.DUMMYFUNCTION("""COMPUTED_VALUE"""),"Celestial Arrow")</f>
        <v>Celestial Arrow</v>
      </c>
      <c r="B466" s="16" t="str">
        <f>IFERROR(__xludf.DUMMYFUNCTION("""COMPUTED_VALUE"""),"Bow Ammunition. +500 celestial damage. roll a d20 to see how many you get if this is a loot drop.")</f>
        <v>Bow Ammunition. +500 celestial damage. roll a d20 to see how many you get if this is a loot drop.</v>
      </c>
      <c r="C466" s="16" t="str">
        <f>IFERROR(__xludf.DUMMYFUNCTION("""COMPUTED_VALUE"""),"Item")</f>
        <v>Item</v>
      </c>
    </row>
    <row r="467">
      <c r="A467" s="16" t="str">
        <f>IFERROR(__xludf.DUMMYFUNCTION("""COMPUTED_VALUE"""),"Chaos Arrow")</f>
        <v>Chaos Arrow</v>
      </c>
      <c r="B467" s="16" t="str">
        <f>IFERROR(__xludf.DUMMYFUNCTION("""COMPUTED_VALUE"""),"Bow Ammunition. +500 chaos damage. roll a d20 to see how many you get if this is a loot drop.")</f>
        <v>Bow Ammunition. +500 chaos damage. roll a d20 to see how many you get if this is a loot drop.</v>
      </c>
      <c r="C467" s="16" t="str">
        <f>IFERROR(__xludf.DUMMYFUNCTION("""COMPUTED_VALUE"""),"Item")</f>
        <v>Item</v>
      </c>
    </row>
    <row r="468">
      <c r="A468" s="16" t="str">
        <f>IFERROR(__xludf.DUMMYFUNCTION("""COMPUTED_VALUE"""),"Dark Arrow")</f>
        <v>Dark Arrow</v>
      </c>
      <c r="B468" s="16" t="str">
        <f>IFERROR(__xludf.DUMMYFUNCTION("""COMPUTED_VALUE"""),"Bow Ammunition. +500 dark damage. roll a d20 to see how many you get if this is a loot drop.")</f>
        <v>Bow Ammunition. +500 dark damage. roll a d20 to see how many you get if this is a loot drop.</v>
      </c>
      <c r="C468" s="16" t="str">
        <f>IFERROR(__xludf.DUMMYFUNCTION("""COMPUTED_VALUE"""),"Item")</f>
        <v>Item</v>
      </c>
    </row>
    <row r="469">
      <c r="A469" s="16" t="str">
        <f>IFERROR(__xludf.DUMMYFUNCTION("""COMPUTED_VALUE"""),"Earth Arrow")</f>
        <v>Earth Arrow</v>
      </c>
      <c r="B469" s="16" t="str">
        <f>IFERROR(__xludf.DUMMYFUNCTION("""COMPUTED_VALUE"""),"Bow Ammunition. +500 earth damage. roll a d20 to see how many you get if this is a loot drop.")</f>
        <v>Bow Ammunition. +500 earth damage. roll a d20 to see how many you get if this is a loot drop.</v>
      </c>
      <c r="C469" s="16" t="str">
        <f>IFERROR(__xludf.DUMMYFUNCTION("""COMPUTED_VALUE"""),"Item")</f>
        <v>Item</v>
      </c>
    </row>
    <row r="470">
      <c r="A470" s="16" t="str">
        <f>IFERROR(__xludf.DUMMYFUNCTION("""COMPUTED_VALUE"""),"Fire Arrow")</f>
        <v>Fire Arrow</v>
      </c>
      <c r="B470" s="16" t="str">
        <f>IFERROR(__xludf.DUMMYFUNCTION("""COMPUTED_VALUE"""),"Bow Ammunition. +500 fire damage. roll a d20 to see how many you get if this is a loot drop.")</f>
        <v>Bow Ammunition. +500 fire damage. roll a d20 to see how many you get if this is a loot drop.</v>
      </c>
      <c r="C470" s="16" t="str">
        <f>IFERROR(__xludf.DUMMYFUNCTION("""COMPUTED_VALUE"""),"Item")</f>
        <v>Item</v>
      </c>
    </row>
    <row r="471">
      <c r="A471" s="16" t="str">
        <f>IFERROR(__xludf.DUMMYFUNCTION("""COMPUTED_VALUE"""),"Light Arrow")</f>
        <v>Light Arrow</v>
      </c>
      <c r="B471" s="16" t="str">
        <f>IFERROR(__xludf.DUMMYFUNCTION("""COMPUTED_VALUE"""),"Bow Ammunition. +500 light damage. roll a d20 to see how many you get if this is a loot drop.")</f>
        <v>Bow Ammunition. +500 light damage. roll a d20 to see how many you get if this is a loot drop.</v>
      </c>
      <c r="C471" s="16" t="str">
        <f>IFERROR(__xludf.DUMMYFUNCTION("""COMPUTED_VALUE"""),"Item")</f>
        <v>Item</v>
      </c>
    </row>
    <row r="472">
      <c r="A472" s="16" t="str">
        <f>IFERROR(__xludf.DUMMYFUNCTION("""COMPUTED_VALUE"""),"Spectral Arrow")</f>
        <v>Spectral Arrow</v>
      </c>
      <c r="B472" s="16" t="str">
        <f>IFERROR(__xludf.DUMMYFUNCTION("""COMPUTED_VALUE"""),"Bow Ammunition. +500 spirit damage. roll a d20 to see how many you get if this is a loot drop.")</f>
        <v>Bow Ammunition. +500 spirit damage. roll a d20 to see how many you get if this is a loot drop.</v>
      </c>
      <c r="C472" s="16" t="str">
        <f>IFERROR(__xludf.DUMMYFUNCTION("""COMPUTED_VALUE"""),"Item")</f>
        <v>Item</v>
      </c>
    </row>
    <row r="473">
      <c r="A473" s="16" t="str">
        <f>IFERROR(__xludf.DUMMYFUNCTION("""COMPUTED_VALUE"""),"Stunning Arrow")</f>
        <v>Stunning Arrow</v>
      </c>
      <c r="B473" s="16" t="str">
        <f>IFERROR(__xludf.DUMMYFUNCTION("""COMPUTED_VALUE"""),"Bow Ammunition. +500 storm damage. +25% chance of Stun 3. roll a d20 to see how many you get if this is a loot drop.")</f>
        <v>Bow Ammunition. +500 storm damage. +25% chance of Stun 3. roll a d20 to see how many you get if this is a loot drop.</v>
      </c>
      <c r="C473" s="16" t="str">
        <f>IFERROR(__xludf.DUMMYFUNCTION("""COMPUTED_VALUE"""),"Item")</f>
        <v>Item</v>
      </c>
    </row>
    <row r="474">
      <c r="A474" s="16" t="str">
        <f>IFERROR(__xludf.DUMMYFUNCTION("""COMPUTED_VALUE"""),"Freezing Arrow")</f>
        <v>Freezing Arrow</v>
      </c>
      <c r="B474" s="16" t="str">
        <f>IFERROR(__xludf.DUMMYFUNCTION("""COMPUTED_VALUE"""),"Bow Ammunition. +500 water damage. +25% chance of Freeze to the enemy. roll a d20 to see how many you get if this is a loot drop.")</f>
        <v>Bow Ammunition. +500 water damage. +25% chance of Freeze to the enemy. roll a d20 to see how many you get if this is a loot drop.</v>
      </c>
      <c r="C474" s="16" t="str">
        <f>IFERROR(__xludf.DUMMYFUNCTION("""COMPUTED_VALUE"""),"Item")</f>
        <v>Item</v>
      </c>
    </row>
    <row r="475">
      <c r="A475" s="16" t="str">
        <f>IFERROR(__xludf.DUMMYFUNCTION("""COMPUTED_VALUE"""),"Healing Arrow")</f>
        <v>Healing Arrow</v>
      </c>
      <c r="B475" s="16" t="str">
        <f>IFERROR(__xludf.DUMMYFUNCTION("""COMPUTED_VALUE"""),"Bow Ammunition. +Restores 1000 HP and SP to the target. roll a d20 to see how many you get if this is a loot drop.")</f>
        <v>Bow Ammunition. +Restores 1000 HP and SP to the target. roll a d20 to see how many you get if this is a loot drop.</v>
      </c>
      <c r="C475" s="16" t="str">
        <f>IFERROR(__xludf.DUMMYFUNCTION("""COMPUTED_VALUE"""),"Item")</f>
        <v>Item</v>
      </c>
    </row>
    <row r="476">
      <c r="A476" s="16" t="str">
        <f>IFERROR(__xludf.DUMMYFUNCTION("""COMPUTED_VALUE"""),"Celestial Bullet")</f>
        <v>Celestial Bullet</v>
      </c>
      <c r="B476" s="16" t="str">
        <f>IFERROR(__xludf.DUMMYFUNCTION("""COMPUTED_VALUE"""),"Firearm Ammunition. +100 celestial damage. roll a d20 to see how many you get if this is a loot drop.")</f>
        <v>Firearm Ammunition. +100 celestial damage. roll a d20 to see how many you get if this is a loot drop.</v>
      </c>
      <c r="C476" s="16" t="str">
        <f>IFERROR(__xludf.DUMMYFUNCTION("""COMPUTED_VALUE"""),"Item")</f>
        <v>Item</v>
      </c>
    </row>
    <row r="477">
      <c r="A477" s="16" t="str">
        <f>IFERROR(__xludf.DUMMYFUNCTION("""COMPUTED_VALUE"""),"Fire Cannon Ball")</f>
        <v>Fire Cannon Ball</v>
      </c>
      <c r="B477" s="16" t="str">
        <f>IFERROR(__xludf.DUMMYFUNCTION("""COMPUTED_VALUE"""),"Fireball Cannon Ammunition, +5000 fire damage. roll a d20 to see how many you get if this is a loot drop.")</f>
        <v>Fireball Cannon Ammunition, +5000 fire damage. roll a d20 to see how many you get if this is a loot drop.</v>
      </c>
      <c r="C477" s="16" t="str">
        <f>IFERROR(__xludf.DUMMYFUNCTION("""COMPUTED_VALUE"""),"Item")</f>
        <v>Item</v>
      </c>
    </row>
    <row r="478">
      <c r="A478" s="16" t="str">
        <f>IFERROR(__xludf.DUMMYFUNCTION("""COMPUTED_VALUE"""),"Torpedo")</f>
        <v>Torpedo</v>
      </c>
      <c r="B478" s="16" t="str">
        <f>IFERROR(__xludf.DUMMYFUNCTION("""COMPUTED_VALUE"""),"Torpedo Launcher Ammunition. +10,000 damage. roll a d20 to see how many you get if this is a loot drop.")</f>
        <v>Torpedo Launcher Ammunition. +10,000 damage. roll a d20 to see how many you get if this is a loot drop.</v>
      </c>
      <c r="C478" s="16" t="str">
        <f>IFERROR(__xludf.DUMMYFUNCTION("""COMPUTED_VALUE"""),"Item")</f>
        <v>Item</v>
      </c>
    </row>
    <row r="479">
      <c r="A479" s="16" t="str">
        <f>IFERROR(__xludf.DUMMYFUNCTION("""COMPUTED_VALUE"""),"Fragmentation Grenade")</f>
        <v>Fragmentation Grenade</v>
      </c>
      <c r="B479" s="16" t="str">
        <f>IFERROR(__xludf.DUMMYFUNCTION("""COMPUTED_VALUE"""),"Deals 10000 damage to all enemies.")</f>
        <v>Deals 10000 damage to all enemies.</v>
      </c>
      <c r="C479" s="16" t="str">
        <f>IFERROR(__xludf.DUMMYFUNCTION("""COMPUTED_VALUE"""),"Grenade")</f>
        <v>Grenade</v>
      </c>
    </row>
    <row r="480">
      <c r="A480" s="16" t="str">
        <f>IFERROR(__xludf.DUMMYFUNCTION("""COMPUTED_VALUE"""),"Flashbang")</f>
        <v>Flashbang</v>
      </c>
      <c r="B480" s="16" t="str">
        <f>IFERROR(__xludf.DUMMYFUNCTION("""COMPUTED_VALUE"""),"Deals 5000 Light damage and has a 15% chance to inflict Blindness 2 to all enemies.")</f>
        <v>Deals 5000 Light damage and has a 15% chance to inflict Blindness 2 to all enemies.</v>
      </c>
      <c r="C480" s="16" t="str">
        <f>IFERROR(__xludf.DUMMYFUNCTION("""COMPUTED_VALUE"""),"Grenade")</f>
        <v>Grenade</v>
      </c>
    </row>
    <row r="481">
      <c r="A481" s="16" t="str">
        <f>IFERROR(__xludf.DUMMYFUNCTION("""COMPUTED_VALUE"""),"Earth Golem Core")</f>
        <v>Earth Golem Core</v>
      </c>
      <c r="B481" s="16" t="str">
        <f>IFERROR(__xludf.DUMMYFUNCTION("""COMPUTED_VALUE"""),"Summons an Earth Golem to battle (Can only be used once)")</f>
        <v>Summons an Earth Golem to battle (Can only be used once)</v>
      </c>
      <c r="C481" s="16" t="str">
        <f>IFERROR(__xludf.DUMMYFUNCTION("""COMPUTED_VALUE"""),"Item")</f>
        <v>Item</v>
      </c>
    </row>
    <row r="482">
      <c r="A482" s="16" t="str">
        <f>IFERROR(__xludf.DUMMYFUNCTION("""COMPUTED_VALUE"""),"Nailbomb")</f>
        <v>Nailbomb</v>
      </c>
      <c r="B482" s="16" t="str">
        <f>IFERROR(__xludf.DUMMYFUNCTION("""COMPUTED_VALUE"""),"Deals 5000 bleed damage and has a 25% chance of inflicting bleed 2500 for 3 rounds to all enemies.")</f>
        <v>Deals 5000 bleed damage and has a 25% chance of inflicting bleed 2500 for 3 rounds to all enemies.</v>
      </c>
      <c r="C482" s="16" t="str">
        <f>IFERROR(__xludf.DUMMYFUNCTION("""COMPUTED_VALUE"""),"Grenade")</f>
        <v>Grenade</v>
      </c>
    </row>
    <row r="483">
      <c r="A483" s="16" t="str">
        <f>IFERROR(__xludf.DUMMYFUNCTION("""COMPUTED_VALUE"""),"Molotov")</f>
        <v>Molotov</v>
      </c>
      <c r="B483" s="16" t="str">
        <f>IFERROR(__xludf.DUMMYFUNCTION("""COMPUTED_VALUE"""),"Deals 5000 fire damage and has a 25% chance of inflicting burn 2500 for 3 rounds to all enemies.")</f>
        <v>Deals 5000 fire damage and has a 25% chance of inflicting burn 2500 for 3 rounds to all enemies.</v>
      </c>
      <c r="C483" s="16" t="str">
        <f>IFERROR(__xludf.DUMMYFUNCTION("""COMPUTED_VALUE"""),"Grenade")</f>
        <v>Grenade</v>
      </c>
    </row>
    <row r="484">
      <c r="A484" s="16" t="str">
        <f>IFERROR(__xludf.DUMMYFUNCTION("""COMPUTED_VALUE"""),"Smoke Bomb")</f>
        <v>Smoke Bomb</v>
      </c>
      <c r="B484" s="16" t="str">
        <f>IFERROR(__xludf.DUMMYFUNCTION("""COMPUTED_VALUE"""),"Conceals you and gives you +5 mobility when fleeing.")</f>
        <v>Conceals you and gives you +5 mobility when fleeing.</v>
      </c>
      <c r="C484" s="16" t="str">
        <f>IFERROR(__xludf.DUMMYFUNCTION("""COMPUTED_VALUE"""),"Grenade")</f>
        <v>Grenade</v>
      </c>
    </row>
    <row r="485">
      <c r="A485" s="16" t="str">
        <f>IFERROR(__xludf.DUMMYFUNCTION("""COMPUTED_VALUE"""),"Gas Grenade")</f>
        <v>Gas Grenade</v>
      </c>
      <c r="B485" s="16" t="str">
        <f>IFERROR(__xludf.DUMMYFUNCTION("""COMPUTED_VALUE"""),"Inflicts poison 5000 for 3 rounds to all enemies.")</f>
        <v>Inflicts poison 5000 for 3 rounds to all enemies.</v>
      </c>
      <c r="C485" s="16" t="str">
        <f>IFERROR(__xludf.DUMMYFUNCTION("""COMPUTED_VALUE"""),"Grenade")</f>
        <v>Grenade</v>
      </c>
    </row>
    <row r="486">
      <c r="A486" s="16" t="str">
        <f>IFERROR(__xludf.DUMMYFUNCTION("""COMPUTED_VALUE"""),"Booze Bomb")</f>
        <v>Booze Bomb</v>
      </c>
      <c r="B486" s="16" t="str">
        <f>IFERROR(__xludf.DUMMYFUNCTION("""COMPUTED_VALUE"""),"75% to inflict disoriented 5 to all enemies.")</f>
        <v>75% to inflict disoriented 5 to all enemies.</v>
      </c>
      <c r="C486" s="16" t="str">
        <f>IFERROR(__xludf.DUMMYFUNCTION("""COMPUTED_VALUE"""),"Grenade")</f>
        <v>Grenade</v>
      </c>
    </row>
    <row r="487">
      <c r="A487" s="16" t="str">
        <f>IFERROR(__xludf.DUMMYFUNCTION("""COMPUTED_VALUE"""),"Ice bomb")</f>
        <v>Ice bomb</v>
      </c>
      <c r="B487" s="16" t="str">
        <f>IFERROR(__xludf.DUMMYFUNCTION("""COMPUTED_VALUE"""),"50% chance to freeze targets to all enemies.")</f>
        <v>50% chance to freeze targets to all enemies.</v>
      </c>
      <c r="C487" s="16" t="str">
        <f>IFERROR(__xludf.DUMMYFUNCTION("""COMPUTED_VALUE"""),"Grenade")</f>
        <v>Grenade</v>
      </c>
    </row>
    <row r="488">
      <c r="A488" s="16" t="str">
        <f>IFERROR(__xludf.DUMMYFUNCTION("""COMPUTED_VALUE"""),"Holy Water")</f>
        <v>Holy Water</v>
      </c>
      <c r="B488" s="16" t="str">
        <f>IFERROR(__xludf.DUMMYFUNCTION("""COMPUTED_VALUE"""),"Deals 10000 Light Damage")</f>
        <v>Deals 10000 Light Damage</v>
      </c>
      <c r="C488" s="16" t="str">
        <f>IFERROR(__xludf.DUMMYFUNCTION("""COMPUTED_VALUE"""),"Grenade")</f>
        <v>Grenade</v>
      </c>
    </row>
    <row r="489">
      <c r="A489" s="16" t="str">
        <f>IFERROR(__xludf.DUMMYFUNCTION("""COMPUTED_VALUE"""),"Salve Grenade")</f>
        <v>Salve Grenade</v>
      </c>
      <c r="B489" s="16" t="str">
        <f>IFERROR(__xludf.DUMMYFUNCTION("""COMPUTED_VALUE"""),"Heals 2500 Hp")</f>
        <v>Heals 2500 Hp</v>
      </c>
      <c r="C489" s="16" t="str">
        <f>IFERROR(__xludf.DUMMYFUNCTION("""COMPUTED_VALUE"""),"Grenade")</f>
        <v>Grenade</v>
      </c>
    </row>
    <row r="490">
      <c r="A490" s="16" t="str">
        <f>IFERROR(__xludf.DUMMYFUNCTION("""COMPUTED_VALUE"""),"Potion of Banishment")</f>
        <v>Potion of Banishment</v>
      </c>
      <c r="B490" s="16" t="str">
        <f>IFERROR(__xludf.DUMMYFUNCTION("""COMPUTED_VALUE"""),"Banishes an enemy")</f>
        <v>Banishes an enemy</v>
      </c>
      <c r="C490" s="16" t="str">
        <f>IFERROR(__xludf.DUMMYFUNCTION("""COMPUTED_VALUE"""),"Item")</f>
        <v>Item</v>
      </c>
    </row>
    <row r="491">
      <c r="A491" s="16" t="str">
        <f>IFERROR(__xludf.DUMMYFUNCTION("""COMPUTED_VALUE"""),"Wooden Arrow")</f>
        <v>Wooden Arrow</v>
      </c>
      <c r="B491" s="16" t="str">
        <f>IFERROR(__xludf.DUMMYFUNCTION("""COMPUTED_VALUE"""),"Bow Ammunition +50 Damage. roll a d20 to see how many you get if this is a loot drop.")</f>
        <v>Bow Ammunition +50 Damage. roll a d20 to see how many you get if this is a loot drop.</v>
      </c>
      <c r="C491" s="16" t="str">
        <f>IFERROR(__xludf.DUMMYFUNCTION("""COMPUTED_VALUE"""),"Item")</f>
        <v>Item</v>
      </c>
    </row>
    <row r="492">
      <c r="A492" s="16" t="str">
        <f>IFERROR(__xludf.DUMMYFUNCTION("""COMPUTED_VALUE"""),"Bone Tipped Arrow")</f>
        <v>Bone Tipped Arrow</v>
      </c>
      <c r="B492" s="16" t="str">
        <f>IFERROR(__xludf.DUMMYFUNCTION("""COMPUTED_VALUE"""),"Bow Ammunition +250 Blood damage. roll a d20 to see how many you get if this is a loot drop")</f>
        <v>Bow Ammunition +250 Blood damage. roll a d20 to see how many you get if this is a loot drop</v>
      </c>
      <c r="C492" s="16" t="str">
        <f>IFERROR(__xludf.DUMMYFUNCTION("""COMPUTED_VALUE"""),"Item")</f>
        <v>Item</v>
      </c>
    </row>
    <row r="493">
      <c r="A493" s="16" t="str">
        <f>IFERROR(__xludf.DUMMYFUNCTION("""COMPUTED_VALUE"""),"Holy Arrow")</f>
        <v>Holy Arrow</v>
      </c>
      <c r="B493" s="16" t="str">
        <f>IFERROR(__xludf.DUMMYFUNCTION("""COMPUTED_VALUE"""),"Bow Ammunition +250 light damage +20x damage against undead.roll a d20 to see how many you get if this is a loot drop")</f>
        <v>Bow Ammunition +250 light damage +20x damage against undead.roll a d20 to see how many you get if this is a loot drop</v>
      </c>
      <c r="C493" s="16" t="str">
        <f>IFERROR(__xludf.DUMMYFUNCTION("""COMPUTED_VALUE"""),"Item")</f>
        <v>Item</v>
      </c>
    </row>
    <row r="494">
      <c r="A494" s="16" t="str">
        <f>IFERROR(__xludf.DUMMYFUNCTION("""COMPUTED_VALUE"""),"Small Bang")</f>
        <v>Small Bang</v>
      </c>
      <c r="B494" s="16" t="str">
        <f>IFERROR(__xludf.DUMMYFUNCTION("""COMPUTED_VALUE"""),"500,000 Damage")</f>
        <v>500,000 Damage</v>
      </c>
      <c r="C494" s="16" t="str">
        <f>IFERROR(__xludf.DUMMYFUNCTION("""COMPUTED_VALUE"""),"Grenade")</f>
        <v>Grenade</v>
      </c>
    </row>
    <row r="495">
      <c r="A495" s="16" t="str">
        <f>IFERROR(__xludf.DUMMYFUNCTION("""COMPUTED_VALUE"""),"Dragon Burst")</f>
        <v>Dragon Burst</v>
      </c>
      <c r="B495" s="16" t="str">
        <f>IFERROR(__xludf.DUMMYFUNCTION("""COMPUTED_VALUE"""),"250,000 Damage")</f>
        <v>250,000 Damage</v>
      </c>
      <c r="C495" s="16" t="str">
        <f>IFERROR(__xludf.DUMMYFUNCTION("""COMPUTED_VALUE"""),"Grenade")</f>
        <v>Grenade</v>
      </c>
    </row>
    <row r="496">
      <c r="A496" s="16" t="str">
        <f>IFERROR(__xludf.DUMMYFUNCTION("""COMPUTED_VALUE"""),"Iguanian Assassin's Box")</f>
        <v>Iguanian Assassin's Box</v>
      </c>
      <c r="B496" s="16" t="str">
        <f>IFERROR(__xludf.DUMMYFUNCTION("""COMPUTED_VALUE"""),"Grants a random piece of Iguanian Assassin's equipment (Roll 1d7 and take the corresponding item from the equipment finder)")</f>
        <v>Grants a random piece of Iguanian Assassin's equipment (Roll 1d7 and take the corresponding item from the equipment finder)</v>
      </c>
      <c r="C496" s="16" t="str">
        <f>IFERROR(__xludf.DUMMYFUNCTION("""COMPUTED_VALUE"""),"Item")</f>
        <v>Item</v>
      </c>
    </row>
    <row r="497">
      <c r="A497" s="16" t="str">
        <f>IFERROR(__xludf.DUMMYFUNCTION("""COMPUTED_VALUE"""),"Lizardfolk Warrior's Box")</f>
        <v>Lizardfolk Warrior's Box</v>
      </c>
      <c r="B497" s="16" t="str">
        <f>IFERROR(__xludf.DUMMYFUNCTION("""COMPUTED_VALUE"""),"Grants a random piece of Lizard Warrior's equipment (Roll 1d9 and take the corresponding item from the equipment finder)")</f>
        <v>Grants a random piece of Lizard Warrior's equipment (Roll 1d9 and take the corresponding item from the equipment finder)</v>
      </c>
      <c r="C497" s="16" t="str">
        <f>IFERROR(__xludf.DUMMYFUNCTION("""COMPUTED_VALUE"""),"Item")</f>
        <v>Item</v>
      </c>
    </row>
    <row r="498">
      <c r="A498" s="16" t="str">
        <f>IFERROR(__xludf.DUMMYFUNCTION("""COMPUTED_VALUE"""),"Lizard Thief's Box")</f>
        <v>Lizard Thief's Box</v>
      </c>
      <c r="B498" s="16" t="str">
        <f>IFERROR(__xludf.DUMMYFUNCTION("""COMPUTED_VALUE"""),"Grants a random piece of Lizard Thief's equipment (Roll 1d5 and take the corresponding item from the equipment finder)")</f>
        <v>Grants a random piece of Lizard Thief's equipment (Roll 1d5 and take the corresponding item from the equipment finder)</v>
      </c>
      <c r="C498" s="16" t="str">
        <f>IFERROR(__xludf.DUMMYFUNCTION("""COMPUTED_VALUE"""),"Item")</f>
        <v>Item</v>
      </c>
    </row>
    <row r="499">
      <c r="A499" s="16" t="str">
        <f>IFERROR(__xludf.DUMMYFUNCTION("""COMPUTED_VALUE"""),"Lizard Wizard's Box")</f>
        <v>Lizard Wizard's Box</v>
      </c>
      <c r="B499" s="16" t="str">
        <f>IFERROR(__xludf.DUMMYFUNCTION("""COMPUTED_VALUE"""),"Grants a random piece of Lizard Wizard's equipment (Roll 1d6 and take the corresponding item from the equipment finder)")</f>
        <v>Grants a random piece of Lizard Wizard's equipment (Roll 1d6 and take the corresponding item from the equipment finder)</v>
      </c>
      <c r="C499" s="16" t="str">
        <f>IFERROR(__xludf.DUMMYFUNCTION("""COMPUTED_VALUE"""),"Item")</f>
        <v>Item</v>
      </c>
    </row>
    <row r="500">
      <c r="A500" s="16" t="str">
        <f>IFERROR(__xludf.DUMMYFUNCTION("""COMPUTED_VALUE"""),"Iguanian Brawler's Box")</f>
        <v>Iguanian Brawler's Box</v>
      </c>
      <c r="B500" s="16" t="str">
        <f>IFERROR(__xludf.DUMMYFUNCTION("""COMPUTED_VALUE"""),"Grants a random piece of Iguanian Brawler's equipment (Roll 1d8 and take the corresponding item from the equipment finder)")</f>
        <v>Grants a random piece of Iguanian Brawler's equipment (Roll 1d8 and take the corresponding item from the equipment finder)</v>
      </c>
      <c r="C500" s="16" t="str">
        <f>IFERROR(__xludf.DUMMYFUNCTION("""COMPUTED_VALUE"""),"Item")</f>
        <v>Item</v>
      </c>
    </row>
    <row r="501">
      <c r="A501" s="16" t="str">
        <f>IFERROR(__xludf.DUMMYFUNCTION("""COMPUTED_VALUE"""),"Iguanian Mage's Box")</f>
        <v>Iguanian Mage's Box</v>
      </c>
      <c r="B501" s="16" t="str">
        <f>IFERROR(__xludf.DUMMYFUNCTION("""COMPUTED_VALUE"""),"Grants a random piece of Iguanian Mage equipment (Roll 1d5 and take the corresponding item from the equipment finder)")</f>
        <v>Grants a random piece of Iguanian Mage equipment (Roll 1d5 and take the corresponding item from the equipment finder)</v>
      </c>
      <c r="C501" s="16" t="str">
        <f>IFERROR(__xludf.DUMMYFUNCTION("""COMPUTED_VALUE"""),"Item")</f>
        <v>Item</v>
      </c>
    </row>
    <row r="502">
      <c r="A502" s="16"/>
      <c r="B502" s="16"/>
      <c r="C502" s="16"/>
    </row>
    <row r="503">
      <c r="A503" s="16"/>
      <c r="B503" s="16"/>
      <c r="C503" s="16"/>
    </row>
    <row r="504">
      <c r="A504" s="16"/>
      <c r="B504" s="16"/>
      <c r="C504" s="16"/>
    </row>
    <row r="505">
      <c r="A505" s="16"/>
      <c r="B505" s="16"/>
      <c r="C505" s="16"/>
    </row>
    <row r="506">
      <c r="A506" s="16"/>
      <c r="B506" s="16"/>
      <c r="C506" s="16"/>
    </row>
    <row r="507">
      <c r="A507" s="16"/>
      <c r="B507" s="16"/>
      <c r="C507" s="16"/>
    </row>
    <row r="508">
      <c r="A508" s="16"/>
      <c r="B508" s="16"/>
      <c r="C508" s="16"/>
    </row>
    <row r="509">
      <c r="A509" s="16"/>
      <c r="B509" s="16"/>
      <c r="C509" s="16"/>
    </row>
    <row r="510">
      <c r="A510" s="16"/>
      <c r="B510" s="16"/>
      <c r="C510" s="16"/>
    </row>
    <row r="511">
      <c r="A511" s="16"/>
      <c r="B511" s="16"/>
      <c r="C511" s="16"/>
    </row>
    <row r="512">
      <c r="A512" s="16"/>
      <c r="B512" s="16"/>
      <c r="C512" s="16"/>
    </row>
    <row r="513">
      <c r="A513" s="16"/>
      <c r="B513" s="16"/>
      <c r="C513" s="16"/>
    </row>
    <row r="514">
      <c r="A514" s="16"/>
      <c r="B514" s="16"/>
      <c r="C514" s="16"/>
    </row>
    <row r="515">
      <c r="A515" s="16"/>
      <c r="B515" s="16"/>
      <c r="C515" s="16"/>
    </row>
    <row r="516">
      <c r="A516" s="16"/>
      <c r="B516" s="16"/>
      <c r="C516" s="16"/>
    </row>
    <row r="517">
      <c r="A517" s="16"/>
      <c r="B517" s="16"/>
      <c r="C517" s="16"/>
    </row>
    <row r="518">
      <c r="A518" s="16"/>
      <c r="B518" s="16"/>
      <c r="C518" s="16"/>
    </row>
    <row r="519">
      <c r="A519" s="16"/>
      <c r="B519" s="16"/>
      <c r="C519" s="16"/>
    </row>
    <row r="520">
      <c r="A520" s="16"/>
      <c r="B520" s="16"/>
      <c r="C520" s="16"/>
    </row>
    <row r="521">
      <c r="A521" s="16"/>
      <c r="B521" s="16"/>
      <c r="C521" s="16"/>
    </row>
    <row r="522">
      <c r="A522" s="16"/>
      <c r="B522" s="16"/>
      <c r="C522" s="16"/>
    </row>
    <row r="523">
      <c r="A523" s="16"/>
      <c r="B523" s="16"/>
      <c r="C523" s="16"/>
    </row>
    <row r="524">
      <c r="A524" s="16"/>
      <c r="B524" s="16"/>
      <c r="C524" s="16"/>
    </row>
    <row r="525">
      <c r="A525" s="16"/>
      <c r="B525" s="16"/>
      <c r="C525" s="16"/>
    </row>
    <row r="526">
      <c r="A526" s="16"/>
      <c r="B526" s="16"/>
      <c r="C526" s="16"/>
    </row>
    <row r="527">
      <c r="A527" s="16"/>
      <c r="B527" s="16"/>
      <c r="C527" s="16"/>
    </row>
    <row r="528">
      <c r="A528" s="16"/>
      <c r="B528" s="16"/>
      <c r="C528" s="16"/>
    </row>
    <row r="529">
      <c r="A529" s="16"/>
      <c r="B529" s="16"/>
      <c r="C529" s="16"/>
    </row>
    <row r="530">
      <c r="A530" s="16"/>
      <c r="B530" s="16"/>
      <c r="C530" s="16"/>
    </row>
    <row r="531">
      <c r="A531" s="16"/>
      <c r="B531" s="16"/>
      <c r="C531" s="16"/>
    </row>
    <row r="532">
      <c r="A532" s="16"/>
      <c r="B532" s="16"/>
      <c r="C532" s="16"/>
    </row>
    <row r="533">
      <c r="A533" s="16"/>
      <c r="B533" s="16"/>
      <c r="C533" s="16"/>
    </row>
    <row r="534">
      <c r="A534" s="16"/>
      <c r="B534" s="16"/>
      <c r="C534" s="16"/>
    </row>
    <row r="535">
      <c r="A535" s="16"/>
      <c r="B535" s="16"/>
      <c r="C535" s="16"/>
    </row>
    <row r="536">
      <c r="A536" s="16"/>
      <c r="B536" s="16"/>
      <c r="C536" s="16"/>
    </row>
    <row r="537">
      <c r="A537" s="16"/>
      <c r="B537" s="16"/>
      <c r="C537" s="16"/>
    </row>
    <row r="538">
      <c r="A538" s="16"/>
      <c r="B538" s="16"/>
      <c r="C538" s="16"/>
    </row>
    <row r="539">
      <c r="A539" s="16"/>
      <c r="B539" s="16"/>
      <c r="C539" s="16"/>
    </row>
    <row r="540">
      <c r="A540" s="16"/>
      <c r="B540" s="16"/>
      <c r="C540" s="16"/>
    </row>
    <row r="541">
      <c r="A541" s="16"/>
      <c r="B541" s="16"/>
      <c r="C541" s="16"/>
    </row>
    <row r="542">
      <c r="A542" s="16"/>
      <c r="B542" s="16"/>
      <c r="C542" s="16"/>
    </row>
    <row r="543">
      <c r="A543" s="16"/>
      <c r="B543" s="16"/>
      <c r="C543" s="16"/>
    </row>
    <row r="544">
      <c r="A544" s="16"/>
      <c r="B544" s="16"/>
      <c r="C544" s="16"/>
    </row>
    <row r="545">
      <c r="A545" s="16"/>
      <c r="B545" s="16"/>
      <c r="C545" s="16"/>
    </row>
    <row r="546">
      <c r="A546" s="16"/>
      <c r="B546" s="16"/>
      <c r="C546" s="16"/>
    </row>
    <row r="547">
      <c r="A547" s="16"/>
      <c r="B547" s="16"/>
      <c r="C547" s="16"/>
    </row>
    <row r="548">
      <c r="A548" s="16"/>
      <c r="B548" s="16"/>
      <c r="C548" s="16"/>
    </row>
    <row r="549">
      <c r="A549" s="16"/>
      <c r="B549" s="16"/>
      <c r="C549" s="16"/>
    </row>
    <row r="550">
      <c r="A550" s="16"/>
      <c r="B550" s="16"/>
      <c r="C550" s="16"/>
    </row>
    <row r="551">
      <c r="A551" s="16"/>
      <c r="B551" s="16"/>
      <c r="C551" s="16"/>
    </row>
    <row r="552">
      <c r="A552" s="16"/>
      <c r="B552" s="16"/>
      <c r="C552" s="16"/>
    </row>
    <row r="553">
      <c r="A553" s="16"/>
      <c r="B553" s="16"/>
      <c r="C553" s="16"/>
    </row>
    <row r="554">
      <c r="A554" s="16"/>
      <c r="B554" s="16"/>
      <c r="C554" s="16"/>
    </row>
    <row r="555">
      <c r="A555" s="16"/>
      <c r="B555" s="16"/>
      <c r="C555" s="16"/>
    </row>
    <row r="556">
      <c r="A556" s="16"/>
      <c r="B556" s="16"/>
      <c r="C556" s="16"/>
    </row>
    <row r="557">
      <c r="A557" s="16"/>
      <c r="B557" s="16"/>
      <c r="C557" s="16"/>
    </row>
    <row r="558">
      <c r="A558" s="16"/>
      <c r="B558" s="16"/>
      <c r="C558" s="16"/>
    </row>
    <row r="559">
      <c r="A559" s="16"/>
      <c r="B559" s="16"/>
      <c r="C559" s="16"/>
    </row>
    <row r="560">
      <c r="A560" s="16"/>
      <c r="B560" s="16"/>
      <c r="C560" s="16"/>
    </row>
    <row r="561">
      <c r="A561" s="16"/>
      <c r="B561" s="16"/>
      <c r="C561" s="16"/>
    </row>
    <row r="562">
      <c r="A562" s="16"/>
      <c r="B562" s="16"/>
      <c r="C562" s="16"/>
    </row>
    <row r="563">
      <c r="A563" s="16"/>
      <c r="B563" s="16"/>
      <c r="C563" s="16"/>
    </row>
    <row r="564">
      <c r="A564" s="16"/>
      <c r="B564" s="16"/>
      <c r="C564" s="16"/>
    </row>
    <row r="565">
      <c r="A565" s="16"/>
      <c r="B565" s="16"/>
      <c r="C565" s="16"/>
    </row>
    <row r="566">
      <c r="A566" s="16"/>
      <c r="B566" s="16"/>
      <c r="C566" s="16"/>
    </row>
    <row r="567">
      <c r="A567" s="16"/>
      <c r="B567" s="16"/>
      <c r="C567" s="16"/>
    </row>
    <row r="568">
      <c r="A568" s="16"/>
      <c r="B568" s="16"/>
      <c r="C568" s="16"/>
    </row>
    <row r="569">
      <c r="A569" s="16"/>
      <c r="B569" s="16"/>
      <c r="C569" s="16"/>
    </row>
    <row r="570">
      <c r="A570" s="16"/>
      <c r="B570" s="16"/>
      <c r="C570" s="16"/>
    </row>
    <row r="571">
      <c r="A571" s="16"/>
      <c r="B571" s="16"/>
      <c r="C571" s="16"/>
    </row>
    <row r="572">
      <c r="A572" s="16"/>
      <c r="B572" s="16"/>
      <c r="C572" s="16"/>
    </row>
    <row r="573">
      <c r="A573" s="16"/>
      <c r="B573" s="16"/>
      <c r="C573" s="16"/>
    </row>
    <row r="574">
      <c r="A574" s="16"/>
      <c r="B574" s="16"/>
      <c r="C574" s="16"/>
    </row>
    <row r="575">
      <c r="A575" s="16"/>
      <c r="B575" s="16"/>
      <c r="C575" s="16"/>
    </row>
    <row r="576">
      <c r="A576" s="16"/>
      <c r="B576" s="16"/>
      <c r="C576" s="16"/>
    </row>
    <row r="577">
      <c r="A577" s="16"/>
      <c r="B577" s="16"/>
      <c r="C577" s="16"/>
    </row>
    <row r="578">
      <c r="A578" s="16"/>
      <c r="B578" s="16"/>
      <c r="C578" s="16"/>
    </row>
    <row r="579">
      <c r="A579" s="16"/>
      <c r="B579" s="16"/>
      <c r="C579" s="16"/>
    </row>
    <row r="580">
      <c r="A580" s="16"/>
      <c r="B580" s="16"/>
      <c r="C580" s="16"/>
    </row>
    <row r="581">
      <c r="A581" s="16"/>
      <c r="B581" s="16"/>
      <c r="C581" s="16"/>
    </row>
    <row r="582">
      <c r="A582" s="16"/>
      <c r="B582" s="16"/>
      <c r="C582" s="16"/>
    </row>
    <row r="583">
      <c r="A583" s="16"/>
      <c r="B583" s="16"/>
      <c r="C583" s="16"/>
    </row>
    <row r="584">
      <c r="A584" s="16"/>
      <c r="B584" s="16"/>
      <c r="C584" s="16"/>
    </row>
    <row r="585">
      <c r="A585" s="16"/>
      <c r="B585" s="16"/>
      <c r="C585" s="16"/>
    </row>
    <row r="586">
      <c r="A586" s="16"/>
      <c r="B586" s="16"/>
      <c r="C586" s="16"/>
    </row>
    <row r="587">
      <c r="A587" s="16"/>
      <c r="B587" s="16"/>
      <c r="C587" s="16"/>
    </row>
    <row r="588">
      <c r="A588" s="16"/>
      <c r="B588" s="16"/>
      <c r="C588" s="16"/>
    </row>
    <row r="589">
      <c r="A589" s="16"/>
      <c r="B589" s="16"/>
      <c r="C589" s="16"/>
    </row>
    <row r="590">
      <c r="A590" s="16"/>
      <c r="B590" s="16"/>
      <c r="C590" s="16"/>
    </row>
    <row r="591">
      <c r="A591" s="16"/>
      <c r="B591" s="16"/>
      <c r="C591" s="16"/>
    </row>
    <row r="592">
      <c r="A592" s="16"/>
      <c r="B592" s="16"/>
      <c r="C592" s="16"/>
    </row>
    <row r="593">
      <c r="A593" s="16"/>
      <c r="B593" s="16"/>
      <c r="C593" s="16"/>
    </row>
    <row r="594">
      <c r="A594" s="16"/>
      <c r="B594" s="16"/>
      <c r="C594" s="16"/>
    </row>
    <row r="595">
      <c r="A595" s="16"/>
      <c r="B595" s="16"/>
      <c r="C595" s="16"/>
    </row>
    <row r="596">
      <c r="A596" s="16"/>
      <c r="B596" s="16"/>
      <c r="C596" s="16"/>
    </row>
    <row r="597">
      <c r="A597" s="16"/>
      <c r="B597" s="16"/>
      <c r="C597" s="16"/>
    </row>
    <row r="598">
      <c r="A598" s="16"/>
      <c r="B598" s="16"/>
      <c r="C598" s="16"/>
    </row>
    <row r="599">
      <c r="A599" s="16"/>
      <c r="B599" s="16"/>
      <c r="C599" s="16"/>
    </row>
    <row r="600">
      <c r="A600" s="16"/>
      <c r="B600" s="16"/>
      <c r="C600" s="16"/>
    </row>
    <row r="601">
      <c r="A601" s="16"/>
      <c r="B601" s="16"/>
      <c r="C601" s="16"/>
    </row>
    <row r="602">
      <c r="A602" s="16"/>
      <c r="B602" s="16"/>
      <c r="C602" s="16"/>
    </row>
    <row r="603">
      <c r="A603" s="16"/>
      <c r="B603" s="16"/>
      <c r="C603" s="16"/>
    </row>
    <row r="604">
      <c r="A604" s="16"/>
      <c r="B604" s="16"/>
      <c r="C604" s="16"/>
    </row>
    <row r="605">
      <c r="A605" s="16"/>
      <c r="B605" s="16"/>
      <c r="C605" s="16"/>
    </row>
    <row r="606">
      <c r="A606" s="16"/>
      <c r="B606" s="16"/>
      <c r="C606" s="16"/>
    </row>
    <row r="607">
      <c r="A607" s="16"/>
      <c r="B607" s="16"/>
      <c r="C607" s="16"/>
    </row>
    <row r="608">
      <c r="A608" s="16"/>
      <c r="B608" s="16"/>
      <c r="C608" s="16"/>
    </row>
    <row r="609">
      <c r="A609" s="16"/>
      <c r="B609" s="16"/>
      <c r="C609" s="16"/>
    </row>
    <row r="610">
      <c r="A610" s="16"/>
      <c r="B610" s="16"/>
      <c r="C610" s="16"/>
    </row>
    <row r="611">
      <c r="A611" s="16"/>
      <c r="B611" s="16"/>
      <c r="C611" s="16"/>
    </row>
    <row r="612">
      <c r="A612" s="16"/>
      <c r="B612" s="16"/>
      <c r="C612" s="16"/>
    </row>
    <row r="613">
      <c r="A613" s="16"/>
      <c r="B613" s="16"/>
      <c r="C613" s="16"/>
    </row>
    <row r="614">
      <c r="A614" s="16"/>
      <c r="B614" s="16"/>
      <c r="C614" s="16"/>
    </row>
    <row r="615">
      <c r="A615" s="16"/>
      <c r="B615" s="16"/>
      <c r="C615" s="16"/>
    </row>
    <row r="616">
      <c r="A616" s="16"/>
      <c r="B616" s="16"/>
      <c r="C616" s="16"/>
    </row>
    <row r="617">
      <c r="A617" s="16"/>
      <c r="B617" s="16"/>
      <c r="C617" s="16"/>
    </row>
    <row r="618">
      <c r="A618" s="16"/>
      <c r="B618" s="16"/>
      <c r="C618" s="16"/>
    </row>
    <row r="619">
      <c r="A619" s="16"/>
      <c r="B619" s="16"/>
      <c r="C619" s="16"/>
    </row>
    <row r="620">
      <c r="A620" s="16"/>
      <c r="B620" s="16"/>
      <c r="C620" s="16"/>
    </row>
    <row r="621">
      <c r="A621" s="16"/>
      <c r="B621" s="16"/>
      <c r="C621" s="16"/>
    </row>
    <row r="622">
      <c r="A622" s="16"/>
      <c r="B622" s="16"/>
      <c r="C622" s="16"/>
    </row>
    <row r="623">
      <c r="A623" s="16"/>
      <c r="B623" s="16"/>
      <c r="C623" s="16"/>
    </row>
    <row r="624">
      <c r="A624" s="16"/>
      <c r="B624" s="16"/>
      <c r="C624" s="16"/>
    </row>
    <row r="625">
      <c r="A625" s="16"/>
      <c r="B625" s="16"/>
      <c r="C625" s="16"/>
    </row>
    <row r="626">
      <c r="A626" s="16"/>
      <c r="B626" s="16"/>
      <c r="C626" s="16"/>
    </row>
    <row r="627">
      <c r="A627" s="16"/>
      <c r="B627" s="16"/>
      <c r="C627" s="16"/>
    </row>
    <row r="628">
      <c r="A628" s="16"/>
      <c r="B628" s="16"/>
      <c r="C628" s="16"/>
    </row>
    <row r="629">
      <c r="A629" s="16"/>
      <c r="B629" s="16"/>
      <c r="C629" s="16"/>
    </row>
    <row r="630">
      <c r="A630" s="16"/>
      <c r="B630" s="16"/>
      <c r="C630" s="16"/>
    </row>
    <row r="631">
      <c r="A631" s="16"/>
      <c r="B631" s="16"/>
      <c r="C631" s="16"/>
    </row>
    <row r="632">
      <c r="A632" s="16"/>
      <c r="B632" s="16"/>
      <c r="C632" s="16"/>
    </row>
    <row r="633">
      <c r="A633" s="16"/>
      <c r="B633" s="16"/>
      <c r="C633" s="16"/>
    </row>
    <row r="634">
      <c r="A634" s="16"/>
      <c r="B634" s="16"/>
      <c r="C634" s="16"/>
    </row>
    <row r="635">
      <c r="A635" s="16"/>
      <c r="B635" s="16"/>
      <c r="C635" s="16"/>
    </row>
    <row r="636">
      <c r="A636" s="16"/>
      <c r="B636" s="16"/>
      <c r="C636" s="16"/>
    </row>
    <row r="637">
      <c r="A637" s="16"/>
      <c r="B637" s="16"/>
      <c r="C637" s="16"/>
    </row>
    <row r="638">
      <c r="A638" s="16"/>
      <c r="B638" s="16"/>
      <c r="C638" s="16"/>
    </row>
    <row r="639">
      <c r="A639" s="16"/>
      <c r="B639" s="16"/>
      <c r="C639" s="16"/>
    </row>
    <row r="640">
      <c r="A640" s="16"/>
      <c r="B640" s="16"/>
      <c r="C640" s="16"/>
    </row>
    <row r="641">
      <c r="A641" s="16"/>
      <c r="B641" s="16"/>
      <c r="C641" s="16"/>
    </row>
    <row r="642">
      <c r="A642" s="16"/>
      <c r="B642" s="16"/>
      <c r="C642" s="16"/>
    </row>
    <row r="643">
      <c r="A643" s="16"/>
      <c r="B643" s="16"/>
      <c r="C643" s="16"/>
    </row>
    <row r="644">
      <c r="A644" s="16"/>
      <c r="B644" s="16"/>
      <c r="C644" s="16"/>
    </row>
    <row r="645">
      <c r="A645" s="16"/>
      <c r="B645" s="16"/>
      <c r="C645" s="16"/>
    </row>
    <row r="646">
      <c r="A646" s="16"/>
      <c r="B646" s="16"/>
      <c r="C646" s="16"/>
    </row>
    <row r="647">
      <c r="A647" s="16"/>
      <c r="B647" s="16"/>
      <c r="C647" s="16"/>
    </row>
    <row r="648">
      <c r="A648" s="16"/>
      <c r="B648" s="16"/>
      <c r="C648" s="16"/>
    </row>
    <row r="649">
      <c r="A649" s="16"/>
      <c r="B649" s="16"/>
      <c r="C649" s="16"/>
    </row>
    <row r="650">
      <c r="A650" s="16"/>
      <c r="B650" s="16"/>
      <c r="C650" s="16"/>
    </row>
    <row r="651">
      <c r="A651" s="16"/>
      <c r="B651" s="16"/>
      <c r="C651" s="16"/>
    </row>
    <row r="652">
      <c r="A652" s="16"/>
      <c r="B652" s="16"/>
      <c r="C652" s="16"/>
    </row>
    <row r="653">
      <c r="A653" s="16"/>
      <c r="B653" s="16"/>
      <c r="C653" s="16"/>
    </row>
    <row r="654">
      <c r="A654" s="16"/>
      <c r="B654" s="16"/>
      <c r="C654" s="16"/>
    </row>
    <row r="655">
      <c r="A655" s="16"/>
      <c r="B655" s="16"/>
      <c r="C655" s="16"/>
    </row>
    <row r="656">
      <c r="A656" s="16"/>
      <c r="B656" s="16"/>
      <c r="C656" s="16"/>
    </row>
    <row r="657">
      <c r="A657" s="16"/>
      <c r="B657" s="16"/>
      <c r="C657" s="16"/>
    </row>
    <row r="658">
      <c r="A658" s="16"/>
      <c r="B658" s="16"/>
      <c r="C658" s="16"/>
    </row>
    <row r="659">
      <c r="A659" s="16"/>
      <c r="B659" s="16"/>
      <c r="C659" s="16"/>
    </row>
    <row r="660">
      <c r="A660" s="16"/>
      <c r="B660" s="16"/>
      <c r="C660" s="16"/>
    </row>
    <row r="661">
      <c r="A661" s="16"/>
      <c r="B661" s="16"/>
      <c r="C661" s="16"/>
    </row>
    <row r="662">
      <c r="A662" s="16"/>
      <c r="B662" s="16"/>
      <c r="C662" s="16"/>
    </row>
    <row r="663">
      <c r="A663" s="16"/>
      <c r="B663" s="16"/>
      <c r="C663" s="16"/>
    </row>
    <row r="664">
      <c r="A664" s="16"/>
      <c r="B664" s="16"/>
      <c r="C664" s="16"/>
    </row>
    <row r="665">
      <c r="A665" s="16"/>
      <c r="B665" s="16"/>
      <c r="C665" s="16"/>
    </row>
    <row r="666">
      <c r="A666" s="16"/>
      <c r="B666" s="16"/>
      <c r="C666" s="16"/>
    </row>
    <row r="667">
      <c r="A667" s="16"/>
      <c r="B667" s="16"/>
      <c r="C667" s="16"/>
    </row>
    <row r="668">
      <c r="A668" s="16"/>
      <c r="B668" s="16"/>
      <c r="C668" s="16"/>
    </row>
    <row r="669">
      <c r="A669" s="16"/>
      <c r="B669" s="16"/>
      <c r="C669" s="16"/>
    </row>
    <row r="670">
      <c r="A670" s="16"/>
      <c r="B670" s="16"/>
      <c r="C670" s="16"/>
    </row>
    <row r="671">
      <c r="A671" s="16"/>
      <c r="B671" s="16"/>
      <c r="C671" s="16"/>
    </row>
    <row r="672">
      <c r="A672" s="16"/>
      <c r="B672" s="16"/>
      <c r="C672" s="16"/>
    </row>
    <row r="673">
      <c r="A673" s="16"/>
      <c r="B673" s="16"/>
      <c r="C673" s="16"/>
    </row>
    <row r="674">
      <c r="A674" s="16"/>
      <c r="B674" s="16"/>
      <c r="C674" s="16"/>
    </row>
    <row r="675">
      <c r="A675" s="16"/>
      <c r="B675" s="16"/>
      <c r="C675" s="16"/>
    </row>
    <row r="676">
      <c r="A676" s="16"/>
      <c r="B676" s="16"/>
      <c r="C676" s="16"/>
    </row>
    <row r="677">
      <c r="A677" s="16"/>
      <c r="B677" s="16"/>
      <c r="C677" s="16"/>
    </row>
    <row r="678">
      <c r="A678" s="16"/>
      <c r="B678" s="16"/>
      <c r="C678" s="16"/>
    </row>
    <row r="679">
      <c r="A679" s="16"/>
      <c r="B679" s="16"/>
      <c r="C679" s="16"/>
    </row>
    <row r="680">
      <c r="A680" s="16"/>
      <c r="B680" s="16"/>
      <c r="C680" s="16"/>
    </row>
    <row r="681">
      <c r="A681" s="16"/>
      <c r="B681" s="16"/>
      <c r="C681" s="16"/>
    </row>
    <row r="682">
      <c r="A682" s="16"/>
      <c r="B682" s="16"/>
      <c r="C682" s="16"/>
    </row>
    <row r="683">
      <c r="A683" s="16"/>
      <c r="B683" s="16"/>
      <c r="C683" s="16"/>
    </row>
    <row r="684">
      <c r="A684" s="16"/>
      <c r="B684" s="16"/>
      <c r="C684" s="16"/>
    </row>
    <row r="685">
      <c r="A685" s="16"/>
      <c r="B685" s="16"/>
      <c r="C685" s="16"/>
    </row>
    <row r="686">
      <c r="A686" s="16"/>
      <c r="B686" s="16"/>
      <c r="C686" s="16"/>
    </row>
    <row r="687">
      <c r="A687" s="16"/>
      <c r="B687" s="16"/>
      <c r="C687" s="16"/>
    </row>
    <row r="688">
      <c r="A688" s="16"/>
      <c r="B688" s="16"/>
      <c r="C688" s="16"/>
    </row>
    <row r="689">
      <c r="A689" s="16"/>
      <c r="B689" s="16"/>
      <c r="C689" s="16"/>
    </row>
    <row r="690">
      <c r="A690" s="16"/>
      <c r="B690" s="16"/>
      <c r="C690" s="16"/>
    </row>
    <row r="691">
      <c r="A691" s="16"/>
      <c r="B691" s="16"/>
      <c r="C691" s="16"/>
    </row>
    <row r="692">
      <c r="A692" s="16"/>
      <c r="B692" s="16"/>
      <c r="C692" s="16"/>
    </row>
    <row r="693">
      <c r="A693" s="16"/>
      <c r="B693" s="16"/>
      <c r="C693" s="16"/>
    </row>
    <row r="694">
      <c r="A694" s="16"/>
      <c r="B694" s="16"/>
      <c r="C694" s="16"/>
    </row>
    <row r="695">
      <c r="A695" s="16"/>
      <c r="B695" s="16"/>
      <c r="C695" s="16"/>
    </row>
    <row r="696">
      <c r="A696" s="16"/>
      <c r="B696" s="16"/>
      <c r="C696" s="16"/>
    </row>
    <row r="697">
      <c r="A697" s="16"/>
      <c r="B697" s="16"/>
      <c r="C697" s="16"/>
    </row>
    <row r="698">
      <c r="A698" s="16"/>
      <c r="B698" s="16"/>
      <c r="C698" s="16"/>
    </row>
    <row r="699">
      <c r="A699" s="16"/>
      <c r="B699" s="16"/>
      <c r="C699" s="16"/>
    </row>
    <row r="700">
      <c r="A700" s="16"/>
      <c r="B700" s="16"/>
      <c r="C700" s="16"/>
    </row>
    <row r="701">
      <c r="A701" s="16"/>
      <c r="B701" s="16"/>
      <c r="C701" s="16"/>
    </row>
    <row r="702">
      <c r="A702" s="16"/>
      <c r="B702" s="16"/>
      <c r="C702" s="16"/>
    </row>
    <row r="703">
      <c r="A703" s="16"/>
      <c r="B703" s="16"/>
      <c r="C703" s="16"/>
    </row>
    <row r="704">
      <c r="A704" s="16"/>
      <c r="B704" s="16"/>
      <c r="C704" s="16"/>
    </row>
    <row r="705">
      <c r="A705" s="16"/>
      <c r="B705" s="16"/>
      <c r="C705" s="16"/>
    </row>
    <row r="706">
      <c r="A706" s="16"/>
      <c r="B706" s="16"/>
      <c r="C706" s="16"/>
    </row>
    <row r="707">
      <c r="A707" s="16"/>
      <c r="B707" s="16"/>
      <c r="C707" s="16"/>
    </row>
    <row r="708">
      <c r="A708" s="16"/>
      <c r="B708" s="16"/>
      <c r="C708" s="16"/>
    </row>
    <row r="709">
      <c r="A709" s="16"/>
      <c r="B709" s="16"/>
      <c r="C709" s="16"/>
    </row>
    <row r="710">
      <c r="A710" s="16"/>
      <c r="B710" s="16"/>
      <c r="C710" s="16"/>
    </row>
    <row r="711">
      <c r="A711" s="16"/>
      <c r="B711" s="16"/>
      <c r="C711" s="16"/>
    </row>
    <row r="712">
      <c r="A712" s="16"/>
      <c r="B712" s="16"/>
      <c r="C712" s="16"/>
    </row>
    <row r="713">
      <c r="A713" s="16"/>
      <c r="B713" s="16"/>
      <c r="C713" s="16"/>
    </row>
    <row r="714">
      <c r="A714" s="16"/>
      <c r="B714" s="16"/>
      <c r="C714" s="16"/>
    </row>
    <row r="715">
      <c r="A715" s="16"/>
      <c r="B715" s="16"/>
      <c r="C715" s="16"/>
    </row>
    <row r="716">
      <c r="A716" s="16"/>
      <c r="B716" s="16"/>
      <c r="C716" s="16"/>
    </row>
    <row r="717">
      <c r="A717" s="16"/>
      <c r="B717" s="16"/>
      <c r="C717" s="16"/>
    </row>
    <row r="718">
      <c r="A718" s="16"/>
      <c r="B718" s="16"/>
      <c r="C718" s="16"/>
    </row>
    <row r="719">
      <c r="A719" s="16"/>
      <c r="B719" s="16"/>
      <c r="C719" s="16"/>
    </row>
    <row r="720">
      <c r="A720" s="16"/>
      <c r="B720" s="16"/>
      <c r="C720" s="16"/>
    </row>
    <row r="721">
      <c r="A721" s="16"/>
      <c r="B721" s="16"/>
      <c r="C721" s="16"/>
    </row>
    <row r="722">
      <c r="A722" s="16"/>
      <c r="B722" s="16"/>
      <c r="C722" s="16"/>
    </row>
    <row r="723">
      <c r="A723" s="16"/>
      <c r="B723" s="16"/>
      <c r="C723" s="16"/>
    </row>
    <row r="724">
      <c r="A724" s="16"/>
      <c r="B724" s="16"/>
      <c r="C724" s="16"/>
    </row>
    <row r="725">
      <c r="A725" s="16"/>
      <c r="B725" s="16"/>
      <c r="C725" s="16"/>
    </row>
    <row r="726">
      <c r="A726" s="16"/>
      <c r="B726" s="16"/>
      <c r="C726" s="16"/>
    </row>
    <row r="727">
      <c r="A727" s="16"/>
      <c r="B727" s="16"/>
      <c r="C727" s="16"/>
    </row>
    <row r="728">
      <c r="A728" s="16"/>
      <c r="B728" s="16"/>
      <c r="C728" s="16"/>
    </row>
    <row r="729">
      <c r="A729" s="16"/>
      <c r="B729" s="16"/>
      <c r="C729" s="16"/>
    </row>
    <row r="730">
      <c r="A730" s="16"/>
      <c r="B730" s="16"/>
      <c r="C730" s="16"/>
    </row>
    <row r="731">
      <c r="A731" s="16"/>
      <c r="B731" s="16"/>
      <c r="C731" s="16"/>
    </row>
    <row r="732">
      <c r="A732" s="16"/>
      <c r="B732" s="16"/>
      <c r="C732" s="16"/>
    </row>
    <row r="733">
      <c r="A733" s="16"/>
      <c r="B733" s="16"/>
      <c r="C733" s="16"/>
    </row>
    <row r="734">
      <c r="A734" s="16"/>
      <c r="B734" s="16"/>
      <c r="C734" s="16"/>
    </row>
    <row r="735">
      <c r="A735" s="16"/>
      <c r="B735" s="16"/>
      <c r="C735" s="16"/>
    </row>
    <row r="736">
      <c r="A736" s="16"/>
      <c r="B736" s="16"/>
      <c r="C736" s="16"/>
    </row>
    <row r="737">
      <c r="A737" s="16"/>
      <c r="B737" s="16"/>
      <c r="C737" s="16"/>
    </row>
    <row r="738">
      <c r="A738" s="16"/>
      <c r="B738" s="16"/>
      <c r="C738" s="16"/>
    </row>
    <row r="739">
      <c r="A739" s="16"/>
      <c r="B739" s="16"/>
      <c r="C739" s="16"/>
    </row>
    <row r="740">
      <c r="A740" s="16"/>
      <c r="B740" s="16"/>
      <c r="C740" s="16"/>
    </row>
    <row r="741">
      <c r="A741" s="16"/>
      <c r="B741" s="16"/>
      <c r="C741" s="16"/>
    </row>
    <row r="742">
      <c r="A742" s="16"/>
      <c r="B742" s="16"/>
      <c r="C742" s="16"/>
    </row>
    <row r="743">
      <c r="A743" s="16"/>
      <c r="B743" s="16"/>
      <c r="C743" s="16"/>
    </row>
    <row r="744">
      <c r="A744" s="16"/>
      <c r="B744" s="16"/>
      <c r="C744" s="16"/>
    </row>
    <row r="745">
      <c r="A745" s="16"/>
      <c r="B745" s="16"/>
      <c r="C745" s="16"/>
    </row>
    <row r="746">
      <c r="A746" s="16"/>
      <c r="B746" s="16"/>
      <c r="C746" s="16"/>
    </row>
    <row r="747">
      <c r="A747" s="16"/>
      <c r="B747" s="16"/>
      <c r="C747" s="16"/>
    </row>
    <row r="748">
      <c r="A748" s="16"/>
      <c r="B748" s="16"/>
      <c r="C748" s="16"/>
    </row>
    <row r="749">
      <c r="A749" s="16"/>
      <c r="B749" s="16"/>
      <c r="C749" s="16"/>
    </row>
    <row r="750">
      <c r="A750" s="16"/>
      <c r="B750" s="16"/>
      <c r="C750" s="16"/>
    </row>
    <row r="751">
      <c r="A751" s="16"/>
      <c r="B751" s="16"/>
      <c r="C751" s="16"/>
    </row>
    <row r="752">
      <c r="A752" s="16"/>
      <c r="B752" s="16"/>
      <c r="C752" s="16"/>
    </row>
    <row r="753">
      <c r="A753" s="16"/>
      <c r="B753" s="16"/>
      <c r="C753" s="16"/>
    </row>
    <row r="754">
      <c r="A754" s="16"/>
      <c r="B754" s="16"/>
      <c r="C754" s="16"/>
    </row>
    <row r="755">
      <c r="A755" s="16"/>
      <c r="B755" s="16"/>
      <c r="C755" s="16"/>
    </row>
    <row r="756">
      <c r="A756" s="16"/>
      <c r="B756" s="16"/>
      <c r="C756" s="16"/>
    </row>
    <row r="757">
      <c r="A757" s="16"/>
      <c r="B757" s="16"/>
      <c r="C757" s="16"/>
    </row>
    <row r="758">
      <c r="A758" s="16"/>
      <c r="B758" s="16"/>
      <c r="C758" s="16"/>
    </row>
    <row r="759">
      <c r="A759" s="16"/>
      <c r="B759" s="16"/>
      <c r="C759" s="16"/>
    </row>
    <row r="760">
      <c r="A760" s="16"/>
      <c r="B760" s="16"/>
      <c r="C760" s="16"/>
    </row>
    <row r="761">
      <c r="A761" s="16"/>
      <c r="B761" s="16"/>
      <c r="C761" s="16"/>
    </row>
    <row r="762">
      <c r="A762" s="16"/>
      <c r="B762" s="16"/>
      <c r="C762" s="16"/>
    </row>
    <row r="763">
      <c r="A763" s="16"/>
      <c r="B763" s="16"/>
      <c r="C763" s="16"/>
    </row>
    <row r="764">
      <c r="A764" s="16"/>
      <c r="B764" s="16"/>
      <c r="C764" s="16"/>
    </row>
    <row r="765">
      <c r="A765" s="16"/>
      <c r="B765" s="16"/>
      <c r="C765" s="16"/>
    </row>
    <row r="766">
      <c r="A766" s="16"/>
      <c r="B766" s="16"/>
      <c r="C766" s="16"/>
    </row>
    <row r="767">
      <c r="A767" s="16"/>
      <c r="B767" s="16"/>
      <c r="C767" s="16"/>
    </row>
    <row r="768">
      <c r="A768" s="16"/>
      <c r="B768" s="16"/>
      <c r="C768" s="16"/>
    </row>
    <row r="769">
      <c r="A769" s="16"/>
      <c r="B769" s="16"/>
      <c r="C769" s="16"/>
    </row>
    <row r="770">
      <c r="A770" s="16"/>
      <c r="B770" s="16"/>
      <c r="C770" s="16"/>
    </row>
    <row r="771">
      <c r="A771" s="16"/>
      <c r="B771" s="16"/>
      <c r="C771" s="16"/>
    </row>
    <row r="772">
      <c r="A772" s="16"/>
      <c r="B772" s="16"/>
      <c r="C772" s="16"/>
    </row>
    <row r="773">
      <c r="A773" s="16"/>
      <c r="B773" s="16"/>
      <c r="C773" s="16"/>
    </row>
    <row r="774">
      <c r="A774" s="16"/>
      <c r="B774" s="16"/>
      <c r="C774" s="16"/>
    </row>
    <row r="775">
      <c r="A775" s="16"/>
      <c r="B775" s="16"/>
      <c r="C775" s="16"/>
    </row>
    <row r="776">
      <c r="A776" s="16"/>
      <c r="B776" s="16"/>
      <c r="C776" s="16"/>
    </row>
    <row r="777">
      <c r="A777" s="16"/>
      <c r="B777" s="16"/>
      <c r="C777" s="16"/>
    </row>
    <row r="778">
      <c r="A778" s="16"/>
      <c r="B778" s="16"/>
      <c r="C778" s="16"/>
    </row>
    <row r="779">
      <c r="A779" s="16"/>
      <c r="B779" s="16"/>
      <c r="C779" s="16"/>
    </row>
    <row r="780">
      <c r="A780" s="16"/>
      <c r="B780" s="16"/>
      <c r="C780" s="16"/>
    </row>
    <row r="781">
      <c r="A781" s="16"/>
      <c r="B781" s="16"/>
      <c r="C781" s="16"/>
    </row>
    <row r="782">
      <c r="A782" s="16"/>
      <c r="B782" s="16"/>
      <c r="C782" s="16"/>
    </row>
    <row r="783">
      <c r="A783" s="16"/>
      <c r="B783" s="16"/>
      <c r="C783" s="16"/>
    </row>
    <row r="784">
      <c r="A784" s="16"/>
      <c r="B784" s="16"/>
      <c r="C784" s="16"/>
    </row>
    <row r="785">
      <c r="A785" s="16"/>
      <c r="B785" s="16"/>
      <c r="C785" s="16"/>
    </row>
    <row r="786">
      <c r="A786" s="16"/>
      <c r="B786" s="16"/>
      <c r="C786" s="16"/>
    </row>
    <row r="787">
      <c r="A787" s="16"/>
      <c r="B787" s="16"/>
      <c r="C787" s="16"/>
    </row>
    <row r="788">
      <c r="A788" s="16"/>
      <c r="B788" s="16"/>
      <c r="C788" s="16"/>
    </row>
    <row r="789">
      <c r="A789" s="16"/>
      <c r="B789" s="16"/>
      <c r="C789" s="16"/>
    </row>
    <row r="790">
      <c r="A790" s="16"/>
      <c r="B790" s="16"/>
      <c r="C790" s="16"/>
    </row>
    <row r="791">
      <c r="A791" s="16"/>
      <c r="B791" s="16"/>
      <c r="C791" s="16"/>
    </row>
    <row r="792">
      <c r="A792" s="16"/>
      <c r="B792" s="16"/>
      <c r="C792" s="16"/>
    </row>
    <row r="793">
      <c r="A793" s="16"/>
      <c r="B793" s="16"/>
      <c r="C793" s="16"/>
    </row>
    <row r="794">
      <c r="A794" s="16"/>
      <c r="B794" s="16"/>
      <c r="C794" s="16"/>
    </row>
    <row r="795">
      <c r="A795" s="16"/>
      <c r="B795" s="16"/>
      <c r="C795" s="16"/>
    </row>
    <row r="796">
      <c r="A796" s="16"/>
      <c r="B796" s="16"/>
      <c r="C796" s="16"/>
    </row>
    <row r="797">
      <c r="A797" s="16"/>
      <c r="B797" s="16"/>
      <c r="C797" s="16"/>
    </row>
    <row r="798">
      <c r="A798" s="16"/>
      <c r="B798" s="16"/>
      <c r="C798" s="16"/>
    </row>
    <row r="799">
      <c r="A799" s="16"/>
      <c r="B799" s="16"/>
      <c r="C799" s="16"/>
    </row>
    <row r="800">
      <c r="A800" s="16"/>
      <c r="B800" s="16"/>
      <c r="C800" s="16"/>
    </row>
    <row r="801">
      <c r="A801" s="16"/>
      <c r="B801" s="16"/>
      <c r="C801" s="16"/>
    </row>
    <row r="802">
      <c r="A802" s="16"/>
      <c r="B802" s="16"/>
      <c r="C802" s="16"/>
    </row>
    <row r="803">
      <c r="A803" s="16"/>
      <c r="B803" s="16"/>
      <c r="C803" s="16"/>
    </row>
    <row r="804">
      <c r="A804" s="16"/>
      <c r="B804" s="16"/>
      <c r="C804" s="16"/>
    </row>
    <row r="805">
      <c r="A805" s="16"/>
      <c r="B805" s="16"/>
      <c r="C805" s="16"/>
    </row>
    <row r="806">
      <c r="A806" s="16"/>
      <c r="B806" s="16"/>
      <c r="C806" s="16"/>
    </row>
    <row r="807">
      <c r="A807" s="16"/>
      <c r="B807" s="16"/>
      <c r="C807" s="16"/>
    </row>
    <row r="808">
      <c r="A808" s="16"/>
      <c r="B808" s="16"/>
      <c r="C808" s="16"/>
    </row>
    <row r="809">
      <c r="A809" s="16"/>
      <c r="B809" s="16"/>
      <c r="C809" s="16"/>
    </row>
    <row r="810">
      <c r="A810" s="16"/>
      <c r="B810" s="16"/>
      <c r="C810" s="16"/>
    </row>
    <row r="811">
      <c r="A811" s="16"/>
      <c r="B811" s="16"/>
      <c r="C811" s="16"/>
    </row>
    <row r="812">
      <c r="A812" s="16"/>
      <c r="B812" s="16"/>
      <c r="C812" s="16"/>
    </row>
    <row r="813">
      <c r="A813" s="16"/>
      <c r="B813" s="16"/>
      <c r="C813" s="16"/>
    </row>
    <row r="814">
      <c r="A814" s="16"/>
      <c r="B814" s="16"/>
      <c r="C814" s="16"/>
    </row>
    <row r="815">
      <c r="A815" s="16"/>
      <c r="B815" s="16"/>
      <c r="C815" s="16"/>
    </row>
    <row r="816">
      <c r="A816" s="16"/>
      <c r="B816" s="16"/>
      <c r="C816" s="16"/>
    </row>
    <row r="817">
      <c r="A817" s="16"/>
      <c r="B817" s="16"/>
      <c r="C817" s="16"/>
    </row>
    <row r="818">
      <c r="A818" s="16"/>
      <c r="B818" s="16"/>
      <c r="C818" s="16"/>
    </row>
    <row r="819">
      <c r="A819" s="16"/>
      <c r="B819" s="16"/>
      <c r="C819" s="16"/>
    </row>
    <row r="820">
      <c r="A820" s="16"/>
      <c r="B820" s="16"/>
      <c r="C820" s="16"/>
    </row>
    <row r="821">
      <c r="A821" s="16"/>
      <c r="B821" s="16"/>
      <c r="C821" s="16"/>
    </row>
    <row r="822">
      <c r="A822" s="16"/>
      <c r="B822" s="16"/>
      <c r="C822" s="16"/>
    </row>
    <row r="823">
      <c r="A823" s="16"/>
      <c r="B823" s="16"/>
      <c r="C823" s="16"/>
    </row>
    <row r="824">
      <c r="A824" s="16"/>
      <c r="B824" s="16"/>
      <c r="C824" s="16"/>
    </row>
    <row r="825">
      <c r="A825" s="16"/>
      <c r="B825" s="16"/>
      <c r="C825" s="16"/>
    </row>
    <row r="826">
      <c r="A826" s="16"/>
      <c r="B826" s="16"/>
      <c r="C826" s="16"/>
    </row>
    <row r="827">
      <c r="A827" s="16"/>
      <c r="B827" s="16"/>
      <c r="C827" s="16"/>
    </row>
    <row r="828">
      <c r="A828" s="16"/>
      <c r="B828" s="16"/>
      <c r="C828" s="16"/>
    </row>
    <row r="829">
      <c r="A829" s="16"/>
      <c r="B829" s="16"/>
      <c r="C829" s="16"/>
    </row>
    <row r="830">
      <c r="A830" s="16"/>
      <c r="B830" s="16"/>
      <c r="C830" s="16"/>
    </row>
    <row r="831">
      <c r="A831" s="16"/>
      <c r="B831" s="16"/>
      <c r="C831" s="16"/>
    </row>
    <row r="832">
      <c r="A832" s="16"/>
      <c r="B832" s="16"/>
      <c r="C832" s="16"/>
    </row>
    <row r="833">
      <c r="A833" s="16"/>
      <c r="B833" s="16"/>
      <c r="C833" s="16"/>
    </row>
    <row r="834">
      <c r="A834" s="16"/>
      <c r="B834" s="16"/>
      <c r="C834" s="16"/>
    </row>
    <row r="835">
      <c r="A835" s="16"/>
      <c r="B835" s="16"/>
      <c r="C835" s="16"/>
    </row>
    <row r="836">
      <c r="A836" s="16"/>
      <c r="B836" s="16"/>
      <c r="C836" s="16"/>
    </row>
    <row r="837">
      <c r="A837" s="16"/>
      <c r="B837" s="16"/>
      <c r="C837" s="16"/>
    </row>
    <row r="838">
      <c r="A838" s="16"/>
      <c r="B838" s="16"/>
      <c r="C838" s="16"/>
    </row>
    <row r="839">
      <c r="A839" s="16"/>
      <c r="B839" s="16"/>
      <c r="C839" s="16"/>
    </row>
    <row r="840">
      <c r="A840" s="16"/>
      <c r="B840" s="16"/>
      <c r="C840" s="16"/>
    </row>
    <row r="841">
      <c r="A841" s="16"/>
      <c r="B841" s="16"/>
      <c r="C841" s="16"/>
    </row>
    <row r="842">
      <c r="A842" s="16"/>
      <c r="B842" s="16"/>
      <c r="C842" s="16"/>
    </row>
    <row r="843">
      <c r="A843" s="16"/>
      <c r="B843" s="16"/>
      <c r="C843" s="16"/>
    </row>
    <row r="844">
      <c r="A844" s="16"/>
      <c r="B844" s="16"/>
      <c r="C844" s="16"/>
    </row>
    <row r="845">
      <c r="A845" s="16"/>
      <c r="B845" s="16"/>
      <c r="C845" s="16"/>
    </row>
    <row r="846">
      <c r="A846" s="16"/>
      <c r="B846" s="16"/>
      <c r="C846" s="16"/>
    </row>
    <row r="847">
      <c r="A847" s="16"/>
      <c r="B847" s="16"/>
      <c r="C847" s="16"/>
    </row>
    <row r="848">
      <c r="A848" s="16"/>
      <c r="B848" s="16"/>
      <c r="C848" s="16"/>
    </row>
    <row r="849">
      <c r="A849" s="16"/>
      <c r="B849" s="16"/>
      <c r="C849" s="16"/>
    </row>
    <row r="850">
      <c r="A850" s="16"/>
      <c r="B850" s="16"/>
      <c r="C850" s="16"/>
    </row>
    <row r="851">
      <c r="A851" s="16"/>
      <c r="B851" s="16"/>
      <c r="C851" s="16"/>
    </row>
    <row r="852">
      <c r="A852" s="16"/>
      <c r="B852" s="16"/>
      <c r="C852" s="16"/>
    </row>
    <row r="853">
      <c r="A853" s="16"/>
      <c r="B853" s="16"/>
      <c r="C853" s="16"/>
    </row>
    <row r="854">
      <c r="A854" s="16"/>
      <c r="B854" s="16"/>
      <c r="C854" s="16"/>
    </row>
    <row r="855">
      <c r="A855" s="16"/>
      <c r="B855" s="16"/>
      <c r="C855" s="16"/>
    </row>
    <row r="856">
      <c r="A856" s="16"/>
      <c r="B856" s="16"/>
      <c r="C856" s="16"/>
    </row>
    <row r="857">
      <c r="A857" s="16"/>
      <c r="B857" s="16"/>
      <c r="C857" s="16"/>
    </row>
    <row r="858">
      <c r="A858" s="16"/>
      <c r="B858" s="16"/>
      <c r="C858" s="16"/>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IFERROR(__xludf.DUMMYFUNCTION("IMPORTRANGE(""https://docs.google.com/spreadsheets/d/""&amp;Config!B1,""Equipment!A:AH"")"),"Name")</f>
        <v>Name</v>
      </c>
      <c r="B1" s="16" t="str">
        <f>IFERROR(__xludf.DUMMYFUNCTION("""COMPUTED_VALUE"""),"Slot")</f>
        <v>Slot</v>
      </c>
      <c r="C1" s="16" t="str">
        <f>IFERROR(__xludf.DUMMYFUNCTION("""COMPUTED_VALUE"""),"Description")</f>
        <v>Description</v>
      </c>
      <c r="D1" s="16" t="str">
        <f>IFERROR(__xludf.DUMMYFUNCTION("""COMPUTED_VALUE"""),"Type")</f>
        <v>Type</v>
      </c>
      <c r="E1" s="16" t="str">
        <f>IFERROR(__xludf.DUMMYFUNCTION("""COMPUTED_VALUE"""),"LevelReq")</f>
        <v>LevelReq</v>
      </c>
      <c r="F1" s="16" t="str">
        <f>IFERROR(__xludf.DUMMYFUNCTION("""COMPUTED_VALUE"""),"Price")</f>
        <v>Price</v>
      </c>
      <c r="G1" s="16" t="str">
        <f>IFERROR(__xludf.DUMMYFUNCTION("""COMPUTED_VALUE"""),"DefDmg")</f>
        <v>DefDmg</v>
      </c>
      <c r="H1" s="16" t="str">
        <f>IFERROR(__xludf.DUMMYFUNCTION("""COMPUTED_VALUE"""),"Natural")</f>
        <v>Natural</v>
      </c>
      <c r="I1" s="16" t="str">
        <f>IFERROR(__xludf.DUMMYFUNCTION("""COMPUTED_VALUE"""),"Fire")</f>
        <v>Fire</v>
      </c>
      <c r="J1" s="16" t="str">
        <f>IFERROR(__xludf.DUMMYFUNCTION("""COMPUTED_VALUE"""),"Physical")</f>
        <v>Physical</v>
      </c>
      <c r="K1" s="16" t="str">
        <f>IFERROR(__xludf.DUMMYFUNCTION("""COMPUTED_VALUE"""),"Water")</f>
        <v>Water</v>
      </c>
      <c r="L1" s="16" t="str">
        <f>IFERROR(__xludf.DUMMYFUNCTION("""COMPUTED_VALUE"""),"Storm")</f>
        <v>Storm</v>
      </c>
      <c r="M1" s="16" t="str">
        <f>IFERROR(__xludf.DUMMYFUNCTION("""COMPUTED_VALUE"""),"Earth")</f>
        <v>Earth</v>
      </c>
      <c r="N1" s="16" t="str">
        <f>IFERROR(__xludf.DUMMYFUNCTION("""COMPUTED_VALUE"""),"Light")</f>
        <v>Light</v>
      </c>
      <c r="O1" s="16" t="str">
        <f>IFERROR(__xludf.DUMMYFUNCTION("""COMPUTED_VALUE"""),"Dark")</f>
        <v>Dark</v>
      </c>
      <c r="P1" s="16" t="str">
        <f>IFERROR(__xludf.DUMMYFUNCTION("""COMPUTED_VALUE"""),"Spirit")</f>
        <v>Spirit</v>
      </c>
      <c r="Q1" s="16" t="str">
        <f>IFERROR(__xludf.DUMMYFUNCTION("""COMPUTED_VALUE"""),"Order")</f>
        <v>Order</v>
      </c>
      <c r="R1" s="16" t="str">
        <f>IFERROR(__xludf.DUMMYFUNCTION("""COMPUTED_VALUE"""),"Chaos")</f>
        <v>Chaos</v>
      </c>
      <c r="S1" s="16" t="str">
        <f>IFERROR(__xludf.DUMMYFUNCTION("""COMPUTED_VALUE"""),"Nature")</f>
        <v>Nature</v>
      </c>
      <c r="T1" s="16" t="str">
        <f>IFERROR(__xludf.DUMMYFUNCTION("""COMPUTED_VALUE"""),"Melee")</f>
        <v>Melee</v>
      </c>
      <c r="U1" s="16" t="str">
        <f>IFERROR(__xludf.DUMMYFUNCTION("""COMPUTED_VALUE"""),"Ranged")</f>
        <v>Ranged</v>
      </c>
      <c r="V1" s="16" t="str">
        <f>IFERROR(__xludf.DUMMYFUNCTION("""COMPUTED_VALUE"""),"Stasis")</f>
        <v>Stasis</v>
      </c>
      <c r="W1" s="16" t="str">
        <f>IFERROR(__xludf.DUMMYFUNCTION("""COMPUTED_VALUE"""),"Twilight")</f>
        <v>Twilight</v>
      </c>
      <c r="X1" s="16" t="str">
        <f>IFERROR(__xludf.DUMMYFUNCTION("""COMPUTED_VALUE"""),"Voodoo")</f>
        <v>Voodoo</v>
      </c>
      <c r="Y1" s="16" t="str">
        <f>IFERROR(__xludf.DUMMYFUNCTION("""COMPUTED_VALUE"""),"Blood")</f>
        <v>Blood</v>
      </c>
      <c r="Z1" s="16" t="str">
        <f>IFERROR(__xludf.DUMMYFUNCTION("""COMPUTED_VALUE"""),"Delta")</f>
        <v>Delta</v>
      </c>
      <c r="AA1" s="16" t="str">
        <f>IFERROR(__xludf.DUMMYFUNCTION("""COMPUTED_VALUE"""),"Zen")</f>
        <v>Zen</v>
      </c>
      <c r="AB1" s="16" t="str">
        <f>IFERROR(__xludf.DUMMYFUNCTION("""COMPUTED_VALUE"""),"Astral")</f>
        <v>Astral</v>
      </c>
      <c r="AC1" s="16" t="str">
        <f>IFERROR(__xludf.DUMMYFUNCTION("""COMPUTED_VALUE"""),"Celestial")</f>
        <v>Celestial</v>
      </c>
      <c r="AD1" s="16" t="str">
        <f>IFERROR(__xludf.DUMMYFUNCTION("""COMPUTED_VALUE"""),"Time")</f>
        <v>Time</v>
      </c>
      <c r="AE1" s="16" t="str">
        <f>IFERROR(__xludf.DUMMYFUNCTION("""COMPUTED_VALUE"""),"Acoustic")</f>
        <v>Acoustic</v>
      </c>
      <c r="AF1" s="16" t="str">
        <f>IFERROR(__xludf.DUMMYFUNCTION("""COMPUTED_VALUE"""),"OtherAbilities")</f>
        <v>OtherAbilities</v>
      </c>
      <c r="AG1" s="16" t="str">
        <f>IFERROR(__xludf.DUMMYFUNCTION("""COMPUTED_VALUE"""),"EquipLoc")</f>
        <v>EquipLoc</v>
      </c>
      <c r="AH1" s="16" t="str">
        <f>IFERROR(__xludf.DUMMYFUNCTION("""COMPUTED_VALUE"""),"Needs Revising")</f>
        <v>Needs Revising</v>
      </c>
    </row>
    <row r="2">
      <c r="A2" s="16" t="str">
        <f>IFERROR(__xludf.DUMMYFUNCTION("""COMPUTED_VALUE"""),"""Hellfire Club"" Vest of Metal Harmony's")</f>
        <v>"Hellfire Club" Vest of Metal Harmony's</v>
      </c>
      <c r="B2" s="16" t="str">
        <f>IFERROR(__xludf.DUMMYFUNCTION("""COMPUTED_VALUE"""),"Torso")</f>
        <v>Torso</v>
      </c>
      <c r="C2" s="16"/>
      <c r="D2" s="16"/>
      <c r="E2" s="16">
        <f>IFERROR(__xludf.DUMMYFUNCTION("""COMPUTED_VALUE"""),200.0)</f>
        <v>200</v>
      </c>
      <c r="F2" s="108">
        <f>IFERROR(__xludf.DUMMYFUNCTION("""COMPUTED_VALUE"""),1900000.0)</f>
        <v>1900000</v>
      </c>
      <c r="G2" s="16" t="str">
        <f>IFERROR(__xludf.DUMMYFUNCTION("""COMPUTED_VALUE"""),"DEF")</f>
        <v>DEF</v>
      </c>
      <c r="H2" s="119">
        <f>IFERROR(__xludf.DUMMYFUNCTION("""COMPUTED_VALUE"""),10000.0)</f>
        <v>10000</v>
      </c>
      <c r="I2" s="16"/>
      <c r="J2" s="16"/>
      <c r="K2" s="16"/>
      <c r="L2" s="16"/>
      <c r="M2" s="16"/>
      <c r="N2" s="16"/>
      <c r="O2" s="16"/>
      <c r="P2" s="16"/>
      <c r="Q2" s="16"/>
      <c r="R2" s="16"/>
      <c r="S2" s="16"/>
      <c r="T2" s="16"/>
      <c r="U2" s="16"/>
      <c r="V2" s="16"/>
      <c r="W2" s="16"/>
      <c r="X2" s="16"/>
      <c r="Y2" s="16"/>
      <c r="Z2" s="16"/>
      <c r="AA2" s="16"/>
      <c r="AB2" s="16"/>
      <c r="AC2" s="16"/>
      <c r="AD2" s="16"/>
      <c r="AE2" s="16"/>
      <c r="AF2" s="16" t="str">
        <f>IFERROR(__xludf.DUMMYFUNCTION("""COMPUTED_VALUE"""),"++When dealing damage with an instrument you will regain sp equal to the damage you caused.")</f>
        <v>++When dealing damage with an instrument you will regain sp equal to the damage you caused.</v>
      </c>
      <c r="AG2" s="16" t="str">
        <f>IFERROR(__xludf.DUMMYFUNCTION("""COMPUTED_VALUE"""),"Land of Spira")</f>
        <v>Land of Spira</v>
      </c>
      <c r="AH2" s="16" t="b">
        <f>IFERROR(__xludf.DUMMYFUNCTION("""COMPUTED_VALUE"""),FALSE)</f>
        <v>0</v>
      </c>
    </row>
    <row r="3">
      <c r="A3" s="16" t="str">
        <f>IFERROR(__xludf.DUMMYFUNCTION("""COMPUTED_VALUE"""),"""Sweetheart"" Guitar of The Upside Down")</f>
        <v>"Sweetheart" Guitar of The Upside Down</v>
      </c>
      <c r="B3" s="16" t="str">
        <f>IFERROR(__xludf.DUMMYFUNCTION("""COMPUTED_VALUE"""),"Hand")</f>
        <v>Hand</v>
      </c>
      <c r="C3" s="16"/>
      <c r="D3" s="16" t="str">
        <f>IFERROR(__xludf.DUMMYFUNCTION("""COMPUTED_VALUE"""),"Instrument")</f>
        <v>Instrument</v>
      </c>
      <c r="E3" s="16">
        <f>IFERROR(__xludf.DUMMYFUNCTION("""COMPUTED_VALUE"""),200.0)</f>
        <v>200</v>
      </c>
      <c r="F3" s="108">
        <f>IFERROR(__xludf.DUMMYFUNCTION("""COMPUTED_VALUE"""),1900000.0)</f>
        <v>1900000</v>
      </c>
      <c r="G3" s="16" t="str">
        <f>IFERROR(__xludf.DUMMYFUNCTION("""COMPUTED_VALUE"""),"DMG")</f>
        <v>DMG</v>
      </c>
      <c r="H3" s="119">
        <f>IFERROR(__xludf.DUMMYFUNCTION("""COMPUTED_VALUE"""),2500.0)</f>
        <v>2500</v>
      </c>
      <c r="I3" s="119">
        <f>IFERROR(__xludf.DUMMYFUNCTION("""COMPUTED_VALUE"""),2500.0)</f>
        <v>2500</v>
      </c>
      <c r="J3" s="16"/>
      <c r="K3" s="16"/>
      <c r="L3" s="16"/>
      <c r="M3" s="16"/>
      <c r="N3" s="16"/>
      <c r="O3" s="119">
        <f>IFERROR(__xludf.DUMMYFUNCTION("""COMPUTED_VALUE"""),2500.0)</f>
        <v>2500</v>
      </c>
      <c r="P3" s="16"/>
      <c r="Q3" s="16"/>
      <c r="R3" s="119">
        <f>IFERROR(__xludf.DUMMYFUNCTION("""COMPUTED_VALUE"""),2500.0)</f>
        <v>2500</v>
      </c>
      <c r="S3" s="16"/>
      <c r="T3" s="16"/>
      <c r="U3" s="16"/>
      <c r="V3" s="16"/>
      <c r="W3" s="16"/>
      <c r="X3" s="16"/>
      <c r="Y3" s="16"/>
      <c r="Z3" s="16"/>
      <c r="AA3" s="16"/>
      <c r="AB3" s="16"/>
      <c r="AC3" s="16"/>
      <c r="AD3" s="16"/>
      <c r="AE3" s="16"/>
      <c r="AF3" s="16" t="str">
        <f>IFERROR(__xludf.DUMMYFUNCTION("""COMPUTED_VALUE"""),"++This instrument will deal X2 damage while it's equipped. ++Any spells that deal damage for the user will now do an additional X2. ++25% chance to port the target you hit to a random location.")</f>
        <v>++This instrument will deal X2 damage while it's equipped. ++Any spells that deal damage for the user will now do an additional X2. ++25% chance to port the target you hit to a random location.</v>
      </c>
      <c r="AG3" s="16" t="str">
        <f>IFERROR(__xludf.DUMMYFUNCTION("""COMPUTED_VALUE"""),"Land of Spira")</f>
        <v>Land of Spira</v>
      </c>
      <c r="AH3" s="16" t="b">
        <f>IFERROR(__xludf.DUMMYFUNCTION("""COMPUTED_VALUE"""),FALSE)</f>
        <v>0</v>
      </c>
    </row>
    <row r="4">
      <c r="A4" s="16" t="str">
        <f>IFERROR(__xludf.DUMMYFUNCTION("""COMPUTED_VALUE"""),"Alpha Sword")</f>
        <v>Alpha Sword</v>
      </c>
      <c r="B4" s="16" t="str">
        <f>IFERROR(__xludf.DUMMYFUNCTION("""COMPUTED_VALUE"""),"Hand")</f>
        <v>Hand</v>
      </c>
      <c r="C4" s="16"/>
      <c r="D4" s="16" t="str">
        <f>IFERROR(__xludf.DUMMYFUNCTION("""COMPUTED_VALUE"""),"Sword")</f>
        <v>Sword</v>
      </c>
      <c r="E4" s="16">
        <f>IFERROR(__xludf.DUMMYFUNCTION("""COMPUTED_VALUE"""),4000.0)</f>
        <v>4000</v>
      </c>
      <c r="F4" s="108">
        <f>IFERROR(__xludf.DUMMYFUNCTION("""COMPUTED_VALUE"""),7.98E8)</f>
        <v>798000000</v>
      </c>
      <c r="G4" s="16" t="str">
        <f>IFERROR(__xludf.DUMMYFUNCTION("""COMPUTED_VALUE"""),"DMG")</f>
        <v>DMG</v>
      </c>
      <c r="H4" s="119">
        <f>IFERROR(__xludf.DUMMYFUNCTION("""COMPUTED_VALUE"""),100000.0)</f>
        <v>100000</v>
      </c>
      <c r="I4" s="16"/>
      <c r="J4" s="16"/>
      <c r="K4" s="16"/>
      <c r="L4" s="16"/>
      <c r="M4" s="16"/>
      <c r="N4" s="16"/>
      <c r="O4" s="119">
        <f>IFERROR(__xludf.DUMMYFUNCTION("""COMPUTED_VALUE"""),100000.0)</f>
        <v>100000</v>
      </c>
      <c r="P4" s="16"/>
      <c r="Q4" s="16"/>
      <c r="R4" s="16"/>
      <c r="S4" s="16"/>
      <c r="T4" s="16"/>
      <c r="U4" s="16"/>
      <c r="V4" s="16"/>
      <c r="W4" s="16"/>
      <c r="X4" s="16"/>
      <c r="Y4" s="16"/>
      <c r="Z4" s="16"/>
      <c r="AA4" s="16"/>
      <c r="AB4" s="16"/>
      <c r="AC4" s="16"/>
      <c r="AD4" s="16"/>
      <c r="AE4" s="16"/>
      <c r="AF4" s="16" t="str">
        <f>IFERROR(__xludf.DUMMYFUNCTION("""COMPUTED_VALUE"""),"++If you kill an enemy using this weapon you may attack another enemy once more using this weapon on the same turn but this can only be done once per turn.")</f>
        <v>++If you kill an enemy using this weapon you may attack another enemy once more using this weapon on the same turn but this can only be done once per turn.</v>
      </c>
      <c r="AG4" s="16" t="str">
        <f>IFERROR(__xludf.DUMMYFUNCTION("""COMPUTED_VALUE"""),"Abstara")</f>
        <v>Abstara</v>
      </c>
      <c r="AH4" s="16" t="b">
        <f>IFERROR(__xludf.DUMMYFUNCTION("""COMPUTED_VALUE"""),FALSE)</f>
        <v>0</v>
      </c>
    </row>
    <row r="5">
      <c r="A5" s="16" t="str">
        <f>IFERROR(__xludf.DUMMYFUNCTION("""COMPUTED_VALUE"""),"Ancient Colossus Forest Hammer")</f>
        <v>Ancient Colossus Forest Hammer</v>
      </c>
      <c r="B5" s="16" t="str">
        <f>IFERROR(__xludf.DUMMYFUNCTION("""COMPUTED_VALUE"""),"Hand")</f>
        <v>Hand</v>
      </c>
      <c r="C5" s="16"/>
      <c r="D5" s="16" t="str">
        <f>IFERROR(__xludf.DUMMYFUNCTION("""COMPUTED_VALUE"""),"Club")</f>
        <v>Club</v>
      </c>
      <c r="E5" s="16">
        <f>IFERROR(__xludf.DUMMYFUNCTION("""COMPUTED_VALUE"""),700.0)</f>
        <v>700</v>
      </c>
      <c r="F5" s="108">
        <f>IFERROR(__xludf.DUMMYFUNCTION("""COMPUTED_VALUE"""),2.415E7)</f>
        <v>24150000</v>
      </c>
      <c r="G5" s="16" t="str">
        <f>IFERROR(__xludf.DUMMYFUNCTION("""COMPUTED_VALUE"""),"DMG")</f>
        <v>DMG</v>
      </c>
      <c r="H5" s="16">
        <f>IFERROR(__xludf.DUMMYFUNCTION("""COMPUTED_VALUE"""),25000.0)</f>
        <v>25000</v>
      </c>
      <c r="I5" s="16"/>
      <c r="J5" s="16"/>
      <c r="K5" s="16"/>
      <c r="L5" s="16"/>
      <c r="M5" s="16"/>
      <c r="N5" s="16"/>
      <c r="O5" s="16"/>
      <c r="P5" s="16"/>
      <c r="Q5" s="16"/>
      <c r="R5" s="16"/>
      <c r="S5" s="16">
        <f>IFERROR(__xludf.DUMMYFUNCTION("""COMPUTED_VALUE"""),10000.0)</f>
        <v>10000</v>
      </c>
      <c r="T5" s="16"/>
      <c r="U5" s="16"/>
      <c r="V5" s="16"/>
      <c r="W5" s="16"/>
      <c r="X5" s="16"/>
      <c r="Y5" s="16"/>
      <c r="Z5" s="16"/>
      <c r="AA5" s="16"/>
      <c r="AB5" s="16"/>
      <c r="AC5" s="16"/>
      <c r="AD5" s="16"/>
      <c r="AE5" s="16"/>
      <c r="AF5" s="16" t="str">
        <f>IFERROR(__xludf.DUMMYFUNCTION("""COMPUTED_VALUE"""),"++When in a Natural environment all attacks with this weapon will roll twice and take the higher number")</f>
        <v>++When in a Natural environment all attacks with this weapon will roll twice and take the higher number</v>
      </c>
      <c r="AG5" s="16" t="str">
        <f>IFERROR(__xludf.DUMMYFUNCTION("""COMPUTED_VALUE"""),"Land of Spira")</f>
        <v>Land of Spira</v>
      </c>
      <c r="AH5" s="16" t="b">
        <f>IFERROR(__xludf.DUMMYFUNCTION("""COMPUTED_VALUE"""),FALSE)</f>
        <v>0</v>
      </c>
    </row>
    <row r="6">
      <c r="A6" s="16" t="str">
        <f>IFERROR(__xludf.DUMMYFUNCTION("""COMPUTED_VALUE"""),"Ancient Samurai Sword")</f>
        <v>Ancient Samurai Sword</v>
      </c>
      <c r="B6" s="16" t="str">
        <f>IFERROR(__xludf.DUMMYFUNCTION("""COMPUTED_VALUE"""),"Hand")</f>
        <v>Hand</v>
      </c>
      <c r="C6" s="16"/>
      <c r="D6" s="16" t="str">
        <f>IFERROR(__xludf.DUMMYFUNCTION("""COMPUTED_VALUE"""),"Sword")</f>
        <v>Sword</v>
      </c>
      <c r="E6" s="16">
        <f>IFERROR(__xludf.DUMMYFUNCTION("""COMPUTED_VALUE"""),800.0)</f>
        <v>800</v>
      </c>
      <c r="F6" s="108">
        <f>IFERROR(__xludf.DUMMYFUNCTION("""COMPUTED_VALUE"""),3.16E7)</f>
        <v>31600000</v>
      </c>
      <c r="G6" s="16" t="str">
        <f>IFERROR(__xludf.DUMMYFUNCTION("""COMPUTED_VALUE"""),"DMG")</f>
        <v>DMG</v>
      </c>
      <c r="H6" s="119">
        <f>IFERROR(__xludf.DUMMYFUNCTION("""COMPUTED_VALUE"""),10000.0)</f>
        <v>10000</v>
      </c>
      <c r="I6" s="119">
        <f>IFERROR(__xludf.DUMMYFUNCTION("""COMPUTED_VALUE"""),10000.0)</f>
        <v>10000</v>
      </c>
      <c r="J6" s="16"/>
      <c r="K6" s="16"/>
      <c r="L6" s="16"/>
      <c r="M6" s="16"/>
      <c r="N6" s="119">
        <f>IFERROR(__xludf.DUMMYFUNCTION("""COMPUTED_VALUE"""),10000.0)</f>
        <v>10000</v>
      </c>
      <c r="O6" s="16"/>
      <c r="P6" s="16"/>
      <c r="Q6" s="119">
        <f>IFERROR(__xludf.DUMMYFUNCTION("""COMPUTED_VALUE"""),10000.0)</f>
        <v>10000</v>
      </c>
      <c r="R6" s="16"/>
      <c r="S6" s="16"/>
      <c r="T6" s="16"/>
      <c r="U6" s="16"/>
      <c r="V6" s="16"/>
      <c r="W6" s="16"/>
      <c r="X6" s="16"/>
      <c r="Y6" s="16"/>
      <c r="Z6" s="16"/>
      <c r="AA6" s="16"/>
      <c r="AB6" s="16"/>
      <c r="AC6" s="16"/>
      <c r="AD6" s="16"/>
      <c r="AE6" s="16"/>
      <c r="AF6" s="16" t="str">
        <f>IFERROR(__xludf.DUMMYFUNCTION("""COMPUTED_VALUE"""),"++Doubles the chance for the Sword ability to activate")</f>
        <v>++Doubles the chance for the Sword ability to activate</v>
      </c>
      <c r="AG6" s="16" t="str">
        <f>IFERROR(__xludf.DUMMYFUNCTION("""COMPUTED_VALUE"""),"Land of Spira")</f>
        <v>Land of Spira</v>
      </c>
      <c r="AH6" s="16" t="b">
        <f>IFERROR(__xludf.DUMMYFUNCTION("""COMPUTED_VALUE"""),FALSE)</f>
        <v>0</v>
      </c>
    </row>
    <row r="7">
      <c r="A7" s="16" t="str">
        <f>IFERROR(__xludf.DUMMYFUNCTION("""COMPUTED_VALUE"""),"Ancient Stone Guardians Sword")</f>
        <v>Ancient Stone Guardians Sword</v>
      </c>
      <c r="B7" s="16" t="str">
        <f>IFERROR(__xludf.DUMMYFUNCTION("""COMPUTED_VALUE"""),"Hand")</f>
        <v>Hand</v>
      </c>
      <c r="C7" s="16"/>
      <c r="D7" s="16" t="str">
        <f>IFERROR(__xludf.DUMMYFUNCTION("""COMPUTED_VALUE"""),"Sword")</f>
        <v>Sword</v>
      </c>
      <c r="E7" s="16">
        <f>IFERROR(__xludf.DUMMYFUNCTION("""COMPUTED_VALUE"""),1200.0)</f>
        <v>1200</v>
      </c>
      <c r="F7" s="108">
        <f>IFERROR(__xludf.DUMMYFUNCTION("""COMPUTED_VALUE"""),7.14E7)</f>
        <v>71400000</v>
      </c>
      <c r="G7" s="16" t="str">
        <f>IFERROR(__xludf.DUMMYFUNCTION("""COMPUTED_VALUE"""),"DMG")</f>
        <v>DMG</v>
      </c>
      <c r="H7" s="119">
        <f>IFERROR(__xludf.DUMMYFUNCTION("""COMPUTED_VALUE"""),20000.0)</f>
        <v>20000</v>
      </c>
      <c r="I7" s="16"/>
      <c r="J7" s="16"/>
      <c r="K7" s="16"/>
      <c r="L7" s="16"/>
      <c r="M7" s="119">
        <f>IFERROR(__xludf.DUMMYFUNCTION("""COMPUTED_VALUE"""),20000.0)</f>
        <v>20000</v>
      </c>
      <c r="N7" s="119">
        <f>IFERROR(__xludf.DUMMYFUNCTION("""COMPUTED_VALUE"""),20000.0)</f>
        <v>20000</v>
      </c>
      <c r="O7" s="16"/>
      <c r="P7" s="16"/>
      <c r="Q7" s="16"/>
      <c r="R7" s="16"/>
      <c r="S7" s="16"/>
      <c r="T7" s="16"/>
      <c r="U7" s="16"/>
      <c r="V7" s="16"/>
      <c r="W7" s="16"/>
      <c r="X7" s="16"/>
      <c r="Y7" s="16"/>
      <c r="Z7" s="16"/>
      <c r="AA7" s="16"/>
      <c r="AB7" s="16"/>
      <c r="AC7" s="16"/>
      <c r="AD7" s="16"/>
      <c r="AE7" s="16"/>
      <c r="AF7" s="16" t="str">
        <f>IFERROR(__xludf.DUMMYFUNCTION("""COMPUTED_VALUE"""),"++X2 Defense for all allies")</f>
        <v>++X2 Defense for all allies</v>
      </c>
      <c r="AG7" s="16" t="str">
        <f>IFERROR(__xludf.DUMMYFUNCTION("""COMPUTED_VALUE"""),"Land of Spira")</f>
        <v>Land of Spira</v>
      </c>
      <c r="AH7" s="16" t="b">
        <f>IFERROR(__xludf.DUMMYFUNCTION("""COMPUTED_VALUE"""),FALSE)</f>
        <v>0</v>
      </c>
    </row>
    <row r="8">
      <c r="A8" s="16" t="str">
        <f>IFERROR(__xludf.DUMMYFUNCTION("""COMPUTED_VALUE"""),"Aqua Robe")</f>
        <v>Aqua Robe</v>
      </c>
      <c r="B8" s="16" t="str">
        <f>IFERROR(__xludf.DUMMYFUNCTION("""COMPUTED_VALUE"""),"Torso")</f>
        <v>Torso</v>
      </c>
      <c r="C8" s="16"/>
      <c r="D8" s="16"/>
      <c r="E8" s="16">
        <f>IFERROR(__xludf.DUMMYFUNCTION("""COMPUTED_VALUE"""),40.0)</f>
        <v>40</v>
      </c>
      <c r="F8" s="108">
        <f>IFERROR(__xludf.DUMMYFUNCTION("""COMPUTED_VALUE"""),60000.0)</f>
        <v>60000</v>
      </c>
      <c r="G8" s="16" t="str">
        <f>IFERROR(__xludf.DUMMYFUNCTION("""COMPUTED_VALUE"""),"DEF")</f>
        <v>DEF</v>
      </c>
      <c r="H8" s="16">
        <f>IFERROR(__xludf.DUMMYFUNCTION("""COMPUTED_VALUE"""),1000.0)</f>
        <v>1000</v>
      </c>
      <c r="I8" s="16"/>
      <c r="J8" s="16"/>
      <c r="K8" s="16">
        <f>IFERROR(__xludf.DUMMYFUNCTION("""COMPUTED_VALUE"""),1000.0)</f>
        <v>1000</v>
      </c>
      <c r="L8" s="16"/>
      <c r="M8" s="16"/>
      <c r="N8" s="16"/>
      <c r="O8" s="16"/>
      <c r="P8" s="16"/>
      <c r="Q8" s="16"/>
      <c r="R8" s="16"/>
      <c r="S8" s="16"/>
      <c r="T8" s="16"/>
      <c r="U8" s="16"/>
      <c r="V8" s="16"/>
      <c r="W8" s="16"/>
      <c r="X8" s="16"/>
      <c r="Y8" s="16"/>
      <c r="Z8" s="16"/>
      <c r="AA8" s="16"/>
      <c r="AB8" s="16"/>
      <c r="AC8" s="16"/>
      <c r="AD8" s="16"/>
      <c r="AE8" s="16"/>
      <c r="AF8" s="16" t="str">
        <f>IFERROR(__xludf.DUMMYFUNCTION("""COMPUTED_VALUE"""),"++X4 damage additional water damage for the user.")</f>
        <v>++X4 damage additional water damage for the user.</v>
      </c>
      <c r="AG8" s="16" t="str">
        <f>IFERROR(__xludf.DUMMYFUNCTION("""COMPUTED_VALUE"""),"Land of Spira")</f>
        <v>Land of Spira</v>
      </c>
      <c r="AH8" s="16" t="b">
        <f>IFERROR(__xludf.DUMMYFUNCTION("""COMPUTED_VALUE"""),FALSE)</f>
        <v>0</v>
      </c>
    </row>
    <row r="9">
      <c r="A9" s="16" t="str">
        <f>IFERROR(__xludf.DUMMYFUNCTION("""COMPUTED_VALUE"""),"Aquatic Boots of Atlantis")</f>
        <v>Aquatic Boots of Atlantis</v>
      </c>
      <c r="B9" s="16" t="str">
        <f>IFERROR(__xludf.DUMMYFUNCTION("""COMPUTED_VALUE"""),"Feet")</f>
        <v>Feet</v>
      </c>
      <c r="C9" s="16"/>
      <c r="D9" s="16"/>
      <c r="E9" s="16">
        <f>IFERROR(__xludf.DUMMYFUNCTION("""COMPUTED_VALUE"""),300.0)</f>
        <v>300</v>
      </c>
      <c r="F9" s="108">
        <f>IFERROR(__xludf.DUMMYFUNCTION("""COMPUTED_VALUE"""),4350000.0)</f>
        <v>4350000</v>
      </c>
      <c r="G9" s="16" t="str">
        <f>IFERROR(__xludf.DUMMYFUNCTION("""COMPUTED_VALUE"""),"DEF")</f>
        <v>DEF</v>
      </c>
      <c r="H9" s="16">
        <f>IFERROR(__xludf.DUMMYFUNCTION("""COMPUTED_VALUE"""),7500.0)</f>
        <v>7500</v>
      </c>
      <c r="I9" s="16"/>
      <c r="J9" s="16"/>
      <c r="K9" s="16">
        <f>IFERROR(__xludf.DUMMYFUNCTION("""COMPUTED_VALUE"""),7500.0)</f>
        <v>7500</v>
      </c>
      <c r="L9" s="16"/>
      <c r="M9" s="16"/>
      <c r="N9" s="16"/>
      <c r="O9" s="16"/>
      <c r="P9" s="16"/>
      <c r="Q9" s="16"/>
      <c r="R9" s="16"/>
      <c r="S9" s="16"/>
      <c r="T9" s="16"/>
      <c r="U9" s="16"/>
      <c r="V9" s="16"/>
      <c r="W9" s="16"/>
      <c r="X9" s="16"/>
      <c r="Y9" s="16"/>
      <c r="Z9" s="16"/>
      <c r="AA9" s="16"/>
      <c r="AB9" s="16"/>
      <c r="AC9" s="16"/>
      <c r="AD9" s="16"/>
      <c r="AE9" s="16"/>
      <c r="AF9" s="16" t="str">
        <f>IFERROR(__xludf.DUMMYFUNCTION("""COMPUTED_VALUE"""),"++X6 additional water damage for self.")</f>
        <v>++X6 additional water damage for self.</v>
      </c>
      <c r="AG9" s="16" t="str">
        <f>IFERROR(__xludf.DUMMYFUNCTION("""COMPUTED_VALUE"""),"Land of Spira")</f>
        <v>Land of Spira</v>
      </c>
      <c r="AH9" s="16" t="b">
        <f>IFERROR(__xludf.DUMMYFUNCTION("""COMPUTED_VALUE"""),FALSE)</f>
        <v>0</v>
      </c>
    </row>
    <row r="10">
      <c r="A10" s="16" t="str">
        <f>IFERROR(__xludf.DUMMYFUNCTION("""COMPUTED_VALUE"""),"Aquatic Chestplate of Atlantis")</f>
        <v>Aquatic Chestplate of Atlantis</v>
      </c>
      <c r="B10" s="16" t="str">
        <f>IFERROR(__xludf.DUMMYFUNCTION("""COMPUTED_VALUE"""),"Torso")</f>
        <v>Torso</v>
      </c>
      <c r="C10" s="16"/>
      <c r="D10" s="16"/>
      <c r="E10" s="16">
        <f>IFERROR(__xludf.DUMMYFUNCTION("""COMPUTED_VALUE"""),600.0)</f>
        <v>600</v>
      </c>
      <c r="F10" s="108">
        <f>IFERROR(__xludf.DUMMYFUNCTION("""COMPUTED_VALUE"""),1.77E7)</f>
        <v>17700000</v>
      </c>
      <c r="G10" s="16" t="str">
        <f>IFERROR(__xludf.DUMMYFUNCTION("""COMPUTED_VALUE"""),"DEF")</f>
        <v>DEF</v>
      </c>
      <c r="H10" s="119">
        <f>IFERROR(__xludf.DUMMYFUNCTION("""COMPUTED_VALUE"""),15000.0)</f>
        <v>15000</v>
      </c>
      <c r="I10" s="16"/>
      <c r="J10" s="16"/>
      <c r="K10" s="119">
        <f>IFERROR(__xludf.DUMMYFUNCTION("""COMPUTED_VALUE"""),15000.0)</f>
        <v>15000</v>
      </c>
      <c r="L10" s="16"/>
      <c r="M10" s="16"/>
      <c r="N10" s="16"/>
      <c r="O10" s="16"/>
      <c r="P10" s="16"/>
      <c r="Q10" s="16"/>
      <c r="R10" s="16"/>
      <c r="S10" s="16"/>
      <c r="T10" s="16"/>
      <c r="U10" s="16"/>
      <c r="V10" s="16"/>
      <c r="W10" s="16"/>
      <c r="X10" s="16"/>
      <c r="Y10" s="16"/>
      <c r="Z10" s="16"/>
      <c r="AA10" s="16"/>
      <c r="AB10" s="16"/>
      <c r="AC10" s="16"/>
      <c r="AD10" s="16"/>
      <c r="AE10" s="16"/>
      <c r="AF10" s="16" t="str">
        <f>IFERROR(__xludf.DUMMYFUNCTION("""COMPUTED_VALUE"""),"++X6 additional water damage for self.  ++X8 Defense for self and allies if you have all Aquatic Atlantis Equipment Equipped.")</f>
        <v>++X6 additional water damage for self.  ++X8 Defense for self and allies if you have all Aquatic Atlantis Equipment Equipped.</v>
      </c>
      <c r="AG10" s="16" t="str">
        <f>IFERROR(__xludf.DUMMYFUNCTION("""COMPUTED_VALUE"""),"Land of Spira")</f>
        <v>Land of Spira</v>
      </c>
      <c r="AH10" s="16" t="b">
        <f>IFERROR(__xludf.DUMMYFUNCTION("""COMPUTED_VALUE"""),FALSE)</f>
        <v>0</v>
      </c>
    </row>
    <row r="11">
      <c r="A11" s="16" t="str">
        <f>IFERROR(__xludf.DUMMYFUNCTION("""COMPUTED_VALUE"""),"Aquatic Greaves of Atlantis")</f>
        <v>Aquatic Greaves of Atlantis</v>
      </c>
      <c r="B11" s="16" t="str">
        <f>IFERROR(__xludf.DUMMYFUNCTION("""COMPUTED_VALUE"""),"Legs")</f>
        <v>Legs</v>
      </c>
      <c r="C11" s="16"/>
      <c r="D11" s="16"/>
      <c r="E11" s="16">
        <f>IFERROR(__xludf.DUMMYFUNCTION("""COMPUTED_VALUE"""),300.0)</f>
        <v>300</v>
      </c>
      <c r="F11" s="108">
        <f>IFERROR(__xludf.DUMMYFUNCTION("""COMPUTED_VALUE"""),4350000.0)</f>
        <v>4350000</v>
      </c>
      <c r="G11" s="16" t="str">
        <f>IFERROR(__xludf.DUMMYFUNCTION("""COMPUTED_VALUE"""),"DEF")</f>
        <v>DEF</v>
      </c>
      <c r="H11" s="16">
        <f>IFERROR(__xludf.DUMMYFUNCTION("""COMPUTED_VALUE"""),7500.0)</f>
        <v>7500</v>
      </c>
      <c r="I11" s="16"/>
      <c r="J11" s="16"/>
      <c r="K11" s="16">
        <f>IFERROR(__xludf.DUMMYFUNCTION("""COMPUTED_VALUE"""),7500.0)</f>
        <v>7500</v>
      </c>
      <c r="L11" s="16"/>
      <c r="M11" s="16"/>
      <c r="N11" s="16"/>
      <c r="O11" s="16"/>
      <c r="P11" s="16"/>
      <c r="Q11" s="16"/>
      <c r="R11" s="16"/>
      <c r="S11" s="16"/>
      <c r="T11" s="16"/>
      <c r="U11" s="16"/>
      <c r="V11" s="16"/>
      <c r="W11" s="16"/>
      <c r="X11" s="16"/>
      <c r="Y11" s="16"/>
      <c r="Z11" s="16"/>
      <c r="AA11" s="16"/>
      <c r="AB11" s="16"/>
      <c r="AC11" s="16"/>
      <c r="AD11" s="16"/>
      <c r="AE11" s="16"/>
      <c r="AF11" s="16" t="str">
        <f>IFERROR(__xludf.DUMMYFUNCTION("""COMPUTED_VALUE"""),"++X6 additional water damage for self.")</f>
        <v>++X6 additional water damage for self.</v>
      </c>
      <c r="AG11" s="16" t="str">
        <f>IFERROR(__xludf.DUMMYFUNCTION("""COMPUTED_VALUE"""),"Land of Spira")</f>
        <v>Land of Spira</v>
      </c>
      <c r="AH11" s="16" t="b">
        <f>IFERROR(__xludf.DUMMYFUNCTION("""COMPUTED_VALUE"""),FALSE)</f>
        <v>0</v>
      </c>
    </row>
    <row r="12">
      <c r="A12" s="16" t="str">
        <f>IFERROR(__xludf.DUMMYFUNCTION("""COMPUTED_VALUE"""),"Aquatic Helmet of Atlantis")</f>
        <v>Aquatic Helmet of Atlantis</v>
      </c>
      <c r="B12" s="16" t="str">
        <f>IFERROR(__xludf.DUMMYFUNCTION("""COMPUTED_VALUE"""),"Head")</f>
        <v>Head</v>
      </c>
      <c r="C12" s="16"/>
      <c r="D12" s="16"/>
      <c r="E12" s="16">
        <f>IFERROR(__xludf.DUMMYFUNCTION("""COMPUTED_VALUE"""),300.0)</f>
        <v>300</v>
      </c>
      <c r="F12" s="108">
        <f>IFERROR(__xludf.DUMMYFUNCTION("""COMPUTED_VALUE"""),4350000.0)</f>
        <v>4350000</v>
      </c>
      <c r="G12" s="16" t="str">
        <f>IFERROR(__xludf.DUMMYFUNCTION("""COMPUTED_VALUE"""),"DEF")</f>
        <v>DEF</v>
      </c>
      <c r="H12" s="16">
        <f>IFERROR(__xludf.DUMMYFUNCTION("""COMPUTED_VALUE"""),7500.0)</f>
        <v>7500</v>
      </c>
      <c r="I12" s="16"/>
      <c r="J12" s="16"/>
      <c r="K12" s="16">
        <f>IFERROR(__xludf.DUMMYFUNCTION("""COMPUTED_VALUE"""),7500.0)</f>
        <v>7500</v>
      </c>
      <c r="L12" s="16"/>
      <c r="M12" s="16"/>
      <c r="N12" s="16"/>
      <c r="O12" s="16"/>
      <c r="P12" s="16"/>
      <c r="Q12" s="16"/>
      <c r="R12" s="16"/>
      <c r="S12" s="16"/>
      <c r="T12" s="16"/>
      <c r="U12" s="16"/>
      <c r="V12" s="16"/>
      <c r="W12" s="16"/>
      <c r="X12" s="16"/>
      <c r="Y12" s="16"/>
      <c r="Z12" s="16"/>
      <c r="AA12" s="16"/>
      <c r="AB12" s="16"/>
      <c r="AC12" s="16"/>
      <c r="AD12" s="16"/>
      <c r="AE12" s="16"/>
      <c r="AF12" s="16" t="str">
        <f>IFERROR(__xludf.DUMMYFUNCTION("""COMPUTED_VALUE"""),"++X6 additional water damage for self.")</f>
        <v>++X6 additional water damage for self.</v>
      </c>
      <c r="AG12" s="16" t="str">
        <f>IFERROR(__xludf.DUMMYFUNCTION("""COMPUTED_VALUE"""),"Land of Spira")</f>
        <v>Land of Spira</v>
      </c>
      <c r="AH12" s="16" t="b">
        <f>IFERROR(__xludf.DUMMYFUNCTION("""COMPUTED_VALUE"""),FALSE)</f>
        <v>0</v>
      </c>
    </row>
    <row r="13">
      <c r="A13" s="16" t="str">
        <f>IFERROR(__xludf.DUMMYFUNCTION("""COMPUTED_VALUE"""),"Aquatic Pauldrons of Atlantis")</f>
        <v>Aquatic Pauldrons of Atlantis</v>
      </c>
      <c r="B13" s="16" t="str">
        <f>IFERROR(__xludf.DUMMYFUNCTION("""COMPUTED_VALUE"""),"Shoulders")</f>
        <v>Shoulders</v>
      </c>
      <c r="C13" s="16"/>
      <c r="D13" s="16"/>
      <c r="E13" s="16">
        <f>IFERROR(__xludf.DUMMYFUNCTION("""COMPUTED_VALUE"""),300.0)</f>
        <v>300</v>
      </c>
      <c r="F13" s="108">
        <f>IFERROR(__xludf.DUMMYFUNCTION("""COMPUTED_VALUE"""),4350000.0)</f>
        <v>4350000</v>
      </c>
      <c r="G13" s="16" t="str">
        <f>IFERROR(__xludf.DUMMYFUNCTION("""COMPUTED_VALUE"""),"DEF")</f>
        <v>DEF</v>
      </c>
      <c r="H13" s="16">
        <f>IFERROR(__xludf.DUMMYFUNCTION("""COMPUTED_VALUE"""),7500.0)</f>
        <v>7500</v>
      </c>
      <c r="I13" s="16"/>
      <c r="J13" s="16"/>
      <c r="K13" s="16">
        <f>IFERROR(__xludf.DUMMYFUNCTION("""COMPUTED_VALUE"""),7500.0)</f>
        <v>7500</v>
      </c>
      <c r="L13" s="16"/>
      <c r="M13" s="16"/>
      <c r="N13" s="16"/>
      <c r="O13" s="16"/>
      <c r="P13" s="16"/>
      <c r="Q13" s="16"/>
      <c r="R13" s="16"/>
      <c r="S13" s="16"/>
      <c r="T13" s="16"/>
      <c r="U13" s="16"/>
      <c r="V13" s="16"/>
      <c r="W13" s="16"/>
      <c r="X13" s="16"/>
      <c r="Y13" s="16"/>
      <c r="Z13" s="16"/>
      <c r="AA13" s="16"/>
      <c r="AB13" s="16"/>
      <c r="AC13" s="16"/>
      <c r="AD13" s="16"/>
      <c r="AE13" s="16"/>
      <c r="AF13" s="16" t="str">
        <f>IFERROR(__xludf.DUMMYFUNCTION("""COMPUTED_VALUE"""),"++X6 additional water damage for self.")</f>
        <v>++X6 additional water damage for self.</v>
      </c>
      <c r="AG13" s="16" t="str">
        <f>IFERROR(__xludf.DUMMYFUNCTION("""COMPUTED_VALUE"""),"Land of Spira")</f>
        <v>Land of Spira</v>
      </c>
      <c r="AH13" s="16" t="b">
        <f>IFERROR(__xludf.DUMMYFUNCTION("""COMPUTED_VALUE"""),FALSE)</f>
        <v>0</v>
      </c>
    </row>
    <row r="14">
      <c r="A14" s="16" t="str">
        <f>IFERROR(__xludf.DUMMYFUNCTION("""COMPUTED_VALUE"""),"Aquatic Sword of Atlantis")</f>
        <v>Aquatic Sword of Atlantis</v>
      </c>
      <c r="B14" s="16" t="str">
        <f>IFERROR(__xludf.DUMMYFUNCTION("""COMPUTED_VALUE"""),"Hand")</f>
        <v>Hand</v>
      </c>
      <c r="C14" s="16"/>
      <c r="D14" s="16" t="str">
        <f>IFERROR(__xludf.DUMMYFUNCTION("""COMPUTED_VALUE"""),"Sword")</f>
        <v>Sword</v>
      </c>
      <c r="E14" s="16">
        <f>IFERROR(__xludf.DUMMYFUNCTION("""COMPUTED_VALUE"""),1200.0)</f>
        <v>1200</v>
      </c>
      <c r="F14" s="108">
        <f>IFERROR(__xludf.DUMMYFUNCTION("""COMPUTED_VALUE"""),7.14E7)</f>
        <v>71400000</v>
      </c>
      <c r="G14" s="16" t="str">
        <f>IFERROR(__xludf.DUMMYFUNCTION("""COMPUTED_VALUE"""),"DMG")</f>
        <v>DMG</v>
      </c>
      <c r="H14" s="119">
        <f>IFERROR(__xludf.DUMMYFUNCTION("""COMPUTED_VALUE"""),30000.0)</f>
        <v>30000</v>
      </c>
      <c r="I14" s="16"/>
      <c r="J14" s="16"/>
      <c r="K14" s="119">
        <f>IFERROR(__xludf.DUMMYFUNCTION("""COMPUTED_VALUE"""),30000.0)</f>
        <v>30000</v>
      </c>
      <c r="L14" s="16"/>
      <c r="M14" s="16"/>
      <c r="N14" s="16"/>
      <c r="O14" s="16"/>
      <c r="P14" s="16"/>
      <c r="Q14" s="16"/>
      <c r="R14" s="16"/>
      <c r="S14" s="16"/>
      <c r="T14" s="16"/>
      <c r="U14" s="16"/>
      <c r="V14" s="16"/>
      <c r="W14" s="16"/>
      <c r="X14" s="16"/>
      <c r="Y14" s="16"/>
      <c r="Z14" s="16"/>
      <c r="AA14" s="16"/>
      <c r="AB14" s="16"/>
      <c r="AC14" s="16"/>
      <c r="AD14" s="16"/>
      <c r="AE14" s="16"/>
      <c r="AF14" s="16" t="str">
        <f>IFERROR(__xludf.DUMMYFUNCTION("""COMPUTED_VALUE"""),"++X6 additional water damage for self, ++Tides of Atlantis: Upon a successful hit this weapon has a 50% chance to cast Tsunami for no sp cost. Cannot be duplicated.")</f>
        <v>++X6 additional water damage for self, ++Tides of Atlantis: Upon a successful hit this weapon has a 50% chance to cast Tsunami for no sp cost. Cannot be duplicated.</v>
      </c>
      <c r="AG14" s="16" t="str">
        <f>IFERROR(__xludf.DUMMYFUNCTION("""COMPUTED_VALUE"""),"Land of Spira")</f>
        <v>Land of Spira</v>
      </c>
      <c r="AH14" s="16" t="b">
        <f>IFERROR(__xludf.DUMMYFUNCTION("""COMPUTED_VALUE"""),FALSE)</f>
        <v>0</v>
      </c>
    </row>
    <row r="15">
      <c r="A15" s="16" t="str">
        <f>IFERROR(__xludf.DUMMYFUNCTION("""COMPUTED_VALUE"""),"Aquatic Vambraces of Atlantis")</f>
        <v>Aquatic Vambraces of Atlantis</v>
      </c>
      <c r="B15" s="16" t="str">
        <f>IFERROR(__xludf.DUMMYFUNCTION("""COMPUTED_VALUE"""),"Arms")</f>
        <v>Arms</v>
      </c>
      <c r="C15" s="16"/>
      <c r="D15" s="16"/>
      <c r="E15" s="16">
        <f>IFERROR(__xludf.DUMMYFUNCTION("""COMPUTED_VALUE"""),300.0)</f>
        <v>300</v>
      </c>
      <c r="F15" s="108">
        <f>IFERROR(__xludf.DUMMYFUNCTION("""COMPUTED_VALUE"""),4350000.0)</f>
        <v>4350000</v>
      </c>
      <c r="G15" s="16" t="str">
        <f>IFERROR(__xludf.DUMMYFUNCTION("""COMPUTED_VALUE"""),"DEF")</f>
        <v>DEF</v>
      </c>
      <c r="H15" s="16">
        <f>IFERROR(__xludf.DUMMYFUNCTION("""COMPUTED_VALUE"""),7500.0)</f>
        <v>7500</v>
      </c>
      <c r="I15" s="16"/>
      <c r="J15" s="16"/>
      <c r="K15" s="16">
        <f>IFERROR(__xludf.DUMMYFUNCTION("""COMPUTED_VALUE"""),7500.0)</f>
        <v>7500</v>
      </c>
      <c r="L15" s="16"/>
      <c r="M15" s="16"/>
      <c r="N15" s="16"/>
      <c r="O15" s="16"/>
      <c r="P15" s="16"/>
      <c r="Q15" s="16"/>
      <c r="R15" s="16"/>
      <c r="S15" s="16"/>
      <c r="T15" s="16"/>
      <c r="U15" s="16"/>
      <c r="V15" s="16"/>
      <c r="W15" s="16"/>
      <c r="X15" s="16"/>
      <c r="Y15" s="16"/>
      <c r="Z15" s="16"/>
      <c r="AA15" s="16"/>
      <c r="AB15" s="16"/>
      <c r="AC15" s="16"/>
      <c r="AD15" s="16"/>
      <c r="AE15" s="16"/>
      <c r="AF15" s="16" t="str">
        <f>IFERROR(__xludf.DUMMYFUNCTION("""COMPUTED_VALUE"""),"X6 additional water damage for self.")</f>
        <v>X6 additional water damage for self.</v>
      </c>
      <c r="AG15" s="16" t="str">
        <f>IFERROR(__xludf.DUMMYFUNCTION("""COMPUTED_VALUE"""),"Land of Spira")</f>
        <v>Land of Spira</v>
      </c>
      <c r="AH15" s="16" t="b">
        <f>IFERROR(__xludf.DUMMYFUNCTION("""COMPUTED_VALUE"""),FALSE)</f>
        <v>0</v>
      </c>
    </row>
    <row r="16">
      <c r="A16" s="16" t="str">
        <f>IFERROR(__xludf.DUMMYFUNCTION("""COMPUTED_VALUE"""),"Archer’s Cloaked Vest")</f>
        <v>Archer’s Cloaked Vest</v>
      </c>
      <c r="B16" s="16" t="str">
        <f>IFERROR(__xludf.DUMMYFUNCTION("""COMPUTED_VALUE"""),"Torso")</f>
        <v>Torso</v>
      </c>
      <c r="C16" s="16"/>
      <c r="D16" s="16"/>
      <c r="E16" s="16">
        <f>IFERROR(__xludf.DUMMYFUNCTION("""COMPUTED_VALUE"""),20.0)</f>
        <v>20</v>
      </c>
      <c r="F16" s="108">
        <f>IFERROR(__xludf.DUMMYFUNCTION("""COMPUTED_VALUE"""),1000.0)</f>
        <v>1000</v>
      </c>
      <c r="G16" s="16" t="str">
        <f>IFERROR(__xludf.DUMMYFUNCTION("""COMPUTED_VALUE"""),"DEF")</f>
        <v>DEF</v>
      </c>
      <c r="H16" s="16">
        <f>IFERROR(__xludf.DUMMYFUNCTION("""COMPUTED_VALUE"""),800.0)</f>
        <v>800</v>
      </c>
      <c r="I16" s="16"/>
      <c r="J16" s="16"/>
      <c r="K16" s="16"/>
      <c r="L16" s="16"/>
      <c r="M16" s="16"/>
      <c r="N16" s="16"/>
      <c r="O16" s="16"/>
      <c r="P16" s="16"/>
      <c r="Q16" s="16"/>
      <c r="R16" s="16"/>
      <c r="S16" s="16"/>
      <c r="T16" s="16"/>
      <c r="U16" s="16"/>
      <c r="V16" s="16"/>
      <c r="W16" s="16"/>
      <c r="X16" s="16"/>
      <c r="Y16" s="16"/>
      <c r="Z16" s="16"/>
      <c r="AA16" s="16"/>
      <c r="AB16" s="16"/>
      <c r="AC16" s="16"/>
      <c r="AD16" s="16"/>
      <c r="AE16" s="16"/>
      <c r="AF16" s="16" t="str">
        <f>IFERROR(__xludf.DUMMYFUNCTION("""COMPUTED_VALUE"""),"(Ranger Set) ++Half the Arrow - Range Spells cost half the sp cost, ++Ranger Enrage - All Ranged Spells do double in damage ++only archers can equip")</f>
        <v>(Ranger Set) ++Half the Arrow - Range Spells cost half the sp cost, ++Ranger Enrage - All Ranged Spells do double in damage ++only archers can equip</v>
      </c>
      <c r="AG16" s="16" t="str">
        <f>IFERROR(__xludf.DUMMYFUNCTION("""COMPUTED_VALUE"""),"Land of Spira")</f>
        <v>Land of Spira</v>
      </c>
      <c r="AH16" s="16" t="b">
        <f>IFERROR(__xludf.DUMMYFUNCTION("""COMPUTED_VALUE"""),FALSE)</f>
        <v>0</v>
      </c>
    </row>
    <row r="17">
      <c r="A17" s="16" t="str">
        <f>IFERROR(__xludf.DUMMYFUNCTION("""COMPUTED_VALUE"""),"Archers Boots")</f>
        <v>Archers Boots</v>
      </c>
      <c r="B17" s="16" t="str">
        <f>IFERROR(__xludf.DUMMYFUNCTION("""COMPUTED_VALUE"""),"Feet")</f>
        <v>Feet</v>
      </c>
      <c r="C17" s="16"/>
      <c r="D17" s="16"/>
      <c r="E17" s="16">
        <f>IFERROR(__xludf.DUMMYFUNCTION("""COMPUTED_VALUE"""),1.0)</f>
        <v>1</v>
      </c>
      <c r="F17" s="108">
        <f>IFERROR(__xludf.DUMMYFUNCTION("""COMPUTED_VALUE"""),0.0)</f>
        <v>0</v>
      </c>
      <c r="G17" s="16"/>
      <c r="H17" s="16"/>
      <c r="I17" s="16"/>
      <c r="J17" s="16"/>
      <c r="K17" s="16"/>
      <c r="L17" s="16"/>
      <c r="M17" s="16"/>
      <c r="N17" s="16"/>
      <c r="O17" s="16"/>
      <c r="P17" s="16"/>
      <c r="Q17" s="16"/>
      <c r="R17" s="16"/>
      <c r="S17" s="16"/>
      <c r="T17" s="16"/>
      <c r="U17" s="16"/>
      <c r="V17" s="16"/>
      <c r="W17" s="16"/>
      <c r="X17" s="16"/>
      <c r="Y17" s="16"/>
      <c r="Z17" s="16"/>
      <c r="AA17" s="16"/>
      <c r="AB17" s="16"/>
      <c r="AC17" s="16"/>
      <c r="AD17" s="16"/>
      <c r="AE17" s="16"/>
      <c r="AF17" s="16" t="str">
        <f>IFERROR(__xludf.DUMMYFUNCTION("""COMPUTED_VALUE"""),"(Ranger Set) ++5 evasion ++Only archers can equip, +-Cannot be duplicated or forged.")</f>
        <v>(Ranger Set) ++5 evasion ++Only archers can equip, +-Cannot be duplicated or forged.</v>
      </c>
      <c r="AG17" s="16" t="str">
        <f>IFERROR(__xludf.DUMMYFUNCTION("""COMPUTED_VALUE"""),"Land of Spira")</f>
        <v>Land of Spira</v>
      </c>
      <c r="AH17" s="16" t="b">
        <f>IFERROR(__xludf.DUMMYFUNCTION("""COMPUTED_VALUE"""),FALSE)</f>
        <v>0</v>
      </c>
    </row>
    <row r="18">
      <c r="A18" s="16" t="str">
        <f>IFERROR(__xludf.DUMMYFUNCTION("""COMPUTED_VALUE"""),"Archers Cloak")</f>
        <v>Archers Cloak</v>
      </c>
      <c r="B18" s="16" t="str">
        <f>IFERROR(__xludf.DUMMYFUNCTION("""COMPUTED_VALUE"""),"Torso")</f>
        <v>Torso</v>
      </c>
      <c r="C18" s="16"/>
      <c r="D18" s="16"/>
      <c r="E18" s="16">
        <f>IFERROR(__xludf.DUMMYFUNCTION("""COMPUTED_VALUE"""),1.0)</f>
        <v>1</v>
      </c>
      <c r="F18" s="108">
        <f>IFERROR(__xludf.DUMMYFUNCTION("""COMPUTED_VALUE"""),0.0)</f>
        <v>0</v>
      </c>
      <c r="G18" s="16"/>
      <c r="H18" s="16"/>
      <c r="I18" s="16"/>
      <c r="J18" s="16"/>
      <c r="K18" s="16"/>
      <c r="L18" s="16"/>
      <c r="M18" s="16"/>
      <c r="N18" s="16"/>
      <c r="O18" s="16"/>
      <c r="P18" s="16"/>
      <c r="Q18" s="16"/>
      <c r="R18" s="16"/>
      <c r="S18" s="16"/>
      <c r="T18" s="16"/>
      <c r="U18" s="16"/>
      <c r="V18" s="16"/>
      <c r="W18" s="16"/>
      <c r="X18" s="16"/>
      <c r="Y18" s="16"/>
      <c r="Z18" s="16"/>
      <c r="AA18" s="16"/>
      <c r="AB18" s="16"/>
      <c r="AC18" s="16"/>
      <c r="AD18" s="16"/>
      <c r="AE18" s="16"/>
      <c r="AF18" s="16" t="str">
        <f>IFERROR(__xludf.DUMMYFUNCTION("""COMPUTED_VALUE"""),"(Ranger Set) ++Ranged Spells cost half the sp cost ++Only archers can equip")</f>
        <v>(Ranger Set) ++Ranged Spells cost half the sp cost ++Only archers can equip</v>
      </c>
      <c r="AG18" s="16" t="str">
        <f>IFERROR(__xludf.DUMMYFUNCTION("""COMPUTED_VALUE"""),"Land of Spira")</f>
        <v>Land of Spira</v>
      </c>
      <c r="AH18" s="16" t="b">
        <f>IFERROR(__xludf.DUMMYFUNCTION("""COMPUTED_VALUE"""),FALSE)</f>
        <v>0</v>
      </c>
    </row>
    <row r="19">
      <c r="A19" s="16" t="str">
        <f>IFERROR(__xludf.DUMMYFUNCTION("""COMPUTED_VALUE"""),"Armor Of Cthulhu")</f>
        <v>Armor Of Cthulhu</v>
      </c>
      <c r="B19" s="16" t="str">
        <f>IFERROR(__xludf.DUMMYFUNCTION("""COMPUTED_VALUE"""),"Torso")</f>
        <v>Torso</v>
      </c>
      <c r="C19" s="16"/>
      <c r="D19" s="16"/>
      <c r="E19" s="16">
        <f>IFERROR(__xludf.DUMMYFUNCTION("""COMPUTED_VALUE"""),400.0)</f>
        <v>400</v>
      </c>
      <c r="F19" s="108">
        <f>IFERROR(__xludf.DUMMYFUNCTION("""COMPUTED_VALUE"""),7800000.0)</f>
        <v>7800000</v>
      </c>
      <c r="G19" s="16" t="str">
        <f>IFERROR(__xludf.DUMMYFUNCTION("""COMPUTED_VALUE"""),"DEF")</f>
        <v>DEF</v>
      </c>
      <c r="H19" s="16">
        <f>IFERROR(__xludf.DUMMYFUNCTION("""COMPUTED_VALUE"""),20000.0)</f>
        <v>20000</v>
      </c>
      <c r="I19" s="16"/>
      <c r="J19" s="16"/>
      <c r="K19" s="16"/>
      <c r="L19" s="16"/>
      <c r="M19" s="16"/>
      <c r="N19" s="16"/>
      <c r="O19" s="16"/>
      <c r="P19" s="16"/>
      <c r="Q19" s="16"/>
      <c r="R19" s="16"/>
      <c r="S19" s="16"/>
      <c r="T19" s="16"/>
      <c r="U19" s="16"/>
      <c r="V19" s="16"/>
      <c r="W19" s="16"/>
      <c r="X19" s="16"/>
      <c r="Y19" s="16"/>
      <c r="Z19" s="16"/>
      <c r="AA19" s="16"/>
      <c r="AB19" s="16"/>
      <c r="AC19" s="16"/>
      <c r="AD19" s="16"/>
      <c r="AE19" s="16"/>
      <c r="AF19" s="16" t="str">
        <f>IFERROR(__xludf.DUMMYFUNCTION("""COMPUTED_VALUE"""),"(Cthulhu Set) ++Curse of Cthulhu - When the wearer takes damage the wearer will gain half the damage back as HP and SP.")</f>
        <v>(Cthulhu Set) ++Curse of Cthulhu - When the wearer takes damage the wearer will gain half the damage back as HP and SP.</v>
      </c>
      <c r="AG19" s="16" t="str">
        <f>IFERROR(__xludf.DUMMYFUNCTION("""COMPUTED_VALUE"""),"Land of Spira")</f>
        <v>Land of Spira</v>
      </c>
      <c r="AH19" s="16" t="b">
        <f>IFERROR(__xludf.DUMMYFUNCTION("""COMPUTED_VALUE"""),FALSE)</f>
        <v>0</v>
      </c>
    </row>
    <row r="20">
      <c r="A20" s="16"/>
      <c r="B20" s="16" t="str">
        <f>IFERROR(__xludf.DUMMYFUNCTION("""COMPUTED_VALUE"""),"Torso")</f>
        <v>Torso</v>
      </c>
      <c r="C20" s="16"/>
      <c r="D20" s="16"/>
      <c r="E20" s="16">
        <f>IFERROR(__xludf.DUMMYFUNCTION("""COMPUTED_VALUE"""),200.0)</f>
        <v>200</v>
      </c>
      <c r="F20" s="108">
        <f>IFERROR(__xludf.DUMMYFUNCTION("""COMPUTED_VALUE"""),1900000.0)</f>
        <v>1900000</v>
      </c>
      <c r="G20" s="16" t="str">
        <f>IFERROR(__xludf.DUMMYFUNCTION("""COMPUTED_VALUE"""),"DEF")</f>
        <v>DEF</v>
      </c>
      <c r="H20" s="119">
        <f>IFERROR(__xludf.DUMMYFUNCTION("""COMPUTED_VALUE"""),10000.0)</f>
        <v>10000</v>
      </c>
      <c r="I20" s="16"/>
      <c r="J20" s="16"/>
      <c r="K20" s="16"/>
      <c r="L20" s="16"/>
      <c r="M20" s="16"/>
      <c r="N20" s="16"/>
      <c r="O20" s="16"/>
      <c r="P20" s="16"/>
      <c r="Q20" s="16"/>
      <c r="R20" s="16"/>
      <c r="S20" s="16"/>
      <c r="T20" s="16"/>
      <c r="U20" s="16"/>
      <c r="V20" s="16"/>
      <c r="W20" s="16"/>
      <c r="X20" s="16"/>
      <c r="Y20" s="16"/>
      <c r="Z20" s="16"/>
      <c r="AA20" s="16"/>
      <c r="AB20" s="16"/>
      <c r="AC20" s="16"/>
      <c r="AD20" s="16"/>
      <c r="AE20" s="16"/>
      <c r="AF20" s="16"/>
      <c r="AG20" s="16" t="str">
        <f>IFERROR(__xludf.DUMMYFUNCTION("""COMPUTED_VALUE"""),"Land of Spira")</f>
        <v>Land of Spira</v>
      </c>
      <c r="AH20" s="16" t="b">
        <f>IFERROR(__xludf.DUMMYFUNCTION("""COMPUTED_VALUE"""),FALSE)</f>
        <v>0</v>
      </c>
    </row>
    <row r="21">
      <c r="A21" s="16"/>
      <c r="B21" s="16" t="str">
        <f>IFERROR(__xludf.DUMMYFUNCTION("""COMPUTED_VALUE"""),"Torso")</f>
        <v>Torso</v>
      </c>
      <c r="C21" s="16" t="str">
        <f>IFERROR(__xludf.DUMMYFUNCTION("""COMPUTED_VALUE"""),"Winter Event Exclusive")</f>
        <v>Winter Event Exclusive</v>
      </c>
      <c r="D21" s="16"/>
      <c r="E21" s="16">
        <f>IFERROR(__xludf.DUMMYFUNCTION("""COMPUTED_VALUE"""),800.0)</f>
        <v>800</v>
      </c>
      <c r="F21" s="108">
        <f>IFERROR(__xludf.DUMMYFUNCTION("""COMPUTED_VALUE"""),3.16E7)</f>
        <v>31600000</v>
      </c>
      <c r="G21" s="16"/>
      <c r="H21" s="119">
        <f>IFERROR(__xludf.DUMMYFUNCTION("""COMPUTED_VALUE"""),20000.0)</f>
        <v>20000</v>
      </c>
      <c r="I21" s="119">
        <f>IFERROR(__xludf.DUMMYFUNCTION("""COMPUTED_VALUE"""),20000.0)</f>
        <v>20000</v>
      </c>
      <c r="J21" s="16"/>
      <c r="K21" s="16"/>
      <c r="L21" s="16"/>
      <c r="M21" s="16"/>
      <c r="N21" s="16"/>
      <c r="O21" s="16"/>
      <c r="P21" s="16"/>
      <c r="Q21" s="16"/>
      <c r="R21" s="16"/>
      <c r="S21" s="16"/>
      <c r="T21" s="16"/>
      <c r="U21" s="16"/>
      <c r="V21" s="16"/>
      <c r="W21" s="16"/>
      <c r="X21" s="16"/>
      <c r="Y21" s="16"/>
      <c r="Z21" s="16"/>
      <c r="AA21" s="16"/>
      <c r="AB21" s="16"/>
      <c r="AC21" s="16"/>
      <c r="AD21" s="16"/>
      <c r="AE21" s="16"/>
      <c r="AF21" s="16"/>
      <c r="AG21" s="16" t="str">
        <f>IFERROR(__xludf.DUMMYFUNCTION("""COMPUTED_VALUE"""),"Land of Spira")</f>
        <v>Land of Spira</v>
      </c>
      <c r="AH21" s="16" t="b">
        <f>IFERROR(__xludf.DUMMYFUNCTION("""COMPUTED_VALUE"""),FALSE)</f>
        <v>0</v>
      </c>
    </row>
    <row r="22">
      <c r="A22" s="16" t="str">
        <f>IFERROR(__xludf.DUMMYFUNCTION("""COMPUTED_VALUE"""),"Armor Of Zeldron")</f>
        <v>Armor Of Zeldron</v>
      </c>
      <c r="B22" s="16" t="str">
        <f>IFERROR(__xludf.DUMMYFUNCTION("""COMPUTED_VALUE"""),"Torso")</f>
        <v>Torso</v>
      </c>
      <c r="C22" s="16" t="str">
        <f>IFERROR(__xludf.DUMMYFUNCTION("""COMPUTED_VALUE"""),"Made of gold")</f>
        <v>Made of gold</v>
      </c>
      <c r="D22" s="16"/>
      <c r="E22" s="16">
        <f>IFERROR(__xludf.DUMMYFUNCTION("""COMPUTED_VALUE"""),400.0)</f>
        <v>400</v>
      </c>
      <c r="F22" s="108">
        <f>IFERROR(__xludf.DUMMYFUNCTION("""COMPUTED_VALUE"""),7800000.0)</f>
        <v>7800000</v>
      </c>
      <c r="G22" s="16" t="str">
        <f>IFERROR(__xludf.DUMMYFUNCTION("""COMPUTED_VALUE"""),"DEF")</f>
        <v>DEF</v>
      </c>
      <c r="H22" s="119">
        <f>IFERROR(__xludf.DUMMYFUNCTION("""COMPUTED_VALUE"""),10000.0)</f>
        <v>10000</v>
      </c>
      <c r="I22" s="16"/>
      <c r="J22" s="16"/>
      <c r="K22" s="16"/>
      <c r="L22" s="16"/>
      <c r="M22" s="16"/>
      <c r="N22" s="16"/>
      <c r="O22" s="16"/>
      <c r="P22" s="16"/>
      <c r="Q22" s="119">
        <f>IFERROR(__xludf.DUMMYFUNCTION("""COMPUTED_VALUE"""),10000.0)</f>
        <v>10000</v>
      </c>
      <c r="R22" s="16"/>
      <c r="S22" s="16"/>
      <c r="T22" s="16"/>
      <c r="U22" s="16"/>
      <c r="V22" s="16"/>
      <c r="W22" s="16"/>
      <c r="X22" s="16"/>
      <c r="Y22" s="16"/>
      <c r="Z22" s="16"/>
      <c r="AA22" s="16"/>
      <c r="AB22" s="16"/>
      <c r="AC22" s="16"/>
      <c r="AD22" s="16"/>
      <c r="AE22" s="16"/>
      <c r="AF22" s="16"/>
      <c r="AG22" s="16" t="str">
        <f>IFERROR(__xludf.DUMMYFUNCTION("""COMPUTED_VALUE"""),"Land of Spira")</f>
        <v>Land of Spira</v>
      </c>
      <c r="AH22" s="16" t="b">
        <f>IFERROR(__xludf.DUMMYFUNCTION("""COMPUTED_VALUE"""),TRUE)</f>
        <v>1</v>
      </c>
    </row>
    <row r="23">
      <c r="A23" s="16" t="str">
        <f>IFERROR(__xludf.DUMMYFUNCTION("""COMPUTED_VALUE"""),"Ashen Pole Axe")</f>
        <v>Ashen Pole Axe</v>
      </c>
      <c r="B23" s="16" t="str">
        <f>IFERROR(__xludf.DUMMYFUNCTION("""COMPUTED_VALUE"""),"Hand")</f>
        <v>Hand</v>
      </c>
      <c r="C23" s="16"/>
      <c r="D23" s="16" t="str">
        <f>IFERROR(__xludf.DUMMYFUNCTION("""COMPUTED_VALUE"""),"Axe")</f>
        <v>Axe</v>
      </c>
      <c r="E23" s="16">
        <f>IFERROR(__xludf.DUMMYFUNCTION("""COMPUTED_VALUE"""),20.0)</f>
        <v>20</v>
      </c>
      <c r="F23" s="108">
        <f>IFERROR(__xludf.DUMMYFUNCTION("""COMPUTED_VALUE"""),10000.0)</f>
        <v>10000</v>
      </c>
      <c r="G23" s="16" t="str">
        <f>IFERROR(__xludf.DUMMYFUNCTION("""COMPUTED_VALUE"""),"DMG")</f>
        <v>DMG</v>
      </c>
      <c r="H23" s="16">
        <f>IFERROR(__xludf.DUMMYFUNCTION("""COMPUTED_VALUE"""),500.0)</f>
        <v>500</v>
      </c>
      <c r="I23" s="16">
        <f>IFERROR(__xludf.DUMMYFUNCTION("""COMPUTED_VALUE"""),500.0)</f>
        <v>500</v>
      </c>
      <c r="J23" s="16"/>
      <c r="K23" s="16"/>
      <c r="L23" s="16"/>
      <c r="M23" s="16"/>
      <c r="N23" s="16"/>
      <c r="O23" s="16"/>
      <c r="P23" s="16"/>
      <c r="Q23" s="16"/>
      <c r="R23" s="16"/>
      <c r="S23" s="16"/>
      <c r="T23" s="16"/>
      <c r="U23" s="16"/>
      <c r="V23" s="16"/>
      <c r="W23" s="16"/>
      <c r="X23" s="16"/>
      <c r="Y23" s="16"/>
      <c r="Z23" s="16"/>
      <c r="AA23" s="16"/>
      <c r="AB23" s="16"/>
      <c r="AC23" s="16"/>
      <c r="AD23" s="16"/>
      <c r="AE23" s="16"/>
      <c r="AF23" s="16" t="str">
        <f>IFERROR(__xludf.DUMMYFUNCTION("""COMPUTED_VALUE"""),"++Inflicts Burn 500")</f>
        <v>++Inflicts Burn 500</v>
      </c>
      <c r="AG23" s="16" t="str">
        <f>IFERROR(__xludf.DUMMYFUNCTION("""COMPUTED_VALUE"""),"Land of Spira")</f>
        <v>Land of Spira</v>
      </c>
      <c r="AH23" s="16" t="b">
        <f>IFERROR(__xludf.DUMMYFUNCTION("""COMPUTED_VALUE"""),FALSE)</f>
        <v>0</v>
      </c>
    </row>
    <row r="24">
      <c r="A24" s="16" t="str">
        <f>IFERROR(__xludf.DUMMYFUNCTION("""COMPUTED_VALUE"""),"Bamboo Spear")</f>
        <v>Bamboo Spear</v>
      </c>
      <c r="B24" s="16" t="str">
        <f>IFERROR(__xludf.DUMMYFUNCTION("""COMPUTED_VALUE"""),"Hand")</f>
        <v>Hand</v>
      </c>
      <c r="C24" s="16"/>
      <c r="D24" s="16" t="str">
        <f>IFERROR(__xludf.DUMMYFUNCTION("""COMPUTED_VALUE"""),"Spear")</f>
        <v>Spear</v>
      </c>
      <c r="E24" s="16">
        <f>IFERROR(__xludf.DUMMYFUNCTION("""COMPUTED_VALUE"""),60.0)</f>
        <v>60</v>
      </c>
      <c r="F24" s="108">
        <f>IFERROR(__xludf.DUMMYFUNCTION("""COMPUTED_VALUE"""),150000.0)</f>
        <v>150000</v>
      </c>
      <c r="G24" s="16" t="str">
        <f>IFERROR(__xludf.DUMMYFUNCTION("""COMPUTED_VALUE"""),"DMG")</f>
        <v>DMG</v>
      </c>
      <c r="H24" s="16">
        <f>IFERROR(__xludf.DUMMYFUNCTION("""COMPUTED_VALUE"""),1000.0)</f>
        <v>1000</v>
      </c>
      <c r="I24" s="16"/>
      <c r="J24" s="16"/>
      <c r="K24" s="16"/>
      <c r="L24" s="16"/>
      <c r="M24" s="16"/>
      <c r="N24" s="16"/>
      <c r="O24" s="16"/>
      <c r="P24" s="16"/>
      <c r="Q24" s="16"/>
      <c r="R24" s="16"/>
      <c r="S24" s="16">
        <f>IFERROR(__xludf.DUMMYFUNCTION("""COMPUTED_VALUE"""),1000.0)</f>
        <v>1000</v>
      </c>
      <c r="T24" s="16"/>
      <c r="U24" s="16"/>
      <c r="V24" s="16"/>
      <c r="W24" s="16"/>
      <c r="X24" s="16"/>
      <c r="Y24" s="16">
        <f>IFERROR(__xludf.DUMMYFUNCTION("""COMPUTED_VALUE"""),1000.0)</f>
        <v>1000</v>
      </c>
      <c r="Z24" s="16"/>
      <c r="AA24" s="16"/>
      <c r="AB24" s="16"/>
      <c r="AC24" s="16"/>
      <c r="AD24" s="16"/>
      <c r="AE24" s="16"/>
      <c r="AF24" s="16" t="str">
        <f>IFERROR(__xludf.DUMMYFUNCTION("""COMPUTED_VALUE"""),"++When striking an enemy with this weapon, they X2 additional Nature damage.")</f>
        <v>++When striking an enemy with this weapon, they X2 additional Nature damage.</v>
      </c>
      <c r="AG24" s="16" t="str">
        <f>IFERROR(__xludf.DUMMYFUNCTION("""COMPUTED_VALUE"""),"Land of Spira")</f>
        <v>Land of Spira</v>
      </c>
      <c r="AH24" s="16" t="b">
        <f>IFERROR(__xludf.DUMMYFUNCTION("""COMPUTED_VALUE"""),FALSE)</f>
        <v>0</v>
      </c>
    </row>
    <row r="25">
      <c r="A25" s="16" t="str">
        <f>IFERROR(__xludf.DUMMYFUNCTION("""COMPUTED_VALUE"""),"Baosheng’s Restore Pendant")</f>
        <v>Baosheng’s Restore Pendant</v>
      </c>
      <c r="B25" s="16" t="str">
        <f>IFERROR(__xludf.DUMMYFUNCTION("""COMPUTED_VALUE"""),"Neck")</f>
        <v>Neck</v>
      </c>
      <c r="C25" s="16"/>
      <c r="D25" s="16"/>
      <c r="E25" s="16">
        <f>IFERROR(__xludf.DUMMYFUNCTION("""COMPUTED_VALUE"""),1.0)</f>
        <v>1</v>
      </c>
      <c r="F25" s="108">
        <f>IFERROR(__xludf.DUMMYFUNCTION("""COMPUTED_VALUE"""),0.0)</f>
        <v>0</v>
      </c>
      <c r="G25" s="16"/>
      <c r="H25" s="16"/>
      <c r="I25" s="16"/>
      <c r="J25" s="16"/>
      <c r="K25" s="16"/>
      <c r="L25" s="16"/>
      <c r="M25" s="16"/>
      <c r="N25" s="16"/>
      <c r="O25" s="16"/>
      <c r="P25" s="16"/>
      <c r="Q25" s="16"/>
      <c r="R25" s="16"/>
      <c r="S25" s="16"/>
      <c r="T25" s="16"/>
      <c r="U25" s="16"/>
      <c r="V25" s="16"/>
      <c r="W25" s="16"/>
      <c r="X25" s="16"/>
      <c r="Y25" s="16"/>
      <c r="Z25" s="16"/>
      <c r="AA25" s="16"/>
      <c r="AB25" s="16"/>
      <c r="AC25" s="16"/>
      <c r="AD25" s="16"/>
      <c r="AE25" s="16"/>
      <c r="AF25" s="16" t="str">
        <f>IFERROR(__xludf.DUMMYFUNCTION("""COMPUTED_VALUE"""),"++Restores 100 HP and SP per round during battle.")</f>
        <v>++Restores 100 HP and SP per round during battle.</v>
      </c>
      <c r="AG25" s="16" t="str">
        <f>IFERROR(__xludf.DUMMYFUNCTION("""COMPUTED_VALUE"""),"Land of Spira")</f>
        <v>Land of Spira</v>
      </c>
      <c r="AH25" s="16" t="b">
        <f>IFERROR(__xludf.DUMMYFUNCTION("""COMPUTED_VALUE"""),FALSE)</f>
        <v>0</v>
      </c>
    </row>
    <row r="26">
      <c r="A26" s="16" t="str">
        <f>IFERROR(__xludf.DUMMYFUNCTION("""COMPUTED_VALUE"""),"Basic Cannon")</f>
        <v>Basic Cannon</v>
      </c>
      <c r="B26" s="16" t="str">
        <f>IFERROR(__xludf.DUMMYFUNCTION("""COMPUTED_VALUE"""),"BoatGun")</f>
        <v>BoatGun</v>
      </c>
      <c r="C26" s="16"/>
      <c r="D26" s="16" t="str">
        <f>IFERROR(__xludf.DUMMYFUNCTION("""COMPUTED_VALUE"""),"Firearm")</f>
        <v>Firearm</v>
      </c>
      <c r="E26" s="16">
        <f>IFERROR(__xludf.DUMMYFUNCTION("""COMPUTED_VALUE"""),400.0)</f>
        <v>400</v>
      </c>
      <c r="F26" s="108">
        <f>IFERROR(__xludf.DUMMYFUNCTION("""COMPUTED_VALUE"""),7800000.0)</f>
        <v>7800000</v>
      </c>
      <c r="G26" s="16" t="str">
        <f>IFERROR(__xludf.DUMMYFUNCTION("""COMPUTED_VALUE"""),"DMG")</f>
        <v>DMG</v>
      </c>
      <c r="H26" s="119">
        <f>IFERROR(__xludf.DUMMYFUNCTION("""COMPUTED_VALUE"""),20000.0)</f>
        <v>20000</v>
      </c>
      <c r="I26" s="16"/>
      <c r="J26" s="16"/>
      <c r="K26" s="16"/>
      <c r="L26" s="16"/>
      <c r="M26" s="16"/>
      <c r="N26" s="16"/>
      <c r="O26" s="16"/>
      <c r="P26" s="16"/>
      <c r="Q26" s="16"/>
      <c r="R26" s="16"/>
      <c r="S26" s="16"/>
      <c r="T26" s="16"/>
      <c r="U26" s="16"/>
      <c r="V26" s="16"/>
      <c r="W26" s="16"/>
      <c r="X26" s="16"/>
      <c r="Y26" s="16"/>
      <c r="Z26" s="16"/>
      <c r="AA26" s="16"/>
      <c r="AB26" s="16"/>
      <c r="AC26" s="16"/>
      <c r="AD26" s="16"/>
      <c r="AE26" s="16"/>
      <c r="AF26" s="16"/>
      <c r="AG26" s="16" t="str">
        <f>IFERROR(__xludf.DUMMYFUNCTION("""COMPUTED_VALUE"""),"Land of Spira")</f>
        <v>Land of Spira</v>
      </c>
      <c r="AH26" s="16" t="b">
        <f>IFERROR(__xludf.DUMMYFUNCTION("""COMPUTED_VALUE"""),FALSE)</f>
        <v>0</v>
      </c>
    </row>
    <row r="27">
      <c r="A27" s="16" t="str">
        <f>IFERROR(__xludf.DUMMYFUNCTION("""COMPUTED_VALUE"""),"Beltane Floral crown")</f>
        <v>Beltane Floral crown</v>
      </c>
      <c r="B27" s="16" t="str">
        <f>IFERROR(__xludf.DUMMYFUNCTION("""COMPUTED_VALUE"""),"Head")</f>
        <v>Head</v>
      </c>
      <c r="C27" s="16"/>
      <c r="D27" s="16"/>
      <c r="E27" s="16">
        <f>IFERROR(__xludf.DUMMYFUNCTION("""COMPUTED_VALUE"""),1.0)</f>
        <v>1</v>
      </c>
      <c r="F27" s="108">
        <f>IFERROR(__xludf.DUMMYFUNCTION("""COMPUTED_VALUE"""),0.0)</f>
        <v>0</v>
      </c>
      <c r="G27" s="16"/>
      <c r="H27" s="16"/>
      <c r="I27" s="16"/>
      <c r="J27" s="16"/>
      <c r="K27" s="16"/>
      <c r="L27" s="16"/>
      <c r="M27" s="16"/>
      <c r="N27" s="16"/>
      <c r="O27" s="16"/>
      <c r="P27" s="16"/>
      <c r="Q27" s="16"/>
      <c r="R27" s="16"/>
      <c r="S27" s="16"/>
      <c r="T27" s="16"/>
      <c r="U27" s="16"/>
      <c r="V27" s="16"/>
      <c r="W27" s="16"/>
      <c r="X27" s="16"/>
      <c r="Y27" s="16"/>
      <c r="Z27" s="16"/>
      <c r="AA27" s="16"/>
      <c r="AB27" s="16"/>
      <c r="AC27" s="16"/>
      <c r="AD27" s="16"/>
      <c r="AE27" s="16"/>
      <c r="AF27" s="16" t="str">
        <f>IFERROR(__xludf.DUMMYFUNCTION("""COMPUTED_VALUE"""),"++Grants immunity to Nature.")</f>
        <v>++Grants immunity to Nature.</v>
      </c>
      <c r="AG27" s="16" t="str">
        <f>IFERROR(__xludf.DUMMYFUNCTION("""COMPUTED_VALUE"""),"Land of Spira")</f>
        <v>Land of Spira</v>
      </c>
      <c r="AH27" s="16" t="b">
        <f>IFERROR(__xludf.DUMMYFUNCTION("""COMPUTED_VALUE"""),FALSE)</f>
        <v>0</v>
      </c>
    </row>
    <row r="28">
      <c r="A28" s="16" t="str">
        <f>IFERROR(__xludf.DUMMYFUNCTION("""COMPUTED_VALUE"""),"Beta Sword")</f>
        <v>Beta Sword</v>
      </c>
      <c r="B28" s="16" t="str">
        <f>IFERROR(__xludf.DUMMYFUNCTION("""COMPUTED_VALUE"""),"Hand")</f>
        <v>Hand</v>
      </c>
      <c r="C28" s="16"/>
      <c r="D28" s="16"/>
      <c r="E28" s="16">
        <f>IFERROR(__xludf.DUMMYFUNCTION("""COMPUTED_VALUE"""),3000.0)</f>
        <v>3000</v>
      </c>
      <c r="F28" s="108">
        <f>IFERROR(__xludf.DUMMYFUNCTION("""COMPUTED_VALUE"""),4.485E8)</f>
        <v>448500000</v>
      </c>
      <c r="G28" s="16" t="str">
        <f>IFERROR(__xludf.DUMMYFUNCTION("""COMPUTED_VALUE"""),"DMG")</f>
        <v>DMG</v>
      </c>
      <c r="H28" s="119">
        <f>IFERROR(__xludf.DUMMYFUNCTION("""COMPUTED_VALUE"""),125000.0)</f>
        <v>125000</v>
      </c>
      <c r="I28" s="16"/>
      <c r="J28" s="16"/>
      <c r="K28" s="16"/>
      <c r="L28" s="16"/>
      <c r="M28" s="16"/>
      <c r="N28" s="16"/>
      <c r="O28" s="119">
        <f>IFERROR(__xludf.DUMMYFUNCTION("""COMPUTED_VALUE"""),25000.0)</f>
        <v>25000</v>
      </c>
      <c r="P28" s="16"/>
      <c r="Q28" s="16"/>
      <c r="R28" s="16"/>
      <c r="S28" s="16"/>
      <c r="T28" s="16"/>
      <c r="U28" s="16"/>
      <c r="V28" s="16"/>
      <c r="W28" s="16"/>
      <c r="X28" s="16"/>
      <c r="Y28" s="16"/>
      <c r="Z28" s="16"/>
      <c r="AA28" s="16"/>
      <c r="AB28" s="16"/>
      <c r="AC28" s="16"/>
      <c r="AD28" s="16"/>
      <c r="AE28" s="16"/>
      <c r="AF28" s="16" t="str">
        <f>IFERROR(__xludf.DUMMYFUNCTION("""COMPUTED_VALUE"""),"++Allows you to use another party members companion on your turn as a second action.")</f>
        <v>++Allows you to use another party members companion on your turn as a second action.</v>
      </c>
      <c r="AG28" s="16" t="str">
        <f>IFERROR(__xludf.DUMMYFUNCTION("""COMPUTED_VALUE"""),"Abstara")</f>
        <v>Abstara</v>
      </c>
      <c r="AH28" s="16" t="b">
        <f>IFERROR(__xludf.DUMMYFUNCTION("""COMPUTED_VALUE"""),FALSE)</f>
        <v>0</v>
      </c>
    </row>
    <row r="29">
      <c r="A29" s="16" t="str">
        <f>IFERROR(__xludf.DUMMYFUNCTION("""COMPUTED_VALUE"""),"Black Crystal Necklace of Luck")</f>
        <v>Black Crystal Necklace of Luck</v>
      </c>
      <c r="B29" s="16" t="str">
        <f>IFERROR(__xludf.DUMMYFUNCTION("""COMPUTED_VALUE"""),"Neck")</f>
        <v>Neck</v>
      </c>
      <c r="C29" s="16"/>
      <c r="D29" s="16"/>
      <c r="E29" s="16">
        <f>IFERROR(__xludf.DUMMYFUNCTION("""COMPUTED_VALUE"""),1.0)</f>
        <v>1</v>
      </c>
      <c r="F29" s="108">
        <f>IFERROR(__xludf.DUMMYFUNCTION("""COMPUTED_VALUE"""),0.0)</f>
        <v>0</v>
      </c>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t="str">
        <f>IFERROR(__xludf.DUMMYFUNCTION("""COMPUTED_VALUE"""),"++Plus 2 is added to whatever number you roll on a d20 ++can only wear one, +-Cannot be forged or duplicated.")</f>
        <v>++Plus 2 is added to whatever number you roll on a d20 ++can only wear one, +-Cannot be forged or duplicated.</v>
      </c>
      <c r="AG29" s="16" t="str">
        <f>IFERROR(__xludf.DUMMYFUNCTION("""COMPUTED_VALUE"""),"Land of Spira")</f>
        <v>Land of Spira</v>
      </c>
      <c r="AH29" s="16" t="b">
        <f>IFERROR(__xludf.DUMMYFUNCTION("""COMPUTED_VALUE"""),FALSE)</f>
        <v>0</v>
      </c>
    </row>
    <row r="30">
      <c r="A30" s="16" t="str">
        <f>IFERROR(__xludf.DUMMYFUNCTION("""COMPUTED_VALUE"""),"Black Serpent Dragon Pendant")</f>
        <v>Black Serpent Dragon Pendant</v>
      </c>
      <c r="B30" s="16" t="str">
        <f>IFERROR(__xludf.DUMMYFUNCTION("""COMPUTED_VALUE"""),"Neck")</f>
        <v>Neck</v>
      </c>
      <c r="C30" s="16"/>
      <c r="D30" s="16"/>
      <c r="E30" s="16">
        <f>IFERROR(__xludf.DUMMYFUNCTION("""COMPUTED_VALUE"""),1.0)</f>
        <v>1</v>
      </c>
      <c r="F30" s="108">
        <f>IFERROR(__xludf.DUMMYFUNCTION("""COMPUTED_VALUE"""),0.0)</f>
        <v>0</v>
      </c>
      <c r="G30" s="16"/>
      <c r="H30" s="16"/>
      <c r="I30" s="16"/>
      <c r="J30" s="16"/>
      <c r="K30" s="16"/>
      <c r="L30" s="16"/>
      <c r="M30" s="16"/>
      <c r="N30" s="16"/>
      <c r="O30" s="16"/>
      <c r="P30" s="16"/>
      <c r="Q30" s="16"/>
      <c r="R30" s="16"/>
      <c r="S30" s="16"/>
      <c r="T30" s="16"/>
      <c r="U30" s="16"/>
      <c r="V30" s="16"/>
      <c r="W30" s="16"/>
      <c r="X30" s="16"/>
      <c r="Y30" s="16"/>
      <c r="Z30" s="16"/>
      <c r="AA30" s="16"/>
      <c r="AB30" s="16"/>
      <c r="AC30" s="16"/>
      <c r="AD30" s="16"/>
      <c r="AE30" s="16"/>
      <c r="AF30" s="16" t="str">
        <f>IFERROR(__xludf.DUMMYFUNCTION("""COMPUTED_VALUE"""),"++Immunity to dark and water damage. ++X2 additional dark and water damage for the wearer.")</f>
        <v>++Immunity to dark and water damage. ++X2 additional dark and water damage for the wearer.</v>
      </c>
      <c r="AG30" s="16" t="str">
        <f>IFERROR(__xludf.DUMMYFUNCTION("""COMPUTED_VALUE"""),"Abstara")</f>
        <v>Abstara</v>
      </c>
      <c r="AH30" s="16" t="b">
        <f>IFERROR(__xludf.DUMMYFUNCTION("""COMPUTED_VALUE"""),FALSE)</f>
        <v>0</v>
      </c>
    </row>
    <row r="31">
      <c r="A31" s="16" t="str">
        <f>IFERROR(__xludf.DUMMYFUNCTION("""COMPUTED_VALUE"""),"Blade of Burning Energy")</f>
        <v>Blade of Burning Energy</v>
      </c>
      <c r="B31" s="16" t="str">
        <f>IFERROR(__xludf.DUMMYFUNCTION("""COMPUTED_VALUE"""),"Hand")</f>
        <v>Hand</v>
      </c>
      <c r="C31" s="16"/>
      <c r="D31" s="16" t="str">
        <f>IFERROR(__xludf.DUMMYFUNCTION("""COMPUTED_VALUE"""),"Sword")</f>
        <v>Sword</v>
      </c>
      <c r="E31" s="16">
        <f>IFERROR(__xludf.DUMMYFUNCTION("""COMPUTED_VALUE"""),400.0)</f>
        <v>400</v>
      </c>
      <c r="F31" s="108">
        <f>IFERROR(__xludf.DUMMYFUNCTION("""COMPUTED_VALUE"""),7800000.0)</f>
        <v>7800000</v>
      </c>
      <c r="G31" s="16" t="str">
        <f>IFERROR(__xludf.DUMMYFUNCTION("""COMPUTED_VALUE"""),"DMG")</f>
        <v>DMG</v>
      </c>
      <c r="H31" s="119">
        <f>IFERROR(__xludf.DUMMYFUNCTION("""COMPUTED_VALUE"""),10000.0)</f>
        <v>10000</v>
      </c>
      <c r="I31" s="119">
        <f>IFERROR(__xludf.DUMMYFUNCTION("""COMPUTED_VALUE"""),10000.0)</f>
        <v>10000</v>
      </c>
      <c r="J31" s="16"/>
      <c r="K31" s="16"/>
      <c r="L31" s="16"/>
      <c r="M31" s="16"/>
      <c r="N31" s="16"/>
      <c r="O31" s="16"/>
      <c r="P31" s="16"/>
      <c r="Q31" s="16"/>
      <c r="R31" s="16"/>
      <c r="S31" s="16"/>
      <c r="T31" s="16"/>
      <c r="U31" s="16"/>
      <c r="V31" s="16"/>
      <c r="W31" s="16"/>
      <c r="X31" s="16"/>
      <c r="Y31" s="16"/>
      <c r="Z31" s="16"/>
      <c r="AA31" s="16"/>
      <c r="AB31" s="16"/>
      <c r="AC31" s="16"/>
      <c r="AD31" s="16"/>
      <c r="AE31" s="16"/>
      <c r="AF31" s="16" t="str">
        <f>IFERROR(__xludf.DUMMYFUNCTION("""COMPUTED_VALUE"""),"++Burn 5000")</f>
        <v>++Burn 5000</v>
      </c>
      <c r="AG31" s="16" t="str">
        <f>IFERROR(__xludf.DUMMYFUNCTION("""COMPUTED_VALUE"""),"Land of Spira")</f>
        <v>Land of Spira</v>
      </c>
      <c r="AH31" s="16" t="b">
        <f>IFERROR(__xludf.DUMMYFUNCTION("""COMPUTED_VALUE"""),FALSE)</f>
        <v>0</v>
      </c>
    </row>
    <row r="32">
      <c r="A32" s="16" t="str">
        <f>IFERROR(__xludf.DUMMYFUNCTION("""COMPUTED_VALUE"""),"Blood Katana")</f>
        <v>Blood Katana</v>
      </c>
      <c r="B32" s="16" t="str">
        <f>IFERROR(__xludf.DUMMYFUNCTION("""COMPUTED_VALUE"""),"Hand")</f>
        <v>Hand</v>
      </c>
      <c r="C32" s="16"/>
      <c r="D32" s="16" t="str">
        <f>IFERROR(__xludf.DUMMYFUNCTION("""COMPUTED_VALUE"""),"Sword")</f>
        <v>Sword</v>
      </c>
      <c r="E32" s="16">
        <f>IFERROR(__xludf.DUMMYFUNCTION("""COMPUTED_VALUE"""),400.0)</f>
        <v>400</v>
      </c>
      <c r="F32" s="108">
        <f>IFERROR(__xludf.DUMMYFUNCTION("""COMPUTED_VALUE"""),7800000.0)</f>
        <v>7800000</v>
      </c>
      <c r="G32" s="16" t="str">
        <f>IFERROR(__xludf.DUMMYFUNCTION("""COMPUTED_VALUE"""),"DMG")</f>
        <v>DMG</v>
      </c>
      <c r="H32" s="119">
        <f>IFERROR(__xludf.DUMMYFUNCTION("""COMPUTED_VALUE"""),10000.0)</f>
        <v>10000</v>
      </c>
      <c r="I32" s="16"/>
      <c r="J32" s="16"/>
      <c r="K32" s="16"/>
      <c r="L32" s="16"/>
      <c r="M32" s="16"/>
      <c r="N32" s="16"/>
      <c r="O32" s="16"/>
      <c r="P32" s="16"/>
      <c r="Q32" s="16"/>
      <c r="R32" s="16"/>
      <c r="S32" s="16"/>
      <c r="T32" s="16"/>
      <c r="U32" s="16"/>
      <c r="V32" s="16"/>
      <c r="W32" s="16"/>
      <c r="X32" s="16"/>
      <c r="Y32" s="119">
        <f>IFERROR(__xludf.DUMMYFUNCTION("""COMPUTED_VALUE"""),10000.0)</f>
        <v>10000</v>
      </c>
      <c r="Z32" s="16"/>
      <c r="AA32" s="16"/>
      <c r="AB32" s="16"/>
      <c r="AC32" s="16"/>
      <c r="AD32" s="16"/>
      <c r="AE32" s="16"/>
      <c r="AF32" s="16" t="str">
        <f>IFERROR(__xludf.DUMMYFUNCTION("""COMPUTED_VALUE"""),"++X2 blood damage for spells and weapons. +-Cannot be duplicated.")</f>
        <v>++X2 blood damage for spells and weapons. +-Cannot be duplicated.</v>
      </c>
      <c r="AG32" s="16" t="str">
        <f>IFERROR(__xludf.DUMMYFUNCTION("""COMPUTED_VALUE"""),"Land of Spira")</f>
        <v>Land of Spira</v>
      </c>
      <c r="AH32" s="16" t="b">
        <f>IFERROR(__xludf.DUMMYFUNCTION("""COMPUTED_VALUE"""),FALSE)</f>
        <v>0</v>
      </c>
    </row>
    <row r="33">
      <c r="A33" s="16" t="str">
        <f>IFERROR(__xludf.DUMMYFUNCTION("""COMPUTED_VALUE"""),"Blue Steel Sword")</f>
        <v>Blue Steel Sword</v>
      </c>
      <c r="B33" s="16" t="str">
        <f>IFERROR(__xludf.DUMMYFUNCTION("""COMPUTED_VALUE"""),"Hand")</f>
        <v>Hand</v>
      </c>
      <c r="C33" s="16"/>
      <c r="D33" s="16" t="str">
        <f>IFERROR(__xludf.DUMMYFUNCTION("""COMPUTED_VALUE"""),"Sword")</f>
        <v>Sword</v>
      </c>
      <c r="E33" s="16">
        <f>IFERROR(__xludf.DUMMYFUNCTION("""COMPUTED_VALUE"""),40.0)</f>
        <v>40</v>
      </c>
      <c r="F33" s="108">
        <f>IFERROR(__xludf.DUMMYFUNCTION("""COMPUTED_VALUE"""),60000.0)</f>
        <v>60000</v>
      </c>
      <c r="G33" s="16" t="str">
        <f>IFERROR(__xludf.DUMMYFUNCTION("""COMPUTED_VALUE"""),"DMG")</f>
        <v>DMG</v>
      </c>
      <c r="H33" s="16">
        <f>IFERROR(__xludf.DUMMYFUNCTION("""COMPUTED_VALUE"""),1000.0)</f>
        <v>1000</v>
      </c>
      <c r="I33" s="16"/>
      <c r="J33" s="16"/>
      <c r="K33" s="16">
        <f>IFERROR(__xludf.DUMMYFUNCTION("""COMPUTED_VALUE"""),1000.0)</f>
        <v>1000</v>
      </c>
      <c r="L33" s="16"/>
      <c r="M33" s="16"/>
      <c r="N33" s="16"/>
      <c r="O33" s="16"/>
      <c r="P33" s="16"/>
      <c r="Q33" s="16"/>
      <c r="R33" s="16"/>
      <c r="S33" s="16"/>
      <c r="T33" s="16"/>
      <c r="U33" s="16"/>
      <c r="V33" s="16"/>
      <c r="W33" s="16"/>
      <c r="X33" s="16"/>
      <c r="Y33" s="16"/>
      <c r="Z33" s="16"/>
      <c r="AA33" s="16"/>
      <c r="AB33" s="16"/>
      <c r="AC33" s="16"/>
      <c r="AD33" s="16"/>
      <c r="AE33" s="16"/>
      <c r="AF33" s="16"/>
      <c r="AG33" s="16" t="str">
        <f>IFERROR(__xludf.DUMMYFUNCTION("""COMPUTED_VALUE"""),"Land of Spira")</f>
        <v>Land of Spira</v>
      </c>
      <c r="AH33" s="16" t="b">
        <f>IFERROR(__xludf.DUMMYFUNCTION("""COMPUTED_VALUE"""),FALSE)</f>
        <v>0</v>
      </c>
    </row>
    <row r="34">
      <c r="A34" s="16" t="str">
        <f>IFERROR(__xludf.DUMMYFUNCTION("""COMPUTED_VALUE"""),"Blunderbuss (Exclusive)")</f>
        <v>Blunderbuss (Exclusive)</v>
      </c>
      <c r="B34" s="16" t="str">
        <f>IFERROR(__xludf.DUMMYFUNCTION("""COMPUTED_VALUE"""),"Hand")</f>
        <v>Hand</v>
      </c>
      <c r="C34" s="16" t="str">
        <f>IFERROR(__xludf.DUMMYFUNCTION("""COMPUTED_VALUE"""),"The feast enjoyed on the first Thanksgiving didn’t hunt itself! The Pilgrims had to forage and hunt before setting the table. You can count on the Blunderbuss to help you when times are rough.")</f>
        <v>The feast enjoyed on the first Thanksgiving didn’t hunt itself! The Pilgrims had to forage and hunt before setting the table. You can count on the Blunderbuss to help you when times are rough.</v>
      </c>
      <c r="D34" s="16" t="str">
        <f>IFERROR(__xludf.DUMMYFUNCTION("""COMPUTED_VALUE"""),"Firearm")</f>
        <v>Firearm</v>
      </c>
      <c r="E34" s="16">
        <f>IFERROR(__xludf.DUMMYFUNCTION("""COMPUTED_VALUE"""),200.0)</f>
        <v>200</v>
      </c>
      <c r="F34" s="108">
        <f>IFERROR(__xludf.DUMMYFUNCTION("""COMPUTED_VALUE"""),1.99E8)</f>
        <v>199000000</v>
      </c>
      <c r="G34" s="16"/>
      <c r="H34" s="119">
        <f>IFERROR(__xludf.DUMMYFUNCTION("""COMPUTED_VALUE"""),50000.0)</f>
        <v>50000</v>
      </c>
      <c r="I34" s="16"/>
      <c r="J34" s="16"/>
      <c r="K34" s="16"/>
      <c r="L34" s="16"/>
      <c r="M34" s="16"/>
      <c r="N34" s="16"/>
      <c r="O34" s="16"/>
      <c r="P34" s="16"/>
      <c r="Q34" s="16"/>
      <c r="R34" s="16"/>
      <c r="S34" s="16"/>
      <c r="T34" s="16"/>
      <c r="U34" s="16"/>
      <c r="V34" s="16"/>
      <c r="W34" s="16"/>
      <c r="X34" s="16"/>
      <c r="Y34" s="16"/>
      <c r="Z34" s="16"/>
      <c r="AA34" s="16"/>
      <c r="AB34" s="16"/>
      <c r="AC34" s="119">
        <f>IFERROR(__xludf.DUMMYFUNCTION("""COMPUTED_VALUE"""),50000.0)</f>
        <v>50000</v>
      </c>
      <c r="AD34" s="16"/>
      <c r="AE34" s="16"/>
      <c r="AF34" s="16" t="str">
        <f>IFERROR(__xludf.DUMMYFUNCTION("""COMPUTED_VALUE"""),"++This weapon will deal x4 damage if you are using the turkey hydra companion. +-You must take a turn to reload this weapon after using it.")</f>
        <v>++This weapon will deal x4 damage if you are using the turkey hydra companion. +-You must take a turn to reload this weapon after using it.</v>
      </c>
      <c r="AG34" s="16" t="str">
        <f>IFERROR(__xludf.DUMMYFUNCTION("""COMPUTED_VALUE"""),"Land of Spira")</f>
        <v>Land of Spira</v>
      </c>
      <c r="AH34" s="16" t="b">
        <f>IFERROR(__xludf.DUMMYFUNCTION("""COMPUTED_VALUE"""),FALSE)</f>
        <v>0</v>
      </c>
    </row>
    <row r="35">
      <c r="A35" s="16" t="str">
        <f>IFERROR(__xludf.DUMMYFUNCTION("""COMPUTED_VALUE"""),"Bone Sword ")</f>
        <v>Bone Sword </v>
      </c>
      <c r="B35" s="16" t="str">
        <f>IFERROR(__xludf.DUMMYFUNCTION("""COMPUTED_VALUE"""),"Hand")</f>
        <v>Hand</v>
      </c>
      <c r="C35" s="16"/>
      <c r="D35" s="16" t="str">
        <f>IFERROR(__xludf.DUMMYFUNCTION("""COMPUTED_VALUE"""),"Sword")</f>
        <v>Sword</v>
      </c>
      <c r="E35" s="16">
        <f>IFERROR(__xludf.DUMMYFUNCTION("""COMPUTED_VALUE"""),300.0)</f>
        <v>300</v>
      </c>
      <c r="F35" s="108">
        <f>IFERROR(__xludf.DUMMYFUNCTION("""COMPUTED_VALUE"""),4350000.0)</f>
        <v>4350000</v>
      </c>
      <c r="G35" s="16" t="str">
        <f>IFERROR(__xludf.DUMMYFUNCTION("""COMPUTED_VALUE"""),"DMG")</f>
        <v>DMG</v>
      </c>
      <c r="H35" s="119">
        <f>IFERROR(__xludf.DUMMYFUNCTION("""COMPUTED_VALUE"""),5000.0)</f>
        <v>5000</v>
      </c>
      <c r="I35" s="16"/>
      <c r="J35" s="16"/>
      <c r="K35" s="16"/>
      <c r="L35" s="16"/>
      <c r="M35" s="16">
        <f>IFERROR(__xludf.DUMMYFUNCTION("""COMPUTED_VALUE"""),5000.0)</f>
        <v>5000</v>
      </c>
      <c r="N35" s="16"/>
      <c r="O35" s="16">
        <f>IFERROR(__xludf.DUMMYFUNCTION("""COMPUTED_VALUE"""),5000.0)</f>
        <v>5000</v>
      </c>
      <c r="P35" s="16"/>
      <c r="Q35" s="16"/>
      <c r="R35" s="16"/>
      <c r="S35" s="16"/>
      <c r="T35" s="16"/>
      <c r="U35" s="16"/>
      <c r="V35" s="16"/>
      <c r="W35" s="16"/>
      <c r="X35" s="16"/>
      <c r="Y35" s="16"/>
      <c r="Z35" s="16"/>
      <c r="AA35" s="16"/>
      <c r="AB35" s="16"/>
      <c r="AC35" s="16"/>
      <c r="AD35" s="16"/>
      <c r="AE35" s="16"/>
      <c r="AF35" s="16" t="str">
        <f>IFERROR(__xludf.DUMMYFUNCTION("""COMPUTED_VALUE"""),"++X2 Earth damage. ")</f>
        <v>++X2 Earth damage. </v>
      </c>
      <c r="AG35" s="16" t="str">
        <f>IFERROR(__xludf.DUMMYFUNCTION("""COMPUTED_VALUE"""),"Land of Spira")</f>
        <v>Land of Spira</v>
      </c>
      <c r="AH35" s="16" t="b">
        <f>IFERROR(__xludf.DUMMYFUNCTION("""COMPUTED_VALUE"""),FALSE)</f>
        <v>0</v>
      </c>
    </row>
    <row r="36">
      <c r="A36" s="16" t="str">
        <f>IFERROR(__xludf.DUMMYFUNCTION("""COMPUTED_VALUE"""),"Boots of Waking Waters")</f>
        <v>Boots of Waking Waters</v>
      </c>
      <c r="B36" s="16" t="str">
        <f>IFERROR(__xludf.DUMMYFUNCTION("""COMPUTED_VALUE"""),"Feet")</f>
        <v>Feet</v>
      </c>
      <c r="C36" s="16"/>
      <c r="D36" s="16"/>
      <c r="E36" s="16">
        <f>IFERROR(__xludf.DUMMYFUNCTION("""COMPUTED_VALUE"""),200.0)</f>
        <v>200</v>
      </c>
      <c r="F36" s="108">
        <f>IFERROR(__xludf.DUMMYFUNCTION("""COMPUTED_VALUE"""),1900000.0)</f>
        <v>1900000</v>
      </c>
      <c r="G36" s="16" t="str">
        <f>IFERROR(__xludf.DUMMYFUNCTION("""COMPUTED_VALUE"""),"DEF")</f>
        <v>DEF</v>
      </c>
      <c r="H36" s="16">
        <f>IFERROR(__xludf.DUMMYFUNCTION("""COMPUTED_VALUE"""),5000.0)</f>
        <v>5000</v>
      </c>
      <c r="I36" s="16"/>
      <c r="J36" s="16"/>
      <c r="K36" s="16">
        <f>IFERROR(__xludf.DUMMYFUNCTION("""COMPUTED_VALUE"""),5000.0)</f>
        <v>5000</v>
      </c>
      <c r="L36" s="16"/>
      <c r="M36" s="16"/>
      <c r="N36" s="16"/>
      <c r="O36" s="16"/>
      <c r="P36" s="16"/>
      <c r="Q36" s="16"/>
      <c r="R36" s="16"/>
      <c r="S36" s="16"/>
      <c r="T36" s="16"/>
      <c r="U36" s="16"/>
      <c r="V36" s="16"/>
      <c r="W36" s="16"/>
      <c r="X36" s="16"/>
      <c r="Y36" s="16"/>
      <c r="Z36" s="16"/>
      <c r="AA36" s="16"/>
      <c r="AB36" s="16"/>
      <c r="AC36" s="16"/>
      <c r="AD36" s="16"/>
      <c r="AE36" s="16"/>
      <c r="AF36" s="16" t="str">
        <f>IFERROR(__xludf.DUMMYFUNCTION("""COMPUTED_VALUE"""),"++X4 additional water damage for self.")</f>
        <v>++X4 additional water damage for self.</v>
      </c>
      <c r="AG36" s="16" t="str">
        <f>IFERROR(__xludf.DUMMYFUNCTION("""COMPUTED_VALUE"""),"Land of Spira")</f>
        <v>Land of Spira</v>
      </c>
      <c r="AH36" s="16" t="b">
        <f>IFERROR(__xludf.DUMMYFUNCTION("""COMPUTED_VALUE"""),FALSE)</f>
        <v>0</v>
      </c>
    </row>
    <row r="37">
      <c r="A37" s="16" t="str">
        <f>IFERROR(__xludf.DUMMYFUNCTION("""COMPUTED_VALUE"""),"Bow of Chaotic Darkness")</f>
        <v>Bow of Chaotic Darkness</v>
      </c>
      <c r="B37" s="16" t="str">
        <f>IFERROR(__xludf.DUMMYFUNCTION("""COMPUTED_VALUE"""),"Hand")</f>
        <v>Hand</v>
      </c>
      <c r="C37" s="16"/>
      <c r="D37" s="16" t="str">
        <f>IFERROR(__xludf.DUMMYFUNCTION("""COMPUTED_VALUE"""),"Bow")</f>
        <v>Bow</v>
      </c>
      <c r="E37" s="16">
        <f>IFERROR(__xludf.DUMMYFUNCTION("""COMPUTED_VALUE"""),4400.0)</f>
        <v>4400</v>
      </c>
      <c r="F37" s="108">
        <f>IFERROR(__xludf.DUMMYFUNCTION("""COMPUTED_VALUE"""),9.658E8)</f>
        <v>965800000</v>
      </c>
      <c r="G37" s="16" t="str">
        <f>IFERROR(__xludf.DUMMYFUNCTION("""COMPUTED_VALUE"""),"DMG")</f>
        <v>DMG</v>
      </c>
      <c r="H37" s="119">
        <f>IFERROR(__xludf.DUMMYFUNCTION("""COMPUTED_VALUE"""),140000.0)</f>
        <v>140000</v>
      </c>
      <c r="I37" s="16"/>
      <c r="J37" s="16"/>
      <c r="K37" s="16"/>
      <c r="L37" s="16"/>
      <c r="M37" s="16"/>
      <c r="N37" s="16"/>
      <c r="O37" s="119">
        <f>IFERROR(__xludf.DUMMYFUNCTION("""COMPUTED_VALUE"""),40000.0)</f>
        <v>40000</v>
      </c>
      <c r="P37" s="16"/>
      <c r="Q37" s="16"/>
      <c r="R37" s="119">
        <f>IFERROR(__xludf.DUMMYFUNCTION("""COMPUTED_VALUE"""),40000.0)</f>
        <v>40000</v>
      </c>
      <c r="S37" s="16"/>
      <c r="T37" s="16"/>
      <c r="U37" s="16"/>
      <c r="V37" s="16"/>
      <c r="W37" s="16"/>
      <c r="X37" s="16"/>
      <c r="Y37" s="16"/>
      <c r="Z37" s="16"/>
      <c r="AA37" s="16"/>
      <c r="AB37" s="16"/>
      <c r="AC37" s="16"/>
      <c r="AD37" s="16"/>
      <c r="AE37" s="16"/>
      <c r="AF37" s="16" t="str">
        <f>IFERROR(__xludf.DUMMYFUNCTION("""COMPUTED_VALUE"""),"++You may use up to 4 arrows with this bow.")</f>
        <v>++You may use up to 4 arrows with this bow.</v>
      </c>
      <c r="AG37" s="16" t="str">
        <f>IFERROR(__xludf.DUMMYFUNCTION("""COMPUTED_VALUE"""),"Abstara")</f>
        <v>Abstara</v>
      </c>
      <c r="AH37" s="16" t="b">
        <f>IFERROR(__xludf.DUMMYFUNCTION("""COMPUTED_VALUE"""),FALSE)</f>
        <v>0</v>
      </c>
    </row>
    <row r="38">
      <c r="A38" s="16" t="str">
        <f>IFERROR(__xludf.DUMMYFUNCTION("""COMPUTED_VALUE"""),"Bow of Luck")</f>
        <v>Bow of Luck</v>
      </c>
      <c r="B38" s="16" t="str">
        <f>IFERROR(__xludf.DUMMYFUNCTION("""COMPUTED_VALUE"""),"Hand")</f>
        <v>Hand</v>
      </c>
      <c r="C38" s="16"/>
      <c r="D38" s="16" t="str">
        <f>IFERROR(__xludf.DUMMYFUNCTION("""COMPUTED_VALUE"""),"Bow")</f>
        <v>Bow</v>
      </c>
      <c r="E38" s="16">
        <f>IFERROR(__xludf.DUMMYFUNCTION("""COMPUTED_VALUE"""),3000.0)</f>
        <v>3000</v>
      </c>
      <c r="F38" s="108">
        <f>IFERROR(__xludf.DUMMYFUNCTION("""COMPUTED_VALUE"""),4.485E8)</f>
        <v>448500000</v>
      </c>
      <c r="G38" s="16" t="str">
        <f>IFERROR(__xludf.DUMMYFUNCTION("""COMPUTED_VALUE"""),"DMG")</f>
        <v>DMG</v>
      </c>
      <c r="H38" s="119">
        <f>IFERROR(__xludf.DUMMYFUNCTION("""COMPUTED_VALUE"""),150000.0)</f>
        <v>150000</v>
      </c>
      <c r="I38" s="16"/>
      <c r="J38" s="16"/>
      <c r="K38" s="16"/>
      <c r="L38" s="16"/>
      <c r="M38" s="16"/>
      <c r="N38" s="16"/>
      <c r="O38" s="16"/>
      <c r="P38" s="16"/>
      <c r="Q38" s="16"/>
      <c r="R38" s="16"/>
      <c r="S38" s="16"/>
      <c r="T38" s="16"/>
      <c r="U38" s="16"/>
      <c r="V38" s="16"/>
      <c r="W38" s="16"/>
      <c r="X38" s="16"/>
      <c r="Y38" s="16"/>
      <c r="Z38" s="16"/>
      <c r="AA38" s="16"/>
      <c r="AB38" s="16"/>
      <c r="AC38" s="16"/>
      <c r="AD38" s="16"/>
      <c r="AE38" s="16"/>
      <c r="AF38" s="16" t="str">
        <f>IFERROR(__xludf.DUMMYFUNCTION("""COMPUTED_VALUE"""),"++You may add mobility to your attack rolls as long as you are attacking with a bow. +-Cannot be forged")</f>
        <v>++You may add mobility to your attack rolls as long as you are attacking with a bow. +-Cannot be forged</v>
      </c>
      <c r="AG38" s="16" t="str">
        <f>IFERROR(__xludf.DUMMYFUNCTION("""COMPUTED_VALUE"""),"Abstara")</f>
        <v>Abstara</v>
      </c>
      <c r="AH38" s="16" t="b">
        <f>IFERROR(__xludf.DUMMYFUNCTION("""COMPUTED_VALUE"""),FALSE)</f>
        <v>0</v>
      </c>
    </row>
    <row r="39">
      <c r="A39" s="16" t="str">
        <f>IFERROR(__xludf.DUMMYFUNCTION("""COMPUTED_VALUE"""),"Bow of The Sacred Druids")</f>
        <v>Bow of The Sacred Druids</v>
      </c>
      <c r="B39" s="16" t="str">
        <f>IFERROR(__xludf.DUMMYFUNCTION("""COMPUTED_VALUE"""),"Hand")</f>
        <v>Hand</v>
      </c>
      <c r="C39" s="16"/>
      <c r="D39" s="16" t="str">
        <f>IFERROR(__xludf.DUMMYFUNCTION("""COMPUTED_VALUE"""),"Bow")</f>
        <v>Bow</v>
      </c>
      <c r="E39" s="16">
        <f>IFERROR(__xludf.DUMMYFUNCTION("""COMPUTED_VALUE"""),200.0)</f>
        <v>200</v>
      </c>
      <c r="F39" s="108">
        <f>IFERROR(__xludf.DUMMYFUNCTION("""COMPUTED_VALUE"""),1900000.0)</f>
        <v>1900000</v>
      </c>
      <c r="G39" s="16" t="str">
        <f>IFERROR(__xludf.DUMMYFUNCTION("""COMPUTED_VALUE"""),"DMG")</f>
        <v>DMG</v>
      </c>
      <c r="H39" s="16">
        <f>IFERROR(__xludf.DUMMYFUNCTION("""COMPUTED_VALUE"""),5000.0)</f>
        <v>5000</v>
      </c>
      <c r="I39" s="16"/>
      <c r="J39" s="16"/>
      <c r="K39" s="16"/>
      <c r="L39" s="16"/>
      <c r="M39" s="16"/>
      <c r="N39" s="16"/>
      <c r="O39" s="16"/>
      <c r="P39" s="16"/>
      <c r="Q39" s="16"/>
      <c r="R39" s="16"/>
      <c r="S39" s="16">
        <f>IFERROR(__xludf.DUMMYFUNCTION("""COMPUTED_VALUE"""),5000.0)</f>
        <v>5000</v>
      </c>
      <c r="T39" s="16"/>
      <c r="U39" s="16"/>
      <c r="V39" s="16"/>
      <c r="W39" s="16"/>
      <c r="X39" s="16"/>
      <c r="Y39" s="16"/>
      <c r="Z39" s="16"/>
      <c r="AA39" s="16"/>
      <c r="AB39" s="16"/>
      <c r="AC39" s="16"/>
      <c r="AD39" s="16"/>
      <c r="AE39" s="16"/>
      <c r="AF39" s="16" t="str">
        <f>IFERROR(__xludf.DUMMYFUNCTION("""COMPUTED_VALUE"""),"++Druids Call - X4 additional damage for ranged weapons.")</f>
        <v>++Druids Call - X4 additional damage for ranged weapons.</v>
      </c>
      <c r="AG39" s="16" t="str">
        <f>IFERROR(__xludf.DUMMYFUNCTION("""COMPUTED_VALUE"""),"Land of Spira")</f>
        <v>Land of Spira</v>
      </c>
      <c r="AH39" s="16" t="b">
        <f>IFERROR(__xludf.DUMMYFUNCTION("""COMPUTED_VALUE"""),FALSE)</f>
        <v>0</v>
      </c>
    </row>
    <row r="40">
      <c r="A40" s="16" t="str">
        <f>IFERROR(__xludf.DUMMYFUNCTION("""COMPUTED_VALUE"""),"Bo Staff Of Zhenmay")</f>
        <v>Bo Staff Of Zhenmay</v>
      </c>
      <c r="B40" s="16" t="str">
        <f>IFERROR(__xludf.DUMMYFUNCTION("""COMPUTED_VALUE"""),"Hand")</f>
        <v>Hand</v>
      </c>
      <c r="C40" s="16"/>
      <c r="D40" s="16" t="str">
        <f>IFERROR(__xludf.DUMMYFUNCTION("""COMPUTED_VALUE"""),"Club")</f>
        <v>Club</v>
      </c>
      <c r="E40" s="16">
        <f>IFERROR(__xludf.DUMMYFUNCTION("""COMPUTED_VALUE"""),3000.0)</f>
        <v>3000</v>
      </c>
      <c r="F40" s="108">
        <f>IFERROR(__xludf.DUMMYFUNCTION("""COMPUTED_VALUE"""),4.485E8)</f>
        <v>448500000</v>
      </c>
      <c r="G40" s="16" t="str">
        <f>IFERROR(__xludf.DUMMYFUNCTION("""COMPUTED_VALUE"""),"DMG")</f>
        <v>DMG</v>
      </c>
      <c r="H40" s="119">
        <f>IFERROR(__xludf.DUMMYFUNCTION("""COMPUTED_VALUE"""),100000.0)</f>
        <v>100000</v>
      </c>
      <c r="I40" s="16"/>
      <c r="J40" s="16"/>
      <c r="K40" s="16"/>
      <c r="L40" s="16"/>
      <c r="M40" s="16"/>
      <c r="N40" s="16"/>
      <c r="O40" s="16"/>
      <c r="P40" s="16"/>
      <c r="Q40" s="16"/>
      <c r="R40" s="16"/>
      <c r="S40" s="16"/>
      <c r="T40" s="16"/>
      <c r="U40" s="16"/>
      <c r="V40" s="16"/>
      <c r="W40" s="16"/>
      <c r="X40" s="16"/>
      <c r="Y40" s="16"/>
      <c r="Z40" s="16"/>
      <c r="AA40" s="119">
        <f>IFERROR(__xludf.DUMMYFUNCTION("""COMPUTED_VALUE"""),50000.0)</f>
        <v>50000</v>
      </c>
      <c r="AB40" s="16"/>
      <c r="AC40" s="16"/>
      <c r="AD40" s="16"/>
      <c r="AE40" s="16"/>
      <c r="AF40" s="16" t="str">
        <f>IFERROR(__xludf.DUMMYFUNCTION("""COMPUTED_VALUE"""),"++Blindness 2. ")</f>
        <v>++Blindness 2. </v>
      </c>
      <c r="AG40" s="16" t="str">
        <f>IFERROR(__xludf.DUMMYFUNCTION("""COMPUTED_VALUE"""),"Land of Spira")</f>
        <v>Land of Spira</v>
      </c>
      <c r="AH40" s="16" t="b">
        <f>IFERROR(__xludf.DUMMYFUNCTION("""COMPUTED_VALUE"""),FALSE)</f>
        <v>0</v>
      </c>
    </row>
    <row r="41">
      <c r="A41" s="16" t="str">
        <f>IFERROR(__xludf.DUMMYFUNCTION("""COMPUTED_VALUE"""),"Breezy Clothes")</f>
        <v>Breezy Clothes</v>
      </c>
      <c r="B41" s="16" t="str">
        <f>IFERROR(__xludf.DUMMYFUNCTION("""COMPUTED_VALUE"""),"Torso")</f>
        <v>Torso</v>
      </c>
      <c r="C41" s="16"/>
      <c r="D41" s="16"/>
      <c r="E41" s="16">
        <f>IFERROR(__xludf.DUMMYFUNCTION("""COMPUTED_VALUE"""),1.0)</f>
        <v>1</v>
      </c>
      <c r="F41" s="108">
        <f>IFERROR(__xludf.DUMMYFUNCTION("""COMPUTED_VALUE"""),0.0)</f>
        <v>0</v>
      </c>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t="str">
        <f>IFERROR(__xludf.DUMMYFUNCTION("""COMPUTED_VALUE"""),"++While equipped, Take half damage from fire damage, But decrease water damage you deal by half. ")</f>
        <v>++While equipped, Take half damage from fire damage, But decrease water damage you deal by half. </v>
      </c>
      <c r="AG41" s="16" t="str">
        <f>IFERROR(__xludf.DUMMYFUNCTION("""COMPUTED_VALUE"""),"Land of Spira")</f>
        <v>Land of Spira</v>
      </c>
      <c r="AH41" s="16" t="b">
        <f>IFERROR(__xludf.DUMMYFUNCTION("""COMPUTED_VALUE"""),FALSE)</f>
        <v>0</v>
      </c>
    </row>
    <row r="42">
      <c r="A42" s="16" t="str">
        <f>IFERROR(__xludf.DUMMYFUNCTION("""COMPUTED_VALUE"""),"Bright Flame Sword")</f>
        <v>Bright Flame Sword</v>
      </c>
      <c r="B42" s="16" t="str">
        <f>IFERROR(__xludf.DUMMYFUNCTION("""COMPUTED_VALUE"""),"Hand")</f>
        <v>Hand</v>
      </c>
      <c r="C42" s="16"/>
      <c r="D42" s="16" t="str">
        <f>IFERROR(__xludf.DUMMYFUNCTION("""COMPUTED_VALUE"""),"Sword")</f>
        <v>Sword</v>
      </c>
      <c r="E42" s="16">
        <f>IFERROR(__xludf.DUMMYFUNCTION("""COMPUTED_VALUE"""),300.0)</f>
        <v>300</v>
      </c>
      <c r="F42" s="108">
        <f>IFERROR(__xludf.DUMMYFUNCTION("""COMPUTED_VALUE"""),4350000.0)</f>
        <v>4350000</v>
      </c>
      <c r="G42" s="16" t="str">
        <f>IFERROR(__xludf.DUMMYFUNCTION("""COMPUTED_VALUE"""),"DMG")</f>
        <v>DMG</v>
      </c>
      <c r="H42" s="16">
        <f>IFERROR(__xludf.DUMMYFUNCTION("""COMPUTED_VALUE"""),10000.0)</f>
        <v>10000</v>
      </c>
      <c r="I42" s="16">
        <f>IFERROR(__xludf.DUMMYFUNCTION("""COMPUTED_VALUE"""),5000.0)</f>
        <v>5000</v>
      </c>
      <c r="J42" s="16"/>
      <c r="K42" s="16"/>
      <c r="L42" s="16"/>
      <c r="M42" s="16"/>
      <c r="N42" s="16"/>
      <c r="O42" s="16"/>
      <c r="P42" s="16"/>
      <c r="Q42" s="16"/>
      <c r="R42" s="16"/>
      <c r="S42" s="16"/>
      <c r="T42" s="16"/>
      <c r="U42" s="16"/>
      <c r="V42" s="16"/>
      <c r="W42" s="16"/>
      <c r="X42" s="16"/>
      <c r="Y42" s="16"/>
      <c r="Z42" s="16"/>
      <c r="AA42" s="16"/>
      <c r="AB42" s="16"/>
      <c r="AC42" s="16"/>
      <c r="AD42" s="16"/>
      <c r="AE42" s="16"/>
      <c r="AF42" s="16"/>
      <c r="AG42" s="16" t="str">
        <f>IFERROR(__xludf.DUMMYFUNCTION("""COMPUTED_VALUE"""),"Land of Spira")</f>
        <v>Land of Spira</v>
      </c>
      <c r="AH42" s="16" t="b">
        <f>IFERROR(__xludf.DUMMYFUNCTION("""COMPUTED_VALUE"""),FALSE)</f>
        <v>0</v>
      </c>
    </row>
    <row r="43">
      <c r="A43" s="16" t="str">
        <f>IFERROR(__xludf.DUMMYFUNCTION("""COMPUTED_VALUE"""),"Broken Sword")</f>
        <v>Broken Sword</v>
      </c>
      <c r="B43" s="16" t="str">
        <f>IFERROR(__xludf.DUMMYFUNCTION("""COMPUTED_VALUE"""),"Hand")</f>
        <v>Hand</v>
      </c>
      <c r="C43" s="16"/>
      <c r="D43" s="16" t="str">
        <f>IFERROR(__xludf.DUMMYFUNCTION("""COMPUTED_VALUE"""),"Knife")</f>
        <v>Knife</v>
      </c>
      <c r="E43" s="16">
        <f>IFERROR(__xludf.DUMMYFUNCTION("""COMPUTED_VALUE"""),1.0)</f>
        <v>1</v>
      </c>
      <c r="F43" s="108">
        <f>IFERROR(__xludf.DUMMYFUNCTION("""COMPUTED_VALUE"""),0.0)</f>
        <v>0</v>
      </c>
      <c r="G43" s="16" t="str">
        <f>IFERROR(__xludf.DUMMYFUNCTION("""COMPUTED_VALUE"""),"DMG")</f>
        <v>DMG</v>
      </c>
      <c r="H43" s="16">
        <f>IFERROR(__xludf.DUMMYFUNCTION("""COMPUTED_VALUE"""),1.0)</f>
        <v>1</v>
      </c>
      <c r="I43" s="16"/>
      <c r="J43" s="16"/>
      <c r="K43" s="16"/>
      <c r="L43" s="16"/>
      <c r="M43" s="16"/>
      <c r="N43" s="16"/>
      <c r="O43" s="16"/>
      <c r="P43" s="16"/>
      <c r="Q43" s="16"/>
      <c r="R43" s="16"/>
      <c r="S43" s="16"/>
      <c r="T43" s="16"/>
      <c r="U43" s="16"/>
      <c r="V43" s="16"/>
      <c r="W43" s="16"/>
      <c r="X43" s="16"/>
      <c r="Y43" s="16"/>
      <c r="Z43" s="16"/>
      <c r="AA43" s="16"/>
      <c r="AB43" s="16"/>
      <c r="AC43" s="16"/>
      <c r="AD43" s="16"/>
      <c r="AE43" s="16"/>
      <c r="AF43" s="16" t="str">
        <f>IFERROR(__xludf.DUMMYFUNCTION("""COMPUTED_VALUE"""),"++ -1 evasion")</f>
        <v>++ -1 evasion</v>
      </c>
      <c r="AG43" s="16" t="str">
        <f>IFERROR(__xludf.DUMMYFUNCTION("""COMPUTED_VALUE"""),"Land of Spira")</f>
        <v>Land of Spira</v>
      </c>
      <c r="AH43" s="16" t="b">
        <f>IFERROR(__xludf.DUMMYFUNCTION("""COMPUTED_VALUE"""),FALSE)</f>
        <v>0</v>
      </c>
    </row>
    <row r="44">
      <c r="A44" s="16" t="str">
        <f>IFERROR(__xludf.DUMMYFUNCTION("""COMPUTED_VALUE"""),"Burning Broadsword")</f>
        <v>Burning Broadsword</v>
      </c>
      <c r="B44" s="16" t="str">
        <f>IFERROR(__xludf.DUMMYFUNCTION("""COMPUTED_VALUE"""),"Hand")</f>
        <v>Hand</v>
      </c>
      <c r="C44" s="16"/>
      <c r="D44" s="16" t="str">
        <f>IFERROR(__xludf.DUMMYFUNCTION("""COMPUTED_VALUE"""),"Sword")</f>
        <v>Sword</v>
      </c>
      <c r="E44" s="16">
        <f>IFERROR(__xludf.DUMMYFUNCTION("""COMPUTED_VALUE"""),200.0)</f>
        <v>200</v>
      </c>
      <c r="F44" s="108">
        <f>IFERROR(__xludf.DUMMYFUNCTION("""COMPUTED_VALUE"""),1900000.0)</f>
        <v>1900000</v>
      </c>
      <c r="G44" s="16" t="str">
        <f>IFERROR(__xludf.DUMMYFUNCTION("""COMPUTED_VALUE"""),"DMG")</f>
        <v>DMG</v>
      </c>
      <c r="H44" s="16">
        <f>IFERROR(__xludf.DUMMYFUNCTION("""COMPUTED_VALUE"""),5000.0)</f>
        <v>5000</v>
      </c>
      <c r="I44" s="16">
        <f>IFERROR(__xludf.DUMMYFUNCTION("""COMPUTED_VALUE"""),5000.0)</f>
        <v>5000</v>
      </c>
      <c r="J44" s="16"/>
      <c r="K44" s="16"/>
      <c r="L44" s="16"/>
      <c r="M44" s="16"/>
      <c r="N44" s="16"/>
      <c r="O44" s="16"/>
      <c r="P44" s="16"/>
      <c r="Q44" s="16"/>
      <c r="R44" s="16"/>
      <c r="S44" s="16"/>
      <c r="T44" s="16"/>
      <c r="U44" s="16"/>
      <c r="V44" s="16"/>
      <c r="W44" s="16"/>
      <c r="X44" s="16"/>
      <c r="Y44" s="16"/>
      <c r="Z44" s="16"/>
      <c r="AA44" s="16"/>
      <c r="AB44" s="16"/>
      <c r="AC44" s="16"/>
      <c r="AD44" s="16"/>
      <c r="AE44" s="16"/>
      <c r="AF44" s="16" t="str">
        <f>IFERROR(__xludf.DUMMYFUNCTION("""COMPUTED_VALUE"""),"++10,000 fire damage per round for 3 rounds.")</f>
        <v>++10,000 fire damage per round for 3 rounds.</v>
      </c>
      <c r="AG44" s="16" t="str">
        <f>IFERROR(__xludf.DUMMYFUNCTION("""COMPUTED_VALUE"""),"Land of Spira")</f>
        <v>Land of Spira</v>
      </c>
      <c r="AH44" s="16" t="b">
        <f>IFERROR(__xludf.DUMMYFUNCTION("""COMPUTED_VALUE"""),FALSE)</f>
        <v>0</v>
      </c>
    </row>
    <row r="45">
      <c r="A45" s="16" t="str">
        <f>IFERROR(__xludf.DUMMYFUNCTION("""COMPUTED_VALUE"""),"Candy Corn Necklace")</f>
        <v>Candy Corn Necklace</v>
      </c>
      <c r="B45" s="16" t="str">
        <f>IFERROR(__xludf.DUMMYFUNCTION("""COMPUTED_VALUE"""),"Neck")</f>
        <v>Neck</v>
      </c>
      <c r="C45" s="16" t="str">
        <f>IFERROR(__xludf.DUMMYFUNCTION("""COMPUTED_VALUE"""),"Halloween Exclusive")</f>
        <v>Halloween Exclusive</v>
      </c>
      <c r="D45" s="16"/>
      <c r="E45" s="16">
        <f>IFERROR(__xludf.DUMMYFUNCTION("""COMPUTED_VALUE"""),1.0)</f>
        <v>1</v>
      </c>
      <c r="F45" s="108">
        <f>IFERROR(__xludf.DUMMYFUNCTION("""COMPUTED_VALUE"""),0.0)</f>
        <v>0</v>
      </c>
      <c r="G45" s="16"/>
      <c r="H45" s="16"/>
      <c r="I45" s="16"/>
      <c r="J45" s="16"/>
      <c r="K45" s="16"/>
      <c r="L45" s="16"/>
      <c r="M45" s="16"/>
      <c r="N45" s="16"/>
      <c r="O45" s="16"/>
      <c r="P45" s="16"/>
      <c r="Q45" s="16"/>
      <c r="R45" s="16"/>
      <c r="S45" s="16"/>
      <c r="T45" s="16"/>
      <c r="U45" s="16"/>
      <c r="V45" s="16"/>
      <c r="W45" s="16"/>
      <c r="X45" s="16"/>
      <c r="Y45" s="16"/>
      <c r="Z45" s="16"/>
      <c r="AA45" s="16"/>
      <c r="AB45" s="16"/>
      <c r="AC45" s="16"/>
      <c r="AD45" s="16"/>
      <c r="AE45" s="16"/>
      <c r="AF45" s="16" t="str">
        <f>IFERROR(__xludf.DUMMYFUNCTION("""COMPUTED_VALUE"""),"++Gives Immunity to Dark and Chaos Damage, ++ +2 Intimidation.")</f>
        <v>++Gives Immunity to Dark and Chaos Damage, ++ +2 Intimidation.</v>
      </c>
      <c r="AG45" s="16" t="str">
        <f>IFERROR(__xludf.DUMMYFUNCTION("""COMPUTED_VALUE"""),"Halloween Kingdom")</f>
        <v>Halloween Kingdom</v>
      </c>
      <c r="AH45" s="16" t="b">
        <f>IFERROR(__xludf.DUMMYFUNCTION("""COMPUTED_VALUE"""),FALSE)</f>
        <v>0</v>
      </c>
    </row>
    <row r="46">
      <c r="A46" s="16" t="str">
        <f>IFERROR(__xludf.DUMMYFUNCTION("""COMPUTED_VALUE"""),"Candy Corn Rifle")</f>
        <v>Candy Corn Rifle</v>
      </c>
      <c r="B46" s="16" t="str">
        <f>IFERROR(__xludf.DUMMYFUNCTION("""COMPUTED_VALUE"""),"Hand")</f>
        <v>Hand</v>
      </c>
      <c r="C46" s="16" t="str">
        <f>IFERROR(__xludf.DUMMYFUNCTION("""COMPUTED_VALUE"""),"Halloween Exclusive")</f>
        <v>Halloween Exclusive</v>
      </c>
      <c r="D46" s="16" t="str">
        <f>IFERROR(__xludf.DUMMYFUNCTION("""COMPUTED_VALUE"""),"Firearm")</f>
        <v>Firearm</v>
      </c>
      <c r="E46" s="16">
        <f>IFERROR(__xludf.DUMMYFUNCTION("""COMPUTED_VALUE"""),200.0)</f>
        <v>200</v>
      </c>
      <c r="F46" s="108">
        <f>IFERROR(__xludf.DUMMYFUNCTION("""COMPUTED_VALUE"""),1.272E8)</f>
        <v>127200000</v>
      </c>
      <c r="G46" s="16" t="str">
        <f>IFERROR(__xludf.DUMMYFUNCTION("""COMPUTED_VALUE"""),"DMG")</f>
        <v>DMG</v>
      </c>
      <c r="H46" s="119">
        <f>IFERROR(__xludf.DUMMYFUNCTION("""COMPUTED_VALUE"""),10000.0)</f>
        <v>10000</v>
      </c>
      <c r="I46" s="119">
        <f>IFERROR(__xludf.DUMMYFUNCTION("""COMPUTED_VALUE"""),10000.0)</f>
        <v>10000</v>
      </c>
      <c r="J46" s="16"/>
      <c r="K46" s="16"/>
      <c r="L46" s="16"/>
      <c r="M46" s="16"/>
      <c r="N46" s="16"/>
      <c r="O46" s="119">
        <f>IFERROR(__xludf.DUMMYFUNCTION("""COMPUTED_VALUE"""),10000.0)</f>
        <v>10000</v>
      </c>
      <c r="P46" s="119">
        <f>IFERROR(__xludf.DUMMYFUNCTION("""COMPUTED_VALUE"""),10000.0)</f>
        <v>10000</v>
      </c>
      <c r="Q46" s="16"/>
      <c r="R46" s="119">
        <f>IFERROR(__xludf.DUMMYFUNCTION("""COMPUTED_VALUE"""),10000.0)</f>
        <v>10000</v>
      </c>
      <c r="S46" s="16"/>
      <c r="T46" s="16"/>
      <c r="U46" s="16"/>
      <c r="V46" s="16"/>
      <c r="W46" s="16"/>
      <c r="X46" s="119">
        <f>IFERROR(__xludf.DUMMYFUNCTION("""COMPUTED_VALUE"""),10000.0)</f>
        <v>10000</v>
      </c>
      <c r="Y46" s="119">
        <f>IFERROR(__xludf.DUMMYFUNCTION("""COMPUTED_VALUE"""),10000.0)</f>
        <v>10000</v>
      </c>
      <c r="Z46" s="16"/>
      <c r="AA46" s="16"/>
      <c r="AB46" s="16"/>
      <c r="AC46" s="119">
        <f>IFERROR(__xludf.DUMMYFUNCTION("""COMPUTED_VALUE"""),10000.0)</f>
        <v>10000</v>
      </c>
      <c r="AD46" s="16"/>
      <c r="AE46" s="16"/>
      <c r="AF46" s="16" t="str">
        <f>IFERROR(__xludf.DUMMYFUNCTION("""COMPUTED_VALUE"""),"++Uses Candy Corn as Ammunition. ++Can use mobility when attacking with this weapon. +-Cannot be forged or duplicated. ")</f>
        <v>++Uses Candy Corn as Ammunition. ++Can use mobility when attacking with this weapon. +-Cannot be forged or duplicated. </v>
      </c>
      <c r="AG46" s="16" t="str">
        <f>IFERROR(__xludf.DUMMYFUNCTION("""COMPUTED_VALUE"""),"Halloween Kingdom")</f>
        <v>Halloween Kingdom</v>
      </c>
      <c r="AH46" s="16" t="b">
        <f>IFERROR(__xludf.DUMMYFUNCTION("""COMPUTED_VALUE"""),FALSE)</f>
        <v>0</v>
      </c>
    </row>
    <row r="47">
      <c r="A47" s="16" t="str">
        <f>IFERROR(__xludf.DUMMYFUNCTION("""COMPUTED_VALUE"""),"Cap of Metal Harmony's")</f>
        <v>Cap of Metal Harmony's</v>
      </c>
      <c r="B47" s="16" t="str">
        <f>IFERROR(__xludf.DUMMYFUNCTION("""COMPUTED_VALUE"""),"Head")</f>
        <v>Head</v>
      </c>
      <c r="C47" s="16"/>
      <c r="D47" s="16"/>
      <c r="E47" s="16">
        <f>IFERROR(__xludf.DUMMYFUNCTION("""COMPUTED_VALUE"""),200.0)</f>
        <v>200</v>
      </c>
      <c r="F47" s="108">
        <f>IFERROR(__xludf.DUMMYFUNCTION("""COMPUTED_VALUE"""),1900000.0)</f>
        <v>1900000</v>
      </c>
      <c r="G47" s="16" t="str">
        <f>IFERROR(__xludf.DUMMYFUNCTION("""COMPUTED_VALUE"""),"DEF")</f>
        <v>DEF</v>
      </c>
      <c r="H47" s="119">
        <f>IFERROR(__xludf.DUMMYFUNCTION("""COMPUTED_VALUE"""),10000.0)</f>
        <v>10000</v>
      </c>
      <c r="I47" s="16"/>
      <c r="J47" s="16"/>
      <c r="K47" s="16"/>
      <c r="L47" s="16"/>
      <c r="M47" s="16"/>
      <c r="N47" s="16"/>
      <c r="O47" s="16"/>
      <c r="P47" s="16"/>
      <c r="Q47" s="16"/>
      <c r="R47" s="16"/>
      <c r="S47" s="16"/>
      <c r="T47" s="16"/>
      <c r="U47" s="16"/>
      <c r="V47" s="16"/>
      <c r="W47" s="16"/>
      <c r="X47" s="16"/>
      <c r="Y47" s="16"/>
      <c r="Z47" s="16"/>
      <c r="AA47" s="16"/>
      <c r="AB47" s="16"/>
      <c r="AC47" s="16"/>
      <c r="AD47" s="16"/>
      <c r="AE47" s="16"/>
      <c r="AF47" s="16" t="str">
        <f>IFERROR(__xludf.DUMMYFUNCTION("""COMPUTED_VALUE"""),"++Half the SP cost for Fire, Water, Storm, Earth, and Nature spells.")</f>
        <v>++Half the SP cost for Fire, Water, Storm, Earth, and Nature spells.</v>
      </c>
      <c r="AG47" s="16" t="str">
        <f>IFERROR(__xludf.DUMMYFUNCTION("""COMPUTED_VALUE"""),"Land of Spira")</f>
        <v>Land of Spira</v>
      </c>
      <c r="AH47" s="16" t="b">
        <f>IFERROR(__xludf.DUMMYFUNCTION("""COMPUTED_VALUE"""),FALSE)</f>
        <v>0</v>
      </c>
    </row>
    <row r="48">
      <c r="A48" s="16" t="str">
        <f>IFERROR(__xludf.DUMMYFUNCTION("""COMPUTED_VALUE"""),"Celestian Royal Shield")</f>
        <v>Celestian Royal Shield</v>
      </c>
      <c r="B48" s="16" t="str">
        <f>IFERROR(__xludf.DUMMYFUNCTION("""COMPUTED_VALUE"""),"Hand")</f>
        <v>Hand</v>
      </c>
      <c r="C48" s="16" t="str">
        <f>IFERROR(__xludf.DUMMYFUNCTION("""COMPUTED_VALUE"""),"Quest Item")</f>
        <v>Quest Item</v>
      </c>
      <c r="D48" s="16" t="str">
        <f>IFERROR(__xludf.DUMMYFUNCTION("""COMPUTED_VALUE"""),"Towershield")</f>
        <v>Towershield</v>
      </c>
      <c r="E48" s="16">
        <f>IFERROR(__xludf.DUMMYFUNCTION("""COMPUTED_VALUE"""),200.0)</f>
        <v>200</v>
      </c>
      <c r="F48" s="108">
        <f>IFERROR(__xludf.DUMMYFUNCTION("""COMPUTED_VALUE"""),3.196E9)</f>
        <v>3196000000</v>
      </c>
      <c r="G48" s="16" t="str">
        <f>IFERROR(__xludf.DUMMYFUNCTION("""COMPUTED_VALUE"""),"DEF")</f>
        <v>DEF</v>
      </c>
      <c r="H48" s="119">
        <f>IFERROR(__xludf.DUMMYFUNCTION("""COMPUTED_VALUE"""),100000.0)</f>
        <v>100000</v>
      </c>
      <c r="I48" s="16"/>
      <c r="J48" s="16"/>
      <c r="K48" s="16"/>
      <c r="L48" s="16"/>
      <c r="M48" s="16"/>
      <c r="N48" s="119">
        <f>IFERROR(__xludf.DUMMYFUNCTION("""COMPUTED_VALUE"""),100000.0)</f>
        <v>100000</v>
      </c>
      <c r="O48" s="119">
        <f>IFERROR(__xludf.DUMMYFUNCTION("""COMPUTED_VALUE"""),100000.0)</f>
        <v>100000</v>
      </c>
      <c r="P48" s="16"/>
      <c r="Q48" s="16"/>
      <c r="R48" s="16"/>
      <c r="S48" s="16"/>
      <c r="T48" s="16"/>
      <c r="U48" s="16"/>
      <c r="V48" s="16"/>
      <c r="W48" s="16"/>
      <c r="X48" s="16"/>
      <c r="Y48" s="16"/>
      <c r="Z48" s="16"/>
      <c r="AA48" s="16"/>
      <c r="AB48" s="16"/>
      <c r="AC48" s="119">
        <f>IFERROR(__xludf.DUMMYFUNCTION("""COMPUTED_VALUE"""),100000.0)</f>
        <v>100000</v>
      </c>
      <c r="AD48" s="16"/>
      <c r="AE48" s="16"/>
      <c r="AF48" s="16" t="str">
        <f>IFERROR(__xludf.DUMMYFUNCTION("""COMPUTED_VALUE"""),"++Royal Protection: Immunity to Celestial. +-Cannot be forged or duplicated.")</f>
        <v>++Royal Protection: Immunity to Celestial. +-Cannot be forged or duplicated.</v>
      </c>
      <c r="AG48" s="16" t="str">
        <f>IFERROR(__xludf.DUMMYFUNCTION("""COMPUTED_VALUE"""),"Land of Spira")</f>
        <v>Land of Spira</v>
      </c>
      <c r="AH48" s="16" t="b">
        <f>IFERROR(__xludf.DUMMYFUNCTION("""COMPUTED_VALUE"""),FALSE)</f>
        <v>0</v>
      </c>
    </row>
    <row r="49">
      <c r="A49" s="16" t="str">
        <f>IFERROR(__xludf.DUMMYFUNCTION("""COMPUTED_VALUE"""),"Celestian Royal Sword")</f>
        <v>Celestian Royal Sword</v>
      </c>
      <c r="B49" s="16" t="str">
        <f>IFERROR(__xludf.DUMMYFUNCTION("""COMPUTED_VALUE"""),"Hand")</f>
        <v>Hand</v>
      </c>
      <c r="C49" s="16" t="str">
        <f>IFERROR(__xludf.DUMMYFUNCTION("""COMPUTED_VALUE"""),"Quest Item")</f>
        <v>Quest Item</v>
      </c>
      <c r="D49" s="16" t="str">
        <f>IFERROR(__xludf.DUMMYFUNCTION("""COMPUTED_VALUE"""),"Sword")</f>
        <v>Sword</v>
      </c>
      <c r="E49" s="16">
        <f>IFERROR(__xludf.DUMMYFUNCTION("""COMPUTED_VALUE"""),200.0)</f>
        <v>200</v>
      </c>
      <c r="F49" s="108">
        <f>IFERROR(__xludf.DUMMYFUNCTION("""COMPUTED_VALUE"""),3.196E9)</f>
        <v>3196000000</v>
      </c>
      <c r="G49" s="16" t="str">
        <f>IFERROR(__xludf.DUMMYFUNCTION("""COMPUTED_VALUE"""),"DMG")</f>
        <v>DMG</v>
      </c>
      <c r="H49" s="119">
        <f>IFERROR(__xludf.DUMMYFUNCTION("""COMPUTED_VALUE"""),100000.0)</f>
        <v>100000</v>
      </c>
      <c r="I49" s="16"/>
      <c r="J49" s="16"/>
      <c r="K49" s="16"/>
      <c r="L49" s="16"/>
      <c r="M49" s="16"/>
      <c r="N49" s="119">
        <f>IFERROR(__xludf.DUMMYFUNCTION("""COMPUTED_VALUE"""),100000.0)</f>
        <v>100000</v>
      </c>
      <c r="O49" s="119">
        <f>IFERROR(__xludf.DUMMYFUNCTION("""COMPUTED_VALUE"""),100000.0)</f>
        <v>100000</v>
      </c>
      <c r="P49" s="16"/>
      <c r="Q49" s="16"/>
      <c r="R49" s="16"/>
      <c r="S49" s="16"/>
      <c r="T49" s="16"/>
      <c r="U49" s="16"/>
      <c r="V49" s="16"/>
      <c r="W49" s="16"/>
      <c r="X49" s="16"/>
      <c r="Y49" s="16"/>
      <c r="Z49" s="16"/>
      <c r="AA49" s="16"/>
      <c r="AB49" s="16"/>
      <c r="AC49" s="119">
        <f>IFERROR(__xludf.DUMMYFUNCTION("""COMPUTED_VALUE"""),100000.0)</f>
        <v>100000</v>
      </c>
      <c r="AD49" s="16"/>
      <c r="AE49" s="16"/>
      <c r="AF49" s="16" t="str">
        <f>IFERROR(__xludf.DUMMYFUNCTION("""COMPUTED_VALUE"""),"++X8 Celestial Damage. +-Cannot be forged or duplicated.")</f>
        <v>++X8 Celestial Damage. +-Cannot be forged or duplicated.</v>
      </c>
      <c r="AG49" s="16" t="str">
        <f>IFERROR(__xludf.DUMMYFUNCTION("""COMPUTED_VALUE"""),"Land of Spira")</f>
        <v>Land of Spira</v>
      </c>
      <c r="AH49" s="16" t="b">
        <f>IFERROR(__xludf.DUMMYFUNCTION("""COMPUTED_VALUE"""),FALSE)</f>
        <v>0</v>
      </c>
    </row>
    <row r="50">
      <c r="A50" s="16" t="str">
        <f>IFERROR(__xludf.DUMMYFUNCTION("""COMPUTED_VALUE"""),"Chain Link Armor")</f>
        <v>Chain Link Armor</v>
      </c>
      <c r="B50" s="16" t="str">
        <f>IFERROR(__xludf.DUMMYFUNCTION("""COMPUTED_VALUE"""),"Torso")</f>
        <v>Torso</v>
      </c>
      <c r="C50" s="16"/>
      <c r="D50" s="16"/>
      <c r="E50" s="16">
        <f>IFERROR(__xludf.DUMMYFUNCTION("""COMPUTED_VALUE"""),40.0)</f>
        <v>40</v>
      </c>
      <c r="F50" s="108">
        <f>IFERROR(__xludf.DUMMYFUNCTION("""COMPUTED_VALUE"""),60000.0)</f>
        <v>60000</v>
      </c>
      <c r="G50" s="16" t="str">
        <f>IFERROR(__xludf.DUMMYFUNCTION("""COMPUTED_VALUE"""),"DEF")</f>
        <v>DEF</v>
      </c>
      <c r="H50" s="16">
        <f>IFERROR(__xludf.DUMMYFUNCTION("""COMPUTED_VALUE"""),2000.0)</f>
        <v>2000</v>
      </c>
      <c r="I50" s="16"/>
      <c r="J50" s="16"/>
      <c r="K50" s="16"/>
      <c r="L50" s="16"/>
      <c r="M50" s="16"/>
      <c r="N50" s="16"/>
      <c r="O50" s="16"/>
      <c r="P50" s="16"/>
      <c r="Q50" s="16"/>
      <c r="R50" s="16"/>
      <c r="S50" s="16"/>
      <c r="T50" s="16"/>
      <c r="U50" s="16"/>
      <c r="V50" s="16"/>
      <c r="W50" s="16"/>
      <c r="X50" s="16"/>
      <c r="Y50" s="16"/>
      <c r="Z50" s="16"/>
      <c r="AA50" s="16"/>
      <c r="AB50" s="16"/>
      <c r="AC50" s="16"/>
      <c r="AD50" s="16"/>
      <c r="AE50" s="16"/>
      <c r="AF50" s="16" t="str">
        <f>IFERROR(__xludf.DUMMYFUNCTION("""COMPUTED_VALUE"""),"++Wrapped in Chains - When the wearer is attacked with a weapon; 25% chance to make the attacker drop it's weapon.")</f>
        <v>++Wrapped in Chains - When the wearer is attacked with a weapon; 25% chance to make the attacker drop it's weapon.</v>
      </c>
      <c r="AG50" s="16" t="str">
        <f>IFERROR(__xludf.DUMMYFUNCTION("""COMPUTED_VALUE"""),"Land of Spira")</f>
        <v>Land of Spira</v>
      </c>
      <c r="AH50" s="16" t="b">
        <f>IFERROR(__xludf.DUMMYFUNCTION("""COMPUTED_VALUE"""),FALSE)</f>
        <v>0</v>
      </c>
    </row>
    <row r="51">
      <c r="A51" s="16" t="str">
        <f>IFERROR(__xludf.DUMMYFUNCTION("""COMPUTED_VALUE"""),"Chaos Sword")</f>
        <v>Chaos Sword</v>
      </c>
      <c r="B51" s="16" t="str">
        <f>IFERROR(__xludf.DUMMYFUNCTION("""COMPUTED_VALUE"""),"Hand")</f>
        <v>Hand</v>
      </c>
      <c r="C51" s="16"/>
      <c r="D51" s="16" t="str">
        <f>IFERROR(__xludf.DUMMYFUNCTION("""COMPUTED_VALUE"""),"Sword")</f>
        <v>Sword</v>
      </c>
      <c r="E51" s="16">
        <f>IFERROR(__xludf.DUMMYFUNCTION("""COMPUTED_VALUE"""),90.0)</f>
        <v>90</v>
      </c>
      <c r="F51" s="108">
        <f>IFERROR(__xludf.DUMMYFUNCTION("""COMPUTED_VALUE"""),360000.0)</f>
        <v>360000</v>
      </c>
      <c r="G51" s="16" t="str">
        <f>IFERROR(__xludf.DUMMYFUNCTION("""COMPUTED_VALUE"""),"DMG")</f>
        <v>DMG</v>
      </c>
      <c r="H51" s="16">
        <f>IFERROR(__xludf.DUMMYFUNCTION("""COMPUTED_VALUE"""),2500.0)</f>
        <v>2500</v>
      </c>
      <c r="I51" s="16"/>
      <c r="J51" s="16"/>
      <c r="K51" s="16"/>
      <c r="L51" s="16"/>
      <c r="M51" s="16"/>
      <c r="N51" s="16"/>
      <c r="O51" s="16"/>
      <c r="P51" s="16"/>
      <c r="Q51" s="16"/>
      <c r="R51" s="16">
        <f>IFERROR(__xludf.DUMMYFUNCTION("""COMPUTED_VALUE"""),2000.0)</f>
        <v>2000</v>
      </c>
      <c r="S51" s="16"/>
      <c r="T51" s="16"/>
      <c r="U51" s="16"/>
      <c r="V51" s="16"/>
      <c r="W51" s="16"/>
      <c r="X51" s="16"/>
      <c r="Y51" s="16"/>
      <c r="Z51" s="16"/>
      <c r="AA51" s="16"/>
      <c r="AB51" s="16"/>
      <c r="AC51" s="16"/>
      <c r="AD51" s="16"/>
      <c r="AE51" s="16"/>
      <c r="AF51" s="16" t="str">
        <f>IFERROR(__xludf.DUMMYFUNCTION("""COMPUTED_VALUE"""),"++ +2 Intimidation. +-Cannot be duplicated. +-Can only equip one.")</f>
        <v>++ +2 Intimidation. +-Cannot be duplicated. +-Can only equip one.</v>
      </c>
      <c r="AG51" s="16" t="str">
        <f>IFERROR(__xludf.DUMMYFUNCTION("""COMPUTED_VALUE"""),"Land of Spira")</f>
        <v>Land of Spira</v>
      </c>
      <c r="AH51" s="16" t="b">
        <f>IFERROR(__xludf.DUMMYFUNCTION("""COMPUTED_VALUE"""),FALSE)</f>
        <v>0</v>
      </c>
    </row>
    <row r="52">
      <c r="A52" s="16" t="str">
        <f>IFERROR(__xludf.DUMMYFUNCTION("""COMPUTED_VALUE"""),"Chaotic Amulet")</f>
        <v>Chaotic Amulet</v>
      </c>
      <c r="B52" s="16" t="str">
        <f>IFERROR(__xludf.DUMMYFUNCTION("""COMPUTED_VALUE"""),"Neck")</f>
        <v>Neck</v>
      </c>
      <c r="C52" s="16"/>
      <c r="D52" s="16"/>
      <c r="E52" s="16">
        <f>IFERROR(__xludf.DUMMYFUNCTION("""COMPUTED_VALUE"""),1.0)</f>
        <v>1</v>
      </c>
      <c r="F52" s="108">
        <f>IFERROR(__xludf.DUMMYFUNCTION("""COMPUTED_VALUE"""),0.0)</f>
        <v>0</v>
      </c>
      <c r="G52" s="16"/>
      <c r="H52" s="16"/>
      <c r="I52" s="16"/>
      <c r="J52" s="16"/>
      <c r="K52" s="16"/>
      <c r="L52" s="16"/>
      <c r="M52" s="16"/>
      <c r="N52" s="16"/>
      <c r="O52" s="16"/>
      <c r="P52" s="16"/>
      <c r="Q52" s="16"/>
      <c r="R52" s="16"/>
      <c r="S52" s="16"/>
      <c r="T52" s="16"/>
      <c r="U52" s="16"/>
      <c r="V52" s="16"/>
      <c r="W52" s="16"/>
      <c r="X52" s="16"/>
      <c r="Y52" s="16"/>
      <c r="Z52" s="16"/>
      <c r="AA52" s="16"/>
      <c r="AB52" s="16"/>
      <c r="AC52" s="16"/>
      <c r="AD52" s="16"/>
      <c r="AE52" s="16"/>
      <c r="AF52" s="16" t="str">
        <f>IFERROR(__xludf.DUMMYFUNCTION("""COMPUTED_VALUE"""),"++Immunity to all Chaos Dmg, ++Deal 2x more Chaos Dmg.")</f>
        <v>++Immunity to all Chaos Dmg, ++Deal 2x more Chaos Dmg.</v>
      </c>
      <c r="AG52" s="16" t="str">
        <f>IFERROR(__xludf.DUMMYFUNCTION("""COMPUTED_VALUE"""),"Land of The Forgotten")</f>
        <v>Land of The Forgotten</v>
      </c>
      <c r="AH52" s="16" t="b">
        <f>IFERROR(__xludf.DUMMYFUNCTION("""COMPUTED_VALUE"""),FALSE)</f>
        <v>0</v>
      </c>
    </row>
    <row r="53">
      <c r="A53" s="16" t="str">
        <f>IFERROR(__xludf.DUMMYFUNCTION("""COMPUTED_VALUE"""),"Ring")</f>
        <v>Ring</v>
      </c>
      <c r="B53" s="16" t="str">
        <f>IFERROR(__xludf.DUMMYFUNCTION("""COMPUTED_VALUE"""),"Ring")</f>
        <v>Ring</v>
      </c>
      <c r="C53" s="16"/>
      <c r="D53" s="16"/>
      <c r="E53" s="16">
        <f>IFERROR(__xludf.DUMMYFUNCTION("""COMPUTED_VALUE"""),1.0)</f>
        <v>1</v>
      </c>
      <c r="F53" s="108">
        <f>IFERROR(__xludf.DUMMYFUNCTION("""COMPUTED_VALUE"""),0.0)</f>
        <v>0</v>
      </c>
      <c r="G53" s="16" t="str">
        <f>IFERROR(__xludf.DUMMYFUNCTION("""COMPUTED_VALUE"""),"DMG")</f>
        <v>DMG</v>
      </c>
      <c r="H53" s="16"/>
      <c r="I53" s="16"/>
      <c r="J53" s="16"/>
      <c r="K53" s="16"/>
      <c r="L53" s="16"/>
      <c r="M53" s="16"/>
      <c r="N53" s="16"/>
      <c r="O53" s="16"/>
      <c r="P53" s="16"/>
      <c r="Q53" s="16"/>
      <c r="R53" s="16"/>
      <c r="S53" s="16"/>
      <c r="T53" s="16"/>
      <c r="U53" s="16"/>
      <c r="V53" s="16"/>
      <c r="W53" s="16"/>
      <c r="X53" s="16"/>
      <c r="Y53" s="16"/>
      <c r="Z53" s="16"/>
      <c r="AA53" s="16"/>
      <c r="AB53" s="16"/>
      <c r="AC53" s="16"/>
      <c r="AD53" s="16"/>
      <c r="AE53" s="16"/>
      <c r="AF53" s="16" t="str">
        <f>IFERROR(__xludf.DUMMYFUNCTION("""COMPUTED_VALUE"""),"++X2 additional Chaos and Blood damage")</f>
        <v>++X2 additional Chaos and Blood damage</v>
      </c>
      <c r="AG53" s="16" t="str">
        <f>IFERROR(__xludf.DUMMYFUNCTION("""COMPUTED_VALUE"""),"Land of Spira")</f>
        <v>Land of Spira</v>
      </c>
      <c r="AH53" s="16" t="b">
        <f>IFERROR(__xludf.DUMMYFUNCTION("""COMPUTED_VALUE"""),FALSE)</f>
        <v>0</v>
      </c>
    </row>
    <row r="54">
      <c r="A54" s="16" t="str">
        <f>IFERROR(__xludf.DUMMYFUNCTION("""COMPUTED_VALUE"""),"Chaotic Shadow Life Orb")</f>
        <v>Chaotic Shadow Life Orb</v>
      </c>
      <c r="B54" s="16" t="str">
        <f>IFERROR(__xludf.DUMMYFUNCTION("""COMPUTED_VALUE"""),"Hand")</f>
        <v>Hand</v>
      </c>
      <c r="C54" s="16"/>
      <c r="D54" s="16"/>
      <c r="E54" s="16">
        <f>IFERROR(__xludf.DUMMYFUNCTION("""COMPUTED_VALUE"""),1.0)</f>
        <v>1</v>
      </c>
      <c r="F54" s="108">
        <f>IFERROR(__xludf.DUMMYFUNCTION("""COMPUTED_VALUE"""),0.0)</f>
        <v>0</v>
      </c>
      <c r="G54" s="16"/>
      <c r="H54" s="16"/>
      <c r="I54" s="16"/>
      <c r="J54" s="16"/>
      <c r="K54" s="16"/>
      <c r="L54" s="16"/>
      <c r="M54" s="16"/>
      <c r="N54" s="16"/>
      <c r="O54" s="16"/>
      <c r="P54" s="16"/>
      <c r="Q54" s="16"/>
      <c r="R54" s="16"/>
      <c r="S54" s="16"/>
      <c r="T54" s="16"/>
      <c r="U54" s="16"/>
      <c r="V54" s="16"/>
      <c r="W54" s="16"/>
      <c r="X54" s="16"/>
      <c r="Y54" s="16"/>
      <c r="Z54" s="16"/>
      <c r="AA54" s="16"/>
      <c r="AB54" s="16"/>
      <c r="AC54" s="16"/>
      <c r="AD54" s="16"/>
      <c r="AE54" s="16"/>
      <c r="AF54" s="16" t="str">
        <f>IFERROR(__xludf.DUMMYFUNCTION("""COMPUTED_VALUE"""),"++Last Chance - Protected from death once per battle, can only use the effect of ""Last Chance"" once per battle.  +-Can only have one equipped. +- Cannot be duplicated.")</f>
        <v>++Last Chance - Protected from death once per battle, can only use the effect of "Last Chance" once per battle.  +-Can only have one equipped. +- Cannot be duplicated.</v>
      </c>
      <c r="AG54" s="16" t="str">
        <f>IFERROR(__xludf.DUMMYFUNCTION("""COMPUTED_VALUE"""),"Land of Spira")</f>
        <v>Land of Spira</v>
      </c>
      <c r="AH54" s="16" t="b">
        <f>IFERROR(__xludf.DUMMYFUNCTION("""COMPUTED_VALUE"""),FALSE)</f>
        <v>0</v>
      </c>
    </row>
    <row r="55">
      <c r="A55" s="16" t="str">
        <f>IFERROR(__xludf.DUMMYFUNCTION("""COMPUTED_VALUE"""),"Charm of Awaken")</f>
        <v>Charm of Awaken</v>
      </c>
      <c r="B55" s="16" t="str">
        <f>IFERROR(__xludf.DUMMYFUNCTION("""COMPUTED_VALUE"""),"Neck")</f>
        <v>Neck</v>
      </c>
      <c r="C55" s="16"/>
      <c r="D55" s="16"/>
      <c r="E55" s="16">
        <f>IFERROR(__xludf.DUMMYFUNCTION("""COMPUTED_VALUE"""),1.0)</f>
        <v>1</v>
      </c>
      <c r="F55" s="108">
        <f>IFERROR(__xludf.DUMMYFUNCTION("""COMPUTED_VALUE"""),0.0)</f>
        <v>0</v>
      </c>
      <c r="G55" s="16" t="str">
        <f>IFERROR(__xludf.DUMMYFUNCTION("""COMPUTED_VALUE"""),"DMG")</f>
        <v>DMG</v>
      </c>
      <c r="H55" s="16"/>
      <c r="I55" s="16"/>
      <c r="J55" s="16"/>
      <c r="K55" s="16"/>
      <c r="L55" s="16"/>
      <c r="M55" s="16"/>
      <c r="N55" s="16"/>
      <c r="O55" s="16"/>
      <c r="P55" s="16"/>
      <c r="Q55" s="16"/>
      <c r="R55" s="16"/>
      <c r="S55" s="16"/>
      <c r="T55" s="16"/>
      <c r="U55" s="16"/>
      <c r="V55" s="16"/>
      <c r="W55" s="16"/>
      <c r="X55" s="16"/>
      <c r="Y55" s="16"/>
      <c r="Z55" s="16"/>
      <c r="AA55" s="16"/>
      <c r="AB55" s="16"/>
      <c r="AC55" s="16"/>
      <c r="AD55" s="16"/>
      <c r="AE55" s="16"/>
      <c r="AF55" s="16" t="str">
        <f>IFERROR(__xludf.DUMMYFUNCTION("""COMPUTED_VALUE"""),"++Immunity to sleep.")</f>
        <v>++Immunity to sleep.</v>
      </c>
      <c r="AG55" s="16" t="str">
        <f>IFERROR(__xludf.DUMMYFUNCTION("""COMPUTED_VALUE"""),"Abstara")</f>
        <v>Abstara</v>
      </c>
      <c r="AH55" s="16" t="b">
        <f>IFERROR(__xludf.DUMMYFUNCTION("""COMPUTED_VALUE"""),FALSE)</f>
        <v>0</v>
      </c>
    </row>
    <row r="56">
      <c r="A56" s="16" t="str">
        <f>IFERROR(__xludf.DUMMYFUNCTION("""COMPUTED_VALUE"""),"Chestplate of Foul Night")</f>
        <v>Chestplate of Foul Night</v>
      </c>
      <c r="B56" s="16" t="str">
        <f>IFERROR(__xludf.DUMMYFUNCTION("""COMPUTED_VALUE"""),"Torso")</f>
        <v>Torso</v>
      </c>
      <c r="C56" s="16"/>
      <c r="D56" s="16"/>
      <c r="E56" s="16">
        <f>IFERROR(__xludf.DUMMYFUNCTION("""COMPUTED_VALUE"""),200.0)</f>
        <v>200</v>
      </c>
      <c r="F56" s="108">
        <f>IFERROR(__xludf.DUMMYFUNCTION("""COMPUTED_VALUE"""),1900000.0)</f>
        <v>1900000</v>
      </c>
      <c r="G56" s="16" t="str">
        <f>IFERROR(__xludf.DUMMYFUNCTION("""COMPUTED_VALUE"""),"DEF")</f>
        <v>DEF</v>
      </c>
      <c r="H56" s="16">
        <f>IFERROR(__xludf.DUMMYFUNCTION("""COMPUTED_VALUE"""),5000.0)</f>
        <v>5000</v>
      </c>
      <c r="I56" s="16"/>
      <c r="J56" s="16"/>
      <c r="K56" s="16"/>
      <c r="L56" s="16"/>
      <c r="M56" s="16"/>
      <c r="N56" s="16"/>
      <c r="O56" s="16"/>
      <c r="P56" s="16"/>
      <c r="Q56" s="16"/>
      <c r="R56" s="16"/>
      <c r="S56" s="16">
        <f>IFERROR(__xludf.DUMMYFUNCTION("""COMPUTED_VALUE"""),5000.0)</f>
        <v>5000</v>
      </c>
      <c r="T56" s="16"/>
      <c r="U56" s="16"/>
      <c r="V56" s="16"/>
      <c r="W56" s="16"/>
      <c r="X56" s="16"/>
      <c r="Y56" s="16"/>
      <c r="Z56" s="16"/>
      <c r="AA56" s="16"/>
      <c r="AB56" s="16"/>
      <c r="AC56" s="16"/>
      <c r="AD56" s="16"/>
      <c r="AE56" s="16"/>
      <c r="AF56" s="16" t="str">
        <f>IFERROR(__xludf.DUMMYFUNCTION("""COMPUTED_VALUE"""),"(Foul Night Set) ++X2 Nature and Poison damage, ++Poison Immunity.")</f>
        <v>(Foul Night Set) ++X2 Nature and Poison damage, ++Poison Immunity.</v>
      </c>
      <c r="AG56" s="16" t="str">
        <f>IFERROR(__xludf.DUMMYFUNCTION("""COMPUTED_VALUE"""),"Land of Spira")</f>
        <v>Land of Spira</v>
      </c>
      <c r="AH56" s="16" t="b">
        <f>IFERROR(__xludf.DUMMYFUNCTION("""COMPUTED_VALUE"""),FALSE)</f>
        <v>0</v>
      </c>
    </row>
    <row r="57">
      <c r="A57" s="16" t="str">
        <f>IFERROR(__xludf.DUMMYFUNCTION("""COMPUTED_VALUE"""),"Chestplate of Waking Waters")</f>
        <v>Chestplate of Waking Waters</v>
      </c>
      <c r="B57" s="16" t="str">
        <f>IFERROR(__xludf.DUMMYFUNCTION("""COMPUTED_VALUE"""),"Torso")</f>
        <v>Torso</v>
      </c>
      <c r="C57" s="16"/>
      <c r="D57" s="16"/>
      <c r="E57" s="16">
        <f>IFERROR(__xludf.DUMMYFUNCTION("""COMPUTED_VALUE"""),400.0)</f>
        <v>400</v>
      </c>
      <c r="F57" s="108">
        <f>IFERROR(__xludf.DUMMYFUNCTION("""COMPUTED_VALUE"""),7800000.0)</f>
        <v>7800000</v>
      </c>
      <c r="G57" s="16" t="str">
        <f>IFERROR(__xludf.DUMMYFUNCTION("""COMPUTED_VALUE"""),"DEF")</f>
        <v>DEF</v>
      </c>
      <c r="H57" s="119">
        <f>IFERROR(__xludf.DUMMYFUNCTION("""COMPUTED_VALUE"""),10000.0)</f>
        <v>10000</v>
      </c>
      <c r="I57" s="16"/>
      <c r="J57" s="16"/>
      <c r="K57" s="119">
        <f>IFERROR(__xludf.DUMMYFUNCTION("""COMPUTED_VALUE"""),10000.0)</f>
        <v>10000</v>
      </c>
      <c r="L57" s="16"/>
      <c r="M57" s="16"/>
      <c r="N57" s="16"/>
      <c r="O57" s="16"/>
      <c r="P57" s="16"/>
      <c r="Q57" s="16"/>
      <c r="R57" s="16"/>
      <c r="S57" s="16"/>
      <c r="T57" s="16"/>
      <c r="U57" s="16"/>
      <c r="V57" s="16"/>
      <c r="W57" s="16"/>
      <c r="X57" s="16"/>
      <c r="Y57" s="16"/>
      <c r="Z57" s="16"/>
      <c r="AA57" s="16"/>
      <c r="AB57" s="16"/>
      <c r="AC57" s="16"/>
      <c r="AD57" s="16"/>
      <c r="AE57" s="16"/>
      <c r="AF57" s="16" t="str">
        <f>IFERROR(__xludf.DUMMYFUNCTION("""COMPUTED_VALUE"""),"++X4 additional water damage for self.")</f>
        <v>++X4 additional water damage for self.</v>
      </c>
      <c r="AG57" s="16" t="str">
        <f>IFERROR(__xludf.DUMMYFUNCTION("""COMPUTED_VALUE"""),"Land of Spira")</f>
        <v>Land of Spira</v>
      </c>
      <c r="AH57" s="16" t="b">
        <f>IFERROR(__xludf.DUMMYFUNCTION("""COMPUTED_VALUE"""),FALSE)</f>
        <v>0</v>
      </c>
    </row>
    <row r="58">
      <c r="A58" s="16" t="str">
        <f>IFERROR(__xludf.DUMMYFUNCTION("""COMPUTED_VALUE"""),"Cloth Cap")</f>
        <v>Cloth Cap</v>
      </c>
      <c r="B58" s="16" t="str">
        <f>IFERROR(__xludf.DUMMYFUNCTION("""COMPUTED_VALUE"""),"Head")</f>
        <v>Head</v>
      </c>
      <c r="C58" s="16"/>
      <c r="D58" s="16"/>
      <c r="E58" s="16">
        <f>IFERROR(__xludf.DUMMYFUNCTION("""COMPUTED_VALUE"""),50.0)</f>
        <v>50</v>
      </c>
      <c r="F58" s="108">
        <f>IFERROR(__xludf.DUMMYFUNCTION("""COMPUTED_VALUE"""),100000.0)</f>
        <v>100000</v>
      </c>
      <c r="G58" s="16" t="str">
        <f>IFERROR(__xludf.DUMMYFUNCTION("""COMPUTED_VALUE"""),"DEF")</f>
        <v>DEF</v>
      </c>
      <c r="H58" s="16">
        <f>IFERROR(__xludf.DUMMYFUNCTION("""COMPUTED_VALUE"""),2500.0)</f>
        <v>2500</v>
      </c>
      <c r="I58" s="16"/>
      <c r="J58" s="16"/>
      <c r="K58" s="16"/>
      <c r="L58" s="16"/>
      <c r="M58" s="16"/>
      <c r="N58" s="16"/>
      <c r="O58" s="16"/>
      <c r="P58" s="16"/>
      <c r="Q58" s="16"/>
      <c r="R58" s="16"/>
      <c r="S58" s="16"/>
      <c r="T58" s="16"/>
      <c r="U58" s="16"/>
      <c r="V58" s="16"/>
      <c r="W58" s="16"/>
      <c r="X58" s="16"/>
      <c r="Y58" s="16"/>
      <c r="Z58" s="16"/>
      <c r="AA58" s="16"/>
      <c r="AB58" s="16"/>
      <c r="AC58" s="16"/>
      <c r="AD58" s="16"/>
      <c r="AE58" s="16"/>
      <c r="AF58" s="16"/>
      <c r="AG58" s="16" t="str">
        <f>IFERROR(__xludf.DUMMYFUNCTION("""COMPUTED_VALUE"""),"Land of Spira")</f>
        <v>Land of Spira</v>
      </c>
      <c r="AH58" s="16" t="b">
        <f>IFERROR(__xludf.DUMMYFUNCTION("""COMPUTED_VALUE"""),FALSE)</f>
        <v>0</v>
      </c>
    </row>
    <row r="59">
      <c r="A59" s="16" t="str">
        <f>IFERROR(__xludf.DUMMYFUNCTION("""COMPUTED_VALUE"""),"Colossus Bone Sword")</f>
        <v>Colossus Bone Sword</v>
      </c>
      <c r="B59" s="16" t="str">
        <f>IFERROR(__xludf.DUMMYFUNCTION("""COMPUTED_VALUE"""),"Hand")</f>
        <v>Hand</v>
      </c>
      <c r="C59" s="16" t="str">
        <f>IFERROR(__xludf.DUMMYFUNCTION("""COMPUTED_VALUE"""),"Mob Exclusive")</f>
        <v>Mob Exclusive</v>
      </c>
      <c r="D59" s="16" t="str">
        <f>IFERROR(__xludf.DUMMYFUNCTION("""COMPUTED_VALUE"""),"Sword")</f>
        <v>Sword</v>
      </c>
      <c r="E59" s="16">
        <f>IFERROR(__xludf.DUMMYFUNCTION("""COMPUTED_VALUE"""),1500.0)</f>
        <v>1500</v>
      </c>
      <c r="F59" s="108">
        <f>IFERROR(__xludf.DUMMYFUNCTION("""COMPUTED_VALUE"""),1.1175E8)</f>
        <v>111750000</v>
      </c>
      <c r="G59" s="16" t="str">
        <f>IFERROR(__xludf.DUMMYFUNCTION("""COMPUTED_VALUE"""),"DMG")</f>
        <v>DMG</v>
      </c>
      <c r="H59" s="16">
        <f>IFERROR(__xludf.DUMMYFUNCTION("""COMPUTED_VALUE"""),25000.0)</f>
        <v>25000</v>
      </c>
      <c r="I59" s="16"/>
      <c r="J59" s="16"/>
      <c r="K59" s="16"/>
      <c r="L59" s="16"/>
      <c r="M59" s="119">
        <f>IFERROR(__xludf.DUMMYFUNCTION("""COMPUTED_VALUE"""),25000.0)</f>
        <v>25000</v>
      </c>
      <c r="N59" s="16"/>
      <c r="O59" s="119">
        <f>IFERROR(__xludf.DUMMYFUNCTION("""COMPUTED_VALUE"""),25000.0)</f>
        <v>25000</v>
      </c>
      <c r="P59" s="16"/>
      <c r="Q59" s="16"/>
      <c r="R59" s="16"/>
      <c r="S59" s="16"/>
      <c r="T59" s="16"/>
      <c r="U59" s="16"/>
      <c r="V59" s="16"/>
      <c r="W59" s="16"/>
      <c r="X59" s="16"/>
      <c r="Y59" s="16"/>
      <c r="Z59" s="16"/>
      <c r="AA59" s="16"/>
      <c r="AB59" s="16"/>
      <c r="AC59" s="16"/>
      <c r="AD59" s="16"/>
      <c r="AE59" s="16"/>
      <c r="AF59" s="16" t="str">
        <f>IFERROR(__xludf.DUMMYFUNCTION("""COMPUTED_VALUE"""),"++X2 additional damage for the user.")</f>
        <v>++X2 additional damage for the user.</v>
      </c>
      <c r="AG59" s="16" t="str">
        <f>IFERROR(__xludf.DUMMYFUNCTION("""COMPUTED_VALUE"""),"Land of Spira")</f>
        <v>Land of Spira</v>
      </c>
      <c r="AH59" s="16" t="b">
        <f>IFERROR(__xludf.DUMMYFUNCTION("""COMPUTED_VALUE"""),FALSE)</f>
        <v>0</v>
      </c>
    </row>
    <row r="60">
      <c r="A60" s="16" t="str">
        <f>IFERROR(__xludf.DUMMYFUNCTION("""COMPUTED_VALUE"""),"Coral Hat")</f>
        <v>Coral Hat</v>
      </c>
      <c r="B60" s="16" t="str">
        <f>IFERROR(__xludf.DUMMYFUNCTION("""COMPUTED_VALUE"""),"Head")</f>
        <v>Head</v>
      </c>
      <c r="C60" s="16"/>
      <c r="D60" s="16"/>
      <c r="E60" s="16">
        <f>IFERROR(__xludf.DUMMYFUNCTION("""COMPUTED_VALUE"""),20.0)</f>
        <v>20</v>
      </c>
      <c r="F60" s="108">
        <f>IFERROR(__xludf.DUMMYFUNCTION("""COMPUTED_VALUE"""),1000.0)</f>
        <v>1000</v>
      </c>
      <c r="G60" s="16" t="str">
        <f>IFERROR(__xludf.DUMMYFUNCTION("""COMPUTED_VALUE"""),"DEF")</f>
        <v>DEF</v>
      </c>
      <c r="H60" s="16">
        <f>IFERROR(__xludf.DUMMYFUNCTION("""COMPUTED_VALUE"""),800.0)</f>
        <v>800</v>
      </c>
      <c r="I60" s="16"/>
      <c r="J60" s="16"/>
      <c r="K60" s="16"/>
      <c r="L60" s="16"/>
      <c r="M60" s="16"/>
      <c r="N60" s="16"/>
      <c r="O60" s="16"/>
      <c r="P60" s="16"/>
      <c r="Q60" s="16"/>
      <c r="R60" s="16"/>
      <c r="S60" s="16"/>
      <c r="T60" s="16"/>
      <c r="U60" s="16"/>
      <c r="V60" s="16"/>
      <c r="W60" s="16"/>
      <c r="X60" s="16"/>
      <c r="Y60" s="16"/>
      <c r="Z60" s="16"/>
      <c r="AA60" s="16"/>
      <c r="AB60" s="16"/>
      <c r="AC60" s="16"/>
      <c r="AD60" s="16"/>
      <c r="AE60" s="16"/>
      <c r="AF60" s="16" t="str">
        <f>IFERROR(__xludf.DUMMYFUNCTION("""COMPUTED_VALUE"""),"++Immunity to water damage.")</f>
        <v>++Immunity to water damage.</v>
      </c>
      <c r="AG60" s="16" t="str">
        <f>IFERROR(__xludf.DUMMYFUNCTION("""COMPUTED_VALUE"""),"Land of Spira")</f>
        <v>Land of Spira</v>
      </c>
      <c r="AH60" s="16" t="b">
        <f>IFERROR(__xludf.DUMMYFUNCTION("""COMPUTED_VALUE"""),FALSE)</f>
        <v>0</v>
      </c>
    </row>
    <row r="61">
      <c r="A61" s="16" t="str">
        <f>IFERROR(__xludf.DUMMYFUNCTION("""COMPUTED_VALUE"""),"Critical Vanish Armor")</f>
        <v>Critical Vanish Armor</v>
      </c>
      <c r="B61" s="16" t="str">
        <f>IFERROR(__xludf.DUMMYFUNCTION("""COMPUTED_VALUE"""),"Torso")</f>
        <v>Torso</v>
      </c>
      <c r="C61" s="16"/>
      <c r="D61" s="16"/>
      <c r="E61" s="16">
        <f>IFERROR(__xludf.DUMMYFUNCTION("""COMPUTED_VALUE"""),10.0)</f>
        <v>10</v>
      </c>
      <c r="F61" s="108">
        <f>IFERROR(__xludf.DUMMYFUNCTION("""COMPUTED_VALUE"""),1000.0)</f>
        <v>1000</v>
      </c>
      <c r="G61" s="16" t="str">
        <f>IFERROR(__xludf.DUMMYFUNCTION("""COMPUTED_VALUE"""),"DEF")</f>
        <v>DEF</v>
      </c>
      <c r="H61" s="16">
        <f>IFERROR(__xludf.DUMMYFUNCTION("""COMPUTED_VALUE"""),500.0)</f>
        <v>500</v>
      </c>
      <c r="I61" s="16"/>
      <c r="J61" s="16"/>
      <c r="K61" s="16"/>
      <c r="L61" s="16"/>
      <c r="M61" s="16"/>
      <c r="N61" s="16"/>
      <c r="O61" s="16"/>
      <c r="P61" s="16"/>
      <c r="Q61" s="16"/>
      <c r="R61" s="16"/>
      <c r="S61" s="16"/>
      <c r="T61" s="16"/>
      <c r="U61" s="16"/>
      <c r="V61" s="16"/>
      <c r="W61" s="16"/>
      <c r="X61" s="16"/>
      <c r="Y61" s="16"/>
      <c r="Z61" s="16"/>
      <c r="AA61" s="16"/>
      <c r="AB61" s="16"/>
      <c r="AC61" s="16"/>
      <c r="AD61" s="16"/>
      <c r="AE61" s="16"/>
      <c r="AF61" s="16" t="str">
        <f>IFERROR(__xludf.DUMMYFUNCTION("""COMPUTED_VALUE"""),"++will negate a critical hit to the wearer")</f>
        <v>++will negate a critical hit to the wearer</v>
      </c>
      <c r="AG61" s="16" t="str">
        <f>IFERROR(__xludf.DUMMYFUNCTION("""COMPUTED_VALUE"""),"Land of Spira")</f>
        <v>Land of Spira</v>
      </c>
      <c r="AH61" s="16" t="b">
        <f>IFERROR(__xludf.DUMMYFUNCTION("""COMPUTED_VALUE"""),FALSE)</f>
        <v>0</v>
      </c>
    </row>
    <row r="62">
      <c r="A62" s="16" t="str">
        <f>IFERROR(__xludf.DUMMYFUNCTION("""COMPUTED_VALUE"""),"Crow Staff")</f>
        <v>Crow Staff</v>
      </c>
      <c r="B62" s="16" t="str">
        <f>IFERROR(__xludf.DUMMYFUNCTION("""COMPUTED_VALUE"""),"Hand")</f>
        <v>Hand</v>
      </c>
      <c r="C62" s="16"/>
      <c r="D62" s="16" t="str">
        <f>IFERROR(__xludf.DUMMYFUNCTION("""COMPUTED_VALUE"""),"Staff")</f>
        <v>Staff</v>
      </c>
      <c r="E62" s="16">
        <f>IFERROR(__xludf.DUMMYFUNCTION("""COMPUTED_VALUE"""),400.0)</f>
        <v>400</v>
      </c>
      <c r="F62" s="108">
        <f>IFERROR(__xludf.DUMMYFUNCTION("""COMPUTED_VALUE"""),7800000.0)</f>
        <v>7800000</v>
      </c>
      <c r="G62" s="16" t="str">
        <f>IFERROR(__xludf.DUMMYFUNCTION("""COMPUTED_VALUE"""),"DMG")</f>
        <v>DMG</v>
      </c>
      <c r="H62" s="16">
        <f>IFERROR(__xludf.DUMMYFUNCTION("""COMPUTED_VALUE"""),10000.0)</f>
        <v>10000</v>
      </c>
      <c r="I62" s="16"/>
      <c r="J62" s="16"/>
      <c r="K62" s="16"/>
      <c r="L62" s="16"/>
      <c r="M62" s="16"/>
      <c r="N62" s="16"/>
      <c r="O62" s="16">
        <f>IFERROR(__xludf.DUMMYFUNCTION("""COMPUTED_VALUE"""),10000.0)</f>
        <v>10000</v>
      </c>
      <c r="P62" s="16"/>
      <c r="Q62" s="16"/>
      <c r="R62" s="16"/>
      <c r="S62" s="16"/>
      <c r="T62" s="16"/>
      <c r="U62" s="16"/>
      <c r="V62" s="16"/>
      <c r="W62" s="16"/>
      <c r="X62" s="16"/>
      <c r="Y62" s="16"/>
      <c r="Z62" s="16"/>
      <c r="AA62" s="16"/>
      <c r="AB62" s="16"/>
      <c r="AC62" s="16"/>
      <c r="AD62" s="16"/>
      <c r="AE62" s="16"/>
      <c r="AF62" s="16" t="str">
        <f>IFERROR(__xludf.DUMMYFUNCTION("""COMPUTED_VALUE"""),"++Swarm: inflicts 10000 bleed to all enemies. +- 300SP")</f>
        <v>++Swarm: inflicts 10000 bleed to all enemies. +- 300SP</v>
      </c>
      <c r="AG62" s="16" t="str">
        <f>IFERROR(__xludf.DUMMYFUNCTION("""COMPUTED_VALUE"""),"Land of Spira")</f>
        <v>Land of Spira</v>
      </c>
      <c r="AH62" s="16" t="b">
        <f>IFERROR(__xludf.DUMMYFUNCTION("""COMPUTED_VALUE"""),FALSE)</f>
        <v>0</v>
      </c>
    </row>
    <row r="63">
      <c r="A63" s="16" t="str">
        <f>IFERROR(__xludf.DUMMYFUNCTION("""COMPUTED_VALUE"""),"Crown of Control")</f>
        <v>Crown of Control</v>
      </c>
      <c r="B63" s="16" t="str">
        <f>IFERROR(__xludf.DUMMYFUNCTION("""COMPUTED_VALUE"""),"Head")</f>
        <v>Head</v>
      </c>
      <c r="C63" s="16"/>
      <c r="D63" s="16"/>
      <c r="E63" s="16">
        <f>IFERROR(__xludf.DUMMYFUNCTION("""COMPUTED_VALUE"""),300.0)</f>
        <v>300</v>
      </c>
      <c r="F63" s="108">
        <f>IFERROR(__xludf.DUMMYFUNCTION("""COMPUTED_VALUE"""),4350000.0)</f>
        <v>4350000</v>
      </c>
      <c r="G63" s="119" t="str">
        <f>IFERROR(__xludf.DUMMYFUNCTION("""COMPUTED_VALUE"""),"DEF")</f>
        <v>DEF</v>
      </c>
      <c r="H63" s="119">
        <f>IFERROR(__xludf.DUMMYFUNCTION("""COMPUTED_VALUE"""),15000.0)</f>
        <v>15000</v>
      </c>
      <c r="I63" s="16"/>
      <c r="J63" s="16"/>
      <c r="K63" s="16"/>
      <c r="L63" s="16"/>
      <c r="M63" s="16"/>
      <c r="N63" s="16"/>
      <c r="O63" s="16"/>
      <c r="P63" s="16"/>
      <c r="Q63" s="16"/>
      <c r="R63" s="16"/>
      <c r="S63" s="16"/>
      <c r="T63" s="16"/>
      <c r="U63" s="16"/>
      <c r="V63" s="16"/>
      <c r="W63" s="16"/>
      <c r="X63" s="16"/>
      <c r="Y63" s="16"/>
      <c r="Z63" s="16"/>
      <c r="AA63" s="16"/>
      <c r="AB63" s="16"/>
      <c r="AC63" s="16"/>
      <c r="AD63" s="16"/>
      <c r="AE63" s="16"/>
      <c r="AF63" s="16" t="str">
        <f>IFERROR(__xludf.DUMMYFUNCTION("""COMPUTED_VALUE"""),"++Select one target and choose an action for them during your turn (This counts as a form of possession) Fail/Succeed. +-Cannot be duplicated. ")</f>
        <v>++Select one target and choose an action for them during your turn (This counts as a form of possession) Fail/Succeed. +-Cannot be duplicated. </v>
      </c>
      <c r="AG63" s="16" t="str">
        <f>IFERROR(__xludf.DUMMYFUNCTION("""COMPUTED_VALUE"""),"Land of The Forgotten")</f>
        <v>Land of The Forgotten</v>
      </c>
      <c r="AH63" s="16" t="b">
        <f>IFERROR(__xludf.DUMMYFUNCTION("""COMPUTED_VALUE"""),FALSE)</f>
        <v>0</v>
      </c>
    </row>
    <row r="64">
      <c r="A64" s="16" t="str">
        <f>IFERROR(__xludf.DUMMYFUNCTION("""COMPUTED_VALUE"""),"Crown of Ice Spears")</f>
        <v>Crown of Ice Spears</v>
      </c>
      <c r="B64" s="16" t="str">
        <f>IFERROR(__xludf.DUMMYFUNCTION("""COMPUTED_VALUE"""),"Head")</f>
        <v>Head</v>
      </c>
      <c r="C64" s="16"/>
      <c r="D64" s="16"/>
      <c r="E64" s="16">
        <f>IFERROR(__xludf.DUMMYFUNCTION("""COMPUTED_VALUE"""),200.0)</f>
        <v>200</v>
      </c>
      <c r="F64" s="108">
        <f>IFERROR(__xludf.DUMMYFUNCTION("""COMPUTED_VALUE"""),1900000.0)</f>
        <v>1900000</v>
      </c>
      <c r="G64" s="16" t="str">
        <f>IFERROR(__xludf.DUMMYFUNCTION("""COMPUTED_VALUE"""),"DEF")</f>
        <v>DEF</v>
      </c>
      <c r="H64" s="119">
        <f>IFERROR(__xludf.DUMMYFUNCTION("""COMPUTED_VALUE"""),10000.0)</f>
        <v>10000</v>
      </c>
      <c r="I64" s="16"/>
      <c r="J64" s="16"/>
      <c r="K64" s="16"/>
      <c r="L64" s="16"/>
      <c r="M64" s="16"/>
      <c r="N64" s="16"/>
      <c r="O64" s="16"/>
      <c r="P64" s="16"/>
      <c r="Q64" s="16"/>
      <c r="R64" s="16"/>
      <c r="S64" s="16"/>
      <c r="T64" s="16"/>
      <c r="U64" s="16"/>
      <c r="V64" s="16"/>
      <c r="W64" s="16"/>
      <c r="X64" s="16"/>
      <c r="Y64" s="16"/>
      <c r="Z64" s="16"/>
      <c r="AA64" s="16"/>
      <c r="AB64" s="16"/>
      <c r="AC64" s="16"/>
      <c r="AD64" s="16"/>
      <c r="AE64" s="16"/>
      <c r="AF64" s="16" t="str">
        <f>IFERROR(__xludf.DUMMYFUNCTION("""COMPUTED_VALUE"""),"(The Frozen Spear Master Set) ++Frost Boost- X2 Storm damage. ++All weapon attacks have a 25% chance to freeze whoever you hit")</f>
        <v>(The Frozen Spear Master Set) ++Frost Boost- X2 Storm damage. ++All weapon attacks have a 25% chance to freeze whoever you hit</v>
      </c>
      <c r="AG64" s="16" t="str">
        <f>IFERROR(__xludf.DUMMYFUNCTION("""COMPUTED_VALUE"""),"Land of Spira")</f>
        <v>Land of Spira</v>
      </c>
      <c r="AH64" s="16" t="b">
        <f>IFERROR(__xludf.DUMMYFUNCTION("""COMPUTED_VALUE"""),FALSE)</f>
        <v>0</v>
      </c>
    </row>
    <row r="65">
      <c r="A65" s="16" t="str">
        <f>IFERROR(__xludf.DUMMYFUNCTION("""COMPUTED_VALUE"""),"Crown of the Forgotten")</f>
        <v>Crown of the Forgotten</v>
      </c>
      <c r="B65" s="16" t="str">
        <f>IFERROR(__xludf.DUMMYFUNCTION("""COMPUTED_VALUE"""),"Head")</f>
        <v>Head</v>
      </c>
      <c r="C65" s="16"/>
      <c r="D65" s="16"/>
      <c r="E65" s="16">
        <f>IFERROR(__xludf.DUMMYFUNCTION("""COMPUTED_VALUE"""),20.0)</f>
        <v>20</v>
      </c>
      <c r="F65" s="108">
        <f>IFERROR(__xludf.DUMMYFUNCTION("""COMPUTED_VALUE"""),10000.0)</f>
        <v>10000</v>
      </c>
      <c r="G65" s="16" t="str">
        <f>IFERROR(__xludf.DUMMYFUNCTION("""COMPUTED_VALUE"""),"DEF")</f>
        <v>DEF</v>
      </c>
      <c r="H65" s="16">
        <f>IFERROR(__xludf.DUMMYFUNCTION("""COMPUTED_VALUE"""),1000.0)</f>
        <v>1000</v>
      </c>
      <c r="I65" s="16"/>
      <c r="J65" s="16"/>
      <c r="K65" s="16"/>
      <c r="L65" s="16"/>
      <c r="M65" s="16"/>
      <c r="N65" s="16"/>
      <c r="O65" s="16"/>
      <c r="P65" s="16"/>
      <c r="Q65" s="16"/>
      <c r="R65" s="16"/>
      <c r="S65" s="16"/>
      <c r="T65" s="16"/>
      <c r="U65" s="16"/>
      <c r="V65" s="16"/>
      <c r="W65" s="16"/>
      <c r="X65" s="16"/>
      <c r="Y65" s="16"/>
      <c r="Z65" s="16"/>
      <c r="AA65" s="16"/>
      <c r="AB65" s="16"/>
      <c r="AC65" s="16"/>
      <c r="AD65" s="16"/>
      <c r="AE65" s="16"/>
      <c r="AF65" s="16" t="str">
        <f>IFERROR(__xludf.DUMMYFUNCTION("""COMPUTED_VALUE"""),"++Immunity to Dark, Chaos, Fire, and Nature damage. ++Only Undead can equip. ++This item effect bypasses the Undead race ability. +-Cannot be duplicated.")</f>
        <v>++Immunity to Dark, Chaos, Fire, and Nature damage. ++Only Undead can equip. ++This item effect bypasses the Undead race ability. +-Cannot be duplicated.</v>
      </c>
      <c r="AG65" s="16" t="str">
        <f>IFERROR(__xludf.DUMMYFUNCTION("""COMPUTED_VALUE"""),"Land of The Forgotten")</f>
        <v>Land of The Forgotten</v>
      </c>
      <c r="AH65" s="16" t="b">
        <f>IFERROR(__xludf.DUMMYFUNCTION("""COMPUTED_VALUE"""),FALSE)</f>
        <v>0</v>
      </c>
    </row>
    <row r="66">
      <c r="A66" s="16" t="str">
        <f>IFERROR(__xludf.DUMMYFUNCTION("""COMPUTED_VALUE"""),"Crown Of The Sea Serpent")</f>
        <v>Crown Of The Sea Serpent</v>
      </c>
      <c r="B66" s="16" t="str">
        <f>IFERROR(__xludf.DUMMYFUNCTION("""COMPUTED_VALUE"""),"Head")</f>
        <v>Head</v>
      </c>
      <c r="C66" s="16"/>
      <c r="D66" s="16"/>
      <c r="E66" s="16">
        <f>IFERROR(__xludf.DUMMYFUNCTION("""COMPUTED_VALUE"""),1.0)</f>
        <v>1</v>
      </c>
      <c r="F66" s="108">
        <f>IFERROR(__xludf.DUMMYFUNCTION("""COMPUTED_VALUE"""),0.0)</f>
        <v>0</v>
      </c>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t="str">
        <f>IFERROR(__xludf.DUMMYFUNCTION("""COMPUTED_VALUE"""),"++X4 additional water damage for the user, ++Water spells cost half sp, +-Cannot be duplicated.")</f>
        <v>++X4 additional water damage for the user, ++Water spells cost half sp, +-Cannot be duplicated.</v>
      </c>
      <c r="AG66" s="16" t="str">
        <f>IFERROR(__xludf.DUMMYFUNCTION("""COMPUTED_VALUE"""),"Land of Spira")</f>
        <v>Land of Spira</v>
      </c>
      <c r="AH66" s="16" t="b">
        <f>IFERROR(__xludf.DUMMYFUNCTION("""COMPUTED_VALUE"""),FALSE)</f>
        <v>0</v>
      </c>
    </row>
    <row r="67">
      <c r="A67" s="16" t="str">
        <f>IFERROR(__xludf.DUMMYFUNCTION("""COMPUTED_VALUE"""),"Crown Of Tritonoch")</f>
        <v>Crown Of Tritonoch</v>
      </c>
      <c r="B67" s="16" t="str">
        <f>IFERROR(__xludf.DUMMYFUNCTION("""COMPUTED_VALUE"""),"Head")</f>
        <v>Head</v>
      </c>
      <c r="C67" s="16"/>
      <c r="D67" s="16"/>
      <c r="E67" s="16">
        <f>IFERROR(__xludf.DUMMYFUNCTION("""COMPUTED_VALUE"""),400.0)</f>
        <v>400</v>
      </c>
      <c r="F67" s="108">
        <f>IFERROR(__xludf.DUMMYFUNCTION("""COMPUTED_VALUE"""),7800000.0)</f>
        <v>7800000</v>
      </c>
      <c r="G67" s="16" t="str">
        <f>IFERROR(__xludf.DUMMYFUNCTION("""COMPUTED_VALUE"""),"DEF")</f>
        <v>DEF</v>
      </c>
      <c r="H67" s="16">
        <f>IFERROR(__xludf.DUMMYFUNCTION("""COMPUTED_VALUE"""),20000.0)</f>
        <v>20000</v>
      </c>
      <c r="I67" s="16"/>
      <c r="J67" s="16"/>
      <c r="K67" s="16"/>
      <c r="L67" s="16"/>
      <c r="M67" s="16"/>
      <c r="N67" s="16"/>
      <c r="O67" s="16"/>
      <c r="P67" s="16"/>
      <c r="Q67" s="16"/>
      <c r="R67" s="16"/>
      <c r="S67" s="16"/>
      <c r="T67" s="16"/>
      <c r="U67" s="16"/>
      <c r="V67" s="16"/>
      <c r="W67" s="16"/>
      <c r="X67" s="16"/>
      <c r="Y67" s="16"/>
      <c r="Z67" s="16"/>
      <c r="AA67" s="16"/>
      <c r="AB67" s="16"/>
      <c r="AC67" s="16"/>
      <c r="AD67" s="16"/>
      <c r="AE67" s="16"/>
      <c r="AF67" s="16" t="str">
        <f>IFERROR(__xludf.DUMMYFUNCTION("""COMPUTED_VALUE"""),"++Waves of Entitlement - x5 additional Water damage")</f>
        <v>++Waves of Entitlement - x5 additional Water damage</v>
      </c>
      <c r="AG67" s="16" t="str">
        <f>IFERROR(__xludf.DUMMYFUNCTION("""COMPUTED_VALUE"""),"Land of Spira")</f>
        <v>Land of Spira</v>
      </c>
      <c r="AH67" s="16" t="b">
        <f>IFERROR(__xludf.DUMMYFUNCTION("""COMPUTED_VALUE"""),FALSE)</f>
        <v>0</v>
      </c>
    </row>
    <row r="68">
      <c r="A68" s="16" t="str">
        <f>IFERROR(__xludf.DUMMYFUNCTION("""COMPUTED_VALUE"""),"Cryogenic Claymore")</f>
        <v>Cryogenic Claymore</v>
      </c>
      <c r="B68" s="16" t="str">
        <f>IFERROR(__xludf.DUMMYFUNCTION("""COMPUTED_VALUE"""),"Hand")</f>
        <v>Hand</v>
      </c>
      <c r="C68" s="16" t="str">
        <f>IFERROR(__xludf.DUMMYFUNCTION("""COMPUTED_VALUE"""),"(The Frozen Blade Master Set)")</f>
        <v>(The Frozen Blade Master Set)</v>
      </c>
      <c r="D68" s="16" t="str">
        <f>IFERROR(__xludf.DUMMYFUNCTION("""COMPUTED_VALUE"""),"Sword")</f>
        <v>Sword</v>
      </c>
      <c r="E68" s="16">
        <f>IFERROR(__xludf.DUMMYFUNCTION("""COMPUTED_VALUE"""),400.0)</f>
        <v>400</v>
      </c>
      <c r="F68" s="108">
        <f>IFERROR(__xludf.DUMMYFUNCTION("""COMPUTED_VALUE"""),7800000.0)</f>
        <v>7800000</v>
      </c>
      <c r="G68" s="16" t="str">
        <f>IFERROR(__xludf.DUMMYFUNCTION("""COMPUTED_VALUE"""),"DMG")</f>
        <v>DMG</v>
      </c>
      <c r="H68" s="119">
        <f>IFERROR(__xludf.DUMMYFUNCTION("""COMPUTED_VALUE"""),10000.0)</f>
        <v>10000</v>
      </c>
      <c r="I68" s="16"/>
      <c r="J68" s="16"/>
      <c r="K68" s="119">
        <f>IFERROR(__xludf.DUMMYFUNCTION("""COMPUTED_VALUE"""),10000.0)</f>
        <v>10000</v>
      </c>
      <c r="L68" s="16"/>
      <c r="M68" s="16"/>
      <c r="N68" s="16"/>
      <c r="O68" s="16"/>
      <c r="P68" s="16"/>
      <c r="Q68" s="16"/>
      <c r="R68" s="16"/>
      <c r="S68" s="16"/>
      <c r="T68" s="16"/>
      <c r="U68" s="16"/>
      <c r="V68" s="16"/>
      <c r="W68" s="16"/>
      <c r="X68" s="16"/>
      <c r="Y68" s="16"/>
      <c r="Z68" s="16"/>
      <c r="AA68" s="16"/>
      <c r="AB68" s="16"/>
      <c r="AC68" s="16"/>
      <c r="AD68" s="16"/>
      <c r="AE68" s="16"/>
      <c r="AF68" s="16" t="str">
        <f>IFERROR(__xludf.DUMMYFUNCTION("""COMPUTED_VALUE"""),"++10% chance to freeze all enemies.")</f>
        <v>++10% chance to freeze all enemies.</v>
      </c>
      <c r="AG68" s="16" t="str">
        <f>IFERROR(__xludf.DUMMYFUNCTION("""COMPUTED_VALUE"""),"Land of Spira")</f>
        <v>Land of Spira</v>
      </c>
      <c r="AH68" s="16" t="b">
        <f>IFERROR(__xludf.DUMMYFUNCTION("""COMPUTED_VALUE"""),FALSE)</f>
        <v>0</v>
      </c>
    </row>
    <row r="69">
      <c r="A69" s="16" t="str">
        <f>IFERROR(__xludf.DUMMYFUNCTION("""COMPUTED_VALUE"""),"Crystal Forged Helmet")</f>
        <v>Crystal Forged Helmet</v>
      </c>
      <c r="B69" s="16" t="str">
        <f>IFERROR(__xludf.DUMMYFUNCTION("""COMPUTED_VALUE"""),"Head")</f>
        <v>Head</v>
      </c>
      <c r="C69" s="16"/>
      <c r="D69" s="16"/>
      <c r="E69" s="16">
        <f>IFERROR(__xludf.DUMMYFUNCTION("""COMPUTED_VALUE"""),200.0)</f>
        <v>200</v>
      </c>
      <c r="F69" s="108">
        <f>IFERROR(__xludf.DUMMYFUNCTION("""COMPUTED_VALUE"""),1900000.0)</f>
        <v>1900000</v>
      </c>
      <c r="G69" s="16" t="str">
        <f>IFERROR(__xludf.DUMMYFUNCTION("""COMPUTED_VALUE"""),"DEF")</f>
        <v>DEF</v>
      </c>
      <c r="H69" s="16">
        <f>IFERROR(__xludf.DUMMYFUNCTION("""COMPUTED_VALUE"""),10000.0)</f>
        <v>10000</v>
      </c>
      <c r="I69" s="16"/>
      <c r="J69" s="16"/>
      <c r="K69" s="16"/>
      <c r="L69" s="16"/>
      <c r="M69" s="16"/>
      <c r="N69" s="16"/>
      <c r="O69" s="16"/>
      <c r="P69" s="16"/>
      <c r="Q69" s="16"/>
      <c r="R69" s="16"/>
      <c r="S69" s="16"/>
      <c r="T69" s="16"/>
      <c r="U69" s="16"/>
      <c r="V69" s="16"/>
      <c r="W69" s="16"/>
      <c r="X69" s="16"/>
      <c r="Y69" s="16"/>
      <c r="Z69" s="16"/>
      <c r="AA69" s="16"/>
      <c r="AB69" s="16"/>
      <c r="AC69" s="16"/>
      <c r="AD69" s="16"/>
      <c r="AE69" s="16"/>
      <c r="AF69" s="16" t="str">
        <f>IFERROR(__xludf.DUMMYFUNCTION("""COMPUTED_VALUE"""),"++When equipped, Gem and Crystal related weapons deal an additional X2 damage for the user.")</f>
        <v>++When equipped, Gem and Crystal related weapons deal an additional X2 damage for the user.</v>
      </c>
      <c r="AG69" s="16" t="str">
        <f>IFERROR(__xludf.DUMMYFUNCTION("""COMPUTED_VALUE"""),"Land of Spira")</f>
        <v>Land of Spira</v>
      </c>
      <c r="AH69" s="16" t="b">
        <f>IFERROR(__xludf.DUMMYFUNCTION("""COMPUTED_VALUE"""),FALSE)</f>
        <v>0</v>
      </c>
    </row>
    <row r="70">
      <c r="A70" s="16" t="str">
        <f>IFERROR(__xludf.DUMMYFUNCTION("""COMPUTED_VALUE"""),"Crystal Forged Axe")</f>
        <v>Crystal Forged Axe</v>
      </c>
      <c r="B70" s="16" t="str">
        <f>IFERROR(__xludf.DUMMYFUNCTION("""COMPUTED_VALUE"""),"Hand")</f>
        <v>Hand</v>
      </c>
      <c r="C70" s="16"/>
      <c r="D70" s="16"/>
      <c r="E70" s="16">
        <f>IFERROR(__xludf.DUMMYFUNCTION("""COMPUTED_VALUE"""),400.0)</f>
        <v>400</v>
      </c>
      <c r="F70" s="108">
        <f>IFERROR(__xludf.DUMMYFUNCTION("""COMPUTED_VALUE"""),7800000.0)</f>
        <v>7800000</v>
      </c>
      <c r="G70" s="16" t="str">
        <f>IFERROR(__xludf.DUMMYFUNCTION("""COMPUTED_VALUE"""),"DMG")</f>
        <v>DMG</v>
      </c>
      <c r="H70" s="119">
        <f>IFERROR(__xludf.DUMMYFUNCTION("""COMPUTED_VALUE"""),10000.0)</f>
        <v>10000</v>
      </c>
      <c r="I70" s="16"/>
      <c r="J70" s="16"/>
      <c r="K70" s="16"/>
      <c r="L70" s="16"/>
      <c r="M70" s="119">
        <f>IFERROR(__xludf.DUMMYFUNCTION("""COMPUTED_VALUE"""),10000.0)</f>
        <v>10000</v>
      </c>
      <c r="N70" s="16"/>
      <c r="O70" s="16"/>
      <c r="P70" s="16"/>
      <c r="Q70" s="16"/>
      <c r="R70" s="16"/>
      <c r="S70" s="16"/>
      <c r="T70" s="16"/>
      <c r="U70" s="16"/>
      <c r="V70" s="16"/>
      <c r="W70" s="16"/>
      <c r="X70" s="16"/>
      <c r="Y70" s="16"/>
      <c r="Z70" s="16"/>
      <c r="AA70" s="16"/>
      <c r="AB70" s="16"/>
      <c r="AC70" s="16"/>
      <c r="AD70" s="16"/>
      <c r="AE70" s="16"/>
      <c r="AF70" s="16" t="str">
        <f>IFERROR(__xludf.DUMMYFUNCTION("""COMPUTED_VALUE"""),"++When equipped, Gem and Crystal related weapons deal an additional X6 damage for the user.")</f>
        <v>++When equipped, Gem and Crystal related weapons deal an additional X6 damage for the user.</v>
      </c>
      <c r="AG70" s="16" t="str">
        <f>IFERROR(__xludf.DUMMYFUNCTION("""COMPUTED_VALUE"""),"Land of Spira")</f>
        <v>Land of Spira</v>
      </c>
      <c r="AH70" s="16" t="b">
        <f>IFERROR(__xludf.DUMMYFUNCTION("""COMPUTED_VALUE"""),FALSE)</f>
        <v>0</v>
      </c>
    </row>
    <row r="71">
      <c r="A71" s="16" t="str">
        <f>IFERROR(__xludf.DUMMYFUNCTION("""COMPUTED_VALUE"""),"Crystal Forged Chestplate")</f>
        <v>Crystal Forged Chestplate</v>
      </c>
      <c r="B71" s="16" t="str">
        <f>IFERROR(__xludf.DUMMYFUNCTION("""COMPUTED_VALUE"""),"Torso")</f>
        <v>Torso</v>
      </c>
      <c r="C71" s="16"/>
      <c r="D71" s="16"/>
      <c r="E71" s="16">
        <f>IFERROR(__xludf.DUMMYFUNCTION("""COMPUTED_VALUE"""),200.0)</f>
        <v>200</v>
      </c>
      <c r="F71" s="108">
        <f>IFERROR(__xludf.DUMMYFUNCTION("""COMPUTED_VALUE"""),1900000.0)</f>
        <v>1900000</v>
      </c>
      <c r="G71" s="16" t="str">
        <f>IFERROR(__xludf.DUMMYFUNCTION("""COMPUTED_VALUE"""),"DEF")</f>
        <v>DEF</v>
      </c>
      <c r="H71" s="119">
        <f>IFERROR(__xludf.DUMMYFUNCTION("""COMPUTED_VALUE"""),5000.0)</f>
        <v>5000</v>
      </c>
      <c r="I71" s="16"/>
      <c r="J71" s="16"/>
      <c r="K71" s="16"/>
      <c r="L71" s="16"/>
      <c r="M71" s="119">
        <f>IFERROR(__xludf.DUMMYFUNCTION("""COMPUTED_VALUE"""),5000.0)</f>
        <v>5000</v>
      </c>
      <c r="N71" s="16"/>
      <c r="O71" s="16"/>
      <c r="P71" s="16"/>
      <c r="Q71" s="16"/>
      <c r="R71" s="16"/>
      <c r="S71" s="16"/>
      <c r="T71" s="16"/>
      <c r="U71" s="16"/>
      <c r="V71" s="16"/>
      <c r="W71" s="16"/>
      <c r="X71" s="16"/>
      <c r="Y71" s="16"/>
      <c r="Z71" s="16"/>
      <c r="AA71" s="16"/>
      <c r="AB71" s="16"/>
      <c r="AC71" s="16"/>
      <c r="AD71" s="16"/>
      <c r="AE71" s="16"/>
      <c r="AF71" s="16" t="str">
        <f>IFERROR(__xludf.DUMMYFUNCTION("""COMPUTED_VALUE"""),"++When equipped, Gem and Crystal related weapons deal an additional X2 damage for the user.")</f>
        <v>++When equipped, Gem and Crystal related weapons deal an additional X2 damage for the user.</v>
      </c>
      <c r="AG71" s="16" t="str">
        <f>IFERROR(__xludf.DUMMYFUNCTION("""COMPUTED_VALUE"""),"Land of Spira")</f>
        <v>Land of Spira</v>
      </c>
      <c r="AH71" s="16" t="b">
        <f>IFERROR(__xludf.DUMMYFUNCTION("""COMPUTED_VALUE"""),FALSE)</f>
        <v>0</v>
      </c>
    </row>
    <row r="72">
      <c r="A72" s="16" t="str">
        <f>IFERROR(__xludf.DUMMYFUNCTION("""COMPUTED_VALUE"""),"Crystal Healing Amulet")</f>
        <v>Crystal Healing Amulet</v>
      </c>
      <c r="B72" s="16" t="str">
        <f>IFERROR(__xludf.DUMMYFUNCTION("""COMPUTED_VALUE"""),"Neck")</f>
        <v>Neck</v>
      </c>
      <c r="C72" s="16"/>
      <c r="D72" s="16"/>
      <c r="E72" s="16">
        <f>IFERROR(__xludf.DUMMYFUNCTION("""COMPUTED_VALUE"""),1.0)</f>
        <v>1</v>
      </c>
      <c r="F72" s="108">
        <f>IFERROR(__xludf.DUMMYFUNCTION("""COMPUTED_VALUE"""),0.0)</f>
        <v>0</v>
      </c>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t="str">
        <f>IFERROR(__xludf.DUMMYFUNCTION("""COMPUTED_VALUE"""),"++Crystal Aura - Protected from death once per battle, can only use the effect of ""Crystal Aura"" once per battle. +-Can only have one equipped.    +-Cannot be duplicated.")</f>
        <v>++Crystal Aura - Protected from death once per battle, can only use the effect of "Crystal Aura" once per battle. +-Can only have one equipped.    +-Cannot be duplicated.</v>
      </c>
      <c r="AG72" s="16" t="str">
        <f>IFERROR(__xludf.DUMMYFUNCTION("""COMPUTED_VALUE"""),"Land of Spira")</f>
        <v>Land of Spira</v>
      </c>
      <c r="AH72" s="16" t="b">
        <f>IFERROR(__xludf.DUMMYFUNCTION("""COMPUTED_VALUE"""),FALSE)</f>
        <v>0</v>
      </c>
    </row>
    <row r="73">
      <c r="A73" s="16" t="str">
        <f>IFERROR(__xludf.DUMMYFUNCTION("""COMPUTED_VALUE"""),"Crystal Longsword")</f>
        <v>Crystal Longsword</v>
      </c>
      <c r="B73" s="16" t="str">
        <f>IFERROR(__xludf.DUMMYFUNCTION("""COMPUTED_VALUE"""),"Hand")</f>
        <v>Hand</v>
      </c>
      <c r="C73" s="16"/>
      <c r="D73" s="16" t="str">
        <f>IFERROR(__xludf.DUMMYFUNCTION("""COMPUTED_VALUE"""),"Sword")</f>
        <v>Sword</v>
      </c>
      <c r="E73" s="16">
        <f>IFERROR(__xludf.DUMMYFUNCTION("""COMPUTED_VALUE"""),200.0)</f>
        <v>200</v>
      </c>
      <c r="F73" s="108">
        <f>IFERROR(__xludf.DUMMYFUNCTION("""COMPUTED_VALUE"""),1900000.0)</f>
        <v>1900000</v>
      </c>
      <c r="G73" s="16" t="str">
        <f>IFERROR(__xludf.DUMMYFUNCTION("""COMPUTED_VALUE"""),"DMG")</f>
        <v>DMG</v>
      </c>
      <c r="H73" s="119">
        <f>IFERROR(__xludf.DUMMYFUNCTION("""COMPUTED_VALUE"""),5000.0)</f>
        <v>5000</v>
      </c>
      <c r="I73" s="16"/>
      <c r="J73" s="16"/>
      <c r="K73" s="16"/>
      <c r="L73" s="16"/>
      <c r="M73" s="119">
        <f>IFERROR(__xludf.DUMMYFUNCTION("""COMPUTED_VALUE"""),5000.0)</f>
        <v>5000</v>
      </c>
      <c r="N73" s="16"/>
      <c r="O73" s="16"/>
      <c r="P73" s="16"/>
      <c r="Q73" s="16"/>
      <c r="R73" s="16"/>
      <c r="S73" s="16"/>
      <c r="T73" s="16"/>
      <c r="U73" s="16"/>
      <c r="V73" s="16"/>
      <c r="W73" s="16"/>
      <c r="X73" s="16"/>
      <c r="Y73" s="16"/>
      <c r="Z73" s="16"/>
      <c r="AA73" s="16"/>
      <c r="AB73" s="16"/>
      <c r="AC73" s="16"/>
      <c r="AD73" s="16"/>
      <c r="AE73" s="16"/>
      <c r="AF73" s="16" t="str">
        <f>IFERROR(__xludf.DUMMYFUNCTION("""COMPUTED_VALUE"""),"++When equipped, Gem and Crystal related weapons deal an additional X4 damage for the user.")</f>
        <v>++When equipped, Gem and Crystal related weapons deal an additional X4 damage for the user.</v>
      </c>
      <c r="AG73" s="16" t="str">
        <f>IFERROR(__xludf.DUMMYFUNCTION("""COMPUTED_VALUE"""),"Land of Spira")</f>
        <v>Land of Spira</v>
      </c>
      <c r="AH73" s="16" t="b">
        <f>IFERROR(__xludf.DUMMYFUNCTION("""COMPUTED_VALUE"""),FALSE)</f>
        <v>0</v>
      </c>
    </row>
    <row r="74">
      <c r="A74" s="16" t="str">
        <f>IFERROR(__xludf.DUMMYFUNCTION("""COMPUTED_VALUE"""),"Crystal Ring")</f>
        <v>Crystal Ring</v>
      </c>
      <c r="B74" s="16" t="str">
        <f>IFERROR(__xludf.DUMMYFUNCTION("""COMPUTED_VALUE"""),"Ring")</f>
        <v>Ring</v>
      </c>
      <c r="C74" s="16"/>
      <c r="D74" s="16"/>
      <c r="E74" s="16">
        <f>IFERROR(__xludf.DUMMYFUNCTION("""COMPUTED_VALUE"""),1.0)</f>
        <v>1</v>
      </c>
      <c r="F74" s="108">
        <f>IFERROR(__xludf.DUMMYFUNCTION("""COMPUTED_VALUE"""),0.0)</f>
        <v>0</v>
      </c>
      <c r="G74" s="16"/>
      <c r="H74" s="16"/>
      <c r="I74" s="16"/>
      <c r="J74" s="16"/>
      <c r="K74" s="16"/>
      <c r="L74" s="16"/>
      <c r="M74" s="16"/>
      <c r="N74" s="16"/>
      <c r="O74" s="16"/>
      <c r="P74" s="16"/>
      <c r="Q74" s="16"/>
      <c r="R74" s="16"/>
      <c r="S74" s="16"/>
      <c r="T74" s="16"/>
      <c r="U74" s="16"/>
      <c r="V74" s="16"/>
      <c r="W74" s="16"/>
      <c r="X74" s="16"/>
      <c r="Y74" s="16"/>
      <c r="Z74" s="16"/>
      <c r="AA74" s="16"/>
      <c r="AB74" s="16"/>
      <c r="AC74" s="16"/>
      <c r="AD74" s="16"/>
      <c r="AE74" s="16"/>
      <c r="AF74" s="16" t="str">
        <f>IFERROR(__xludf.DUMMYFUNCTION("""COMPUTED_VALUE"""),"++When equipped, Gem and Crystal related weapons deal an additional X2 damage for the user.")</f>
        <v>++When equipped, Gem and Crystal related weapons deal an additional X2 damage for the user.</v>
      </c>
      <c r="AG74" s="16" t="str">
        <f>IFERROR(__xludf.DUMMYFUNCTION("""COMPUTED_VALUE"""),"Land of Spira")</f>
        <v>Land of Spira</v>
      </c>
      <c r="AH74" s="16" t="b">
        <f>IFERROR(__xludf.DUMMYFUNCTION("""COMPUTED_VALUE"""),FALSE)</f>
        <v>0</v>
      </c>
    </row>
    <row r="75">
      <c r="A75" s="16" t="str">
        <f>IFERROR(__xludf.DUMMYFUNCTION("""COMPUTED_VALUE"""),"Crystal Shield")</f>
        <v>Crystal Shield</v>
      </c>
      <c r="B75" s="16" t="str">
        <f>IFERROR(__xludf.DUMMYFUNCTION("""COMPUTED_VALUE"""),"Hand")</f>
        <v>Hand</v>
      </c>
      <c r="C75" s="16"/>
      <c r="D75" s="16" t="str">
        <f>IFERROR(__xludf.DUMMYFUNCTION("""COMPUTED_VALUE"""),"Buckler")</f>
        <v>Buckler</v>
      </c>
      <c r="E75" s="16">
        <f>IFERROR(__xludf.DUMMYFUNCTION("""COMPUTED_VALUE"""),200.0)</f>
        <v>200</v>
      </c>
      <c r="F75" s="108">
        <f>IFERROR(__xludf.DUMMYFUNCTION("""COMPUTED_VALUE"""),1900000.0)</f>
        <v>1900000</v>
      </c>
      <c r="G75" s="16" t="str">
        <f>IFERROR(__xludf.DUMMYFUNCTION("""COMPUTED_VALUE"""),"DEF")</f>
        <v>DEF</v>
      </c>
      <c r="H75" s="16">
        <f>IFERROR(__xludf.DUMMYFUNCTION("""COMPUTED_VALUE"""),10000.0)</f>
        <v>10000</v>
      </c>
      <c r="I75" s="16"/>
      <c r="J75" s="16"/>
      <c r="K75" s="16"/>
      <c r="L75" s="16"/>
      <c r="M75" s="16"/>
      <c r="N75" s="16"/>
      <c r="O75" s="16"/>
      <c r="P75" s="16"/>
      <c r="Q75" s="16"/>
      <c r="R75" s="16"/>
      <c r="S75" s="16"/>
      <c r="T75" s="16"/>
      <c r="U75" s="16"/>
      <c r="V75" s="16"/>
      <c r="W75" s="16"/>
      <c r="X75" s="16"/>
      <c r="Y75" s="16"/>
      <c r="Z75" s="16"/>
      <c r="AA75" s="16"/>
      <c r="AB75" s="16"/>
      <c r="AC75" s="16"/>
      <c r="AD75" s="16"/>
      <c r="AE75" s="16"/>
      <c r="AF75" s="16" t="str">
        <f>IFERROR(__xludf.DUMMYFUNCTION("""COMPUTED_VALUE"""),"++Take half damage from Gem and Crystal related weapons.")</f>
        <v>++Take half damage from Gem and Crystal related weapons.</v>
      </c>
      <c r="AG75" s="16" t="str">
        <f>IFERROR(__xludf.DUMMYFUNCTION("""COMPUTED_VALUE"""),"Land of Spira")</f>
        <v>Land of Spira</v>
      </c>
      <c r="AH75" s="16" t="b">
        <f>IFERROR(__xludf.DUMMYFUNCTION("""COMPUTED_VALUE"""),FALSE)</f>
        <v>0</v>
      </c>
    </row>
    <row r="76">
      <c r="A76" s="16" t="str">
        <f>IFERROR(__xludf.DUMMYFUNCTION("""COMPUTED_VALUE"""),"Crystal Staff")</f>
        <v>Crystal Staff</v>
      </c>
      <c r="B76" s="16" t="str">
        <f>IFERROR(__xludf.DUMMYFUNCTION("""COMPUTED_VALUE"""),"Hand")</f>
        <v>Hand</v>
      </c>
      <c r="C76" s="16"/>
      <c r="D76" s="16" t="str">
        <f>IFERROR(__xludf.DUMMYFUNCTION("""COMPUTED_VALUE"""),"Staff")</f>
        <v>Staff</v>
      </c>
      <c r="E76" s="16">
        <f>IFERROR(__xludf.DUMMYFUNCTION("""COMPUTED_VALUE"""),1.0)</f>
        <v>1</v>
      </c>
      <c r="F76" s="108">
        <f>IFERROR(__xludf.DUMMYFUNCTION("""COMPUTED_VALUE"""),0.0)</f>
        <v>0</v>
      </c>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t="str">
        <f>IFERROR(__xludf.DUMMYFUNCTION("""COMPUTED_VALUE"""),"++Creates a Crystal like barrier around you making it so weapons deal no damage to you for 3 rounds, 500SP. ++1000 Additional HP and SP while equipped.")</f>
        <v>++Creates a Crystal like barrier around you making it so weapons deal no damage to you for 3 rounds, 500SP. ++1000 Additional HP and SP while equipped.</v>
      </c>
      <c r="AG76" s="16" t="str">
        <f>IFERROR(__xludf.DUMMYFUNCTION("""COMPUTED_VALUE"""),"Land of Spira")</f>
        <v>Land of Spira</v>
      </c>
      <c r="AH76" s="16" t="b">
        <f>IFERROR(__xludf.DUMMYFUNCTION("""COMPUTED_VALUE"""),FALSE)</f>
        <v>0</v>
      </c>
    </row>
    <row r="77">
      <c r="A77" s="16" t="str">
        <f>IFERROR(__xludf.DUMMYFUNCTION("""COMPUTED_VALUE"""),"Crystal Sword")</f>
        <v>Crystal Sword</v>
      </c>
      <c r="B77" s="16" t="str">
        <f>IFERROR(__xludf.DUMMYFUNCTION("""COMPUTED_VALUE"""),"Hand")</f>
        <v>Hand</v>
      </c>
      <c r="C77" s="16"/>
      <c r="D77" s="16" t="str">
        <f>IFERROR(__xludf.DUMMYFUNCTION("""COMPUTED_VALUE"""),"Sword")</f>
        <v>Sword</v>
      </c>
      <c r="E77" s="16">
        <f>IFERROR(__xludf.DUMMYFUNCTION("""COMPUTED_VALUE"""),80.0)</f>
        <v>80</v>
      </c>
      <c r="F77" s="108">
        <f>IFERROR(__xludf.DUMMYFUNCTION("""COMPUTED_VALUE"""),280000.0)</f>
        <v>280000</v>
      </c>
      <c r="G77" s="16" t="str">
        <f>IFERROR(__xludf.DUMMYFUNCTION("""COMPUTED_VALUE"""),"DMG")</f>
        <v>DMG</v>
      </c>
      <c r="H77" s="16">
        <f>IFERROR(__xludf.DUMMYFUNCTION("""COMPUTED_VALUE"""),2000.0)</f>
        <v>2000</v>
      </c>
      <c r="I77" s="16"/>
      <c r="J77" s="16"/>
      <c r="K77" s="16"/>
      <c r="L77" s="16"/>
      <c r="M77" s="16">
        <f>IFERROR(__xludf.DUMMYFUNCTION("""COMPUTED_VALUE"""),2000.0)</f>
        <v>2000</v>
      </c>
      <c r="N77" s="16"/>
      <c r="O77" s="16"/>
      <c r="P77" s="16"/>
      <c r="Q77" s="16"/>
      <c r="R77" s="16"/>
      <c r="S77" s="16"/>
      <c r="T77" s="16"/>
      <c r="U77" s="16"/>
      <c r="V77" s="16"/>
      <c r="W77" s="16"/>
      <c r="X77" s="16"/>
      <c r="Y77" s="16"/>
      <c r="Z77" s="16"/>
      <c r="AA77" s="16"/>
      <c r="AB77" s="16"/>
      <c r="AC77" s="16"/>
      <c r="AD77" s="16"/>
      <c r="AE77" s="16"/>
      <c r="AF77" s="16" t="str">
        <f>IFERROR(__xludf.DUMMYFUNCTION("""COMPUTED_VALUE"""),"++When equipped, Gem and Crystal related weapons deal an additional X2 damage for the user.")</f>
        <v>++When equipped, Gem and Crystal related weapons deal an additional X2 damage for the user.</v>
      </c>
      <c r="AG77" s="16" t="str">
        <f>IFERROR(__xludf.DUMMYFUNCTION("""COMPUTED_VALUE"""),"Land of Spira")</f>
        <v>Land of Spira</v>
      </c>
      <c r="AH77" s="16" t="b">
        <f>IFERROR(__xludf.DUMMYFUNCTION("""COMPUTED_VALUE"""),FALSE)</f>
        <v>0</v>
      </c>
    </row>
    <row r="78">
      <c r="A78" s="16" t="str">
        <f>IFERROR(__xludf.DUMMYFUNCTION("""COMPUTED_VALUE"""),"Cursed Blade")</f>
        <v>Cursed Blade</v>
      </c>
      <c r="B78" s="16" t="str">
        <f>IFERROR(__xludf.DUMMYFUNCTION("""COMPUTED_VALUE"""),"Hand")</f>
        <v>Hand</v>
      </c>
      <c r="C78" s="16"/>
      <c r="D78" s="16" t="str">
        <f>IFERROR(__xludf.DUMMYFUNCTION("""COMPUTED_VALUE"""),"Sword")</f>
        <v>Sword</v>
      </c>
      <c r="E78" s="16">
        <f>IFERROR(__xludf.DUMMYFUNCTION("""COMPUTED_VALUE"""),620.0)</f>
        <v>620</v>
      </c>
      <c r="F78" s="108">
        <f>IFERROR(__xludf.DUMMYFUNCTION("""COMPUTED_VALUE"""),1.891E7)</f>
        <v>18910000</v>
      </c>
      <c r="G78" s="16" t="str">
        <f>IFERROR(__xludf.DUMMYFUNCTION("""COMPUTED_VALUE"""),"DMG")</f>
        <v>DMG</v>
      </c>
      <c r="H78" s="119">
        <f>IFERROR(__xludf.DUMMYFUNCTION("""COMPUTED_VALUE"""),30000.0)</f>
        <v>30000</v>
      </c>
      <c r="I78" s="16"/>
      <c r="J78" s="16"/>
      <c r="K78" s="16"/>
      <c r="L78" s="16"/>
      <c r="M78" s="16"/>
      <c r="N78" s="16"/>
      <c r="O78" s="16">
        <f>IFERROR(__xludf.DUMMYFUNCTION("""COMPUTED_VALUE"""),1000.0)</f>
        <v>1000</v>
      </c>
      <c r="P78" s="16"/>
      <c r="Q78" s="16"/>
      <c r="R78" s="16"/>
      <c r="S78" s="16"/>
      <c r="T78" s="16"/>
      <c r="U78" s="16"/>
      <c r="V78" s="16"/>
      <c r="W78" s="16"/>
      <c r="X78" s="16"/>
      <c r="Y78" s="16"/>
      <c r="Z78" s="16"/>
      <c r="AA78" s="16"/>
      <c r="AB78" s="16"/>
      <c r="AC78" s="16"/>
      <c r="AD78" s="16"/>
      <c r="AE78" s="16"/>
      <c r="AF78" s="16" t="str">
        <f>IFERROR(__xludf.DUMMYFUNCTION("""COMPUTED_VALUE"""),"+- -5 evasion and mobility while equipped.")</f>
        <v>+- -5 evasion and mobility while equipped.</v>
      </c>
      <c r="AG78" s="16" t="str">
        <f>IFERROR(__xludf.DUMMYFUNCTION("""COMPUTED_VALUE"""),"Land of Spira")</f>
        <v>Land of Spira</v>
      </c>
      <c r="AH78" s="16" t="b">
        <f>IFERROR(__xludf.DUMMYFUNCTION("""COMPUTED_VALUE"""),FALSE)</f>
        <v>0</v>
      </c>
    </row>
    <row r="79">
      <c r="A79" s="16" t="str">
        <f>IFERROR(__xludf.DUMMYFUNCTION("""COMPUTED_VALUE"""),"Cursed Blade of The Void Realm")</f>
        <v>Cursed Blade of The Void Realm</v>
      </c>
      <c r="B79" s="16" t="str">
        <f>IFERROR(__xludf.DUMMYFUNCTION("""COMPUTED_VALUE"""),"Hand")</f>
        <v>Hand</v>
      </c>
      <c r="C79" s="16"/>
      <c r="D79" s="16" t="str">
        <f>IFERROR(__xludf.DUMMYFUNCTION("""COMPUTED_VALUE"""),"Sword")</f>
        <v>Sword</v>
      </c>
      <c r="E79" s="16">
        <f>IFERROR(__xludf.DUMMYFUNCTION("""COMPUTED_VALUE"""),1.0)</f>
        <v>1</v>
      </c>
      <c r="F79" s="108">
        <f>IFERROR(__xludf.DUMMYFUNCTION("""COMPUTED_VALUE"""),0.0)</f>
        <v>0</v>
      </c>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t="str">
        <f>IFERROR(__xludf.DUMMYFUNCTION("""COMPUTED_VALUE"""),"+-When equipped this item cannot be unequipped for 3 rounds, +-Depletes 1000 SP per round.")</f>
        <v>+-When equipped this item cannot be unequipped for 3 rounds, +-Depletes 1000 SP per round.</v>
      </c>
      <c r="AG79" s="16" t="str">
        <f>IFERROR(__xludf.DUMMYFUNCTION("""COMPUTED_VALUE"""),"Land of Spira")</f>
        <v>Land of Spira</v>
      </c>
      <c r="AH79" s="16" t="b">
        <f>IFERROR(__xludf.DUMMYFUNCTION("""COMPUTED_VALUE"""),FALSE)</f>
        <v>0</v>
      </c>
    </row>
    <row r="80">
      <c r="A80" s="16" t="str">
        <f>IFERROR(__xludf.DUMMYFUNCTION("""COMPUTED_VALUE"""),"Dagger")</f>
        <v>Dagger</v>
      </c>
      <c r="B80" s="16" t="str">
        <f>IFERROR(__xludf.DUMMYFUNCTION("""COMPUTED_VALUE"""),"Hand")</f>
        <v>Hand</v>
      </c>
      <c r="C80" s="16" t="str">
        <f>IFERROR(__xludf.DUMMYFUNCTION("""COMPUTED_VALUE"""),"The first weapon ")</f>
        <v>The first weapon </v>
      </c>
      <c r="D80" s="16" t="str">
        <f>IFERROR(__xludf.DUMMYFUNCTION("""COMPUTED_VALUE"""),"Knife")</f>
        <v>Knife</v>
      </c>
      <c r="E80" s="16">
        <f>IFERROR(__xludf.DUMMYFUNCTION("""COMPUTED_VALUE"""),20.0)</f>
        <v>20</v>
      </c>
      <c r="F80" s="108">
        <f>IFERROR(__xludf.DUMMYFUNCTION("""COMPUTED_VALUE"""),10000.0)</f>
        <v>10000</v>
      </c>
      <c r="G80" s="16" t="str">
        <f>IFERROR(__xludf.DUMMYFUNCTION("""COMPUTED_VALUE"""),"DMG")</f>
        <v>DMG</v>
      </c>
      <c r="H80" s="16">
        <f>IFERROR(__xludf.DUMMYFUNCTION("""COMPUTED_VALUE"""),1000.0)</f>
        <v>1000</v>
      </c>
      <c r="I80" s="16"/>
      <c r="J80" s="16"/>
      <c r="K80" s="16"/>
      <c r="L80" s="16"/>
      <c r="M80" s="16"/>
      <c r="N80" s="16"/>
      <c r="O80" s="16"/>
      <c r="P80" s="16"/>
      <c r="Q80" s="16"/>
      <c r="R80" s="16"/>
      <c r="S80" s="16"/>
      <c r="T80" s="16"/>
      <c r="U80" s="16"/>
      <c r="V80" s="16"/>
      <c r="W80" s="16"/>
      <c r="X80" s="16"/>
      <c r="Y80" s="16"/>
      <c r="Z80" s="16"/>
      <c r="AA80" s="16"/>
      <c r="AB80" s="16"/>
      <c r="AC80" s="16"/>
      <c r="AD80" s="16"/>
      <c r="AE80" s="16"/>
      <c r="AF80" s="16"/>
      <c r="AG80" s="16" t="str">
        <f>IFERROR(__xludf.DUMMYFUNCTION("""COMPUTED_VALUE"""),"Land of Spira")</f>
        <v>Land of Spira</v>
      </c>
      <c r="AH80" s="16" t="b">
        <f>IFERROR(__xludf.DUMMYFUNCTION("""COMPUTED_VALUE"""),FALSE)</f>
        <v>0</v>
      </c>
    </row>
    <row r="81">
      <c r="A81" s="16" t="str">
        <f>IFERROR(__xludf.DUMMYFUNCTION("""COMPUTED_VALUE"""),"Dagger of Flowers")</f>
        <v>Dagger of Flowers</v>
      </c>
      <c r="B81" s="16" t="str">
        <f>IFERROR(__xludf.DUMMYFUNCTION("""COMPUTED_VALUE"""),"Hand")</f>
        <v>Hand</v>
      </c>
      <c r="C81" s="16" t="str">
        <f>IFERROR(__xludf.DUMMYFUNCTION("""COMPUTED_VALUE"""),"(Event Exclusive)")</f>
        <v>(Event Exclusive)</v>
      </c>
      <c r="D81" s="16" t="str">
        <f>IFERROR(__xludf.DUMMYFUNCTION("""COMPUTED_VALUE"""),"Knife")</f>
        <v>Knife</v>
      </c>
      <c r="E81" s="16">
        <f>IFERROR(__xludf.DUMMYFUNCTION("""COMPUTED_VALUE"""),90.0)</f>
        <v>90</v>
      </c>
      <c r="F81" s="108">
        <f>IFERROR(__xludf.DUMMYFUNCTION("""COMPUTED_VALUE"""),360000.0)</f>
        <v>360000</v>
      </c>
      <c r="G81" s="16" t="str">
        <f>IFERROR(__xludf.DUMMYFUNCTION("""COMPUTED_VALUE"""),"DMG")</f>
        <v>DMG</v>
      </c>
      <c r="H81" s="16">
        <f>IFERROR(__xludf.DUMMYFUNCTION("""COMPUTED_VALUE"""),3000.0)</f>
        <v>3000</v>
      </c>
      <c r="I81" s="16"/>
      <c r="J81" s="16"/>
      <c r="K81" s="16"/>
      <c r="L81" s="16"/>
      <c r="M81" s="16"/>
      <c r="N81" s="16"/>
      <c r="O81" s="16"/>
      <c r="P81" s="16"/>
      <c r="Q81" s="16"/>
      <c r="R81" s="16"/>
      <c r="S81" s="16">
        <f>IFERROR(__xludf.DUMMYFUNCTION("""COMPUTED_VALUE"""),1500.0)</f>
        <v>1500</v>
      </c>
      <c r="T81" s="16"/>
      <c r="U81" s="16"/>
      <c r="V81" s="16"/>
      <c r="W81" s="16"/>
      <c r="X81" s="16"/>
      <c r="Y81" s="16"/>
      <c r="Z81" s="16"/>
      <c r="AA81" s="16"/>
      <c r="AB81" s="16"/>
      <c r="AC81" s="16"/>
      <c r="AD81" s="16"/>
      <c r="AE81" s="16"/>
      <c r="AF81" s="16"/>
      <c r="AG81" s="16" t="str">
        <f>IFERROR(__xludf.DUMMYFUNCTION("""COMPUTED_VALUE"""),"Land of Spira")</f>
        <v>Land of Spira</v>
      </c>
      <c r="AH81" s="16" t="b">
        <f>IFERROR(__xludf.DUMMYFUNCTION("""COMPUTED_VALUE"""),TRUE)</f>
        <v>1</v>
      </c>
    </row>
    <row r="82">
      <c r="A82" s="16" t="str">
        <f>IFERROR(__xludf.DUMMYFUNCTION("""COMPUTED_VALUE"""),"Dagger of The Cultist")</f>
        <v>Dagger of The Cultist</v>
      </c>
      <c r="B82" s="16" t="str">
        <f>IFERROR(__xludf.DUMMYFUNCTION("""COMPUTED_VALUE"""),"Hand")</f>
        <v>Hand</v>
      </c>
      <c r="C82" s="16"/>
      <c r="D82" s="16" t="str">
        <f>IFERROR(__xludf.DUMMYFUNCTION("""COMPUTED_VALUE"""),"Knife")</f>
        <v>Knife</v>
      </c>
      <c r="E82" s="16">
        <f>IFERROR(__xludf.DUMMYFUNCTION("""COMPUTED_VALUE"""),120.0)</f>
        <v>120</v>
      </c>
      <c r="F82" s="108">
        <f>IFERROR(__xludf.DUMMYFUNCTION("""COMPUTED_VALUE"""),660000.0)</f>
        <v>660000</v>
      </c>
      <c r="G82" s="16" t="str">
        <f>IFERROR(__xludf.DUMMYFUNCTION("""COMPUTED_VALUE"""),"DMG")</f>
        <v>DMG</v>
      </c>
      <c r="H82" s="16">
        <f>IFERROR(__xludf.DUMMYFUNCTION("""COMPUTED_VALUE"""),2000.0)</f>
        <v>2000</v>
      </c>
      <c r="I82" s="16"/>
      <c r="J82" s="16"/>
      <c r="K82" s="16"/>
      <c r="L82" s="16"/>
      <c r="M82" s="16"/>
      <c r="N82" s="16"/>
      <c r="O82" s="16">
        <f>IFERROR(__xludf.DUMMYFUNCTION("""COMPUTED_VALUE"""),2000.0)</f>
        <v>2000</v>
      </c>
      <c r="P82" s="16"/>
      <c r="Q82" s="16"/>
      <c r="R82" s="16">
        <f>IFERROR(__xludf.DUMMYFUNCTION("""COMPUTED_VALUE"""),2000.0)</f>
        <v>2000</v>
      </c>
      <c r="S82" s="16"/>
      <c r="T82" s="16"/>
      <c r="U82" s="16"/>
      <c r="V82" s="16"/>
      <c r="W82" s="16"/>
      <c r="X82" s="16"/>
      <c r="Y82" s="16"/>
      <c r="Z82" s="16"/>
      <c r="AA82" s="16"/>
      <c r="AB82" s="16"/>
      <c r="AC82" s="16"/>
      <c r="AD82" s="16"/>
      <c r="AE82" s="16"/>
      <c r="AF82" s="16" t="str">
        <f>IFERROR(__xludf.DUMMYFUNCTION("""COMPUTED_VALUE"""),"(Cultist Set) ++25% chance of instant death to the target.")</f>
        <v>(Cultist Set) ++25% chance of instant death to the target.</v>
      </c>
      <c r="AG82" s="16" t="str">
        <f>IFERROR(__xludf.DUMMYFUNCTION("""COMPUTED_VALUE"""),"Land of Spira")</f>
        <v>Land of Spira</v>
      </c>
      <c r="AH82" s="16" t="b">
        <f>IFERROR(__xludf.DUMMYFUNCTION("""COMPUTED_VALUE"""),FALSE)</f>
        <v>0</v>
      </c>
    </row>
    <row r="83">
      <c r="A83" s="16" t="str">
        <f>IFERROR(__xludf.DUMMYFUNCTION("""COMPUTED_VALUE"""),"Dark Ice Sword")</f>
        <v>Dark Ice Sword</v>
      </c>
      <c r="B83" s="16" t="str">
        <f>IFERROR(__xludf.DUMMYFUNCTION("""COMPUTED_VALUE"""),"Hand")</f>
        <v>Hand</v>
      </c>
      <c r="C83" s="16"/>
      <c r="D83" s="16" t="str">
        <f>IFERROR(__xludf.DUMMYFUNCTION("""COMPUTED_VALUE"""),"Sword")</f>
        <v>Sword</v>
      </c>
      <c r="E83" s="16">
        <f>IFERROR(__xludf.DUMMYFUNCTION("""COMPUTED_VALUE"""),20.0)</f>
        <v>20</v>
      </c>
      <c r="F83" s="108">
        <f>IFERROR(__xludf.DUMMYFUNCTION("""COMPUTED_VALUE"""),1000.0)</f>
        <v>1000</v>
      </c>
      <c r="G83" s="16" t="str">
        <f>IFERROR(__xludf.DUMMYFUNCTION("""COMPUTED_VALUE"""),"DMG")</f>
        <v>DMG</v>
      </c>
      <c r="H83" s="16">
        <f>IFERROR(__xludf.DUMMYFUNCTION("""COMPUTED_VALUE"""),600.0)</f>
        <v>600</v>
      </c>
      <c r="I83" s="16"/>
      <c r="J83" s="16"/>
      <c r="K83" s="16"/>
      <c r="L83" s="16"/>
      <c r="M83" s="16"/>
      <c r="N83" s="16"/>
      <c r="O83" s="16"/>
      <c r="P83" s="16"/>
      <c r="Q83" s="16"/>
      <c r="R83" s="16"/>
      <c r="S83" s="16"/>
      <c r="T83" s="16"/>
      <c r="U83" s="16"/>
      <c r="V83" s="16"/>
      <c r="W83" s="16"/>
      <c r="X83" s="16"/>
      <c r="Y83" s="16"/>
      <c r="Z83" s="16"/>
      <c r="AA83" s="16"/>
      <c r="AB83" s="16"/>
      <c r="AC83" s="16"/>
      <c r="AD83" s="16"/>
      <c r="AE83" s="16"/>
      <c r="AF83" s="16" t="str">
        <f>IFERROR(__xludf.DUMMYFUNCTION("""COMPUTED_VALUE"""),"++25% Chance to freeze target.")</f>
        <v>++25% Chance to freeze target.</v>
      </c>
      <c r="AG83" s="16" t="str">
        <f>IFERROR(__xludf.DUMMYFUNCTION("""COMPUTED_VALUE"""),"Land of Spira")</f>
        <v>Land of Spira</v>
      </c>
      <c r="AH83" s="16" t="b">
        <f>IFERROR(__xludf.DUMMYFUNCTION("""COMPUTED_VALUE"""),FALSE)</f>
        <v>0</v>
      </c>
    </row>
    <row r="84">
      <c r="A84" s="16" t="str">
        <f>IFERROR(__xludf.DUMMYFUNCTION("""COMPUTED_VALUE"""),"Dark Knight Helm")</f>
        <v>Dark Knight Helm</v>
      </c>
      <c r="B84" s="16" t="str">
        <f>IFERROR(__xludf.DUMMYFUNCTION("""COMPUTED_VALUE"""),"Head")</f>
        <v>Head</v>
      </c>
      <c r="C84" s="16"/>
      <c r="D84" s="16"/>
      <c r="E84" s="16">
        <f>IFERROR(__xludf.DUMMYFUNCTION("""COMPUTED_VALUE"""),10.0)</f>
        <v>10</v>
      </c>
      <c r="F84" s="108">
        <f>IFERROR(__xludf.DUMMYFUNCTION("""COMPUTED_VALUE"""),1000.0)</f>
        <v>1000</v>
      </c>
      <c r="G84" s="16" t="str">
        <f>IFERROR(__xludf.DUMMYFUNCTION("""COMPUTED_VALUE"""),"DEF")</f>
        <v>DEF</v>
      </c>
      <c r="H84" s="16">
        <f>IFERROR(__xludf.DUMMYFUNCTION("""COMPUTED_VALUE"""),500.0)</f>
        <v>500</v>
      </c>
      <c r="I84" s="16"/>
      <c r="J84" s="16"/>
      <c r="K84" s="16"/>
      <c r="L84" s="16"/>
      <c r="M84" s="16"/>
      <c r="N84" s="16"/>
      <c r="O84" s="16"/>
      <c r="P84" s="16"/>
      <c r="Q84" s="16"/>
      <c r="R84" s="16"/>
      <c r="S84" s="16"/>
      <c r="T84" s="16"/>
      <c r="U84" s="16"/>
      <c r="V84" s="16"/>
      <c r="W84" s="16"/>
      <c r="X84" s="16"/>
      <c r="Y84" s="16"/>
      <c r="Z84" s="16"/>
      <c r="AA84" s="16"/>
      <c r="AB84" s="16"/>
      <c r="AC84" s="16"/>
      <c r="AD84" s="16"/>
      <c r="AE84" s="16"/>
      <c r="AF84" s="16" t="str">
        <f>IFERROR(__xludf.DUMMYFUNCTION("""COMPUTED_VALUE"""),"++Immune to dark damage")</f>
        <v>++Immune to dark damage</v>
      </c>
      <c r="AG84" s="16" t="str">
        <f>IFERROR(__xludf.DUMMYFUNCTION("""COMPUTED_VALUE"""),"Land of Spira")</f>
        <v>Land of Spira</v>
      </c>
      <c r="AH84" s="16" t="b">
        <f>IFERROR(__xludf.DUMMYFUNCTION("""COMPUTED_VALUE"""),FALSE)</f>
        <v>0</v>
      </c>
    </row>
    <row r="85">
      <c r="A85" s="16" t="str">
        <f>IFERROR(__xludf.DUMMYFUNCTION("""COMPUTED_VALUE"""),"Dark Wand")</f>
        <v>Dark Wand</v>
      </c>
      <c r="B85" s="16" t="str">
        <f>IFERROR(__xludf.DUMMYFUNCTION("""COMPUTED_VALUE"""),"Hand")</f>
        <v>Hand</v>
      </c>
      <c r="C85" s="16"/>
      <c r="D85" s="16" t="str">
        <f>IFERROR(__xludf.DUMMYFUNCTION("""COMPUTED_VALUE"""),"Wand")</f>
        <v>Wand</v>
      </c>
      <c r="E85" s="16">
        <f>IFERROR(__xludf.DUMMYFUNCTION("""COMPUTED_VALUE"""),1.0)</f>
        <v>1</v>
      </c>
      <c r="F85" s="108">
        <f>IFERROR(__xludf.DUMMYFUNCTION("""COMPUTED_VALUE"""),0.0)</f>
        <v>0</v>
      </c>
      <c r="G85" s="16"/>
      <c r="H85" s="16"/>
      <c r="I85" s="16"/>
      <c r="J85" s="16"/>
      <c r="K85" s="16"/>
      <c r="L85" s="16"/>
      <c r="M85" s="16"/>
      <c r="N85" s="16"/>
      <c r="O85" s="16"/>
      <c r="P85" s="16"/>
      <c r="Q85" s="16"/>
      <c r="R85" s="16"/>
      <c r="S85" s="16"/>
      <c r="T85" s="16"/>
      <c r="U85" s="16"/>
      <c r="V85" s="16"/>
      <c r="W85" s="16"/>
      <c r="X85" s="16"/>
      <c r="Y85" s="16"/>
      <c r="Z85" s="16"/>
      <c r="AA85" s="16"/>
      <c r="AB85" s="16"/>
      <c r="AC85" s="16"/>
      <c r="AD85" s="16"/>
      <c r="AE85" s="16"/>
      <c r="AF85" s="16" t="str">
        <f>IFERROR(__xludf.DUMMYFUNCTION("""COMPUTED_VALUE"""),"++Half the SP cost of dark spells")</f>
        <v>++Half the SP cost of dark spells</v>
      </c>
      <c r="AG85" s="16" t="str">
        <f>IFERROR(__xludf.DUMMYFUNCTION("""COMPUTED_VALUE"""),"Land of Spira")</f>
        <v>Land of Spira</v>
      </c>
      <c r="AH85" s="16" t="b">
        <f>IFERROR(__xludf.DUMMYFUNCTION("""COMPUTED_VALUE"""),FALSE)</f>
        <v>0</v>
      </c>
    </row>
    <row r="86">
      <c r="A86" s="16" t="str">
        <f>IFERROR(__xludf.DUMMYFUNCTION("""COMPUTED_VALUE"""),"Dead Forest Blade")</f>
        <v>Dead Forest Blade</v>
      </c>
      <c r="B86" s="16" t="str">
        <f>IFERROR(__xludf.DUMMYFUNCTION("""COMPUTED_VALUE"""),"Hand")</f>
        <v>Hand</v>
      </c>
      <c r="C86" s="16"/>
      <c r="D86" s="16" t="str">
        <f>IFERROR(__xludf.DUMMYFUNCTION("""COMPUTED_VALUE"""),"Sword")</f>
        <v>Sword</v>
      </c>
      <c r="E86" s="16">
        <f>IFERROR(__xludf.DUMMYFUNCTION("""COMPUTED_VALUE"""),180.0)</f>
        <v>180</v>
      </c>
      <c r="F86" s="108">
        <f>IFERROR(__xludf.DUMMYFUNCTION("""COMPUTED_VALUE"""),1530000.0)</f>
        <v>1530000</v>
      </c>
      <c r="G86" s="16" t="str">
        <f>IFERROR(__xludf.DUMMYFUNCTION("""COMPUTED_VALUE"""),"DMG")</f>
        <v>DMG</v>
      </c>
      <c r="H86" s="16">
        <f>IFERROR(__xludf.DUMMYFUNCTION("""COMPUTED_VALUE"""),5000.0)</f>
        <v>5000</v>
      </c>
      <c r="I86" s="16"/>
      <c r="J86" s="16"/>
      <c r="K86" s="16"/>
      <c r="L86" s="16"/>
      <c r="M86" s="16"/>
      <c r="N86" s="16"/>
      <c r="O86" s="16">
        <f>IFERROR(__xludf.DUMMYFUNCTION("""COMPUTED_VALUE"""),4000.0)</f>
        <v>4000</v>
      </c>
      <c r="P86" s="16"/>
      <c r="Q86" s="16"/>
      <c r="R86" s="16"/>
      <c r="S86" s="16"/>
      <c r="T86" s="16"/>
      <c r="U86" s="16"/>
      <c r="V86" s="16"/>
      <c r="W86" s="16"/>
      <c r="X86" s="16"/>
      <c r="Y86" s="16"/>
      <c r="Z86" s="16"/>
      <c r="AA86" s="16"/>
      <c r="AB86" s="16"/>
      <c r="AC86" s="16"/>
      <c r="AD86" s="16"/>
      <c r="AE86" s="16"/>
      <c r="AF86" s="16" t="str">
        <f>IFERROR(__xludf.DUMMYFUNCTION("""COMPUTED_VALUE"""),"++Darkness Embodiment - When Equipped Any dark and chaos weapons and dark and chaos spells will deal an additional X2 damage.")</f>
        <v>++Darkness Embodiment - When Equipped Any dark and chaos weapons and dark and chaos spells will deal an additional X2 damage.</v>
      </c>
      <c r="AG86" s="16" t="str">
        <f>IFERROR(__xludf.DUMMYFUNCTION("""COMPUTED_VALUE"""),"Land of Spira")</f>
        <v>Land of Spira</v>
      </c>
      <c r="AH86" s="16" t="b">
        <f>IFERROR(__xludf.DUMMYFUNCTION("""COMPUTED_VALUE"""),FALSE)</f>
        <v>0</v>
      </c>
    </row>
    <row r="87">
      <c r="A87" s="16" t="str">
        <f>IFERROR(__xludf.DUMMYFUNCTION("""COMPUTED_VALUE"""),"Dead Forest Branch")</f>
        <v>Dead Forest Branch</v>
      </c>
      <c r="B87" s="16" t="str">
        <f>IFERROR(__xludf.DUMMYFUNCTION("""COMPUTED_VALUE"""),"Hand")</f>
        <v>Hand</v>
      </c>
      <c r="C87" s="16"/>
      <c r="D87" s="16" t="str">
        <f>IFERROR(__xludf.DUMMYFUNCTION("""COMPUTED_VALUE"""),"Club")</f>
        <v>Club</v>
      </c>
      <c r="E87" s="16">
        <f>IFERROR(__xludf.DUMMYFUNCTION("""COMPUTED_VALUE"""),200.0)</f>
        <v>200</v>
      </c>
      <c r="F87" s="108">
        <f>IFERROR(__xludf.DUMMYFUNCTION("""COMPUTED_VALUE"""),2.8788E10)</f>
        <v>28788000000</v>
      </c>
      <c r="G87" s="16" t="str">
        <f>IFERROR(__xludf.DUMMYFUNCTION("""COMPUTED_VALUE"""),"DMG")</f>
        <v>DMG</v>
      </c>
      <c r="H87" s="16"/>
      <c r="I87" s="16"/>
      <c r="J87" s="16"/>
      <c r="K87" s="16"/>
      <c r="L87" s="16"/>
      <c r="M87" s="16"/>
      <c r="N87" s="16"/>
      <c r="O87" s="16"/>
      <c r="P87" s="16"/>
      <c r="Q87" s="16"/>
      <c r="R87" s="16"/>
      <c r="S87" s="16"/>
      <c r="T87" s="16"/>
      <c r="U87" s="16"/>
      <c r="V87" s="16"/>
      <c r="W87" s="16"/>
      <c r="X87" s="16"/>
      <c r="Y87" s="16"/>
      <c r="Z87" s="16"/>
      <c r="AA87" s="16"/>
      <c r="AB87" s="16"/>
      <c r="AC87" s="119">
        <f>IFERROR(__xludf.DUMMYFUNCTION("""COMPUTED_VALUE"""),1.0E7)</f>
        <v>10000000</v>
      </c>
      <c r="AD87" s="16"/>
      <c r="AE87" s="16"/>
      <c r="AF87" s="16" t="str">
        <f>IFERROR(__xludf.DUMMYFUNCTION("""COMPUTED_VALUE"""),"++This Branch will deal 10,000,000 celestial damage but it has a 95% chance to break")</f>
        <v>++This Branch will deal 10,000,000 celestial damage but it has a 95% chance to break</v>
      </c>
      <c r="AG87" s="16" t="str">
        <f>IFERROR(__xludf.DUMMYFUNCTION("""COMPUTED_VALUE"""),"Land of Spira")</f>
        <v>Land of Spira</v>
      </c>
      <c r="AH87" s="16" t="b">
        <f>IFERROR(__xludf.DUMMYFUNCTION("""COMPUTED_VALUE"""),FALSE)</f>
        <v>0</v>
      </c>
    </row>
    <row r="88">
      <c r="A88" s="16" t="str">
        <f>IFERROR(__xludf.DUMMYFUNCTION("""COMPUTED_VALUE"""),"Death's Scythe")</f>
        <v>Death's Scythe</v>
      </c>
      <c r="B88" s="16" t="str">
        <f>IFERROR(__xludf.DUMMYFUNCTION("""COMPUTED_VALUE"""),"Hand")</f>
        <v>Hand</v>
      </c>
      <c r="C88" s="16"/>
      <c r="D88" s="16" t="str">
        <f>IFERROR(__xludf.DUMMYFUNCTION("""COMPUTED_VALUE"""),"Scythe")</f>
        <v>Scythe</v>
      </c>
      <c r="E88" s="16">
        <f>IFERROR(__xludf.DUMMYFUNCTION("""COMPUTED_VALUE"""),600.0)</f>
        <v>600</v>
      </c>
      <c r="F88" s="108">
        <f>IFERROR(__xludf.DUMMYFUNCTION("""COMPUTED_VALUE"""),1.77E7)</f>
        <v>17700000</v>
      </c>
      <c r="G88" s="16" t="str">
        <f>IFERROR(__xludf.DUMMYFUNCTION("""COMPUTED_VALUE"""),"DMG")</f>
        <v>DMG</v>
      </c>
      <c r="H88" s="119">
        <f>IFERROR(__xludf.DUMMYFUNCTION("""COMPUTED_VALUE"""),10000.0)</f>
        <v>10000</v>
      </c>
      <c r="I88" s="16"/>
      <c r="J88" s="16"/>
      <c r="K88" s="16"/>
      <c r="L88" s="16"/>
      <c r="M88" s="16"/>
      <c r="N88" s="16"/>
      <c r="O88" s="119">
        <f>IFERROR(__xludf.DUMMYFUNCTION("""COMPUTED_VALUE"""),10000.0)</f>
        <v>10000</v>
      </c>
      <c r="P88" s="16"/>
      <c r="Q88" s="16"/>
      <c r="R88" s="119">
        <f>IFERROR(__xludf.DUMMYFUNCTION("""COMPUTED_VALUE"""),10000.0)</f>
        <v>10000</v>
      </c>
      <c r="S88" s="16"/>
      <c r="T88" s="16"/>
      <c r="U88" s="16"/>
      <c r="V88" s="16"/>
      <c r="W88" s="16"/>
      <c r="X88" s="16"/>
      <c r="Y88" s="16"/>
      <c r="Z88" s="16"/>
      <c r="AA88" s="16"/>
      <c r="AB88" s="16"/>
      <c r="AC88" s="16"/>
      <c r="AD88" s="16"/>
      <c r="AE88" s="16"/>
      <c r="AF88" s="16" t="str">
        <f>IFERROR(__xludf.DUMMYFUNCTION("""COMPUTED_VALUE"""),"++ +2 Intimidation, ++ +2 Wisdom when rolling a wisdom check for traps. +-Cannot be duplicated, +-Can only equip one.")</f>
        <v>++ +2 Intimidation, ++ +2 Wisdom when rolling a wisdom check for traps. +-Cannot be duplicated, +-Can only equip one.</v>
      </c>
      <c r="AG88" s="16" t="str">
        <f>IFERROR(__xludf.DUMMYFUNCTION("""COMPUTED_VALUE"""),"Land of Spira")</f>
        <v>Land of Spira</v>
      </c>
      <c r="AH88" s="16" t="b">
        <f>IFERROR(__xludf.DUMMYFUNCTION("""COMPUTED_VALUE"""),FALSE)</f>
        <v>0</v>
      </c>
    </row>
    <row r="89">
      <c r="A89" s="16" t="str">
        <f>IFERROR(__xludf.DUMMYFUNCTION("""COMPUTED_VALUE"""),"Demonic Scythe of Chaos ")</f>
        <v>Demonic Scythe of Chaos </v>
      </c>
      <c r="B89" s="16" t="str">
        <f>IFERROR(__xludf.DUMMYFUNCTION("""COMPUTED_VALUE"""),"Hand")</f>
        <v>Hand</v>
      </c>
      <c r="C89" s="16"/>
      <c r="D89" s="16" t="str">
        <f>IFERROR(__xludf.DUMMYFUNCTION("""COMPUTED_VALUE"""),"Scythe")</f>
        <v>Scythe</v>
      </c>
      <c r="E89" s="16">
        <f>IFERROR(__xludf.DUMMYFUNCTION("""COMPUTED_VALUE"""),3000.0)</f>
        <v>3000</v>
      </c>
      <c r="F89" s="108">
        <f>IFERROR(__xludf.DUMMYFUNCTION("""COMPUTED_VALUE"""),4.485E8)</f>
        <v>448500000</v>
      </c>
      <c r="G89" s="16" t="str">
        <f>IFERROR(__xludf.DUMMYFUNCTION("""COMPUTED_VALUE"""),"DMG")</f>
        <v>DMG</v>
      </c>
      <c r="H89" s="119">
        <f>IFERROR(__xludf.DUMMYFUNCTION("""COMPUTED_VALUE"""),50000.0)</f>
        <v>50000</v>
      </c>
      <c r="I89" s="119">
        <f>IFERROR(__xludf.DUMMYFUNCTION("""COMPUTED_VALUE"""),50000.0)</f>
        <v>50000</v>
      </c>
      <c r="J89" s="16"/>
      <c r="K89" s="16"/>
      <c r="L89" s="16"/>
      <c r="M89" s="16"/>
      <c r="N89" s="16"/>
      <c r="O89" s="16"/>
      <c r="P89" s="16"/>
      <c r="Q89" s="16"/>
      <c r="R89" s="119">
        <f>IFERROR(__xludf.DUMMYFUNCTION("""COMPUTED_VALUE"""),50000.0)</f>
        <v>50000</v>
      </c>
      <c r="S89" s="16"/>
      <c r="T89" s="16"/>
      <c r="U89" s="16"/>
      <c r="V89" s="16"/>
      <c r="W89" s="16"/>
      <c r="X89" s="16"/>
      <c r="Y89" s="16"/>
      <c r="Z89" s="16"/>
      <c r="AA89" s="16"/>
      <c r="AB89" s="16"/>
      <c r="AC89" s="16"/>
      <c r="AD89" s="16"/>
      <c r="AE89" s="16"/>
      <c r="AF89" s="16" t="str">
        <f>IFERROR(__xludf.DUMMYFUNCTION("""COMPUTED_VALUE"""),"++X2  Additional Fire and Chaos damage. +-Cannot be duplicated.")</f>
        <v>++X2  Additional Fire and Chaos damage. +-Cannot be duplicated.</v>
      </c>
      <c r="AG89" s="16" t="str">
        <f>IFERROR(__xludf.DUMMYFUNCTION("""COMPUTED_VALUE"""),"Abstara")</f>
        <v>Abstara</v>
      </c>
      <c r="AH89" s="16" t="b">
        <f>IFERROR(__xludf.DUMMYFUNCTION("""COMPUTED_VALUE"""),FALSE)</f>
        <v>0</v>
      </c>
    </row>
    <row r="90">
      <c r="A90" s="16" t="str">
        <f>IFERROR(__xludf.DUMMYFUNCTION("""COMPUTED_VALUE"""),"Demonic Sword of The King")</f>
        <v>Demonic Sword of The King</v>
      </c>
      <c r="B90" s="16" t="str">
        <f>IFERROR(__xludf.DUMMYFUNCTION("""COMPUTED_VALUE"""),"Hand")</f>
        <v>Hand</v>
      </c>
      <c r="C90" s="16"/>
      <c r="D90" s="16" t="str">
        <f>IFERROR(__xludf.DUMMYFUNCTION("""COMPUTED_VALUE"""),"Sword")</f>
        <v>Sword</v>
      </c>
      <c r="E90" s="16">
        <f>IFERROR(__xludf.DUMMYFUNCTION("""COMPUTED_VALUE"""),200.0)</f>
        <v>200</v>
      </c>
      <c r="F90" s="108">
        <f>IFERROR(__xludf.DUMMYFUNCTION("""COMPUTED_VALUE"""),3.196E9)</f>
        <v>3196000000</v>
      </c>
      <c r="G90" s="16" t="str">
        <f>IFERROR(__xludf.DUMMYFUNCTION("""COMPUTED_VALUE"""),"DMG")</f>
        <v>DMG</v>
      </c>
      <c r="H90" s="119">
        <f>IFERROR(__xludf.DUMMYFUNCTION("""COMPUTED_VALUE"""),100000.0)</f>
        <v>100000</v>
      </c>
      <c r="I90" s="119">
        <f>IFERROR(__xludf.DUMMYFUNCTION("""COMPUTED_VALUE"""),100000.0)</f>
        <v>100000</v>
      </c>
      <c r="J90" s="16"/>
      <c r="K90" s="16"/>
      <c r="L90" s="16"/>
      <c r="M90" s="16"/>
      <c r="N90" s="16"/>
      <c r="O90" s="119">
        <f>IFERROR(__xludf.DUMMYFUNCTION("""COMPUTED_VALUE"""),50000.0)</f>
        <v>50000</v>
      </c>
      <c r="P90" s="16"/>
      <c r="Q90" s="16"/>
      <c r="R90" s="119">
        <f>IFERROR(__xludf.DUMMYFUNCTION("""COMPUTED_VALUE"""),50000.0)</f>
        <v>50000</v>
      </c>
      <c r="S90" s="16"/>
      <c r="T90" s="16"/>
      <c r="U90" s="16"/>
      <c r="V90" s="16"/>
      <c r="W90" s="16"/>
      <c r="X90" s="16"/>
      <c r="Y90" s="119">
        <f>IFERROR(__xludf.DUMMYFUNCTION("""COMPUTED_VALUE"""),50000.0)</f>
        <v>50000</v>
      </c>
      <c r="Z90" s="16"/>
      <c r="AA90" s="16"/>
      <c r="AB90" s="16"/>
      <c r="AC90" s="119">
        <f>IFERROR(__xludf.DUMMYFUNCTION("""COMPUTED_VALUE"""),50000.0)</f>
        <v>50000</v>
      </c>
      <c r="AD90" s="16"/>
      <c r="AE90" s="16"/>
      <c r="AF90" s="16" t="str">
        <f>IFERROR(__xludf.DUMMYFUNCTION("""COMPUTED_VALUE"""),"++When targeted for an attack you can choose a party member to take the damage instead. +-Cannot be duplicated.")</f>
        <v>++When targeted for an attack you can choose a party member to take the damage instead. +-Cannot be duplicated.</v>
      </c>
      <c r="AG90" s="16" t="str">
        <f>IFERROR(__xludf.DUMMYFUNCTION("""COMPUTED_VALUE"""),"Abstara")</f>
        <v>Abstara</v>
      </c>
      <c r="AH90" s="16" t="b">
        <f>IFERROR(__xludf.DUMMYFUNCTION("""COMPUTED_VALUE"""),FALSE)</f>
        <v>0</v>
      </c>
    </row>
    <row r="91">
      <c r="A91" s="16" t="str">
        <f>IFERROR(__xludf.DUMMYFUNCTION("""COMPUTED_VALUE"""),"Dimensional Dagger")</f>
        <v>Dimensional Dagger</v>
      </c>
      <c r="B91" s="16" t="str">
        <f>IFERROR(__xludf.DUMMYFUNCTION("""COMPUTED_VALUE"""),"Hand")</f>
        <v>Hand</v>
      </c>
      <c r="C91" s="16"/>
      <c r="D91" s="16" t="str">
        <f>IFERROR(__xludf.DUMMYFUNCTION("""COMPUTED_VALUE"""),"Knife")</f>
        <v>Knife</v>
      </c>
      <c r="E91" s="16">
        <f>IFERROR(__xludf.DUMMYFUNCTION("""COMPUTED_VALUE"""),200.0)</f>
        <v>200</v>
      </c>
      <c r="F91" s="108">
        <f>IFERROR(__xludf.DUMMYFUNCTION("""COMPUTED_VALUE"""),1900000.0)</f>
        <v>1900000</v>
      </c>
      <c r="G91" s="16" t="str">
        <f>IFERROR(__xludf.DUMMYFUNCTION("""COMPUTED_VALUE"""),"DMG")</f>
        <v>DMG</v>
      </c>
      <c r="H91" s="16">
        <f>IFERROR(__xludf.DUMMYFUNCTION("""COMPUTED_VALUE"""),5000.0)</f>
        <v>5000</v>
      </c>
      <c r="I91" s="16"/>
      <c r="J91" s="16"/>
      <c r="K91" s="16"/>
      <c r="L91" s="16"/>
      <c r="M91" s="16"/>
      <c r="N91" s="16"/>
      <c r="O91" s="16"/>
      <c r="P91" s="16"/>
      <c r="Q91" s="16"/>
      <c r="R91" s="119">
        <f>IFERROR(__xludf.DUMMYFUNCTION("""COMPUTED_VALUE"""),5000.0)</f>
        <v>5000</v>
      </c>
      <c r="S91" s="16"/>
      <c r="T91" s="16"/>
      <c r="U91" s="16"/>
      <c r="V91" s="16"/>
      <c r="W91" s="16"/>
      <c r="X91" s="16"/>
      <c r="Y91" s="16"/>
      <c r="Z91" s="16"/>
      <c r="AA91" s="16"/>
      <c r="AB91" s="16"/>
      <c r="AC91" s="16"/>
      <c r="AD91" s="16"/>
      <c r="AE91" s="16"/>
      <c r="AF91" s="16" t="str">
        <f>IFERROR(__xludf.DUMMYFUNCTION("""COMPUTED_VALUE"""),"++25% chance to teleport the target being attacked to a random location.")</f>
        <v>++25% chance to teleport the target being attacked to a random location.</v>
      </c>
      <c r="AG91" s="16" t="str">
        <f>IFERROR(__xludf.DUMMYFUNCTION("""COMPUTED_VALUE"""),"Land of Spira")</f>
        <v>Land of Spira</v>
      </c>
      <c r="AH91" s="16" t="b">
        <f>IFERROR(__xludf.DUMMYFUNCTION("""COMPUTED_VALUE"""),FALSE)</f>
        <v>0</v>
      </c>
    </row>
    <row r="92">
      <c r="A92" s="16" t="str">
        <f>IFERROR(__xludf.DUMMYFUNCTION("""COMPUTED_VALUE"""),"Draconic Shield")</f>
        <v>Draconic Shield</v>
      </c>
      <c r="B92" s="16" t="str">
        <f>IFERROR(__xludf.DUMMYFUNCTION("""COMPUTED_VALUE"""),"Hand")</f>
        <v>Hand</v>
      </c>
      <c r="C92" s="16"/>
      <c r="D92" s="16" t="str">
        <f>IFERROR(__xludf.DUMMYFUNCTION("""COMPUTED_VALUE"""),"Towershield")</f>
        <v>Towershield</v>
      </c>
      <c r="E92" s="16">
        <f>IFERROR(__xludf.DUMMYFUNCTION("""COMPUTED_VALUE"""),5000.0)</f>
        <v>5000</v>
      </c>
      <c r="F92" s="108">
        <f>IFERROR(__xludf.DUMMYFUNCTION("""COMPUTED_VALUE"""),1.2475E9)</f>
        <v>1247500000</v>
      </c>
      <c r="G92" s="16" t="str">
        <f>IFERROR(__xludf.DUMMYFUNCTION("""COMPUTED_VALUE"""),"DEF")</f>
        <v>DEF</v>
      </c>
      <c r="H92" s="119">
        <f>IFERROR(__xludf.DUMMYFUNCTION("""COMPUTED_VALUE"""),50000.0)</f>
        <v>50000</v>
      </c>
      <c r="I92" s="119">
        <f>IFERROR(__xludf.DUMMYFUNCTION("""COMPUTED_VALUE"""),50000.0)</f>
        <v>50000</v>
      </c>
      <c r="J92" s="16"/>
      <c r="K92" s="16"/>
      <c r="L92" s="16"/>
      <c r="M92" s="16"/>
      <c r="N92" s="16"/>
      <c r="O92" s="119">
        <f>IFERROR(__xludf.DUMMYFUNCTION("""COMPUTED_VALUE"""),50000.0)</f>
        <v>50000</v>
      </c>
      <c r="P92" s="16"/>
      <c r="Q92" s="16"/>
      <c r="R92" s="119">
        <f>IFERROR(__xludf.DUMMYFUNCTION("""COMPUTED_VALUE"""),50000.0)</f>
        <v>50000</v>
      </c>
      <c r="S92" s="16"/>
      <c r="T92" s="16"/>
      <c r="U92" s="16"/>
      <c r="V92" s="16"/>
      <c r="W92" s="16"/>
      <c r="X92" s="16"/>
      <c r="Y92" s="119">
        <f>IFERROR(__xludf.DUMMYFUNCTION("""COMPUTED_VALUE"""),50000.0)</f>
        <v>50000</v>
      </c>
      <c r="Z92" s="16"/>
      <c r="AA92" s="16"/>
      <c r="AB92" s="16"/>
      <c r="AC92" s="16"/>
      <c r="AD92" s="16"/>
      <c r="AE92" s="16"/>
      <c r="AF92" s="16" t="str">
        <f>IFERROR(__xludf.DUMMYFUNCTION("""COMPUTED_VALUE"""),"++Draconic Block - Any damage you take in battle is now reduced to 1 for for the first round of battle.")</f>
        <v>++Draconic Block - Any damage you take in battle is now reduced to 1 for for the first round of battle.</v>
      </c>
      <c r="AG92" s="16" t="str">
        <f>IFERROR(__xludf.DUMMYFUNCTION("""COMPUTED_VALUE"""),"Abstara")</f>
        <v>Abstara</v>
      </c>
      <c r="AH92" s="16" t="b">
        <f>IFERROR(__xludf.DUMMYFUNCTION("""COMPUTED_VALUE"""),FALSE)</f>
        <v>0</v>
      </c>
    </row>
    <row r="93">
      <c r="A93" s="16" t="str">
        <f>IFERROR(__xludf.DUMMYFUNCTION("""COMPUTED_VALUE"""),"Dragon's Skull")</f>
        <v>Dragon's Skull</v>
      </c>
      <c r="B93" s="16" t="str">
        <f>IFERROR(__xludf.DUMMYFUNCTION("""COMPUTED_VALUE"""),"Head")</f>
        <v>Head</v>
      </c>
      <c r="C93" s="16"/>
      <c r="D93" s="16"/>
      <c r="E93" s="16">
        <f>IFERROR(__xludf.DUMMYFUNCTION("""COMPUTED_VALUE"""),200.0)</f>
        <v>200</v>
      </c>
      <c r="F93" s="108">
        <f>IFERROR(__xludf.DUMMYFUNCTION("""COMPUTED_VALUE"""),1900000.0)</f>
        <v>1900000</v>
      </c>
      <c r="G93" s="16" t="str">
        <f>IFERROR(__xludf.DUMMYFUNCTION("""COMPUTED_VALUE"""),"DEF")</f>
        <v>DEF</v>
      </c>
      <c r="H93" s="119">
        <f>IFERROR(__xludf.DUMMYFUNCTION("""COMPUTED_VALUE"""),10000.0)</f>
        <v>10000</v>
      </c>
      <c r="I93" s="16"/>
      <c r="J93" s="16"/>
      <c r="K93" s="16"/>
      <c r="L93" s="16"/>
      <c r="M93" s="16"/>
      <c r="N93" s="16"/>
      <c r="O93" s="16"/>
      <c r="P93" s="16"/>
      <c r="Q93" s="16"/>
      <c r="R93" s="16"/>
      <c r="S93" s="16"/>
      <c r="T93" s="16"/>
      <c r="U93" s="16"/>
      <c r="V93" s="16"/>
      <c r="W93" s="16"/>
      <c r="X93" s="16"/>
      <c r="Y93" s="16"/>
      <c r="Z93" s="16"/>
      <c r="AA93" s="16"/>
      <c r="AB93" s="16"/>
      <c r="AC93" s="16"/>
      <c r="AD93" s="16"/>
      <c r="AE93" s="16"/>
      <c r="AF93" s="16" t="str">
        <f>IFERROR(__xludf.DUMMYFUNCTION("""COMPUTED_VALUE"""),"++Any damage that is dealt to the wearer by a dragon is negated. ++(Dragon Tamers Cannot Wear This)")</f>
        <v>++Any damage that is dealt to the wearer by a dragon is negated. ++(Dragon Tamers Cannot Wear This)</v>
      </c>
      <c r="AG93" s="16" t="str">
        <f>IFERROR(__xludf.DUMMYFUNCTION("""COMPUTED_VALUE"""),"Land of Spira")</f>
        <v>Land of Spira</v>
      </c>
      <c r="AH93" s="16" t="b">
        <f>IFERROR(__xludf.DUMMYFUNCTION("""COMPUTED_VALUE"""),FALSE)</f>
        <v>0</v>
      </c>
    </row>
    <row r="94">
      <c r="A94" s="16" t="str">
        <f>IFERROR(__xludf.DUMMYFUNCTION("""COMPUTED_VALUE"""),"Dragonbone Greatsword")</f>
        <v>Dragonbone Greatsword</v>
      </c>
      <c r="B94" s="16" t="str">
        <f>IFERROR(__xludf.DUMMYFUNCTION("""COMPUTED_VALUE"""),"Hand")</f>
        <v>Hand</v>
      </c>
      <c r="C94" s="16"/>
      <c r="D94" s="16" t="str">
        <f>IFERROR(__xludf.DUMMYFUNCTION("""COMPUTED_VALUE"""),"Sword")</f>
        <v>Sword</v>
      </c>
      <c r="E94" s="16">
        <f>IFERROR(__xludf.DUMMYFUNCTION("""COMPUTED_VALUE"""),200.0)</f>
        <v>200</v>
      </c>
      <c r="F94" s="108">
        <f>IFERROR(__xludf.DUMMYFUNCTION("""COMPUTED_VALUE"""),7.194E9)</f>
        <v>7194000000</v>
      </c>
      <c r="G94" s="16" t="str">
        <f>IFERROR(__xludf.DUMMYFUNCTION("""COMPUTED_VALUE"""),"DMG")</f>
        <v>DMG</v>
      </c>
      <c r="H94" s="119">
        <f>IFERROR(__xludf.DUMMYFUNCTION("""COMPUTED_VALUE"""),100000.0)</f>
        <v>100000</v>
      </c>
      <c r="I94" s="119">
        <f>IFERROR(__xludf.DUMMYFUNCTION("""COMPUTED_VALUE"""),100000.0)</f>
        <v>100000</v>
      </c>
      <c r="J94" s="16"/>
      <c r="K94" s="16"/>
      <c r="L94" s="16"/>
      <c r="M94" s="119">
        <f>IFERROR(__xludf.DUMMYFUNCTION("""COMPUTED_VALUE"""),100000.0)</f>
        <v>100000</v>
      </c>
      <c r="N94" s="16"/>
      <c r="O94" s="119">
        <f>IFERROR(__xludf.DUMMYFUNCTION("""COMPUTED_VALUE"""),100000.0)</f>
        <v>100000</v>
      </c>
      <c r="P94" s="16"/>
      <c r="Q94" s="16"/>
      <c r="R94" s="16"/>
      <c r="S94" s="16"/>
      <c r="T94" s="16"/>
      <c r="U94" s="16"/>
      <c r="V94" s="16"/>
      <c r="W94" s="16"/>
      <c r="X94" s="16"/>
      <c r="Y94" s="119">
        <f>IFERROR(__xludf.DUMMYFUNCTION("""COMPUTED_VALUE"""),100000.0)</f>
        <v>100000</v>
      </c>
      <c r="Z94" s="16"/>
      <c r="AA94" s="16"/>
      <c r="AB94" s="16"/>
      <c r="AC94" s="119">
        <f>IFERROR(__xludf.DUMMYFUNCTION("""COMPUTED_VALUE"""),100000.0)</f>
        <v>100000</v>
      </c>
      <c r="AD94" s="16"/>
      <c r="AE94" s="16"/>
      <c r="AF94" s="16" t="str">
        <f>IFERROR(__xludf.DUMMYFUNCTION("""COMPUTED_VALUE"""),"++If you have a dragon as a companion in the current battle this sword will deal x4 additional fire, earth, dark, blood, and celestial damage.")</f>
        <v>++If you have a dragon as a companion in the current battle this sword will deal x4 additional fire, earth, dark, blood, and celestial damage.</v>
      </c>
      <c r="AG94" s="16" t="str">
        <f>IFERROR(__xludf.DUMMYFUNCTION("""COMPUTED_VALUE"""),"Abstara")</f>
        <v>Abstara</v>
      </c>
      <c r="AH94" s="16" t="b">
        <f>IFERROR(__xludf.DUMMYFUNCTION("""COMPUTED_VALUE"""),FALSE)</f>
        <v>0</v>
      </c>
    </row>
    <row r="95">
      <c r="A95" s="16" t="str">
        <f>IFERROR(__xludf.DUMMYFUNCTION("""COMPUTED_VALUE"""),"Dreading Wand Of Fire")</f>
        <v>Dreading Wand Of Fire</v>
      </c>
      <c r="B95" s="16" t="str">
        <f>IFERROR(__xludf.DUMMYFUNCTION("""COMPUTED_VALUE"""),"Hand")</f>
        <v>Hand</v>
      </c>
      <c r="C95" s="16"/>
      <c r="D95" s="16" t="str">
        <f>IFERROR(__xludf.DUMMYFUNCTION("""COMPUTED_VALUE"""),"Wand")</f>
        <v>Wand</v>
      </c>
      <c r="E95" s="16">
        <f>IFERROR(__xludf.DUMMYFUNCTION("""COMPUTED_VALUE"""),1.0)</f>
        <v>1</v>
      </c>
      <c r="F95" s="108">
        <f>IFERROR(__xludf.DUMMYFUNCTION("""COMPUTED_VALUE"""),0.0)</f>
        <v>0</v>
      </c>
      <c r="G95" s="16"/>
      <c r="H95" s="16"/>
      <c r="I95" s="16"/>
      <c r="J95" s="16"/>
      <c r="K95" s="16"/>
      <c r="L95" s="16"/>
      <c r="M95" s="16"/>
      <c r="N95" s="16"/>
      <c r="O95" s="16"/>
      <c r="P95" s="16"/>
      <c r="Q95" s="16"/>
      <c r="R95" s="16"/>
      <c r="S95" s="16"/>
      <c r="T95" s="16"/>
      <c r="U95" s="16"/>
      <c r="V95" s="16"/>
      <c r="W95" s="16"/>
      <c r="X95" s="16"/>
      <c r="Y95" s="16"/>
      <c r="Z95" s="16"/>
      <c r="AA95" s="16"/>
      <c r="AB95" s="16"/>
      <c r="AC95" s="16"/>
      <c r="AD95" s="16"/>
      <c r="AE95" s="16"/>
      <c r="AF95" s="16" t="str">
        <f>IFERROR(__xludf.DUMMYFUNCTION("""COMPUTED_VALUE"""),"++Half SP costs for fire spells")</f>
        <v>++Half SP costs for fire spells</v>
      </c>
      <c r="AG95" s="16" t="str">
        <f>IFERROR(__xludf.DUMMYFUNCTION("""COMPUTED_VALUE"""),"Land of Spira")</f>
        <v>Land of Spira</v>
      </c>
      <c r="AH95" s="16" t="b">
        <f>IFERROR(__xludf.DUMMYFUNCTION("""COMPUTED_VALUE"""),FALSE)</f>
        <v>0</v>
      </c>
    </row>
    <row r="96">
      <c r="A96" s="16" t="str">
        <f>IFERROR(__xludf.DUMMYFUNCTION("""COMPUTED_VALUE"""),"Dy Yu’s Plated Armor")</f>
        <v>Dy Yu’s Plated Armor</v>
      </c>
      <c r="B96" s="16" t="str">
        <f>IFERROR(__xludf.DUMMYFUNCTION("""COMPUTED_VALUE"""),"Torso")</f>
        <v>Torso</v>
      </c>
      <c r="C96" s="16"/>
      <c r="D96" s="16"/>
      <c r="E96" s="16">
        <f>IFERROR(__xludf.DUMMYFUNCTION("""COMPUTED_VALUE"""),4000.0)</f>
        <v>4000</v>
      </c>
      <c r="F96" s="108">
        <f>IFERROR(__xludf.DUMMYFUNCTION("""COMPUTED_VALUE"""),7.98E8)</f>
        <v>798000000</v>
      </c>
      <c r="G96" s="16" t="str">
        <f>IFERROR(__xludf.DUMMYFUNCTION("""COMPUTED_VALUE"""),"DEF")</f>
        <v>DEF</v>
      </c>
      <c r="H96" s="119">
        <f>IFERROR(__xludf.DUMMYFUNCTION("""COMPUTED_VALUE"""),50000.0)</f>
        <v>50000</v>
      </c>
      <c r="I96" s="119">
        <f>IFERROR(__xludf.DUMMYFUNCTION("""COMPUTED_VALUE"""),50000.0)</f>
        <v>50000</v>
      </c>
      <c r="J96" s="16"/>
      <c r="K96" s="16"/>
      <c r="L96" s="16"/>
      <c r="M96" s="119">
        <f>IFERROR(__xludf.DUMMYFUNCTION("""COMPUTED_VALUE"""),50000.0)</f>
        <v>50000</v>
      </c>
      <c r="N96" s="16"/>
      <c r="O96" s="16"/>
      <c r="P96" s="119">
        <f>IFERROR(__xludf.DUMMYFUNCTION("""COMPUTED_VALUE"""),50000.0)</f>
        <v>50000</v>
      </c>
      <c r="Q96" s="16"/>
      <c r="R96" s="16"/>
      <c r="S96" s="16"/>
      <c r="T96" s="16"/>
      <c r="U96" s="16"/>
      <c r="V96" s="16"/>
      <c r="W96" s="16"/>
      <c r="X96" s="16"/>
      <c r="Y96" s="16"/>
      <c r="Z96" s="16"/>
      <c r="AA96" s="16"/>
      <c r="AB96" s="16"/>
      <c r="AC96" s="16"/>
      <c r="AD96" s="16"/>
      <c r="AE96" s="16"/>
      <c r="AF96" s="16" t="str">
        <f>IFERROR(__xludf.DUMMYFUNCTION("""COMPUTED_VALUE"""),"++Roll a d20 at the beginning of battle, 11 or higher = half the damage taken from the first attack, 10 or lower = take double the damage from the first attack.")</f>
        <v>++Roll a d20 at the beginning of battle, 11 or higher = half the damage taken from the first attack, 10 or lower = take double the damage from the first attack.</v>
      </c>
      <c r="AG96" s="16" t="str">
        <f>IFERROR(__xludf.DUMMYFUNCTION("""COMPUTED_VALUE"""),"Land of Spira")</f>
        <v>Land of Spira</v>
      </c>
      <c r="AH96" s="16" t="b">
        <f>IFERROR(__xludf.DUMMYFUNCTION("""COMPUTED_VALUE"""),FALSE)</f>
        <v>0</v>
      </c>
    </row>
    <row r="97">
      <c r="A97" s="16" t="str">
        <f>IFERROR(__xludf.DUMMYFUNCTION("""COMPUTED_VALUE"""),"Easters Ring (Exclusive)")</f>
        <v>Easters Ring (Exclusive)</v>
      </c>
      <c r="B97" s="16" t="str">
        <f>IFERROR(__xludf.DUMMYFUNCTION("""COMPUTED_VALUE"""),"Ring")</f>
        <v>Ring</v>
      </c>
      <c r="C97" s="16"/>
      <c r="D97" s="16"/>
      <c r="E97" s="16">
        <f>IFERROR(__xludf.DUMMYFUNCTION("""COMPUTED_VALUE"""),1.0)</f>
        <v>1</v>
      </c>
      <c r="F97" s="108">
        <f>IFERROR(__xludf.DUMMYFUNCTION("""COMPUTED_VALUE"""),0.0)</f>
        <v>0</v>
      </c>
      <c r="G97" s="16"/>
      <c r="H97" s="16"/>
      <c r="I97" s="16"/>
      <c r="J97" s="16"/>
      <c r="K97" s="16"/>
      <c r="L97" s="16"/>
      <c r="M97" s="16"/>
      <c r="N97" s="16"/>
      <c r="O97" s="16"/>
      <c r="P97" s="16"/>
      <c r="Q97" s="16"/>
      <c r="R97" s="16"/>
      <c r="S97" s="16"/>
      <c r="T97" s="16"/>
      <c r="U97" s="16"/>
      <c r="V97" s="16"/>
      <c r="W97" s="16"/>
      <c r="X97" s="16"/>
      <c r="Y97" s="16"/>
      <c r="Z97" s="16"/>
      <c r="AA97" s="16"/>
      <c r="AB97" s="16"/>
      <c r="AC97" s="16"/>
      <c r="AD97" s="16"/>
      <c r="AE97" s="16"/>
      <c r="AF97" s="16" t="str">
        <f>IFERROR(__xludf.DUMMYFUNCTION("""COMPUTED_VALUE"""),"++Can turn one bad day of travel into a good day of travel. +-Cannot be forged")</f>
        <v>++Can turn one bad day of travel into a good day of travel. +-Cannot be forged</v>
      </c>
      <c r="AG97" s="16" t="str">
        <f>IFERROR(__xludf.DUMMYFUNCTION("""COMPUTED_VALUE"""),"Land of Spira")</f>
        <v>Land of Spira</v>
      </c>
      <c r="AH97" s="16" t="b">
        <f>IFERROR(__xludf.DUMMYFUNCTION("""COMPUTED_VALUE"""),FALSE)</f>
        <v>0</v>
      </c>
    </row>
    <row r="98">
      <c r="A98" s="16" t="str">
        <f>IFERROR(__xludf.DUMMYFUNCTION("""COMPUTED_VALUE"""),"Enchanted Chestplate of Defense")</f>
        <v>Enchanted Chestplate of Defense</v>
      </c>
      <c r="B98" s="16" t="str">
        <f>IFERROR(__xludf.DUMMYFUNCTION("""COMPUTED_VALUE"""),"Torso")</f>
        <v>Torso</v>
      </c>
      <c r="C98" s="16"/>
      <c r="D98" s="16"/>
      <c r="E98" s="16">
        <f>IFERROR(__xludf.DUMMYFUNCTION("""COMPUTED_VALUE"""),100.0)</f>
        <v>100</v>
      </c>
      <c r="F98" s="108">
        <f>IFERROR(__xludf.DUMMYFUNCTION("""COMPUTED_VALUE"""),450000.0)</f>
        <v>450000</v>
      </c>
      <c r="G98" s="16" t="str">
        <f>IFERROR(__xludf.DUMMYFUNCTION("""COMPUTED_VALUE"""),"DEF")</f>
        <v>DEF</v>
      </c>
      <c r="H98" s="16">
        <f>IFERROR(__xludf.DUMMYFUNCTION("""COMPUTED_VALUE"""),5000.0)</f>
        <v>5000</v>
      </c>
      <c r="I98" s="16"/>
      <c r="J98" s="16"/>
      <c r="K98" s="16"/>
      <c r="L98" s="16"/>
      <c r="M98" s="16"/>
      <c r="N98" s="16"/>
      <c r="O98" s="16"/>
      <c r="P98" s="16"/>
      <c r="Q98" s="16"/>
      <c r="R98" s="16"/>
      <c r="S98" s="16"/>
      <c r="T98" s="16"/>
      <c r="U98" s="16"/>
      <c r="V98" s="16"/>
      <c r="W98" s="16"/>
      <c r="X98" s="16"/>
      <c r="Y98" s="16"/>
      <c r="Z98" s="16"/>
      <c r="AA98" s="16"/>
      <c r="AB98" s="16"/>
      <c r="AC98" s="16"/>
      <c r="AD98" s="16"/>
      <c r="AE98" s="16"/>
      <c r="AF98" s="16" t="str">
        <f>IFERROR(__xludf.DUMMYFUNCTION("""COMPUTED_VALUE"""),"++Damage received by Spells and Weapons are reduced to half when wearing this.")</f>
        <v>++Damage received by Spells and Weapons are reduced to half when wearing this.</v>
      </c>
      <c r="AG98" s="16" t="str">
        <f>IFERROR(__xludf.DUMMYFUNCTION("""COMPUTED_VALUE"""),"Land of Spira")</f>
        <v>Land of Spira</v>
      </c>
      <c r="AH98" s="16" t="b">
        <f>IFERROR(__xludf.DUMMYFUNCTION("""COMPUTED_VALUE"""),FALSE)</f>
        <v>0</v>
      </c>
    </row>
    <row r="99">
      <c r="A99" s="16" t="str">
        <f>IFERROR(__xludf.DUMMYFUNCTION("""COMPUTED_VALUE"""),"Enchanted Dagger")</f>
        <v>Enchanted Dagger</v>
      </c>
      <c r="B99" s="16" t="str">
        <f>IFERROR(__xludf.DUMMYFUNCTION("""COMPUTED_VALUE"""),"Hand")</f>
        <v>Hand</v>
      </c>
      <c r="C99" s="16"/>
      <c r="D99" s="16" t="str">
        <f>IFERROR(__xludf.DUMMYFUNCTION("""COMPUTED_VALUE"""),"Knife")</f>
        <v>Knife</v>
      </c>
      <c r="E99" s="16">
        <f>IFERROR(__xludf.DUMMYFUNCTION("""COMPUTED_VALUE"""),1.0)</f>
        <v>1</v>
      </c>
      <c r="F99" s="108">
        <f>IFERROR(__xludf.DUMMYFUNCTION("""COMPUTED_VALUE"""),0.0)</f>
        <v>0</v>
      </c>
      <c r="G99" s="16"/>
      <c r="H99" s="16">
        <f>IFERROR(__xludf.DUMMYFUNCTION("""COMPUTED_VALUE"""),1.0)</f>
        <v>1</v>
      </c>
      <c r="I99" s="16"/>
      <c r="J99" s="16"/>
      <c r="K99" s="16"/>
      <c r="L99" s="16"/>
      <c r="M99" s="16"/>
      <c r="N99" s="16"/>
      <c r="O99" s="16"/>
      <c r="P99" s="16"/>
      <c r="Q99" s="16"/>
      <c r="R99" s="16"/>
      <c r="S99" s="16"/>
      <c r="T99" s="16"/>
      <c r="U99" s="16"/>
      <c r="V99" s="16"/>
      <c r="W99" s="16"/>
      <c r="X99" s="16"/>
      <c r="Y99" s="16"/>
      <c r="Z99" s="16"/>
      <c r="AA99" s="16"/>
      <c r="AB99" s="16"/>
      <c r="AC99" s="16"/>
      <c r="AD99" s="16"/>
      <c r="AE99" s="16"/>
      <c r="AF99" s="16" t="str">
        <f>IFERROR(__xludf.DUMMYFUNCTION("""COMPUTED_VALUE"""),"++100% of instantly killing the target.")</f>
        <v>++100% of instantly killing the target.</v>
      </c>
      <c r="AG99" s="16" t="str">
        <f>IFERROR(__xludf.DUMMYFUNCTION("""COMPUTED_VALUE"""),"Land of Spira")</f>
        <v>Land of Spira</v>
      </c>
      <c r="AH99" s="16" t="b">
        <f>IFERROR(__xludf.DUMMYFUNCTION("""COMPUTED_VALUE"""),FALSE)</f>
        <v>0</v>
      </c>
    </row>
    <row r="100">
      <c r="A100" s="16" t="str">
        <f>IFERROR(__xludf.DUMMYFUNCTION("""COMPUTED_VALUE"""),"Enchanted Falcon Blade")</f>
        <v>Enchanted Falcon Blade</v>
      </c>
      <c r="B100" s="16" t="str">
        <f>IFERROR(__xludf.DUMMYFUNCTION("""COMPUTED_VALUE"""),"Hand")</f>
        <v>Hand</v>
      </c>
      <c r="C100" s="16"/>
      <c r="D100" s="16" t="str">
        <f>IFERROR(__xludf.DUMMYFUNCTION("""COMPUTED_VALUE"""),"Sword")</f>
        <v>Sword</v>
      </c>
      <c r="E100" s="16">
        <f>IFERROR(__xludf.DUMMYFUNCTION("""COMPUTED_VALUE"""),60.0)</f>
        <v>60</v>
      </c>
      <c r="F100" s="108">
        <f>IFERROR(__xludf.DUMMYFUNCTION("""COMPUTED_VALUE"""),100000.0)</f>
        <v>100000</v>
      </c>
      <c r="G100" s="16" t="str">
        <f>IFERROR(__xludf.DUMMYFUNCTION("""COMPUTED_VALUE"""),"DMG")</f>
        <v>DMG</v>
      </c>
      <c r="H100" s="119">
        <f>IFERROR(__xludf.DUMMYFUNCTION("""COMPUTED_VALUE"""),2000.0)</f>
        <v>2000</v>
      </c>
      <c r="I100" s="16"/>
      <c r="J100" s="16"/>
      <c r="K100" s="16"/>
      <c r="L100" s="16"/>
      <c r="M100" s="16"/>
      <c r="N100" s="16"/>
      <c r="O100" s="16"/>
      <c r="P100" s="16"/>
      <c r="Q100" s="16">
        <f>IFERROR(__xludf.DUMMYFUNCTION("""COMPUTED_VALUE"""),600.0)</f>
        <v>600</v>
      </c>
      <c r="R100" s="16"/>
      <c r="S100" s="16"/>
      <c r="T100" s="16"/>
      <c r="U100" s="16"/>
      <c r="V100" s="16"/>
      <c r="W100" s="16"/>
      <c r="X100" s="16"/>
      <c r="Y100" s="16"/>
      <c r="Z100" s="16"/>
      <c r="AA100" s="16"/>
      <c r="AB100" s="16"/>
      <c r="AC100" s="16"/>
      <c r="AD100" s="16"/>
      <c r="AE100" s="16"/>
      <c r="AF100" s="16" t="str">
        <f>IFERROR(__xludf.DUMMYFUNCTION("""COMPUTED_VALUE"""),"++Falcon’s Power - All attacks dealt by your weapons will deal double in damage for 3 of your turns when equipped.")</f>
        <v>++Falcon’s Power - All attacks dealt by your weapons will deal double in damage for 3 of your turns when equipped.</v>
      </c>
      <c r="AG100" s="16" t="str">
        <f>IFERROR(__xludf.DUMMYFUNCTION("""COMPUTED_VALUE"""),"Land of Spira")</f>
        <v>Land of Spira</v>
      </c>
      <c r="AH100" s="16" t="b">
        <f>IFERROR(__xludf.DUMMYFUNCTION("""COMPUTED_VALUE"""),FALSE)</f>
        <v>0</v>
      </c>
    </row>
    <row r="101">
      <c r="A101" s="16" t="str">
        <f>IFERROR(__xludf.DUMMYFUNCTION("""COMPUTED_VALUE"""),"Energy Prong")</f>
        <v>Energy Prong</v>
      </c>
      <c r="B101" s="16" t="str">
        <f>IFERROR(__xludf.DUMMYFUNCTION("""COMPUTED_VALUE"""),"Hand")</f>
        <v>Hand</v>
      </c>
      <c r="C101" s="16"/>
      <c r="D101" s="16" t="str">
        <f>IFERROR(__xludf.DUMMYFUNCTION("""COMPUTED_VALUE"""),"Spear")</f>
        <v>Spear</v>
      </c>
      <c r="E101" s="16">
        <f>IFERROR(__xludf.DUMMYFUNCTION("""COMPUTED_VALUE"""),10.0)</f>
        <v>10</v>
      </c>
      <c r="F101" s="108">
        <f>IFERROR(__xludf.DUMMYFUNCTION("""COMPUTED_VALUE"""),1000.0)</f>
        <v>1000</v>
      </c>
      <c r="G101" s="16" t="str">
        <f>IFERROR(__xludf.DUMMYFUNCTION("""COMPUTED_VALUE"""),"DMG")</f>
        <v>DMG</v>
      </c>
      <c r="H101" s="16">
        <f>IFERROR(__xludf.DUMMYFUNCTION("""COMPUTED_VALUE"""),500.0)</f>
        <v>500</v>
      </c>
      <c r="I101" s="16"/>
      <c r="J101" s="16"/>
      <c r="K101" s="16"/>
      <c r="L101" s="16"/>
      <c r="M101" s="16"/>
      <c r="N101" s="16"/>
      <c r="O101" s="16"/>
      <c r="P101" s="16"/>
      <c r="Q101" s="16"/>
      <c r="R101" s="16"/>
      <c r="S101" s="16"/>
      <c r="T101" s="16"/>
      <c r="U101" s="16"/>
      <c r="V101" s="16"/>
      <c r="W101" s="16"/>
      <c r="X101" s="16"/>
      <c r="Y101" s="16"/>
      <c r="Z101" s="16"/>
      <c r="AA101" s="16"/>
      <c r="AB101" s="16"/>
      <c r="AC101" s="16"/>
      <c r="AD101" s="16"/>
      <c r="AE101" s="16"/>
      <c r="AF101" s="16" t="str">
        <f>IFERROR(__xludf.DUMMYFUNCTION("""COMPUTED_VALUE"""),"++50% chance of stun 3.")</f>
        <v>++50% chance of stun 3.</v>
      </c>
      <c r="AG101" s="16" t="str">
        <f>IFERROR(__xludf.DUMMYFUNCTION("""COMPUTED_VALUE"""),"Land of Spira")</f>
        <v>Land of Spira</v>
      </c>
      <c r="AH101" s="16" t="b">
        <f>IFERROR(__xludf.DUMMYFUNCTION("""COMPUTED_VALUE"""),FALSE)</f>
        <v>0</v>
      </c>
    </row>
    <row r="102">
      <c r="A102" s="16" t="str">
        <f>IFERROR(__xludf.DUMMYFUNCTION("""COMPUTED_VALUE"""),"Faery Kings Sword")</f>
        <v>Faery Kings Sword</v>
      </c>
      <c r="B102" s="16" t="str">
        <f>IFERROR(__xludf.DUMMYFUNCTION("""COMPUTED_VALUE"""),"Hand")</f>
        <v>Hand</v>
      </c>
      <c r="C102" s="16"/>
      <c r="D102" s="16" t="str">
        <f>IFERROR(__xludf.DUMMYFUNCTION("""COMPUTED_VALUE"""),"Sword")</f>
        <v>Sword</v>
      </c>
      <c r="E102" s="16">
        <f>IFERROR(__xludf.DUMMYFUNCTION("""COMPUTED_VALUE"""),200.0)</f>
        <v>200</v>
      </c>
      <c r="F102" s="108">
        <f>IFERROR(__xludf.DUMMYFUNCTION("""COMPUTED_VALUE"""),6.0445E9)</f>
        <v>6044500000</v>
      </c>
      <c r="G102" s="16" t="str">
        <f>IFERROR(__xludf.DUMMYFUNCTION("""COMPUTED_VALUE"""),"DMG")</f>
        <v>DMG</v>
      </c>
      <c r="H102" s="16">
        <f>IFERROR(__xludf.DUMMYFUNCTION("""COMPUTED_VALUE"""),500000.0)</f>
        <v>500000</v>
      </c>
      <c r="I102" s="16"/>
      <c r="J102" s="16"/>
      <c r="K102" s="16"/>
      <c r="L102" s="16"/>
      <c r="M102" s="16"/>
      <c r="N102" s="16"/>
      <c r="O102" s="16"/>
      <c r="P102" s="16"/>
      <c r="Q102" s="16"/>
      <c r="R102" s="16"/>
      <c r="S102" s="16">
        <f>IFERROR(__xludf.DUMMYFUNCTION("""COMPUTED_VALUE"""),25000.0)</f>
        <v>25000</v>
      </c>
      <c r="T102" s="16"/>
      <c r="U102" s="16"/>
      <c r="V102" s="16"/>
      <c r="W102" s="16"/>
      <c r="X102" s="16"/>
      <c r="Y102" s="16"/>
      <c r="Z102" s="16"/>
      <c r="AA102" s="16"/>
      <c r="AB102" s="16"/>
      <c r="AC102" s="16">
        <f>IFERROR(__xludf.DUMMYFUNCTION("""COMPUTED_VALUE"""),25000.0)</f>
        <v>25000</v>
      </c>
      <c r="AD102" s="16"/>
      <c r="AE102" s="16"/>
      <c r="AF102" s="16"/>
      <c r="AG102" s="16" t="str">
        <f>IFERROR(__xludf.DUMMYFUNCTION("""COMPUTED_VALUE"""),"Land of Spira")</f>
        <v>Land of Spira</v>
      </c>
      <c r="AH102" s="16" t="b">
        <f>IFERROR(__xludf.DUMMYFUNCTION("""COMPUTED_VALUE"""),TRUE)</f>
        <v>1</v>
      </c>
    </row>
    <row r="103">
      <c r="A103" s="16" t="str">
        <f>IFERROR(__xludf.DUMMYFUNCTION("""COMPUTED_VALUE"""),"False Helmet")</f>
        <v>False Helmet</v>
      </c>
      <c r="B103" s="16" t="str">
        <f>IFERROR(__xludf.DUMMYFUNCTION("""COMPUTED_VALUE"""),"Head")</f>
        <v>Head</v>
      </c>
      <c r="C103" s="16"/>
      <c r="D103" s="16"/>
      <c r="E103" s="16">
        <f>IFERROR(__xludf.DUMMYFUNCTION("""COMPUTED_VALUE"""),1.0)</f>
        <v>1</v>
      </c>
      <c r="F103" s="108">
        <f>IFERROR(__xludf.DUMMYFUNCTION("""COMPUTED_VALUE"""),0.0)</f>
        <v>0</v>
      </c>
      <c r="G103" s="16"/>
      <c r="H103" s="16"/>
      <c r="I103" s="16"/>
      <c r="J103" s="16"/>
      <c r="K103" s="16"/>
      <c r="L103" s="16"/>
      <c r="M103" s="16"/>
      <c r="N103" s="16"/>
      <c r="O103" s="16"/>
      <c r="P103" s="16"/>
      <c r="Q103" s="16"/>
      <c r="R103" s="16"/>
      <c r="S103" s="16"/>
      <c r="T103" s="16"/>
      <c r="U103" s="16"/>
      <c r="V103" s="16"/>
      <c r="W103" s="16"/>
      <c r="X103" s="16"/>
      <c r="Y103" s="16"/>
      <c r="Z103" s="16"/>
      <c r="AA103" s="16"/>
      <c r="AB103" s="16"/>
      <c r="AC103" s="16"/>
      <c r="AD103" s="16"/>
      <c r="AE103" s="16"/>
      <c r="AF103" s="16" t="str">
        <f>IFERROR(__xludf.DUMMYFUNCTION("""COMPUTED_VALUE"""),"++ ++5 Intimidation, ++ - 2 Charisma. +-Cannot be forged +-Cannot be duplicated.")</f>
        <v>++ ++5 Intimidation, ++ - 2 Charisma. +-Cannot be forged +-Cannot be duplicated.</v>
      </c>
      <c r="AG103" s="16" t="str">
        <f>IFERROR(__xludf.DUMMYFUNCTION("""COMPUTED_VALUE"""),"Land of Spira")</f>
        <v>Land of Spira</v>
      </c>
      <c r="AH103" s="16" t="b">
        <f>IFERROR(__xludf.DUMMYFUNCTION("""COMPUTED_VALUE"""),FALSE)</f>
        <v>0</v>
      </c>
    </row>
    <row r="104">
      <c r="A104" s="16" t="str">
        <f>IFERROR(__xludf.DUMMYFUNCTION("""COMPUTED_VALUE"""),"Felt Cap")</f>
        <v>Felt Cap</v>
      </c>
      <c r="B104" s="16" t="str">
        <f>IFERROR(__xludf.DUMMYFUNCTION("""COMPUTED_VALUE"""),"Head")</f>
        <v>Head</v>
      </c>
      <c r="C104" s="16"/>
      <c r="D104" s="16"/>
      <c r="E104" s="16">
        <f>IFERROR(__xludf.DUMMYFUNCTION("""COMPUTED_VALUE"""),1.0)</f>
        <v>1</v>
      </c>
      <c r="F104" s="108">
        <f>IFERROR(__xludf.DUMMYFUNCTION("""COMPUTED_VALUE"""),0.0)</f>
        <v>0</v>
      </c>
      <c r="G104" s="16"/>
      <c r="H104" s="16"/>
      <c r="I104" s="16"/>
      <c r="J104" s="16"/>
      <c r="K104" s="16"/>
      <c r="L104" s="16"/>
      <c r="M104" s="16"/>
      <c r="N104" s="16"/>
      <c r="O104" s="16"/>
      <c r="P104" s="16"/>
      <c r="Q104" s="16"/>
      <c r="R104" s="16"/>
      <c r="S104" s="16"/>
      <c r="T104" s="16"/>
      <c r="U104" s="16"/>
      <c r="V104" s="16"/>
      <c r="W104" s="16"/>
      <c r="X104" s="16"/>
      <c r="Y104" s="16"/>
      <c r="Z104" s="16"/>
      <c r="AA104" s="16"/>
      <c r="AB104" s="16"/>
      <c r="AC104" s="16"/>
      <c r="AD104" s="16"/>
      <c r="AE104" s="16"/>
      <c r="AF104" s="16" t="str">
        <f>IFERROR(__xludf.DUMMYFUNCTION("""COMPUTED_VALUE"""),"++ -1 Evasion ++ +2 Intimidation, +-Can only wear one, +-Cannot be duplicated.")</f>
        <v>++ -1 Evasion ++ +2 Intimidation, +-Can only wear one, +-Cannot be duplicated.</v>
      </c>
      <c r="AG104" s="16" t="str">
        <f>IFERROR(__xludf.DUMMYFUNCTION("""COMPUTED_VALUE"""),"Land of Spira")</f>
        <v>Land of Spira</v>
      </c>
      <c r="AH104" s="16" t="b">
        <f>IFERROR(__xludf.DUMMYFUNCTION("""COMPUTED_VALUE"""),FALSE)</f>
        <v>0</v>
      </c>
    </row>
    <row r="105">
      <c r="A105" s="16" t="str">
        <f>IFERROR(__xludf.DUMMYFUNCTION("""COMPUTED_VALUE"""),"Fire Resistant Boots")</f>
        <v>Fire Resistant Boots</v>
      </c>
      <c r="B105" s="16" t="str">
        <f>IFERROR(__xludf.DUMMYFUNCTION("""COMPUTED_VALUE"""),"Feet")</f>
        <v>Feet</v>
      </c>
      <c r="C105" s="16"/>
      <c r="D105" s="16"/>
      <c r="E105" s="16">
        <f>IFERROR(__xludf.DUMMYFUNCTION("""COMPUTED_VALUE"""),200.0)</f>
        <v>200</v>
      </c>
      <c r="F105" s="108">
        <f>IFERROR(__xludf.DUMMYFUNCTION("""COMPUTED_VALUE"""),1900000.0)</f>
        <v>1900000</v>
      </c>
      <c r="G105" s="16" t="str">
        <f>IFERROR(__xludf.DUMMYFUNCTION("""COMPUTED_VALUE"""),"DEF")</f>
        <v>DEF</v>
      </c>
      <c r="H105" s="16"/>
      <c r="I105" s="119">
        <f>IFERROR(__xludf.DUMMYFUNCTION("""COMPUTED_VALUE"""),10000.0)</f>
        <v>10000</v>
      </c>
      <c r="J105" s="16"/>
      <c r="K105" s="16"/>
      <c r="L105" s="16"/>
      <c r="M105" s="16"/>
      <c r="N105" s="16"/>
      <c r="O105" s="16"/>
      <c r="P105" s="16"/>
      <c r="Q105" s="16"/>
      <c r="R105" s="16"/>
      <c r="S105" s="16"/>
      <c r="T105" s="16"/>
      <c r="U105" s="16"/>
      <c r="V105" s="16"/>
      <c r="W105" s="16"/>
      <c r="X105" s="16"/>
      <c r="Y105" s="16"/>
      <c r="Z105" s="16"/>
      <c r="AA105" s="16"/>
      <c r="AB105" s="16"/>
      <c r="AC105" s="16"/>
      <c r="AD105" s="16"/>
      <c r="AE105" s="16"/>
      <c r="AF105" s="16" t="str">
        <f>IFERROR(__xludf.DUMMYFUNCTION("""COMPUTED_VALUE"""),"++Fire Immune, ++X2 Additional fire damage. +-Cannot be duplicated.")</f>
        <v>++Fire Immune, ++X2 Additional fire damage. +-Cannot be duplicated.</v>
      </c>
      <c r="AG105" s="16" t="str">
        <f>IFERROR(__xludf.DUMMYFUNCTION("""COMPUTED_VALUE"""),"Land of Spira")</f>
        <v>Land of Spira</v>
      </c>
      <c r="AH105" s="16" t="b">
        <f>IFERROR(__xludf.DUMMYFUNCTION("""COMPUTED_VALUE"""),FALSE)</f>
        <v>0</v>
      </c>
    </row>
    <row r="106">
      <c r="A106" s="16" t="str">
        <f>IFERROR(__xludf.DUMMYFUNCTION("""COMPUTED_VALUE"""),"Fire Ring")</f>
        <v>Fire Ring</v>
      </c>
      <c r="B106" s="16" t="str">
        <f>IFERROR(__xludf.DUMMYFUNCTION("""COMPUTED_VALUE"""),"Ring")</f>
        <v>Ring</v>
      </c>
      <c r="C106" s="16"/>
      <c r="D106" s="16"/>
      <c r="E106" s="16">
        <f>IFERROR(__xludf.DUMMYFUNCTION("""COMPUTED_VALUE"""),1.0)</f>
        <v>1</v>
      </c>
      <c r="F106" s="108">
        <f>IFERROR(__xludf.DUMMYFUNCTION("""COMPUTED_VALUE"""),0.0)</f>
        <v>0</v>
      </c>
      <c r="G106" s="16"/>
      <c r="H106" s="16"/>
      <c r="I106" s="16"/>
      <c r="J106" s="16"/>
      <c r="K106" s="16"/>
      <c r="L106" s="16"/>
      <c r="M106" s="16"/>
      <c r="N106" s="16"/>
      <c r="O106" s="16"/>
      <c r="P106" s="16"/>
      <c r="Q106" s="16"/>
      <c r="R106" s="16"/>
      <c r="S106" s="16"/>
      <c r="T106" s="16"/>
      <c r="U106" s="16"/>
      <c r="V106" s="16"/>
      <c r="W106" s="16"/>
      <c r="X106" s="16"/>
      <c r="Y106" s="16"/>
      <c r="Z106" s="16"/>
      <c r="AA106" s="16"/>
      <c r="AB106" s="16"/>
      <c r="AC106" s="16"/>
      <c r="AD106" s="16"/>
      <c r="AE106" s="16"/>
      <c r="AF106" s="16" t="str">
        <f>IFERROR(__xludf.DUMMYFUNCTION("""COMPUTED_VALUE"""),"++Fire Immune, ++X2 Additional fire damage. +-Cannot be duplicated.")</f>
        <v>++Fire Immune, ++X2 Additional fire damage. +-Cannot be duplicated.</v>
      </c>
      <c r="AG106" s="16" t="str">
        <f>IFERROR(__xludf.DUMMYFUNCTION("""COMPUTED_VALUE"""),"Land of Spira")</f>
        <v>Land of Spira</v>
      </c>
      <c r="AH106" s="16" t="b">
        <f>IFERROR(__xludf.DUMMYFUNCTION("""COMPUTED_VALUE"""),FALSE)</f>
        <v>0</v>
      </c>
    </row>
    <row r="107">
      <c r="A107" s="16" t="str">
        <f>IFERROR(__xludf.DUMMYFUNCTION("""COMPUTED_VALUE"""),"Fire Shield")</f>
        <v>Fire Shield</v>
      </c>
      <c r="B107" s="16" t="str">
        <f>IFERROR(__xludf.DUMMYFUNCTION("""COMPUTED_VALUE"""),"Hand")</f>
        <v>Hand</v>
      </c>
      <c r="C107" s="16"/>
      <c r="D107" s="16" t="str">
        <f>IFERROR(__xludf.DUMMYFUNCTION("""COMPUTED_VALUE"""),"Towershield")</f>
        <v>Towershield</v>
      </c>
      <c r="E107" s="16">
        <f>IFERROR(__xludf.DUMMYFUNCTION("""COMPUTED_VALUE"""),200.0)</f>
        <v>200</v>
      </c>
      <c r="F107" s="108">
        <f>IFERROR(__xludf.DUMMYFUNCTION("""COMPUTED_VALUE"""),1900000.0)</f>
        <v>1900000</v>
      </c>
      <c r="G107" s="16" t="str">
        <f>IFERROR(__xludf.DUMMYFUNCTION("""COMPUTED_VALUE"""),"DEF")</f>
        <v>DEF</v>
      </c>
      <c r="H107" s="16">
        <f>IFERROR(__xludf.DUMMYFUNCTION("""COMPUTED_VALUE"""),5000.0)</f>
        <v>5000</v>
      </c>
      <c r="I107" s="16">
        <f>IFERROR(__xludf.DUMMYFUNCTION("""COMPUTED_VALUE"""),5000.0)</f>
        <v>5000</v>
      </c>
      <c r="J107" s="16"/>
      <c r="K107" s="16"/>
      <c r="L107" s="16"/>
      <c r="M107" s="16"/>
      <c r="N107" s="16"/>
      <c r="O107" s="16"/>
      <c r="P107" s="16"/>
      <c r="Q107" s="16"/>
      <c r="R107" s="16"/>
      <c r="S107" s="16"/>
      <c r="T107" s="16"/>
      <c r="U107" s="16"/>
      <c r="V107" s="16"/>
      <c r="W107" s="16"/>
      <c r="X107" s="16"/>
      <c r="Y107" s="16"/>
      <c r="Z107" s="16"/>
      <c r="AA107" s="16"/>
      <c r="AB107" s="16"/>
      <c r="AC107" s="16"/>
      <c r="AD107" s="16"/>
      <c r="AE107" s="16"/>
      <c r="AF107" s="16" t="str">
        <f>IFERROR(__xludf.DUMMYFUNCTION("""COMPUTED_VALUE"""),"++ Immunity to Fire, ++X2 Additional fire resistance. +-Cannot be duplicated.")</f>
        <v>++ Immunity to Fire, ++X2 Additional fire resistance. +-Cannot be duplicated.</v>
      </c>
      <c r="AG107" s="16" t="str">
        <f>IFERROR(__xludf.DUMMYFUNCTION("""COMPUTED_VALUE"""),"Land of Spira")</f>
        <v>Land of Spira</v>
      </c>
      <c r="AH107" s="16" t="b">
        <f>IFERROR(__xludf.DUMMYFUNCTION("""COMPUTED_VALUE"""),FALSE)</f>
        <v>0</v>
      </c>
    </row>
    <row r="108">
      <c r="A108" s="16" t="str">
        <f>IFERROR(__xludf.DUMMYFUNCTION("""COMPUTED_VALUE"""),"Fire Sword")</f>
        <v>Fire Sword</v>
      </c>
      <c r="B108" s="16" t="str">
        <f>IFERROR(__xludf.DUMMYFUNCTION("""COMPUTED_VALUE"""),"Hand")</f>
        <v>Hand</v>
      </c>
      <c r="C108" s="16"/>
      <c r="D108" s="16" t="str">
        <f>IFERROR(__xludf.DUMMYFUNCTION("""COMPUTED_VALUE"""),"Sword")</f>
        <v>Sword</v>
      </c>
      <c r="E108" s="16">
        <f>IFERROR(__xludf.DUMMYFUNCTION("""COMPUTED_VALUE"""),200.0)</f>
        <v>200</v>
      </c>
      <c r="F108" s="108">
        <f>IFERROR(__xludf.DUMMYFUNCTION("""COMPUTED_VALUE"""),1900000.0)</f>
        <v>1900000</v>
      </c>
      <c r="G108" s="16" t="str">
        <f>IFERROR(__xludf.DUMMYFUNCTION("""COMPUTED_VALUE"""),"DMG")</f>
        <v>DMG</v>
      </c>
      <c r="H108" s="16">
        <f>IFERROR(__xludf.DUMMYFUNCTION("""COMPUTED_VALUE"""),5000.0)</f>
        <v>5000</v>
      </c>
      <c r="I108" s="16">
        <f>IFERROR(__xludf.DUMMYFUNCTION("""COMPUTED_VALUE"""),5000.0)</f>
        <v>5000</v>
      </c>
      <c r="J108" s="16"/>
      <c r="K108" s="16"/>
      <c r="L108" s="16"/>
      <c r="M108" s="16"/>
      <c r="N108" s="16"/>
      <c r="O108" s="16"/>
      <c r="P108" s="16"/>
      <c r="Q108" s="16"/>
      <c r="R108" s="16"/>
      <c r="S108" s="16"/>
      <c r="T108" s="16"/>
      <c r="U108" s="16"/>
      <c r="V108" s="16"/>
      <c r="W108" s="16"/>
      <c r="X108" s="16"/>
      <c r="Y108" s="16"/>
      <c r="Z108" s="16"/>
      <c r="AA108" s="16"/>
      <c r="AB108" s="16"/>
      <c r="AC108" s="16"/>
      <c r="AD108" s="16"/>
      <c r="AE108" s="16"/>
      <c r="AF108" s="16" t="str">
        <f>IFERROR(__xludf.DUMMYFUNCTION("""COMPUTED_VALUE"""),"++X2 Additional Fire damage. Burn 2500. Cannot be duplicated.")</f>
        <v>++X2 Additional Fire damage. Burn 2500. Cannot be duplicated.</v>
      </c>
      <c r="AG108" s="16" t="str">
        <f>IFERROR(__xludf.DUMMYFUNCTION("""COMPUTED_VALUE"""),"Land of Spira")</f>
        <v>Land of Spira</v>
      </c>
      <c r="AH108" s="16" t="b">
        <f>IFERROR(__xludf.DUMMYFUNCTION("""COMPUTED_VALUE"""),FALSE)</f>
        <v>0</v>
      </c>
    </row>
    <row r="109">
      <c r="A109" s="16" t="str">
        <f>IFERROR(__xludf.DUMMYFUNCTION("""COMPUTED_VALUE"""),"Fireproof Suit")</f>
        <v>Fireproof Suit</v>
      </c>
      <c r="B109" s="16" t="str">
        <f>IFERROR(__xludf.DUMMYFUNCTION("""COMPUTED_VALUE"""),"Torso")</f>
        <v>Torso</v>
      </c>
      <c r="C109" s="16"/>
      <c r="D109" s="16"/>
      <c r="E109" s="16">
        <f>IFERROR(__xludf.DUMMYFUNCTION("""COMPUTED_VALUE"""),400.0)</f>
        <v>400</v>
      </c>
      <c r="F109" s="108">
        <f>IFERROR(__xludf.DUMMYFUNCTION("""COMPUTED_VALUE"""),7800000.0)</f>
        <v>7800000</v>
      </c>
      <c r="G109" s="16" t="str">
        <f>IFERROR(__xludf.DUMMYFUNCTION("""COMPUTED_VALUE"""),"DEF")</f>
        <v>DEF</v>
      </c>
      <c r="H109" s="16">
        <f>IFERROR(__xludf.DUMMYFUNCTION("""COMPUTED_VALUE"""),5000.0)</f>
        <v>5000</v>
      </c>
      <c r="I109" s="119">
        <f>IFERROR(__xludf.DUMMYFUNCTION("""COMPUTED_VALUE"""),15000.0)</f>
        <v>15000</v>
      </c>
      <c r="J109" s="16"/>
      <c r="K109" s="16"/>
      <c r="L109" s="16"/>
      <c r="M109" s="16"/>
      <c r="N109" s="16"/>
      <c r="O109" s="16"/>
      <c r="P109" s="16"/>
      <c r="Q109" s="16"/>
      <c r="R109" s="16"/>
      <c r="S109" s="16"/>
      <c r="T109" s="16"/>
      <c r="U109" s="16"/>
      <c r="V109" s="16"/>
      <c r="W109" s="16"/>
      <c r="X109" s="16"/>
      <c r="Y109" s="16"/>
      <c r="Z109" s="16"/>
      <c r="AA109" s="16"/>
      <c r="AB109" s="16"/>
      <c r="AC109" s="16"/>
      <c r="AD109" s="16"/>
      <c r="AE109" s="16"/>
      <c r="AF109" s="16" t="str">
        <f>IFERROR(__xludf.DUMMYFUNCTION("""COMPUTED_VALUE"""),"Fire Immune, X2 Additional fire resistance. Cannot be duplicated.")</f>
        <v>Fire Immune, X2 Additional fire resistance. Cannot be duplicated.</v>
      </c>
      <c r="AG109" s="16" t="str">
        <f>IFERROR(__xludf.DUMMYFUNCTION("""COMPUTED_VALUE"""),"Land of Spira")</f>
        <v>Land of Spira</v>
      </c>
      <c r="AH109" s="16" t="b">
        <f>IFERROR(__xludf.DUMMYFUNCTION("""COMPUTED_VALUE"""),FALSE)</f>
        <v>0</v>
      </c>
    </row>
    <row r="110">
      <c r="A110" s="16" t="str">
        <f>IFERROR(__xludf.DUMMYFUNCTION("""COMPUTED_VALUE"""),"Fish Pendant")</f>
        <v>Fish Pendant</v>
      </c>
      <c r="B110" s="16" t="str">
        <f>IFERROR(__xludf.DUMMYFUNCTION("""COMPUTED_VALUE"""),"Neck")</f>
        <v>Neck</v>
      </c>
      <c r="C110" s="16"/>
      <c r="D110" s="16"/>
      <c r="E110" s="16">
        <f>IFERROR(__xludf.DUMMYFUNCTION("""COMPUTED_VALUE"""),1.0)</f>
        <v>1</v>
      </c>
      <c r="F110" s="108">
        <f>IFERROR(__xludf.DUMMYFUNCTION("""COMPUTED_VALUE"""),0.0)</f>
        <v>0</v>
      </c>
      <c r="G110" s="16"/>
      <c r="H110" s="16"/>
      <c r="I110" s="16"/>
      <c r="J110" s="16"/>
      <c r="K110" s="16"/>
      <c r="L110" s="16"/>
      <c r="M110" s="16"/>
      <c r="N110" s="16"/>
      <c r="O110" s="16"/>
      <c r="P110" s="16"/>
      <c r="Q110" s="16"/>
      <c r="R110" s="16"/>
      <c r="S110" s="16"/>
      <c r="T110" s="16"/>
      <c r="U110" s="16"/>
      <c r="V110" s="16"/>
      <c r="W110" s="16"/>
      <c r="X110" s="16"/>
      <c r="Y110" s="16"/>
      <c r="Z110" s="16"/>
      <c r="AA110" s="16"/>
      <c r="AB110" s="16"/>
      <c r="AC110" s="16"/>
      <c r="AD110" s="16"/>
      <c r="AE110" s="16"/>
      <c r="AF110" s="16" t="str">
        <f>IFERROR(__xludf.DUMMYFUNCTION("""COMPUTED_VALUE"""),"++Choose the rarity of the fish when fishing +-Cannot be forged +-Cannot be duplicated +-Can only equip one")</f>
        <v>++Choose the rarity of the fish when fishing +-Cannot be forged +-Cannot be duplicated +-Can only equip one</v>
      </c>
      <c r="AG110" s="16" t="str">
        <f>IFERROR(__xludf.DUMMYFUNCTION("""COMPUTED_VALUE"""),"Land of Spira")</f>
        <v>Land of Spira</v>
      </c>
      <c r="AH110" s="16" t="b">
        <f>IFERROR(__xludf.DUMMYFUNCTION("""COMPUTED_VALUE"""),FALSE)</f>
        <v>0</v>
      </c>
    </row>
    <row r="111">
      <c r="A111" s="16" t="str">
        <f>IFERROR(__xludf.DUMMYFUNCTION("""COMPUTED_VALUE"""),"Flame Band")</f>
        <v>Flame Band</v>
      </c>
      <c r="B111" s="16" t="str">
        <f>IFERROR(__xludf.DUMMYFUNCTION("""COMPUTED_VALUE"""),"Arms")</f>
        <v>Arms</v>
      </c>
      <c r="C111" s="16"/>
      <c r="D111" s="16"/>
      <c r="E111" s="16">
        <f>IFERROR(__xludf.DUMMYFUNCTION("""COMPUTED_VALUE"""),1.0)</f>
        <v>1</v>
      </c>
      <c r="F111" s="108">
        <f>IFERROR(__xludf.DUMMYFUNCTION("""COMPUTED_VALUE"""),0.0)</f>
        <v>0</v>
      </c>
      <c r="G111" s="16" t="str">
        <f>IFERROR(__xludf.DUMMYFUNCTION("""COMPUTED_VALUE"""),"DMG")</f>
        <v>DMG</v>
      </c>
      <c r="H111" s="16"/>
      <c r="I111" s="16"/>
      <c r="J111" s="16"/>
      <c r="K111" s="16"/>
      <c r="L111" s="16"/>
      <c r="M111" s="16"/>
      <c r="N111" s="16"/>
      <c r="O111" s="16"/>
      <c r="P111" s="16"/>
      <c r="Q111" s="16"/>
      <c r="R111" s="16"/>
      <c r="S111" s="16"/>
      <c r="T111" s="16"/>
      <c r="U111" s="16"/>
      <c r="V111" s="16"/>
      <c r="W111" s="16"/>
      <c r="X111" s="16"/>
      <c r="Y111" s="16"/>
      <c r="Z111" s="16"/>
      <c r="AA111" s="16"/>
      <c r="AB111" s="16"/>
      <c r="AC111" s="16"/>
      <c r="AD111" s="16"/>
      <c r="AE111" s="16"/>
      <c r="AF111" s="16" t="str">
        <f>IFERROR(__xludf.DUMMYFUNCTION("""COMPUTED_VALUE"""),"Fire Immune, X2 Additional fire damage. +-Cannot be duplicated")</f>
        <v>Fire Immune, X2 Additional fire damage. +-Cannot be duplicated</v>
      </c>
      <c r="AG111" s="16" t="str">
        <f>IFERROR(__xludf.DUMMYFUNCTION("""COMPUTED_VALUE"""),"Land of Spira")</f>
        <v>Land of Spira</v>
      </c>
      <c r="AH111" s="16" t="b">
        <f>IFERROR(__xludf.DUMMYFUNCTION("""COMPUTED_VALUE"""),FALSE)</f>
        <v>0</v>
      </c>
    </row>
    <row r="112">
      <c r="A112" s="16" t="str">
        <f>IFERROR(__xludf.DUMMYFUNCTION("""COMPUTED_VALUE"""),"Flame Mask")</f>
        <v>Flame Mask</v>
      </c>
      <c r="B112" s="16" t="str">
        <f>IFERROR(__xludf.DUMMYFUNCTION("""COMPUTED_VALUE"""),"Head")</f>
        <v>Head</v>
      </c>
      <c r="C112" s="16"/>
      <c r="D112" s="16"/>
      <c r="E112" s="16">
        <f>IFERROR(__xludf.DUMMYFUNCTION("""COMPUTED_VALUE"""),130.0)</f>
        <v>130</v>
      </c>
      <c r="F112" s="108">
        <f>IFERROR(__xludf.DUMMYFUNCTION("""COMPUTED_VALUE"""),780000.0)</f>
        <v>780000</v>
      </c>
      <c r="G112" s="16" t="str">
        <f>IFERROR(__xludf.DUMMYFUNCTION("""COMPUTED_VALUE"""),"DEF")</f>
        <v>DEF</v>
      </c>
      <c r="H112" s="16">
        <f>IFERROR(__xludf.DUMMYFUNCTION("""COMPUTED_VALUE"""),5000.0)</f>
        <v>5000</v>
      </c>
      <c r="I112" s="119">
        <f>IFERROR(__xludf.DUMMYFUNCTION("""COMPUTED_VALUE"""),1500.0)</f>
        <v>1500</v>
      </c>
      <c r="J112" s="16"/>
      <c r="K112" s="16"/>
      <c r="L112" s="16"/>
      <c r="M112" s="16"/>
      <c r="N112" s="16"/>
      <c r="O112" s="16"/>
      <c r="P112" s="16"/>
      <c r="Q112" s="16"/>
      <c r="R112" s="16"/>
      <c r="S112" s="16"/>
      <c r="T112" s="16"/>
      <c r="U112" s="16"/>
      <c r="V112" s="16"/>
      <c r="W112" s="16"/>
      <c r="X112" s="16"/>
      <c r="Y112" s="16"/>
      <c r="Z112" s="16"/>
      <c r="AA112" s="16"/>
      <c r="AB112" s="16"/>
      <c r="AC112" s="16"/>
      <c r="AD112" s="16"/>
      <c r="AE112" s="16"/>
      <c r="AF112" s="16" t="str">
        <f>IFERROR(__xludf.DUMMYFUNCTION("""COMPUTED_VALUE"""),"++Fire Immunity, ++X2 Additional fire resistance. +-Cannot be duplicated.")</f>
        <v>++Fire Immunity, ++X2 Additional fire resistance. +-Cannot be duplicated.</v>
      </c>
      <c r="AG112" s="16" t="str">
        <f>IFERROR(__xludf.DUMMYFUNCTION("""COMPUTED_VALUE"""),"Land of Spira")</f>
        <v>Land of Spira</v>
      </c>
      <c r="AH112" s="16" t="b">
        <f>IFERROR(__xludf.DUMMYFUNCTION("""COMPUTED_VALUE"""),FALSE)</f>
        <v>0</v>
      </c>
    </row>
    <row r="113">
      <c r="A113" s="16" t="str">
        <f>IFERROR(__xludf.DUMMYFUNCTION("""COMPUTED_VALUE"""),"Flamethrower")</f>
        <v>Flamethrower</v>
      </c>
      <c r="B113" s="16" t="str">
        <f>IFERROR(__xludf.DUMMYFUNCTION("""COMPUTED_VALUE"""),"Hand")</f>
        <v>Hand</v>
      </c>
      <c r="C113" s="16"/>
      <c r="D113" s="16" t="str">
        <f>IFERROR(__xludf.DUMMYFUNCTION("""COMPUTED_VALUE"""),"Firearm")</f>
        <v>Firearm</v>
      </c>
      <c r="E113" s="16">
        <f>IFERROR(__xludf.DUMMYFUNCTION("""COMPUTED_VALUE"""),700.0)</f>
        <v>700</v>
      </c>
      <c r="F113" s="108">
        <f>IFERROR(__xludf.DUMMYFUNCTION("""COMPUTED_VALUE"""),2.415E7)</f>
        <v>24150000</v>
      </c>
      <c r="G113" s="16" t="str">
        <f>IFERROR(__xludf.DUMMYFUNCTION("""COMPUTED_VALUE"""),"DMG")</f>
        <v>DMG</v>
      </c>
      <c r="H113" s="16"/>
      <c r="I113" s="119">
        <f>IFERROR(__xludf.DUMMYFUNCTION("""COMPUTED_VALUE"""),35000.0)</f>
        <v>35000</v>
      </c>
      <c r="J113" s="16"/>
      <c r="K113" s="16"/>
      <c r="L113" s="16"/>
      <c r="M113" s="16"/>
      <c r="N113" s="16"/>
      <c r="O113" s="16"/>
      <c r="P113" s="16"/>
      <c r="Q113" s="16"/>
      <c r="R113" s="16"/>
      <c r="S113" s="16"/>
      <c r="T113" s="16"/>
      <c r="U113" s="16"/>
      <c r="V113" s="16"/>
      <c r="W113" s="16"/>
      <c r="X113" s="16"/>
      <c r="Y113" s="16"/>
      <c r="Z113" s="16"/>
      <c r="AA113" s="16"/>
      <c r="AB113" s="16"/>
      <c r="AC113" s="16"/>
      <c r="AD113" s="16"/>
      <c r="AE113" s="16"/>
      <c r="AF113" s="16" t="str">
        <f>IFERROR(__xludf.DUMMYFUNCTION("""COMPUTED_VALUE"""),"++20% chance of hitting all enemies")</f>
        <v>++20% chance of hitting all enemies</v>
      </c>
      <c r="AG113" s="16" t="str">
        <f>IFERROR(__xludf.DUMMYFUNCTION("""COMPUTED_VALUE"""),"Land of Spira")</f>
        <v>Land of Spira</v>
      </c>
      <c r="AH113" s="16" t="b">
        <f>IFERROR(__xludf.DUMMYFUNCTION("""COMPUTED_VALUE"""),FALSE)</f>
        <v>0</v>
      </c>
    </row>
    <row r="114">
      <c r="A114" s="16" t="str">
        <f>IFERROR(__xludf.DUMMYFUNCTION("""COMPUTED_VALUE"""),"Flaming Sword")</f>
        <v>Flaming Sword</v>
      </c>
      <c r="B114" s="16" t="str">
        <f>IFERROR(__xludf.DUMMYFUNCTION("""COMPUTED_VALUE"""),"Hand")</f>
        <v>Hand</v>
      </c>
      <c r="C114" s="16"/>
      <c r="D114" s="16" t="str">
        <f>IFERROR(__xludf.DUMMYFUNCTION("""COMPUTED_VALUE"""),"Sword")</f>
        <v>Sword</v>
      </c>
      <c r="E114" s="16">
        <f>IFERROR(__xludf.DUMMYFUNCTION("""COMPUTED_VALUE"""),300.0)</f>
        <v>300</v>
      </c>
      <c r="F114" s="108">
        <f>IFERROR(__xludf.DUMMYFUNCTION("""COMPUTED_VALUE"""),4350000.0)</f>
        <v>4350000</v>
      </c>
      <c r="G114" s="16" t="str">
        <f>IFERROR(__xludf.DUMMYFUNCTION("""COMPUTED_VALUE"""),"DMG")</f>
        <v>DMG</v>
      </c>
      <c r="H114" s="16">
        <f>IFERROR(__xludf.DUMMYFUNCTION("""COMPUTED_VALUE"""),5000.0)</f>
        <v>5000</v>
      </c>
      <c r="I114" s="16">
        <f>IFERROR(__xludf.DUMMYFUNCTION("""COMPUTED_VALUE"""),5000.0)</f>
        <v>5000</v>
      </c>
      <c r="J114" s="16"/>
      <c r="K114" s="16"/>
      <c r="L114" s="16"/>
      <c r="M114" s="16"/>
      <c r="N114" s="16"/>
      <c r="O114" s="16"/>
      <c r="P114" s="16"/>
      <c r="Q114" s="16"/>
      <c r="R114" s="16"/>
      <c r="S114" s="16">
        <f>IFERROR(__xludf.DUMMYFUNCTION("""COMPUTED_VALUE"""),5000.0)</f>
        <v>5000</v>
      </c>
      <c r="T114" s="16"/>
      <c r="U114" s="16"/>
      <c r="V114" s="16"/>
      <c r="W114" s="16"/>
      <c r="X114" s="16"/>
      <c r="Y114" s="16"/>
      <c r="Z114" s="16"/>
      <c r="AA114" s="16"/>
      <c r="AB114" s="16"/>
      <c r="AC114" s="16"/>
      <c r="AD114" s="16"/>
      <c r="AE114" s="16"/>
      <c r="AF114" s="16" t="str">
        <f>IFERROR(__xludf.DUMMYFUNCTION("""COMPUTED_VALUE"""),"++Burn 1000")</f>
        <v>++Burn 1000</v>
      </c>
      <c r="AG114" s="16" t="str">
        <f>IFERROR(__xludf.DUMMYFUNCTION("""COMPUTED_VALUE"""),"Land of Spira")</f>
        <v>Land of Spira</v>
      </c>
      <c r="AH114" s="16" t="b">
        <f>IFERROR(__xludf.DUMMYFUNCTION("""COMPUTED_VALUE"""),FALSE)</f>
        <v>0</v>
      </c>
    </row>
    <row r="115">
      <c r="A115" s="16" t="str">
        <f>IFERROR(__xludf.DUMMYFUNCTION("""COMPUTED_VALUE"""),"Foul Night Blade")</f>
        <v>Foul Night Blade</v>
      </c>
      <c r="B115" s="16" t="str">
        <f>IFERROR(__xludf.DUMMYFUNCTION("""COMPUTED_VALUE"""),"Hand")</f>
        <v>Hand</v>
      </c>
      <c r="C115" s="16"/>
      <c r="D115" s="16" t="str">
        <f>IFERROR(__xludf.DUMMYFUNCTION("""COMPUTED_VALUE"""),"Sword")</f>
        <v>Sword</v>
      </c>
      <c r="E115" s="16">
        <f>IFERROR(__xludf.DUMMYFUNCTION("""COMPUTED_VALUE"""),200.0)</f>
        <v>200</v>
      </c>
      <c r="F115" s="108">
        <f>IFERROR(__xludf.DUMMYFUNCTION("""COMPUTED_VALUE"""),1900000.0)</f>
        <v>1900000</v>
      </c>
      <c r="G115" s="16" t="str">
        <f>IFERROR(__xludf.DUMMYFUNCTION("""COMPUTED_VALUE"""),"DMG")</f>
        <v>DMG</v>
      </c>
      <c r="H115" s="16">
        <f>IFERROR(__xludf.DUMMYFUNCTION("""COMPUTED_VALUE"""),5000.0)</f>
        <v>5000</v>
      </c>
      <c r="I115" s="16"/>
      <c r="J115" s="16"/>
      <c r="K115" s="16"/>
      <c r="L115" s="16"/>
      <c r="M115" s="16"/>
      <c r="N115" s="16"/>
      <c r="O115" s="16"/>
      <c r="P115" s="16"/>
      <c r="Q115" s="16"/>
      <c r="R115" s="16"/>
      <c r="S115" s="16">
        <f>IFERROR(__xludf.DUMMYFUNCTION("""COMPUTED_VALUE"""),5000.0)</f>
        <v>5000</v>
      </c>
      <c r="T115" s="16"/>
      <c r="U115" s="16"/>
      <c r="V115" s="16"/>
      <c r="W115" s="16"/>
      <c r="X115" s="16"/>
      <c r="Y115" s="16"/>
      <c r="Z115" s="16"/>
      <c r="AA115" s="16"/>
      <c r="AB115" s="16"/>
      <c r="AC115" s="16"/>
      <c r="AD115" s="16"/>
      <c r="AE115" s="16"/>
      <c r="AF115" s="16" t="str">
        <f>IFERROR(__xludf.DUMMYFUNCTION("""COMPUTED_VALUE"""),"(Foul Night Set) ++Poison 5000 for 3 rounds. ++Foul Night Embodiment - When Equipped  Any Dark, Nature or Poison damage is X4.")</f>
        <v>(Foul Night Set) ++Poison 5000 for 3 rounds. ++Foul Night Embodiment - When Equipped  Any Dark, Nature or Poison damage is X4.</v>
      </c>
      <c r="AG115" s="16" t="str">
        <f>IFERROR(__xludf.DUMMYFUNCTION("""COMPUTED_VALUE"""),"Land of Spira")</f>
        <v>Land of Spira</v>
      </c>
      <c r="AH115" s="16" t="b">
        <f>IFERROR(__xludf.DUMMYFUNCTION("""COMPUTED_VALUE"""),FALSE)</f>
        <v>0</v>
      </c>
    </row>
    <row r="116">
      <c r="A116" s="16" t="str">
        <f>IFERROR(__xludf.DUMMYFUNCTION("""COMPUTED_VALUE"""),"Freezing Chains")</f>
        <v>Freezing Chains</v>
      </c>
      <c r="B116" s="16" t="str">
        <f>IFERROR(__xludf.DUMMYFUNCTION("""COMPUTED_VALUE"""),"Hand")</f>
        <v>Hand</v>
      </c>
      <c r="C116" s="16"/>
      <c r="D116" s="16" t="str">
        <f>IFERROR(__xludf.DUMMYFUNCTION("""COMPUTED_VALUE"""),"Club")</f>
        <v>Club</v>
      </c>
      <c r="E116" s="16">
        <f>IFERROR(__xludf.DUMMYFUNCTION("""COMPUTED_VALUE"""),200.0)</f>
        <v>200</v>
      </c>
      <c r="F116" s="108">
        <f>IFERROR(__xludf.DUMMYFUNCTION("""COMPUTED_VALUE"""),1900000.0)</f>
        <v>1900000</v>
      </c>
      <c r="G116" s="16" t="str">
        <f>IFERROR(__xludf.DUMMYFUNCTION("""COMPUTED_VALUE"""),"DMG")</f>
        <v>DMG</v>
      </c>
      <c r="H116" s="16">
        <f>IFERROR(__xludf.DUMMYFUNCTION("""COMPUTED_VALUE"""),5000.0)</f>
        <v>5000</v>
      </c>
      <c r="I116" s="16"/>
      <c r="J116" s="16"/>
      <c r="K116" s="16">
        <f>IFERROR(__xludf.DUMMYFUNCTION("""COMPUTED_VALUE"""),5000.0)</f>
        <v>5000</v>
      </c>
      <c r="L116" s="16"/>
      <c r="M116" s="16"/>
      <c r="N116" s="16"/>
      <c r="O116" s="16"/>
      <c r="P116" s="16"/>
      <c r="Q116" s="16"/>
      <c r="R116" s="16"/>
      <c r="S116" s="16"/>
      <c r="T116" s="16"/>
      <c r="U116" s="16"/>
      <c r="V116" s="16"/>
      <c r="W116" s="16"/>
      <c r="X116" s="16"/>
      <c r="Y116" s="16"/>
      <c r="Z116" s="16"/>
      <c r="AA116" s="16"/>
      <c r="AB116" s="16"/>
      <c r="AC116" s="16"/>
      <c r="AD116" s="16"/>
      <c r="AE116" s="16"/>
      <c r="AF116" s="16" t="str">
        <f>IFERROR(__xludf.DUMMYFUNCTION("""COMPUTED_VALUE"""),"++Frost Bind- binds the target freezing them until the end of their next turn")</f>
        <v>++Frost Bind- binds the target freezing them until the end of their next turn</v>
      </c>
      <c r="AG116" s="16" t="str">
        <f>IFERROR(__xludf.DUMMYFUNCTION("""COMPUTED_VALUE"""),"Land of Spira")</f>
        <v>Land of Spira</v>
      </c>
      <c r="AH116" s="16" t="b">
        <f>IFERROR(__xludf.DUMMYFUNCTION("""COMPUTED_VALUE"""),FALSE)</f>
        <v>0</v>
      </c>
    </row>
    <row r="117">
      <c r="A117" s="16" t="str">
        <f>IFERROR(__xludf.DUMMYFUNCTION("""COMPUTED_VALUE"""),"Frost Bow")</f>
        <v>Frost Bow</v>
      </c>
      <c r="B117" s="16" t="str">
        <f>IFERROR(__xludf.DUMMYFUNCTION("""COMPUTED_VALUE"""),"Hand")</f>
        <v>Hand</v>
      </c>
      <c r="C117" s="16"/>
      <c r="D117" s="16" t="str">
        <f>IFERROR(__xludf.DUMMYFUNCTION("""COMPUTED_VALUE"""),"Bow")</f>
        <v>Bow</v>
      </c>
      <c r="E117" s="16">
        <f>IFERROR(__xludf.DUMMYFUNCTION("""COMPUTED_VALUE"""),180.0)</f>
        <v>180</v>
      </c>
      <c r="F117" s="108">
        <f>IFERROR(__xludf.DUMMYFUNCTION("""COMPUTED_VALUE"""),1530000.0)</f>
        <v>1530000</v>
      </c>
      <c r="G117" s="16" t="str">
        <f>IFERROR(__xludf.DUMMYFUNCTION("""COMPUTED_VALUE"""),"DMG")</f>
        <v>DMG</v>
      </c>
      <c r="H117" s="16">
        <f>IFERROR(__xludf.DUMMYFUNCTION("""COMPUTED_VALUE"""),5000.0)</f>
        <v>5000</v>
      </c>
      <c r="I117" s="16"/>
      <c r="J117" s="16"/>
      <c r="K117" s="16">
        <f>IFERROR(__xludf.DUMMYFUNCTION("""COMPUTED_VALUE"""),4000.0)</f>
        <v>4000</v>
      </c>
      <c r="L117" s="16"/>
      <c r="M117" s="16"/>
      <c r="N117" s="16"/>
      <c r="O117" s="16"/>
      <c r="P117" s="16"/>
      <c r="Q117" s="16"/>
      <c r="R117" s="16"/>
      <c r="S117" s="16"/>
      <c r="T117" s="16"/>
      <c r="U117" s="16"/>
      <c r="V117" s="16"/>
      <c r="W117" s="16"/>
      <c r="X117" s="16"/>
      <c r="Y117" s="16"/>
      <c r="Z117" s="16"/>
      <c r="AA117" s="16"/>
      <c r="AB117" s="16"/>
      <c r="AC117" s="16"/>
      <c r="AD117" s="16"/>
      <c r="AE117" s="16"/>
      <c r="AF117" s="16" t="str">
        <f>IFERROR(__xludf.DUMMYFUNCTION("""COMPUTED_VALUE"""),"++Arrows Used with this bow have a 50% chance to freeze the target(s)")</f>
        <v>++Arrows Used with this bow have a 50% chance to freeze the target(s)</v>
      </c>
      <c r="AG117" s="16" t="str">
        <f>IFERROR(__xludf.DUMMYFUNCTION("""COMPUTED_VALUE"""),"Land of Spira")</f>
        <v>Land of Spira</v>
      </c>
      <c r="AH117" s="16" t="b">
        <f>IFERROR(__xludf.DUMMYFUNCTION("""COMPUTED_VALUE"""),FALSE)</f>
        <v>0</v>
      </c>
    </row>
    <row r="118">
      <c r="A118" s="16" t="str">
        <f>IFERROR(__xludf.DUMMYFUNCTION("""COMPUTED_VALUE"""),"Frost Cloak")</f>
        <v>Frost Cloak</v>
      </c>
      <c r="B118" s="16" t="str">
        <f>IFERROR(__xludf.DUMMYFUNCTION("""COMPUTED_VALUE"""),"Torso")</f>
        <v>Torso</v>
      </c>
      <c r="C118" s="16"/>
      <c r="D118" s="16"/>
      <c r="E118" s="16">
        <f>IFERROR(__xludf.DUMMYFUNCTION("""COMPUTED_VALUE"""),1.0)</f>
        <v>1</v>
      </c>
      <c r="F118" s="108">
        <f>IFERROR(__xludf.DUMMYFUNCTION("""COMPUTED_VALUE"""),0.0)</f>
        <v>0</v>
      </c>
      <c r="G118" s="16"/>
      <c r="H118" s="16"/>
      <c r="I118" s="16"/>
      <c r="J118" s="16"/>
      <c r="K118" s="16"/>
      <c r="L118" s="16"/>
      <c r="M118" s="16"/>
      <c r="N118" s="16"/>
      <c r="O118" s="16"/>
      <c r="P118" s="16"/>
      <c r="Q118" s="16"/>
      <c r="R118" s="16"/>
      <c r="S118" s="16"/>
      <c r="T118" s="16"/>
      <c r="U118" s="16"/>
      <c r="V118" s="16"/>
      <c r="W118" s="16"/>
      <c r="X118" s="16"/>
      <c r="Y118" s="16"/>
      <c r="Z118" s="16"/>
      <c r="AA118" s="16"/>
      <c r="AB118" s="16"/>
      <c r="AC118" s="16"/>
      <c r="AD118" s="16"/>
      <c r="AE118" s="16"/>
      <c r="AF118" s="16" t="str">
        <f>IFERROR(__xludf.DUMMYFUNCTION("""COMPUTED_VALUE"""),"(Frost Mage Set) ++When caster is hit by an enemy,the enemy is frozen for 5r/s caster,s cloak last for 3 r/s 90 sp")</f>
        <v>(Frost Mage Set) ++When caster is hit by an enemy,the enemy is frozen for 5r/s caster,s cloak last for 3 r/s 90 sp</v>
      </c>
      <c r="AG118" s="16" t="str">
        <f>IFERROR(__xludf.DUMMYFUNCTION("""COMPUTED_VALUE"""),"Land of Spira")</f>
        <v>Land of Spira</v>
      </c>
      <c r="AH118" s="16" t="b">
        <f>IFERROR(__xludf.DUMMYFUNCTION("""COMPUTED_VALUE"""),FALSE)</f>
        <v>0</v>
      </c>
    </row>
    <row r="119">
      <c r="A119" s="16" t="str">
        <f>IFERROR(__xludf.DUMMYFUNCTION("""COMPUTED_VALUE"""),"Frost Spear")</f>
        <v>Frost Spear</v>
      </c>
      <c r="B119" s="16" t="str">
        <f>IFERROR(__xludf.DUMMYFUNCTION("""COMPUTED_VALUE"""),"Hand")</f>
        <v>Hand</v>
      </c>
      <c r="C119" s="16" t="str">
        <f>IFERROR(__xludf.DUMMYFUNCTION("""COMPUTED_VALUE"""),"Event Exclusive")</f>
        <v>Event Exclusive</v>
      </c>
      <c r="D119" s="16" t="str">
        <f>IFERROR(__xludf.DUMMYFUNCTION("""COMPUTED_VALUE"""),"Spear")</f>
        <v>Spear</v>
      </c>
      <c r="E119" s="16">
        <f>IFERROR(__xludf.DUMMYFUNCTION("""COMPUTED_VALUE"""),1000.0)</f>
        <v>1000</v>
      </c>
      <c r="F119" s="108">
        <f>IFERROR(__xludf.DUMMYFUNCTION("""COMPUTED_VALUE"""),4.95E7)</f>
        <v>49500000</v>
      </c>
      <c r="G119" s="16" t="str">
        <f>IFERROR(__xludf.DUMMYFUNCTION("""COMPUTED_VALUE"""),"DMG")</f>
        <v>DMG</v>
      </c>
      <c r="H119" s="16">
        <f>IFERROR(__xludf.DUMMYFUNCTION("""COMPUTED_VALUE"""),25000.0)</f>
        <v>25000</v>
      </c>
      <c r="I119" s="16"/>
      <c r="J119" s="16"/>
      <c r="K119" s="16"/>
      <c r="L119" s="16">
        <f>IFERROR(__xludf.DUMMYFUNCTION("""COMPUTED_VALUE"""),25000.0)</f>
        <v>25000</v>
      </c>
      <c r="M119" s="16"/>
      <c r="N119" s="16"/>
      <c r="O119" s="16"/>
      <c r="P119" s="16"/>
      <c r="Q119" s="16"/>
      <c r="R119" s="16"/>
      <c r="S119" s="16"/>
      <c r="T119" s="16"/>
      <c r="U119" s="16"/>
      <c r="V119" s="16"/>
      <c r="W119" s="16"/>
      <c r="X119" s="16"/>
      <c r="Y119" s="16"/>
      <c r="Z119" s="16"/>
      <c r="AA119" s="16"/>
      <c r="AB119" s="16"/>
      <c r="AC119" s="16"/>
      <c r="AD119" s="16"/>
      <c r="AE119" s="16"/>
      <c r="AF119" s="16" t="str">
        <f>IFERROR(__xludf.DUMMYFUNCTION("""COMPUTED_VALUE"""),"(The Frozen Spear Master Set) ++50% chance to freeze any enemies hit with this weapon")</f>
        <v>(The Frozen Spear Master Set) ++50% chance to freeze any enemies hit with this weapon</v>
      </c>
      <c r="AG119" s="16" t="str">
        <f>IFERROR(__xludf.DUMMYFUNCTION("""COMPUTED_VALUE"""),"Land of Spira")</f>
        <v>Land of Spira</v>
      </c>
      <c r="AH119" s="16" t="b">
        <f>IFERROR(__xludf.DUMMYFUNCTION("""COMPUTED_VALUE"""),TRUE)</f>
        <v>1</v>
      </c>
    </row>
    <row r="120">
      <c r="A120" s="16" t="str">
        <f>IFERROR(__xludf.DUMMYFUNCTION("""COMPUTED_VALUE"""),"Frozen Carrot Dagger")</f>
        <v>Frozen Carrot Dagger</v>
      </c>
      <c r="B120" s="16" t="str">
        <f>IFERROR(__xludf.DUMMYFUNCTION("""COMPUTED_VALUE"""),"Hand")</f>
        <v>Hand</v>
      </c>
      <c r="C120" s="16" t="str">
        <f>IFERROR(__xludf.DUMMYFUNCTION("""COMPUTED_VALUE"""),"Event Exclusive")</f>
        <v>Event Exclusive</v>
      </c>
      <c r="D120" s="16" t="str">
        <f>IFERROR(__xludf.DUMMYFUNCTION("""COMPUTED_VALUE"""),"Knife")</f>
        <v>Knife</v>
      </c>
      <c r="E120" s="16">
        <f>IFERROR(__xludf.DUMMYFUNCTION("""COMPUTED_VALUE"""),200.0)</f>
        <v>200</v>
      </c>
      <c r="F120" s="108">
        <f>IFERROR(__xludf.DUMMYFUNCTION("""COMPUTED_VALUE"""),1900000.0)</f>
        <v>1900000</v>
      </c>
      <c r="G120" s="16" t="str">
        <f>IFERROR(__xludf.DUMMYFUNCTION("""COMPUTED_VALUE"""),"DMG")</f>
        <v>DMG</v>
      </c>
      <c r="H120" s="16">
        <f>IFERROR(__xludf.DUMMYFUNCTION("""COMPUTED_VALUE"""),5000.0)</f>
        <v>5000</v>
      </c>
      <c r="I120" s="16"/>
      <c r="J120" s="16"/>
      <c r="K120" s="16">
        <f>IFERROR(__xludf.DUMMYFUNCTION("""COMPUTED_VALUE"""),5000.0)</f>
        <v>5000</v>
      </c>
      <c r="L120" s="16"/>
      <c r="M120" s="16"/>
      <c r="N120" s="16"/>
      <c r="O120" s="16"/>
      <c r="P120" s="16"/>
      <c r="Q120" s="16"/>
      <c r="R120" s="16"/>
      <c r="S120" s="16"/>
      <c r="T120" s="16"/>
      <c r="U120" s="16"/>
      <c r="V120" s="16"/>
      <c r="W120" s="16"/>
      <c r="X120" s="16"/>
      <c r="Y120" s="16"/>
      <c r="Z120" s="16"/>
      <c r="AA120" s="16"/>
      <c r="AB120" s="16"/>
      <c r="AC120" s="16"/>
      <c r="AD120" s="16"/>
      <c r="AE120" s="16"/>
      <c r="AF120" s="16"/>
      <c r="AG120" s="16" t="str">
        <f>IFERROR(__xludf.DUMMYFUNCTION("""COMPUTED_VALUE"""),"Land of Spira")</f>
        <v>Land of Spira</v>
      </c>
      <c r="AH120" s="16" t="b">
        <f>IFERROR(__xludf.DUMMYFUNCTION("""COMPUTED_VALUE"""),TRUE)</f>
        <v>1</v>
      </c>
    </row>
    <row r="121">
      <c r="A121" s="16" t="str">
        <f>IFERROR(__xludf.DUMMYFUNCTION("""COMPUTED_VALUE"""),"Frozen Falchion")</f>
        <v>Frozen Falchion</v>
      </c>
      <c r="B121" s="16" t="str">
        <f>IFERROR(__xludf.DUMMYFUNCTION("""COMPUTED_VALUE"""),"Hand")</f>
        <v>Hand</v>
      </c>
      <c r="C121" s="16"/>
      <c r="D121" s="16" t="str">
        <f>IFERROR(__xludf.DUMMYFUNCTION("""COMPUTED_VALUE"""),"Sword")</f>
        <v>Sword</v>
      </c>
      <c r="E121" s="16">
        <f>IFERROR(__xludf.DUMMYFUNCTION("""COMPUTED_VALUE"""),400.0)</f>
        <v>400</v>
      </c>
      <c r="F121" s="108">
        <f>IFERROR(__xludf.DUMMYFUNCTION("""COMPUTED_VALUE"""),7800000.0)</f>
        <v>7800000</v>
      </c>
      <c r="G121" s="16" t="str">
        <f>IFERROR(__xludf.DUMMYFUNCTION("""COMPUTED_VALUE"""),"DMG")</f>
        <v>DMG</v>
      </c>
      <c r="H121" s="119">
        <f>IFERROR(__xludf.DUMMYFUNCTION("""COMPUTED_VALUE"""),10000.0)</f>
        <v>10000</v>
      </c>
      <c r="I121" s="16"/>
      <c r="J121" s="16"/>
      <c r="K121" s="119">
        <f>IFERROR(__xludf.DUMMYFUNCTION("""COMPUTED_VALUE"""),10000.0)</f>
        <v>10000</v>
      </c>
      <c r="L121" s="16"/>
      <c r="M121" s="16"/>
      <c r="N121" s="16"/>
      <c r="O121" s="16"/>
      <c r="P121" s="16"/>
      <c r="Q121" s="16"/>
      <c r="R121" s="16"/>
      <c r="S121" s="16"/>
      <c r="T121" s="16"/>
      <c r="U121" s="16"/>
      <c r="V121" s="16"/>
      <c r="W121" s="16"/>
      <c r="X121" s="16"/>
      <c r="Y121" s="16"/>
      <c r="Z121" s="16"/>
      <c r="AA121" s="16"/>
      <c r="AB121" s="16"/>
      <c r="AC121" s="16"/>
      <c r="AD121" s="16"/>
      <c r="AE121" s="16"/>
      <c r="AF121" s="16" t="str">
        <f>IFERROR(__xludf.DUMMYFUNCTION("""COMPUTED_VALUE"""),"++40% chance to freeze the target. ++While enemies are frozen in battle they will take 20,000 Water damage per round. +-Cannot be duplicated.")</f>
        <v>++40% chance to freeze the target. ++While enemies are frozen in battle they will take 20,000 Water damage per round. +-Cannot be duplicated.</v>
      </c>
      <c r="AG121" s="16" t="str">
        <f>IFERROR(__xludf.DUMMYFUNCTION("""COMPUTED_VALUE"""),"Land of Spira")</f>
        <v>Land of Spira</v>
      </c>
      <c r="AH121" s="16" t="b">
        <f>IFERROR(__xludf.DUMMYFUNCTION("""COMPUTED_VALUE"""),FALSE)</f>
        <v>0</v>
      </c>
    </row>
    <row r="122">
      <c r="A122" s="16" t="str">
        <f>IFERROR(__xludf.DUMMYFUNCTION("""COMPUTED_VALUE"""),"Frozen Soul Lantern")</f>
        <v>Frozen Soul Lantern</v>
      </c>
      <c r="B122" s="16" t="str">
        <f>IFERROR(__xludf.DUMMYFUNCTION("""COMPUTED_VALUE"""),"Hand")</f>
        <v>Hand</v>
      </c>
      <c r="C122" s="16"/>
      <c r="D122" s="16" t="str">
        <f>IFERROR(__xludf.DUMMYFUNCTION("""COMPUTED_VALUE"""),"Wand")</f>
        <v>Wand</v>
      </c>
      <c r="E122" s="16">
        <f>IFERROR(__xludf.DUMMYFUNCTION("""COMPUTED_VALUE"""),1.0)</f>
        <v>1</v>
      </c>
      <c r="F122" s="108">
        <f>IFERROR(__xludf.DUMMYFUNCTION("""COMPUTED_VALUE"""),0.0)</f>
        <v>0</v>
      </c>
      <c r="G122" s="16"/>
      <c r="H122" s="16"/>
      <c r="I122" s="16"/>
      <c r="J122" s="16"/>
      <c r="K122" s="16"/>
      <c r="L122" s="16"/>
      <c r="M122" s="16"/>
      <c r="N122" s="16"/>
      <c r="O122" s="16"/>
      <c r="P122" s="16"/>
      <c r="Q122" s="16"/>
      <c r="R122" s="16"/>
      <c r="S122" s="16"/>
      <c r="T122" s="16"/>
      <c r="U122" s="16"/>
      <c r="V122" s="16"/>
      <c r="W122" s="16"/>
      <c r="X122" s="16"/>
      <c r="Y122" s="16"/>
      <c r="Z122" s="16"/>
      <c r="AA122" s="16"/>
      <c r="AB122" s="16"/>
      <c r="AC122" s="16"/>
      <c r="AD122" s="16"/>
      <c r="AE122" s="16"/>
      <c r="AF122" s="16" t="str">
        <f>IFERROR(__xludf.DUMMYFUNCTION("""COMPUTED_VALUE"""),"++When a spell that deals damage is casted by an enemy this item will inflict the effect Frostburn. ++Frostburn - The Targets spell damage is halved.")</f>
        <v>++When a spell that deals damage is casted by an enemy this item will inflict the effect Frostburn. ++Frostburn - The Targets spell damage is halved.</v>
      </c>
      <c r="AG122" s="16" t="str">
        <f>IFERROR(__xludf.DUMMYFUNCTION("""COMPUTED_VALUE"""),"Land of Spira")</f>
        <v>Land of Spira</v>
      </c>
      <c r="AH122" s="16" t="b">
        <f>IFERROR(__xludf.DUMMYFUNCTION("""COMPUTED_VALUE"""),FALSE)</f>
        <v>0</v>
      </c>
    </row>
    <row r="123">
      <c r="A123" s="16" t="str">
        <f>IFERROR(__xludf.DUMMYFUNCTION("""COMPUTED_VALUE"""),"Gargoyle War Horn")</f>
        <v>Gargoyle War Horn</v>
      </c>
      <c r="B123" s="16" t="str">
        <f>IFERROR(__xludf.DUMMYFUNCTION("""COMPUTED_VALUE"""),"Hand")</f>
        <v>Hand</v>
      </c>
      <c r="C123" s="16"/>
      <c r="D123" s="16" t="str">
        <f>IFERROR(__xludf.DUMMYFUNCTION("""COMPUTED_VALUE"""),"Wand")</f>
        <v>Wand</v>
      </c>
      <c r="E123" s="16">
        <f>IFERROR(__xludf.DUMMYFUNCTION("""COMPUTED_VALUE"""),1.0)</f>
        <v>1</v>
      </c>
      <c r="F123" s="108">
        <f>IFERROR(__xludf.DUMMYFUNCTION("""COMPUTED_VALUE"""),0.0)</f>
        <v>0</v>
      </c>
      <c r="G123" s="16"/>
      <c r="H123" s="16"/>
      <c r="I123" s="16"/>
      <c r="J123" s="16"/>
      <c r="K123" s="16"/>
      <c r="L123" s="16"/>
      <c r="M123" s="16"/>
      <c r="N123" s="16"/>
      <c r="O123" s="16"/>
      <c r="P123" s="16"/>
      <c r="Q123" s="16"/>
      <c r="R123" s="16"/>
      <c r="S123" s="16"/>
      <c r="T123" s="16"/>
      <c r="U123" s="16"/>
      <c r="V123" s="16"/>
      <c r="W123" s="16"/>
      <c r="X123" s="16"/>
      <c r="Y123" s="16"/>
      <c r="Z123" s="16"/>
      <c r="AA123" s="16"/>
      <c r="AB123" s="16"/>
      <c r="AC123" s="16"/>
      <c r="AD123" s="16"/>
      <c r="AE123" s="16"/>
      <c r="AF123" s="16" t="str">
        <f>IFERROR(__xludf.DUMMYFUNCTION("""COMPUTED_VALUE"""),"++Summons a d2 of Gargoyles to help you in battle. +-Can only be used once per battle.")</f>
        <v>++Summons a d2 of Gargoyles to help you in battle. +-Can only be used once per battle.</v>
      </c>
      <c r="AG123" s="16" t="str">
        <f>IFERROR(__xludf.DUMMYFUNCTION("""COMPUTED_VALUE"""),"Abstara")</f>
        <v>Abstara</v>
      </c>
      <c r="AH123" s="16" t="b">
        <f>IFERROR(__xludf.DUMMYFUNCTION("""COMPUTED_VALUE"""),FALSE)</f>
        <v>0</v>
      </c>
    </row>
    <row r="124">
      <c r="A124" s="16" t="str">
        <f>IFERROR(__xludf.DUMMYFUNCTION("""COMPUTED_VALUE"""),"Gargoyle’s Heavy Enchanted Bow")</f>
        <v>Gargoyle’s Heavy Enchanted Bow</v>
      </c>
      <c r="B124" s="16" t="str">
        <f>IFERROR(__xludf.DUMMYFUNCTION("""COMPUTED_VALUE"""),"Hand")</f>
        <v>Hand</v>
      </c>
      <c r="C124" s="16"/>
      <c r="D124" s="16" t="str">
        <f>IFERROR(__xludf.DUMMYFUNCTION("""COMPUTED_VALUE"""),"Bow")</f>
        <v>Bow</v>
      </c>
      <c r="E124" s="16">
        <f>IFERROR(__xludf.DUMMYFUNCTION("""COMPUTED_VALUE"""),3000.0)</f>
        <v>3000</v>
      </c>
      <c r="F124" s="108">
        <f>IFERROR(__xludf.DUMMYFUNCTION("""COMPUTED_VALUE"""),4.485E8)</f>
        <v>448500000</v>
      </c>
      <c r="G124" s="16" t="str">
        <f>IFERROR(__xludf.DUMMYFUNCTION("""COMPUTED_VALUE"""),"DMG")</f>
        <v>DMG</v>
      </c>
      <c r="H124" s="119">
        <f>IFERROR(__xludf.DUMMYFUNCTION("""COMPUTED_VALUE"""),100000.0)</f>
        <v>100000</v>
      </c>
      <c r="I124" s="16"/>
      <c r="J124" s="16"/>
      <c r="K124" s="16"/>
      <c r="L124" s="16"/>
      <c r="M124" s="119">
        <f>IFERROR(__xludf.DUMMYFUNCTION("""COMPUTED_VALUE"""),50000.0)</f>
        <v>50000</v>
      </c>
      <c r="N124" s="16"/>
      <c r="O124" s="16"/>
      <c r="P124" s="16"/>
      <c r="Q124" s="16"/>
      <c r="R124" s="16"/>
      <c r="S124" s="16"/>
      <c r="T124" s="16"/>
      <c r="U124" s="16"/>
      <c r="V124" s="16"/>
      <c r="W124" s="16"/>
      <c r="X124" s="16"/>
      <c r="Y124" s="16"/>
      <c r="Z124" s="16"/>
      <c r="AA124" s="16"/>
      <c r="AB124" s="16"/>
      <c r="AC124" s="16"/>
      <c r="AD124" s="16"/>
      <c r="AE124" s="16"/>
      <c r="AF124" s="16" t="str">
        <f>IFERROR(__xludf.DUMMYFUNCTION("""COMPUTED_VALUE"""),"++Damage dealt with this bow gives you hp back equal to the damage you dealt. ")</f>
        <v>++Damage dealt with this bow gives you hp back equal to the damage you dealt. </v>
      </c>
      <c r="AG124" s="16" t="str">
        <f>IFERROR(__xludf.DUMMYFUNCTION("""COMPUTED_VALUE"""),"Abstara")</f>
        <v>Abstara</v>
      </c>
      <c r="AH124" s="16" t="b">
        <f>IFERROR(__xludf.DUMMYFUNCTION("""COMPUTED_VALUE"""),FALSE)</f>
        <v>0</v>
      </c>
    </row>
    <row r="125">
      <c r="A125" s="16" t="str">
        <f>IFERROR(__xludf.DUMMYFUNCTION("""COMPUTED_VALUE"""),"Gargoyle’s Necklace of Luck ")</f>
        <v>Gargoyle’s Necklace of Luck </v>
      </c>
      <c r="B125" s="16" t="str">
        <f>IFERROR(__xludf.DUMMYFUNCTION("""COMPUTED_VALUE"""),"Neck")</f>
        <v>Neck</v>
      </c>
      <c r="C125" s="16"/>
      <c r="D125" s="16"/>
      <c r="E125" s="16">
        <f>IFERROR(__xludf.DUMMYFUNCTION("""COMPUTED_VALUE"""),1.0)</f>
        <v>1</v>
      </c>
      <c r="F125" s="108">
        <f>IFERROR(__xludf.DUMMYFUNCTION("""COMPUTED_VALUE"""),0.0)</f>
        <v>0</v>
      </c>
      <c r="G125" s="16"/>
      <c r="H125" s="16"/>
      <c r="I125" s="16"/>
      <c r="J125" s="16"/>
      <c r="K125" s="16"/>
      <c r="L125" s="16"/>
      <c r="M125" s="16"/>
      <c r="N125" s="16"/>
      <c r="O125" s="16"/>
      <c r="P125" s="16"/>
      <c r="Q125" s="16"/>
      <c r="R125" s="16"/>
      <c r="S125" s="16"/>
      <c r="T125" s="16"/>
      <c r="U125" s="16"/>
      <c r="V125" s="16"/>
      <c r="W125" s="16"/>
      <c r="X125" s="16"/>
      <c r="Y125" s="16"/>
      <c r="Z125" s="16"/>
      <c r="AA125" s="16"/>
      <c r="AB125" s="16"/>
      <c r="AC125" s="16"/>
      <c r="AD125" s="16"/>
      <c r="AE125" s="16"/>
      <c r="AF125" s="16" t="str">
        <f>IFERROR(__xludf.DUMMYFUNCTION("""COMPUTED_VALUE"""),"++Allows 1 d20 roll to be a 20 once per battle or 1 rp action per day of travel. +-Cannot be forged +-Cannot be duplicated +-Can only equip one")</f>
        <v>++Allows 1 d20 roll to be a 20 once per battle or 1 rp action per day of travel. +-Cannot be forged +-Cannot be duplicated +-Can only equip one</v>
      </c>
      <c r="AG125" s="16" t="str">
        <f>IFERROR(__xludf.DUMMYFUNCTION("""COMPUTED_VALUE"""),"Abstara")</f>
        <v>Abstara</v>
      </c>
      <c r="AH125" s="16" t="b">
        <f>IFERROR(__xludf.DUMMYFUNCTION("""COMPUTED_VALUE"""),FALSE)</f>
        <v>0</v>
      </c>
    </row>
    <row r="126">
      <c r="A126" s="16" t="str">
        <f>IFERROR(__xludf.DUMMYFUNCTION("""COMPUTED_VALUE"""),"Gargoyle’s Ring")</f>
        <v>Gargoyle’s Ring</v>
      </c>
      <c r="B126" s="16" t="str">
        <f>IFERROR(__xludf.DUMMYFUNCTION("""COMPUTED_VALUE"""),"Ring")</f>
        <v>Ring</v>
      </c>
      <c r="C126" s="16"/>
      <c r="D126" s="16"/>
      <c r="E126" s="16">
        <f>IFERROR(__xludf.DUMMYFUNCTION("""COMPUTED_VALUE"""),1.0)</f>
        <v>1</v>
      </c>
      <c r="F126" s="108">
        <f>IFERROR(__xludf.DUMMYFUNCTION("""COMPUTED_VALUE"""),0.0)</f>
        <v>0</v>
      </c>
      <c r="G126" s="16"/>
      <c r="H126" s="16"/>
      <c r="I126" s="16"/>
      <c r="J126" s="16"/>
      <c r="K126" s="16"/>
      <c r="L126" s="16"/>
      <c r="M126" s="16"/>
      <c r="N126" s="16"/>
      <c r="O126" s="16"/>
      <c r="P126" s="16"/>
      <c r="Q126" s="16"/>
      <c r="R126" s="16"/>
      <c r="S126" s="16"/>
      <c r="T126" s="16"/>
      <c r="U126" s="16"/>
      <c r="V126" s="16"/>
      <c r="W126" s="16"/>
      <c r="X126" s="16"/>
      <c r="Y126" s="16"/>
      <c r="Z126" s="16"/>
      <c r="AA126" s="16"/>
      <c r="AB126" s="16"/>
      <c r="AC126" s="16"/>
      <c r="AD126" s="16"/>
      <c r="AE126" s="16"/>
      <c r="AF126" s="16" t="str">
        <f>IFERROR(__xludf.DUMMYFUNCTION("""COMPUTED_VALUE"""),"++If you chose the gargoyle race as your main starting race this ring will make it so you will not become hardened.")</f>
        <v>++If you chose the gargoyle race as your main starting race this ring will make it so you will not become hardened.</v>
      </c>
      <c r="AG126" s="16" t="str">
        <f>IFERROR(__xludf.DUMMYFUNCTION("""COMPUTED_VALUE"""),"Abstara")</f>
        <v>Abstara</v>
      </c>
      <c r="AH126" s="16" t="b">
        <f>IFERROR(__xludf.DUMMYFUNCTION("""COMPUTED_VALUE"""),FALSE)</f>
        <v>0</v>
      </c>
    </row>
    <row r="127">
      <c r="A127" s="16" t="str">
        <f>IFERROR(__xludf.DUMMYFUNCTION("""COMPUTED_VALUE"""),"Giant Spider Leg")</f>
        <v>Giant Spider Leg</v>
      </c>
      <c r="B127" s="16" t="str">
        <f>IFERROR(__xludf.DUMMYFUNCTION("""COMPUTED_VALUE"""),"Hand")</f>
        <v>Hand</v>
      </c>
      <c r="C127" s="16"/>
      <c r="D127" s="16" t="str">
        <f>IFERROR(__xludf.DUMMYFUNCTION("""COMPUTED_VALUE"""),"Knife")</f>
        <v>Knife</v>
      </c>
      <c r="E127" s="16">
        <f>IFERROR(__xludf.DUMMYFUNCTION("""COMPUTED_VALUE"""),200.0)</f>
        <v>200</v>
      </c>
      <c r="F127" s="108">
        <f>IFERROR(__xludf.DUMMYFUNCTION("""COMPUTED_VALUE"""),1900000.0)</f>
        <v>1900000</v>
      </c>
      <c r="G127" s="16" t="str">
        <f>IFERROR(__xludf.DUMMYFUNCTION("""COMPUTED_VALUE"""),"ATK")</f>
        <v>ATK</v>
      </c>
      <c r="H127" s="16">
        <f>IFERROR(__xludf.DUMMYFUNCTION("""COMPUTED_VALUE"""),10000.0)</f>
        <v>10000</v>
      </c>
      <c r="I127" s="16"/>
      <c r="J127" s="16"/>
      <c r="K127" s="16"/>
      <c r="L127" s="16"/>
      <c r="M127" s="16"/>
      <c r="N127" s="16"/>
      <c r="O127" s="16"/>
      <c r="P127" s="16"/>
      <c r="Q127" s="16"/>
      <c r="R127" s="16"/>
      <c r="S127" s="16"/>
      <c r="T127" s="16"/>
      <c r="U127" s="16"/>
      <c r="V127" s="16"/>
      <c r="W127" s="16"/>
      <c r="X127" s="16"/>
      <c r="Y127" s="16"/>
      <c r="Z127" s="16"/>
      <c r="AA127" s="16"/>
      <c r="AB127" s="16"/>
      <c r="AC127" s="16"/>
      <c r="AD127" s="16"/>
      <c r="AE127" s="16"/>
      <c r="AF127" s="16" t="str">
        <f>IFERROR(__xludf.DUMMYFUNCTION("""COMPUTED_VALUE"""),"++When hitting an enemy inflict them with poison 500")</f>
        <v>++When hitting an enemy inflict them with poison 500</v>
      </c>
      <c r="AG127" s="16" t="str">
        <f>IFERROR(__xludf.DUMMYFUNCTION("""COMPUTED_VALUE"""),"Land of Spira")</f>
        <v>Land of Spira</v>
      </c>
      <c r="AH127" s="16" t="b">
        <f>IFERROR(__xludf.DUMMYFUNCTION("""COMPUTED_VALUE"""),FALSE)</f>
        <v>0</v>
      </c>
    </row>
    <row r="128">
      <c r="A128" s="16" t="str">
        <f>IFERROR(__xludf.DUMMYFUNCTION("""COMPUTED_VALUE"""),"Glass Shield")</f>
        <v>Glass Shield</v>
      </c>
      <c r="B128" s="16" t="str">
        <f>IFERROR(__xludf.DUMMYFUNCTION("""COMPUTED_VALUE"""),"Hand")</f>
        <v>Hand</v>
      </c>
      <c r="C128" s="16"/>
      <c r="D128" s="16" t="str">
        <f>IFERROR(__xludf.DUMMYFUNCTION("""COMPUTED_VALUE"""),"Towershield")</f>
        <v>Towershield</v>
      </c>
      <c r="E128" s="16">
        <f>IFERROR(__xludf.DUMMYFUNCTION("""COMPUTED_VALUE"""),1000.0)</f>
        <v>1000</v>
      </c>
      <c r="F128" s="108">
        <f>IFERROR(__xludf.DUMMYFUNCTION("""COMPUTED_VALUE"""),4.95E7)</f>
        <v>49500000</v>
      </c>
      <c r="G128" s="16" t="str">
        <f>IFERROR(__xludf.DUMMYFUNCTION("""COMPUTED_VALUE"""),"DEF")</f>
        <v>DEF</v>
      </c>
      <c r="H128" s="119">
        <f>IFERROR(__xludf.DUMMYFUNCTION("""COMPUTED_VALUE"""),50000.0)</f>
        <v>50000</v>
      </c>
      <c r="I128" s="16"/>
      <c r="J128" s="16"/>
      <c r="K128" s="16"/>
      <c r="L128" s="16"/>
      <c r="M128" s="16"/>
      <c r="N128" s="16"/>
      <c r="O128" s="16"/>
      <c r="P128" s="16"/>
      <c r="Q128" s="16"/>
      <c r="R128" s="16"/>
      <c r="S128" s="16"/>
      <c r="T128" s="16"/>
      <c r="U128" s="16"/>
      <c r="V128" s="16"/>
      <c r="W128" s="16"/>
      <c r="X128" s="16"/>
      <c r="Y128" s="16"/>
      <c r="Z128" s="16"/>
      <c r="AA128" s="16"/>
      <c r="AB128" s="16"/>
      <c r="AC128" s="16"/>
      <c r="AD128" s="16"/>
      <c r="AE128" s="16"/>
      <c r="AF128" s="16" t="str">
        <f>IFERROR(__xludf.DUMMYFUNCTION("""COMPUTED_VALUE"""),"+-has a 50% chance of breaking upon taking damage")</f>
        <v>+-has a 50% chance of breaking upon taking damage</v>
      </c>
      <c r="AG128" s="16" t="str">
        <f>IFERROR(__xludf.DUMMYFUNCTION("""COMPUTED_VALUE"""),"Land of Spira")</f>
        <v>Land of Spira</v>
      </c>
      <c r="AH128" s="16" t="b">
        <f>IFERROR(__xludf.DUMMYFUNCTION("""COMPUTED_VALUE"""),FALSE)</f>
        <v>0</v>
      </c>
    </row>
    <row r="129">
      <c r="A129" s="16" t="str">
        <f>IFERROR(__xludf.DUMMYFUNCTION("""COMPUTED_VALUE"""),"Goose Staff")</f>
        <v>Goose Staff</v>
      </c>
      <c r="B129" s="16" t="str">
        <f>IFERROR(__xludf.DUMMYFUNCTION("""COMPUTED_VALUE"""),"Hand")</f>
        <v>Hand</v>
      </c>
      <c r="C129" s="16"/>
      <c r="D129" s="16" t="str">
        <f>IFERROR(__xludf.DUMMYFUNCTION("""COMPUTED_VALUE"""),"Staff")</f>
        <v>Staff</v>
      </c>
      <c r="E129" s="16">
        <f>IFERROR(__xludf.DUMMYFUNCTION("""COMPUTED_VALUE"""),1.0)</f>
        <v>1</v>
      </c>
      <c r="F129" s="108">
        <f>IFERROR(__xludf.DUMMYFUNCTION("""COMPUTED_VALUE"""),0.0)</f>
        <v>0</v>
      </c>
      <c r="G129" s="16"/>
      <c r="H129" s="16"/>
      <c r="I129" s="16"/>
      <c r="J129" s="16"/>
      <c r="K129" s="16"/>
      <c r="L129" s="16"/>
      <c r="M129" s="16"/>
      <c r="N129" s="16"/>
      <c r="O129" s="16"/>
      <c r="P129" s="16"/>
      <c r="Q129" s="16"/>
      <c r="R129" s="16"/>
      <c r="S129" s="16"/>
      <c r="T129" s="16"/>
      <c r="U129" s="16"/>
      <c r="V129" s="16"/>
      <c r="W129" s="16"/>
      <c r="X129" s="16"/>
      <c r="Y129" s="16"/>
      <c r="Z129" s="16"/>
      <c r="AA129" s="16"/>
      <c r="AB129" s="16"/>
      <c r="AC129" s="16"/>
      <c r="AD129" s="16"/>
      <c r="AE129" s="16"/>
      <c r="AF129" s="16" t="str">
        <f>IFERROR(__xludf.DUMMYFUNCTION("""COMPUTED_VALUE"""),"++Summons Lord Goose to aid you in battle, 1000 SP.")</f>
        <v>++Summons Lord Goose to aid you in battle, 1000 SP.</v>
      </c>
      <c r="AG129" s="16" t="str">
        <f>IFERROR(__xludf.DUMMYFUNCTION("""COMPUTED_VALUE"""),"Land of Spira")</f>
        <v>Land of Spira</v>
      </c>
      <c r="AH129" s="16" t="b">
        <f>IFERROR(__xludf.DUMMYFUNCTION("""COMPUTED_VALUE"""),FALSE)</f>
        <v>0</v>
      </c>
    </row>
    <row r="130">
      <c r="A130" s="16" t="str">
        <f>IFERROR(__xludf.DUMMYFUNCTION("""COMPUTED_VALUE"""),"Grand Hellfire Sword")</f>
        <v>Grand Hellfire Sword</v>
      </c>
      <c r="B130" s="16" t="str">
        <f>IFERROR(__xludf.DUMMYFUNCTION("""COMPUTED_VALUE"""),"Hand")</f>
        <v>Hand</v>
      </c>
      <c r="C130" s="16"/>
      <c r="D130" s="16" t="str">
        <f>IFERROR(__xludf.DUMMYFUNCTION("""COMPUTED_VALUE"""),"Sword")</f>
        <v>Sword</v>
      </c>
      <c r="E130" s="16">
        <f>IFERROR(__xludf.DUMMYFUNCTION("""COMPUTED_VALUE"""),200.0)</f>
        <v>200</v>
      </c>
      <c r="F130" s="108">
        <f>IFERROR(__xludf.DUMMYFUNCTION("""COMPUTED_VALUE"""),1.797E9)</f>
        <v>1797000000</v>
      </c>
      <c r="G130" s="16" t="str">
        <f>IFERROR(__xludf.DUMMYFUNCTION("""COMPUTED_VALUE"""),"DMG")</f>
        <v>DMG</v>
      </c>
      <c r="H130" s="119">
        <f>IFERROR(__xludf.DUMMYFUNCTION("""COMPUTED_VALUE"""),50000.0)</f>
        <v>50000</v>
      </c>
      <c r="I130" s="119">
        <f>IFERROR(__xludf.DUMMYFUNCTION("""COMPUTED_VALUE"""),100000.0)</f>
        <v>100000</v>
      </c>
      <c r="J130" s="16"/>
      <c r="K130" s="16"/>
      <c r="L130" s="16"/>
      <c r="M130" s="16"/>
      <c r="N130" s="16"/>
      <c r="O130" s="119">
        <f>IFERROR(__xludf.DUMMYFUNCTION("""COMPUTED_VALUE"""),50000.0)</f>
        <v>50000</v>
      </c>
      <c r="P130" s="16"/>
      <c r="Q130" s="16"/>
      <c r="R130" s="119">
        <f>IFERROR(__xludf.DUMMYFUNCTION("""COMPUTED_VALUE"""),50000.0)</f>
        <v>50000</v>
      </c>
      <c r="S130" s="16"/>
      <c r="T130" s="16"/>
      <c r="U130" s="16"/>
      <c r="V130" s="16"/>
      <c r="W130" s="16"/>
      <c r="X130" s="16"/>
      <c r="Y130" s="16"/>
      <c r="Z130" s="16"/>
      <c r="AA130" s="16"/>
      <c r="AB130" s="16"/>
      <c r="AC130" s="119">
        <f>IFERROR(__xludf.DUMMYFUNCTION("""COMPUTED_VALUE"""),50000.0)</f>
        <v>50000</v>
      </c>
      <c r="AD130" s="16"/>
      <c r="AE130" s="16"/>
      <c r="AF130" s="16" t="str">
        <f>IFERROR(__xludf.DUMMYFUNCTION("""COMPUTED_VALUE"""),"++Upon a successful hit this weapon will have a 20% chance to summon a Grand Dark and Fire Mage, Level is determined by DM/GM. +-Cannot be Duplicated.")</f>
        <v>++Upon a successful hit this weapon will have a 20% chance to summon a Grand Dark and Fire Mage, Level is determined by DM/GM. +-Cannot be Duplicated.</v>
      </c>
      <c r="AG130" s="16" t="str">
        <f>IFERROR(__xludf.DUMMYFUNCTION("""COMPUTED_VALUE"""),"Abstara")</f>
        <v>Abstara</v>
      </c>
      <c r="AH130" s="16" t="b">
        <f>IFERROR(__xludf.DUMMYFUNCTION("""COMPUTED_VALUE"""),FALSE)</f>
        <v>0</v>
      </c>
    </row>
    <row r="131">
      <c r="A131" s="16" t="str">
        <f>IFERROR(__xludf.DUMMYFUNCTION("""COMPUTED_VALUE"""),"Grand Master Bow")</f>
        <v>Grand Master Bow</v>
      </c>
      <c r="B131" s="16" t="str">
        <f>IFERROR(__xludf.DUMMYFUNCTION("""COMPUTED_VALUE"""),"Hand")</f>
        <v>Hand</v>
      </c>
      <c r="C131" s="16"/>
      <c r="D131" s="16" t="str">
        <f>IFERROR(__xludf.DUMMYFUNCTION("""COMPUTED_VALUE"""),"Bow")</f>
        <v>Bow</v>
      </c>
      <c r="E131" s="16">
        <f>IFERROR(__xludf.DUMMYFUNCTION("""COMPUTED_VALUE"""),20.0)</f>
        <v>20</v>
      </c>
      <c r="F131" s="108">
        <f>IFERROR(__xludf.DUMMYFUNCTION("""COMPUTED_VALUE"""),10000.0)</f>
        <v>10000</v>
      </c>
      <c r="G131" s="16" t="str">
        <f>IFERROR(__xludf.DUMMYFUNCTION("""COMPUTED_VALUE"""),"DMG")</f>
        <v>DMG</v>
      </c>
      <c r="H131" s="16">
        <f>IFERROR(__xludf.DUMMYFUNCTION("""COMPUTED_VALUE"""),1000.0)</f>
        <v>1000</v>
      </c>
      <c r="I131" s="16"/>
      <c r="J131" s="16"/>
      <c r="K131" s="16"/>
      <c r="L131" s="16"/>
      <c r="M131" s="16"/>
      <c r="N131" s="16"/>
      <c r="O131" s="16"/>
      <c r="P131" s="16"/>
      <c r="Q131" s="16"/>
      <c r="R131" s="16"/>
      <c r="S131" s="16"/>
      <c r="T131" s="16"/>
      <c r="U131" s="16"/>
      <c r="V131" s="16"/>
      <c r="W131" s="16"/>
      <c r="X131" s="16"/>
      <c r="Y131" s="16"/>
      <c r="Z131" s="16"/>
      <c r="AA131" s="16"/>
      <c r="AB131" s="16"/>
      <c r="AC131" s="16"/>
      <c r="AD131" s="16"/>
      <c r="AE131" s="16"/>
      <c r="AF131" s="16" t="str">
        <f>IFERROR(__xludf.DUMMYFUNCTION("""COMPUTED_VALUE"""),"++X4 additional damage towards ranged attacks. +-Only Archers can equip. +-Cannot be duplicated. ")</f>
        <v>++X4 additional damage towards ranged attacks. +-Only Archers can equip. +-Cannot be duplicated. </v>
      </c>
      <c r="AG131" s="16" t="str">
        <f>IFERROR(__xludf.DUMMYFUNCTION("""COMPUTED_VALUE"""),"Land of Spira")</f>
        <v>Land of Spira</v>
      </c>
      <c r="AH131" s="16" t="b">
        <f>IFERROR(__xludf.DUMMYFUNCTION("""COMPUTED_VALUE"""),FALSE)</f>
        <v>0</v>
      </c>
    </row>
    <row r="132">
      <c r="A132" s="16" t="str">
        <f>IFERROR(__xludf.DUMMYFUNCTION("""COMPUTED_VALUE"""),"Grass Sword")</f>
        <v>Grass Sword</v>
      </c>
      <c r="B132" s="16" t="str">
        <f>IFERROR(__xludf.DUMMYFUNCTION("""COMPUTED_VALUE"""),"Hand")</f>
        <v>Hand</v>
      </c>
      <c r="C132" s="16" t="str">
        <f>IFERROR(__xludf.DUMMYFUNCTION("""COMPUTED_VALUE"""),"A strong grass entity in the form of a sword")</f>
        <v>A strong grass entity in the form of a sword</v>
      </c>
      <c r="D132" s="16" t="str">
        <f>IFERROR(__xludf.DUMMYFUNCTION("""COMPUTED_VALUE"""),"Sword")</f>
        <v>Sword</v>
      </c>
      <c r="E132" s="16">
        <f>IFERROR(__xludf.DUMMYFUNCTION("""COMPUTED_VALUE"""),1.0)</f>
        <v>1</v>
      </c>
      <c r="F132" s="108">
        <f>IFERROR(__xludf.DUMMYFUNCTION("""COMPUTED_VALUE"""),0.0)</f>
        <v>0</v>
      </c>
      <c r="G132" s="16" t="str">
        <f>IFERROR(__xludf.DUMMYFUNCTION("""COMPUTED_VALUE"""),"DMG")</f>
        <v>DMG</v>
      </c>
      <c r="H132" s="16">
        <f>IFERROR(__xludf.DUMMYFUNCTION("""COMPUTED_VALUE"""),250.0)</f>
        <v>250</v>
      </c>
      <c r="I132" s="16"/>
      <c r="J132" s="16"/>
      <c r="K132" s="16"/>
      <c r="L132" s="16"/>
      <c r="M132" s="16"/>
      <c r="N132" s="16"/>
      <c r="O132" s="16"/>
      <c r="P132" s="16"/>
      <c r="Q132" s="16"/>
      <c r="R132" s="16"/>
      <c r="S132" s="16"/>
      <c r="T132" s="16"/>
      <c r="U132" s="16"/>
      <c r="V132" s="16"/>
      <c r="W132" s="16"/>
      <c r="X132" s="16"/>
      <c r="Y132" s="16"/>
      <c r="Z132" s="16"/>
      <c r="AA132" s="16"/>
      <c r="AB132" s="16"/>
      <c r="AC132" s="16"/>
      <c r="AD132" s="16"/>
      <c r="AE132" s="16"/>
      <c r="AF132" s="16"/>
      <c r="AG132" s="16" t="str">
        <f>IFERROR(__xludf.DUMMYFUNCTION("""COMPUTED_VALUE"""),"Land of Spira")</f>
        <v>Land of Spira</v>
      </c>
      <c r="AH132" s="16" t="b">
        <f>IFERROR(__xludf.DUMMYFUNCTION("""COMPUTED_VALUE"""),FALSE)</f>
        <v>0</v>
      </c>
    </row>
    <row r="133">
      <c r="A133" s="16" t="str">
        <f>IFERROR(__xludf.DUMMYFUNCTION("""COMPUTED_VALUE"""),"Great Stone Gargoyle Sword")</f>
        <v>Great Stone Gargoyle Sword</v>
      </c>
      <c r="B133" s="16" t="str">
        <f>IFERROR(__xludf.DUMMYFUNCTION("""COMPUTED_VALUE"""),"Hand")</f>
        <v>Hand</v>
      </c>
      <c r="C133" s="16"/>
      <c r="D133" s="16" t="str">
        <f>IFERROR(__xludf.DUMMYFUNCTION("""COMPUTED_VALUE"""),"Sword")</f>
        <v>Sword</v>
      </c>
      <c r="E133" s="16">
        <f>IFERROR(__xludf.DUMMYFUNCTION("""COMPUTED_VALUE"""),4000.0)</f>
        <v>4000</v>
      </c>
      <c r="F133" s="108">
        <f>IFERROR(__xludf.DUMMYFUNCTION("""COMPUTED_VALUE"""),7.98E8)</f>
        <v>798000000</v>
      </c>
      <c r="G133" s="16" t="str">
        <f>IFERROR(__xludf.DUMMYFUNCTION("""COMPUTED_VALUE"""),"DMG")</f>
        <v>DMG</v>
      </c>
      <c r="H133" s="119">
        <f>IFERROR(__xludf.DUMMYFUNCTION("""COMPUTED_VALUE"""),100000.0)</f>
        <v>100000</v>
      </c>
      <c r="I133" s="16"/>
      <c r="J133" s="16"/>
      <c r="K133" s="16"/>
      <c r="L133" s="16"/>
      <c r="M133" s="119">
        <f>IFERROR(__xludf.DUMMYFUNCTION("""COMPUTED_VALUE"""),100000.0)</f>
        <v>100000</v>
      </c>
      <c r="N133" s="16"/>
      <c r="O133" s="16"/>
      <c r="P133" s="16"/>
      <c r="Q133" s="16"/>
      <c r="R133" s="16"/>
      <c r="S133" s="16"/>
      <c r="T133" s="16"/>
      <c r="U133" s="16"/>
      <c r="V133" s="16"/>
      <c r="W133" s="16"/>
      <c r="X133" s="16"/>
      <c r="Y133" s="16"/>
      <c r="Z133" s="16"/>
      <c r="AA133" s="16"/>
      <c r="AB133" s="16"/>
      <c r="AC133" s="16"/>
      <c r="AD133" s="16"/>
      <c r="AE133" s="16"/>
      <c r="AF133" s="16" t="str">
        <f>IFERROR(__xludf.DUMMYFUNCTION("""COMPUTED_VALUE"""),"++When this weapon is equipped the wielder gets X2 Attack and Defence, +-Cannot be duplicated.")</f>
        <v>++When this weapon is equipped the wielder gets X2 Attack and Defence, +-Cannot be duplicated.</v>
      </c>
      <c r="AG133" s="16" t="str">
        <f>IFERROR(__xludf.DUMMYFUNCTION("""COMPUTED_VALUE"""),"Abstara")</f>
        <v>Abstara</v>
      </c>
      <c r="AH133" s="16" t="b">
        <f>IFERROR(__xludf.DUMMYFUNCTION("""COMPUTED_VALUE"""),FALSE)</f>
        <v>0</v>
      </c>
    </row>
    <row r="134">
      <c r="A134" s="16" t="str">
        <f>IFERROR(__xludf.DUMMYFUNCTION("""COMPUTED_VALUE"""),"Greaves of The Sea Serpent")</f>
        <v>Greaves of The Sea Serpent</v>
      </c>
      <c r="B134" s="16" t="str">
        <f>IFERROR(__xludf.DUMMYFUNCTION("""COMPUTED_VALUE"""),"Legs")</f>
        <v>Legs</v>
      </c>
      <c r="C134" s="16"/>
      <c r="D134" s="16"/>
      <c r="E134" s="16">
        <f>IFERROR(__xludf.DUMMYFUNCTION("""COMPUTED_VALUE"""),100.0)</f>
        <v>100</v>
      </c>
      <c r="F134" s="108">
        <f>IFERROR(__xludf.DUMMYFUNCTION("""COMPUTED_VALUE"""),450000.0)</f>
        <v>450000</v>
      </c>
      <c r="G134" s="16" t="str">
        <f>IFERROR(__xludf.DUMMYFUNCTION("""COMPUTED_VALUE"""),"DEF")</f>
        <v>DEF</v>
      </c>
      <c r="H134" s="16">
        <f>IFERROR(__xludf.DUMMYFUNCTION("""COMPUTED_VALUE"""),2500.0)</f>
        <v>2500</v>
      </c>
      <c r="I134" s="16"/>
      <c r="J134" s="16"/>
      <c r="K134" s="16">
        <f>IFERROR(__xludf.DUMMYFUNCTION("""COMPUTED_VALUE"""),2500.0)</f>
        <v>2500</v>
      </c>
      <c r="L134" s="16"/>
      <c r="M134" s="16"/>
      <c r="N134" s="16"/>
      <c r="O134" s="16"/>
      <c r="P134" s="16"/>
      <c r="Q134" s="16"/>
      <c r="R134" s="16"/>
      <c r="S134" s="16"/>
      <c r="T134" s="16"/>
      <c r="U134" s="16"/>
      <c r="V134" s="16"/>
      <c r="W134" s="16"/>
      <c r="X134" s="16"/>
      <c r="Y134" s="16"/>
      <c r="Z134" s="16"/>
      <c r="AA134" s="16"/>
      <c r="AB134" s="16"/>
      <c r="AC134" s="16"/>
      <c r="AD134" s="16"/>
      <c r="AE134" s="16"/>
      <c r="AF134" s="16" t="str">
        <f>IFERROR(__xludf.DUMMYFUNCTION("""COMPUTED_VALUE"""),"++X2 additional water damage for self.")</f>
        <v>++X2 additional water damage for self.</v>
      </c>
      <c r="AG134" s="16"/>
      <c r="AH134" s="16" t="b">
        <f>IFERROR(__xludf.DUMMYFUNCTION("""COMPUTED_VALUE"""),FALSE)</f>
        <v>0</v>
      </c>
    </row>
    <row r="135">
      <c r="A135" s="16" t="str">
        <f>IFERROR(__xludf.DUMMYFUNCTION("""COMPUTED_VALUE"""),"Greaves of Waking Waters")</f>
        <v>Greaves of Waking Waters</v>
      </c>
      <c r="B135" s="16" t="str">
        <f>IFERROR(__xludf.DUMMYFUNCTION("""COMPUTED_VALUE"""),"Legs")</f>
        <v>Legs</v>
      </c>
      <c r="C135" s="16"/>
      <c r="D135" s="16"/>
      <c r="E135" s="16">
        <f>IFERROR(__xludf.DUMMYFUNCTION("""COMPUTED_VALUE"""),200.0)</f>
        <v>200</v>
      </c>
      <c r="F135" s="108">
        <f>IFERROR(__xludf.DUMMYFUNCTION("""COMPUTED_VALUE"""),1900000.0)</f>
        <v>1900000</v>
      </c>
      <c r="G135" s="16" t="str">
        <f>IFERROR(__xludf.DUMMYFUNCTION("""COMPUTED_VALUE"""),"DEF")</f>
        <v>DEF</v>
      </c>
      <c r="H135" s="16">
        <f>IFERROR(__xludf.DUMMYFUNCTION("""COMPUTED_VALUE"""),5000.0)</f>
        <v>5000</v>
      </c>
      <c r="I135" s="16"/>
      <c r="J135" s="16"/>
      <c r="K135" s="16">
        <f>IFERROR(__xludf.DUMMYFUNCTION("""COMPUTED_VALUE"""),5000.0)</f>
        <v>5000</v>
      </c>
      <c r="L135" s="16"/>
      <c r="M135" s="16"/>
      <c r="N135" s="16"/>
      <c r="O135" s="16"/>
      <c r="P135" s="16"/>
      <c r="Q135" s="16"/>
      <c r="R135" s="16"/>
      <c r="S135" s="16"/>
      <c r="T135" s="16"/>
      <c r="U135" s="16"/>
      <c r="V135" s="16"/>
      <c r="W135" s="16"/>
      <c r="X135" s="16"/>
      <c r="Y135" s="16"/>
      <c r="Z135" s="16"/>
      <c r="AA135" s="16"/>
      <c r="AB135" s="16"/>
      <c r="AC135" s="16"/>
      <c r="AD135" s="16"/>
      <c r="AE135" s="16"/>
      <c r="AF135" s="16" t="str">
        <f>IFERROR(__xludf.DUMMYFUNCTION("""COMPUTED_VALUE"""),"++X4 additional water damage for self.")</f>
        <v>++X4 additional water damage for self.</v>
      </c>
      <c r="AG135" s="16"/>
      <c r="AH135" s="16" t="b">
        <f>IFERROR(__xludf.DUMMYFUNCTION("""COMPUTED_VALUE"""),FALSE)</f>
        <v>0</v>
      </c>
    </row>
    <row r="136">
      <c r="A136" s="16" t="str">
        <f>IFERROR(__xludf.DUMMYFUNCTION("""COMPUTED_VALUE"""),"Halloween Staff")</f>
        <v>Halloween Staff</v>
      </c>
      <c r="B136" s="16" t="str">
        <f>IFERROR(__xludf.DUMMYFUNCTION("""COMPUTED_VALUE"""),"Hand")</f>
        <v>Hand</v>
      </c>
      <c r="C136" s="16" t="str">
        <f>IFERROR(__xludf.DUMMYFUNCTION("""COMPUTED_VALUE"""),"Halloween exclusive")</f>
        <v>Halloween exclusive</v>
      </c>
      <c r="D136" s="16" t="str">
        <f>IFERROR(__xludf.DUMMYFUNCTION("""COMPUTED_VALUE"""),"Staff")</f>
        <v>Staff</v>
      </c>
      <c r="E136" s="16">
        <f>IFERROR(__xludf.DUMMYFUNCTION("""COMPUTED_VALUE"""),1.0)</f>
        <v>1</v>
      </c>
      <c r="F136" s="108">
        <f>IFERROR(__xludf.DUMMYFUNCTION("""COMPUTED_VALUE"""),0.0)</f>
        <v>0</v>
      </c>
      <c r="G136" s="16"/>
      <c r="H136" s="16"/>
      <c r="I136" s="16"/>
      <c r="J136" s="16"/>
      <c r="K136" s="16"/>
      <c r="L136" s="16"/>
      <c r="M136" s="16"/>
      <c r="N136" s="16"/>
      <c r="O136" s="16"/>
      <c r="P136" s="16"/>
      <c r="Q136" s="16"/>
      <c r="R136" s="16"/>
      <c r="S136" s="16"/>
      <c r="T136" s="16"/>
      <c r="U136" s="16"/>
      <c r="V136" s="16"/>
      <c r="W136" s="16"/>
      <c r="X136" s="16"/>
      <c r="Y136" s="16"/>
      <c r="Z136" s="16"/>
      <c r="AA136" s="16"/>
      <c r="AB136" s="16"/>
      <c r="AC136" s="16"/>
      <c r="AD136" s="16"/>
      <c r="AE136" s="16"/>
      <c r="AF136" s="16" t="str">
        <f>IFERROR(__xludf.DUMMYFUNCTION("""COMPUTED_VALUE"""),"++Transform into the Headless Horseman for 3 rounds.")</f>
        <v>++Transform into the Headless Horseman for 3 rounds.</v>
      </c>
      <c r="AG136" s="16" t="str">
        <f>IFERROR(__xludf.DUMMYFUNCTION("""COMPUTED_VALUE"""),"Halloween Kingdom")</f>
        <v>Halloween Kingdom</v>
      </c>
      <c r="AH136" s="16" t="b">
        <f>IFERROR(__xludf.DUMMYFUNCTION("""COMPUTED_VALUE"""),FALSE)</f>
        <v>0</v>
      </c>
    </row>
    <row r="137">
      <c r="A137" s="16" t="str">
        <f>IFERROR(__xludf.DUMMYFUNCTION("""COMPUTED_VALUE"""),"Hammer of Chaotic Shadows")</f>
        <v>Hammer of Chaotic Shadows</v>
      </c>
      <c r="B137" s="16" t="str">
        <f>IFERROR(__xludf.DUMMYFUNCTION("""COMPUTED_VALUE"""),"Hand")</f>
        <v>Hand</v>
      </c>
      <c r="C137" s="16"/>
      <c r="D137" s="16" t="str">
        <f>IFERROR(__xludf.DUMMYFUNCTION("""COMPUTED_VALUE"""),"Club")</f>
        <v>Club</v>
      </c>
      <c r="E137" s="16">
        <f>IFERROR(__xludf.DUMMYFUNCTION("""COMPUTED_VALUE"""),300.0)</f>
        <v>300</v>
      </c>
      <c r="F137" s="108">
        <f>IFERROR(__xludf.DUMMYFUNCTION("""COMPUTED_VALUE"""),4350000.0)</f>
        <v>4350000</v>
      </c>
      <c r="G137" s="16" t="str">
        <f>IFERROR(__xludf.DUMMYFUNCTION("""COMPUTED_VALUE"""),"DMG")</f>
        <v>DMG</v>
      </c>
      <c r="H137" s="16">
        <f>IFERROR(__xludf.DUMMYFUNCTION("""COMPUTED_VALUE"""),5000.0)</f>
        <v>5000</v>
      </c>
      <c r="I137" s="16"/>
      <c r="J137" s="16"/>
      <c r="K137" s="16"/>
      <c r="L137" s="16"/>
      <c r="M137" s="16"/>
      <c r="N137" s="16"/>
      <c r="O137" s="16">
        <f>IFERROR(__xludf.DUMMYFUNCTION("""COMPUTED_VALUE"""),5000.0)</f>
        <v>5000</v>
      </c>
      <c r="P137" s="16"/>
      <c r="Q137" s="16"/>
      <c r="R137" s="16">
        <f>IFERROR(__xludf.DUMMYFUNCTION("""COMPUTED_VALUE"""),5000.0)</f>
        <v>5000</v>
      </c>
      <c r="S137" s="16"/>
      <c r="T137" s="16"/>
      <c r="U137" s="16"/>
      <c r="V137" s="16"/>
      <c r="W137" s="16"/>
      <c r="X137" s="16"/>
      <c r="Y137" s="16"/>
      <c r="Z137" s="16"/>
      <c r="AA137" s="16"/>
      <c r="AB137" s="16"/>
      <c r="AC137" s="16"/>
      <c r="AD137" s="16"/>
      <c r="AE137" s="16"/>
      <c r="AF137" s="16" t="str">
        <f>IFERROR(__xludf.DUMMYFUNCTION("""COMPUTED_VALUE"""),"++X2 Additional Dark and Chaos Damage. ")</f>
        <v>++X2 Additional Dark and Chaos Damage. </v>
      </c>
      <c r="AG137" s="16" t="str">
        <f>IFERROR(__xludf.DUMMYFUNCTION("""COMPUTED_VALUE"""),"Land of Spira")</f>
        <v>Land of Spira</v>
      </c>
      <c r="AH137" s="16" t="b">
        <f>IFERROR(__xludf.DUMMYFUNCTION("""COMPUTED_VALUE"""),FALSE)</f>
        <v>0</v>
      </c>
    </row>
    <row r="138">
      <c r="A138" s="16" t="str">
        <f>IFERROR(__xludf.DUMMYFUNCTION("""COMPUTED_VALUE"""),"Hardened Ice Sickle")</f>
        <v>Hardened Ice Sickle</v>
      </c>
      <c r="B138" s="16" t="str">
        <f>IFERROR(__xludf.DUMMYFUNCTION("""COMPUTED_VALUE"""),"Hand")</f>
        <v>Hand</v>
      </c>
      <c r="C138" s="16" t="str">
        <f>IFERROR(__xludf.DUMMYFUNCTION("""COMPUTED_VALUE"""),"Event Exclusive")</f>
        <v>Event Exclusive</v>
      </c>
      <c r="D138" s="16" t="str">
        <f>IFERROR(__xludf.DUMMYFUNCTION("""COMPUTED_VALUE"""),"Knife")</f>
        <v>Knife</v>
      </c>
      <c r="E138" s="16">
        <f>IFERROR(__xludf.DUMMYFUNCTION("""COMPUTED_VALUE"""),200.0)</f>
        <v>200</v>
      </c>
      <c r="F138" s="108">
        <f>IFERROR(__xludf.DUMMYFUNCTION("""COMPUTED_VALUE"""),1900000.0)</f>
        <v>1900000</v>
      </c>
      <c r="G138" s="16" t="str">
        <f>IFERROR(__xludf.DUMMYFUNCTION("""COMPUTED_VALUE"""),"DMG")</f>
        <v>DMG</v>
      </c>
      <c r="H138" s="16">
        <f>IFERROR(__xludf.DUMMYFUNCTION("""COMPUTED_VALUE"""),5000.0)</f>
        <v>5000</v>
      </c>
      <c r="I138" s="16"/>
      <c r="J138" s="16"/>
      <c r="K138" s="16">
        <f>IFERROR(__xludf.DUMMYFUNCTION("""COMPUTED_VALUE"""),5000.0)</f>
        <v>5000</v>
      </c>
      <c r="L138" s="16"/>
      <c r="M138" s="16"/>
      <c r="N138" s="16"/>
      <c r="O138" s="16"/>
      <c r="P138" s="16"/>
      <c r="Q138" s="16"/>
      <c r="R138" s="16"/>
      <c r="S138" s="16"/>
      <c r="T138" s="16"/>
      <c r="U138" s="16"/>
      <c r="V138" s="16"/>
      <c r="W138" s="16"/>
      <c r="X138" s="16"/>
      <c r="Y138" s="16"/>
      <c r="Z138" s="16"/>
      <c r="AA138" s="16"/>
      <c r="AB138" s="16"/>
      <c r="AC138" s="16"/>
      <c r="AD138" s="16"/>
      <c r="AE138" s="16"/>
      <c r="AF138" s="16" t="str">
        <f>IFERROR(__xludf.DUMMYFUNCTION("""COMPUTED_VALUE"""),"++75% chance to freeze the target.")</f>
        <v>++75% chance to freeze the target.</v>
      </c>
      <c r="AG138" s="16" t="str">
        <f>IFERROR(__xludf.DUMMYFUNCTION("""COMPUTED_VALUE"""),"Land of Spira")</f>
        <v>Land of Spira</v>
      </c>
      <c r="AH138" s="16" t="b">
        <f>IFERROR(__xludf.DUMMYFUNCTION("""COMPUTED_VALUE"""),TRUE)</f>
        <v>1</v>
      </c>
    </row>
    <row r="139">
      <c r="A139" s="16" t="str">
        <f>IFERROR(__xludf.DUMMYFUNCTION("""COMPUTED_VALUE"""),"Haunted Katana")</f>
        <v>Haunted Katana</v>
      </c>
      <c r="B139" s="16" t="str">
        <f>IFERROR(__xludf.DUMMYFUNCTION("""COMPUTED_VALUE"""),"Hand")</f>
        <v>Hand</v>
      </c>
      <c r="C139" s="16"/>
      <c r="D139" s="16" t="str">
        <f>IFERROR(__xludf.DUMMYFUNCTION("""COMPUTED_VALUE"""),"Sword")</f>
        <v>Sword</v>
      </c>
      <c r="E139" s="16">
        <f>IFERROR(__xludf.DUMMYFUNCTION("""COMPUTED_VALUE"""),600.0)</f>
        <v>600</v>
      </c>
      <c r="F139" s="108">
        <f>IFERROR(__xludf.DUMMYFUNCTION("""COMPUTED_VALUE"""),1.77E7)</f>
        <v>17700000</v>
      </c>
      <c r="G139" s="16" t="str">
        <f>IFERROR(__xludf.DUMMYFUNCTION("""COMPUTED_VALUE"""),"DMG")</f>
        <v>DMG</v>
      </c>
      <c r="H139" s="119">
        <f>IFERROR(__xludf.DUMMYFUNCTION("""COMPUTED_VALUE"""),10000.0)</f>
        <v>10000</v>
      </c>
      <c r="I139" s="16"/>
      <c r="J139" s="16"/>
      <c r="K139" s="16"/>
      <c r="L139" s="16"/>
      <c r="M139" s="16"/>
      <c r="N139" s="16"/>
      <c r="O139" s="119">
        <f>IFERROR(__xludf.DUMMYFUNCTION("""COMPUTED_VALUE"""),10000.0)</f>
        <v>10000</v>
      </c>
      <c r="P139" s="119">
        <f>IFERROR(__xludf.DUMMYFUNCTION("""COMPUTED_VALUE"""),10000.0)</f>
        <v>10000</v>
      </c>
      <c r="Q139" s="16"/>
      <c r="R139" s="16"/>
      <c r="S139" s="16"/>
      <c r="T139" s="16"/>
      <c r="U139" s="16"/>
      <c r="V139" s="16"/>
      <c r="W139" s="16"/>
      <c r="X139" s="16"/>
      <c r="Y139" s="16"/>
      <c r="Z139" s="16"/>
      <c r="AA139" s="16"/>
      <c r="AB139" s="16"/>
      <c r="AC139" s="16"/>
      <c r="AD139" s="16"/>
      <c r="AE139" s="16"/>
      <c r="AF139" s="16" t="str">
        <f>IFERROR(__xludf.DUMMYFUNCTION("""COMPUTED_VALUE"""),"+-You go last during the turn order in battle.. ")</f>
        <v>+-You go last during the turn order in battle.. </v>
      </c>
      <c r="AG139" s="16" t="str">
        <f>IFERROR(__xludf.DUMMYFUNCTION("""COMPUTED_VALUE"""),"Land of Spira")</f>
        <v>Land of Spira</v>
      </c>
      <c r="AH139" s="16" t="b">
        <f>IFERROR(__xludf.DUMMYFUNCTION("""COMPUTED_VALUE"""),FALSE)</f>
        <v>0</v>
      </c>
    </row>
    <row r="140">
      <c r="A140" s="16" t="str">
        <f>IFERROR(__xludf.DUMMYFUNCTION("""COMPUTED_VALUE"""),"Haunted King's Favorite Shield")</f>
        <v>Haunted King's Favorite Shield</v>
      </c>
      <c r="B140" s="16" t="str">
        <f>IFERROR(__xludf.DUMMYFUNCTION("""COMPUTED_VALUE"""),"Hand")</f>
        <v>Hand</v>
      </c>
      <c r="C140" s="16" t="str">
        <f>IFERROR(__xludf.DUMMYFUNCTION("""COMPUTED_VALUE"""),"Halloween exclusive")</f>
        <v>Halloween exclusive</v>
      </c>
      <c r="D140" s="16" t="str">
        <f>IFERROR(__xludf.DUMMYFUNCTION("""COMPUTED_VALUE"""),"Towershield")</f>
        <v>Towershield</v>
      </c>
      <c r="E140" s="16">
        <f>IFERROR(__xludf.DUMMYFUNCTION("""COMPUTED_VALUE"""),20.0)</f>
        <v>20</v>
      </c>
      <c r="F140" s="108">
        <f>IFERROR(__xludf.DUMMYFUNCTION("""COMPUTED_VALUE"""),10000.0)</f>
        <v>10000</v>
      </c>
      <c r="G140" s="16" t="str">
        <f>IFERROR(__xludf.DUMMYFUNCTION("""COMPUTED_VALUE"""),"DEF")</f>
        <v>DEF</v>
      </c>
      <c r="H140" s="16">
        <f>IFERROR(__xludf.DUMMYFUNCTION("""COMPUTED_VALUE"""),1000.0)</f>
        <v>1000</v>
      </c>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t="str">
        <f>IFERROR(__xludf.DUMMYFUNCTION("""COMPUTED_VALUE"""),"++Great Block - When attacked you will take no damage until your next turn, Costs All SP and sets Users HP to 1.")</f>
        <v>++Great Block - When attacked you will take no damage until your next turn, Costs All SP and sets Users HP to 1.</v>
      </c>
      <c r="AG140" s="16" t="str">
        <f>IFERROR(__xludf.DUMMYFUNCTION("""COMPUTED_VALUE"""),"Land of Spira")</f>
        <v>Land of Spira</v>
      </c>
      <c r="AH140" s="16" t="b">
        <f>IFERROR(__xludf.DUMMYFUNCTION("""COMPUTED_VALUE"""),FALSE)</f>
        <v>0</v>
      </c>
    </row>
    <row r="141">
      <c r="A141" s="16" t="str">
        <f>IFERROR(__xludf.DUMMYFUNCTION("""COMPUTED_VALUE"""),"Haunted King's Favorite Sword")</f>
        <v>Haunted King's Favorite Sword</v>
      </c>
      <c r="B141" s="16" t="str">
        <f>IFERROR(__xludf.DUMMYFUNCTION("""COMPUTED_VALUE"""),"Hand")</f>
        <v>Hand</v>
      </c>
      <c r="C141" s="16" t="str">
        <f>IFERROR(__xludf.DUMMYFUNCTION("""COMPUTED_VALUE"""),"Halloween exclusive")</f>
        <v>Halloween exclusive</v>
      </c>
      <c r="D141" s="16" t="str">
        <f>IFERROR(__xludf.DUMMYFUNCTION("""COMPUTED_VALUE"""),"Sword")</f>
        <v>Sword</v>
      </c>
      <c r="E141" s="16">
        <f>IFERROR(__xludf.DUMMYFUNCTION("""COMPUTED_VALUE"""),60.0)</f>
        <v>60</v>
      </c>
      <c r="F141" s="108">
        <f>IFERROR(__xludf.DUMMYFUNCTION("""COMPUTED_VALUE"""),150000.0)</f>
        <v>150000</v>
      </c>
      <c r="G141" s="16" t="str">
        <f>IFERROR(__xludf.DUMMYFUNCTION("""COMPUTED_VALUE"""),"DMG")</f>
        <v>DMG</v>
      </c>
      <c r="H141" s="16">
        <f>IFERROR(__xludf.DUMMYFUNCTION("""COMPUTED_VALUE"""),3000.0)</f>
        <v>3000</v>
      </c>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t="str">
        <f>IFERROR(__xludf.DUMMYFUNCTION("""COMPUTED_VALUE"""),"++Piercing Strike - Ignores all Def when attacking with this weapon ++gain 1000 SP upon a successful hit. +-Cannot be duplicated")</f>
        <v>++Piercing Strike - Ignores all Def when attacking with this weapon ++gain 1000 SP upon a successful hit. +-Cannot be duplicated</v>
      </c>
      <c r="AG141" s="16" t="str">
        <f>IFERROR(__xludf.DUMMYFUNCTION("""COMPUTED_VALUE"""),"Land of Spira")</f>
        <v>Land of Spira</v>
      </c>
      <c r="AH141" s="16" t="b">
        <f>IFERROR(__xludf.DUMMYFUNCTION("""COMPUTED_VALUE"""),FALSE)</f>
        <v>0</v>
      </c>
    </row>
    <row r="142">
      <c r="A142" s="16" t="str">
        <f>IFERROR(__xludf.DUMMYFUNCTION("""COMPUTED_VALUE"""),"Heatmore Flame Golem Head")</f>
        <v>Heatmore Flame Golem Head</v>
      </c>
      <c r="B142" s="16" t="str">
        <f>IFERROR(__xludf.DUMMYFUNCTION("""COMPUTED_VALUE"""),"Head")</f>
        <v>Head</v>
      </c>
      <c r="C142" s="16"/>
      <c r="D142" s="16"/>
      <c r="E142" s="16">
        <f>IFERROR(__xludf.DUMMYFUNCTION("""COMPUTED_VALUE"""),300.0)</f>
        <v>300</v>
      </c>
      <c r="F142" s="108">
        <f>IFERROR(__xludf.DUMMYFUNCTION("""COMPUTED_VALUE"""),4350000.0)</f>
        <v>4350000</v>
      </c>
      <c r="G142" s="16" t="str">
        <f>IFERROR(__xludf.DUMMYFUNCTION("""COMPUTED_VALUE"""),"DEF")</f>
        <v>DEF</v>
      </c>
      <c r="H142" s="16">
        <f>IFERROR(__xludf.DUMMYFUNCTION("""COMPUTED_VALUE"""),5000.0)</f>
        <v>5000</v>
      </c>
      <c r="I142" s="16">
        <f>IFERROR(__xludf.DUMMYFUNCTION("""COMPUTED_VALUE"""),5000.0)</f>
        <v>5000</v>
      </c>
      <c r="J142" s="16"/>
      <c r="K142" s="16"/>
      <c r="L142" s="16"/>
      <c r="M142" s="16">
        <f>IFERROR(__xludf.DUMMYFUNCTION("""COMPUTED_VALUE"""),5000.0)</f>
        <v>5000</v>
      </c>
      <c r="N142" s="16"/>
      <c r="O142" s="16"/>
      <c r="P142" s="16"/>
      <c r="Q142" s="16"/>
      <c r="R142" s="16"/>
      <c r="S142" s="16"/>
      <c r="T142" s="16"/>
      <c r="U142" s="16"/>
      <c r="V142" s="16"/>
      <c r="W142" s="16"/>
      <c r="X142" s="16"/>
      <c r="Y142" s="16"/>
      <c r="Z142" s="16"/>
      <c r="AA142" s="16"/>
      <c r="AB142" s="16"/>
      <c r="AC142" s="16"/>
      <c r="AD142" s="16"/>
      <c r="AE142" s="16"/>
      <c r="AF142" s="16" t="str">
        <f>IFERROR(__xludf.DUMMYFUNCTION("""COMPUTED_VALUE"""),"++X2 additional Earth and Fire Resistance.")</f>
        <v>++X2 additional Earth and Fire Resistance.</v>
      </c>
      <c r="AG142" s="16" t="str">
        <f>IFERROR(__xludf.DUMMYFUNCTION("""COMPUTED_VALUE"""),"Land of Spira")</f>
        <v>Land of Spira</v>
      </c>
      <c r="AH142" s="16" t="b">
        <f>IFERROR(__xludf.DUMMYFUNCTION("""COMPUTED_VALUE"""),FALSE)</f>
        <v>0</v>
      </c>
    </row>
    <row r="143">
      <c r="A143" s="16" t="str">
        <f>IFERROR(__xludf.DUMMYFUNCTION("""COMPUTED_VALUE"""),"Helmet of Darkness")</f>
        <v>Helmet of Darkness</v>
      </c>
      <c r="B143" s="16" t="str">
        <f>IFERROR(__xludf.DUMMYFUNCTION("""COMPUTED_VALUE"""),"Head")</f>
        <v>Head</v>
      </c>
      <c r="C143" s="16"/>
      <c r="D143" s="16"/>
      <c r="E143" s="16">
        <f>IFERROR(__xludf.DUMMYFUNCTION("""COMPUTED_VALUE"""),400.0)</f>
        <v>400</v>
      </c>
      <c r="F143" s="108">
        <f>IFERROR(__xludf.DUMMYFUNCTION("""COMPUTED_VALUE"""),7800000.0)</f>
        <v>7800000</v>
      </c>
      <c r="G143" s="16" t="str">
        <f>IFERROR(__xludf.DUMMYFUNCTION("""COMPUTED_VALUE"""),"DEF")</f>
        <v>DEF</v>
      </c>
      <c r="H143" s="119">
        <f>IFERROR(__xludf.DUMMYFUNCTION("""COMPUTED_VALUE"""),10000.0)</f>
        <v>10000</v>
      </c>
      <c r="I143" s="16"/>
      <c r="J143" s="16"/>
      <c r="K143" s="16"/>
      <c r="L143" s="16"/>
      <c r="M143" s="16"/>
      <c r="N143" s="16"/>
      <c r="O143" s="119">
        <f>IFERROR(__xludf.DUMMYFUNCTION("""COMPUTED_VALUE"""),10000.0)</f>
        <v>10000</v>
      </c>
      <c r="P143" s="16"/>
      <c r="Q143" s="16"/>
      <c r="R143" s="16"/>
      <c r="S143" s="16"/>
      <c r="T143" s="16"/>
      <c r="U143" s="16"/>
      <c r="V143" s="16"/>
      <c r="W143" s="16"/>
      <c r="X143" s="16"/>
      <c r="Y143" s="16"/>
      <c r="Z143" s="16"/>
      <c r="AA143" s="16"/>
      <c r="AB143" s="16"/>
      <c r="AC143" s="16"/>
      <c r="AD143" s="16"/>
      <c r="AE143" s="16"/>
      <c r="AF143" s="16" t="str">
        <f>IFERROR(__xludf.DUMMYFUNCTION("""COMPUTED_VALUE"""),"++Immunity to Dark damage.")</f>
        <v>++Immunity to Dark damage.</v>
      </c>
      <c r="AG143" s="16" t="str">
        <f>IFERROR(__xludf.DUMMYFUNCTION("""COMPUTED_VALUE"""),"Land of Spira")</f>
        <v>Land of Spira</v>
      </c>
      <c r="AH143" s="16" t="b">
        <f>IFERROR(__xludf.DUMMYFUNCTION("""COMPUTED_VALUE"""),FALSE)</f>
        <v>0</v>
      </c>
    </row>
    <row r="144">
      <c r="A144" s="16" t="str">
        <f>IFERROR(__xludf.DUMMYFUNCTION("""COMPUTED_VALUE"""),"Helmet of Waking Waters")</f>
        <v>Helmet of Waking Waters</v>
      </c>
      <c r="B144" s="16" t="str">
        <f>IFERROR(__xludf.DUMMYFUNCTION("""COMPUTED_VALUE"""),"Head")</f>
        <v>Head</v>
      </c>
      <c r="C144" s="16"/>
      <c r="D144" s="16"/>
      <c r="E144" s="16">
        <f>IFERROR(__xludf.DUMMYFUNCTION("""COMPUTED_VALUE"""),200.0)</f>
        <v>200</v>
      </c>
      <c r="F144" s="108">
        <f>IFERROR(__xludf.DUMMYFUNCTION("""COMPUTED_VALUE"""),1900000.0)</f>
        <v>1900000</v>
      </c>
      <c r="G144" s="16" t="str">
        <f>IFERROR(__xludf.DUMMYFUNCTION("""COMPUTED_VALUE"""),"DEF")</f>
        <v>DEF</v>
      </c>
      <c r="H144" s="16">
        <f>IFERROR(__xludf.DUMMYFUNCTION("""COMPUTED_VALUE"""),5000.0)</f>
        <v>5000</v>
      </c>
      <c r="I144" s="16"/>
      <c r="J144" s="16"/>
      <c r="K144" s="16">
        <f>IFERROR(__xludf.DUMMYFUNCTION("""COMPUTED_VALUE"""),5000.0)</f>
        <v>5000</v>
      </c>
      <c r="L144" s="16"/>
      <c r="M144" s="16"/>
      <c r="N144" s="16"/>
      <c r="O144" s="16"/>
      <c r="P144" s="16"/>
      <c r="Q144" s="16"/>
      <c r="R144" s="16"/>
      <c r="S144" s="16"/>
      <c r="T144" s="16"/>
      <c r="U144" s="16"/>
      <c r="V144" s="16"/>
      <c r="W144" s="16"/>
      <c r="X144" s="16"/>
      <c r="Y144" s="16"/>
      <c r="Z144" s="16"/>
      <c r="AA144" s="16"/>
      <c r="AB144" s="16"/>
      <c r="AC144" s="16"/>
      <c r="AD144" s="16"/>
      <c r="AE144" s="16"/>
      <c r="AF144" s="16" t="str">
        <f>IFERROR(__xludf.DUMMYFUNCTION("""COMPUTED_VALUE"""),"++X4 additional water damage.")</f>
        <v>++X4 additional water damage.</v>
      </c>
      <c r="AG144" s="16" t="str">
        <f>IFERROR(__xludf.DUMMYFUNCTION("""COMPUTED_VALUE"""),"Land of Spira")</f>
        <v>Land of Spira</v>
      </c>
      <c r="AH144" s="16" t="b">
        <f>IFERROR(__xludf.DUMMYFUNCTION("""COMPUTED_VALUE"""),FALSE)</f>
        <v>0</v>
      </c>
    </row>
    <row r="145">
      <c r="A145" s="16" t="str">
        <f>IFERROR(__xludf.DUMMYFUNCTION("""COMPUTED_VALUE"""),"High Range Bow")</f>
        <v>High Range Bow</v>
      </c>
      <c r="B145" s="16" t="str">
        <f>IFERROR(__xludf.DUMMYFUNCTION("""COMPUTED_VALUE"""),"Hand")</f>
        <v>Hand</v>
      </c>
      <c r="C145" s="16"/>
      <c r="D145" s="16" t="str">
        <f>IFERROR(__xludf.DUMMYFUNCTION("""COMPUTED_VALUE"""),"Bow")</f>
        <v>Bow</v>
      </c>
      <c r="E145" s="16">
        <f>IFERROR(__xludf.DUMMYFUNCTION("""COMPUTED_VALUE"""),10.0)</f>
        <v>10</v>
      </c>
      <c r="F145" s="108">
        <f>IFERROR(__xludf.DUMMYFUNCTION("""COMPUTED_VALUE"""),1000.0)</f>
        <v>1000</v>
      </c>
      <c r="G145" s="16" t="str">
        <f>IFERROR(__xludf.DUMMYFUNCTION("""COMPUTED_VALUE"""),"DMG")</f>
        <v>DMG</v>
      </c>
      <c r="H145" s="16">
        <f>IFERROR(__xludf.DUMMYFUNCTION("""COMPUTED_VALUE"""),500.0)</f>
        <v>500</v>
      </c>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t="str">
        <f>IFERROR(__xludf.DUMMYFUNCTION("""COMPUTED_VALUE"""),"++Hawkeye: X2 more arrow damage and ranged attacks deal half damage that are dealt to the wearer. ")</f>
        <v>++Hawkeye: X2 more arrow damage and ranged attacks deal half damage that are dealt to the wearer. </v>
      </c>
      <c r="AG145" s="16" t="str">
        <f>IFERROR(__xludf.DUMMYFUNCTION("""COMPUTED_VALUE"""),"Land of Spira")</f>
        <v>Land of Spira</v>
      </c>
      <c r="AH145" s="16" t="b">
        <f>IFERROR(__xludf.DUMMYFUNCTION("""COMPUTED_VALUE"""),FALSE)</f>
        <v>0</v>
      </c>
    </row>
    <row r="146">
      <c r="A146" s="16" t="str">
        <f>IFERROR(__xludf.DUMMYFUNCTION("""COMPUTED_VALUE"""),"Horn of The Forgotten")</f>
        <v>Horn of The Forgotten</v>
      </c>
      <c r="B146" s="16" t="str">
        <f>IFERROR(__xludf.DUMMYFUNCTION("""COMPUTED_VALUE"""),"Hand")</f>
        <v>Hand</v>
      </c>
      <c r="C146" s="16"/>
      <c r="D146" s="16" t="str">
        <f>IFERROR(__xludf.DUMMYFUNCTION("""COMPUTED_VALUE"""),"Wand")</f>
        <v>Wand</v>
      </c>
      <c r="E146" s="16">
        <f>IFERROR(__xludf.DUMMYFUNCTION("""COMPUTED_VALUE"""),1.0)</f>
        <v>1</v>
      </c>
      <c r="F146" s="108">
        <f>IFERROR(__xludf.DUMMYFUNCTION("""COMPUTED_VALUE"""),0.0)</f>
        <v>0</v>
      </c>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t="str">
        <f>IFERROR(__xludf.DUMMYFUNCTION("""COMPUTED_VALUE"""),"++Calls upon a lost soul to aid you in battle. The lost soul increases your max health defence and attack by double its original for the rest of battle. +-Can only be used once per battle. +-Cannot be duplicated")</f>
        <v>++Calls upon a lost soul to aid you in battle. The lost soul increases your max health defence and attack by double its original for the rest of battle. +-Can only be used once per battle. +-Cannot be duplicated</v>
      </c>
      <c r="AG146" s="16" t="str">
        <f>IFERROR(__xludf.DUMMYFUNCTION("""COMPUTED_VALUE"""),"Abstara")</f>
        <v>Abstara</v>
      </c>
      <c r="AH146" s="16" t="b">
        <f>IFERROR(__xludf.DUMMYFUNCTION("""COMPUTED_VALUE"""),FALSE)</f>
        <v>0</v>
      </c>
    </row>
    <row r="147">
      <c r="A147" s="16" t="str">
        <f>IFERROR(__xludf.DUMMYFUNCTION("""COMPUTED_VALUE"""),"Houyi's Bow")</f>
        <v>Houyi's Bow</v>
      </c>
      <c r="B147" s="16" t="str">
        <f>IFERROR(__xludf.DUMMYFUNCTION("""COMPUTED_VALUE"""),"Hand")</f>
        <v>Hand</v>
      </c>
      <c r="C147" s="16"/>
      <c r="D147" s="16" t="str">
        <f>IFERROR(__xludf.DUMMYFUNCTION("""COMPUTED_VALUE"""),"Bow")</f>
        <v>Bow</v>
      </c>
      <c r="E147" s="16">
        <f>IFERROR(__xludf.DUMMYFUNCTION("""COMPUTED_VALUE"""),400.0)</f>
        <v>400</v>
      </c>
      <c r="F147" s="108">
        <f>IFERROR(__xludf.DUMMYFUNCTION("""COMPUTED_VALUE"""),7800000.0)</f>
        <v>7800000</v>
      </c>
      <c r="G147" s="16" t="str">
        <f>IFERROR(__xludf.DUMMYFUNCTION("""COMPUTED_VALUE"""),"DMG")</f>
        <v>DMG</v>
      </c>
      <c r="H147" s="119">
        <f>IFERROR(__xludf.DUMMYFUNCTION("""COMPUTED_VALUE"""),20000.0)</f>
        <v>20000</v>
      </c>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t="str">
        <f>IFERROR(__xludf.DUMMYFUNCTION("""COMPUTED_VALUE"""),"++Skill Shot - gives the wielder X2 accuracy and X2 damage for bows.")</f>
        <v>++Skill Shot - gives the wielder X2 accuracy and X2 damage for bows.</v>
      </c>
      <c r="AG147" s="16" t="str">
        <f>IFERROR(__xludf.DUMMYFUNCTION("""COMPUTED_VALUE"""),"Land of Spira")</f>
        <v>Land of Spira</v>
      </c>
      <c r="AH147" s="16" t="b">
        <f>IFERROR(__xludf.DUMMYFUNCTION("""COMPUTED_VALUE"""),FALSE)</f>
        <v>0</v>
      </c>
    </row>
    <row r="148">
      <c r="A148" s="16" t="str">
        <f>IFERROR(__xludf.DUMMYFUNCTION("""COMPUTED_VALUE"""),"Ice Blade")</f>
        <v>Ice Blade</v>
      </c>
      <c r="B148" s="16" t="str">
        <f>IFERROR(__xludf.DUMMYFUNCTION("""COMPUTED_VALUE"""),"Hand")</f>
        <v>Hand</v>
      </c>
      <c r="C148" s="16"/>
      <c r="D148" s="16" t="str">
        <f>IFERROR(__xludf.DUMMYFUNCTION("""COMPUTED_VALUE"""),"Sword")</f>
        <v>Sword</v>
      </c>
      <c r="E148" s="16">
        <f>IFERROR(__xludf.DUMMYFUNCTION("""COMPUTED_VALUE"""),100.0)</f>
        <v>100</v>
      </c>
      <c r="F148" s="108">
        <f>IFERROR(__xludf.DUMMYFUNCTION("""COMPUTED_VALUE"""),450000.0)</f>
        <v>450000</v>
      </c>
      <c r="G148" s="16" t="str">
        <f>IFERROR(__xludf.DUMMYFUNCTION("""COMPUTED_VALUE"""),"DMG")</f>
        <v>DMG</v>
      </c>
      <c r="H148" s="16">
        <f>IFERROR(__xludf.DUMMYFUNCTION("""COMPUTED_VALUE"""),2000.0)</f>
        <v>2000</v>
      </c>
      <c r="I148" s="16"/>
      <c r="J148" s="16"/>
      <c r="K148" s="16">
        <f>IFERROR(__xludf.DUMMYFUNCTION("""COMPUTED_VALUE"""),3000.0)</f>
        <v>3000</v>
      </c>
      <c r="L148" s="16"/>
      <c r="M148" s="16"/>
      <c r="N148" s="16"/>
      <c r="O148" s="16"/>
      <c r="P148" s="16"/>
      <c r="Q148" s="16"/>
      <c r="R148" s="16"/>
      <c r="S148" s="16"/>
      <c r="T148" s="16"/>
      <c r="U148" s="16"/>
      <c r="V148" s="16"/>
      <c r="W148" s="16"/>
      <c r="X148" s="16"/>
      <c r="Y148" s="16"/>
      <c r="Z148" s="16"/>
      <c r="AA148" s="16"/>
      <c r="AB148" s="16"/>
      <c r="AC148" s="16"/>
      <c r="AD148" s="16"/>
      <c r="AE148" s="16"/>
      <c r="AF148" s="16" t="str">
        <f>IFERROR(__xludf.DUMMYFUNCTION("""COMPUTED_VALUE"""),"++50% chance to freeze the target.")</f>
        <v>++50% chance to freeze the target.</v>
      </c>
      <c r="AG148" s="16" t="str">
        <f>IFERROR(__xludf.DUMMYFUNCTION("""COMPUTED_VALUE"""),"Land of Spira")</f>
        <v>Land of Spira</v>
      </c>
      <c r="AH148" s="16" t="b">
        <f>IFERROR(__xludf.DUMMYFUNCTION("""COMPUTED_VALUE"""),FALSE)</f>
        <v>0</v>
      </c>
    </row>
    <row r="149">
      <c r="A149" s="16" t="str">
        <f>IFERROR(__xludf.DUMMYFUNCTION("""COMPUTED_VALUE"""),"Inferno Staff")</f>
        <v>Inferno Staff</v>
      </c>
      <c r="B149" s="16" t="str">
        <f>IFERROR(__xludf.DUMMYFUNCTION("""COMPUTED_VALUE"""),"Hand")</f>
        <v>Hand</v>
      </c>
      <c r="C149" s="16"/>
      <c r="D149" s="16" t="str">
        <f>IFERROR(__xludf.DUMMYFUNCTION("""COMPUTED_VALUE"""),"Staff")</f>
        <v>Staff</v>
      </c>
      <c r="E149" s="16">
        <f>IFERROR(__xludf.DUMMYFUNCTION("""COMPUTED_VALUE"""),200.0)</f>
        <v>200</v>
      </c>
      <c r="F149" s="108">
        <f>IFERROR(__xludf.DUMMYFUNCTION("""COMPUTED_VALUE"""),1900000.0)</f>
        <v>1900000</v>
      </c>
      <c r="G149" s="16"/>
      <c r="H149" s="16"/>
      <c r="I149" s="119">
        <f>IFERROR(__xludf.DUMMYFUNCTION("""COMPUTED_VALUE"""),10000.0)</f>
        <v>10000</v>
      </c>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t="str">
        <f>IFERROR(__xludf.DUMMYFUNCTION("""COMPUTED_VALUE"""),"++Burn 10,000 to 1 target for 3 rounds. 100sp.")</f>
        <v>++Burn 10,000 to 1 target for 3 rounds. 100sp.</v>
      </c>
      <c r="AG149" s="16" t="str">
        <f>IFERROR(__xludf.DUMMYFUNCTION("""COMPUTED_VALUE"""),"Land of Spira")</f>
        <v>Land of Spira</v>
      </c>
      <c r="AH149" s="16" t="b">
        <f>IFERROR(__xludf.DUMMYFUNCTION("""COMPUTED_VALUE"""),FALSE)</f>
        <v>0</v>
      </c>
    </row>
    <row r="150">
      <c r="A150" s="16" t="str">
        <f>IFERROR(__xludf.DUMMYFUNCTION("""COMPUTED_VALUE"""),"Jack's Special Archer Robe")</f>
        <v>Jack's Special Archer Robe</v>
      </c>
      <c r="B150" s="16" t="str">
        <f>IFERROR(__xludf.DUMMYFUNCTION("""COMPUTED_VALUE"""),"Torso")</f>
        <v>Torso</v>
      </c>
      <c r="C150" s="16" t="str">
        <f>IFERROR(__xludf.DUMMYFUNCTION("""COMPUTED_VALUE"""),"Halloween exclusive")</f>
        <v>Halloween exclusive</v>
      </c>
      <c r="D150" s="16"/>
      <c r="E150" s="16">
        <f>IFERROR(__xludf.DUMMYFUNCTION("""COMPUTED_VALUE"""),20.0)</f>
        <v>20</v>
      </c>
      <c r="F150" s="108">
        <f>IFERROR(__xludf.DUMMYFUNCTION("""COMPUTED_VALUE"""),1000.0)</f>
        <v>1000</v>
      </c>
      <c r="G150" s="16" t="str">
        <f>IFERROR(__xludf.DUMMYFUNCTION("""COMPUTED_VALUE"""),"DEF")</f>
        <v>DEF</v>
      </c>
      <c r="H150" s="16">
        <f>IFERROR(__xludf.DUMMYFUNCTION("""COMPUTED_VALUE"""),900.0)</f>
        <v>900</v>
      </c>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t="str">
        <f>IFERROR(__xludf.DUMMYFUNCTION("""COMPUTED_VALUE"""),"++Range Spells cost half the SP cost and all damage is doubled for ranged spells +-Archer Class Only")</f>
        <v>++Range Spells cost half the SP cost and all damage is doubled for ranged spells +-Archer Class Only</v>
      </c>
      <c r="AG150" s="16" t="str">
        <f>IFERROR(__xludf.DUMMYFUNCTION("""COMPUTED_VALUE"""),"Halloween Kingdom")</f>
        <v>Halloween Kingdom</v>
      </c>
      <c r="AH150" s="16" t="b">
        <f>IFERROR(__xludf.DUMMYFUNCTION("""COMPUTED_VALUE"""),FALSE)</f>
        <v>0</v>
      </c>
    </row>
    <row r="151">
      <c r="A151" s="16" t="str">
        <f>IFERROR(__xludf.DUMMYFUNCTION("""COMPUTED_VALUE"""),"Jack's Special Ring")</f>
        <v>Jack's Special Ring</v>
      </c>
      <c r="B151" s="16" t="str">
        <f>IFERROR(__xludf.DUMMYFUNCTION("""COMPUTED_VALUE"""),"Ring")</f>
        <v>Ring</v>
      </c>
      <c r="C151" s="16" t="str">
        <f>IFERROR(__xludf.DUMMYFUNCTION("""COMPUTED_VALUE"""),"Halloween exclusive")</f>
        <v>Halloween exclusive</v>
      </c>
      <c r="D151" s="16"/>
      <c r="E151" s="16">
        <f>IFERROR(__xludf.DUMMYFUNCTION("""COMPUTED_VALUE"""),1.0)</f>
        <v>1</v>
      </c>
      <c r="F151" s="108">
        <f>IFERROR(__xludf.DUMMYFUNCTION("""COMPUTED_VALUE"""),0.0)</f>
        <v>0</v>
      </c>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t="str">
        <f>IFERROR(__xludf.DUMMYFUNCTION("""COMPUTED_VALUE"""),"++Increase all types of damage by X2. +-Cannot be forged +-Cannot be duplicated")</f>
        <v>++Increase all types of damage by X2. +-Cannot be forged +-Cannot be duplicated</v>
      </c>
      <c r="AG151" s="16" t="str">
        <f>IFERROR(__xludf.DUMMYFUNCTION("""COMPUTED_VALUE"""),"Halloween Kingdom")</f>
        <v>Halloween Kingdom</v>
      </c>
      <c r="AH151" s="16" t="b">
        <f>IFERROR(__xludf.DUMMYFUNCTION("""COMPUTED_VALUE"""),FALSE)</f>
        <v>0</v>
      </c>
    </row>
    <row r="152">
      <c r="A152" s="16" t="str">
        <f>IFERROR(__xludf.DUMMYFUNCTION("""COMPUTED_VALUE"""),"Jack's Special Sword")</f>
        <v>Jack's Special Sword</v>
      </c>
      <c r="B152" s="16" t="str">
        <f>IFERROR(__xludf.DUMMYFUNCTION("""COMPUTED_VALUE"""),"Hand")</f>
        <v>Hand</v>
      </c>
      <c r="C152" s="16" t="str">
        <f>IFERROR(__xludf.DUMMYFUNCTION("""COMPUTED_VALUE"""),"Halloween exclusive")</f>
        <v>Halloween exclusive</v>
      </c>
      <c r="D152" s="16" t="str">
        <f>IFERROR(__xludf.DUMMYFUNCTION("""COMPUTED_VALUE"""),"Sword")</f>
        <v>Sword</v>
      </c>
      <c r="E152" s="16">
        <f>IFERROR(__xludf.DUMMYFUNCTION("""COMPUTED_VALUE"""),60.0)</f>
        <v>60</v>
      </c>
      <c r="F152" s="108">
        <f>IFERROR(__xludf.DUMMYFUNCTION("""COMPUTED_VALUE"""),150000.0)</f>
        <v>150000</v>
      </c>
      <c r="G152" s="16" t="str">
        <f>IFERROR(__xludf.DUMMYFUNCTION("""COMPUTED_VALUE"""),"DMG")</f>
        <v>DMG</v>
      </c>
      <c r="H152" s="119">
        <f>IFERROR(__xludf.DUMMYFUNCTION("""COMPUTED_VALUE"""),1500.0)</f>
        <v>1500</v>
      </c>
      <c r="I152" s="16"/>
      <c r="J152" s="16"/>
      <c r="K152" s="16"/>
      <c r="L152" s="16"/>
      <c r="M152" s="16"/>
      <c r="N152" s="16"/>
      <c r="O152" s="16">
        <f>IFERROR(__xludf.DUMMYFUNCTION("""COMPUTED_VALUE"""),600.0)</f>
        <v>600</v>
      </c>
      <c r="P152" s="16"/>
      <c r="Q152" s="16"/>
      <c r="R152" s="16">
        <f>IFERROR(__xludf.DUMMYFUNCTION("""COMPUTED_VALUE"""),900.0)</f>
        <v>900</v>
      </c>
      <c r="S152" s="16"/>
      <c r="T152" s="16"/>
      <c r="U152" s="16"/>
      <c r="V152" s="16"/>
      <c r="W152" s="16"/>
      <c r="X152" s="16"/>
      <c r="Y152" s="16"/>
      <c r="Z152" s="16"/>
      <c r="AA152" s="16"/>
      <c r="AB152" s="16"/>
      <c r="AC152" s="16"/>
      <c r="AD152" s="16"/>
      <c r="AE152" s="16"/>
      <c r="AF152" s="16" t="str">
        <f>IFERROR(__xludf.DUMMYFUNCTION("""COMPUTED_VALUE"""),"++Vampires Lust II - Any damage dealt by this sword will give you HP and SP equal to the damage dealt. +-Cannot be duplicated")</f>
        <v>++Vampires Lust II - Any damage dealt by this sword will give you HP and SP equal to the damage dealt. +-Cannot be duplicated</v>
      </c>
      <c r="AG152" s="16" t="str">
        <f>IFERROR(__xludf.DUMMYFUNCTION("""COMPUTED_VALUE"""),"Halloween Kingdom")</f>
        <v>Halloween Kingdom</v>
      </c>
      <c r="AH152" s="16" t="b">
        <f>IFERROR(__xludf.DUMMYFUNCTION("""COMPUTED_VALUE"""),FALSE)</f>
        <v>0</v>
      </c>
    </row>
    <row r="153">
      <c r="A153" s="16" t="str">
        <f>IFERROR(__xludf.DUMMYFUNCTION("""COMPUTED_VALUE"""),"Jack’o Lantern Helmet of Swampy Hallow")</f>
        <v>Jack’o Lantern Helmet of Swampy Hallow</v>
      </c>
      <c r="B153" s="16" t="str">
        <f>IFERROR(__xludf.DUMMYFUNCTION("""COMPUTED_VALUE"""),"Head")</f>
        <v>Head</v>
      </c>
      <c r="C153" s="16" t="str">
        <f>IFERROR(__xludf.DUMMYFUNCTION("""COMPUTED_VALUE"""),"Halloween exclusive")</f>
        <v>Halloween exclusive</v>
      </c>
      <c r="D153" s="16"/>
      <c r="E153" s="16">
        <f>IFERROR(__xludf.DUMMYFUNCTION("""COMPUTED_VALUE"""),600.0)</f>
        <v>600</v>
      </c>
      <c r="F153" s="108">
        <f>IFERROR(__xludf.DUMMYFUNCTION("""COMPUTED_VALUE"""),1.77E7)</f>
        <v>17700000</v>
      </c>
      <c r="G153" s="16" t="str">
        <f>IFERROR(__xludf.DUMMYFUNCTION("""COMPUTED_VALUE"""),"DEF")</f>
        <v>DEF</v>
      </c>
      <c r="H153" s="16">
        <f>IFERROR(__xludf.DUMMYFUNCTION("""COMPUTED_VALUE"""),5000.0)</f>
        <v>5000</v>
      </c>
      <c r="I153" s="16">
        <f>IFERROR(__xludf.DUMMYFUNCTION("""COMPUTED_VALUE"""),5000.0)</f>
        <v>5000</v>
      </c>
      <c r="J153" s="16"/>
      <c r="K153" s="16"/>
      <c r="L153" s="16"/>
      <c r="M153" s="16"/>
      <c r="N153" s="16"/>
      <c r="O153" s="16">
        <f>IFERROR(__xludf.DUMMYFUNCTION("""COMPUTED_VALUE"""),5000.0)</f>
        <v>5000</v>
      </c>
      <c r="P153" s="16">
        <f>IFERROR(__xludf.DUMMYFUNCTION("""COMPUTED_VALUE"""),5000.0)</f>
        <v>5000</v>
      </c>
      <c r="Q153" s="16"/>
      <c r="R153" s="16">
        <f>IFERROR(__xludf.DUMMYFUNCTION("""COMPUTED_VALUE"""),5000.0)</f>
        <v>5000</v>
      </c>
      <c r="S153" s="16">
        <f>IFERROR(__xludf.DUMMYFUNCTION("""COMPUTED_VALUE"""),5000.0)</f>
        <v>5000</v>
      </c>
      <c r="T153" s="16"/>
      <c r="U153" s="16"/>
      <c r="V153" s="16"/>
      <c r="W153" s="16"/>
      <c r="X153" s="16"/>
      <c r="Y153" s="16"/>
      <c r="Z153" s="16"/>
      <c r="AA153" s="16"/>
      <c r="AB153" s="16"/>
      <c r="AC153" s="16"/>
      <c r="AD153" s="16"/>
      <c r="AE153" s="16"/>
      <c r="AF153" s="16" t="str">
        <f>IFERROR(__xludf.DUMMYFUNCTION("""COMPUTED_VALUE"""),"++Allows you to use up to Rank 9 Nature, Fire, Dark, Chaos, and Spirit Spells, ++X2 additional Nature, Fire, Dark, Chaos, and Spirit damage.")</f>
        <v>++Allows you to use up to Rank 9 Nature, Fire, Dark, Chaos, and Spirit Spells, ++X2 additional Nature, Fire, Dark, Chaos, and Spirit damage.</v>
      </c>
      <c r="AG153" s="16" t="str">
        <f>IFERROR(__xludf.DUMMYFUNCTION("""COMPUTED_VALUE"""),"Halloween Kingdom")</f>
        <v>Halloween Kingdom</v>
      </c>
      <c r="AH153" s="16" t="b">
        <f>IFERROR(__xludf.DUMMYFUNCTION("""COMPUTED_VALUE"""),FALSE)</f>
        <v>0</v>
      </c>
    </row>
    <row r="154">
      <c r="A154" s="16" t="str">
        <f>IFERROR(__xludf.DUMMYFUNCTION("""COMPUTED_VALUE"""),"Katana")</f>
        <v>Katana</v>
      </c>
      <c r="B154" s="16" t="str">
        <f>IFERROR(__xludf.DUMMYFUNCTION("""COMPUTED_VALUE"""),"Hand")</f>
        <v>Hand</v>
      </c>
      <c r="C154" s="16"/>
      <c r="D154" s="16" t="str">
        <f>IFERROR(__xludf.DUMMYFUNCTION("""COMPUTED_VALUE"""),"Sword")</f>
        <v>Sword</v>
      </c>
      <c r="E154" s="16">
        <f>IFERROR(__xludf.DUMMYFUNCTION("""COMPUTED_VALUE"""),10.0)</f>
        <v>10</v>
      </c>
      <c r="F154" s="108">
        <f>IFERROR(__xludf.DUMMYFUNCTION("""COMPUTED_VALUE"""),1000.0)</f>
        <v>1000</v>
      </c>
      <c r="G154" s="16" t="str">
        <f>IFERROR(__xludf.DUMMYFUNCTION("""COMPUTED_VALUE"""),"DMG")</f>
        <v>DMG</v>
      </c>
      <c r="H154" s="16">
        <f>IFERROR(__xludf.DUMMYFUNCTION("""COMPUTED_VALUE"""),500.0)</f>
        <v>500</v>
      </c>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t="str">
        <f>IFERROR(__xludf.DUMMYFUNCTION("""COMPUTED_VALUE"""),"++ +10% chance of the sword ability activating.")</f>
        <v>++ +10% chance of the sword ability activating.</v>
      </c>
      <c r="AG154" s="16" t="str">
        <f>IFERROR(__xludf.DUMMYFUNCTION("""COMPUTED_VALUE"""),"Land of Spira")</f>
        <v>Land of Spira</v>
      </c>
      <c r="AH154" s="16" t="b">
        <f>IFERROR(__xludf.DUMMYFUNCTION("""COMPUTED_VALUE"""),FALSE)</f>
        <v>0</v>
      </c>
    </row>
    <row r="155">
      <c r="A155" s="16" t="str">
        <f>IFERROR(__xludf.DUMMYFUNCTION("""COMPUTED_VALUE"""),"King Of Mekanas Sword")</f>
        <v>King Of Mekanas Sword</v>
      </c>
      <c r="B155" s="16" t="str">
        <f>IFERROR(__xludf.DUMMYFUNCTION("""COMPUTED_VALUE"""),"Hand")</f>
        <v>Hand</v>
      </c>
      <c r="C155" s="16" t="str">
        <f>IFERROR(__xludf.DUMMYFUNCTION("""COMPUTED_VALUE"""),"Mob Exclusive")</f>
        <v>Mob Exclusive</v>
      </c>
      <c r="D155" s="16" t="str">
        <f>IFERROR(__xludf.DUMMYFUNCTION("""COMPUTED_VALUE"""),"Sword")</f>
        <v>Sword</v>
      </c>
      <c r="E155" s="16">
        <f>IFERROR(__xludf.DUMMYFUNCTION("""COMPUTED_VALUE"""),3000.0)</f>
        <v>3000</v>
      </c>
      <c r="F155" s="108">
        <f>IFERROR(__xludf.DUMMYFUNCTION("""COMPUTED_VALUE"""),4.485E8)</f>
        <v>448500000</v>
      </c>
      <c r="G155" s="16" t="str">
        <f>IFERROR(__xludf.DUMMYFUNCTION("""COMPUTED_VALUE"""),"DMG")</f>
        <v>DMG</v>
      </c>
      <c r="H155" s="119">
        <f>IFERROR(__xludf.DUMMYFUNCTION("""COMPUTED_VALUE"""),50000.0)</f>
        <v>50000</v>
      </c>
      <c r="I155" s="119">
        <f>IFERROR(__xludf.DUMMYFUNCTION("""COMPUTED_VALUE"""),50000.0)</f>
        <v>50000</v>
      </c>
      <c r="J155" s="16"/>
      <c r="K155" s="16"/>
      <c r="L155" s="119">
        <f>IFERROR(__xludf.DUMMYFUNCTION("""COMPUTED_VALUE"""),50000.0)</f>
        <v>50000</v>
      </c>
      <c r="M155" s="16"/>
      <c r="N155" s="16"/>
      <c r="O155" s="16"/>
      <c r="P155" s="16"/>
      <c r="Q155" s="16"/>
      <c r="R155" s="16"/>
      <c r="S155" s="16"/>
      <c r="T155" s="16"/>
      <c r="U155" s="16"/>
      <c r="V155" s="16"/>
      <c r="W155" s="16"/>
      <c r="X155" s="16"/>
      <c r="Y155" s="16"/>
      <c r="Z155" s="16"/>
      <c r="AA155" s="16"/>
      <c r="AB155" s="16"/>
      <c r="AC155" s="16"/>
      <c r="AD155" s="16"/>
      <c r="AE155" s="16"/>
      <c r="AF155" s="16" t="str">
        <f>IFERROR(__xludf.DUMMYFUNCTION("""COMPUTED_VALUE"""),"++X8 additional Fire and Storm damage. ")</f>
        <v>++X8 additional Fire and Storm damage. </v>
      </c>
      <c r="AG155" s="16" t="str">
        <f>IFERROR(__xludf.DUMMYFUNCTION("""COMPUTED_VALUE"""),"Land of Spira")</f>
        <v>Land of Spira</v>
      </c>
      <c r="AH155" s="16" t="b">
        <f>IFERROR(__xludf.DUMMYFUNCTION("""COMPUTED_VALUE"""),TRUE)</f>
        <v>1</v>
      </c>
    </row>
    <row r="156">
      <c r="A156" s="16" t="str">
        <f>IFERROR(__xludf.DUMMYFUNCTION("""COMPUTED_VALUE"""),"King's Royal Sword")</f>
        <v>King's Royal Sword</v>
      </c>
      <c r="B156" s="16" t="str">
        <f>IFERROR(__xludf.DUMMYFUNCTION("""COMPUTED_VALUE"""),"Hand")</f>
        <v>Hand</v>
      </c>
      <c r="C156" s="16" t="str">
        <f>IFERROR(__xludf.DUMMYFUNCTION("""COMPUTED_VALUE"""),"Quest Item")</f>
        <v>Quest Item</v>
      </c>
      <c r="D156" s="16" t="str">
        <f>IFERROR(__xludf.DUMMYFUNCTION("""COMPUTED_VALUE"""),"Sword")</f>
        <v>Sword</v>
      </c>
      <c r="E156" s="16">
        <f>IFERROR(__xludf.DUMMYFUNCTION("""COMPUTED_VALUE"""),200.0)</f>
        <v>200</v>
      </c>
      <c r="F156" s="108">
        <f>IFERROR(__xludf.DUMMYFUNCTION("""COMPUTED_VALUE"""),7.98E8)</f>
        <v>798000000</v>
      </c>
      <c r="G156" s="16" t="str">
        <f>IFERROR(__xludf.DUMMYFUNCTION("""COMPUTED_VALUE"""),"DMG")</f>
        <v>DMG</v>
      </c>
      <c r="H156" s="119">
        <f>IFERROR(__xludf.DUMMYFUNCTION("""COMPUTED_VALUE"""),100000.0)</f>
        <v>100000</v>
      </c>
      <c r="I156" s="16"/>
      <c r="J156" s="16"/>
      <c r="K156" s="16"/>
      <c r="L156" s="16"/>
      <c r="M156" s="16"/>
      <c r="N156" s="16"/>
      <c r="O156" s="16"/>
      <c r="P156" s="16"/>
      <c r="Q156" s="16"/>
      <c r="R156" s="16"/>
      <c r="S156" s="16"/>
      <c r="T156" s="16"/>
      <c r="U156" s="16"/>
      <c r="V156" s="16"/>
      <c r="W156" s="16"/>
      <c r="X156" s="16"/>
      <c r="Y156" s="16"/>
      <c r="Z156" s="16"/>
      <c r="AA156" s="16"/>
      <c r="AB156" s="16"/>
      <c r="AC156" s="119">
        <f>IFERROR(__xludf.DUMMYFUNCTION("""COMPUTED_VALUE"""),100000.0)</f>
        <v>100000</v>
      </c>
      <c r="AD156" s="16"/>
      <c r="AE156" s="16"/>
      <c r="AF156" s="16" t="str">
        <f>IFERROR(__xludf.DUMMYFUNCTION("""COMPUTED_VALUE"""),"++ +5 can be added to your d20 rolls. X12 additional Celestial damage. +-Cannot be duplicated")</f>
        <v>++ +5 can be added to your d20 rolls. X12 additional Celestial damage. +-Cannot be duplicated</v>
      </c>
      <c r="AG156" s="16" t="str">
        <f>IFERROR(__xludf.DUMMYFUNCTION("""COMPUTED_VALUE"""),"Land of Spira")</f>
        <v>Land of Spira</v>
      </c>
      <c r="AH156" s="16" t="b">
        <f>IFERROR(__xludf.DUMMYFUNCTION("""COMPUTED_VALUE"""),FALSE)</f>
        <v>0</v>
      </c>
    </row>
    <row r="157">
      <c r="A157" s="16" t="str">
        <f>IFERROR(__xludf.DUMMYFUNCTION("""COMPUTED_VALUE"""),"Knife")</f>
        <v>Knife</v>
      </c>
      <c r="B157" s="16" t="str">
        <f>IFERROR(__xludf.DUMMYFUNCTION("""COMPUTED_VALUE"""),"Hand")</f>
        <v>Hand</v>
      </c>
      <c r="C157" s="16"/>
      <c r="D157" s="16" t="str">
        <f>IFERROR(__xludf.DUMMYFUNCTION("""COMPUTED_VALUE"""),"Knife")</f>
        <v>Knife</v>
      </c>
      <c r="E157" s="16">
        <f>IFERROR(__xludf.DUMMYFUNCTION("""COMPUTED_VALUE"""),20.0)</f>
        <v>20</v>
      </c>
      <c r="F157" s="108">
        <f>IFERROR(__xludf.DUMMYFUNCTION("""COMPUTED_VALUE"""),10000.0)</f>
        <v>10000</v>
      </c>
      <c r="G157" s="16" t="str">
        <f>IFERROR(__xludf.DUMMYFUNCTION("""COMPUTED_VALUE"""),"DMG")</f>
        <v>DMG</v>
      </c>
      <c r="H157" s="16">
        <f>IFERROR(__xludf.DUMMYFUNCTION("""COMPUTED_VALUE"""),1000.0)</f>
        <v>1000</v>
      </c>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t="str">
        <f>IFERROR(__xludf.DUMMYFUNCTION("""COMPUTED_VALUE"""),"Land of Spira")</f>
        <v>Land of Spira</v>
      </c>
      <c r="AH157" s="16" t="b">
        <f>IFERROR(__xludf.DUMMYFUNCTION("""COMPUTED_VALUE"""),FALSE)</f>
        <v>0</v>
      </c>
    </row>
    <row r="158">
      <c r="A158" s="16" t="str">
        <f>IFERROR(__xludf.DUMMYFUNCTION("""COMPUTED_VALUE"""),"Knife of Jinx")</f>
        <v>Knife of Jinx</v>
      </c>
      <c r="B158" s="16" t="str">
        <f>IFERROR(__xludf.DUMMYFUNCTION("""COMPUTED_VALUE"""),"Hand")</f>
        <v>Hand</v>
      </c>
      <c r="C158" s="16"/>
      <c r="D158" s="16" t="str">
        <f>IFERROR(__xludf.DUMMYFUNCTION("""COMPUTED_VALUE"""),"Knife")</f>
        <v>Knife</v>
      </c>
      <c r="E158" s="16">
        <f>IFERROR(__xludf.DUMMYFUNCTION("""COMPUTED_VALUE"""),1.0)</f>
        <v>1</v>
      </c>
      <c r="F158" s="108">
        <f>IFERROR(__xludf.DUMMYFUNCTION("""COMPUTED_VALUE"""),0.0)</f>
        <v>0</v>
      </c>
      <c r="G158" s="16" t="str">
        <f>IFERROR(__xludf.DUMMYFUNCTION("""COMPUTED_VALUE"""),"DMG")</f>
        <v>DMG</v>
      </c>
      <c r="H158" s="16">
        <f>IFERROR(__xludf.DUMMYFUNCTION("""COMPUTED_VALUE"""),10.0)</f>
        <v>10</v>
      </c>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t="str">
        <f>IFERROR(__xludf.DUMMYFUNCTION("""COMPUTED_VALUE"""),"++ If this weapon is used against a character owned by James, This will instantly kill that character even if they are immune to instant death, otherwise this will deal 10 damage")</f>
        <v>++ If this weapon is used against a character owned by James, This will instantly kill that character even if they are immune to instant death, otherwise this will deal 10 damage</v>
      </c>
      <c r="AG158" s="16" t="str">
        <f>IFERROR(__xludf.DUMMYFUNCTION("""COMPUTED_VALUE"""),"Land of Spira")</f>
        <v>Land of Spira</v>
      </c>
      <c r="AH158" s="16" t="b">
        <f>IFERROR(__xludf.DUMMYFUNCTION("""COMPUTED_VALUE"""),FALSE)</f>
        <v>0</v>
      </c>
    </row>
    <row r="159">
      <c r="A159" s="16" t="str">
        <f>IFERROR(__xludf.DUMMYFUNCTION("""COMPUTED_VALUE"""),"kraken's power ring")</f>
        <v>kraken's power ring</v>
      </c>
      <c r="B159" s="16" t="str">
        <f>IFERROR(__xludf.DUMMYFUNCTION("""COMPUTED_VALUE"""),"Ring")</f>
        <v>Ring</v>
      </c>
      <c r="C159" s="16"/>
      <c r="D159" s="16"/>
      <c r="E159" s="16">
        <f>IFERROR(__xludf.DUMMYFUNCTION("""COMPUTED_VALUE"""),1.0)</f>
        <v>1</v>
      </c>
      <c r="F159" s="108">
        <f>IFERROR(__xludf.DUMMYFUNCTION("""COMPUTED_VALUE"""),0.0)</f>
        <v>0</v>
      </c>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t="str">
        <f>IFERROR(__xludf.DUMMYFUNCTION("""COMPUTED_VALUE"""),"++water based attacks double in damage. ++sp cost is halved for water spells only")</f>
        <v>++water based attacks double in damage. ++sp cost is halved for water spells only</v>
      </c>
      <c r="AG159" s="16" t="str">
        <f>IFERROR(__xludf.DUMMYFUNCTION("""COMPUTED_VALUE"""),"Land of Spira")</f>
        <v>Land of Spira</v>
      </c>
      <c r="AH159" s="16" t="b">
        <f>IFERROR(__xludf.DUMMYFUNCTION("""COMPUTED_VALUE"""),FALSE)</f>
        <v>0</v>
      </c>
    </row>
    <row r="160">
      <c r="A160" s="16" t="str">
        <f>IFERROR(__xludf.DUMMYFUNCTION("""COMPUTED_VALUE"""),"Krakens Power Ring")</f>
        <v>Krakens Power Ring</v>
      </c>
      <c r="B160" s="16" t="str">
        <f>IFERROR(__xludf.DUMMYFUNCTION("""COMPUTED_VALUE"""),"Ring")</f>
        <v>Ring</v>
      </c>
      <c r="C160" s="16"/>
      <c r="D160" s="16"/>
      <c r="E160" s="16">
        <f>IFERROR(__xludf.DUMMYFUNCTION("""COMPUTED_VALUE"""),1.0)</f>
        <v>1</v>
      </c>
      <c r="F160" s="108">
        <f>IFERROR(__xludf.DUMMYFUNCTION("""COMPUTED_VALUE"""),0.0)</f>
        <v>0</v>
      </c>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t="str">
        <f>IFERROR(__xludf.DUMMYFUNCTION("""COMPUTED_VALUE"""),"++water based attacks deal x2 damage, ++sp is halved for water spells only. +-(one use per battle)")</f>
        <v>++water based attacks deal x2 damage, ++sp is halved for water spells only. +-(one use per battle)</v>
      </c>
      <c r="AG160" s="16" t="str">
        <f>IFERROR(__xludf.DUMMYFUNCTION("""COMPUTED_VALUE"""),"Land of Spira")</f>
        <v>Land of Spira</v>
      </c>
      <c r="AH160" s="16" t="b">
        <f>IFERROR(__xludf.DUMMYFUNCTION("""COMPUTED_VALUE"""),FALSE)</f>
        <v>0</v>
      </c>
    </row>
    <row r="161">
      <c r="A161" s="16" t="str">
        <f>IFERROR(__xludf.DUMMYFUNCTION("""COMPUTED_VALUE"""),"Lava Longsword")</f>
        <v>Lava Longsword</v>
      </c>
      <c r="B161" s="16" t="str">
        <f>IFERROR(__xludf.DUMMYFUNCTION("""COMPUTED_VALUE"""),"Hand")</f>
        <v>Hand</v>
      </c>
      <c r="C161" s="16"/>
      <c r="D161" s="16" t="str">
        <f>IFERROR(__xludf.DUMMYFUNCTION("""COMPUTED_VALUE"""),"Sword")</f>
        <v>Sword</v>
      </c>
      <c r="E161" s="16">
        <f>IFERROR(__xludf.DUMMYFUNCTION("""COMPUTED_VALUE"""),800.0)</f>
        <v>800</v>
      </c>
      <c r="F161" s="108">
        <f>IFERROR(__xludf.DUMMYFUNCTION("""COMPUTED_VALUE"""),3.16E7)</f>
        <v>31600000</v>
      </c>
      <c r="G161" s="16" t="str">
        <f>IFERROR(__xludf.DUMMYFUNCTION("""COMPUTED_VALUE"""),"DMG")</f>
        <v>DMG</v>
      </c>
      <c r="H161" s="119">
        <f>IFERROR(__xludf.DUMMYFUNCTION("""COMPUTED_VALUE"""),20000.0)</f>
        <v>20000</v>
      </c>
      <c r="I161" s="119">
        <f>IFERROR(__xludf.DUMMYFUNCTION("""COMPUTED_VALUE"""),20000.0)</f>
        <v>20000</v>
      </c>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t="str">
        <f>IFERROR(__xludf.DUMMYFUNCTION("""COMPUTED_VALUE"""),"++Burn 10,000 for 3 rounds.")</f>
        <v>++Burn 10,000 for 3 rounds.</v>
      </c>
      <c r="AG161" s="16" t="str">
        <f>IFERROR(__xludf.DUMMYFUNCTION("""COMPUTED_VALUE"""),"Land of Spira")</f>
        <v>Land of Spira</v>
      </c>
      <c r="AH161" s="16" t="b">
        <f>IFERROR(__xludf.DUMMYFUNCTION("""COMPUTED_VALUE"""),FALSE)</f>
        <v>0</v>
      </c>
    </row>
    <row r="162">
      <c r="A162" s="16" t="str">
        <f>IFERROR(__xludf.DUMMYFUNCTION("""COMPUTED_VALUE"""),"Lazer Infused Sword")</f>
        <v>Lazer Infused Sword</v>
      </c>
      <c r="B162" s="16" t="str">
        <f>IFERROR(__xludf.DUMMYFUNCTION("""COMPUTED_VALUE"""),"Hand")</f>
        <v>Hand</v>
      </c>
      <c r="C162" s="16"/>
      <c r="D162" s="16" t="str">
        <f>IFERROR(__xludf.DUMMYFUNCTION("""COMPUTED_VALUE"""),"Sword")</f>
        <v>Sword</v>
      </c>
      <c r="E162" s="16">
        <f>IFERROR(__xludf.DUMMYFUNCTION("""COMPUTED_VALUE"""),600.0)</f>
        <v>600</v>
      </c>
      <c r="F162" s="108">
        <f>IFERROR(__xludf.DUMMYFUNCTION("""COMPUTED_VALUE"""),1.77E7)</f>
        <v>17700000</v>
      </c>
      <c r="G162" s="16" t="str">
        <f>IFERROR(__xludf.DUMMYFUNCTION("""COMPUTED_VALUE"""),"DMG")</f>
        <v>DMG</v>
      </c>
      <c r="H162" s="119">
        <f>IFERROR(__xludf.DUMMYFUNCTION("""COMPUTED_VALUE"""),10000.0)</f>
        <v>10000</v>
      </c>
      <c r="I162" s="119">
        <f>IFERROR(__xludf.DUMMYFUNCTION("""COMPUTED_VALUE"""),10000.0)</f>
        <v>10000</v>
      </c>
      <c r="J162" s="16"/>
      <c r="K162" s="16"/>
      <c r="L162" s="16"/>
      <c r="M162" s="16"/>
      <c r="N162" s="16"/>
      <c r="O162" s="16"/>
      <c r="P162" s="16"/>
      <c r="Q162" s="16"/>
      <c r="R162" s="16"/>
      <c r="S162" s="16"/>
      <c r="T162" s="16"/>
      <c r="U162" s="16"/>
      <c r="V162" s="16"/>
      <c r="W162" s="16"/>
      <c r="X162" s="16"/>
      <c r="Y162" s="119">
        <f>IFERROR(__xludf.DUMMYFUNCTION("""COMPUTED_VALUE"""),10000.0)</f>
        <v>10000</v>
      </c>
      <c r="Z162" s="16"/>
      <c r="AA162" s="16"/>
      <c r="AB162" s="16"/>
      <c r="AC162" s="16"/>
      <c r="AD162" s="16"/>
      <c r="AE162" s="16"/>
      <c r="AF162" s="16" t="str">
        <f>IFERROR(__xludf.DUMMYFUNCTION("""COMPUTED_VALUE"""),"++Ignores Defense. +-Cannot be duplicated.")</f>
        <v>++Ignores Defense. +-Cannot be duplicated.</v>
      </c>
      <c r="AG162" s="16" t="str">
        <f>IFERROR(__xludf.DUMMYFUNCTION("""COMPUTED_VALUE"""),"Land of Spira")</f>
        <v>Land of Spira</v>
      </c>
      <c r="AH162" s="16" t="b">
        <f>IFERROR(__xludf.DUMMYFUNCTION("""COMPUTED_VALUE"""),FALSE)</f>
        <v>0</v>
      </c>
    </row>
    <row r="163">
      <c r="A163" s="16" t="str">
        <f>IFERROR(__xludf.DUMMYFUNCTION("""COMPUTED_VALUE"""),"Legendary Sword of Heatmore")</f>
        <v>Legendary Sword of Heatmore</v>
      </c>
      <c r="B163" s="16" t="str">
        <f>IFERROR(__xludf.DUMMYFUNCTION("""COMPUTED_VALUE"""),"Hand")</f>
        <v>Hand</v>
      </c>
      <c r="C163" s="16"/>
      <c r="D163" s="16" t="str">
        <f>IFERROR(__xludf.DUMMYFUNCTION("""COMPUTED_VALUE"""),"Sword")</f>
        <v>Sword</v>
      </c>
      <c r="E163" s="16">
        <f>IFERROR(__xludf.DUMMYFUNCTION("""COMPUTED_VALUE"""),200.0)</f>
        <v>200</v>
      </c>
      <c r="F163" s="108">
        <f>IFERROR(__xludf.DUMMYFUNCTION("""COMPUTED_VALUE"""),1.272E8)</f>
        <v>127200000</v>
      </c>
      <c r="G163" s="16" t="str">
        <f>IFERROR(__xludf.DUMMYFUNCTION("""COMPUTED_VALUE"""),"DMG")</f>
        <v>DMG</v>
      </c>
      <c r="H163" s="119">
        <f>IFERROR(__xludf.DUMMYFUNCTION("""COMPUTED_VALUE"""),20000.0)</f>
        <v>20000</v>
      </c>
      <c r="I163" s="119">
        <f>IFERROR(__xludf.DUMMYFUNCTION("""COMPUTED_VALUE"""),20000.0)</f>
        <v>20000</v>
      </c>
      <c r="J163" s="16"/>
      <c r="K163" s="119">
        <f>IFERROR(__xludf.DUMMYFUNCTION("""COMPUTED_VALUE"""),20000.0)</f>
        <v>20000</v>
      </c>
      <c r="L163" s="16"/>
      <c r="M163" s="16"/>
      <c r="N163" s="16"/>
      <c r="O163" s="16"/>
      <c r="P163" s="16"/>
      <c r="Q163" s="16"/>
      <c r="R163" s="16"/>
      <c r="S163" s="16"/>
      <c r="T163" s="16"/>
      <c r="U163" s="16"/>
      <c r="V163" s="16"/>
      <c r="W163" s="16"/>
      <c r="X163" s="16"/>
      <c r="Y163" s="16"/>
      <c r="Z163" s="16"/>
      <c r="AA163" s="16"/>
      <c r="AB163" s="16"/>
      <c r="AC163" s="119">
        <f>IFERROR(__xludf.DUMMYFUNCTION("""COMPUTED_VALUE"""),20000.0)</f>
        <v>20000</v>
      </c>
      <c r="AD163" s="16"/>
      <c r="AE163" s="16"/>
      <c r="AF163" s="16" t="str">
        <f>IFERROR(__xludf.DUMMYFUNCTION("""COMPUTED_VALUE"""),"++75% chance of instant death. ++X6 additional Fire damage. ++Burn 10,000. +-Cannot be duplicated")</f>
        <v>++75% chance of instant death. ++X6 additional Fire damage. ++Burn 10,000. +-Cannot be duplicated</v>
      </c>
      <c r="AG163" s="16" t="str">
        <f>IFERROR(__xludf.DUMMYFUNCTION("""COMPUTED_VALUE"""),"Land of Spira")</f>
        <v>Land of Spira</v>
      </c>
      <c r="AH163" s="16" t="b">
        <f>IFERROR(__xludf.DUMMYFUNCTION("""COMPUTED_VALUE"""),FALSE)</f>
        <v>0</v>
      </c>
    </row>
    <row r="164">
      <c r="A164" s="16" t="str">
        <f>IFERROR(__xludf.DUMMYFUNCTION("""COMPUTED_VALUE"""),"Legendary Tree Sword")</f>
        <v>Legendary Tree Sword</v>
      </c>
      <c r="B164" s="16" t="str">
        <f>IFERROR(__xludf.DUMMYFUNCTION("""COMPUTED_VALUE"""),"Hand")</f>
        <v>Hand</v>
      </c>
      <c r="C164" s="16"/>
      <c r="D164" s="16" t="str">
        <f>IFERROR(__xludf.DUMMYFUNCTION("""COMPUTED_VALUE"""),"Sword")</f>
        <v>Sword</v>
      </c>
      <c r="E164" s="16">
        <f>IFERROR(__xludf.DUMMYFUNCTION("""COMPUTED_VALUE"""),200.0)</f>
        <v>200</v>
      </c>
      <c r="F164" s="108">
        <f>IFERROR(__xludf.DUMMYFUNCTION("""COMPUTED_VALUE"""),4.485E8)</f>
        <v>448500000</v>
      </c>
      <c r="G164" s="16" t="str">
        <f>IFERROR(__xludf.DUMMYFUNCTION("""COMPUTED_VALUE"""),"DMG")</f>
        <v>DMG</v>
      </c>
      <c r="H164" s="119">
        <f>IFERROR(__xludf.DUMMYFUNCTION("""COMPUTED_VALUE"""),50000.0)</f>
        <v>50000</v>
      </c>
      <c r="I164" s="16"/>
      <c r="J164" s="16"/>
      <c r="K164" s="16"/>
      <c r="L164" s="16"/>
      <c r="M164" s="16"/>
      <c r="N164" s="16"/>
      <c r="O164" s="16"/>
      <c r="P164" s="16"/>
      <c r="Q164" s="16"/>
      <c r="R164" s="16"/>
      <c r="S164" s="119">
        <f>IFERROR(__xludf.DUMMYFUNCTION("""COMPUTED_VALUE"""),50000.0)</f>
        <v>50000</v>
      </c>
      <c r="T164" s="16"/>
      <c r="U164" s="16"/>
      <c r="V164" s="16"/>
      <c r="W164" s="16"/>
      <c r="X164" s="16"/>
      <c r="Y164" s="16"/>
      <c r="Z164" s="16"/>
      <c r="AA164" s="16"/>
      <c r="AB164" s="16"/>
      <c r="AC164" s="119">
        <f>IFERROR(__xludf.DUMMYFUNCTION("""COMPUTED_VALUE"""),50000.0)</f>
        <v>50000</v>
      </c>
      <c r="AD164" s="16"/>
      <c r="AE164" s="16"/>
      <c r="AF164" s="16" t="str">
        <f>IFERROR(__xludf.DUMMYFUNCTION("""COMPUTED_VALUE"""),"++X6 Additional Nature damage. ++20% chance of Incorporeal 2. +-Cannot be duplicated.")</f>
        <v>++X6 Additional Nature damage. ++20% chance of Incorporeal 2. +-Cannot be duplicated.</v>
      </c>
      <c r="AG164" s="16" t="str">
        <f>IFERROR(__xludf.DUMMYFUNCTION("""COMPUTED_VALUE"""),"Land of Spira")</f>
        <v>Land of Spira</v>
      </c>
      <c r="AH164" s="16" t="b">
        <f>IFERROR(__xludf.DUMMYFUNCTION("""COMPUTED_VALUE"""),FALSE)</f>
        <v>0</v>
      </c>
    </row>
    <row r="165">
      <c r="A165" s="16" t="str">
        <f>IFERROR(__xludf.DUMMYFUNCTION("""COMPUTED_VALUE"""),"Leggings Of Tritonoch")</f>
        <v>Leggings Of Tritonoch</v>
      </c>
      <c r="B165" s="16" t="str">
        <f>IFERROR(__xludf.DUMMYFUNCTION("""COMPUTED_VALUE"""),"Legs")</f>
        <v>Legs</v>
      </c>
      <c r="C165" s="16"/>
      <c r="D165" s="16"/>
      <c r="E165" s="16">
        <f>IFERROR(__xludf.DUMMYFUNCTION("""COMPUTED_VALUE"""),400.0)</f>
        <v>400</v>
      </c>
      <c r="F165" s="108">
        <f>IFERROR(__xludf.DUMMYFUNCTION("""COMPUTED_VALUE"""),7800000.0)</f>
        <v>7800000</v>
      </c>
      <c r="G165" s="16" t="str">
        <f>IFERROR(__xludf.DUMMYFUNCTION("""COMPUTED_VALUE"""),"DEF")</f>
        <v>DEF</v>
      </c>
      <c r="H165" s="16">
        <f>IFERROR(__xludf.DUMMYFUNCTION("""COMPUTED_VALUE"""),20000.0)</f>
        <v>20000</v>
      </c>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t="str">
        <f>IFERROR(__xludf.DUMMYFUNCTION("""COMPUTED_VALUE"""),"++Waves of Entitlement - x5 additional Water damage")</f>
        <v>++Waves of Entitlement - x5 additional Water damage</v>
      </c>
      <c r="AG165" s="16" t="str">
        <f>IFERROR(__xludf.DUMMYFUNCTION("""COMPUTED_VALUE"""),"Land of Spira")</f>
        <v>Land of Spira</v>
      </c>
      <c r="AH165" s="16" t="b">
        <f>IFERROR(__xludf.DUMMYFUNCTION("""COMPUTED_VALUE"""),FALSE)</f>
        <v>0</v>
      </c>
    </row>
    <row r="166">
      <c r="A166" s="16" t="str">
        <f>IFERROR(__xludf.DUMMYFUNCTION("""COMPUTED_VALUE"""),"Lightning Lance")</f>
        <v>Lightning Lance</v>
      </c>
      <c r="B166" s="16" t="str">
        <f>IFERROR(__xludf.DUMMYFUNCTION("""COMPUTED_VALUE"""),"Hand")</f>
        <v>Hand</v>
      </c>
      <c r="C166" s="16"/>
      <c r="D166" s="16" t="str">
        <f>IFERROR(__xludf.DUMMYFUNCTION("""COMPUTED_VALUE"""),"Spear")</f>
        <v>Spear</v>
      </c>
      <c r="E166" s="16">
        <f>IFERROR(__xludf.DUMMYFUNCTION("""COMPUTED_VALUE"""),500.0)</f>
        <v>500</v>
      </c>
      <c r="F166" s="108">
        <f>IFERROR(__xludf.DUMMYFUNCTION("""COMPUTED_VALUE"""),1.225E7)</f>
        <v>12250000</v>
      </c>
      <c r="G166" s="16" t="str">
        <f>IFERROR(__xludf.DUMMYFUNCTION("""COMPUTED_VALUE"""),"DMG")</f>
        <v>DMG</v>
      </c>
      <c r="H166" s="119">
        <f>IFERROR(__xludf.DUMMYFUNCTION("""COMPUTED_VALUE"""),10000.0)</f>
        <v>10000</v>
      </c>
      <c r="I166" s="16"/>
      <c r="J166" s="16"/>
      <c r="K166" s="16"/>
      <c r="L166" s="119">
        <f>IFERROR(__xludf.DUMMYFUNCTION("""COMPUTED_VALUE"""),15000.0)</f>
        <v>15000</v>
      </c>
      <c r="M166" s="16"/>
      <c r="N166" s="16"/>
      <c r="O166" s="16"/>
      <c r="P166" s="16"/>
      <c r="Q166" s="16"/>
      <c r="R166" s="16"/>
      <c r="S166" s="16"/>
      <c r="T166" s="16"/>
      <c r="U166" s="16"/>
      <c r="V166" s="16"/>
      <c r="W166" s="16"/>
      <c r="X166" s="16"/>
      <c r="Y166" s="16"/>
      <c r="Z166" s="16"/>
      <c r="AA166" s="16"/>
      <c r="AB166" s="16"/>
      <c r="AC166" s="16"/>
      <c r="AD166" s="16"/>
      <c r="AE166" s="16"/>
      <c r="AF166" s="16" t="str">
        <f>IFERROR(__xludf.DUMMYFUNCTION("""COMPUTED_VALUE"""),"++Stun 2")</f>
        <v>++Stun 2</v>
      </c>
      <c r="AG166" s="16" t="str">
        <f>IFERROR(__xludf.DUMMYFUNCTION("""COMPUTED_VALUE"""),"Land of Spira")</f>
        <v>Land of Spira</v>
      </c>
      <c r="AH166" s="16" t="b">
        <f>IFERROR(__xludf.DUMMYFUNCTION("""COMPUTED_VALUE"""),FALSE)</f>
        <v>0</v>
      </c>
    </row>
    <row r="167">
      <c r="A167" s="16" t="str">
        <f>IFERROR(__xludf.DUMMYFUNCTION("""COMPUTED_VALUE"""),"Long Spear")</f>
        <v>Long Spear</v>
      </c>
      <c r="B167" s="16" t="str">
        <f>IFERROR(__xludf.DUMMYFUNCTION("""COMPUTED_VALUE"""),"Hand")</f>
        <v>Hand</v>
      </c>
      <c r="C167" s="16"/>
      <c r="D167" s="16" t="str">
        <f>IFERROR(__xludf.DUMMYFUNCTION("""COMPUTED_VALUE"""),"Spear")</f>
        <v>Spear</v>
      </c>
      <c r="E167" s="16">
        <f>IFERROR(__xludf.DUMMYFUNCTION("""COMPUTED_VALUE"""),10.0)</f>
        <v>10</v>
      </c>
      <c r="F167" s="108">
        <f>IFERROR(__xludf.DUMMYFUNCTION("""COMPUTED_VALUE"""),1000.0)</f>
        <v>1000</v>
      </c>
      <c r="G167" s="16" t="str">
        <f>IFERROR(__xludf.DUMMYFUNCTION("""COMPUTED_VALUE"""),"DMG")</f>
        <v>DMG</v>
      </c>
      <c r="H167" s="16">
        <f>IFERROR(__xludf.DUMMYFUNCTION("""COMPUTED_VALUE"""),500.0)</f>
        <v>500</v>
      </c>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t="str">
        <f>IFERROR(__xludf.DUMMYFUNCTION("""COMPUTED_VALUE"""),"++25% chance of instant death. ")</f>
        <v>++25% chance of instant death. </v>
      </c>
      <c r="AG167" s="16" t="str">
        <f>IFERROR(__xludf.DUMMYFUNCTION("""COMPUTED_VALUE"""),"Land of Spira")</f>
        <v>Land of Spira</v>
      </c>
      <c r="AH167" s="16" t="b">
        <f>IFERROR(__xludf.DUMMYFUNCTION("""COMPUTED_VALUE"""),FALSE)</f>
        <v>0</v>
      </c>
    </row>
    <row r="168">
      <c r="A168" s="16" t="str">
        <f>IFERROR(__xludf.DUMMYFUNCTION("""COMPUTED_VALUE"""),"Lord Dreadfuls Sword")</f>
        <v>Lord Dreadfuls Sword</v>
      </c>
      <c r="B168" s="16" t="str">
        <f>IFERROR(__xludf.DUMMYFUNCTION("""COMPUTED_VALUE"""),"Hand")</f>
        <v>Hand</v>
      </c>
      <c r="C168" s="16"/>
      <c r="D168" s="16" t="str">
        <f>IFERROR(__xludf.DUMMYFUNCTION("""COMPUTED_VALUE"""),"Sword")</f>
        <v>Sword</v>
      </c>
      <c r="E168" s="16">
        <f>IFERROR(__xludf.DUMMYFUNCTION("""COMPUTED_VALUE"""),800.0)</f>
        <v>800</v>
      </c>
      <c r="F168" s="108">
        <f>IFERROR(__xludf.DUMMYFUNCTION("""COMPUTED_VALUE"""),3.16E7)</f>
        <v>31600000</v>
      </c>
      <c r="G168" s="16" t="str">
        <f>IFERROR(__xludf.DUMMYFUNCTION("""COMPUTED_VALUE"""),"DMG")</f>
        <v>DMG</v>
      </c>
      <c r="H168" s="16">
        <f>IFERROR(__xludf.DUMMYFUNCTION("""COMPUTED_VALUE"""),20000.0)</f>
        <v>20000</v>
      </c>
      <c r="I168" s="16"/>
      <c r="J168" s="16"/>
      <c r="K168" s="16"/>
      <c r="L168" s="16"/>
      <c r="M168" s="16"/>
      <c r="N168" s="16"/>
      <c r="O168" s="16">
        <f>IFERROR(__xludf.DUMMYFUNCTION("""COMPUTED_VALUE"""),10000.0)</f>
        <v>10000</v>
      </c>
      <c r="P168" s="16"/>
      <c r="Q168" s="16"/>
      <c r="R168" s="16">
        <f>IFERROR(__xludf.DUMMYFUNCTION("""COMPUTED_VALUE"""),10000.0)</f>
        <v>10000</v>
      </c>
      <c r="S168" s="16"/>
      <c r="T168" s="16"/>
      <c r="U168" s="16"/>
      <c r="V168" s="16"/>
      <c r="W168" s="16"/>
      <c r="X168" s="16"/>
      <c r="Y168" s="16"/>
      <c r="Z168" s="16"/>
      <c r="AA168" s="16"/>
      <c r="AB168" s="16"/>
      <c r="AC168" s="16"/>
      <c r="AD168" s="16"/>
      <c r="AE168" s="16"/>
      <c r="AF168" s="16"/>
      <c r="AG168" s="16" t="str">
        <f>IFERROR(__xludf.DUMMYFUNCTION("""COMPUTED_VALUE"""),"Land of Spira")</f>
        <v>Land of Spira</v>
      </c>
      <c r="AH168" s="16" t="b">
        <f>IFERROR(__xludf.DUMMYFUNCTION("""COMPUTED_VALUE"""),TRUE)</f>
        <v>1</v>
      </c>
    </row>
    <row r="169">
      <c r="A169" s="16" t="str">
        <f>IFERROR(__xludf.DUMMYFUNCTION("""COMPUTED_VALUE"""),"Magma Morningstar")</f>
        <v>Magma Morningstar</v>
      </c>
      <c r="B169" s="16" t="str">
        <f>IFERROR(__xludf.DUMMYFUNCTION("""COMPUTED_VALUE"""),"Hand")</f>
        <v>Hand</v>
      </c>
      <c r="C169" s="16"/>
      <c r="D169" s="16" t="str">
        <f>IFERROR(__xludf.DUMMYFUNCTION("""COMPUTED_VALUE"""),"Club")</f>
        <v>Club</v>
      </c>
      <c r="E169" s="16">
        <f>IFERROR(__xludf.DUMMYFUNCTION("""COMPUTED_VALUE"""),20.0)</f>
        <v>20</v>
      </c>
      <c r="F169" s="108">
        <f>IFERROR(__xludf.DUMMYFUNCTION("""COMPUTED_VALUE"""),1000.0)</f>
        <v>1000</v>
      </c>
      <c r="G169" s="16" t="str">
        <f>IFERROR(__xludf.DUMMYFUNCTION("""COMPUTED_VALUE"""),"DMG")</f>
        <v>DMG</v>
      </c>
      <c r="H169" s="16">
        <f>IFERROR(__xludf.DUMMYFUNCTION("""COMPUTED_VALUE"""),500.0)</f>
        <v>500</v>
      </c>
      <c r="I169" s="16">
        <f>IFERROR(__xludf.DUMMYFUNCTION("""COMPUTED_VALUE"""),400.0)</f>
        <v>400</v>
      </c>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t="str">
        <f>IFERROR(__xludf.DUMMYFUNCTION("""COMPUTED_VALUE"""),"++Will return to you each round when thrown")</f>
        <v>++Will return to you each round when thrown</v>
      </c>
      <c r="AG169" s="16" t="str">
        <f>IFERROR(__xludf.DUMMYFUNCTION("""COMPUTED_VALUE"""),"Land of Spira")</f>
        <v>Land of Spira</v>
      </c>
      <c r="AH169" s="16" t="b">
        <f>IFERROR(__xludf.DUMMYFUNCTION("""COMPUTED_VALUE"""),FALSE)</f>
        <v>0</v>
      </c>
    </row>
    <row r="170">
      <c r="A170" s="16" t="str">
        <f>IFERROR(__xludf.DUMMYFUNCTION("""COMPUTED_VALUE"""),"Magma Sword")</f>
        <v>Magma Sword</v>
      </c>
      <c r="B170" s="16" t="str">
        <f>IFERROR(__xludf.DUMMYFUNCTION("""COMPUTED_VALUE"""),"Hand")</f>
        <v>Hand</v>
      </c>
      <c r="C170" s="16" t="str">
        <f>IFERROR(__xludf.DUMMYFUNCTION("""COMPUTED_VALUE"""),"A sword that turned Forest View into Ash View.")</f>
        <v>A sword that turned Forest View into Ash View.</v>
      </c>
      <c r="D170" s="16" t="str">
        <f>IFERROR(__xludf.DUMMYFUNCTION("""COMPUTED_VALUE"""),"Sword")</f>
        <v>Sword</v>
      </c>
      <c r="E170" s="16">
        <f>IFERROR(__xludf.DUMMYFUNCTION("""COMPUTED_VALUE"""),200.0)</f>
        <v>200</v>
      </c>
      <c r="F170" s="108">
        <f>IFERROR(__xludf.DUMMYFUNCTION("""COMPUTED_VALUE"""),4.485E8)</f>
        <v>448500000</v>
      </c>
      <c r="G170" s="16" t="str">
        <f>IFERROR(__xludf.DUMMYFUNCTION("""COMPUTED_VALUE"""),"DMG")</f>
        <v>DMG</v>
      </c>
      <c r="H170" s="119">
        <f>IFERROR(__xludf.DUMMYFUNCTION("""COMPUTED_VALUE"""),50000.0)</f>
        <v>50000</v>
      </c>
      <c r="I170" s="119">
        <f>IFERROR(__xludf.DUMMYFUNCTION("""COMPUTED_VALUE"""),50000.0)</f>
        <v>50000</v>
      </c>
      <c r="J170" s="16"/>
      <c r="K170" s="16"/>
      <c r="L170" s="16"/>
      <c r="M170" s="16"/>
      <c r="N170" s="16"/>
      <c r="O170" s="16"/>
      <c r="P170" s="16"/>
      <c r="Q170" s="16"/>
      <c r="R170" s="16"/>
      <c r="S170" s="16"/>
      <c r="T170" s="16"/>
      <c r="U170" s="16"/>
      <c r="V170" s="16"/>
      <c r="W170" s="16"/>
      <c r="X170" s="16"/>
      <c r="Y170" s="16"/>
      <c r="Z170" s="16"/>
      <c r="AA170" s="16"/>
      <c r="AB170" s="16"/>
      <c r="AC170" s="119">
        <f>IFERROR(__xludf.DUMMYFUNCTION("""COMPUTED_VALUE"""),50000.0)</f>
        <v>50000</v>
      </c>
      <c r="AD170" s="16"/>
      <c r="AE170" s="16"/>
      <c r="AF170" s="16" t="str">
        <f>IFERROR(__xludf.DUMMYFUNCTION("""COMPUTED_VALUE"""),"++X6 additional Fire damage. ++Burn 20,000 for 3 rounds. +-Cannot be duplicated")</f>
        <v>++X6 additional Fire damage. ++Burn 20,000 for 3 rounds. +-Cannot be duplicated</v>
      </c>
      <c r="AG170" s="16" t="str">
        <f>IFERROR(__xludf.DUMMYFUNCTION("""COMPUTED_VALUE"""),"Abstara")</f>
        <v>Abstara</v>
      </c>
      <c r="AH170" s="16" t="b">
        <f>IFERROR(__xludf.DUMMYFUNCTION("""COMPUTED_VALUE"""),FALSE)</f>
        <v>0</v>
      </c>
    </row>
    <row r="171">
      <c r="A171" s="16" t="str">
        <f>IFERROR(__xludf.DUMMYFUNCTION("""COMPUTED_VALUE"""),"Masking Cloak")</f>
        <v>Masking Cloak</v>
      </c>
      <c r="B171" s="16" t="str">
        <f>IFERROR(__xludf.DUMMYFUNCTION("""COMPUTED_VALUE"""),"Torso")</f>
        <v>Torso</v>
      </c>
      <c r="C171" s="16"/>
      <c r="D171" s="16"/>
      <c r="E171" s="16">
        <f>IFERROR(__xludf.DUMMYFUNCTION("""COMPUTED_VALUE"""),1.0)</f>
        <v>1</v>
      </c>
      <c r="F171" s="108">
        <f>IFERROR(__xludf.DUMMYFUNCTION("""COMPUTED_VALUE"""),0.0)</f>
        <v>0</v>
      </c>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t="str">
        <f>IFERROR(__xludf.DUMMYFUNCTION("""COMPUTED_VALUE"""),"++5 Evasion +-(Cannot be duplicated)")</f>
        <v>++5 Evasion +-(Cannot be duplicated)</v>
      </c>
      <c r="AG171" s="16" t="str">
        <f>IFERROR(__xludf.DUMMYFUNCTION("""COMPUTED_VALUE"""),"Land of Spira")</f>
        <v>Land of Spira</v>
      </c>
      <c r="AH171" s="16" t="b">
        <f>IFERROR(__xludf.DUMMYFUNCTION("""COMPUTED_VALUE"""),FALSE)</f>
        <v>0</v>
      </c>
    </row>
    <row r="172">
      <c r="A172" s="16" t="str">
        <f>IFERROR(__xludf.DUMMYFUNCTION("""COMPUTED_VALUE"""),"Mini Lucky Fish in a Bottle")</f>
        <v>Mini Lucky Fish in a Bottle</v>
      </c>
      <c r="B172" s="16" t="str">
        <f>IFERROR(__xludf.DUMMYFUNCTION("""COMPUTED_VALUE"""),"Hand")</f>
        <v>Hand</v>
      </c>
      <c r="C172" s="16"/>
      <c r="D172" s="16" t="str">
        <f>IFERROR(__xludf.DUMMYFUNCTION("""COMPUTED_VALUE"""),"Wand")</f>
        <v>Wand</v>
      </c>
      <c r="E172" s="16">
        <f>IFERROR(__xludf.DUMMYFUNCTION("""COMPUTED_VALUE"""),1.0)</f>
        <v>1</v>
      </c>
      <c r="F172" s="108">
        <f>IFERROR(__xludf.DUMMYFUNCTION("""COMPUTED_VALUE"""),0.0)</f>
        <v>0</v>
      </c>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t="str">
        <f>IFERROR(__xludf.DUMMYFUNCTION("""COMPUTED_VALUE"""),"++Percentage rolls are now increased by 10% for caster that holds this item. +-Can only equip one")</f>
        <v>++Percentage rolls are now increased by 10% for caster that holds this item. +-Can only equip one</v>
      </c>
      <c r="AG172" s="16" t="str">
        <f>IFERROR(__xludf.DUMMYFUNCTION("""COMPUTED_VALUE"""),"Land of Spira")</f>
        <v>Land of Spira</v>
      </c>
      <c r="AH172" s="16" t="b">
        <f>IFERROR(__xludf.DUMMYFUNCTION("""COMPUTED_VALUE"""),FALSE)</f>
        <v>0</v>
      </c>
    </row>
    <row r="173">
      <c r="A173" s="16" t="str">
        <f>IFERROR(__xludf.DUMMYFUNCTION("""COMPUTED_VALUE"""),"Nature Faery Wand")</f>
        <v>Nature Faery Wand</v>
      </c>
      <c r="B173" s="16" t="str">
        <f>IFERROR(__xludf.DUMMYFUNCTION("""COMPUTED_VALUE"""),"Hand")</f>
        <v>Hand</v>
      </c>
      <c r="C173" s="16"/>
      <c r="D173" s="16" t="str">
        <f>IFERROR(__xludf.DUMMYFUNCTION("""COMPUTED_VALUE"""),"Wand")</f>
        <v>Wand</v>
      </c>
      <c r="E173" s="16">
        <f>IFERROR(__xludf.DUMMYFUNCTION("""COMPUTED_VALUE"""),1.0)</f>
        <v>1</v>
      </c>
      <c r="F173" s="108">
        <f>IFERROR(__xludf.DUMMYFUNCTION("""COMPUTED_VALUE"""),0.0)</f>
        <v>0</v>
      </c>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t="str">
        <f>IFERROR(__xludf.DUMMYFUNCTION("""COMPUTED_VALUE"""),"++half the sp cost of nature spells")</f>
        <v>++half the sp cost of nature spells</v>
      </c>
      <c r="AG173" s="16" t="str">
        <f>IFERROR(__xludf.DUMMYFUNCTION("""COMPUTED_VALUE"""),"Land of Spira")</f>
        <v>Land of Spira</v>
      </c>
      <c r="AH173" s="16" t="b">
        <f>IFERROR(__xludf.DUMMYFUNCTION("""COMPUTED_VALUE"""),FALSE)</f>
        <v>0</v>
      </c>
    </row>
    <row r="174">
      <c r="A174" s="16" t="str">
        <f>IFERROR(__xludf.DUMMYFUNCTION("""COMPUTED_VALUE"""),"Nature's Sword")</f>
        <v>Nature's Sword</v>
      </c>
      <c r="B174" s="16" t="str">
        <f>IFERROR(__xludf.DUMMYFUNCTION("""COMPUTED_VALUE"""),"Hand")</f>
        <v>Hand</v>
      </c>
      <c r="C174" s="16"/>
      <c r="D174" s="16" t="str">
        <f>IFERROR(__xludf.DUMMYFUNCTION("""COMPUTED_VALUE"""),"Sword")</f>
        <v>Sword</v>
      </c>
      <c r="E174" s="16">
        <f>IFERROR(__xludf.DUMMYFUNCTION("""COMPUTED_VALUE"""),40.0)</f>
        <v>40</v>
      </c>
      <c r="F174" s="108">
        <f>IFERROR(__xludf.DUMMYFUNCTION("""COMPUTED_VALUE"""),30000.0)</f>
        <v>30000</v>
      </c>
      <c r="G174" s="16" t="str">
        <f>IFERROR(__xludf.DUMMYFUNCTION("""COMPUTED_VALUE"""),"DMG")</f>
        <v>DMG</v>
      </c>
      <c r="H174" s="16">
        <f>IFERROR(__xludf.DUMMYFUNCTION("""COMPUTED_VALUE"""),800.0)</f>
        <v>800</v>
      </c>
      <c r="I174" s="16"/>
      <c r="J174" s="16"/>
      <c r="K174" s="16"/>
      <c r="L174" s="16"/>
      <c r="M174" s="16"/>
      <c r="N174" s="16"/>
      <c r="O174" s="16"/>
      <c r="P174" s="16"/>
      <c r="Q174" s="16"/>
      <c r="R174" s="16"/>
      <c r="S174" s="16">
        <f>IFERROR(__xludf.DUMMYFUNCTION("""COMPUTED_VALUE"""),800.0)</f>
        <v>800</v>
      </c>
      <c r="T174" s="16"/>
      <c r="U174" s="16"/>
      <c r="V174" s="16"/>
      <c r="W174" s="16"/>
      <c r="X174" s="16"/>
      <c r="Y174" s="16"/>
      <c r="Z174" s="16"/>
      <c r="AA174" s="16"/>
      <c r="AB174" s="16"/>
      <c r="AC174" s="16"/>
      <c r="AD174" s="16"/>
      <c r="AE174" s="16"/>
      <c r="AF174" s="16" t="str">
        <f>IFERROR(__xludf.DUMMYFUNCTION("""COMPUTED_VALUE"""),"++Upon a successful hit, the next turn you will automatically use the spell Tree Stance.")</f>
        <v>++Upon a successful hit, the next turn you will automatically use the spell Tree Stance.</v>
      </c>
      <c r="AG174" s="16" t="str">
        <f>IFERROR(__xludf.DUMMYFUNCTION("""COMPUTED_VALUE"""),"Land of Spira")</f>
        <v>Land of Spira</v>
      </c>
      <c r="AH174" s="16" t="b">
        <f>IFERROR(__xludf.DUMMYFUNCTION("""COMPUTED_VALUE"""),FALSE)</f>
        <v>0</v>
      </c>
    </row>
    <row r="175">
      <c r="A175" s="16" t="str">
        <f>IFERROR(__xludf.DUMMYFUNCTION("""COMPUTED_VALUE"""),"Necklace o' Lending")</f>
        <v>Necklace o' Lending</v>
      </c>
      <c r="B175" s="16" t="str">
        <f>IFERROR(__xludf.DUMMYFUNCTION("""COMPUTED_VALUE"""),"Neck")</f>
        <v>Neck</v>
      </c>
      <c r="C175" s="16"/>
      <c r="D175" s="16"/>
      <c r="E175" s="16">
        <f>IFERROR(__xludf.DUMMYFUNCTION("""COMPUTED_VALUE"""),1.0)</f>
        <v>1</v>
      </c>
      <c r="F175" s="108">
        <f>IFERROR(__xludf.DUMMYFUNCTION("""COMPUTED_VALUE"""),0.0)</f>
        <v>0</v>
      </c>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t="str">
        <f>IFERROR(__xludf.DUMMYFUNCTION("""COMPUTED_VALUE"""),"++Decrease XHP and XSP from your character sheet and add that amount to another target.")</f>
        <v>++Decrease XHP and XSP from your character sheet and add that amount to another target.</v>
      </c>
      <c r="AG175" s="16" t="str">
        <f>IFERROR(__xludf.DUMMYFUNCTION("""COMPUTED_VALUE"""),"Land of Spira")</f>
        <v>Land of Spira</v>
      </c>
      <c r="AH175" s="16" t="b">
        <f>IFERROR(__xludf.DUMMYFUNCTION("""COMPUTED_VALUE"""),FALSE)</f>
        <v>0</v>
      </c>
    </row>
    <row r="176">
      <c r="A176" s="16" t="str">
        <f>IFERROR(__xludf.DUMMYFUNCTION("""COMPUTED_VALUE"""),"Necklace Of Ancient Mountains")</f>
        <v>Necklace Of Ancient Mountains</v>
      </c>
      <c r="B176" s="16" t="str">
        <f>IFERROR(__xludf.DUMMYFUNCTION("""COMPUTED_VALUE"""),"Neck")</f>
        <v>Neck</v>
      </c>
      <c r="C176" s="16"/>
      <c r="D176" s="16"/>
      <c r="E176" s="16">
        <f>IFERROR(__xludf.DUMMYFUNCTION("""COMPUTED_VALUE"""),1.0)</f>
        <v>1</v>
      </c>
      <c r="F176" s="108">
        <f>IFERROR(__xludf.DUMMYFUNCTION("""COMPUTED_VALUE"""),0.0)</f>
        <v>0</v>
      </c>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t="str">
        <f>IFERROR(__xludf.DUMMYFUNCTION("""COMPUTED_VALUE"""),"++Forged items now deal double in damage for the wearer, ++Forging rolls cannot fail, +-Cannot be forged +-Cannot be duplicated")</f>
        <v>++Forged items now deal double in damage for the wearer, ++Forging rolls cannot fail, +-Cannot be forged +-Cannot be duplicated</v>
      </c>
      <c r="AG176" s="16" t="str">
        <f>IFERROR(__xludf.DUMMYFUNCTION("""COMPUTED_VALUE"""),"Land of Spira")</f>
        <v>Land of Spira</v>
      </c>
      <c r="AH176" s="16" t="b">
        <f>IFERROR(__xludf.DUMMYFUNCTION("""COMPUTED_VALUE"""),FALSE)</f>
        <v>0</v>
      </c>
    </row>
    <row r="177">
      <c r="A177" s="16" t="str">
        <f>IFERROR(__xludf.DUMMYFUNCTION("""COMPUTED_VALUE"""),"Necklace Of Heatmore")</f>
        <v>Necklace Of Heatmore</v>
      </c>
      <c r="B177" s="16" t="str">
        <f>IFERROR(__xludf.DUMMYFUNCTION("""COMPUTED_VALUE"""),"Neck")</f>
        <v>Neck</v>
      </c>
      <c r="C177" s="16"/>
      <c r="D177" s="16"/>
      <c r="E177" s="16">
        <f>IFERROR(__xludf.DUMMYFUNCTION("""COMPUTED_VALUE"""),1.0)</f>
        <v>1</v>
      </c>
      <c r="F177" s="108">
        <f>IFERROR(__xludf.DUMMYFUNCTION("""COMPUTED_VALUE"""),0.0)</f>
        <v>0</v>
      </c>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t="str">
        <f>IFERROR(__xludf.DUMMYFUNCTION("""COMPUTED_VALUE"""),"++ +2 is added to your d20 roll.")</f>
        <v>++ +2 is added to your d20 roll.</v>
      </c>
      <c r="AG177" s="16" t="str">
        <f>IFERROR(__xludf.DUMMYFUNCTION("""COMPUTED_VALUE"""),"Land of Spira")</f>
        <v>Land of Spira</v>
      </c>
      <c r="AH177" s="16" t="b">
        <f>IFERROR(__xludf.DUMMYFUNCTION("""COMPUTED_VALUE"""),FALSE)</f>
        <v>0</v>
      </c>
    </row>
    <row r="178">
      <c r="A178" s="16" t="str">
        <f>IFERROR(__xludf.DUMMYFUNCTION("""COMPUTED_VALUE"""),"Necklace of Shards")</f>
        <v>Necklace of Shards</v>
      </c>
      <c r="B178" s="16" t="str">
        <f>IFERROR(__xludf.DUMMYFUNCTION("""COMPUTED_VALUE"""),"Neck")</f>
        <v>Neck</v>
      </c>
      <c r="C178" s="16"/>
      <c r="D178" s="16"/>
      <c r="E178" s="16">
        <f>IFERROR(__xludf.DUMMYFUNCTION("""COMPUTED_VALUE"""),1.0)</f>
        <v>1</v>
      </c>
      <c r="F178" s="108">
        <f>IFERROR(__xludf.DUMMYFUNCTION("""COMPUTED_VALUE"""),0.0)</f>
        <v>0</v>
      </c>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t="str">
        <f>IFERROR(__xludf.DUMMYFUNCTION("""COMPUTED_VALUE"""),"++X6 Chaos and Dark Damage. +-Cannot be duplicated.")</f>
        <v>++X6 Chaos and Dark Damage. +-Cannot be duplicated.</v>
      </c>
      <c r="AG178" s="16" t="str">
        <f>IFERROR(__xludf.DUMMYFUNCTION("""COMPUTED_VALUE"""),"Land of The Forgotten")</f>
        <v>Land of The Forgotten</v>
      </c>
      <c r="AH178" s="16" t="b">
        <f>IFERROR(__xludf.DUMMYFUNCTION("""COMPUTED_VALUE"""),FALSE)</f>
        <v>0</v>
      </c>
    </row>
    <row r="179">
      <c r="A179" s="16" t="str">
        <f>IFERROR(__xludf.DUMMYFUNCTION("""COMPUTED_VALUE"""),"Necklace of The Lost Soul")</f>
        <v>Necklace of The Lost Soul</v>
      </c>
      <c r="B179" s="16" t="str">
        <f>IFERROR(__xludf.DUMMYFUNCTION("""COMPUTED_VALUE"""),"Neck")</f>
        <v>Neck</v>
      </c>
      <c r="C179" s="16"/>
      <c r="D179" s="16"/>
      <c r="E179" s="16">
        <f>IFERROR(__xludf.DUMMYFUNCTION("""COMPUTED_VALUE"""),1.0)</f>
        <v>1</v>
      </c>
      <c r="F179" s="108">
        <f>IFERROR(__xludf.DUMMYFUNCTION("""COMPUTED_VALUE"""),0.0)</f>
        <v>0</v>
      </c>
      <c r="G179" s="16" t="str">
        <f>IFERROR(__xludf.DUMMYFUNCTION("""COMPUTED_VALUE"""),"DEF")</f>
        <v>DEF</v>
      </c>
      <c r="H179" s="16">
        <f>IFERROR(__xludf.DUMMYFUNCTION("""COMPUTED_VALUE"""),100.0)</f>
        <v>100</v>
      </c>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t="str">
        <f>IFERROR(__xludf.DUMMYFUNCTION("""COMPUTED_VALUE"""),"++X2 Spirit Damage, ++Soul Enhanced II - Each soul you put into this item will increase its base defense by 100 up to 200,000.")</f>
        <v>++X2 Spirit Damage, ++Soul Enhanced II - Each soul you put into this item will increase its base defense by 100 up to 200,000.</v>
      </c>
      <c r="AG179" s="16" t="str">
        <f>IFERROR(__xludf.DUMMYFUNCTION("""COMPUTED_VALUE"""),"Land of Spira")</f>
        <v>Land of Spira</v>
      </c>
      <c r="AH179" s="16" t="b">
        <f>IFERROR(__xludf.DUMMYFUNCTION("""COMPUTED_VALUE"""),FALSE)</f>
        <v>0</v>
      </c>
    </row>
    <row r="180">
      <c r="A180" s="16" t="str">
        <f>IFERROR(__xludf.DUMMYFUNCTION("""COMPUTED_VALUE"""),"Necklace of the Pumpkin")</f>
        <v>Necklace of the Pumpkin</v>
      </c>
      <c r="B180" s="16" t="str">
        <f>IFERROR(__xludf.DUMMYFUNCTION("""COMPUTED_VALUE"""),"Neck")</f>
        <v>Neck</v>
      </c>
      <c r="C180" s="16"/>
      <c r="D180" s="16"/>
      <c r="E180" s="16">
        <f>IFERROR(__xludf.DUMMYFUNCTION("""COMPUTED_VALUE"""),1.0)</f>
        <v>1</v>
      </c>
      <c r="F180" s="108">
        <f>IFERROR(__xludf.DUMMYFUNCTION("""COMPUTED_VALUE"""),0.0)</f>
        <v>0</v>
      </c>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t="str">
        <f>IFERROR(__xludf.DUMMYFUNCTION("""COMPUTED_VALUE"""),"++Gives Immunity to Fire, Dark, and Nature damage")</f>
        <v>++Gives Immunity to Fire, Dark, and Nature damage</v>
      </c>
      <c r="AG180" s="16" t="str">
        <f>IFERROR(__xludf.DUMMYFUNCTION("""COMPUTED_VALUE"""),"Land of Spira")</f>
        <v>Land of Spira</v>
      </c>
      <c r="AH180" s="16" t="b">
        <f>IFERROR(__xludf.DUMMYFUNCTION("""COMPUTED_VALUE"""),FALSE)</f>
        <v>0</v>
      </c>
    </row>
    <row r="181">
      <c r="A181" s="16" t="str">
        <f>IFERROR(__xludf.DUMMYFUNCTION("""COMPUTED_VALUE"""),"Necklace Of Tritonoch")</f>
        <v>Necklace Of Tritonoch</v>
      </c>
      <c r="B181" s="16" t="str">
        <f>IFERROR(__xludf.DUMMYFUNCTION("""COMPUTED_VALUE"""),"Neck")</f>
        <v>Neck</v>
      </c>
      <c r="C181" s="16"/>
      <c r="D181" s="16"/>
      <c r="E181" s="16">
        <f>IFERROR(__xludf.DUMMYFUNCTION("""COMPUTED_VALUE"""),1.0)</f>
        <v>1</v>
      </c>
      <c r="F181" s="108">
        <f>IFERROR(__xludf.DUMMYFUNCTION("""COMPUTED_VALUE"""),0.0)</f>
        <v>0</v>
      </c>
      <c r="G181" s="16" t="str">
        <f>IFERROR(__xludf.DUMMYFUNCTION("""COMPUTED_VALUE"""),"DEF")</f>
        <v>DEF</v>
      </c>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t="str">
        <f>IFERROR(__xludf.DUMMYFUNCTION("""COMPUTED_VALUE"""),"++Any water attack dealt by the wearer has a 50% chance to freeze the targets it hits, ++Waves of Entitlement - x5 additional Water damage")</f>
        <v>++Any water attack dealt by the wearer has a 50% chance to freeze the targets it hits, ++Waves of Entitlement - x5 additional Water damage</v>
      </c>
      <c r="AG181" s="16" t="str">
        <f>IFERROR(__xludf.DUMMYFUNCTION("""COMPUTED_VALUE"""),"Land of Spira")</f>
        <v>Land of Spira</v>
      </c>
      <c r="AH181" s="16" t="b">
        <f>IFERROR(__xludf.DUMMYFUNCTION("""COMPUTED_VALUE"""),FALSE)</f>
        <v>0</v>
      </c>
    </row>
    <row r="182">
      <c r="A182" s="16" t="str">
        <f>IFERROR(__xludf.DUMMYFUNCTION("""COMPUTED_VALUE"""),"Necklace of Waking Waters")</f>
        <v>Necklace of Waking Waters</v>
      </c>
      <c r="B182" s="16" t="str">
        <f>IFERROR(__xludf.DUMMYFUNCTION("""COMPUTED_VALUE"""),"Neck")</f>
        <v>Neck</v>
      </c>
      <c r="C182" s="16"/>
      <c r="D182" s="16"/>
      <c r="E182" s="16">
        <f>IFERROR(__xludf.DUMMYFUNCTION("""COMPUTED_VALUE"""),1.0)</f>
        <v>1</v>
      </c>
      <c r="F182" s="108">
        <f>IFERROR(__xludf.DUMMYFUNCTION("""COMPUTED_VALUE"""),0.0)</f>
        <v>0</v>
      </c>
      <c r="G182" s="16" t="str">
        <f>IFERROR(__xludf.DUMMYFUNCTION("""COMPUTED_VALUE"""),"DEF")</f>
        <v>DEF</v>
      </c>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t="str">
        <f>IFERROR(__xludf.DUMMYFUNCTION("""COMPUTED_VALUE"""),"++Immunity to sleep. ++X4 Water damage.")</f>
        <v>++Immunity to sleep. ++X4 Water damage.</v>
      </c>
      <c r="AG182" s="16" t="str">
        <f>IFERROR(__xludf.DUMMYFUNCTION("""COMPUTED_VALUE"""),"Land of Spira")</f>
        <v>Land of Spira</v>
      </c>
      <c r="AH182" s="16" t="b">
        <f>IFERROR(__xludf.DUMMYFUNCTION("""COMPUTED_VALUE"""),FALSE)</f>
        <v>0</v>
      </c>
    </row>
    <row r="183">
      <c r="A183" s="16" t="str">
        <f>IFERROR(__xludf.DUMMYFUNCTION("""COMPUTED_VALUE"""),"Necklace of Water Breathing")</f>
        <v>Necklace of Water Breathing</v>
      </c>
      <c r="B183" s="16" t="str">
        <f>IFERROR(__xludf.DUMMYFUNCTION("""COMPUTED_VALUE"""),"Neck")</f>
        <v>Neck</v>
      </c>
      <c r="C183" s="16"/>
      <c r="D183" s="16"/>
      <c r="E183" s="16">
        <f>IFERROR(__xludf.DUMMYFUNCTION("""COMPUTED_VALUE"""),1.0)</f>
        <v>1</v>
      </c>
      <c r="F183" s="108">
        <f>IFERROR(__xludf.DUMMYFUNCTION("""COMPUTED_VALUE"""),0.0)</f>
        <v>0</v>
      </c>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t="str">
        <f>IFERROR(__xludf.DUMMYFUNCTION("""COMPUTED_VALUE"""),"++Allows you to breath underwater.")</f>
        <v>++Allows you to breath underwater.</v>
      </c>
      <c r="AG183" s="16" t="str">
        <f>IFERROR(__xludf.DUMMYFUNCTION("""COMPUTED_VALUE"""),"Land of Spira")</f>
        <v>Land of Spira</v>
      </c>
      <c r="AH183" s="16" t="b">
        <f>IFERROR(__xludf.DUMMYFUNCTION("""COMPUTED_VALUE"""),FALSE)</f>
        <v>0</v>
      </c>
    </row>
    <row r="184">
      <c r="A184" s="16" t="str">
        <f>IFERROR(__xludf.DUMMYFUNCTION("""COMPUTED_VALUE"""),"Obsidian Chestplate")</f>
        <v>Obsidian Chestplate</v>
      </c>
      <c r="B184" s="16" t="str">
        <f>IFERROR(__xludf.DUMMYFUNCTION("""COMPUTED_VALUE"""),"Torso")</f>
        <v>Torso</v>
      </c>
      <c r="C184" s="16" t="str">
        <f>IFERROR(__xludf.DUMMYFUNCTION("""COMPUTED_VALUE"""),"Quest Item")</f>
        <v>Quest Item</v>
      </c>
      <c r="D184" s="16"/>
      <c r="E184" s="16">
        <f>IFERROR(__xludf.DUMMYFUNCTION("""COMPUTED_VALUE"""),4000.0)</f>
        <v>4000</v>
      </c>
      <c r="F184" s="108">
        <f>IFERROR(__xludf.DUMMYFUNCTION("""COMPUTED_VALUE"""),7.98E8)</f>
        <v>798000000</v>
      </c>
      <c r="G184" s="16" t="str">
        <f>IFERROR(__xludf.DUMMYFUNCTION("""COMPUTED_VALUE"""),"DEF")</f>
        <v>DEF</v>
      </c>
      <c r="H184" s="119">
        <f>IFERROR(__xludf.DUMMYFUNCTION("""COMPUTED_VALUE"""),100000.0)</f>
        <v>100000</v>
      </c>
      <c r="I184" s="119">
        <f>IFERROR(__xludf.DUMMYFUNCTION("""COMPUTED_VALUE"""),100000.0)</f>
        <v>100000</v>
      </c>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t="str">
        <f>IFERROR(__xludf.DUMMYFUNCTION("""COMPUTED_VALUE"""),"++Fire Immunity. +-Cannot be duplicated.")</f>
        <v>++Fire Immunity. +-Cannot be duplicated.</v>
      </c>
      <c r="AG184" s="16" t="str">
        <f>IFERROR(__xludf.DUMMYFUNCTION("""COMPUTED_VALUE"""),"Land of Spira")</f>
        <v>Land of Spira</v>
      </c>
      <c r="AH184" s="16" t="b">
        <f>IFERROR(__xludf.DUMMYFUNCTION("""COMPUTED_VALUE"""),FALSE)</f>
        <v>0</v>
      </c>
    </row>
    <row r="185">
      <c r="A185" s="16"/>
      <c r="B185" s="16" t="str">
        <f>IFERROR(__xludf.DUMMYFUNCTION("""COMPUTED_VALUE"""),"Hand")</f>
        <v>Hand</v>
      </c>
      <c r="C185" s="16"/>
      <c r="D185" s="16"/>
      <c r="E185" s="16">
        <f>IFERROR(__xludf.DUMMYFUNCTION("""COMPUTED_VALUE"""),1.0)</f>
        <v>1</v>
      </c>
      <c r="F185" s="108">
        <f>IFERROR(__xludf.DUMMYFUNCTION("""COMPUTED_VALUE"""),0.0)</f>
        <v>0</v>
      </c>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t="str">
        <f>IFERROR(__xludf.DUMMYFUNCTION("""COMPUTED_VALUE"""),"Land of Spira")</f>
        <v>Land of Spira</v>
      </c>
      <c r="AH185" s="16" t="b">
        <f>IFERROR(__xludf.DUMMYFUNCTION("""COMPUTED_VALUE"""),FALSE)</f>
        <v>0</v>
      </c>
    </row>
    <row r="186">
      <c r="A186" s="16" t="str">
        <f>IFERROR(__xludf.DUMMYFUNCTION("""COMPUTED_VALUE"""),"Ancient Oni Mask")</f>
        <v>Ancient Oni Mask</v>
      </c>
      <c r="B186" s="16" t="str">
        <f>IFERROR(__xludf.DUMMYFUNCTION("""COMPUTED_VALUE"""),"Head")</f>
        <v>Head</v>
      </c>
      <c r="C186" s="16" t="str">
        <f>IFERROR(__xludf.DUMMYFUNCTION("""COMPUTED_VALUE"""),"An ancient relic to Zhenmay")</f>
        <v>An ancient relic to Zhenmay</v>
      </c>
      <c r="D186" s="16"/>
      <c r="E186" s="16">
        <f>IFERROR(__xludf.DUMMYFUNCTION("""COMPUTED_VALUE"""),200.0)</f>
        <v>200</v>
      </c>
      <c r="F186" s="108">
        <f>IFERROR(__xludf.DUMMYFUNCTION("""COMPUTED_VALUE"""),5.104E8)</f>
        <v>510400000</v>
      </c>
      <c r="G186" s="16" t="str">
        <f>IFERROR(__xludf.DUMMYFUNCTION("""COMPUTED_VALUE"""),"DEF")</f>
        <v>DEF</v>
      </c>
      <c r="H186" s="119">
        <f>IFERROR(__xludf.DUMMYFUNCTION("""COMPUTED_VALUE"""),10000.0)</f>
        <v>10000</v>
      </c>
      <c r="I186" s="119">
        <f>IFERROR(__xludf.DUMMYFUNCTION("""COMPUTED_VALUE"""),10000.0)</f>
        <v>10000</v>
      </c>
      <c r="J186" s="119">
        <f>IFERROR(__xludf.DUMMYFUNCTION("""COMPUTED_VALUE"""),10000.0)</f>
        <v>10000</v>
      </c>
      <c r="K186" s="119">
        <f>IFERROR(__xludf.DUMMYFUNCTION("""COMPUTED_VALUE"""),10000.0)</f>
        <v>10000</v>
      </c>
      <c r="L186" s="119">
        <f>IFERROR(__xludf.DUMMYFUNCTION("""COMPUTED_VALUE"""),10000.0)</f>
        <v>10000</v>
      </c>
      <c r="M186" s="119">
        <f>IFERROR(__xludf.DUMMYFUNCTION("""COMPUTED_VALUE"""),10000.0)</f>
        <v>10000</v>
      </c>
      <c r="N186" s="119">
        <f>IFERROR(__xludf.DUMMYFUNCTION("""COMPUTED_VALUE"""),10000.0)</f>
        <v>10000</v>
      </c>
      <c r="O186" s="119">
        <f>IFERROR(__xludf.DUMMYFUNCTION("""COMPUTED_VALUE"""),10000.0)</f>
        <v>10000</v>
      </c>
      <c r="P186" s="119">
        <f>IFERROR(__xludf.DUMMYFUNCTION("""COMPUTED_VALUE"""),10000.0)</f>
        <v>10000</v>
      </c>
      <c r="Q186" s="119">
        <f>IFERROR(__xludf.DUMMYFUNCTION("""COMPUTED_VALUE"""),10000.0)</f>
        <v>10000</v>
      </c>
      <c r="R186" s="119">
        <f>IFERROR(__xludf.DUMMYFUNCTION("""COMPUTED_VALUE"""),10000.0)</f>
        <v>10000</v>
      </c>
      <c r="S186" s="119">
        <f>IFERROR(__xludf.DUMMYFUNCTION("""COMPUTED_VALUE"""),10000.0)</f>
        <v>10000</v>
      </c>
      <c r="T186" s="16"/>
      <c r="U186" s="16"/>
      <c r="V186" s="16"/>
      <c r="W186" s="16"/>
      <c r="X186" s="119">
        <f>IFERROR(__xludf.DUMMYFUNCTION("""COMPUTED_VALUE"""),10000.0)</f>
        <v>10000</v>
      </c>
      <c r="Y186" s="119">
        <f>IFERROR(__xludf.DUMMYFUNCTION("""COMPUTED_VALUE"""),10000.0)</f>
        <v>10000</v>
      </c>
      <c r="Z186" s="16"/>
      <c r="AA186" s="16"/>
      <c r="AB186" s="119">
        <f>IFERROR(__xludf.DUMMYFUNCTION("""COMPUTED_VALUE"""),10000.0)</f>
        <v>10000</v>
      </c>
      <c r="AC186" s="119">
        <f>IFERROR(__xludf.DUMMYFUNCTION("""COMPUTED_VALUE"""),10000.0)</f>
        <v>10000</v>
      </c>
      <c r="AD186" s="16"/>
      <c r="AE186" s="16"/>
      <c r="AF186" s="16" t="str">
        <f>IFERROR(__xludf.DUMMYFUNCTION("""COMPUTED_VALUE"""),"++X2 damage for all elements. +-Only Samurai's, Monks, and Ninjas can equip. +-Cannot be forged +-Cannot be duplicated")</f>
        <v>++X2 damage for all elements. +-Only Samurai's, Monks, and Ninjas can equip. +-Cannot be forged +-Cannot be duplicated</v>
      </c>
      <c r="AG186" s="16" t="str">
        <f>IFERROR(__xludf.DUMMYFUNCTION("""COMPUTED_VALUE"""),"Land of Spira")</f>
        <v>Land of Spira</v>
      </c>
      <c r="AH186" s="16" t="b">
        <f>IFERROR(__xludf.DUMMYFUNCTION("""COMPUTED_VALUE"""),FALSE)</f>
        <v>0</v>
      </c>
    </row>
    <row r="187">
      <c r="A187" s="16" t="str">
        <f>IFERROR(__xludf.DUMMYFUNCTION("""COMPUTED_VALUE"""),"Pauldrons of Waking Waters")</f>
        <v>Pauldrons of Waking Waters</v>
      </c>
      <c r="B187" s="16" t="str">
        <f>IFERROR(__xludf.DUMMYFUNCTION("""COMPUTED_VALUE"""),"Shoulders")</f>
        <v>Shoulders</v>
      </c>
      <c r="C187" s="16"/>
      <c r="D187" s="16"/>
      <c r="E187" s="16">
        <f>IFERROR(__xludf.DUMMYFUNCTION("""COMPUTED_VALUE"""),200.0)</f>
        <v>200</v>
      </c>
      <c r="F187" s="108">
        <f>IFERROR(__xludf.DUMMYFUNCTION("""COMPUTED_VALUE"""),1900000.0)</f>
        <v>1900000</v>
      </c>
      <c r="G187" s="16" t="str">
        <f>IFERROR(__xludf.DUMMYFUNCTION("""COMPUTED_VALUE"""),"DEF")</f>
        <v>DEF</v>
      </c>
      <c r="H187" s="16">
        <f>IFERROR(__xludf.DUMMYFUNCTION("""COMPUTED_VALUE"""),5000.0)</f>
        <v>5000</v>
      </c>
      <c r="I187" s="16"/>
      <c r="J187" s="16"/>
      <c r="K187" s="16">
        <f>IFERROR(__xludf.DUMMYFUNCTION("""COMPUTED_VALUE"""),5000.0)</f>
        <v>5000</v>
      </c>
      <c r="L187" s="16"/>
      <c r="M187" s="16"/>
      <c r="N187" s="16"/>
      <c r="O187" s="16"/>
      <c r="P187" s="16"/>
      <c r="Q187" s="16"/>
      <c r="R187" s="16"/>
      <c r="S187" s="16"/>
      <c r="T187" s="16"/>
      <c r="U187" s="16"/>
      <c r="V187" s="16"/>
      <c r="W187" s="16"/>
      <c r="X187" s="16"/>
      <c r="Y187" s="16"/>
      <c r="Z187" s="16"/>
      <c r="AA187" s="16"/>
      <c r="AB187" s="16"/>
      <c r="AC187" s="16"/>
      <c r="AD187" s="16"/>
      <c r="AE187" s="16"/>
      <c r="AF187" s="16" t="str">
        <f>IFERROR(__xludf.DUMMYFUNCTION("""COMPUTED_VALUE"""),"++X4 additional water damage for self.")</f>
        <v>++X4 additional water damage for self.</v>
      </c>
      <c r="AG187" s="16" t="str">
        <f>IFERROR(__xludf.DUMMYFUNCTION("""COMPUTED_VALUE"""),"Land of Spira")</f>
        <v>Land of Spira</v>
      </c>
      <c r="AH187" s="16" t="b">
        <f>IFERROR(__xludf.DUMMYFUNCTION("""COMPUTED_VALUE"""),FALSE)</f>
        <v>0</v>
      </c>
    </row>
    <row r="188">
      <c r="A188" s="16" t="str">
        <f>IFERROR(__xludf.DUMMYFUNCTION("""COMPUTED_VALUE"""),"Pendent of the Sea Serpent")</f>
        <v>Pendent of the Sea Serpent</v>
      </c>
      <c r="B188" s="16" t="str">
        <f>IFERROR(__xludf.DUMMYFUNCTION("""COMPUTED_VALUE"""),"Neck")</f>
        <v>Neck</v>
      </c>
      <c r="C188" s="16"/>
      <c r="D188" s="16"/>
      <c r="E188" s="16">
        <f>IFERROR(__xludf.DUMMYFUNCTION("""COMPUTED_VALUE"""),1.0)</f>
        <v>1</v>
      </c>
      <c r="F188" s="108">
        <f>IFERROR(__xludf.DUMMYFUNCTION("""COMPUTED_VALUE"""),0.0)</f>
        <v>0</v>
      </c>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t="str">
        <f>IFERROR(__xludf.DUMMYFUNCTION("""COMPUTED_VALUE"""),"++X2 Water Resistance.")</f>
        <v>++X2 Water Resistance.</v>
      </c>
      <c r="AG188" s="16" t="str">
        <f>IFERROR(__xludf.DUMMYFUNCTION("""COMPUTED_VALUE"""),"Land of Spira")</f>
        <v>Land of Spira</v>
      </c>
      <c r="AH188" s="16" t="b">
        <f>IFERROR(__xludf.DUMMYFUNCTION("""COMPUTED_VALUE"""),FALSE)</f>
        <v>0</v>
      </c>
    </row>
    <row r="189">
      <c r="A189" s="16" t="str">
        <f>IFERROR(__xludf.DUMMYFUNCTION("""COMPUTED_VALUE"""),"Pendent of Confusion")</f>
        <v>Pendent of Confusion</v>
      </c>
      <c r="B189" s="16" t="str">
        <f>IFERROR(__xludf.DUMMYFUNCTION("""COMPUTED_VALUE"""),"Neck")</f>
        <v>Neck</v>
      </c>
      <c r="C189" s="16"/>
      <c r="D189" s="16"/>
      <c r="E189" s="16">
        <f>IFERROR(__xludf.DUMMYFUNCTION("""COMPUTED_VALUE"""),1.0)</f>
        <v>1</v>
      </c>
      <c r="F189" s="108">
        <f>IFERROR(__xludf.DUMMYFUNCTION("""COMPUTED_VALUE"""),0.0)</f>
        <v>0</v>
      </c>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t="str">
        <f>IFERROR(__xludf.DUMMYFUNCTION("""COMPUTED_VALUE"""),"++At the beginning of battle choose a target and choose two numbers between 1-40 whenever the target rolls the numbers you chose while they are attacking they attack themself (1 use per battle)")</f>
        <v>++At the beginning of battle choose a target and choose two numbers between 1-40 whenever the target rolls the numbers you chose while they are attacking they attack themself (1 use per battle)</v>
      </c>
      <c r="AG189" s="16" t="str">
        <f>IFERROR(__xludf.DUMMYFUNCTION("""COMPUTED_VALUE"""),"Land of Spira")</f>
        <v>Land of Spira</v>
      </c>
      <c r="AH189" s="16" t="b">
        <f>IFERROR(__xludf.DUMMYFUNCTION("""COMPUTED_VALUE"""),FALSE)</f>
        <v>0</v>
      </c>
    </row>
    <row r="190">
      <c r="A190" s="16" t="str">
        <f>IFERROR(__xludf.DUMMYFUNCTION("""COMPUTED_VALUE"""),"Pendent of Luck")</f>
        <v>Pendent of Luck</v>
      </c>
      <c r="B190" s="16" t="str">
        <f>IFERROR(__xludf.DUMMYFUNCTION("""COMPUTED_VALUE"""),"Neck")</f>
        <v>Neck</v>
      </c>
      <c r="C190" s="16"/>
      <c r="D190" s="16"/>
      <c r="E190" s="16">
        <f>IFERROR(__xludf.DUMMYFUNCTION("""COMPUTED_VALUE"""),1.0)</f>
        <v>1</v>
      </c>
      <c r="F190" s="108">
        <f>IFERROR(__xludf.DUMMYFUNCTION("""COMPUTED_VALUE"""),0.0)</f>
        <v>0</v>
      </c>
      <c r="G190" s="16"/>
      <c r="H190" s="16"/>
      <c r="I190" s="16"/>
      <c r="J190" s="16"/>
      <c r="K190" s="16"/>
      <c r="L190" s="16"/>
      <c r="M190" s="16"/>
      <c r="N190" s="16"/>
      <c r="O190" s="16"/>
      <c r="P190" s="16"/>
      <c r="Q190" s="16"/>
      <c r="R190" s="16"/>
      <c r="S190" s="16"/>
      <c r="T190" s="16"/>
      <c r="U190" s="16"/>
      <c r="V190" s="16"/>
      <c r="W190" s="16"/>
      <c r="X190" s="16"/>
      <c r="Y190" s="16"/>
      <c r="Z190" s="16"/>
      <c r="AA190" s="16"/>
      <c r="AB190" s="16"/>
      <c r="AC190" s="16"/>
      <c r="AD190" s="16"/>
      <c r="AE190" s="16"/>
      <c r="AF190" s="16" t="str">
        <f>IFERROR(__xludf.DUMMYFUNCTION("""COMPUTED_VALUE"""),"++Plus 100 to each base Stat.")</f>
        <v>++Plus 100 to each base Stat.</v>
      </c>
      <c r="AG190" s="16" t="str">
        <f>IFERROR(__xludf.DUMMYFUNCTION("""COMPUTED_VALUE"""),"Land of Spira")</f>
        <v>Land of Spira</v>
      </c>
      <c r="AH190" s="16" t="b">
        <f>IFERROR(__xludf.DUMMYFUNCTION("""COMPUTED_VALUE"""),FALSE)</f>
        <v>0</v>
      </c>
    </row>
    <row r="191">
      <c r="A191" s="16" t="str">
        <f>IFERROR(__xludf.DUMMYFUNCTION("""COMPUTED_VALUE"""),"Pillow of Dreams")</f>
        <v>Pillow of Dreams</v>
      </c>
      <c r="B191" s="16" t="str">
        <f>IFERROR(__xludf.DUMMYFUNCTION("""COMPUTED_VALUE"""),"Hand")</f>
        <v>Hand</v>
      </c>
      <c r="C191" s="16"/>
      <c r="D191" s="16" t="str">
        <f>IFERROR(__xludf.DUMMYFUNCTION("""COMPUTED_VALUE"""),"Towershield")</f>
        <v>Towershield</v>
      </c>
      <c r="E191" s="16">
        <f>IFERROR(__xludf.DUMMYFUNCTION("""COMPUTED_VALUE"""),200.0)</f>
        <v>200</v>
      </c>
      <c r="F191" s="108">
        <f>IFERROR(__xludf.DUMMYFUNCTION("""COMPUTED_VALUE"""),1.2475E9)</f>
        <v>1247500000</v>
      </c>
      <c r="G191" s="16" t="str">
        <f>IFERROR(__xludf.DUMMYFUNCTION("""COMPUTED_VALUE"""),"DEF")</f>
        <v>DEF</v>
      </c>
      <c r="H191" s="119">
        <f>IFERROR(__xludf.DUMMYFUNCTION("""COMPUTED_VALUE"""),100000.0)</f>
        <v>100000</v>
      </c>
      <c r="I191" s="16"/>
      <c r="J191" s="16"/>
      <c r="K191" s="16"/>
      <c r="L191" s="16"/>
      <c r="M191" s="16"/>
      <c r="N191" s="16"/>
      <c r="O191" s="16"/>
      <c r="P191" s="16"/>
      <c r="Q191" s="16"/>
      <c r="R191" s="16"/>
      <c r="S191" s="16"/>
      <c r="T191" s="16"/>
      <c r="U191" s="16"/>
      <c r="V191" s="16"/>
      <c r="W191" s="16"/>
      <c r="X191" s="16"/>
      <c r="Y191" s="16"/>
      <c r="Z191" s="16"/>
      <c r="AA191" s="16"/>
      <c r="AB191" s="119">
        <f>IFERROR(__xludf.DUMMYFUNCTION("""COMPUTED_VALUE"""),100000.0)</f>
        <v>100000</v>
      </c>
      <c r="AC191" s="119">
        <f>IFERROR(__xludf.DUMMYFUNCTION("""COMPUTED_VALUE"""),50000.0)</f>
        <v>50000</v>
      </c>
      <c r="AD191" s="16"/>
      <c r="AE191" s="16"/>
      <c r="AF191" s="16" t="str">
        <f>IFERROR(__xludf.DUMMYFUNCTION("""COMPUTED_VALUE"""),"++When you sleep in a INN your dreams become reality. Roll a d20 to see what your dreams awaken. This item must be equipped for the effect to be applied. Can only be used once before each journey. Must have lower then half your max hp, sp, hunger, thirst,"&amp;" or energy to use.")</f>
        <v>++When you sleep in a INN your dreams become reality. Roll a d20 to see what your dreams awaken. This item must be equipped for the effect to be applied. Can only be used once before each journey. Must have lower then half your max hp, sp, hunger, thirst, or energy to use.</v>
      </c>
      <c r="AG191" s="16" t="str">
        <f>IFERROR(__xludf.DUMMYFUNCTION("""COMPUTED_VALUE"""),"Abstara")</f>
        <v>Abstara</v>
      </c>
      <c r="AH191" s="16" t="b">
        <f>IFERROR(__xludf.DUMMYFUNCTION("""COMPUTED_VALUE"""),FALSE)</f>
        <v>0</v>
      </c>
    </row>
    <row r="192">
      <c r="A192" s="16" t="str">
        <f>IFERROR(__xludf.DUMMYFUNCTION("""COMPUTED_VALUE"""),"Poison Vine Sword")</f>
        <v>Poison Vine Sword</v>
      </c>
      <c r="B192" s="16" t="str">
        <f>IFERROR(__xludf.DUMMYFUNCTION("""COMPUTED_VALUE"""),"Hand")</f>
        <v>Hand</v>
      </c>
      <c r="C192" s="16"/>
      <c r="D192" s="16" t="str">
        <f>IFERROR(__xludf.DUMMYFUNCTION("""COMPUTED_VALUE"""),"Sword")</f>
        <v>Sword</v>
      </c>
      <c r="E192" s="16">
        <f>IFERROR(__xludf.DUMMYFUNCTION("""COMPUTED_VALUE"""),2000.0)</f>
        <v>2000</v>
      </c>
      <c r="F192" s="108">
        <f>IFERROR(__xludf.DUMMYFUNCTION("""COMPUTED_VALUE"""),1.99E8)</f>
        <v>199000000</v>
      </c>
      <c r="G192" s="16" t="str">
        <f>IFERROR(__xludf.DUMMYFUNCTION("""COMPUTED_VALUE"""),"DMG")</f>
        <v>DMG</v>
      </c>
      <c r="H192" s="119">
        <f>IFERROR(__xludf.DUMMYFUNCTION("""COMPUTED_VALUE"""),50000.0)</f>
        <v>50000</v>
      </c>
      <c r="I192" s="16"/>
      <c r="J192" s="16"/>
      <c r="K192" s="16"/>
      <c r="L192" s="16"/>
      <c r="M192" s="16"/>
      <c r="N192" s="16"/>
      <c r="O192" s="16"/>
      <c r="P192" s="16"/>
      <c r="Q192" s="16"/>
      <c r="R192" s="16"/>
      <c r="S192" s="119">
        <f>IFERROR(__xludf.DUMMYFUNCTION("""COMPUTED_VALUE"""),50000.0)</f>
        <v>50000</v>
      </c>
      <c r="T192" s="16"/>
      <c r="U192" s="16"/>
      <c r="V192" s="16"/>
      <c r="W192" s="16"/>
      <c r="X192" s="16"/>
      <c r="Y192" s="16"/>
      <c r="Z192" s="16"/>
      <c r="AA192" s="16"/>
      <c r="AB192" s="16"/>
      <c r="AC192" s="16"/>
      <c r="AD192" s="16"/>
      <c r="AE192" s="16"/>
      <c r="AF192" s="16" t="str">
        <f>IFERROR(__xludf.DUMMYFUNCTION("""COMPUTED_VALUE"""),"++Poison 25,000")</f>
        <v>++Poison 25,000</v>
      </c>
      <c r="AG192" s="16" t="str">
        <f>IFERROR(__xludf.DUMMYFUNCTION("""COMPUTED_VALUE"""),"Land of Spira")</f>
        <v>Land of Spira</v>
      </c>
      <c r="AH192" s="16" t="b">
        <f>IFERROR(__xludf.DUMMYFUNCTION("""COMPUTED_VALUE"""),FALSE)</f>
        <v>0</v>
      </c>
    </row>
    <row r="193">
      <c r="A193" s="16" t="str">
        <f>IFERROR(__xludf.DUMMYFUNCTION("""COMPUTED_VALUE"""),"Poseidon's Boots")</f>
        <v>Poseidon's Boots</v>
      </c>
      <c r="B193" s="16" t="str">
        <f>IFERROR(__xludf.DUMMYFUNCTION("""COMPUTED_VALUE"""),"Feet")</f>
        <v>Feet</v>
      </c>
      <c r="C193" s="16"/>
      <c r="D193" s="16"/>
      <c r="E193" s="16">
        <f>IFERROR(__xludf.DUMMYFUNCTION("""COMPUTED_VALUE"""),400.0)</f>
        <v>400</v>
      </c>
      <c r="F193" s="108">
        <f>IFERROR(__xludf.DUMMYFUNCTION("""COMPUTED_VALUE"""),7800000.0)</f>
        <v>7800000</v>
      </c>
      <c r="G193" s="16" t="str">
        <f>IFERROR(__xludf.DUMMYFUNCTION("""COMPUTED_VALUE"""),"DEF")</f>
        <v>DEF</v>
      </c>
      <c r="H193" s="119">
        <f>IFERROR(__xludf.DUMMYFUNCTION("""COMPUTED_VALUE"""),10000.0)</f>
        <v>10000</v>
      </c>
      <c r="I193" s="16"/>
      <c r="J193" s="16"/>
      <c r="K193" s="119">
        <f>IFERROR(__xludf.DUMMYFUNCTION("""COMPUTED_VALUE"""),10000.0)</f>
        <v>10000</v>
      </c>
      <c r="L193" s="16"/>
      <c r="M193" s="16"/>
      <c r="N193" s="16"/>
      <c r="O193" s="16"/>
      <c r="P193" s="16"/>
      <c r="Q193" s="16"/>
      <c r="R193" s="16"/>
      <c r="S193" s="16"/>
      <c r="T193" s="16"/>
      <c r="U193" s="16"/>
      <c r="V193" s="16"/>
      <c r="W193" s="16"/>
      <c r="X193" s="16"/>
      <c r="Y193" s="16"/>
      <c r="Z193" s="16"/>
      <c r="AA193" s="16"/>
      <c r="AB193" s="16"/>
      <c r="AC193" s="16"/>
      <c r="AD193" s="16"/>
      <c r="AE193" s="16"/>
      <c r="AF193" s="16" t="str">
        <f>IFERROR(__xludf.DUMMYFUNCTION("""COMPUTED_VALUE"""),"++X8 additional water damage for self.")</f>
        <v>++X8 additional water damage for self.</v>
      </c>
      <c r="AG193" s="16" t="str">
        <f>IFERROR(__xludf.DUMMYFUNCTION("""COMPUTED_VALUE"""),"Land of Spira")</f>
        <v>Land of Spira</v>
      </c>
      <c r="AH193" s="16" t="b">
        <f>IFERROR(__xludf.DUMMYFUNCTION("""COMPUTED_VALUE"""),FALSE)</f>
        <v>0</v>
      </c>
    </row>
    <row r="194">
      <c r="A194" s="16" t="str">
        <f>IFERROR(__xludf.DUMMYFUNCTION("""COMPUTED_VALUE"""),"Poseidon's Chestplate")</f>
        <v>Poseidon's Chestplate</v>
      </c>
      <c r="B194" s="16" t="str">
        <f>IFERROR(__xludf.DUMMYFUNCTION("""COMPUTED_VALUE"""),"Torso")</f>
        <v>Torso</v>
      </c>
      <c r="C194" s="16"/>
      <c r="D194" s="16"/>
      <c r="E194" s="16">
        <f>IFERROR(__xludf.DUMMYFUNCTION("""COMPUTED_VALUE"""),800.0)</f>
        <v>800</v>
      </c>
      <c r="F194" s="108">
        <f>IFERROR(__xludf.DUMMYFUNCTION("""COMPUTED_VALUE"""),3.16E7)</f>
        <v>31600000</v>
      </c>
      <c r="G194" s="16" t="str">
        <f>IFERROR(__xludf.DUMMYFUNCTION("""COMPUTED_VALUE"""),"DEF")</f>
        <v>DEF</v>
      </c>
      <c r="H194" s="119">
        <f>IFERROR(__xludf.DUMMYFUNCTION("""COMPUTED_VALUE"""),20000.0)</f>
        <v>20000</v>
      </c>
      <c r="I194" s="16"/>
      <c r="J194" s="16"/>
      <c r="K194" s="16">
        <f>IFERROR(__xludf.DUMMYFUNCTION("""COMPUTED_VALUE"""),20000.0)</f>
        <v>20000</v>
      </c>
      <c r="L194" s="16"/>
      <c r="M194" s="16"/>
      <c r="N194" s="16"/>
      <c r="O194" s="16"/>
      <c r="P194" s="16"/>
      <c r="Q194" s="16"/>
      <c r="R194" s="16"/>
      <c r="S194" s="16"/>
      <c r="T194" s="16"/>
      <c r="U194" s="16"/>
      <c r="V194" s="16"/>
      <c r="W194" s="16"/>
      <c r="X194" s="16"/>
      <c r="Y194" s="16"/>
      <c r="Z194" s="16"/>
      <c r="AA194" s="16"/>
      <c r="AB194" s="16"/>
      <c r="AC194" s="16"/>
      <c r="AD194" s="16"/>
      <c r="AE194" s="16"/>
      <c r="AF194" s="16" t="str">
        <f>IFERROR(__xludf.DUMMYFUNCTION("""COMPUTED_VALUE"""),"++X8 additional water damage for self. ++X10 additional water resistance and Natural Defense for self and allies if you have all Poseidon Equipment Equipped.")</f>
        <v>++X8 additional water damage for self. ++X10 additional water resistance and Natural Defense for self and allies if you have all Poseidon Equipment Equipped.</v>
      </c>
      <c r="AG194" s="16" t="str">
        <f>IFERROR(__xludf.DUMMYFUNCTION("""COMPUTED_VALUE"""),"Land of Spira")</f>
        <v>Land of Spira</v>
      </c>
      <c r="AH194" s="16" t="b">
        <f>IFERROR(__xludf.DUMMYFUNCTION("""COMPUTED_VALUE"""),FALSE)</f>
        <v>0</v>
      </c>
    </row>
    <row r="195">
      <c r="A195" s="16" t="str">
        <f>IFERROR(__xludf.DUMMYFUNCTION("""COMPUTED_VALUE"""),"Poseidon's Greaves")</f>
        <v>Poseidon's Greaves</v>
      </c>
      <c r="B195" s="16" t="str">
        <f>IFERROR(__xludf.DUMMYFUNCTION("""COMPUTED_VALUE"""),"Legs")</f>
        <v>Legs</v>
      </c>
      <c r="C195" s="16"/>
      <c r="D195" s="16"/>
      <c r="E195" s="16">
        <f>IFERROR(__xludf.DUMMYFUNCTION("""COMPUTED_VALUE"""),400.0)</f>
        <v>400</v>
      </c>
      <c r="F195" s="108">
        <f>IFERROR(__xludf.DUMMYFUNCTION("""COMPUTED_VALUE"""),7800000.0)</f>
        <v>7800000</v>
      </c>
      <c r="G195" s="16" t="str">
        <f>IFERROR(__xludf.DUMMYFUNCTION("""COMPUTED_VALUE"""),"DEF")</f>
        <v>DEF</v>
      </c>
      <c r="H195" s="119">
        <f>IFERROR(__xludf.DUMMYFUNCTION("""COMPUTED_VALUE"""),10000.0)</f>
        <v>10000</v>
      </c>
      <c r="I195" s="16"/>
      <c r="J195" s="16"/>
      <c r="K195" s="119">
        <f>IFERROR(__xludf.DUMMYFUNCTION("""COMPUTED_VALUE"""),10000.0)</f>
        <v>10000</v>
      </c>
      <c r="L195" s="16"/>
      <c r="M195" s="16"/>
      <c r="N195" s="16"/>
      <c r="O195" s="16"/>
      <c r="P195" s="16"/>
      <c r="Q195" s="16"/>
      <c r="R195" s="16"/>
      <c r="S195" s="16"/>
      <c r="T195" s="16"/>
      <c r="U195" s="16"/>
      <c r="V195" s="16"/>
      <c r="W195" s="16"/>
      <c r="X195" s="16"/>
      <c r="Y195" s="16"/>
      <c r="Z195" s="16"/>
      <c r="AA195" s="16"/>
      <c r="AB195" s="16"/>
      <c r="AC195" s="16"/>
      <c r="AD195" s="16"/>
      <c r="AE195" s="16"/>
      <c r="AF195" s="16" t="str">
        <f>IFERROR(__xludf.DUMMYFUNCTION("""COMPUTED_VALUE"""),"++X8 additional water damage for self.")</f>
        <v>++X8 additional water damage for self.</v>
      </c>
      <c r="AG195" s="16" t="str">
        <f>IFERROR(__xludf.DUMMYFUNCTION("""COMPUTED_VALUE"""),"Land of Spira")</f>
        <v>Land of Spira</v>
      </c>
      <c r="AH195" s="16" t="b">
        <f>IFERROR(__xludf.DUMMYFUNCTION("""COMPUTED_VALUE"""),FALSE)</f>
        <v>0</v>
      </c>
    </row>
    <row r="196">
      <c r="A196" s="16" t="str">
        <f>IFERROR(__xludf.DUMMYFUNCTION("""COMPUTED_VALUE"""),"Poseidon's Helmet")</f>
        <v>Poseidon's Helmet</v>
      </c>
      <c r="B196" s="16" t="str">
        <f>IFERROR(__xludf.DUMMYFUNCTION("""COMPUTED_VALUE"""),"Head")</f>
        <v>Head</v>
      </c>
      <c r="C196" s="16"/>
      <c r="D196" s="16"/>
      <c r="E196" s="16">
        <f>IFERROR(__xludf.DUMMYFUNCTION("""COMPUTED_VALUE"""),400.0)</f>
        <v>400</v>
      </c>
      <c r="F196" s="108">
        <f>IFERROR(__xludf.DUMMYFUNCTION("""COMPUTED_VALUE"""),7800000.0)</f>
        <v>7800000</v>
      </c>
      <c r="G196" s="16" t="str">
        <f>IFERROR(__xludf.DUMMYFUNCTION("""COMPUTED_VALUE"""),"DEF")</f>
        <v>DEF</v>
      </c>
      <c r="H196" s="119">
        <f>IFERROR(__xludf.DUMMYFUNCTION("""COMPUTED_VALUE"""),10000.0)</f>
        <v>10000</v>
      </c>
      <c r="I196" s="16"/>
      <c r="J196" s="16"/>
      <c r="K196" s="119">
        <f>IFERROR(__xludf.DUMMYFUNCTION("""COMPUTED_VALUE"""),10000.0)</f>
        <v>10000</v>
      </c>
      <c r="L196" s="16"/>
      <c r="M196" s="16"/>
      <c r="N196" s="16"/>
      <c r="O196" s="16"/>
      <c r="P196" s="16"/>
      <c r="Q196" s="16"/>
      <c r="R196" s="16"/>
      <c r="S196" s="16"/>
      <c r="T196" s="16"/>
      <c r="U196" s="16"/>
      <c r="V196" s="16"/>
      <c r="W196" s="16"/>
      <c r="X196" s="16"/>
      <c r="Y196" s="16"/>
      <c r="Z196" s="16"/>
      <c r="AA196" s="16"/>
      <c r="AB196" s="16"/>
      <c r="AC196" s="16"/>
      <c r="AD196" s="16"/>
      <c r="AE196" s="16"/>
      <c r="AF196" s="16" t="str">
        <f>IFERROR(__xludf.DUMMYFUNCTION("""COMPUTED_VALUE"""),"++X8 additional water damage for self.")</f>
        <v>++X8 additional water damage for self.</v>
      </c>
      <c r="AG196" s="16" t="str">
        <f>IFERROR(__xludf.DUMMYFUNCTION("""COMPUTED_VALUE"""),"Land of Spira")</f>
        <v>Land of Spira</v>
      </c>
      <c r="AH196" s="16" t="b">
        <f>IFERROR(__xludf.DUMMYFUNCTION("""COMPUTED_VALUE"""),FALSE)</f>
        <v>0</v>
      </c>
    </row>
    <row r="197">
      <c r="A197" s="16" t="str">
        <f>IFERROR(__xludf.DUMMYFUNCTION("""COMPUTED_VALUE"""),"Poseidon's Pauldrons")</f>
        <v>Poseidon's Pauldrons</v>
      </c>
      <c r="B197" s="16" t="str">
        <f>IFERROR(__xludf.DUMMYFUNCTION("""COMPUTED_VALUE"""),"Shoulders")</f>
        <v>Shoulders</v>
      </c>
      <c r="C197" s="16"/>
      <c r="D197" s="16"/>
      <c r="E197" s="16">
        <f>IFERROR(__xludf.DUMMYFUNCTION("""COMPUTED_VALUE"""),400.0)</f>
        <v>400</v>
      </c>
      <c r="F197" s="108">
        <f>IFERROR(__xludf.DUMMYFUNCTION("""COMPUTED_VALUE"""),7800000.0)</f>
        <v>7800000</v>
      </c>
      <c r="G197" s="16" t="str">
        <f>IFERROR(__xludf.DUMMYFUNCTION("""COMPUTED_VALUE"""),"DEF")</f>
        <v>DEF</v>
      </c>
      <c r="H197" s="119">
        <f>IFERROR(__xludf.DUMMYFUNCTION("""COMPUTED_VALUE"""),10000.0)</f>
        <v>10000</v>
      </c>
      <c r="I197" s="16"/>
      <c r="J197" s="16"/>
      <c r="K197" s="119">
        <f>IFERROR(__xludf.DUMMYFUNCTION("""COMPUTED_VALUE"""),10000.0)</f>
        <v>10000</v>
      </c>
      <c r="L197" s="16"/>
      <c r="M197" s="16"/>
      <c r="N197" s="16"/>
      <c r="O197" s="16"/>
      <c r="P197" s="16"/>
      <c r="Q197" s="16"/>
      <c r="R197" s="16"/>
      <c r="S197" s="16"/>
      <c r="T197" s="16"/>
      <c r="U197" s="16"/>
      <c r="V197" s="16"/>
      <c r="W197" s="16"/>
      <c r="X197" s="16"/>
      <c r="Y197" s="16"/>
      <c r="Z197" s="16"/>
      <c r="AA197" s="16"/>
      <c r="AB197" s="16"/>
      <c r="AC197" s="16"/>
      <c r="AD197" s="16"/>
      <c r="AE197" s="16"/>
      <c r="AF197" s="16" t="str">
        <f>IFERROR(__xludf.DUMMYFUNCTION("""COMPUTED_VALUE"""),"++X8 additional water damage for self.")</f>
        <v>++X8 additional water damage for self.</v>
      </c>
      <c r="AG197" s="16" t="str">
        <f>IFERROR(__xludf.DUMMYFUNCTION("""COMPUTED_VALUE"""),"Land of Spira")</f>
        <v>Land of Spira</v>
      </c>
      <c r="AH197" s="16" t="b">
        <f>IFERROR(__xludf.DUMMYFUNCTION("""COMPUTED_VALUE"""),FALSE)</f>
        <v>0</v>
      </c>
    </row>
    <row r="198">
      <c r="A198" s="16" t="str">
        <f>IFERROR(__xludf.DUMMYFUNCTION("""COMPUTED_VALUE"""),"Poseidon's Ring")</f>
        <v>Poseidon's Ring</v>
      </c>
      <c r="B198" s="16" t="str">
        <f>IFERROR(__xludf.DUMMYFUNCTION("""COMPUTED_VALUE"""),"Ring")</f>
        <v>Ring</v>
      </c>
      <c r="C198" s="16"/>
      <c r="D198" s="16"/>
      <c r="E198" s="16">
        <f>IFERROR(__xludf.DUMMYFUNCTION("""COMPUTED_VALUE"""),20.0)</f>
        <v>20</v>
      </c>
      <c r="F198" s="108">
        <f>IFERROR(__xludf.DUMMYFUNCTION("""COMPUTED_VALUE"""),10000.0)</f>
        <v>10000</v>
      </c>
      <c r="G198" s="16" t="str">
        <f>IFERROR(__xludf.DUMMYFUNCTION("""COMPUTED_VALUE"""),"DEF")</f>
        <v>DEF</v>
      </c>
      <c r="H198" s="119">
        <f>IFERROR(__xludf.DUMMYFUNCTION("""COMPUTED_VALUE"""),1000.0)</f>
        <v>1000</v>
      </c>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t="str">
        <f>IFERROR(__xludf.DUMMYFUNCTION("""COMPUTED_VALUE"""),"++X8 additional water damage for self. ")</f>
        <v>++X8 additional water damage for self. </v>
      </c>
      <c r="AG198" s="16" t="str">
        <f>IFERROR(__xludf.DUMMYFUNCTION("""COMPUTED_VALUE"""),"Land of Spira")</f>
        <v>Land of Spira</v>
      </c>
      <c r="AH198" s="16" t="b">
        <f>IFERROR(__xludf.DUMMYFUNCTION("""COMPUTED_VALUE"""),FALSE)</f>
        <v>0</v>
      </c>
    </row>
    <row r="199">
      <c r="A199" s="16" t="str">
        <f>IFERROR(__xludf.DUMMYFUNCTION("""COMPUTED_VALUE"""),"Poseidon's Sword")</f>
        <v>Poseidon's Sword</v>
      </c>
      <c r="B199" s="16" t="str">
        <f>IFERROR(__xludf.DUMMYFUNCTION("""COMPUTED_VALUE"""),"Hand")</f>
        <v>Hand</v>
      </c>
      <c r="C199" s="16"/>
      <c r="D199" s="16" t="str">
        <f>IFERROR(__xludf.DUMMYFUNCTION("""COMPUTED_VALUE"""),"Sword")</f>
        <v>Sword</v>
      </c>
      <c r="E199" s="16">
        <f>IFERROR(__xludf.DUMMYFUNCTION("""COMPUTED_VALUE"""),200.0)</f>
        <v>200</v>
      </c>
      <c r="F199" s="108">
        <f>IFERROR(__xludf.DUMMYFUNCTION("""COMPUTED_VALUE"""),1.99E8)</f>
        <v>199000000</v>
      </c>
      <c r="G199" s="16" t="str">
        <f>IFERROR(__xludf.DUMMYFUNCTION("""COMPUTED_VALUE"""),"DMG")</f>
        <v>DMG</v>
      </c>
      <c r="H199" s="119">
        <f>IFERROR(__xludf.DUMMYFUNCTION("""COMPUTED_VALUE"""),40000.0)</f>
        <v>40000</v>
      </c>
      <c r="I199" s="16"/>
      <c r="J199" s="16"/>
      <c r="K199" s="119">
        <f>IFERROR(__xludf.DUMMYFUNCTION("""COMPUTED_VALUE"""),40000.0)</f>
        <v>40000</v>
      </c>
      <c r="L199" s="16"/>
      <c r="M199" s="16"/>
      <c r="N199" s="16"/>
      <c r="O199" s="16"/>
      <c r="P199" s="16"/>
      <c r="Q199" s="16"/>
      <c r="R199" s="16"/>
      <c r="S199" s="16"/>
      <c r="T199" s="16"/>
      <c r="U199" s="16"/>
      <c r="V199" s="16"/>
      <c r="W199" s="16"/>
      <c r="X199" s="16"/>
      <c r="Y199" s="16"/>
      <c r="Z199" s="16"/>
      <c r="AA199" s="16"/>
      <c r="AB199" s="16"/>
      <c r="AC199" s="119">
        <f>IFERROR(__xludf.DUMMYFUNCTION("""COMPUTED_VALUE"""),20000.0)</f>
        <v>20000</v>
      </c>
      <c r="AD199" s="16"/>
      <c r="AE199" s="16"/>
      <c r="AF199" s="16" t="str">
        <f>IFERROR(__xludf.DUMMYFUNCTION("""COMPUTED_VALUE"""),"++X10 additional water damage for self. ++X12 additional water damage and Natural Defense for self and allies if you have all Poseidon Equipment Equipped. +-Cannot be forged +-Cannot be duplicated")</f>
        <v>++X10 additional water damage for self. ++X12 additional water damage and Natural Defense for self and allies if you have all Poseidon Equipment Equipped. +-Cannot be forged +-Cannot be duplicated</v>
      </c>
      <c r="AG199" s="16" t="str">
        <f>IFERROR(__xludf.DUMMYFUNCTION("""COMPUTED_VALUE"""),"Land of Spira")</f>
        <v>Land of Spira</v>
      </c>
      <c r="AH199" s="16" t="b">
        <f>IFERROR(__xludf.DUMMYFUNCTION("""COMPUTED_VALUE"""),FALSE)</f>
        <v>0</v>
      </c>
    </row>
    <row r="200">
      <c r="A200" s="16" t="str">
        <f>IFERROR(__xludf.DUMMYFUNCTION("""COMPUTED_VALUE"""),"Poseidon's Trident")</f>
        <v>Poseidon's Trident</v>
      </c>
      <c r="B200" s="16" t="str">
        <f>IFERROR(__xludf.DUMMYFUNCTION("""COMPUTED_VALUE"""),"Hand")</f>
        <v>Hand</v>
      </c>
      <c r="C200" s="16"/>
      <c r="D200" s="16" t="str">
        <f>IFERROR(__xludf.DUMMYFUNCTION("""COMPUTED_VALUE"""),"Spear")</f>
        <v>Spear</v>
      </c>
      <c r="E200" s="16">
        <f>IFERROR(__xludf.DUMMYFUNCTION("""COMPUTED_VALUE"""),200.0)</f>
        <v>200</v>
      </c>
      <c r="F200" s="108">
        <f>IFERROR(__xludf.DUMMYFUNCTION("""COMPUTED_VALUE"""),3.1125E8)</f>
        <v>311250000</v>
      </c>
      <c r="G200" s="16" t="str">
        <f>IFERROR(__xludf.DUMMYFUNCTION("""COMPUTED_VALUE"""),"DMG")</f>
        <v>DMG</v>
      </c>
      <c r="H200" s="119">
        <f>IFERROR(__xludf.DUMMYFUNCTION("""COMPUTED_VALUE"""),50000.0)</f>
        <v>50000</v>
      </c>
      <c r="I200" s="16"/>
      <c r="J200" s="16"/>
      <c r="K200" s="119">
        <f>IFERROR(__xludf.DUMMYFUNCTION("""COMPUTED_VALUE"""),50000.0)</f>
        <v>50000</v>
      </c>
      <c r="L200" s="16"/>
      <c r="M200" s="16"/>
      <c r="N200" s="16"/>
      <c r="O200" s="16"/>
      <c r="P200" s="16"/>
      <c r="Q200" s="16"/>
      <c r="R200" s="16"/>
      <c r="S200" s="16"/>
      <c r="T200" s="16"/>
      <c r="U200" s="16"/>
      <c r="V200" s="16"/>
      <c r="W200" s="16"/>
      <c r="X200" s="16"/>
      <c r="Y200" s="16"/>
      <c r="Z200" s="16"/>
      <c r="AA200" s="16"/>
      <c r="AB200" s="16"/>
      <c r="AC200" s="119">
        <f>IFERROR(__xludf.DUMMYFUNCTION("""COMPUTED_VALUE"""),25000.0)</f>
        <v>25000</v>
      </c>
      <c r="AD200" s="16"/>
      <c r="AE200" s="16"/>
      <c r="AF200" s="16" t="str">
        <f>IFERROR(__xludf.DUMMYFUNCTION("""COMPUTED_VALUE"""),"++The user is Immune to the first attack of each battle, Ignores Defense and Water Immunity when attacking a target. +-Cannot be forged +-Cannot be duplicated")</f>
        <v>++The user is Immune to the first attack of each battle, Ignores Defense and Water Immunity when attacking a target. +-Cannot be forged +-Cannot be duplicated</v>
      </c>
      <c r="AG200" s="16" t="str">
        <f>IFERROR(__xludf.DUMMYFUNCTION("""COMPUTED_VALUE"""),"Land of Spira")</f>
        <v>Land of Spira</v>
      </c>
      <c r="AH200" s="16" t="b">
        <f>IFERROR(__xludf.DUMMYFUNCTION("""COMPUTED_VALUE"""),FALSE)</f>
        <v>0</v>
      </c>
    </row>
    <row r="201">
      <c r="A201" s="16" t="str">
        <f>IFERROR(__xludf.DUMMYFUNCTION("""COMPUTED_VALUE"""),"Poseidon's Vambraces")</f>
        <v>Poseidon's Vambraces</v>
      </c>
      <c r="B201" s="16" t="str">
        <f>IFERROR(__xludf.DUMMYFUNCTION("""COMPUTED_VALUE"""),"Arms")</f>
        <v>Arms</v>
      </c>
      <c r="C201" s="16"/>
      <c r="D201" s="16"/>
      <c r="E201" s="16">
        <f>IFERROR(__xludf.DUMMYFUNCTION("""COMPUTED_VALUE"""),400.0)</f>
        <v>400</v>
      </c>
      <c r="F201" s="108">
        <f>IFERROR(__xludf.DUMMYFUNCTION("""COMPUTED_VALUE"""),7800000.0)</f>
        <v>7800000</v>
      </c>
      <c r="G201" s="16" t="str">
        <f>IFERROR(__xludf.DUMMYFUNCTION("""COMPUTED_VALUE"""),"DEF")</f>
        <v>DEF</v>
      </c>
      <c r="H201" s="119">
        <f>IFERROR(__xludf.DUMMYFUNCTION("""COMPUTED_VALUE"""),10000.0)</f>
        <v>10000</v>
      </c>
      <c r="I201" s="16"/>
      <c r="J201" s="16"/>
      <c r="K201" s="119">
        <f>IFERROR(__xludf.DUMMYFUNCTION("""COMPUTED_VALUE"""),10000.0)</f>
        <v>10000</v>
      </c>
      <c r="L201" s="16"/>
      <c r="M201" s="16"/>
      <c r="N201" s="16"/>
      <c r="O201" s="16"/>
      <c r="P201" s="16"/>
      <c r="Q201" s="16"/>
      <c r="R201" s="16"/>
      <c r="S201" s="16"/>
      <c r="T201" s="16"/>
      <c r="U201" s="16"/>
      <c r="V201" s="16"/>
      <c r="W201" s="16"/>
      <c r="X201" s="16"/>
      <c r="Y201" s="16"/>
      <c r="Z201" s="16"/>
      <c r="AA201" s="16"/>
      <c r="AB201" s="16"/>
      <c r="AC201" s="16"/>
      <c r="AD201" s="16"/>
      <c r="AE201" s="16"/>
      <c r="AF201" s="16" t="str">
        <f>IFERROR(__xludf.DUMMYFUNCTION("""COMPUTED_VALUE"""),"++X8 additional water damage for self.")</f>
        <v>++X8 additional water damage for self.</v>
      </c>
      <c r="AG201" s="16" t="str">
        <f>IFERROR(__xludf.DUMMYFUNCTION("""COMPUTED_VALUE"""),"Land of Spira")</f>
        <v>Land of Spira</v>
      </c>
      <c r="AH201" s="16" t="b">
        <f>IFERROR(__xludf.DUMMYFUNCTION("""COMPUTED_VALUE"""),FALSE)</f>
        <v>0</v>
      </c>
    </row>
    <row r="202">
      <c r="A202" s="16" t="str">
        <f>IFERROR(__xludf.DUMMYFUNCTION("""COMPUTED_VALUE"""),"Riftblade")</f>
        <v>Riftblade</v>
      </c>
      <c r="B202" s="16" t="str">
        <f>IFERROR(__xludf.DUMMYFUNCTION("""COMPUTED_VALUE"""),"Hand")</f>
        <v>Hand</v>
      </c>
      <c r="C202" s="16" t="str">
        <f>IFERROR(__xludf.DUMMYFUNCTION("""COMPUTED_VALUE"""),"An ancient blade from a forgotten time")</f>
        <v>An ancient blade from a forgotten time</v>
      </c>
      <c r="D202" s="16" t="str">
        <f>IFERROR(__xludf.DUMMYFUNCTION("""COMPUTED_VALUE"""),"Sword")</f>
        <v>Sword</v>
      </c>
      <c r="E202" s="16">
        <f>IFERROR(__xludf.DUMMYFUNCTION("""COMPUTED_VALUE"""),600.0)</f>
        <v>600</v>
      </c>
      <c r="F202" s="108">
        <f>IFERROR(__xludf.DUMMYFUNCTION("""COMPUTED_VALUE"""),1.77E7)</f>
        <v>17700000</v>
      </c>
      <c r="G202" s="16" t="str">
        <f>IFERROR(__xludf.DUMMYFUNCTION("""COMPUTED_VALUE"""),"DMG")</f>
        <v>DMG</v>
      </c>
      <c r="H202" s="119">
        <f>IFERROR(__xludf.DUMMYFUNCTION("""COMPUTED_VALUE"""),10000.0)</f>
        <v>10000</v>
      </c>
      <c r="I202" s="16"/>
      <c r="J202" s="16"/>
      <c r="K202" s="16"/>
      <c r="L202" s="16"/>
      <c r="M202" s="16"/>
      <c r="N202" s="16"/>
      <c r="O202" s="16"/>
      <c r="P202" s="16"/>
      <c r="Q202" s="16"/>
      <c r="R202" s="119">
        <f>IFERROR(__xludf.DUMMYFUNCTION("""COMPUTED_VALUE"""),10000.0)</f>
        <v>10000</v>
      </c>
      <c r="S202" s="119">
        <f>IFERROR(__xludf.DUMMYFUNCTION("""COMPUTED_VALUE"""),10000.0)</f>
        <v>10000</v>
      </c>
      <c r="T202" s="16"/>
      <c r="U202" s="16"/>
      <c r="V202" s="16"/>
      <c r="W202" s="16"/>
      <c r="X202" s="16"/>
      <c r="Y202" s="16"/>
      <c r="Z202" s="16"/>
      <c r="AA202" s="16"/>
      <c r="AB202" s="16"/>
      <c r="AC202" s="16"/>
      <c r="AD202" s="16"/>
      <c r="AE202" s="16"/>
      <c r="AF202" s="16"/>
      <c r="AG202" s="16" t="str">
        <f>IFERROR(__xludf.DUMMYFUNCTION("""COMPUTED_VALUE"""),"Solreach")</f>
        <v>Solreach</v>
      </c>
      <c r="AH202" s="16" t="b">
        <f>IFERROR(__xludf.DUMMYFUNCTION("""COMPUTED_VALUE"""),TRUE)</f>
        <v>1</v>
      </c>
    </row>
    <row r="203">
      <c r="A203" s="16" t="str">
        <f>IFERROR(__xludf.DUMMYFUNCTION("""COMPUTED_VALUE"""),"Ring o’ Luck and Nature")</f>
        <v>Ring o’ Luck and Nature</v>
      </c>
      <c r="B203" s="16" t="str">
        <f>IFERROR(__xludf.DUMMYFUNCTION("""COMPUTED_VALUE"""),"Ring")</f>
        <v>Ring</v>
      </c>
      <c r="C203" s="16"/>
      <c r="D203" s="16"/>
      <c r="E203" s="16">
        <f>IFERROR(__xludf.DUMMYFUNCTION("""COMPUTED_VALUE"""),1.0)</f>
        <v>1</v>
      </c>
      <c r="F203" s="108">
        <f>IFERROR(__xludf.DUMMYFUNCTION("""COMPUTED_VALUE"""),0.0)</f>
        <v>0</v>
      </c>
      <c r="G203" s="16"/>
      <c r="H203" s="16"/>
      <c r="I203" s="16"/>
      <c r="J203" s="16"/>
      <c r="K203" s="16"/>
      <c r="L203" s="16"/>
      <c r="M203" s="16"/>
      <c r="N203" s="16"/>
      <c r="O203" s="16"/>
      <c r="P203" s="16"/>
      <c r="Q203" s="16"/>
      <c r="R203" s="16"/>
      <c r="S203" s="16"/>
      <c r="T203" s="16"/>
      <c r="U203" s="16"/>
      <c r="V203" s="16"/>
      <c r="W203" s="16"/>
      <c r="X203" s="16"/>
      <c r="Y203" s="16"/>
      <c r="Z203" s="16"/>
      <c r="AA203" s="16"/>
      <c r="AB203" s="16"/>
      <c r="AC203" s="16"/>
      <c r="AD203" s="16"/>
      <c r="AE203" s="16"/>
      <c r="AF203" s="16" t="str">
        <f>IFERROR(__xludf.DUMMYFUNCTION("""COMPUTED_VALUE"""),"++Immunity to nature damage, ++increases the roll of a d20 by 2. +-Can only equip one")</f>
        <v>++Immunity to nature damage, ++increases the roll of a d20 by 2. +-Can only equip one</v>
      </c>
      <c r="AG203" s="16" t="str">
        <f>IFERROR(__xludf.DUMMYFUNCTION("""COMPUTED_VALUE"""),"Land of Spira")</f>
        <v>Land of Spira</v>
      </c>
      <c r="AH203" s="16" t="b">
        <f>IFERROR(__xludf.DUMMYFUNCTION("""COMPUTED_VALUE"""),FALSE)</f>
        <v>0</v>
      </c>
    </row>
    <row r="204">
      <c r="A204" s="16" t="str">
        <f>IFERROR(__xludf.DUMMYFUNCTION("""COMPUTED_VALUE"""),"Ring of Darkness")</f>
        <v>Ring of Darkness</v>
      </c>
      <c r="B204" s="16" t="str">
        <f>IFERROR(__xludf.DUMMYFUNCTION("""COMPUTED_VALUE"""),"Ring")</f>
        <v>Ring</v>
      </c>
      <c r="C204" s="16"/>
      <c r="D204" s="16"/>
      <c r="E204" s="16">
        <f>IFERROR(__xludf.DUMMYFUNCTION("""COMPUTED_VALUE"""),1.0)</f>
        <v>1</v>
      </c>
      <c r="F204" s="108">
        <f>IFERROR(__xludf.DUMMYFUNCTION("""COMPUTED_VALUE"""),0.0)</f>
        <v>0</v>
      </c>
      <c r="G204" s="16"/>
      <c r="H204" s="16"/>
      <c r="I204" s="16"/>
      <c r="J204" s="16"/>
      <c r="K204" s="16"/>
      <c r="L204" s="16"/>
      <c r="M204" s="16"/>
      <c r="N204" s="16"/>
      <c r="O204" s="16"/>
      <c r="P204" s="16"/>
      <c r="Q204" s="16"/>
      <c r="R204" s="16"/>
      <c r="S204" s="16"/>
      <c r="T204" s="16"/>
      <c r="U204" s="16"/>
      <c r="V204" s="16"/>
      <c r="W204" s="16"/>
      <c r="X204" s="16"/>
      <c r="Y204" s="16"/>
      <c r="Z204" s="16"/>
      <c r="AA204" s="16"/>
      <c r="AB204" s="16"/>
      <c r="AC204" s="16"/>
      <c r="AD204" s="16"/>
      <c r="AE204" s="16"/>
      <c r="AF204" s="16" t="str">
        <f>IFERROR(__xludf.DUMMYFUNCTION("""COMPUTED_VALUE"""),"++Shadow Cloud - Cloaks you in a cloud darkness - causes all enemies to miss you with any attack, including cannot avoid attacks for the rest of the round, Fail/Succeed, -200 sp.")</f>
        <v>++Shadow Cloud - Cloaks you in a cloud darkness - causes all enemies to miss you with any attack, including cannot avoid attacks for the rest of the round, Fail/Succeed, -200 sp.</v>
      </c>
      <c r="AG204" s="16" t="str">
        <f>IFERROR(__xludf.DUMMYFUNCTION("""COMPUTED_VALUE"""),"Land of Spira")</f>
        <v>Land of Spira</v>
      </c>
      <c r="AH204" s="16" t="b">
        <f>IFERROR(__xludf.DUMMYFUNCTION("""COMPUTED_VALUE"""),FALSE)</f>
        <v>0</v>
      </c>
    </row>
    <row r="205">
      <c r="A205" s="16" t="str">
        <f>IFERROR(__xludf.DUMMYFUNCTION("""COMPUTED_VALUE"""),"Ring of Death")</f>
        <v>Ring of Death</v>
      </c>
      <c r="B205" s="16" t="str">
        <f>IFERROR(__xludf.DUMMYFUNCTION("""COMPUTED_VALUE"""),"Ring")</f>
        <v>Ring</v>
      </c>
      <c r="C205" s="16"/>
      <c r="D205" s="16"/>
      <c r="E205" s="16">
        <f>IFERROR(__xludf.DUMMYFUNCTION("""COMPUTED_VALUE"""),1.0)</f>
        <v>1</v>
      </c>
      <c r="F205" s="108">
        <f>IFERROR(__xludf.DUMMYFUNCTION("""COMPUTED_VALUE"""),0.0)</f>
        <v>0</v>
      </c>
      <c r="G205" s="16"/>
      <c r="H205" s="16"/>
      <c r="I205" s="16"/>
      <c r="J205" s="16"/>
      <c r="K205" s="16"/>
      <c r="L205" s="16"/>
      <c r="M205" s="16"/>
      <c r="N205" s="16"/>
      <c r="O205" s="16"/>
      <c r="P205" s="16"/>
      <c r="Q205" s="16"/>
      <c r="R205" s="16"/>
      <c r="S205" s="16"/>
      <c r="T205" s="16"/>
      <c r="U205" s="16"/>
      <c r="V205" s="16"/>
      <c r="W205" s="16"/>
      <c r="X205" s="16"/>
      <c r="Y205" s="16"/>
      <c r="Z205" s="16"/>
      <c r="AA205" s="16"/>
      <c r="AB205" s="16"/>
      <c r="AC205" s="16"/>
      <c r="AD205" s="16"/>
      <c r="AE205" s="16"/>
      <c r="AF205" s="16" t="str">
        <f>IFERROR(__xludf.DUMMYFUNCTION("""COMPUTED_VALUE"""),"++Causes instant death with a fail/succeed roll.")</f>
        <v>++Causes instant death with a fail/succeed roll.</v>
      </c>
      <c r="AG205" s="16" t="str">
        <f>IFERROR(__xludf.DUMMYFUNCTION("""COMPUTED_VALUE"""),"Land of Spira")</f>
        <v>Land of Spira</v>
      </c>
      <c r="AH205" s="16" t="b">
        <f>IFERROR(__xludf.DUMMYFUNCTION("""COMPUTED_VALUE"""),FALSE)</f>
        <v>0</v>
      </c>
    </row>
    <row r="206">
      <c r="A206" s="16" t="str">
        <f>IFERROR(__xludf.DUMMYFUNCTION("""COMPUTED_VALUE"""),"Ring Of Dwelling Waters")</f>
        <v>Ring Of Dwelling Waters</v>
      </c>
      <c r="B206" s="16" t="str">
        <f>IFERROR(__xludf.DUMMYFUNCTION("""COMPUTED_VALUE"""),"Ring")</f>
        <v>Ring</v>
      </c>
      <c r="C206" s="16"/>
      <c r="D206" s="16"/>
      <c r="E206" s="16">
        <f>IFERROR(__xludf.DUMMYFUNCTION("""COMPUTED_VALUE"""),1.0)</f>
        <v>1</v>
      </c>
      <c r="F206" s="108">
        <f>IFERROR(__xludf.DUMMYFUNCTION("""COMPUTED_VALUE"""),0.0)</f>
        <v>0</v>
      </c>
      <c r="G206" s="16"/>
      <c r="H206" s="16"/>
      <c r="I206" s="16" t="str">
        <f>IFERROR(__xludf.DUMMYFUNCTION("""COMPUTED_VALUE""")," ")</f>
        <v> </v>
      </c>
      <c r="J206" s="16"/>
      <c r="K206" s="16"/>
      <c r="L206" s="16"/>
      <c r="M206" s="16"/>
      <c r="N206" s="16"/>
      <c r="O206" s="16"/>
      <c r="P206" s="16"/>
      <c r="Q206" s="16"/>
      <c r="R206" s="16"/>
      <c r="S206" s="16"/>
      <c r="T206" s="16"/>
      <c r="U206" s="16"/>
      <c r="V206" s="16"/>
      <c r="W206" s="16"/>
      <c r="X206" s="16"/>
      <c r="Y206" s="16"/>
      <c r="Z206" s="16"/>
      <c r="AA206" s="16"/>
      <c r="AB206" s="16"/>
      <c r="AC206" s="16"/>
      <c r="AD206" s="16"/>
      <c r="AE206" s="16"/>
      <c r="AF206" s="16" t="str">
        <f>IFERROR(__xludf.DUMMYFUNCTION("""COMPUTED_VALUE"""),"++X2 Water and Dark damage.")</f>
        <v>++X2 Water and Dark damage.</v>
      </c>
      <c r="AG206" s="16" t="str">
        <f>IFERROR(__xludf.DUMMYFUNCTION("""COMPUTED_VALUE"""),"Land of Spira")</f>
        <v>Land of Spira</v>
      </c>
      <c r="AH206" s="16" t="b">
        <f>IFERROR(__xludf.DUMMYFUNCTION("""COMPUTED_VALUE"""),FALSE)</f>
        <v>0</v>
      </c>
    </row>
    <row r="207">
      <c r="A207" s="16" t="str">
        <f>IFERROR(__xludf.DUMMYFUNCTION("""COMPUTED_VALUE"""),"Ring of Endless Souls")</f>
        <v>Ring of Endless Souls</v>
      </c>
      <c r="B207" s="16" t="str">
        <f>IFERROR(__xludf.DUMMYFUNCTION("""COMPUTED_VALUE"""),"Ring")</f>
        <v>Ring</v>
      </c>
      <c r="C207" s="16"/>
      <c r="D207" s="16"/>
      <c r="E207" s="16">
        <f>IFERROR(__xludf.DUMMYFUNCTION("""COMPUTED_VALUE"""),1.0)</f>
        <v>1</v>
      </c>
      <c r="F207" s="108">
        <f>IFERROR(__xludf.DUMMYFUNCTION("""COMPUTED_VALUE"""),0.0)</f>
        <v>0</v>
      </c>
      <c r="G207" s="16"/>
      <c r="H207" s="16"/>
      <c r="I207" s="16"/>
      <c r="J207" s="16"/>
      <c r="K207" s="16"/>
      <c r="L207" s="16"/>
      <c r="M207" s="16"/>
      <c r="N207" s="16"/>
      <c r="O207" s="16"/>
      <c r="P207" s="16"/>
      <c r="Q207" s="16"/>
      <c r="R207" s="16"/>
      <c r="S207" s="16"/>
      <c r="T207" s="16"/>
      <c r="U207" s="16"/>
      <c r="V207" s="16"/>
      <c r="W207" s="16"/>
      <c r="X207" s="16"/>
      <c r="Y207" s="16"/>
      <c r="Z207" s="16"/>
      <c r="AA207" s="16"/>
      <c r="AB207" s="16"/>
      <c r="AC207" s="16"/>
      <c r="AD207" s="16"/>
      <c r="AE207" s="16"/>
      <c r="AF207" s="16" t="str">
        <f>IFERROR(__xludf.DUMMYFUNCTION("""COMPUTED_VALUE"""),"++0 Def ++Soul Enchanted - Every time you enchant a soul into this item increase the Def of this item by 10. ")</f>
        <v>++0 Def ++Soul Enchanted - Every time you enchant a soul into this item increase the Def of this item by 10. </v>
      </c>
      <c r="AG207" s="16" t="str">
        <f>IFERROR(__xludf.DUMMYFUNCTION("""COMPUTED_VALUE"""),"Land of The Forgotten")</f>
        <v>Land of The Forgotten</v>
      </c>
      <c r="AH207" s="16" t="b">
        <f>IFERROR(__xludf.DUMMYFUNCTION("""COMPUTED_VALUE"""),FALSE)</f>
        <v>0</v>
      </c>
    </row>
    <row r="208">
      <c r="A208" s="16" t="str">
        <f>IFERROR(__xludf.DUMMYFUNCTION("""COMPUTED_VALUE"""),"Ring of Healing")</f>
        <v>Ring of Healing</v>
      </c>
      <c r="B208" s="16" t="str">
        <f>IFERROR(__xludf.DUMMYFUNCTION("""COMPUTED_VALUE"""),"Ring")</f>
        <v>Ring</v>
      </c>
      <c r="C208" s="16"/>
      <c r="D208" s="16"/>
      <c r="E208" s="16">
        <f>IFERROR(__xludf.DUMMYFUNCTION("""COMPUTED_VALUE"""),1.0)</f>
        <v>1</v>
      </c>
      <c r="F208" s="108">
        <f>IFERROR(__xludf.DUMMYFUNCTION("""COMPUTED_VALUE"""),0.0)</f>
        <v>0</v>
      </c>
      <c r="G208" s="16"/>
      <c r="H208" s="16"/>
      <c r="I208" s="16"/>
      <c r="J208" s="16"/>
      <c r="K208" s="16"/>
      <c r="L208" s="16"/>
      <c r="M208" s="16"/>
      <c r="N208" s="16"/>
      <c r="O208" s="16"/>
      <c r="P208" s="16"/>
      <c r="Q208" s="16"/>
      <c r="R208" s="16"/>
      <c r="S208" s="16"/>
      <c r="T208" s="16"/>
      <c r="U208" s="16"/>
      <c r="V208" s="16"/>
      <c r="W208" s="16"/>
      <c r="X208" s="16"/>
      <c r="Y208" s="16"/>
      <c r="Z208" s="16"/>
      <c r="AA208" s="16"/>
      <c r="AB208" s="16"/>
      <c r="AC208" s="16"/>
      <c r="AD208" s="16"/>
      <c r="AE208" s="16"/>
      <c r="AF208" s="16" t="str">
        <f>IFERROR(__xludf.DUMMYFUNCTION("""COMPUTED_VALUE"""),"++500 hp per round.")</f>
        <v>++500 hp per round.</v>
      </c>
      <c r="AG208" s="16" t="str">
        <f>IFERROR(__xludf.DUMMYFUNCTION("""COMPUTED_VALUE"""),"Land of Spira")</f>
        <v>Land of Spira</v>
      </c>
      <c r="AH208" s="16" t="b">
        <f>IFERROR(__xludf.DUMMYFUNCTION("""COMPUTED_VALUE"""),FALSE)</f>
        <v>0</v>
      </c>
    </row>
    <row r="209">
      <c r="A209" s="16" t="str">
        <f>IFERROR(__xludf.DUMMYFUNCTION("""COMPUTED_VALUE"""),"Ring of Invulnerability ")</f>
        <v>Ring of Invulnerability </v>
      </c>
      <c r="B209" s="16" t="str">
        <f>IFERROR(__xludf.DUMMYFUNCTION("""COMPUTED_VALUE"""),"Ring")</f>
        <v>Ring</v>
      </c>
      <c r="C209" s="16"/>
      <c r="D209" s="16"/>
      <c r="E209" s="16">
        <f>IFERROR(__xludf.DUMMYFUNCTION("""COMPUTED_VALUE"""),1.0)</f>
        <v>1</v>
      </c>
      <c r="F209" s="108">
        <f>IFERROR(__xludf.DUMMYFUNCTION("""COMPUTED_VALUE"""),0.0)</f>
        <v>0</v>
      </c>
      <c r="G209" s="16"/>
      <c r="H209" s="16"/>
      <c r="I209" s="16"/>
      <c r="J209" s="16"/>
      <c r="K209" s="16"/>
      <c r="L209" s="16"/>
      <c r="M209" s="16"/>
      <c r="N209" s="16"/>
      <c r="O209" s="16"/>
      <c r="P209" s="16"/>
      <c r="Q209" s="16"/>
      <c r="R209" s="16"/>
      <c r="S209" s="16"/>
      <c r="T209" s="16"/>
      <c r="U209" s="16"/>
      <c r="V209" s="16"/>
      <c r="W209" s="16"/>
      <c r="X209" s="16"/>
      <c r="Y209" s="16"/>
      <c r="Z209" s="16"/>
      <c r="AA209" s="16"/>
      <c r="AB209" s="16"/>
      <c r="AC209" s="16"/>
      <c r="AD209" s="16"/>
      <c r="AE209" s="16"/>
      <c r="AF209" s="16" t="str">
        <f>IFERROR(__xludf.DUMMYFUNCTION("""COMPUTED_VALUE"""),"++Gain invulnerability to damage for the first round of battle, you are unable to inflict any non-magic damage for the first round of battle. +-Cannot be duplicated. +-Cannot be forged. ")</f>
        <v>++Gain invulnerability to damage for the first round of battle, you are unable to inflict any non-magic damage for the first round of battle. +-Cannot be duplicated. +-Cannot be forged. </v>
      </c>
      <c r="AG209" s="16" t="str">
        <f>IFERROR(__xludf.DUMMYFUNCTION("""COMPUTED_VALUE"""),"Land of The Forgotten")</f>
        <v>Land of The Forgotten</v>
      </c>
      <c r="AH209" s="16" t="b">
        <f>IFERROR(__xludf.DUMMYFUNCTION("""COMPUTED_VALUE"""),FALSE)</f>
        <v>0</v>
      </c>
    </row>
    <row r="210">
      <c r="A210" s="16" t="str">
        <f>IFERROR(__xludf.DUMMYFUNCTION("""COMPUTED_VALUE"""),"Ring of Pure Chaos")</f>
        <v>Ring of Pure Chaos</v>
      </c>
      <c r="B210" s="16" t="str">
        <f>IFERROR(__xludf.DUMMYFUNCTION("""COMPUTED_VALUE"""),"Ring")</f>
        <v>Ring</v>
      </c>
      <c r="C210" s="16"/>
      <c r="D210" s="16"/>
      <c r="E210" s="16">
        <f>IFERROR(__xludf.DUMMYFUNCTION("""COMPUTED_VALUE"""),1.0)</f>
        <v>1</v>
      </c>
      <c r="F210" s="108">
        <f>IFERROR(__xludf.DUMMYFUNCTION("""COMPUTED_VALUE"""),0.0)</f>
        <v>0</v>
      </c>
      <c r="G210" s="16"/>
      <c r="H210" s="16"/>
      <c r="I210" s="16"/>
      <c r="J210" s="16"/>
      <c r="K210" s="16"/>
      <c r="L210" s="16"/>
      <c r="M210" s="16"/>
      <c r="N210" s="16"/>
      <c r="O210" s="16"/>
      <c r="P210" s="16"/>
      <c r="Q210" s="16"/>
      <c r="R210" s="16"/>
      <c r="S210" s="16"/>
      <c r="T210" s="16"/>
      <c r="U210" s="16"/>
      <c r="V210" s="16"/>
      <c r="W210" s="16"/>
      <c r="X210" s="16"/>
      <c r="Y210" s="16"/>
      <c r="Z210" s="16"/>
      <c r="AA210" s="16"/>
      <c r="AB210" s="16"/>
      <c r="AC210" s="16"/>
      <c r="AD210" s="16"/>
      <c r="AE210" s="16"/>
      <c r="AF210" s="16" t="str">
        <f>IFERROR(__xludf.DUMMYFUNCTION("""COMPUTED_VALUE"""),"++X2 Chaos damage, ++ +5 Charisma and Intimidation. +-Cannot be forged +-Cannot be duplicated +-Can only equip one")</f>
        <v>++X2 Chaos damage, ++ +5 Charisma and Intimidation. +-Cannot be forged +-Cannot be duplicated +-Can only equip one</v>
      </c>
      <c r="AG210" s="16" t="str">
        <f>IFERROR(__xludf.DUMMYFUNCTION("""COMPUTED_VALUE"""),"Abstara")</f>
        <v>Abstara</v>
      </c>
      <c r="AH210" s="16" t="b">
        <f>IFERROR(__xludf.DUMMYFUNCTION("""COMPUTED_VALUE"""),FALSE)</f>
        <v>0</v>
      </c>
    </row>
    <row r="211">
      <c r="A211" s="16" t="str">
        <f>IFERROR(__xludf.DUMMYFUNCTION("""COMPUTED_VALUE"""),"Ring of Pure Defense")</f>
        <v>Ring of Pure Defense</v>
      </c>
      <c r="B211" s="16" t="str">
        <f>IFERROR(__xludf.DUMMYFUNCTION("""COMPUTED_VALUE"""),"Ring")</f>
        <v>Ring</v>
      </c>
      <c r="C211" s="16"/>
      <c r="D211" s="16"/>
      <c r="E211" s="16">
        <f>IFERROR(__xludf.DUMMYFUNCTION("""COMPUTED_VALUE"""),1.0)</f>
        <v>1</v>
      </c>
      <c r="F211" s="108">
        <f>IFERROR(__xludf.DUMMYFUNCTION("""COMPUTED_VALUE"""),0.0)</f>
        <v>0</v>
      </c>
      <c r="G211" s="16"/>
      <c r="H211" s="16"/>
      <c r="I211" s="16"/>
      <c r="J211" s="16"/>
      <c r="K211" s="16"/>
      <c r="L211" s="16"/>
      <c r="M211" s="16"/>
      <c r="N211" s="16"/>
      <c r="O211" s="16"/>
      <c r="P211" s="16"/>
      <c r="Q211" s="16"/>
      <c r="R211" s="16"/>
      <c r="S211" s="16"/>
      <c r="T211" s="16"/>
      <c r="U211" s="16"/>
      <c r="V211" s="16"/>
      <c r="W211" s="16"/>
      <c r="X211" s="16"/>
      <c r="Y211" s="16"/>
      <c r="Z211" s="16"/>
      <c r="AA211" s="16"/>
      <c r="AB211" s="16"/>
      <c r="AC211" s="16"/>
      <c r="AD211" s="16"/>
      <c r="AE211" s="16"/>
      <c r="AF211" s="16" t="str">
        <f>IFERROR(__xludf.DUMMYFUNCTION("""COMPUTED_VALUE"""),"++Half the damage taken from the next attack 100SP Will Succeed.")</f>
        <v>++Half the damage taken from the next attack 100SP Will Succeed.</v>
      </c>
      <c r="AG211" s="16" t="str">
        <f>IFERROR(__xludf.DUMMYFUNCTION("""COMPUTED_VALUE"""),"Land of Spira")</f>
        <v>Land of Spira</v>
      </c>
      <c r="AH211" s="16" t="b">
        <f>IFERROR(__xludf.DUMMYFUNCTION("""COMPUTED_VALUE"""),FALSE)</f>
        <v>0</v>
      </c>
    </row>
    <row r="212">
      <c r="A212" s="16" t="str">
        <f>IFERROR(__xludf.DUMMYFUNCTION("""COMPUTED_VALUE"""),"Ring of Reflect")</f>
        <v>Ring of Reflect</v>
      </c>
      <c r="B212" s="16" t="str">
        <f>IFERROR(__xludf.DUMMYFUNCTION("""COMPUTED_VALUE"""),"Ring")</f>
        <v>Ring</v>
      </c>
      <c r="C212" s="16"/>
      <c r="D212" s="16"/>
      <c r="E212" s="16">
        <f>IFERROR(__xludf.DUMMYFUNCTION("""COMPUTED_VALUE"""),1.0)</f>
        <v>1</v>
      </c>
      <c r="F212" s="108">
        <f>IFERROR(__xludf.DUMMYFUNCTION("""COMPUTED_VALUE"""),0.0)</f>
        <v>0</v>
      </c>
      <c r="G212" s="16"/>
      <c r="H212" s="16"/>
      <c r="I212" s="16"/>
      <c r="J212" s="16"/>
      <c r="K212" s="16"/>
      <c r="L212" s="16"/>
      <c r="M212" s="16"/>
      <c r="N212" s="16"/>
      <c r="O212" s="16"/>
      <c r="P212" s="16"/>
      <c r="Q212" s="16"/>
      <c r="R212" s="16"/>
      <c r="S212" s="16"/>
      <c r="T212" s="16"/>
      <c r="U212" s="16"/>
      <c r="V212" s="16"/>
      <c r="W212" s="16"/>
      <c r="X212" s="16"/>
      <c r="Y212" s="16"/>
      <c r="Z212" s="16"/>
      <c r="AA212" s="16"/>
      <c r="AB212" s="16"/>
      <c r="AC212" s="16"/>
      <c r="AD212" s="16"/>
      <c r="AE212" s="16"/>
      <c r="AF212" s="16" t="str">
        <f>IFERROR(__xludf.DUMMYFUNCTION("""COMPUTED_VALUE"""),"++Inflict half the damage you take back to the enemy that dealt it. +-Can only have one equipped. +-Cannot be duplicated.")</f>
        <v>++Inflict half the damage you take back to the enemy that dealt it. +-Can only have one equipped. +-Cannot be duplicated.</v>
      </c>
      <c r="AG212" s="16" t="str">
        <f>IFERROR(__xludf.DUMMYFUNCTION("""COMPUTED_VALUE"""),"Land of Spira")</f>
        <v>Land of Spira</v>
      </c>
      <c r="AH212" s="16" t="b">
        <f>IFERROR(__xludf.DUMMYFUNCTION("""COMPUTED_VALUE"""),FALSE)</f>
        <v>0</v>
      </c>
    </row>
    <row r="213">
      <c r="A213" s="16" t="str">
        <f>IFERROR(__xludf.DUMMYFUNCTION("""COMPUTED_VALUE"""),"Ring of the Bonded Undead")</f>
        <v>Ring of the Bonded Undead</v>
      </c>
      <c r="B213" s="16" t="str">
        <f>IFERROR(__xludf.DUMMYFUNCTION("""COMPUTED_VALUE"""),"Ring")</f>
        <v>Ring</v>
      </c>
      <c r="C213" s="16"/>
      <c r="D213" s="16"/>
      <c r="E213" s="16">
        <f>IFERROR(__xludf.DUMMYFUNCTION("""COMPUTED_VALUE"""),1.0)</f>
        <v>1</v>
      </c>
      <c r="F213" s="108">
        <f>IFERROR(__xludf.DUMMYFUNCTION("""COMPUTED_VALUE"""),0.0)</f>
        <v>0</v>
      </c>
      <c r="G213" s="16"/>
      <c r="H213" s="16"/>
      <c r="I213" s="16"/>
      <c r="J213" s="16"/>
      <c r="K213" s="16"/>
      <c r="L213" s="16"/>
      <c r="M213" s="16"/>
      <c r="N213" s="16"/>
      <c r="O213" s="16"/>
      <c r="P213" s="16"/>
      <c r="Q213" s="16"/>
      <c r="R213" s="16"/>
      <c r="S213" s="16"/>
      <c r="T213" s="16"/>
      <c r="U213" s="16"/>
      <c r="V213" s="16"/>
      <c r="W213" s="16"/>
      <c r="X213" s="16"/>
      <c r="Y213" s="16"/>
      <c r="Z213" s="16"/>
      <c r="AA213" s="16"/>
      <c r="AB213" s="16"/>
      <c r="AC213" s="16"/>
      <c r="AD213" s="16"/>
      <c r="AE213" s="16"/>
      <c r="AF213" s="16" t="str">
        <f>IFERROR(__xludf.DUMMYFUNCTION("""COMPUTED_VALUE"""),"++When you battle with any Undead target you can deal X2 more damage.")</f>
        <v>++When you battle with any Undead target you can deal X2 more damage.</v>
      </c>
      <c r="AG213" s="16" t="str">
        <f>IFERROR(__xludf.DUMMYFUNCTION("""COMPUTED_VALUE"""),"Land of Spira")</f>
        <v>Land of Spira</v>
      </c>
      <c r="AH213" s="16" t="b">
        <f>IFERROR(__xludf.DUMMYFUNCTION("""COMPUTED_VALUE"""),FALSE)</f>
        <v>0</v>
      </c>
    </row>
    <row r="214">
      <c r="A214" s="16" t="str">
        <f>IFERROR(__xludf.DUMMYFUNCTION("""COMPUTED_VALUE"""),"Ring of the Forgotten")</f>
        <v>Ring of the Forgotten</v>
      </c>
      <c r="B214" s="16" t="str">
        <f>IFERROR(__xludf.DUMMYFUNCTION("""COMPUTED_VALUE"""),"Ring")</f>
        <v>Ring</v>
      </c>
      <c r="C214" s="16"/>
      <c r="D214" s="16"/>
      <c r="E214" s="16">
        <f>IFERROR(__xludf.DUMMYFUNCTION("""COMPUTED_VALUE"""),1.0)</f>
        <v>1</v>
      </c>
      <c r="F214" s="108">
        <f>IFERROR(__xludf.DUMMYFUNCTION("""COMPUTED_VALUE"""),0.0)</f>
        <v>0</v>
      </c>
      <c r="G214" s="16"/>
      <c r="H214" s="16"/>
      <c r="I214" s="16"/>
      <c r="J214" s="16"/>
      <c r="K214" s="16"/>
      <c r="L214" s="16"/>
      <c r="M214" s="16"/>
      <c r="N214" s="16"/>
      <c r="O214" s="16"/>
      <c r="P214" s="16"/>
      <c r="Q214" s="16"/>
      <c r="R214" s="16"/>
      <c r="S214" s="16"/>
      <c r="T214" s="16"/>
      <c r="U214" s="16"/>
      <c r="V214" s="16"/>
      <c r="W214" s="16"/>
      <c r="X214" s="16"/>
      <c r="Y214" s="16"/>
      <c r="Z214" s="16"/>
      <c r="AA214" s="16"/>
      <c r="AB214" s="16"/>
      <c r="AC214" s="16"/>
      <c r="AD214" s="16"/>
      <c r="AE214" s="16"/>
      <c r="AF214" s="16" t="str">
        <f>IFERROR(__xludf.DUMMYFUNCTION("""COMPUTED_VALUE"""),"++Make a fail/succeed roll to make a target forget they were fighting you. +-Cannot be duplicated")</f>
        <v>++Make a fail/succeed roll to make a target forget they were fighting you. +-Cannot be duplicated</v>
      </c>
      <c r="AG214" s="16" t="str">
        <f>IFERROR(__xludf.DUMMYFUNCTION("""COMPUTED_VALUE"""),"Land of The Forgotten")</f>
        <v>Land of The Forgotten</v>
      </c>
      <c r="AH214" s="16" t="b">
        <f>IFERROR(__xludf.DUMMYFUNCTION("""COMPUTED_VALUE"""),FALSE)</f>
        <v>0</v>
      </c>
    </row>
    <row r="215">
      <c r="A215" s="16" t="str">
        <f>IFERROR(__xludf.DUMMYFUNCTION("""COMPUTED_VALUE"""),"Ring Of Tritonoch")</f>
        <v>Ring Of Tritonoch</v>
      </c>
      <c r="B215" s="16" t="str">
        <f>IFERROR(__xludf.DUMMYFUNCTION("""COMPUTED_VALUE"""),"Ring")</f>
        <v>Ring</v>
      </c>
      <c r="C215" s="16"/>
      <c r="D215" s="16"/>
      <c r="E215" s="16">
        <f>IFERROR(__xludf.DUMMYFUNCTION("""COMPUTED_VALUE"""),1.0)</f>
        <v>1</v>
      </c>
      <c r="F215" s="108">
        <f>IFERROR(__xludf.DUMMYFUNCTION("""COMPUTED_VALUE"""),0.0)</f>
        <v>0</v>
      </c>
      <c r="G215" s="16"/>
      <c r="H215" s="16"/>
      <c r="I215" s="16"/>
      <c r="J215" s="16"/>
      <c r="K215" s="16"/>
      <c r="L215" s="16"/>
      <c r="M215" s="16"/>
      <c r="N215" s="16"/>
      <c r="O215" s="16"/>
      <c r="P215" s="16"/>
      <c r="Q215" s="16"/>
      <c r="R215" s="16"/>
      <c r="S215" s="16"/>
      <c r="T215" s="16"/>
      <c r="U215" s="16"/>
      <c r="V215" s="16"/>
      <c r="W215" s="16"/>
      <c r="X215" s="16"/>
      <c r="Y215" s="16"/>
      <c r="Z215" s="16"/>
      <c r="AA215" s="16"/>
      <c r="AB215" s="16"/>
      <c r="AC215" s="16"/>
      <c r="AD215" s="16"/>
      <c r="AE215" s="16"/>
      <c r="AF215" s="16" t="str">
        <f>IFERROR(__xludf.DUMMYFUNCTION("""COMPUTED_VALUE"""),"++Waves of Entitlement - x5 additional Water damage")</f>
        <v>++Waves of Entitlement - x5 additional Water damage</v>
      </c>
      <c r="AG215" s="16" t="str">
        <f>IFERROR(__xludf.DUMMYFUNCTION("""COMPUTED_VALUE"""),"Land of Spira")</f>
        <v>Land of Spira</v>
      </c>
      <c r="AH215" s="16" t="b">
        <f>IFERROR(__xludf.DUMMYFUNCTION("""COMPUTED_VALUE"""),FALSE)</f>
        <v>0</v>
      </c>
    </row>
    <row r="216">
      <c r="A216" s="16" t="str">
        <f>IFERROR(__xludf.DUMMYFUNCTION("""COMPUTED_VALUE"""),"Ring of Waking Waters")</f>
        <v>Ring of Waking Waters</v>
      </c>
      <c r="B216" s="16" t="str">
        <f>IFERROR(__xludf.DUMMYFUNCTION("""COMPUTED_VALUE"""),"Ring")</f>
        <v>Ring</v>
      </c>
      <c r="C216" s="16"/>
      <c r="D216" s="16"/>
      <c r="E216" s="16">
        <f>IFERROR(__xludf.DUMMYFUNCTION("""COMPUTED_VALUE"""),100.0)</f>
        <v>100</v>
      </c>
      <c r="F216" s="108">
        <f>IFERROR(__xludf.DUMMYFUNCTION("""COMPUTED_VALUE"""),450000.0)</f>
        <v>450000</v>
      </c>
      <c r="G216" s="16" t="str">
        <f>IFERROR(__xludf.DUMMYFUNCTION("""COMPUTED_VALUE"""),"DEF")</f>
        <v>DEF</v>
      </c>
      <c r="H216" s="16"/>
      <c r="I216" s="16"/>
      <c r="J216" s="16"/>
      <c r="K216" s="16">
        <f>IFERROR(__xludf.DUMMYFUNCTION("""COMPUTED_VALUE"""),5000.0)</f>
        <v>5000</v>
      </c>
      <c r="L216" s="16"/>
      <c r="M216" s="16"/>
      <c r="N216" s="16"/>
      <c r="O216" s="16"/>
      <c r="P216" s="16"/>
      <c r="Q216" s="16"/>
      <c r="R216" s="16"/>
      <c r="S216" s="16"/>
      <c r="T216" s="16"/>
      <c r="U216" s="16"/>
      <c r="V216" s="16"/>
      <c r="W216" s="16"/>
      <c r="X216" s="16"/>
      <c r="Y216" s="16"/>
      <c r="Z216" s="16"/>
      <c r="AA216" s="16"/>
      <c r="AB216" s="16"/>
      <c r="AC216" s="16"/>
      <c r="AD216" s="16"/>
      <c r="AE216" s="16"/>
      <c r="AF216" s="16" t="str">
        <f>IFERROR(__xludf.DUMMYFUNCTION("""COMPUTED_VALUE"""),"++X4 additional water damage for self.")</f>
        <v>++X4 additional water damage for self.</v>
      </c>
      <c r="AG216" s="16" t="str">
        <f>IFERROR(__xludf.DUMMYFUNCTION("""COMPUTED_VALUE"""),"Land of Spira")</f>
        <v>Land of Spira</v>
      </c>
      <c r="AH216" s="16" t="b">
        <f>IFERROR(__xludf.DUMMYFUNCTION("""COMPUTED_VALUE"""),FALSE)</f>
        <v>0</v>
      </c>
    </row>
    <row r="217">
      <c r="A217" s="16" t="str">
        <f>IFERROR(__xludf.DUMMYFUNCTION("""COMPUTED_VALUE"""),"Robe of The Cultist")</f>
        <v>Robe of The Cultist</v>
      </c>
      <c r="B217" s="16" t="str">
        <f>IFERROR(__xludf.DUMMYFUNCTION("""COMPUTED_VALUE"""),"Torso")</f>
        <v>Torso</v>
      </c>
      <c r="C217" s="16"/>
      <c r="D217" s="16"/>
      <c r="E217" s="16">
        <f>IFERROR(__xludf.DUMMYFUNCTION("""COMPUTED_VALUE"""),80.0)</f>
        <v>80</v>
      </c>
      <c r="F217" s="108">
        <f>IFERROR(__xludf.DUMMYFUNCTION("""COMPUTED_VALUE"""),280000.0)</f>
        <v>280000</v>
      </c>
      <c r="G217" s="16" t="str">
        <f>IFERROR(__xludf.DUMMYFUNCTION("""COMPUTED_VALUE"""),"DEF")</f>
        <v>DEF</v>
      </c>
      <c r="H217" s="16">
        <f>IFERROR(__xludf.DUMMYFUNCTION("""COMPUTED_VALUE"""),2000.0)</f>
        <v>2000</v>
      </c>
      <c r="I217" s="16"/>
      <c r="J217" s="16"/>
      <c r="K217" s="16"/>
      <c r="L217" s="16"/>
      <c r="M217" s="16"/>
      <c r="N217" s="16"/>
      <c r="O217" s="16">
        <f>IFERROR(__xludf.DUMMYFUNCTION("""COMPUTED_VALUE"""),2000.0)</f>
        <v>2000</v>
      </c>
      <c r="P217" s="16"/>
      <c r="Q217" s="16"/>
      <c r="R217" s="16"/>
      <c r="S217" s="16"/>
      <c r="T217" s="16"/>
      <c r="U217" s="16"/>
      <c r="V217" s="16"/>
      <c r="W217" s="16"/>
      <c r="X217" s="16"/>
      <c r="Y217" s="16"/>
      <c r="Z217" s="16"/>
      <c r="AA217" s="16"/>
      <c r="AB217" s="16"/>
      <c r="AC217" s="16"/>
      <c r="AD217" s="16"/>
      <c r="AE217" s="16"/>
      <c r="AF217" s="16" t="str">
        <f>IFERROR(__xludf.DUMMYFUNCTION("""COMPUTED_VALUE"""),"++Instant Death Immunity. ++500HP +-Cannot be forged +-Cannot be duplicated")</f>
        <v>++Instant Death Immunity. ++500HP +-Cannot be forged +-Cannot be duplicated</v>
      </c>
      <c r="AG217" s="16" t="str">
        <f>IFERROR(__xludf.DUMMYFUNCTION("""COMPUTED_VALUE"""),"Land of Spira")</f>
        <v>Land of Spira</v>
      </c>
      <c r="AH217" s="16" t="b">
        <f>IFERROR(__xludf.DUMMYFUNCTION("""COMPUTED_VALUE"""),FALSE)</f>
        <v>0</v>
      </c>
    </row>
    <row r="218">
      <c r="A218" s="16" t="str">
        <f>IFERROR(__xludf.DUMMYFUNCTION("""COMPUTED_VALUE"""),"Robe of Vanish")</f>
        <v>Robe of Vanish</v>
      </c>
      <c r="B218" s="16" t="str">
        <f>IFERROR(__xludf.DUMMYFUNCTION("""COMPUTED_VALUE"""),"Torso")</f>
        <v>Torso</v>
      </c>
      <c r="C218" s="16"/>
      <c r="D218" s="16"/>
      <c r="E218" s="16">
        <f>IFERROR(__xludf.DUMMYFUNCTION("""COMPUTED_VALUE"""),20.0)</f>
        <v>20</v>
      </c>
      <c r="F218" s="108">
        <f>IFERROR(__xludf.DUMMYFUNCTION("""COMPUTED_VALUE"""),1000.0)</f>
        <v>1000</v>
      </c>
      <c r="G218" s="16" t="str">
        <f>IFERROR(__xludf.DUMMYFUNCTION("""COMPUTED_VALUE"""),"DEF")</f>
        <v>DEF</v>
      </c>
      <c r="H218" s="16">
        <f>IFERROR(__xludf.DUMMYFUNCTION("""COMPUTED_VALUE"""),900.0)</f>
        <v>900</v>
      </c>
      <c r="I218" s="16"/>
      <c r="J218" s="16"/>
      <c r="K218" s="16"/>
      <c r="L218" s="16"/>
      <c r="M218" s="16"/>
      <c r="N218" s="16"/>
      <c r="O218" s="16"/>
      <c r="P218" s="16"/>
      <c r="Q218" s="16"/>
      <c r="R218" s="16"/>
      <c r="S218" s="16"/>
      <c r="T218" s="16"/>
      <c r="U218" s="16"/>
      <c r="V218" s="16"/>
      <c r="W218" s="16"/>
      <c r="X218" s="16"/>
      <c r="Y218" s="16"/>
      <c r="Z218" s="16"/>
      <c r="AA218" s="16"/>
      <c r="AB218" s="16"/>
      <c r="AC218" s="16"/>
      <c r="AD218" s="16"/>
      <c r="AE218" s="16"/>
      <c r="AF218" s="16" t="str">
        <f>IFERROR(__xludf.DUMMYFUNCTION("""COMPUTED_VALUE"""),"++Shadow Disappear - When Equipped you are invulnerable to all damage for the first round of battle. ")</f>
        <v>++Shadow Disappear - When Equipped you are invulnerable to all damage for the first round of battle. </v>
      </c>
      <c r="AG218" s="16" t="str">
        <f>IFERROR(__xludf.DUMMYFUNCTION("""COMPUTED_VALUE"""),"Land of Spira")</f>
        <v>Land of Spira</v>
      </c>
      <c r="AH218" s="16" t="b">
        <f>IFERROR(__xludf.DUMMYFUNCTION("""COMPUTED_VALUE"""),FALSE)</f>
        <v>0</v>
      </c>
    </row>
    <row r="219">
      <c r="A219" s="16" t="str">
        <f>IFERROR(__xludf.DUMMYFUNCTION("""COMPUTED_VALUE"""),"Robes of a Peaceful Immortal")</f>
        <v>Robes of a Peaceful Immortal</v>
      </c>
      <c r="B219" s="16" t="str">
        <f>IFERROR(__xludf.DUMMYFUNCTION("""COMPUTED_VALUE"""),"Torso")</f>
        <v>Torso</v>
      </c>
      <c r="C219" s="16"/>
      <c r="D219" s="16"/>
      <c r="E219" s="16">
        <f>IFERROR(__xludf.DUMMYFUNCTION("""COMPUTED_VALUE"""),1.0)</f>
        <v>1</v>
      </c>
      <c r="F219" s="108">
        <f>IFERROR(__xludf.DUMMYFUNCTION("""COMPUTED_VALUE"""),0.0)</f>
        <v>0</v>
      </c>
      <c r="G219" s="16"/>
      <c r="H219" s="16"/>
      <c r="I219" s="16"/>
      <c r="J219" s="16"/>
      <c r="K219" s="16"/>
      <c r="L219" s="16"/>
      <c r="M219" s="16"/>
      <c r="N219" s="16"/>
      <c r="O219" s="16"/>
      <c r="P219" s="16"/>
      <c r="Q219" s="16"/>
      <c r="R219" s="16"/>
      <c r="S219" s="16"/>
      <c r="T219" s="16"/>
      <c r="U219" s="16"/>
      <c r="V219" s="16"/>
      <c r="W219" s="16"/>
      <c r="X219" s="16"/>
      <c r="Y219" s="16"/>
      <c r="Z219" s="16"/>
      <c r="AA219" s="16"/>
      <c r="AB219" s="16"/>
      <c r="AC219" s="16"/>
      <c r="AD219" s="16"/>
      <c r="AE219" s="16"/>
      <c r="AF219" s="16" t="str">
        <f>IFERROR(__xludf.DUMMYFUNCTION("""COMPUTED_VALUE"""),"++Peaceful Blessing - Incapable of receiving or dealing damage. +-Cannot be duplicated.")</f>
        <v>++Peaceful Blessing - Incapable of receiving or dealing damage. +-Cannot be duplicated.</v>
      </c>
      <c r="AG219" s="16" t="str">
        <f>IFERROR(__xludf.DUMMYFUNCTION("""COMPUTED_VALUE"""),"Land of Spira")</f>
        <v>Land of Spira</v>
      </c>
      <c r="AH219" s="16" t="b">
        <f>IFERROR(__xludf.DUMMYFUNCTION("""COMPUTED_VALUE"""),FALSE)</f>
        <v>0</v>
      </c>
    </row>
    <row r="220">
      <c r="A220" s="16" t="str">
        <f>IFERROR(__xludf.DUMMYFUNCTION("""COMPUTED_VALUE"""),"Royal Amulet Of Heatmore")</f>
        <v>Royal Amulet Of Heatmore</v>
      </c>
      <c r="B220" s="16" t="str">
        <f>IFERROR(__xludf.DUMMYFUNCTION("""COMPUTED_VALUE"""),"Neck")</f>
        <v>Neck</v>
      </c>
      <c r="C220" s="16"/>
      <c r="D220" s="16"/>
      <c r="E220" s="16">
        <f>IFERROR(__xludf.DUMMYFUNCTION("""COMPUTED_VALUE"""),1.0)</f>
        <v>1</v>
      </c>
      <c r="F220" s="108">
        <f>IFERROR(__xludf.DUMMYFUNCTION("""COMPUTED_VALUE"""),0.0)</f>
        <v>0</v>
      </c>
      <c r="G220" s="16"/>
      <c r="H220" s="16"/>
      <c r="I220" s="16"/>
      <c r="J220" s="16"/>
      <c r="K220" s="16"/>
      <c r="L220" s="16"/>
      <c r="M220" s="16"/>
      <c r="N220" s="16"/>
      <c r="O220" s="16"/>
      <c r="P220" s="16"/>
      <c r="Q220" s="16"/>
      <c r="R220" s="16"/>
      <c r="S220" s="16"/>
      <c r="T220" s="16"/>
      <c r="U220" s="16"/>
      <c r="V220" s="16"/>
      <c r="W220" s="16"/>
      <c r="X220" s="16"/>
      <c r="Y220" s="16"/>
      <c r="Z220" s="16"/>
      <c r="AA220" s="16"/>
      <c r="AB220" s="16"/>
      <c r="AC220" s="16"/>
      <c r="AD220" s="16"/>
      <c r="AE220" s="16"/>
      <c r="AF220" s="16" t="str">
        <f>IFERROR(__xludf.DUMMYFUNCTION("""COMPUTED_VALUE"""),"++ immune to fire dmg")</f>
        <v>++ immune to fire dmg</v>
      </c>
      <c r="AG220" s="16" t="str">
        <f>IFERROR(__xludf.DUMMYFUNCTION("""COMPUTED_VALUE"""),"Land of Spira")</f>
        <v>Land of Spira</v>
      </c>
      <c r="AH220" s="16" t="b">
        <f>IFERROR(__xludf.DUMMYFUNCTION("""COMPUTED_VALUE"""),FALSE)</f>
        <v>0</v>
      </c>
    </row>
    <row r="221">
      <c r="A221" s="16" t="str">
        <f>IFERROR(__xludf.DUMMYFUNCTION("""COMPUTED_VALUE"""),"Royal Guard Axe")</f>
        <v>Royal Guard Axe</v>
      </c>
      <c r="B221" s="16" t="str">
        <f>IFERROR(__xludf.DUMMYFUNCTION("""COMPUTED_VALUE"""),"Hand")</f>
        <v>Hand</v>
      </c>
      <c r="C221" s="16" t="str">
        <f>IFERROR(__xludf.DUMMYFUNCTION("""COMPUTED_VALUE"""),"Quest Item")</f>
        <v>Quest Item</v>
      </c>
      <c r="D221" s="16"/>
      <c r="E221" s="16">
        <f>IFERROR(__xludf.DUMMYFUNCTION("""COMPUTED_VALUE"""),200.0)</f>
        <v>200</v>
      </c>
      <c r="F221" s="108">
        <f>IFERROR(__xludf.DUMMYFUNCTION("""COMPUTED_VALUE"""),4.485E8)</f>
        <v>448500000</v>
      </c>
      <c r="G221" s="16" t="str">
        <f>IFERROR(__xludf.DUMMYFUNCTION("""COMPUTED_VALUE"""),"DMG")</f>
        <v>DMG</v>
      </c>
      <c r="H221" s="119">
        <f>IFERROR(__xludf.DUMMYFUNCTION("""COMPUTED_VALUE"""),50000.0)</f>
        <v>50000</v>
      </c>
      <c r="I221" s="16"/>
      <c r="J221" s="16"/>
      <c r="K221" s="16"/>
      <c r="L221" s="16"/>
      <c r="M221" s="16"/>
      <c r="N221" s="119">
        <f>IFERROR(__xludf.DUMMYFUNCTION("""COMPUTED_VALUE"""),50000.0)</f>
        <v>50000</v>
      </c>
      <c r="O221" s="16"/>
      <c r="P221" s="16"/>
      <c r="Q221" s="16"/>
      <c r="R221" s="16"/>
      <c r="S221" s="16"/>
      <c r="T221" s="16"/>
      <c r="U221" s="16"/>
      <c r="V221" s="16"/>
      <c r="W221" s="16"/>
      <c r="X221" s="16"/>
      <c r="Y221" s="16"/>
      <c r="Z221" s="16"/>
      <c r="AA221" s="16"/>
      <c r="AB221" s="16"/>
      <c r="AC221" s="119">
        <f>IFERROR(__xludf.DUMMYFUNCTION("""COMPUTED_VALUE"""),50000.0)</f>
        <v>50000</v>
      </c>
      <c r="AD221" s="16"/>
      <c r="AE221" s="16"/>
      <c r="AF221" s="16" t="str">
        <f>IFERROR(__xludf.DUMMYFUNCTION("""COMPUTED_VALUE"""),"++X4 additional Weapon Damage. +-Cannot be duplicated.")</f>
        <v>++X4 additional Weapon Damage. +-Cannot be duplicated.</v>
      </c>
      <c r="AG221" s="16" t="str">
        <f>IFERROR(__xludf.DUMMYFUNCTION("""COMPUTED_VALUE"""),"Land of Spira")</f>
        <v>Land of Spira</v>
      </c>
      <c r="AH221" s="16" t="b">
        <f>IFERROR(__xludf.DUMMYFUNCTION("""COMPUTED_VALUE"""),FALSE)</f>
        <v>0</v>
      </c>
    </row>
    <row r="222">
      <c r="A222" s="16" t="str">
        <f>IFERROR(__xludf.DUMMYFUNCTION("""COMPUTED_VALUE"""),"Royal Guard Helmet")</f>
        <v>Royal Guard Helmet</v>
      </c>
      <c r="B222" s="16" t="str">
        <f>IFERROR(__xludf.DUMMYFUNCTION("""COMPUTED_VALUE"""),"Head")</f>
        <v>Head</v>
      </c>
      <c r="C222" s="16" t="str">
        <f>IFERROR(__xludf.DUMMYFUNCTION("""COMPUTED_VALUE"""),"Quest Item")</f>
        <v>Quest Item</v>
      </c>
      <c r="D222" s="16"/>
      <c r="E222" s="16">
        <f>IFERROR(__xludf.DUMMYFUNCTION("""COMPUTED_VALUE"""),200.0)</f>
        <v>200</v>
      </c>
      <c r="F222" s="108">
        <f>IFERROR(__xludf.DUMMYFUNCTION("""COMPUTED_VALUE"""),4.485E8)</f>
        <v>448500000</v>
      </c>
      <c r="G222" s="16" t="str">
        <f>IFERROR(__xludf.DUMMYFUNCTION("""COMPUTED_VALUE"""),"DEF")</f>
        <v>DEF</v>
      </c>
      <c r="H222" s="119">
        <f>IFERROR(__xludf.DUMMYFUNCTION("""COMPUTED_VALUE"""),50000.0)</f>
        <v>50000</v>
      </c>
      <c r="I222" s="16"/>
      <c r="J222" s="16"/>
      <c r="K222" s="16"/>
      <c r="L222" s="16"/>
      <c r="M222" s="16"/>
      <c r="N222" s="119">
        <f>IFERROR(__xludf.DUMMYFUNCTION("""COMPUTED_VALUE"""),50000.0)</f>
        <v>50000</v>
      </c>
      <c r="O222" s="16"/>
      <c r="P222" s="16"/>
      <c r="Q222" s="16"/>
      <c r="R222" s="16"/>
      <c r="S222" s="16"/>
      <c r="T222" s="16"/>
      <c r="U222" s="16"/>
      <c r="V222" s="16"/>
      <c r="W222" s="16"/>
      <c r="X222" s="16"/>
      <c r="Y222" s="16"/>
      <c r="Z222" s="16"/>
      <c r="AA222" s="16"/>
      <c r="AB222" s="16"/>
      <c r="AC222" s="119">
        <f>IFERROR(__xludf.DUMMYFUNCTION("""COMPUTED_VALUE"""),50000.0)</f>
        <v>50000</v>
      </c>
      <c r="AD222" s="16"/>
      <c r="AE222" s="16"/>
      <c r="AF222" s="16" t="str">
        <f>IFERROR(__xludf.DUMMYFUNCTION("""COMPUTED_VALUE"""),"++X4 Additional Weapon damage. ++X2 Additional Defense. +-Cannot be duplicated.")</f>
        <v>++X4 Additional Weapon damage. ++X2 Additional Defense. +-Cannot be duplicated.</v>
      </c>
      <c r="AG222" s="16" t="str">
        <f>IFERROR(__xludf.DUMMYFUNCTION("""COMPUTED_VALUE"""),"Land of Spira")</f>
        <v>Land of Spira</v>
      </c>
      <c r="AH222" s="16" t="b">
        <f>IFERROR(__xludf.DUMMYFUNCTION("""COMPUTED_VALUE"""),FALSE)</f>
        <v>0</v>
      </c>
    </row>
    <row r="223">
      <c r="A223" s="16" t="str">
        <f>IFERROR(__xludf.DUMMYFUNCTION("""COMPUTED_VALUE"""),"Royal Guard Chestplate")</f>
        <v>Royal Guard Chestplate</v>
      </c>
      <c r="B223" s="16" t="str">
        <f>IFERROR(__xludf.DUMMYFUNCTION("""COMPUTED_VALUE"""),"Torso")</f>
        <v>Torso</v>
      </c>
      <c r="C223" s="16" t="str">
        <f>IFERROR(__xludf.DUMMYFUNCTION("""COMPUTED_VALUE"""),"Quest Item")</f>
        <v>Quest Item</v>
      </c>
      <c r="D223" s="16"/>
      <c r="E223" s="16">
        <f>IFERROR(__xludf.DUMMYFUNCTION("""COMPUTED_VALUE"""),200.0)</f>
        <v>200</v>
      </c>
      <c r="F223" s="108">
        <f>IFERROR(__xludf.DUMMYFUNCTION("""COMPUTED_VALUE"""),4.485E8)</f>
        <v>448500000</v>
      </c>
      <c r="G223" s="16" t="str">
        <f>IFERROR(__xludf.DUMMYFUNCTION("""COMPUTED_VALUE"""),"DEF")</f>
        <v>DEF</v>
      </c>
      <c r="H223" s="119">
        <f>IFERROR(__xludf.DUMMYFUNCTION("""COMPUTED_VALUE"""),50000.0)</f>
        <v>50000</v>
      </c>
      <c r="I223" s="16"/>
      <c r="J223" s="16"/>
      <c r="K223" s="16"/>
      <c r="L223" s="16"/>
      <c r="M223" s="16"/>
      <c r="N223" s="119">
        <f>IFERROR(__xludf.DUMMYFUNCTION("""COMPUTED_VALUE"""),50000.0)</f>
        <v>50000</v>
      </c>
      <c r="O223" s="16"/>
      <c r="P223" s="16"/>
      <c r="Q223" s="16"/>
      <c r="R223" s="16"/>
      <c r="S223" s="16"/>
      <c r="T223" s="16"/>
      <c r="U223" s="16"/>
      <c r="V223" s="16"/>
      <c r="W223" s="16"/>
      <c r="X223" s="16"/>
      <c r="Y223" s="16"/>
      <c r="Z223" s="16"/>
      <c r="AA223" s="16"/>
      <c r="AB223" s="16"/>
      <c r="AC223" s="119">
        <f>IFERROR(__xludf.DUMMYFUNCTION("""COMPUTED_VALUE"""),50000.0)</f>
        <v>50000</v>
      </c>
      <c r="AD223" s="16"/>
      <c r="AE223" s="16"/>
      <c r="AF223" s="16" t="str">
        <f>IFERROR(__xludf.DUMMYFUNCTION("""COMPUTED_VALUE"""),"++X4 Additional Weapon damage. ++X2 Additional Defense. +-Cannot be duplicated.")</f>
        <v>++X4 Additional Weapon damage. ++X2 Additional Defense. +-Cannot be duplicated.</v>
      </c>
      <c r="AG223" s="16" t="str">
        <f>IFERROR(__xludf.DUMMYFUNCTION("""COMPUTED_VALUE"""),"Land of Spira")</f>
        <v>Land of Spira</v>
      </c>
      <c r="AH223" s="16" t="b">
        <f>IFERROR(__xludf.DUMMYFUNCTION("""COMPUTED_VALUE"""),FALSE)</f>
        <v>0</v>
      </c>
    </row>
    <row r="224">
      <c r="A224" s="16" t="str">
        <f>IFERROR(__xludf.DUMMYFUNCTION("""COMPUTED_VALUE"""),"Royal Guard Boots")</f>
        <v>Royal Guard Boots</v>
      </c>
      <c r="B224" s="16" t="str">
        <f>IFERROR(__xludf.DUMMYFUNCTION("""COMPUTED_VALUE"""),"Feet")</f>
        <v>Feet</v>
      </c>
      <c r="C224" s="16" t="str">
        <f>IFERROR(__xludf.DUMMYFUNCTION("""COMPUTED_VALUE"""),"Quest Item")</f>
        <v>Quest Item</v>
      </c>
      <c r="D224" s="16"/>
      <c r="E224" s="16">
        <f>IFERROR(__xludf.DUMMYFUNCTION("""COMPUTED_VALUE"""),200.0)</f>
        <v>200</v>
      </c>
      <c r="F224" s="108">
        <f>IFERROR(__xludf.DUMMYFUNCTION("""COMPUTED_VALUE"""),4.485E8)</f>
        <v>448500000</v>
      </c>
      <c r="G224" s="16" t="str">
        <f>IFERROR(__xludf.DUMMYFUNCTION("""COMPUTED_VALUE"""),"DEF")</f>
        <v>DEF</v>
      </c>
      <c r="H224" s="119">
        <f>IFERROR(__xludf.DUMMYFUNCTION("""COMPUTED_VALUE"""),50000.0)</f>
        <v>50000</v>
      </c>
      <c r="I224" s="16"/>
      <c r="J224" s="16"/>
      <c r="K224" s="16"/>
      <c r="L224" s="16"/>
      <c r="M224" s="16"/>
      <c r="N224" s="119">
        <f>IFERROR(__xludf.DUMMYFUNCTION("""COMPUTED_VALUE"""),50000.0)</f>
        <v>50000</v>
      </c>
      <c r="O224" s="16"/>
      <c r="P224" s="16"/>
      <c r="Q224" s="16"/>
      <c r="R224" s="16"/>
      <c r="S224" s="16"/>
      <c r="T224" s="16"/>
      <c r="U224" s="16"/>
      <c r="V224" s="16"/>
      <c r="W224" s="16"/>
      <c r="X224" s="16"/>
      <c r="Y224" s="16"/>
      <c r="Z224" s="16"/>
      <c r="AA224" s="16"/>
      <c r="AB224" s="16"/>
      <c r="AC224" s="119">
        <f>IFERROR(__xludf.DUMMYFUNCTION("""COMPUTED_VALUE"""),50000.0)</f>
        <v>50000</v>
      </c>
      <c r="AD224" s="16"/>
      <c r="AE224" s="16"/>
      <c r="AF224" s="16" t="str">
        <f>IFERROR(__xludf.DUMMYFUNCTION("""COMPUTED_VALUE"""),"++X4 Additional Weapon damage. ++X2 Additional Defense. +-Cannot be duplicated.")</f>
        <v>++X4 Additional Weapon damage. ++X2 Additional Defense. +-Cannot be duplicated.</v>
      </c>
      <c r="AG224" s="16" t="str">
        <f>IFERROR(__xludf.DUMMYFUNCTION("""COMPUTED_VALUE"""),"Land of Spira")</f>
        <v>Land of Spira</v>
      </c>
      <c r="AH224" s="16" t="b">
        <f>IFERROR(__xludf.DUMMYFUNCTION("""COMPUTED_VALUE"""),FALSE)</f>
        <v>0</v>
      </c>
    </row>
    <row r="225">
      <c r="A225" s="16" t="str">
        <f>IFERROR(__xludf.DUMMYFUNCTION("""COMPUTED_VALUE"""),"Royal Guard Greaves")</f>
        <v>Royal Guard Greaves</v>
      </c>
      <c r="B225" s="16" t="str">
        <f>IFERROR(__xludf.DUMMYFUNCTION("""COMPUTED_VALUE"""),"Legs")</f>
        <v>Legs</v>
      </c>
      <c r="C225" s="16" t="str">
        <f>IFERROR(__xludf.DUMMYFUNCTION("""COMPUTED_VALUE"""),"Quest Item")</f>
        <v>Quest Item</v>
      </c>
      <c r="D225" s="16"/>
      <c r="E225" s="16">
        <f>IFERROR(__xludf.DUMMYFUNCTION("""COMPUTED_VALUE"""),200.0)</f>
        <v>200</v>
      </c>
      <c r="F225" s="108">
        <f>IFERROR(__xludf.DUMMYFUNCTION("""COMPUTED_VALUE"""),4.485E8)</f>
        <v>448500000</v>
      </c>
      <c r="G225" s="16" t="str">
        <f>IFERROR(__xludf.DUMMYFUNCTION("""COMPUTED_VALUE"""),"DEF")</f>
        <v>DEF</v>
      </c>
      <c r="H225" s="119">
        <f>IFERROR(__xludf.DUMMYFUNCTION("""COMPUTED_VALUE"""),50000.0)</f>
        <v>50000</v>
      </c>
      <c r="I225" s="16"/>
      <c r="J225" s="16"/>
      <c r="K225" s="16"/>
      <c r="L225" s="16"/>
      <c r="M225" s="16"/>
      <c r="N225" s="119">
        <f>IFERROR(__xludf.DUMMYFUNCTION("""COMPUTED_VALUE"""),50000.0)</f>
        <v>50000</v>
      </c>
      <c r="O225" s="16"/>
      <c r="P225" s="16"/>
      <c r="Q225" s="16"/>
      <c r="R225" s="16"/>
      <c r="S225" s="16"/>
      <c r="T225" s="16"/>
      <c r="U225" s="16"/>
      <c r="V225" s="16"/>
      <c r="W225" s="16"/>
      <c r="X225" s="16"/>
      <c r="Y225" s="16"/>
      <c r="Z225" s="16"/>
      <c r="AA225" s="16"/>
      <c r="AB225" s="16"/>
      <c r="AC225" s="119">
        <f>IFERROR(__xludf.DUMMYFUNCTION("""COMPUTED_VALUE"""),50000.0)</f>
        <v>50000</v>
      </c>
      <c r="AD225" s="16"/>
      <c r="AE225" s="16"/>
      <c r="AF225" s="16" t="str">
        <f>IFERROR(__xludf.DUMMYFUNCTION("""COMPUTED_VALUE"""),"++X4 Additional Weapon damage. ++X2 Additional Defense. +-Cannot be duplicated.")</f>
        <v>++X4 Additional Weapon damage. ++X2 Additional Defense. +-Cannot be duplicated.</v>
      </c>
      <c r="AG225" s="16" t="str">
        <f>IFERROR(__xludf.DUMMYFUNCTION("""COMPUTED_VALUE"""),"Land of Spira")</f>
        <v>Land of Spira</v>
      </c>
      <c r="AH225" s="16" t="b">
        <f>IFERROR(__xludf.DUMMYFUNCTION("""COMPUTED_VALUE"""),FALSE)</f>
        <v>0</v>
      </c>
    </row>
    <row r="226">
      <c r="A226" s="16" t="str">
        <f>IFERROR(__xludf.DUMMYFUNCTION("""COMPUTED_VALUE"""),"Royal Keeper Shield")</f>
        <v>Royal Keeper Shield</v>
      </c>
      <c r="B226" s="16" t="str">
        <f>IFERROR(__xludf.DUMMYFUNCTION("""COMPUTED_VALUE"""),"Hand")</f>
        <v>Hand</v>
      </c>
      <c r="C226" s="16"/>
      <c r="D226" s="16" t="str">
        <f>IFERROR(__xludf.DUMMYFUNCTION("""COMPUTED_VALUE"""),"Towershield")</f>
        <v>Towershield</v>
      </c>
      <c r="E226" s="16">
        <f>IFERROR(__xludf.DUMMYFUNCTION("""COMPUTED_VALUE"""),20.0)</f>
        <v>20</v>
      </c>
      <c r="F226" s="108">
        <f>IFERROR(__xludf.DUMMYFUNCTION("""COMPUTED_VALUE"""),10000.0)</f>
        <v>10000</v>
      </c>
      <c r="G226" s="16" t="str">
        <f>IFERROR(__xludf.DUMMYFUNCTION("""COMPUTED_VALUE"""),"DEF")</f>
        <v>DEF</v>
      </c>
      <c r="H226" s="16">
        <f>IFERROR(__xludf.DUMMYFUNCTION("""COMPUTED_VALUE"""),1000.0)</f>
        <v>1000</v>
      </c>
      <c r="I226" s="16"/>
      <c r="J226" s="16"/>
      <c r="K226" s="16"/>
      <c r="L226" s="16"/>
      <c r="M226" s="16"/>
      <c r="N226" s="16"/>
      <c r="O226" s="16"/>
      <c r="P226" s="16"/>
      <c r="Q226" s="16"/>
      <c r="R226" s="16"/>
      <c r="S226" s="16"/>
      <c r="T226" s="16"/>
      <c r="U226" s="16"/>
      <c r="V226" s="16"/>
      <c r="W226" s="16"/>
      <c r="X226" s="16"/>
      <c r="Y226" s="16"/>
      <c r="Z226" s="16"/>
      <c r="AA226" s="16"/>
      <c r="AB226" s="16"/>
      <c r="AC226" s="16"/>
      <c r="AD226" s="16"/>
      <c r="AE226" s="16"/>
      <c r="AF226" s="16" t="str">
        <f>IFERROR(__xludf.DUMMYFUNCTION("""COMPUTED_VALUE"""),"++Royal Block - Gan invulnerability to all damage for 3 rounds of battle. 5000SP Will Succeed.")</f>
        <v>++Royal Block - Gan invulnerability to all damage for 3 rounds of battle. 5000SP Will Succeed.</v>
      </c>
      <c r="AG226" s="16" t="str">
        <f>IFERROR(__xludf.DUMMYFUNCTION("""COMPUTED_VALUE"""),"Land of Spira")</f>
        <v>Land of Spira</v>
      </c>
      <c r="AH226" s="16" t="b">
        <f>IFERROR(__xludf.DUMMYFUNCTION("""COMPUTED_VALUE"""),FALSE)</f>
        <v>0</v>
      </c>
    </row>
    <row r="227">
      <c r="A227" s="16" t="str">
        <f>IFERROR(__xludf.DUMMYFUNCTION("""COMPUTED_VALUE"""),"Royal Keeper Spear")</f>
        <v>Royal Keeper Spear</v>
      </c>
      <c r="B227" s="16" t="str">
        <f>IFERROR(__xludf.DUMMYFUNCTION("""COMPUTED_VALUE"""),"Hand")</f>
        <v>Hand</v>
      </c>
      <c r="C227" s="16"/>
      <c r="D227" s="16" t="str">
        <f>IFERROR(__xludf.DUMMYFUNCTION("""COMPUTED_VALUE"""),"Spear")</f>
        <v>Spear</v>
      </c>
      <c r="E227" s="16">
        <f>IFERROR(__xludf.DUMMYFUNCTION("""COMPUTED_VALUE"""),400.0)</f>
        <v>400</v>
      </c>
      <c r="F227" s="108">
        <f>IFERROR(__xludf.DUMMYFUNCTION("""COMPUTED_VALUE"""),7800000.0)</f>
        <v>7800000</v>
      </c>
      <c r="G227" s="16" t="str">
        <f>IFERROR(__xludf.DUMMYFUNCTION("""COMPUTED_VALUE"""),"DMG")</f>
        <v>DMG</v>
      </c>
      <c r="H227" s="119">
        <f>IFERROR(__xludf.DUMMYFUNCTION("""COMPUTED_VALUE"""),10000.0)</f>
        <v>10000</v>
      </c>
      <c r="I227" s="119">
        <f>IFERROR(__xludf.DUMMYFUNCTION("""COMPUTED_VALUE"""),10000.0)</f>
        <v>10000</v>
      </c>
      <c r="J227" s="16"/>
      <c r="K227" s="16"/>
      <c r="L227" s="16"/>
      <c r="M227" s="16"/>
      <c r="N227" s="16"/>
      <c r="O227" s="16"/>
      <c r="P227" s="16"/>
      <c r="Q227" s="16"/>
      <c r="R227" s="16"/>
      <c r="S227" s="16"/>
      <c r="T227" s="16"/>
      <c r="U227" s="16"/>
      <c r="V227" s="16"/>
      <c r="W227" s="16"/>
      <c r="X227" s="16"/>
      <c r="Y227" s="16"/>
      <c r="Z227" s="16"/>
      <c r="AA227" s="16"/>
      <c r="AB227" s="16"/>
      <c r="AC227" s="16"/>
      <c r="AD227" s="16"/>
      <c r="AE227" s="16"/>
      <c r="AF227" s="16" t="str">
        <f>IFERROR(__xludf.DUMMYFUNCTION("""COMPUTED_VALUE"""),"++Royal Stance -  Shuttering 1 for the first round of battle.")</f>
        <v>++Royal Stance -  Shuttering 1 for the first round of battle.</v>
      </c>
      <c r="AG227" s="16" t="str">
        <f>IFERROR(__xludf.DUMMYFUNCTION("""COMPUTED_VALUE"""),"Land of Spira")</f>
        <v>Land of Spira</v>
      </c>
      <c r="AH227" s="16" t="b">
        <f>IFERROR(__xludf.DUMMYFUNCTION("""COMPUTED_VALUE"""),FALSE)</f>
        <v>0</v>
      </c>
    </row>
    <row r="228">
      <c r="A228" s="16" t="str">
        <f>IFERROR(__xludf.DUMMYFUNCTION("""COMPUTED_VALUE"""),"Royal Sword of Chaotic Shadows")</f>
        <v>Royal Sword of Chaotic Shadows</v>
      </c>
      <c r="B228" s="16" t="str">
        <f>IFERROR(__xludf.DUMMYFUNCTION("""COMPUTED_VALUE"""),"Hand")</f>
        <v>Hand</v>
      </c>
      <c r="C228" s="16"/>
      <c r="D228" s="16" t="str">
        <f>IFERROR(__xludf.DUMMYFUNCTION("""COMPUTED_VALUE"""),"Sword")</f>
        <v>Sword</v>
      </c>
      <c r="E228" s="16">
        <f>IFERROR(__xludf.DUMMYFUNCTION("""COMPUTED_VALUE"""),900.0)</f>
        <v>900</v>
      </c>
      <c r="F228" s="108">
        <f>IFERROR(__xludf.DUMMYFUNCTION("""COMPUTED_VALUE"""),4.005E7)</f>
        <v>40050000</v>
      </c>
      <c r="G228" s="16" t="str">
        <f>IFERROR(__xludf.DUMMYFUNCTION("""COMPUTED_VALUE"""),"DMG")</f>
        <v>DMG</v>
      </c>
      <c r="H228" s="119">
        <f>IFERROR(__xludf.DUMMYFUNCTION("""COMPUTED_VALUE"""),15000.0)</f>
        <v>15000</v>
      </c>
      <c r="I228" s="16"/>
      <c r="J228" s="16"/>
      <c r="K228" s="16"/>
      <c r="L228" s="16"/>
      <c r="M228" s="16"/>
      <c r="N228" s="16"/>
      <c r="O228" s="119">
        <f>IFERROR(__xludf.DUMMYFUNCTION("""COMPUTED_VALUE"""),15000.0)</f>
        <v>15000</v>
      </c>
      <c r="P228" s="16"/>
      <c r="Q228" s="16"/>
      <c r="R228" s="119">
        <f>IFERROR(__xludf.DUMMYFUNCTION("""COMPUTED_VALUE"""),15000.0)</f>
        <v>15000</v>
      </c>
      <c r="S228" s="16"/>
      <c r="T228" s="16"/>
      <c r="U228" s="16"/>
      <c r="V228" s="16"/>
      <c r="W228" s="16"/>
      <c r="X228" s="16"/>
      <c r="Y228" s="16"/>
      <c r="Z228" s="16"/>
      <c r="AA228" s="16"/>
      <c r="AB228" s="16"/>
      <c r="AC228" s="16"/>
      <c r="AD228" s="16"/>
      <c r="AE228" s="16"/>
      <c r="AF228" s="16" t="str">
        <f>IFERROR(__xludf.DUMMYFUNCTION("""COMPUTED_VALUE"""),"++Dark and Chaos Weapons and Spells deal an additional X2 damage while this item is equipped.. +-Cannot be duplicated.")</f>
        <v>++Dark and Chaos Weapons and Spells deal an additional X2 damage while this item is equipped.. +-Cannot be duplicated.</v>
      </c>
      <c r="AG228" s="16" t="str">
        <f>IFERROR(__xludf.DUMMYFUNCTION("""COMPUTED_VALUE"""),"Land of Spira")</f>
        <v>Land of Spira</v>
      </c>
      <c r="AH228" s="16" t="b">
        <f>IFERROR(__xludf.DUMMYFUNCTION("""COMPUTED_VALUE"""),FALSE)</f>
        <v>0</v>
      </c>
    </row>
    <row r="229">
      <c r="A229" s="16" t="str">
        <f>IFERROR(__xludf.DUMMYFUNCTION("""COMPUTED_VALUE"""),"Rusty sword")</f>
        <v>Rusty sword</v>
      </c>
      <c r="B229" s="16" t="str">
        <f>IFERROR(__xludf.DUMMYFUNCTION("""COMPUTED_VALUE"""),"Hand")</f>
        <v>Hand</v>
      </c>
      <c r="C229" s="16"/>
      <c r="D229" s="16" t="str">
        <f>IFERROR(__xludf.DUMMYFUNCTION("""COMPUTED_VALUE"""),"Sword")</f>
        <v>Sword</v>
      </c>
      <c r="E229" s="16">
        <f>IFERROR(__xludf.DUMMYFUNCTION("""COMPUTED_VALUE"""),1.0)</f>
        <v>1</v>
      </c>
      <c r="F229" s="108">
        <f>IFERROR(__xludf.DUMMYFUNCTION("""COMPUTED_VALUE"""),0.0)</f>
        <v>0</v>
      </c>
      <c r="G229" s="16" t="str">
        <f>IFERROR(__xludf.DUMMYFUNCTION("""COMPUTED_VALUE"""),"DMG")</f>
        <v>DMG</v>
      </c>
      <c r="H229" s="16">
        <f>IFERROR(__xludf.DUMMYFUNCTION("""COMPUTED_VALUE"""),60.0)</f>
        <v>60</v>
      </c>
      <c r="I229" s="16"/>
      <c r="J229" s="16"/>
      <c r="K229" s="16"/>
      <c r="L229" s="16"/>
      <c r="M229" s="16"/>
      <c r="N229" s="16"/>
      <c r="O229" s="16"/>
      <c r="P229" s="16"/>
      <c r="Q229" s="16"/>
      <c r="R229" s="16"/>
      <c r="S229" s="16"/>
      <c r="T229" s="16"/>
      <c r="U229" s="16"/>
      <c r="V229" s="16"/>
      <c r="W229" s="16"/>
      <c r="X229" s="16"/>
      <c r="Y229" s="16"/>
      <c r="Z229" s="16"/>
      <c r="AA229" s="16"/>
      <c r="AB229" s="16"/>
      <c r="AC229" s="16"/>
      <c r="AD229" s="16"/>
      <c r="AE229" s="16"/>
      <c r="AF229" s="16" t="str">
        <f>IFERROR(__xludf.DUMMYFUNCTION("""COMPUTED_VALUE"""),"++25% chance to break with each use")</f>
        <v>++25% chance to break with each use</v>
      </c>
      <c r="AG229" s="16" t="str">
        <f>IFERROR(__xludf.DUMMYFUNCTION("""COMPUTED_VALUE"""),"Land of Spira")</f>
        <v>Land of Spira</v>
      </c>
      <c r="AH229" s="16" t="b">
        <f>IFERROR(__xludf.DUMMYFUNCTION("""COMPUTED_VALUE"""),FALSE)</f>
        <v>0</v>
      </c>
    </row>
    <row r="230">
      <c r="A230" s="16" t="str">
        <f>IFERROR(__xludf.DUMMYFUNCTION("""COMPUTED_VALUE"""),"Saber Toothed Sword")</f>
        <v>Saber Toothed Sword</v>
      </c>
      <c r="B230" s="16" t="str">
        <f>IFERROR(__xludf.DUMMYFUNCTION("""COMPUTED_VALUE"""),"Hand")</f>
        <v>Hand</v>
      </c>
      <c r="C230" s="16" t="str">
        <f>IFERROR(__xludf.DUMMYFUNCTION("""COMPUTED_VALUE"""),"A sword crafted from the teeth of a saber toothed cat.")</f>
        <v>A sword crafted from the teeth of a saber toothed cat.</v>
      </c>
      <c r="D230" s="16" t="str">
        <f>IFERROR(__xludf.DUMMYFUNCTION("""COMPUTED_VALUE"""),"Sword")</f>
        <v>Sword</v>
      </c>
      <c r="E230" s="16">
        <f>IFERROR(__xludf.DUMMYFUNCTION("""COMPUTED_VALUE"""),2200.0)</f>
        <v>2200</v>
      </c>
      <c r="F230" s="108">
        <f>IFERROR(__xludf.DUMMYFUNCTION("""COMPUTED_VALUE"""),2.409E8)</f>
        <v>240900000</v>
      </c>
      <c r="G230" s="16" t="str">
        <f>IFERROR(__xludf.DUMMYFUNCTION("""COMPUTED_VALUE"""),"DMG")</f>
        <v>DMG</v>
      </c>
      <c r="H230" s="119">
        <f>IFERROR(__xludf.DUMMYFUNCTION("""COMPUTED_VALUE"""),60000.0)</f>
        <v>60000</v>
      </c>
      <c r="I230" s="16"/>
      <c r="J230" s="16"/>
      <c r="K230" s="16"/>
      <c r="L230" s="16"/>
      <c r="M230" s="16"/>
      <c r="N230" s="16"/>
      <c r="O230" s="16"/>
      <c r="P230" s="16"/>
      <c r="Q230" s="16"/>
      <c r="R230" s="16"/>
      <c r="S230" s="16"/>
      <c r="T230" s="16"/>
      <c r="U230" s="16"/>
      <c r="V230" s="16"/>
      <c r="W230" s="16"/>
      <c r="X230" s="16"/>
      <c r="Y230" s="119">
        <f>IFERROR(__xludf.DUMMYFUNCTION("""COMPUTED_VALUE"""),50000.0)</f>
        <v>50000</v>
      </c>
      <c r="Z230" s="16"/>
      <c r="AA230" s="16"/>
      <c r="AB230" s="16"/>
      <c r="AC230" s="16"/>
      <c r="AD230" s="16"/>
      <c r="AE230" s="16"/>
      <c r="AF230" s="16" t="str">
        <f>IFERROR(__xludf.DUMMYFUNCTION("""COMPUTED_VALUE"""),"++X2 additional blood damage.")</f>
        <v>++X2 additional blood damage.</v>
      </c>
      <c r="AG230" s="16" t="str">
        <f>IFERROR(__xludf.DUMMYFUNCTION("""COMPUTED_VALUE"""),"Abstara")</f>
        <v>Abstara</v>
      </c>
      <c r="AH230" s="16" t="b">
        <f>IFERROR(__xludf.DUMMYFUNCTION("""COMPUTED_VALUE"""),TRUE)</f>
        <v>1</v>
      </c>
    </row>
    <row r="231">
      <c r="A231" s="16" t="str">
        <f>IFERROR(__xludf.DUMMYFUNCTION("""COMPUTED_VALUE"""),"Ancient Oni Chestplate")</f>
        <v>Ancient Oni Chestplate</v>
      </c>
      <c r="B231" s="16" t="str">
        <f>IFERROR(__xludf.DUMMYFUNCTION("""COMPUTED_VALUE"""),"Torso")</f>
        <v>Torso</v>
      </c>
      <c r="C231" s="16" t="str">
        <f>IFERROR(__xludf.DUMMYFUNCTION("""COMPUTED_VALUE"""),"An ancient relic to Zhenmay")</f>
        <v>An ancient relic to Zhenmay</v>
      </c>
      <c r="D231" s="16"/>
      <c r="E231" s="16">
        <f>IFERROR(__xludf.DUMMYFUNCTION("""COMPUTED_VALUE"""),200.0)</f>
        <v>200</v>
      </c>
      <c r="F231" s="108">
        <f>IFERROR(__xludf.DUMMYFUNCTION("""COMPUTED_VALUE"""),5.104E8)</f>
        <v>510400000</v>
      </c>
      <c r="G231" s="16" t="str">
        <f>IFERROR(__xludf.DUMMYFUNCTION("""COMPUTED_VALUE"""),"DEF")</f>
        <v>DEF</v>
      </c>
      <c r="H231" s="119">
        <f>IFERROR(__xludf.DUMMYFUNCTION("""COMPUTED_VALUE"""),10000.0)</f>
        <v>10000</v>
      </c>
      <c r="I231" s="119">
        <f>IFERROR(__xludf.DUMMYFUNCTION("""COMPUTED_VALUE"""),10000.0)</f>
        <v>10000</v>
      </c>
      <c r="J231" s="119">
        <f>IFERROR(__xludf.DUMMYFUNCTION("""COMPUTED_VALUE"""),10000.0)</f>
        <v>10000</v>
      </c>
      <c r="K231" s="119">
        <f>IFERROR(__xludf.DUMMYFUNCTION("""COMPUTED_VALUE"""),10000.0)</f>
        <v>10000</v>
      </c>
      <c r="L231" s="119">
        <f>IFERROR(__xludf.DUMMYFUNCTION("""COMPUTED_VALUE"""),10000.0)</f>
        <v>10000</v>
      </c>
      <c r="M231" s="119">
        <f>IFERROR(__xludf.DUMMYFUNCTION("""COMPUTED_VALUE"""),10000.0)</f>
        <v>10000</v>
      </c>
      <c r="N231" s="119">
        <f>IFERROR(__xludf.DUMMYFUNCTION("""COMPUTED_VALUE"""),10000.0)</f>
        <v>10000</v>
      </c>
      <c r="O231" s="119">
        <f>IFERROR(__xludf.DUMMYFUNCTION("""COMPUTED_VALUE"""),10000.0)</f>
        <v>10000</v>
      </c>
      <c r="P231" s="119">
        <f>IFERROR(__xludf.DUMMYFUNCTION("""COMPUTED_VALUE"""),10000.0)</f>
        <v>10000</v>
      </c>
      <c r="Q231" s="119">
        <f>IFERROR(__xludf.DUMMYFUNCTION("""COMPUTED_VALUE"""),10000.0)</f>
        <v>10000</v>
      </c>
      <c r="R231" s="119">
        <f>IFERROR(__xludf.DUMMYFUNCTION("""COMPUTED_VALUE"""),10000.0)</f>
        <v>10000</v>
      </c>
      <c r="S231" s="119">
        <f>IFERROR(__xludf.DUMMYFUNCTION("""COMPUTED_VALUE"""),10000.0)</f>
        <v>10000</v>
      </c>
      <c r="T231" s="16"/>
      <c r="U231" s="16"/>
      <c r="V231" s="16"/>
      <c r="W231" s="16"/>
      <c r="X231" s="119">
        <f>IFERROR(__xludf.DUMMYFUNCTION("""COMPUTED_VALUE"""),10000.0)</f>
        <v>10000</v>
      </c>
      <c r="Y231" s="119">
        <f>IFERROR(__xludf.DUMMYFUNCTION("""COMPUTED_VALUE"""),10000.0)</f>
        <v>10000</v>
      </c>
      <c r="Z231" s="16"/>
      <c r="AA231" s="16"/>
      <c r="AB231" s="119">
        <f>IFERROR(__xludf.DUMMYFUNCTION("""COMPUTED_VALUE"""),10000.0)</f>
        <v>10000</v>
      </c>
      <c r="AC231" s="119">
        <f>IFERROR(__xludf.DUMMYFUNCTION("""COMPUTED_VALUE"""),10000.0)</f>
        <v>10000</v>
      </c>
      <c r="AD231" s="16"/>
      <c r="AE231" s="16"/>
      <c r="AF231" s="16" t="str">
        <f>IFERROR(__xludf.DUMMYFUNCTION("""COMPUTED_VALUE"""),"++X2 damage for all elements. ++Only Samurai's, Monks, and Ninjas can equip. +-Cannot be duplicated or forged.")</f>
        <v>++X2 damage for all elements. ++Only Samurai's, Monks, and Ninjas can equip. +-Cannot be duplicated or forged.</v>
      </c>
      <c r="AG231" s="16" t="str">
        <f>IFERROR(__xludf.DUMMYFUNCTION("""COMPUTED_VALUE"""),"Land of Spira")</f>
        <v>Land of Spira</v>
      </c>
      <c r="AH231" s="16" t="b">
        <f>IFERROR(__xludf.DUMMYFUNCTION("""COMPUTED_VALUE"""),FALSE)</f>
        <v>0</v>
      </c>
    </row>
    <row r="232">
      <c r="A232" s="16" t="str">
        <f>IFERROR(__xludf.DUMMYFUNCTION("""COMPUTED_VALUE"""),"Scythe of Mischief ")</f>
        <v>Scythe of Mischief </v>
      </c>
      <c r="B232" s="16" t="str">
        <f>IFERROR(__xludf.DUMMYFUNCTION("""COMPUTED_VALUE"""),"Hand")</f>
        <v>Hand</v>
      </c>
      <c r="C232" s="16"/>
      <c r="D232" s="16" t="str">
        <f>IFERROR(__xludf.DUMMYFUNCTION("""COMPUTED_VALUE"""),"Scythe")</f>
        <v>Scythe</v>
      </c>
      <c r="E232" s="16">
        <f>IFERROR(__xludf.DUMMYFUNCTION("""COMPUTED_VALUE"""),200.0)</f>
        <v>200</v>
      </c>
      <c r="F232" s="108">
        <f>IFERROR(__xludf.DUMMYFUNCTION("""COMPUTED_VALUE"""),5.995E7)</f>
        <v>59950000</v>
      </c>
      <c r="G232" s="16" t="str">
        <f>IFERROR(__xludf.DUMMYFUNCTION("""COMPUTED_VALUE"""),"DMG")</f>
        <v>DMG</v>
      </c>
      <c r="H232" s="119">
        <f>IFERROR(__xludf.DUMMYFUNCTION("""COMPUTED_VALUE"""),5000.0)</f>
        <v>5000</v>
      </c>
      <c r="I232" s="119">
        <f>IFERROR(__xludf.DUMMYFUNCTION("""COMPUTED_VALUE"""),5000.0)</f>
        <v>5000</v>
      </c>
      <c r="J232" s="16"/>
      <c r="K232" s="16"/>
      <c r="L232" s="16"/>
      <c r="M232" s="16"/>
      <c r="N232" s="16"/>
      <c r="O232" s="119">
        <f>IFERROR(__xludf.DUMMYFUNCTION("""COMPUTED_VALUE"""),5000.0)</f>
        <v>5000</v>
      </c>
      <c r="P232" s="119">
        <f>IFERROR(__xludf.DUMMYFUNCTION("""COMPUTED_VALUE"""),5000.0)</f>
        <v>5000</v>
      </c>
      <c r="Q232" s="16"/>
      <c r="R232" s="119">
        <f>IFERROR(__xludf.DUMMYFUNCTION("""COMPUTED_VALUE"""),5000.0)</f>
        <v>5000</v>
      </c>
      <c r="S232" s="16"/>
      <c r="T232" s="16"/>
      <c r="U232" s="16"/>
      <c r="V232" s="119">
        <f>IFERROR(__xludf.DUMMYFUNCTION("""COMPUTED_VALUE"""),5000.0)</f>
        <v>5000</v>
      </c>
      <c r="W232" s="119">
        <f>IFERROR(__xludf.DUMMYFUNCTION("""COMPUTED_VALUE"""),5000.0)</f>
        <v>5000</v>
      </c>
      <c r="X232" s="119">
        <f>IFERROR(__xludf.DUMMYFUNCTION("""COMPUTED_VALUE"""),5000.0)</f>
        <v>5000</v>
      </c>
      <c r="Y232" s="119">
        <f>IFERROR(__xludf.DUMMYFUNCTION("""COMPUTED_VALUE"""),5000.0)</f>
        <v>5000</v>
      </c>
      <c r="Z232" s="16"/>
      <c r="AA232" s="16"/>
      <c r="AB232" s="16"/>
      <c r="AC232" s="119">
        <f>IFERROR(__xludf.DUMMYFUNCTION("""COMPUTED_VALUE"""),10000.0)</f>
        <v>10000</v>
      </c>
      <c r="AD232" s="16"/>
      <c r="AE232" s="16"/>
      <c r="AF232" s="16" t="str">
        <f>IFERROR(__xludf.DUMMYFUNCTION("""COMPUTED_VALUE"""),"++Enemies deduct 2 from their rolls when targeting you. +-Cannot be duplicated")</f>
        <v>++Enemies deduct 2 from their rolls when targeting you. +-Cannot be duplicated</v>
      </c>
      <c r="AG232" s="16" t="str">
        <f>IFERROR(__xludf.DUMMYFUNCTION("""COMPUTED_VALUE"""),"Land of Spira")</f>
        <v>Land of Spira</v>
      </c>
      <c r="AH232" s="16" t="b">
        <f>IFERROR(__xludf.DUMMYFUNCTION("""COMPUTED_VALUE"""),FALSE)</f>
        <v>0</v>
      </c>
    </row>
    <row r="233">
      <c r="A233" s="16" t="str">
        <f>IFERROR(__xludf.DUMMYFUNCTION("""COMPUTED_VALUE"""),"Sea Serpent Boots")</f>
        <v>Sea Serpent Boots</v>
      </c>
      <c r="B233" s="16" t="str">
        <f>IFERROR(__xludf.DUMMYFUNCTION("""COMPUTED_VALUE"""),"Feet")</f>
        <v>Feet</v>
      </c>
      <c r="C233" s="16"/>
      <c r="D233" s="16"/>
      <c r="E233" s="16">
        <f>IFERROR(__xludf.DUMMYFUNCTION("""COMPUTED_VALUE"""),100.0)</f>
        <v>100</v>
      </c>
      <c r="F233" s="108">
        <f>IFERROR(__xludf.DUMMYFUNCTION("""COMPUTED_VALUE"""),450000.0)</f>
        <v>450000</v>
      </c>
      <c r="G233" s="16" t="str">
        <f>IFERROR(__xludf.DUMMYFUNCTION("""COMPUTED_VALUE"""),"DEF")</f>
        <v>DEF</v>
      </c>
      <c r="H233" s="16">
        <f>IFERROR(__xludf.DUMMYFUNCTION("""COMPUTED_VALUE"""),2500.0)</f>
        <v>2500</v>
      </c>
      <c r="I233" s="16"/>
      <c r="J233" s="16"/>
      <c r="K233" s="16">
        <f>IFERROR(__xludf.DUMMYFUNCTION("""COMPUTED_VALUE"""),2500.0)</f>
        <v>2500</v>
      </c>
      <c r="L233" s="16"/>
      <c r="M233" s="16"/>
      <c r="N233" s="16"/>
      <c r="O233" s="16"/>
      <c r="P233" s="16"/>
      <c r="Q233" s="16"/>
      <c r="R233" s="16"/>
      <c r="S233" s="16"/>
      <c r="T233" s="16"/>
      <c r="U233" s="16"/>
      <c r="V233" s="16"/>
      <c r="W233" s="16"/>
      <c r="X233" s="16"/>
      <c r="Y233" s="16"/>
      <c r="Z233" s="16"/>
      <c r="AA233" s="16"/>
      <c r="AB233" s="16"/>
      <c r="AC233" s="16"/>
      <c r="AD233" s="16"/>
      <c r="AE233" s="16"/>
      <c r="AF233" s="16" t="str">
        <f>IFERROR(__xludf.DUMMYFUNCTION("""COMPUTED_VALUE"""),"++X2 additional water damage for self.")</f>
        <v>++X2 additional water damage for self.</v>
      </c>
      <c r="AG233" s="16"/>
      <c r="AH233" s="16" t="b">
        <f>IFERROR(__xludf.DUMMYFUNCTION("""COMPUTED_VALUE"""),FALSE)</f>
        <v>0</v>
      </c>
    </row>
    <row r="234">
      <c r="A234" s="16" t="str">
        <f>IFERROR(__xludf.DUMMYFUNCTION("""COMPUTED_VALUE"""),"Sea Serpent Pauldrons")</f>
        <v>Sea Serpent Pauldrons</v>
      </c>
      <c r="B234" s="16" t="str">
        <f>IFERROR(__xludf.DUMMYFUNCTION("""COMPUTED_VALUE"""),"Shoulders")</f>
        <v>Shoulders</v>
      </c>
      <c r="C234" s="16"/>
      <c r="D234" s="16"/>
      <c r="E234" s="16">
        <f>IFERROR(__xludf.DUMMYFUNCTION("""COMPUTED_VALUE"""),100.0)</f>
        <v>100</v>
      </c>
      <c r="F234" s="108">
        <f>IFERROR(__xludf.DUMMYFUNCTION("""COMPUTED_VALUE"""),450000.0)</f>
        <v>450000</v>
      </c>
      <c r="G234" s="16" t="str">
        <f>IFERROR(__xludf.DUMMYFUNCTION("""COMPUTED_VALUE"""),"DEF")</f>
        <v>DEF</v>
      </c>
      <c r="H234" s="16">
        <f>IFERROR(__xludf.DUMMYFUNCTION("""COMPUTED_VALUE"""),2500.0)</f>
        <v>2500</v>
      </c>
      <c r="I234" s="16"/>
      <c r="J234" s="16"/>
      <c r="K234" s="16">
        <f>IFERROR(__xludf.DUMMYFUNCTION("""COMPUTED_VALUE"""),2500.0)</f>
        <v>2500</v>
      </c>
      <c r="L234" s="16"/>
      <c r="M234" s="16"/>
      <c r="N234" s="16"/>
      <c r="O234" s="16"/>
      <c r="P234" s="16"/>
      <c r="Q234" s="16"/>
      <c r="R234" s="16"/>
      <c r="S234" s="16"/>
      <c r="T234" s="16"/>
      <c r="U234" s="16"/>
      <c r="V234" s="16"/>
      <c r="W234" s="16"/>
      <c r="X234" s="16"/>
      <c r="Y234" s="16"/>
      <c r="Z234" s="16"/>
      <c r="AA234" s="16"/>
      <c r="AB234" s="16"/>
      <c r="AC234" s="16"/>
      <c r="AD234" s="16"/>
      <c r="AE234" s="16"/>
      <c r="AF234" s="16" t="str">
        <f>IFERROR(__xludf.DUMMYFUNCTION("""COMPUTED_VALUE"""),"++X2 additional water damage for self.")</f>
        <v>++X2 additional water damage for self.</v>
      </c>
      <c r="AG234" s="16"/>
      <c r="AH234" s="16" t="b">
        <f>IFERROR(__xludf.DUMMYFUNCTION("""COMPUTED_VALUE"""),FALSE)</f>
        <v>0</v>
      </c>
    </row>
    <row r="235">
      <c r="A235" s="16" t="str">
        <f>IFERROR(__xludf.DUMMYFUNCTION("""COMPUTED_VALUE"""),"Sea Serpent Vambrace")</f>
        <v>Sea Serpent Vambrace</v>
      </c>
      <c r="B235" s="16" t="str">
        <f>IFERROR(__xludf.DUMMYFUNCTION("""COMPUTED_VALUE"""),"Arms")</f>
        <v>Arms</v>
      </c>
      <c r="C235" s="16"/>
      <c r="D235" s="16"/>
      <c r="E235" s="16">
        <f>IFERROR(__xludf.DUMMYFUNCTION("""COMPUTED_VALUE"""),100.0)</f>
        <v>100</v>
      </c>
      <c r="F235" s="108">
        <f>IFERROR(__xludf.DUMMYFUNCTION("""COMPUTED_VALUE"""),450000.0)</f>
        <v>450000</v>
      </c>
      <c r="G235" s="16" t="str">
        <f>IFERROR(__xludf.DUMMYFUNCTION("""COMPUTED_VALUE"""),"DEF")</f>
        <v>DEF</v>
      </c>
      <c r="H235" s="16">
        <f>IFERROR(__xludf.DUMMYFUNCTION("""COMPUTED_VALUE"""),2500.0)</f>
        <v>2500</v>
      </c>
      <c r="I235" s="16"/>
      <c r="J235" s="16"/>
      <c r="K235" s="16">
        <f>IFERROR(__xludf.DUMMYFUNCTION("""COMPUTED_VALUE"""),2500.0)</f>
        <v>2500</v>
      </c>
      <c r="L235" s="16"/>
      <c r="M235" s="16"/>
      <c r="N235" s="16"/>
      <c r="O235" s="16"/>
      <c r="P235" s="16"/>
      <c r="Q235" s="16"/>
      <c r="R235" s="16"/>
      <c r="S235" s="16"/>
      <c r="T235" s="16"/>
      <c r="U235" s="16"/>
      <c r="V235" s="16"/>
      <c r="W235" s="16"/>
      <c r="X235" s="16"/>
      <c r="Y235" s="16"/>
      <c r="Z235" s="16"/>
      <c r="AA235" s="16"/>
      <c r="AB235" s="16"/>
      <c r="AC235" s="16"/>
      <c r="AD235" s="16"/>
      <c r="AE235" s="16"/>
      <c r="AF235" s="16" t="str">
        <f>IFERROR(__xludf.DUMMYFUNCTION("""COMPUTED_VALUE"""),"++X2 additional water damage for self.")</f>
        <v>++X2 additional water damage for self.</v>
      </c>
      <c r="AG235" s="16"/>
      <c r="AH235" s="16" t="b">
        <f>IFERROR(__xludf.DUMMYFUNCTION("""COMPUTED_VALUE"""),FALSE)</f>
        <v>0</v>
      </c>
    </row>
    <row r="236">
      <c r="A236" s="16" t="str">
        <f>IFERROR(__xludf.DUMMYFUNCTION("""COMPUTED_VALUE"""),"Sea Serpents Mythical Chestplate")</f>
        <v>Sea Serpents Mythical Chestplate</v>
      </c>
      <c r="B236" s="16" t="str">
        <f>IFERROR(__xludf.DUMMYFUNCTION("""COMPUTED_VALUE"""),"Torso")</f>
        <v>Torso</v>
      </c>
      <c r="C236" s="16"/>
      <c r="D236" s="16"/>
      <c r="E236" s="16">
        <f>IFERROR(__xludf.DUMMYFUNCTION("""COMPUTED_VALUE"""),200.0)</f>
        <v>200</v>
      </c>
      <c r="F236" s="108">
        <f>IFERROR(__xludf.DUMMYFUNCTION("""COMPUTED_VALUE"""),1900000.0)</f>
        <v>1900000</v>
      </c>
      <c r="G236" s="16" t="str">
        <f>IFERROR(__xludf.DUMMYFUNCTION("""COMPUTED_VALUE"""),"DEF")</f>
        <v>DEF</v>
      </c>
      <c r="H236" s="119">
        <f>IFERROR(__xludf.DUMMYFUNCTION("""COMPUTED_VALUE"""),5000.0)</f>
        <v>5000</v>
      </c>
      <c r="I236" s="16"/>
      <c r="J236" s="16"/>
      <c r="K236" s="16">
        <f>IFERROR(__xludf.DUMMYFUNCTION("""COMPUTED_VALUE"""),5000.0)</f>
        <v>5000</v>
      </c>
      <c r="L236" s="16"/>
      <c r="M236" s="16"/>
      <c r="N236" s="16"/>
      <c r="O236" s="16"/>
      <c r="P236" s="16"/>
      <c r="Q236" s="16"/>
      <c r="R236" s="16"/>
      <c r="S236" s="16"/>
      <c r="T236" s="16"/>
      <c r="U236" s="16"/>
      <c r="V236" s="16"/>
      <c r="W236" s="16"/>
      <c r="X236" s="16"/>
      <c r="Y236" s="16"/>
      <c r="Z236" s="16"/>
      <c r="AA236" s="16"/>
      <c r="AB236" s="16"/>
      <c r="AC236" s="16"/>
      <c r="AD236" s="16"/>
      <c r="AE236" s="16"/>
      <c r="AF236" s="16" t="str">
        <f>IFERROR(__xludf.DUMMYFUNCTION("""COMPUTED_VALUE"""),"++X2 additional water damage for self. ++X4 Water damage for self and allies if you have all Sea Serpent Equipment Equipped.")</f>
        <v>++X2 additional water damage for self. ++X4 Water damage for self and allies if you have all Sea Serpent Equipment Equipped.</v>
      </c>
      <c r="AG236" s="16"/>
      <c r="AH236" s="16" t="b">
        <f>IFERROR(__xludf.DUMMYFUNCTION("""COMPUTED_VALUE"""),FALSE)</f>
        <v>0</v>
      </c>
    </row>
    <row r="237">
      <c r="A237" s="16" t="str">
        <f>IFERROR(__xludf.DUMMYFUNCTION("""COMPUTED_VALUE"""),"Shadow Flute")</f>
        <v>Shadow Flute</v>
      </c>
      <c r="B237" s="16" t="str">
        <f>IFERROR(__xludf.DUMMYFUNCTION("""COMPUTED_VALUE"""),"Hand")</f>
        <v>Hand</v>
      </c>
      <c r="C237" s="16"/>
      <c r="D237" s="16"/>
      <c r="E237" s="16">
        <f>IFERROR(__xludf.DUMMYFUNCTION("""COMPUTED_VALUE"""),1.0)</f>
        <v>1</v>
      </c>
      <c r="F237" s="108">
        <f>IFERROR(__xludf.DUMMYFUNCTION("""COMPUTED_VALUE"""),0.0)</f>
        <v>0</v>
      </c>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t="str">
        <f>IFERROR(__xludf.DUMMYFUNCTION("""COMPUTED_VALUE"""),"++Can summon a chaotic shadow gnome to battle.")</f>
        <v>++Can summon a chaotic shadow gnome to battle.</v>
      </c>
      <c r="AG237" s="16" t="str">
        <f>IFERROR(__xludf.DUMMYFUNCTION("""COMPUTED_VALUE"""),"Land of Spira")</f>
        <v>Land of Spira</v>
      </c>
      <c r="AH237" s="16" t="b">
        <f>IFERROR(__xludf.DUMMYFUNCTION("""COMPUTED_VALUE"""),FALSE)</f>
        <v>0</v>
      </c>
    </row>
    <row r="238">
      <c r="A238" s="16" t="str">
        <f>IFERROR(__xludf.DUMMYFUNCTION("""COMPUTED_VALUE"""),"Shadow Kings Sword")</f>
        <v>Shadow Kings Sword</v>
      </c>
      <c r="B238" s="16" t="str">
        <f>IFERROR(__xludf.DUMMYFUNCTION("""COMPUTED_VALUE"""),"Hand")</f>
        <v>Hand</v>
      </c>
      <c r="C238" s="16"/>
      <c r="D238" s="16" t="str">
        <f>IFERROR(__xludf.DUMMYFUNCTION("""COMPUTED_VALUE"""),"Sword")</f>
        <v>Sword</v>
      </c>
      <c r="E238" s="16">
        <f>IFERROR(__xludf.DUMMYFUNCTION("""COMPUTED_VALUE"""),400.0)</f>
        <v>400</v>
      </c>
      <c r="F238" s="108">
        <f>IFERROR(__xludf.DUMMYFUNCTION("""COMPUTED_VALUE"""),7800000.0)</f>
        <v>7800000</v>
      </c>
      <c r="G238" s="16" t="str">
        <f>IFERROR(__xludf.DUMMYFUNCTION("""COMPUTED_VALUE"""),"DMG")</f>
        <v>DMG</v>
      </c>
      <c r="H238" s="16">
        <f>IFERROR(__xludf.DUMMYFUNCTION("""COMPUTED_VALUE"""),10000.0)</f>
        <v>10000</v>
      </c>
      <c r="I238" s="16"/>
      <c r="J238" s="16"/>
      <c r="K238" s="16"/>
      <c r="L238" s="16"/>
      <c r="M238" s="16"/>
      <c r="N238" s="16"/>
      <c r="O238" s="16">
        <f>IFERROR(__xludf.DUMMYFUNCTION("""COMPUTED_VALUE"""),5000.0)</f>
        <v>5000</v>
      </c>
      <c r="P238" s="16"/>
      <c r="Q238" s="16"/>
      <c r="R238" s="16">
        <f>IFERROR(__xludf.DUMMYFUNCTION("""COMPUTED_VALUE"""),5000.0)</f>
        <v>5000</v>
      </c>
      <c r="S238" s="16"/>
      <c r="T238" s="16"/>
      <c r="U238" s="16"/>
      <c r="V238" s="16"/>
      <c r="W238" s="16"/>
      <c r="X238" s="16"/>
      <c r="Y238" s="16"/>
      <c r="Z238" s="16"/>
      <c r="AA238" s="16"/>
      <c r="AB238" s="16"/>
      <c r="AC238" s="16"/>
      <c r="AD238" s="16"/>
      <c r="AE238" s="16"/>
      <c r="AF238" s="16"/>
      <c r="AG238" s="16" t="str">
        <f>IFERROR(__xludf.DUMMYFUNCTION("""COMPUTED_VALUE"""),"Land of Spira")</f>
        <v>Land of Spira</v>
      </c>
      <c r="AH238" s="16" t="b">
        <f>IFERROR(__xludf.DUMMYFUNCTION("""COMPUTED_VALUE"""),TRUE)</f>
        <v>1</v>
      </c>
    </row>
    <row r="239">
      <c r="A239" s="16" t="str">
        <f>IFERROR(__xludf.DUMMYFUNCTION("""COMPUTED_VALUE"""),"Shield of Guarding Smite")</f>
        <v>Shield of Guarding Smite</v>
      </c>
      <c r="B239" s="16" t="str">
        <f>IFERROR(__xludf.DUMMYFUNCTION("""COMPUTED_VALUE"""),"Hand")</f>
        <v>Hand</v>
      </c>
      <c r="C239" s="16"/>
      <c r="D239" s="16" t="str">
        <f>IFERROR(__xludf.DUMMYFUNCTION("""COMPUTED_VALUE"""),"Towershield")</f>
        <v>Towershield</v>
      </c>
      <c r="E239" s="16">
        <f>IFERROR(__xludf.DUMMYFUNCTION("""COMPUTED_VALUE"""),2000.0)</f>
        <v>2000</v>
      </c>
      <c r="F239" s="108">
        <f>IFERROR(__xludf.DUMMYFUNCTION("""COMPUTED_VALUE"""),1.99E8)</f>
        <v>199000000</v>
      </c>
      <c r="G239" s="16" t="str">
        <f>IFERROR(__xludf.DUMMYFUNCTION("""COMPUTED_VALUE"""),"DEF")</f>
        <v>DEF</v>
      </c>
      <c r="H239" s="119">
        <f>IFERROR(__xludf.DUMMYFUNCTION("""COMPUTED_VALUE"""),100000.0)</f>
        <v>100000</v>
      </c>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t="str">
        <f>IFERROR(__xludf.DUMMYFUNCTION("""COMPUTED_VALUE"""),"++75% chance to melt an enemies weapon that dealt damage to you. +-Cannot be duplicated")</f>
        <v>++75% chance to melt an enemies weapon that dealt damage to you. +-Cannot be duplicated</v>
      </c>
      <c r="AG239" s="16" t="str">
        <f>IFERROR(__xludf.DUMMYFUNCTION("""COMPUTED_VALUE"""),"Abstara")</f>
        <v>Abstara</v>
      </c>
      <c r="AH239" s="16" t="b">
        <f>IFERROR(__xludf.DUMMYFUNCTION("""COMPUTED_VALUE"""),TRUE)</f>
        <v>1</v>
      </c>
    </row>
    <row r="240">
      <c r="A240" s="16" t="str">
        <f>IFERROR(__xludf.DUMMYFUNCTION("""COMPUTED_VALUE"""),"Shield of Targeting")</f>
        <v>Shield of Targeting</v>
      </c>
      <c r="B240" s="16" t="str">
        <f>IFERROR(__xludf.DUMMYFUNCTION("""COMPUTED_VALUE"""),"Hand")</f>
        <v>Hand</v>
      </c>
      <c r="C240" s="16"/>
      <c r="D240" s="16" t="str">
        <f>IFERROR(__xludf.DUMMYFUNCTION("""COMPUTED_VALUE"""),"Buckler")</f>
        <v>Buckler</v>
      </c>
      <c r="E240" s="16">
        <f>IFERROR(__xludf.DUMMYFUNCTION("""COMPUTED_VALUE"""),20.0)</f>
        <v>20</v>
      </c>
      <c r="F240" s="108">
        <f>IFERROR(__xludf.DUMMYFUNCTION("""COMPUTED_VALUE"""),10000.0)</f>
        <v>10000</v>
      </c>
      <c r="G240" s="16" t="str">
        <f>IFERROR(__xludf.DUMMYFUNCTION("""COMPUTED_VALUE"""),"DEF")</f>
        <v>DEF</v>
      </c>
      <c r="H240" s="16">
        <f>IFERROR(__xludf.DUMMYFUNCTION("""COMPUTED_VALUE"""),1000.0)</f>
        <v>1000</v>
      </c>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t="str">
        <f>IFERROR(__xludf.DUMMYFUNCTION("""COMPUTED_VALUE"""),"++Target me you B**** - enemies will automatically target you no matter, Use intimidation for this item effect.")</f>
        <v>++Target me you B**** - enemies will automatically target you no matter, Use intimidation for this item effect.</v>
      </c>
      <c r="AG240" s="16" t="str">
        <f>IFERROR(__xludf.DUMMYFUNCTION("""COMPUTED_VALUE"""),"Land of Spira")</f>
        <v>Land of Spira</v>
      </c>
      <c r="AH240" s="16" t="b">
        <f>IFERROR(__xludf.DUMMYFUNCTION("""COMPUTED_VALUE"""),FALSE)</f>
        <v>0</v>
      </c>
    </row>
    <row r="241">
      <c r="A241" s="16" t="str">
        <f>IFERROR(__xludf.DUMMYFUNCTION("""COMPUTED_VALUE"""),"Shining Katana")</f>
        <v>Shining Katana</v>
      </c>
      <c r="B241" s="16" t="str">
        <f>IFERROR(__xludf.DUMMYFUNCTION("""COMPUTED_VALUE"""),"Hand")</f>
        <v>Hand</v>
      </c>
      <c r="C241" s="16"/>
      <c r="D241" s="16"/>
      <c r="E241" s="16">
        <f>IFERROR(__xludf.DUMMYFUNCTION("""COMPUTED_VALUE"""),200.0)</f>
        <v>200</v>
      </c>
      <c r="F241" s="108">
        <f>IFERROR(__xludf.DUMMYFUNCTION("""COMPUTED_VALUE"""),1900000.0)</f>
        <v>1900000</v>
      </c>
      <c r="G241" s="16" t="str">
        <f>IFERROR(__xludf.DUMMYFUNCTION("""COMPUTED_VALUE"""),"DMG")</f>
        <v>DMG</v>
      </c>
      <c r="H241" s="119">
        <f>IFERROR(__xludf.DUMMYFUNCTION("""COMPUTED_VALUE"""),10000.0)</f>
        <v>10000</v>
      </c>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t="str">
        <f>IFERROR(__xludf.DUMMYFUNCTION("""COMPUTED_VALUE"""),"++++500 bleeding damage p/r.")</f>
        <v>++++500 bleeding damage p/r.</v>
      </c>
      <c r="AG241" s="16" t="str">
        <f>IFERROR(__xludf.DUMMYFUNCTION("""COMPUTED_VALUE"""),"Land of Spira")</f>
        <v>Land of Spira</v>
      </c>
      <c r="AH241" s="16" t="b">
        <f>IFERROR(__xludf.DUMMYFUNCTION("""COMPUTED_VALUE"""),FALSE)</f>
        <v>0</v>
      </c>
    </row>
    <row r="242">
      <c r="A242" s="16" t="str">
        <f>IFERROR(__xludf.DUMMYFUNCTION("""COMPUTED_VALUE"""),"Shoes of Metal Harmony's")</f>
        <v>Shoes of Metal Harmony's</v>
      </c>
      <c r="B242" s="16" t="str">
        <f>IFERROR(__xludf.DUMMYFUNCTION("""COMPUTED_VALUE"""),"Feet")</f>
        <v>Feet</v>
      </c>
      <c r="C242" s="16"/>
      <c r="D242" s="16"/>
      <c r="E242" s="16">
        <f>IFERROR(__xludf.DUMMYFUNCTION("""COMPUTED_VALUE"""),200.0)</f>
        <v>200</v>
      </c>
      <c r="F242" s="108">
        <f>IFERROR(__xludf.DUMMYFUNCTION("""COMPUTED_VALUE"""),1900000.0)</f>
        <v>1900000</v>
      </c>
      <c r="G242" s="16" t="str">
        <f>IFERROR(__xludf.DUMMYFUNCTION("""COMPUTED_VALUE"""),"DEF")</f>
        <v>DEF</v>
      </c>
      <c r="H242" s="119">
        <f>IFERROR(__xludf.DUMMYFUNCTION("""COMPUTED_VALUE"""),10000.0)</f>
        <v>10000</v>
      </c>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t="str">
        <f>IFERROR(__xludf.DUMMYFUNCTION("""COMPUTED_VALUE"""),"++When dealing damage with an instrument you will regain hp equal to the damage you caused.")</f>
        <v>++When dealing damage with an instrument you will regain hp equal to the damage you caused.</v>
      </c>
      <c r="AG242" s="16" t="str">
        <f>IFERROR(__xludf.DUMMYFUNCTION("""COMPUTED_VALUE"""),"Land of Spira")</f>
        <v>Land of Spira</v>
      </c>
      <c r="AH242" s="16" t="b">
        <f>IFERROR(__xludf.DUMMYFUNCTION("""COMPUTED_VALUE"""),FALSE)</f>
        <v>0</v>
      </c>
    </row>
    <row r="243">
      <c r="A243" s="16" t="str">
        <f>IFERROR(__xludf.DUMMYFUNCTION("""COMPUTED_VALUE"""),"Shoes of Water Walking")</f>
        <v>Shoes of Water Walking</v>
      </c>
      <c r="B243" s="16" t="str">
        <f>IFERROR(__xludf.DUMMYFUNCTION("""COMPUTED_VALUE"""),"Feet")</f>
        <v>Feet</v>
      </c>
      <c r="C243" s="16"/>
      <c r="D243" s="16"/>
      <c r="E243" s="16">
        <f>IFERROR(__xludf.DUMMYFUNCTION("""COMPUTED_VALUE"""),200.0)</f>
        <v>200</v>
      </c>
      <c r="F243" s="108">
        <f>IFERROR(__xludf.DUMMYFUNCTION("""COMPUTED_VALUE"""),1900000.0)</f>
        <v>1900000</v>
      </c>
      <c r="G243" s="16" t="str">
        <f>IFERROR(__xludf.DUMMYFUNCTION("""COMPUTED_VALUE"""),"DEF")</f>
        <v>DEF</v>
      </c>
      <c r="H243" s="119">
        <f>IFERROR(__xludf.DUMMYFUNCTION("""COMPUTED_VALUE"""),5000.0)</f>
        <v>5000</v>
      </c>
      <c r="I243" s="16"/>
      <c r="J243" s="16"/>
      <c r="K243" s="16">
        <f>IFERROR(__xludf.DUMMYFUNCTION("""COMPUTED_VALUE"""),5000.0)</f>
        <v>5000</v>
      </c>
      <c r="L243" s="16"/>
      <c r="M243" s="16"/>
      <c r="N243" s="16"/>
      <c r="O243" s="16"/>
      <c r="P243" s="16"/>
      <c r="Q243" s="16"/>
      <c r="R243" s="16"/>
      <c r="S243" s="16"/>
      <c r="T243" s="16"/>
      <c r="U243" s="16"/>
      <c r="V243" s="16"/>
      <c r="W243" s="16"/>
      <c r="X243" s="16"/>
      <c r="Y243" s="16"/>
      <c r="Z243" s="16"/>
      <c r="AA243" s="16"/>
      <c r="AB243" s="16"/>
      <c r="AC243" s="16"/>
      <c r="AD243" s="16"/>
      <c r="AE243" s="16"/>
      <c r="AF243" s="16" t="str">
        <f>IFERROR(__xludf.DUMMYFUNCTION("""COMPUTED_VALUE"""),"++All water damage can now be any Element of choosing (this will still be counted as water damage for additional buffs).")</f>
        <v>++All water damage can now be any Element of choosing (this will still be counted as water damage for additional buffs).</v>
      </c>
      <c r="AG243" s="16" t="str">
        <f>IFERROR(__xludf.DUMMYFUNCTION("""COMPUTED_VALUE"""),"Land of Spira")</f>
        <v>Land of Spira</v>
      </c>
      <c r="AH243" s="16" t="b">
        <f>IFERROR(__xludf.DUMMYFUNCTION("""COMPUTED_VALUE"""),FALSE)</f>
        <v>0</v>
      </c>
    </row>
    <row r="244">
      <c r="A244" s="16" t="str">
        <f>IFERROR(__xludf.DUMMYFUNCTION("""COMPUTED_VALUE"""),"Short Spear")</f>
        <v>Short Spear</v>
      </c>
      <c r="B244" s="16" t="str">
        <f>IFERROR(__xludf.DUMMYFUNCTION("""COMPUTED_VALUE"""),"Hand")</f>
        <v>Hand</v>
      </c>
      <c r="C244" s="16"/>
      <c r="D244" s="16" t="str">
        <f>IFERROR(__xludf.DUMMYFUNCTION("""COMPUTED_VALUE"""),"Spear")</f>
        <v>Spear</v>
      </c>
      <c r="E244" s="16">
        <f>IFERROR(__xludf.DUMMYFUNCTION("""COMPUTED_VALUE"""),1.0)</f>
        <v>1</v>
      </c>
      <c r="F244" s="108">
        <f>IFERROR(__xludf.DUMMYFUNCTION("""COMPUTED_VALUE"""),0.0)</f>
        <v>0</v>
      </c>
      <c r="G244" s="16" t="str">
        <f>IFERROR(__xludf.DUMMYFUNCTION("""COMPUTED_VALUE"""),"DMG")</f>
        <v>DMG</v>
      </c>
      <c r="H244" s="16">
        <f>IFERROR(__xludf.DUMMYFUNCTION("""COMPUTED_VALUE"""),250.0)</f>
        <v>250</v>
      </c>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t="str">
        <f>IFERROR(__xludf.DUMMYFUNCTION("""COMPUTED_VALUE"""),"Land of Spira")</f>
        <v>Land of Spira</v>
      </c>
      <c r="AH244" s="16" t="b">
        <f>IFERROR(__xludf.DUMMYFUNCTION("""COMPUTED_VALUE"""),TRUE)</f>
        <v>1</v>
      </c>
    </row>
    <row r="245">
      <c r="A245" s="16" t="str">
        <f>IFERROR(__xludf.DUMMYFUNCTION("""COMPUTED_VALUE"""),"Shuriken")</f>
        <v>Shuriken</v>
      </c>
      <c r="B245" s="16" t="str">
        <f>IFERROR(__xludf.DUMMYFUNCTION("""COMPUTED_VALUE"""),"Hand")</f>
        <v>Hand</v>
      </c>
      <c r="C245" s="16"/>
      <c r="D245" s="16" t="str">
        <f>IFERROR(__xludf.DUMMYFUNCTION("""COMPUTED_VALUE"""),"Boomerang")</f>
        <v>Boomerang</v>
      </c>
      <c r="E245" s="16">
        <f>IFERROR(__xludf.DUMMYFUNCTION("""COMPUTED_VALUE"""),200.0)</f>
        <v>200</v>
      </c>
      <c r="F245" s="108">
        <f>IFERROR(__xludf.DUMMYFUNCTION("""COMPUTED_VALUE"""),1900000.0)</f>
        <v>1900000</v>
      </c>
      <c r="G245" s="16" t="str">
        <f>IFERROR(__xludf.DUMMYFUNCTION("""COMPUTED_VALUE"""),"DMG")</f>
        <v>DMG</v>
      </c>
      <c r="H245" s="119">
        <f>IFERROR(__xludf.DUMMYFUNCTION("""COMPUTED_VALUE"""),5000.0)</f>
        <v>5000</v>
      </c>
      <c r="I245" s="16"/>
      <c r="J245" s="16"/>
      <c r="K245" s="16"/>
      <c r="L245" s="16"/>
      <c r="M245" s="16"/>
      <c r="N245" s="16"/>
      <c r="O245" s="16"/>
      <c r="P245" s="16"/>
      <c r="Q245" s="16"/>
      <c r="R245" s="16"/>
      <c r="S245" s="16"/>
      <c r="T245" s="16"/>
      <c r="U245" s="16"/>
      <c r="V245" s="16"/>
      <c r="W245" s="16"/>
      <c r="X245" s="16"/>
      <c r="Y245" s="16">
        <f>IFERROR(__xludf.DUMMYFUNCTION("""COMPUTED_VALUE"""),5000.0)</f>
        <v>5000</v>
      </c>
      <c r="Z245" s="16"/>
      <c r="AA245" s="16"/>
      <c r="AB245" s="16"/>
      <c r="AC245" s="16"/>
      <c r="AD245" s="16"/>
      <c r="AE245" s="16"/>
      <c r="AF245" s="16" t="str">
        <f>IFERROR(__xludf.DUMMYFUNCTION("""COMPUTED_VALUE"""),"++Will return to you when thrown.")</f>
        <v>++Will return to you when thrown.</v>
      </c>
      <c r="AG245" s="16" t="str">
        <f>IFERROR(__xludf.DUMMYFUNCTION("""COMPUTED_VALUE"""),"Land of Spira")</f>
        <v>Land of Spira</v>
      </c>
      <c r="AH245" s="16" t="b">
        <f>IFERROR(__xludf.DUMMYFUNCTION("""COMPUTED_VALUE"""),FALSE)</f>
        <v>0</v>
      </c>
    </row>
    <row r="246">
      <c r="A246" s="16" t="str">
        <f>IFERROR(__xludf.DUMMYFUNCTION("""COMPUTED_VALUE"""),"Shuttering Cloak")</f>
        <v>Shuttering Cloak</v>
      </c>
      <c r="B246" s="16" t="str">
        <f>IFERROR(__xludf.DUMMYFUNCTION("""COMPUTED_VALUE"""),"Torso")</f>
        <v>Torso</v>
      </c>
      <c r="C246" s="16"/>
      <c r="D246" s="16"/>
      <c r="E246" s="16">
        <f>IFERROR(__xludf.DUMMYFUNCTION("""COMPUTED_VALUE"""),1.0)</f>
        <v>1</v>
      </c>
      <c r="F246" s="108">
        <f>IFERROR(__xludf.DUMMYFUNCTION("""COMPUTED_VALUE"""),0.0)</f>
        <v>0</v>
      </c>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t="str">
        <f>IFERROR(__xludf.DUMMYFUNCTION("""COMPUTED_VALUE"""),"++Plus 10 Evasion and Mobility, +-You Cannot be unaffected by spells or attacks. +-Can only equip one")</f>
        <v>++Plus 10 Evasion and Mobility, +-You Cannot be unaffected by spells or attacks. +-Can only equip one</v>
      </c>
      <c r="AG246" s="16" t="str">
        <f>IFERROR(__xludf.DUMMYFUNCTION("""COMPUTED_VALUE"""),"Land of The Forgotten")</f>
        <v>Land of The Forgotten</v>
      </c>
      <c r="AH246" s="16" t="b">
        <f>IFERROR(__xludf.DUMMYFUNCTION("""COMPUTED_VALUE"""),FALSE)</f>
        <v>0</v>
      </c>
    </row>
    <row r="247">
      <c r="A247" s="16" t="str">
        <f>IFERROR(__xludf.DUMMYFUNCTION("""COMPUTED_VALUE"""),"Silver Armor")</f>
        <v>Silver Armor</v>
      </c>
      <c r="B247" s="16" t="str">
        <f>IFERROR(__xludf.DUMMYFUNCTION("""COMPUTED_VALUE"""),"Torso")</f>
        <v>Torso</v>
      </c>
      <c r="C247" s="16"/>
      <c r="D247" s="16"/>
      <c r="E247" s="16">
        <f>IFERROR(__xludf.DUMMYFUNCTION("""COMPUTED_VALUE"""),1.0)</f>
        <v>1</v>
      </c>
      <c r="F247" s="108">
        <f>IFERROR(__xludf.DUMMYFUNCTION("""COMPUTED_VALUE"""),0.0)</f>
        <v>0</v>
      </c>
      <c r="G247" s="16" t="str">
        <f>IFERROR(__xludf.DUMMYFUNCTION("""COMPUTED_VALUE"""),"DEF")</f>
        <v>DEF</v>
      </c>
      <c r="H247" s="16">
        <f>IFERROR(__xludf.DUMMYFUNCTION("""COMPUTED_VALUE"""),30.0)</f>
        <v>30</v>
      </c>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t="str">
        <f>IFERROR(__xludf.DUMMYFUNCTION("""COMPUTED_VALUE"""),"Land of Spira")</f>
        <v>Land of Spira</v>
      </c>
      <c r="AH247" s="16" t="b">
        <f>IFERROR(__xludf.DUMMYFUNCTION("""COMPUTED_VALUE"""),TRUE)</f>
        <v>1</v>
      </c>
    </row>
    <row r="248">
      <c r="A248" s="16" t="str">
        <f>IFERROR(__xludf.DUMMYFUNCTION("""COMPUTED_VALUE"""),"Silver Katana")</f>
        <v>Silver Katana</v>
      </c>
      <c r="B248" s="16" t="str">
        <f>IFERROR(__xludf.DUMMYFUNCTION("""COMPUTED_VALUE"""),"Hand")</f>
        <v>Hand</v>
      </c>
      <c r="C248" s="16"/>
      <c r="D248" s="16" t="str">
        <f>IFERROR(__xludf.DUMMYFUNCTION("""COMPUTED_VALUE"""),"Sword")</f>
        <v>Sword</v>
      </c>
      <c r="E248" s="16">
        <f>IFERROR(__xludf.DUMMYFUNCTION("""COMPUTED_VALUE"""),200.0)</f>
        <v>200</v>
      </c>
      <c r="F248" s="108">
        <f>IFERROR(__xludf.DUMMYFUNCTION("""COMPUTED_VALUE"""),1900000.0)</f>
        <v>1900000</v>
      </c>
      <c r="G248" s="16" t="str">
        <f>IFERROR(__xludf.DUMMYFUNCTION("""COMPUTED_VALUE"""),"DMG")</f>
        <v>DMG</v>
      </c>
      <c r="H248" s="119">
        <f>IFERROR(__xludf.DUMMYFUNCTION("""COMPUTED_VALUE"""),10000.0)</f>
        <v>10000</v>
      </c>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t="str">
        <f>IFERROR(__xludf.DUMMYFUNCTION("""COMPUTED_VALUE"""),"++Causes Blindness 3")</f>
        <v>++Causes Blindness 3</v>
      </c>
      <c r="AG248" s="16" t="str">
        <f>IFERROR(__xludf.DUMMYFUNCTION("""COMPUTED_VALUE"""),"Land of Spira")</f>
        <v>Land of Spira</v>
      </c>
      <c r="AH248" s="16" t="b">
        <f>IFERROR(__xludf.DUMMYFUNCTION("""COMPUTED_VALUE"""),FALSE)</f>
        <v>0</v>
      </c>
    </row>
    <row r="249">
      <c r="A249" s="16" t="str">
        <f>IFERROR(__xludf.DUMMYFUNCTION("""COMPUTED_VALUE"""),"Silver Knife")</f>
        <v>Silver Knife</v>
      </c>
      <c r="B249" s="16" t="str">
        <f>IFERROR(__xludf.DUMMYFUNCTION("""COMPUTED_VALUE"""),"Hand")</f>
        <v>Hand</v>
      </c>
      <c r="C249" s="16"/>
      <c r="D249" s="16" t="str">
        <f>IFERROR(__xludf.DUMMYFUNCTION("""COMPUTED_VALUE"""),"Knife")</f>
        <v>Knife</v>
      </c>
      <c r="E249" s="16">
        <f>IFERROR(__xludf.DUMMYFUNCTION("""COMPUTED_VALUE"""),200.0)</f>
        <v>200</v>
      </c>
      <c r="F249" s="108">
        <f>IFERROR(__xludf.DUMMYFUNCTION("""COMPUTED_VALUE"""),1900000.0)</f>
        <v>1900000</v>
      </c>
      <c r="G249" s="16" t="str">
        <f>IFERROR(__xludf.DUMMYFUNCTION("""COMPUTED_VALUE"""),"DMG")</f>
        <v>DMG</v>
      </c>
      <c r="H249" s="16">
        <f>IFERROR(__xludf.DUMMYFUNCTION("""COMPUTED_VALUE"""),10000.0)</f>
        <v>10000</v>
      </c>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t="str">
        <f>IFERROR(__xludf.DUMMYFUNCTION("""COMPUTED_VALUE"""),"Land of Spira")</f>
        <v>Land of Spira</v>
      </c>
      <c r="AH249" s="16" t="b">
        <f>IFERROR(__xludf.DUMMYFUNCTION("""COMPUTED_VALUE"""),TRUE)</f>
        <v>1</v>
      </c>
    </row>
    <row r="250">
      <c r="A250" s="16" t="str">
        <f>IFERROR(__xludf.DUMMYFUNCTION("""COMPUTED_VALUE"""),"Skull Cleaver")</f>
        <v>Skull Cleaver</v>
      </c>
      <c r="B250" s="16" t="str">
        <f>IFERROR(__xludf.DUMMYFUNCTION("""COMPUTED_VALUE"""),"Hand")</f>
        <v>Hand</v>
      </c>
      <c r="C250" s="16"/>
      <c r="D250" s="16" t="str">
        <f>IFERROR(__xludf.DUMMYFUNCTION("""COMPUTED_VALUE"""),"Sword")</f>
        <v>Sword</v>
      </c>
      <c r="E250" s="16">
        <f>IFERROR(__xludf.DUMMYFUNCTION("""COMPUTED_VALUE"""),1000.0)</f>
        <v>1000</v>
      </c>
      <c r="F250" s="108">
        <f>IFERROR(__xludf.DUMMYFUNCTION("""COMPUTED_VALUE"""),4.95E7)</f>
        <v>49500000</v>
      </c>
      <c r="G250" s="16" t="str">
        <f>IFERROR(__xludf.DUMMYFUNCTION("""COMPUTED_VALUE"""),"DMG")</f>
        <v>DMG</v>
      </c>
      <c r="H250" s="119">
        <f>IFERROR(__xludf.DUMMYFUNCTION("""COMPUTED_VALUE"""),30000.0)</f>
        <v>30000</v>
      </c>
      <c r="I250" s="16"/>
      <c r="J250" s="16"/>
      <c r="K250" s="16"/>
      <c r="L250" s="16"/>
      <c r="M250" s="16"/>
      <c r="N250" s="16"/>
      <c r="O250" s="119">
        <f>IFERROR(__xludf.DUMMYFUNCTION("""COMPUTED_VALUE"""),20000.0)</f>
        <v>20000</v>
      </c>
      <c r="P250" s="16"/>
      <c r="Q250" s="16"/>
      <c r="R250" s="16"/>
      <c r="S250" s="16"/>
      <c r="T250" s="16"/>
      <c r="U250" s="16"/>
      <c r="V250" s="16"/>
      <c r="W250" s="16"/>
      <c r="X250" s="16"/>
      <c r="Y250" s="16"/>
      <c r="Z250" s="16"/>
      <c r="AA250" s="16"/>
      <c r="AB250" s="16"/>
      <c r="AC250" s="16"/>
      <c r="AD250" s="16"/>
      <c r="AE250" s="16"/>
      <c r="AF250" s="16" t="str">
        <f>IFERROR(__xludf.DUMMYFUNCTION("""COMPUTED_VALUE"""),"++75% Chance of instant death.")</f>
        <v>++75% Chance of instant death.</v>
      </c>
      <c r="AG250" s="16" t="str">
        <f>IFERROR(__xludf.DUMMYFUNCTION("""COMPUTED_VALUE"""),"Abstara")</f>
        <v>Abstara</v>
      </c>
      <c r="AH250" s="16" t="b">
        <f>IFERROR(__xludf.DUMMYFUNCTION("""COMPUTED_VALUE"""),TRUE)</f>
        <v>1</v>
      </c>
    </row>
    <row r="251">
      <c r="A251" s="16" t="str">
        <f>IFERROR(__xludf.DUMMYFUNCTION("""COMPUTED_VALUE"""),"Skull of the many Kings")</f>
        <v>Skull of the many Kings</v>
      </c>
      <c r="B251" s="16" t="str">
        <f>IFERROR(__xludf.DUMMYFUNCTION("""COMPUTED_VALUE"""),"Head")</f>
        <v>Head</v>
      </c>
      <c r="C251" s="16"/>
      <c r="D251" s="16"/>
      <c r="E251" s="16">
        <f>IFERROR(__xludf.DUMMYFUNCTION("""COMPUTED_VALUE"""),1.0)</f>
        <v>1</v>
      </c>
      <c r="F251" s="108">
        <f>IFERROR(__xludf.DUMMYFUNCTION("""COMPUTED_VALUE"""),0.0)</f>
        <v>0</v>
      </c>
      <c r="G251" s="16" t="str">
        <f>IFERROR(__xludf.DUMMYFUNCTION("""COMPUTED_VALUE"""),"DEF")</f>
        <v>DEF</v>
      </c>
      <c r="H251" s="16">
        <f>IFERROR(__xludf.DUMMYFUNCTION("""COMPUTED_VALUE"""),300.0)</f>
        <v>300</v>
      </c>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t="str">
        <f>IFERROR(__xludf.DUMMYFUNCTION("""COMPUTED_VALUE"""),"++Immunity to all dark damage")</f>
        <v>++Immunity to all dark damage</v>
      </c>
      <c r="AG251" s="16" t="str">
        <f>IFERROR(__xludf.DUMMYFUNCTION("""COMPUTED_VALUE"""),"Land of Spira")</f>
        <v>Land of Spira</v>
      </c>
      <c r="AH251" s="16" t="b">
        <f>IFERROR(__xludf.DUMMYFUNCTION("""COMPUTED_VALUE"""),FALSE)</f>
        <v>0</v>
      </c>
    </row>
    <row r="252">
      <c r="A252" s="16" t="str">
        <f>IFERROR(__xludf.DUMMYFUNCTION("""COMPUTED_VALUE"""),"Skull Ring")</f>
        <v>Skull Ring</v>
      </c>
      <c r="B252" s="16" t="str">
        <f>IFERROR(__xludf.DUMMYFUNCTION("""COMPUTED_VALUE"""),"Ring")</f>
        <v>Ring</v>
      </c>
      <c r="C252" s="16"/>
      <c r="D252" s="16"/>
      <c r="E252" s="16">
        <f>IFERROR(__xludf.DUMMYFUNCTION("""COMPUTED_VALUE"""),1.0)</f>
        <v>1</v>
      </c>
      <c r="F252" s="108">
        <f>IFERROR(__xludf.DUMMYFUNCTION("""COMPUTED_VALUE"""),0.0)</f>
        <v>0</v>
      </c>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t="str">
        <f>IFERROR(__xludf.DUMMYFUNCTION("""COMPUTED_VALUE"""),"++Increase damage of all dark spells and weapons by X2")</f>
        <v>++Increase damage of all dark spells and weapons by X2</v>
      </c>
      <c r="AG252" s="16" t="str">
        <f>IFERROR(__xludf.DUMMYFUNCTION("""COMPUTED_VALUE"""),"Land of Spira")</f>
        <v>Land of Spira</v>
      </c>
      <c r="AH252" s="16" t="b">
        <f>IFERROR(__xludf.DUMMYFUNCTION("""COMPUTED_VALUE"""),FALSE)</f>
        <v>0</v>
      </c>
    </row>
    <row r="253">
      <c r="A253" s="16" t="str">
        <f>IFERROR(__xludf.DUMMYFUNCTION("""COMPUTED_VALUE"""),"Spear")</f>
        <v>Spear</v>
      </c>
      <c r="B253" s="16" t="str">
        <f>IFERROR(__xludf.DUMMYFUNCTION("""COMPUTED_VALUE"""),"Hand")</f>
        <v>Hand</v>
      </c>
      <c r="C253" s="16"/>
      <c r="D253" s="16" t="str">
        <f>IFERROR(__xludf.DUMMYFUNCTION("""COMPUTED_VALUE"""),"Spear")</f>
        <v>Spear</v>
      </c>
      <c r="E253" s="16">
        <f>IFERROR(__xludf.DUMMYFUNCTION("""COMPUTED_VALUE"""),1.0)</f>
        <v>1</v>
      </c>
      <c r="F253" s="108">
        <f>IFERROR(__xludf.DUMMYFUNCTION("""COMPUTED_VALUE"""),0.0)</f>
        <v>0</v>
      </c>
      <c r="G253" s="16" t="str">
        <f>IFERROR(__xludf.DUMMYFUNCTION("""COMPUTED_VALUE"""),"DMG")</f>
        <v>DMG</v>
      </c>
      <c r="H253" s="16">
        <f>IFERROR(__xludf.DUMMYFUNCTION("""COMPUTED_VALUE"""),100.0)</f>
        <v>100</v>
      </c>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t="str">
        <f>IFERROR(__xludf.DUMMYFUNCTION("""COMPUTED_VALUE"""),"Land of Spira")</f>
        <v>Land of Spira</v>
      </c>
      <c r="AH253" s="16" t="b">
        <f>IFERROR(__xludf.DUMMYFUNCTION("""COMPUTED_VALUE"""),TRUE)</f>
        <v>1</v>
      </c>
    </row>
    <row r="254">
      <c r="A254" s="16" t="str">
        <f>IFERROR(__xludf.DUMMYFUNCTION("""COMPUTED_VALUE"""),"Spear Of Assal ")</f>
        <v>Spear Of Assal </v>
      </c>
      <c r="B254" s="16" t="str">
        <f>IFERROR(__xludf.DUMMYFUNCTION("""COMPUTED_VALUE"""),"Hand")</f>
        <v>Hand</v>
      </c>
      <c r="C254" s="16" t="str">
        <f>IFERROR(__xludf.DUMMYFUNCTION("""COMPUTED_VALUE"""),"(Event Exclusive) Lugh's Spear he weilded in battle. The spear will always find its mark when the incantation Ibar is spoken by the user. ")</f>
        <v>(Event Exclusive) Lugh's Spear he weilded in battle. The spear will always find its mark when the incantation Ibar is spoken by the user. </v>
      </c>
      <c r="D254" s="16" t="str">
        <f>IFERROR(__xludf.DUMMYFUNCTION("""COMPUTED_VALUE"""),"Spear")</f>
        <v>Spear</v>
      </c>
      <c r="E254" s="16">
        <f>IFERROR(__xludf.DUMMYFUNCTION("""COMPUTED_VALUE"""),200.0)</f>
        <v>200</v>
      </c>
      <c r="F254" s="108">
        <f>IFERROR(__xludf.DUMMYFUNCTION("""COMPUTED_VALUE"""),4.485E8)</f>
        <v>448500000</v>
      </c>
      <c r="G254" s="16" t="str">
        <f>IFERROR(__xludf.DUMMYFUNCTION("""COMPUTED_VALUE"""),"DMG")</f>
        <v>DMG</v>
      </c>
      <c r="H254" s="119">
        <f>IFERROR(__xludf.DUMMYFUNCTION("""COMPUTED_VALUE"""),50000.0)</f>
        <v>50000</v>
      </c>
      <c r="I254" s="119">
        <f>IFERROR(__xludf.DUMMYFUNCTION("""COMPUTED_VALUE"""),50000.0)</f>
        <v>50000</v>
      </c>
      <c r="J254" s="16"/>
      <c r="K254" s="16"/>
      <c r="L254" s="16"/>
      <c r="M254" s="16"/>
      <c r="N254" s="16"/>
      <c r="O254" s="16"/>
      <c r="P254" s="16"/>
      <c r="Q254" s="16"/>
      <c r="R254" s="16"/>
      <c r="S254" s="16"/>
      <c r="T254" s="16"/>
      <c r="U254" s="16"/>
      <c r="V254" s="16"/>
      <c r="W254" s="16"/>
      <c r="X254" s="16"/>
      <c r="Y254" s="16"/>
      <c r="Z254" s="16"/>
      <c r="AA254" s="16"/>
      <c r="AB254" s="16"/>
      <c r="AC254" s="119">
        <f>IFERROR(__xludf.DUMMYFUNCTION("""COMPUTED_VALUE"""),50000.0)</f>
        <v>50000</v>
      </c>
      <c r="AD254" s="16"/>
      <c r="AE254" s="16"/>
      <c r="AF254" s="16" t="str">
        <f>IFERROR(__xludf.DUMMYFUNCTION("""COMPUTED_VALUE"""),"++12,000 celestial and fire damage for 3 rounds. +-Cannot be forged +-Cannot be duplicated +-Cannot be confiscated. ++Ignores evasion, ++Will always return when thrown.")</f>
        <v>++12,000 celestial and fire damage for 3 rounds. +-Cannot be forged +-Cannot be duplicated +-Cannot be confiscated. ++Ignores evasion, ++Will always return when thrown.</v>
      </c>
      <c r="AG254" s="16" t="str">
        <f>IFERROR(__xludf.DUMMYFUNCTION("""COMPUTED_VALUE"""),"Land of Spira")</f>
        <v>Land of Spira</v>
      </c>
      <c r="AH254" s="16" t="b">
        <f>IFERROR(__xludf.DUMMYFUNCTION("""COMPUTED_VALUE"""),FALSE)</f>
        <v>0</v>
      </c>
    </row>
    <row r="255">
      <c r="A255" s="16" t="str">
        <f>IFERROR(__xludf.DUMMYFUNCTION("""COMPUTED_VALUE"""),"Spiked Armor")</f>
        <v>Spiked Armor</v>
      </c>
      <c r="B255" s="16" t="str">
        <f>IFERROR(__xludf.DUMMYFUNCTION("""COMPUTED_VALUE"""),"Torso")</f>
        <v>Torso</v>
      </c>
      <c r="C255" s="16"/>
      <c r="D255" s="16"/>
      <c r="E255" s="16">
        <f>IFERROR(__xludf.DUMMYFUNCTION("""COMPUTED_VALUE"""),1.0)</f>
        <v>1</v>
      </c>
      <c r="F255" s="108">
        <f>IFERROR(__xludf.DUMMYFUNCTION("""COMPUTED_VALUE"""),0.0)</f>
        <v>0</v>
      </c>
      <c r="G255" s="16" t="str">
        <f>IFERROR(__xludf.DUMMYFUNCTION("""COMPUTED_VALUE"""),"DEF")</f>
        <v>DEF</v>
      </c>
      <c r="H255" s="16">
        <f>IFERROR(__xludf.DUMMYFUNCTION("""COMPUTED_VALUE"""),100.0)</f>
        <v>100</v>
      </c>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t="str">
        <f>IFERROR(__xludf.DUMMYFUNCTION("""COMPUTED_VALUE"""),"++Used for both offense and defense. ++Enemies take half the damage they caused, when they attack you.")</f>
        <v>++Used for both offense and defense. ++Enemies take half the damage they caused, when they attack you.</v>
      </c>
      <c r="AG255" s="16" t="str">
        <f>IFERROR(__xludf.DUMMYFUNCTION("""COMPUTED_VALUE"""),"Land of Spira")</f>
        <v>Land of Spira</v>
      </c>
      <c r="AH255" s="16" t="b">
        <f>IFERROR(__xludf.DUMMYFUNCTION("""COMPUTED_VALUE"""),FALSE)</f>
        <v>0</v>
      </c>
    </row>
    <row r="256">
      <c r="A256" s="16" t="str">
        <f>IFERROR(__xludf.DUMMYFUNCTION("""COMPUTED_VALUE"""),"Spiny Shield")</f>
        <v>Spiny Shield</v>
      </c>
      <c r="B256" s="16" t="str">
        <f>IFERROR(__xludf.DUMMYFUNCTION("""COMPUTED_VALUE"""),"Hand")</f>
        <v>Hand</v>
      </c>
      <c r="C256" s="16"/>
      <c r="D256" s="16" t="str">
        <f>IFERROR(__xludf.DUMMYFUNCTION("""COMPUTED_VALUE"""),"Buckler")</f>
        <v>Buckler</v>
      </c>
      <c r="E256" s="16">
        <f>IFERROR(__xludf.DUMMYFUNCTION("""COMPUTED_VALUE"""),1.0)</f>
        <v>1</v>
      </c>
      <c r="F256" s="108">
        <f>IFERROR(__xludf.DUMMYFUNCTION("""COMPUTED_VALUE"""),0.0)</f>
        <v>0</v>
      </c>
      <c r="G256" s="16" t="str">
        <f>IFERROR(__xludf.DUMMYFUNCTION("""COMPUTED_VALUE"""),"DEF")</f>
        <v>DEF</v>
      </c>
      <c r="H256" s="16">
        <f>IFERROR(__xludf.DUMMYFUNCTION("""COMPUTED_VALUE"""),170.0)</f>
        <v>170</v>
      </c>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t="str">
        <f>IFERROR(__xludf.DUMMYFUNCTION("""COMPUTED_VALUE"""),"Land of Spira")</f>
        <v>Land of Spira</v>
      </c>
      <c r="AH256" s="16" t="b">
        <f>IFERROR(__xludf.DUMMYFUNCTION("""COMPUTED_VALUE"""),FALSE)</f>
        <v>0</v>
      </c>
    </row>
    <row r="257">
      <c r="A257" s="16" t="str">
        <f>IFERROR(__xludf.DUMMYFUNCTION("""COMPUTED_VALUE"""),"Spooky Branch Ring")</f>
        <v>Spooky Branch Ring</v>
      </c>
      <c r="B257" s="16" t="str">
        <f>IFERROR(__xludf.DUMMYFUNCTION("""COMPUTED_VALUE"""),"Ring")</f>
        <v>Ring</v>
      </c>
      <c r="C257" s="16" t="str">
        <f>IFERROR(__xludf.DUMMYFUNCTION("""COMPUTED_VALUE"""),"Halloween Exclusive")</f>
        <v>Halloween Exclusive</v>
      </c>
      <c r="D257" s="16"/>
      <c r="E257" s="16">
        <f>IFERROR(__xludf.DUMMYFUNCTION("""COMPUTED_VALUE"""),1.0)</f>
        <v>1</v>
      </c>
      <c r="F257" s="108">
        <f>IFERROR(__xludf.DUMMYFUNCTION("""COMPUTED_VALUE"""),0.0)</f>
        <v>0</v>
      </c>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t="str">
        <f>IFERROR(__xludf.DUMMYFUNCTION("""COMPUTED_VALUE"""),"++Increase fire and dark damage by X2.")</f>
        <v>++Increase fire and dark damage by X2.</v>
      </c>
      <c r="AG257" s="16" t="str">
        <f>IFERROR(__xludf.DUMMYFUNCTION("""COMPUTED_VALUE"""),"Halloween Kingdom")</f>
        <v>Halloween Kingdom</v>
      </c>
      <c r="AH257" s="16" t="b">
        <f>IFERROR(__xludf.DUMMYFUNCTION("""COMPUTED_VALUE"""),FALSE)</f>
        <v>0</v>
      </c>
    </row>
    <row r="258">
      <c r="A258" s="16" t="str">
        <f>IFERROR(__xludf.DUMMYFUNCTION("""COMPUTED_VALUE"""),"Staff of Chaotic Shadows")</f>
        <v>Staff of Chaotic Shadows</v>
      </c>
      <c r="B258" s="16" t="str">
        <f>IFERROR(__xludf.DUMMYFUNCTION("""COMPUTED_VALUE"""),"Hand")</f>
        <v>Hand</v>
      </c>
      <c r="C258" s="16"/>
      <c r="D258" s="16" t="str">
        <f>IFERROR(__xludf.DUMMYFUNCTION("""COMPUTED_VALUE"""),"Staff")</f>
        <v>Staff</v>
      </c>
      <c r="E258" s="16">
        <f>IFERROR(__xludf.DUMMYFUNCTION("""COMPUTED_VALUE"""),1200.0)</f>
        <v>1200</v>
      </c>
      <c r="F258" s="108">
        <f>IFERROR(__xludf.DUMMYFUNCTION("""COMPUTED_VALUE"""),7.14E7)</f>
        <v>71400000</v>
      </c>
      <c r="G258" s="16" t="str">
        <f>IFERROR(__xludf.DUMMYFUNCTION("""COMPUTED_VALUE"""),"DMG")</f>
        <v>DMG</v>
      </c>
      <c r="H258" s="16"/>
      <c r="I258" s="119">
        <f>IFERROR(__xludf.DUMMYFUNCTION("""COMPUTED_VALUE"""),20000.0)</f>
        <v>20000</v>
      </c>
      <c r="J258" s="16"/>
      <c r="K258" s="16"/>
      <c r="L258" s="16"/>
      <c r="M258" s="16"/>
      <c r="N258" s="16"/>
      <c r="O258" s="16">
        <f>IFERROR(__xludf.DUMMYFUNCTION("""COMPUTED_VALUE"""),20000.0)</f>
        <v>20000</v>
      </c>
      <c r="P258" s="16"/>
      <c r="Q258" s="16"/>
      <c r="R258" s="16">
        <f>IFERROR(__xludf.DUMMYFUNCTION("""COMPUTED_VALUE"""),20000.0)</f>
        <v>20000</v>
      </c>
      <c r="S258" s="16"/>
      <c r="T258" s="16"/>
      <c r="U258" s="16"/>
      <c r="V258" s="16"/>
      <c r="W258" s="16"/>
      <c r="X258" s="16"/>
      <c r="Y258" s="16"/>
      <c r="Z258" s="16"/>
      <c r="AA258" s="16"/>
      <c r="AB258" s="16"/>
      <c r="AC258" s="16"/>
      <c r="AD258" s="16"/>
      <c r="AE258" s="16"/>
      <c r="AF258" s="16" t="str">
        <f>IFERROR(__xludf.DUMMYFUNCTION("""COMPUTED_VALUE"""),"++damages all enemies. +-Cannot be forged.")</f>
        <v>++damages all enemies. +-Cannot be forged.</v>
      </c>
      <c r="AG258" s="16" t="str">
        <f>IFERROR(__xludf.DUMMYFUNCTION("""COMPUTED_VALUE"""),"Land of Spira")</f>
        <v>Land of Spira</v>
      </c>
      <c r="AH258" s="16" t="b">
        <f>IFERROR(__xludf.DUMMYFUNCTION("""COMPUTED_VALUE"""),FALSE)</f>
        <v>0</v>
      </c>
    </row>
    <row r="259">
      <c r="A259" s="16" t="str">
        <f>IFERROR(__xludf.DUMMYFUNCTION("""COMPUTED_VALUE"""),"Staff of Crystals")</f>
        <v>Staff of Crystals</v>
      </c>
      <c r="B259" s="16" t="str">
        <f>IFERROR(__xludf.DUMMYFUNCTION("""COMPUTED_VALUE"""),"Hand")</f>
        <v>Hand</v>
      </c>
      <c r="C259" s="16"/>
      <c r="D259" s="16" t="str">
        <f>IFERROR(__xludf.DUMMYFUNCTION("""COMPUTED_VALUE"""),"Staff")</f>
        <v>Staff</v>
      </c>
      <c r="E259" s="16">
        <f>IFERROR(__xludf.DUMMYFUNCTION("""COMPUTED_VALUE"""),400.0)</f>
        <v>400</v>
      </c>
      <c r="F259" s="108">
        <f>IFERROR(__xludf.DUMMYFUNCTION("""COMPUTED_VALUE"""),7800000.0)</f>
        <v>7800000</v>
      </c>
      <c r="G259" s="16" t="str">
        <f>IFERROR(__xludf.DUMMYFUNCTION("""COMPUTED_VALUE"""),"DMG")</f>
        <v>DMG</v>
      </c>
      <c r="H259" s="16"/>
      <c r="I259" s="16"/>
      <c r="J259" s="16"/>
      <c r="K259" s="16"/>
      <c r="L259" s="16"/>
      <c r="M259" s="16">
        <f>IFERROR(__xludf.DUMMYFUNCTION("""COMPUTED_VALUE"""),20000.0)</f>
        <v>20000</v>
      </c>
      <c r="N259" s="16"/>
      <c r="O259" s="16"/>
      <c r="P259" s="16"/>
      <c r="Q259" s="16"/>
      <c r="R259" s="16"/>
      <c r="S259" s="16"/>
      <c r="T259" s="16"/>
      <c r="U259" s="16"/>
      <c r="V259" s="16"/>
      <c r="W259" s="16"/>
      <c r="X259" s="16"/>
      <c r="Y259" s="16"/>
      <c r="Z259" s="16"/>
      <c r="AA259" s="16"/>
      <c r="AB259" s="16"/>
      <c r="AC259" s="16"/>
      <c r="AD259" s="16"/>
      <c r="AE259" s="16"/>
      <c r="AF259" s="16" t="str">
        <f>IFERROR(__xludf.DUMMYFUNCTION("""COMPUTED_VALUE"""),"++When Equipped any damage dealt by a Crystal or Gem related weapon is X4. +-Cannot be duplicated.")</f>
        <v>++When Equipped any damage dealt by a Crystal or Gem related weapon is X4. +-Cannot be duplicated.</v>
      </c>
      <c r="AG259" s="16" t="str">
        <f>IFERROR(__xludf.DUMMYFUNCTION("""COMPUTED_VALUE"""),"Land of Spira")</f>
        <v>Land of Spira</v>
      </c>
      <c r="AH259" s="16" t="b">
        <f>IFERROR(__xludf.DUMMYFUNCTION("""COMPUTED_VALUE"""),FALSE)</f>
        <v>0</v>
      </c>
    </row>
    <row r="260">
      <c r="A260" s="16" t="str">
        <f>IFERROR(__xludf.DUMMYFUNCTION("""COMPUTED_VALUE"""),"Staff Of Heatmore")</f>
        <v>Staff Of Heatmore</v>
      </c>
      <c r="B260" s="16" t="str">
        <f>IFERROR(__xludf.DUMMYFUNCTION("""COMPUTED_VALUE"""),"Hand")</f>
        <v>Hand</v>
      </c>
      <c r="C260" s="16"/>
      <c r="D260" s="16" t="str">
        <f>IFERROR(__xludf.DUMMYFUNCTION("""COMPUTED_VALUE"""),"Staff")</f>
        <v>Staff</v>
      </c>
      <c r="E260" s="16">
        <f>IFERROR(__xludf.DUMMYFUNCTION("""COMPUTED_VALUE"""),1.0)</f>
        <v>1</v>
      </c>
      <c r="F260" s="108">
        <f>IFERROR(__xludf.DUMMYFUNCTION("""COMPUTED_VALUE"""),0.0)</f>
        <v>0</v>
      </c>
      <c r="G260" s="16" t="str">
        <f>IFERROR(__xludf.DUMMYFUNCTION("""COMPUTED_VALUE"""),"DMG")</f>
        <v>DMG</v>
      </c>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t="str">
        <f>IFERROR(__xludf.DUMMYFUNCTION("""COMPUTED_VALUE"""),"++20,000 fire damage to all enemies, cannot avoid. 10,000sp")</f>
        <v>++20,000 fire damage to all enemies, cannot avoid. 10,000sp</v>
      </c>
      <c r="AG260" s="16" t="str">
        <f>IFERROR(__xludf.DUMMYFUNCTION("""COMPUTED_VALUE"""),"Land of Spira")</f>
        <v>Land of Spira</v>
      </c>
      <c r="AH260" s="16" t="b">
        <f>IFERROR(__xludf.DUMMYFUNCTION("""COMPUTED_VALUE"""),FALSE)</f>
        <v>0</v>
      </c>
    </row>
    <row r="261">
      <c r="A261" s="16" t="str">
        <f>IFERROR(__xludf.DUMMYFUNCTION("""COMPUTED_VALUE"""),"Staff of Shadows")</f>
        <v>Staff of Shadows</v>
      </c>
      <c r="B261" s="16" t="str">
        <f>IFERROR(__xludf.DUMMYFUNCTION("""COMPUTED_VALUE"""),"Hand")</f>
        <v>Hand</v>
      </c>
      <c r="C261" s="16"/>
      <c r="D261" s="16" t="str">
        <f>IFERROR(__xludf.DUMMYFUNCTION("""COMPUTED_VALUE"""),"Staff")</f>
        <v>Staff</v>
      </c>
      <c r="E261" s="16">
        <f>IFERROR(__xludf.DUMMYFUNCTION("""COMPUTED_VALUE"""),1.0)</f>
        <v>1</v>
      </c>
      <c r="F261" s="108">
        <f>IFERROR(__xludf.DUMMYFUNCTION("""COMPUTED_VALUE"""),0.0)</f>
        <v>0</v>
      </c>
      <c r="G261" s="16" t="str">
        <f>IFERROR(__xludf.DUMMYFUNCTION("""COMPUTED_VALUE"""),"DMG")</f>
        <v>DMG</v>
      </c>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t="str">
        <f>IFERROR(__xludf.DUMMYFUNCTION("""COMPUTED_VALUE"""),"++You are invisible and silent so long as you don't attack. You cannot be attacked while invisible. 200SP")</f>
        <v>++You are invisible and silent so long as you don't attack. You cannot be attacked while invisible. 200SP</v>
      </c>
      <c r="AG261" s="16" t="str">
        <f>IFERROR(__xludf.DUMMYFUNCTION("""COMPUTED_VALUE"""),"Land of Spira")</f>
        <v>Land of Spira</v>
      </c>
      <c r="AH261" s="16" t="b">
        <f>IFERROR(__xludf.DUMMYFUNCTION("""COMPUTED_VALUE"""),FALSE)</f>
        <v>0</v>
      </c>
    </row>
    <row r="262">
      <c r="A262" s="16" t="str">
        <f>IFERROR(__xludf.DUMMYFUNCTION("""COMPUTED_VALUE"""),"Staff Of Suffering")</f>
        <v>Staff Of Suffering</v>
      </c>
      <c r="B262" s="16" t="str">
        <f>IFERROR(__xludf.DUMMYFUNCTION("""COMPUTED_VALUE"""),"Hand")</f>
        <v>Hand</v>
      </c>
      <c r="C262" s="16"/>
      <c r="D262" s="16" t="str">
        <f>IFERROR(__xludf.DUMMYFUNCTION("""COMPUTED_VALUE"""),"Staff")</f>
        <v>Staff</v>
      </c>
      <c r="E262" s="16">
        <f>IFERROR(__xludf.DUMMYFUNCTION("""COMPUTED_VALUE"""),1.0)</f>
        <v>1</v>
      </c>
      <c r="F262" s="108">
        <f>IFERROR(__xludf.DUMMYFUNCTION("""COMPUTED_VALUE"""),0.0)</f>
        <v>0</v>
      </c>
      <c r="G262" s="16" t="str">
        <f>IFERROR(__xludf.DUMMYFUNCTION("""COMPUTED_VALUE"""),"DMG")</f>
        <v>DMG</v>
      </c>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t="str">
        <f>IFERROR(__xludf.DUMMYFUNCTION("""COMPUTED_VALUE"""),"++Casts a chaotic aura around 1 target dealing 1000 unblockable damage to them each time they cast a spell.")</f>
        <v>++Casts a chaotic aura around 1 target dealing 1000 unblockable damage to them each time they cast a spell.</v>
      </c>
      <c r="AG262" s="16" t="str">
        <f>IFERROR(__xludf.DUMMYFUNCTION("""COMPUTED_VALUE"""),"Land of Spira")</f>
        <v>Land of Spira</v>
      </c>
      <c r="AH262" s="16" t="b">
        <f>IFERROR(__xludf.DUMMYFUNCTION("""COMPUTED_VALUE"""),FALSE)</f>
        <v>0</v>
      </c>
    </row>
    <row r="263">
      <c r="A263" s="16" t="str">
        <f>IFERROR(__xludf.DUMMYFUNCTION("""COMPUTED_VALUE"""),"Staff of Targeting")</f>
        <v>Staff of Targeting</v>
      </c>
      <c r="B263" s="16" t="str">
        <f>IFERROR(__xludf.DUMMYFUNCTION("""COMPUTED_VALUE"""),"Hand")</f>
        <v>Hand</v>
      </c>
      <c r="C263" s="16"/>
      <c r="D263" s="16" t="str">
        <f>IFERROR(__xludf.DUMMYFUNCTION("""COMPUTED_VALUE"""),"Staff")</f>
        <v>Staff</v>
      </c>
      <c r="E263" s="16">
        <f>IFERROR(__xludf.DUMMYFUNCTION("""COMPUTED_VALUE"""),1.0)</f>
        <v>1</v>
      </c>
      <c r="F263" s="108">
        <f>IFERROR(__xludf.DUMMYFUNCTION("""COMPUTED_VALUE"""),0.0)</f>
        <v>0</v>
      </c>
      <c r="G263" s="16" t="str">
        <f>IFERROR(__xludf.DUMMYFUNCTION("""COMPUTED_VALUE"""),"DMG")</f>
        <v>DMG</v>
      </c>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t="str">
        <f>IFERROR(__xludf.DUMMYFUNCTION("""COMPUTED_VALUE"""),"++When you complain about getting targeted this staff will deal Unblockable 1,000,000 dmg to every player in the battle. +-Cannot resist or be immune to.")</f>
        <v>++When you complain about getting targeted this staff will deal Unblockable 1,000,000 dmg to every player in the battle. +-Cannot resist or be immune to.</v>
      </c>
      <c r="AG263" s="16" t="str">
        <f>IFERROR(__xludf.DUMMYFUNCTION("""COMPUTED_VALUE"""),"Land of The Forgotten")</f>
        <v>Land of The Forgotten</v>
      </c>
      <c r="AH263" s="16" t="b">
        <f>IFERROR(__xludf.DUMMYFUNCTION("""COMPUTED_VALUE"""),FALSE)</f>
        <v>0</v>
      </c>
    </row>
    <row r="264">
      <c r="A264" s="16" t="str">
        <f>IFERROR(__xludf.DUMMYFUNCTION("""COMPUTED_VALUE"""),"Staff of Waves")</f>
        <v>Staff of Waves</v>
      </c>
      <c r="B264" s="16" t="str">
        <f>IFERROR(__xludf.DUMMYFUNCTION("""COMPUTED_VALUE"""),"Hand")</f>
        <v>Hand</v>
      </c>
      <c r="C264" s="16"/>
      <c r="D264" s="16" t="str">
        <f>IFERROR(__xludf.DUMMYFUNCTION("""COMPUTED_VALUE"""),"Staff")</f>
        <v>Staff</v>
      </c>
      <c r="E264" s="16">
        <f>IFERROR(__xludf.DUMMYFUNCTION("""COMPUTED_VALUE"""),1.0)</f>
        <v>1</v>
      </c>
      <c r="F264" s="108">
        <f>IFERROR(__xludf.DUMMYFUNCTION("""COMPUTED_VALUE"""),0.0)</f>
        <v>0</v>
      </c>
      <c r="G264" s="16" t="str">
        <f>IFERROR(__xludf.DUMMYFUNCTION("""COMPUTED_VALUE"""),"DMG")</f>
        <v>DMG</v>
      </c>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t="str">
        <f>IFERROR(__xludf.DUMMYFUNCTION("""COMPUTED_VALUE"""),"++Casts the Spell Tsunami as if you would know it.")</f>
        <v>++Casts the Spell Tsunami as if you would know it.</v>
      </c>
      <c r="AG264" s="16" t="str">
        <f>IFERROR(__xludf.DUMMYFUNCTION("""COMPUTED_VALUE"""),"Land of Spira")</f>
        <v>Land of Spira</v>
      </c>
      <c r="AH264" s="16" t="b">
        <f>IFERROR(__xludf.DUMMYFUNCTION("""COMPUTED_VALUE"""),FALSE)</f>
        <v>0</v>
      </c>
    </row>
    <row r="265">
      <c r="A265" s="16" t="str">
        <f>IFERROR(__xludf.DUMMYFUNCTION("""COMPUTED_VALUE"""),"Guard Helmet")</f>
        <v>Guard Helmet</v>
      </c>
      <c r="B265" s="16" t="str">
        <f>IFERROR(__xludf.DUMMYFUNCTION("""COMPUTED_VALUE"""),"Head")</f>
        <v>Head</v>
      </c>
      <c r="C265" s="16" t="str">
        <f>IFERROR(__xludf.DUMMYFUNCTION("""COMPUTED_VALUE"""),"Quest Item")</f>
        <v>Quest Item</v>
      </c>
      <c r="D265" s="16"/>
      <c r="E265" s="16">
        <f>IFERROR(__xludf.DUMMYFUNCTION("""COMPUTED_VALUE"""),200.0)</f>
        <v>200</v>
      </c>
      <c r="F265" s="108">
        <f>IFERROR(__xludf.DUMMYFUNCTION("""COMPUTED_VALUE"""),1.1175E8)</f>
        <v>111750000</v>
      </c>
      <c r="G265" s="16" t="str">
        <f>IFERROR(__xludf.DUMMYFUNCTION("""COMPUTED_VALUE"""),"DEF")</f>
        <v>DEF</v>
      </c>
      <c r="H265" s="119">
        <f>IFERROR(__xludf.DUMMYFUNCTION("""COMPUTED_VALUE"""),25000.0)</f>
        <v>25000</v>
      </c>
      <c r="I265" s="16"/>
      <c r="J265" s="16"/>
      <c r="K265" s="16"/>
      <c r="L265" s="16"/>
      <c r="M265" s="16"/>
      <c r="N265" s="119">
        <f>IFERROR(__xludf.DUMMYFUNCTION("""COMPUTED_VALUE"""),25000.0)</f>
        <v>25000</v>
      </c>
      <c r="O265" s="16"/>
      <c r="P265" s="16"/>
      <c r="Q265" s="16"/>
      <c r="R265" s="16"/>
      <c r="S265" s="16"/>
      <c r="T265" s="16"/>
      <c r="U265" s="16"/>
      <c r="V265" s="16"/>
      <c r="W265" s="16"/>
      <c r="X265" s="16"/>
      <c r="Y265" s="16"/>
      <c r="Z265" s="16"/>
      <c r="AA265" s="16"/>
      <c r="AB265" s="16"/>
      <c r="AC265" s="119">
        <f>IFERROR(__xludf.DUMMYFUNCTION("""COMPUTED_VALUE"""),25000.0)</f>
        <v>25000</v>
      </c>
      <c r="AD265" s="16"/>
      <c r="AE265" s="16"/>
      <c r="AF265" s="16"/>
      <c r="AG265" s="16" t="str">
        <f>IFERROR(__xludf.DUMMYFUNCTION("""COMPUTED_VALUE"""),"Land of Spira")</f>
        <v>Land of Spira</v>
      </c>
      <c r="AH265" s="16" t="b">
        <f>IFERROR(__xludf.DUMMYFUNCTION("""COMPUTED_VALUE"""),TRUE)</f>
        <v>1</v>
      </c>
    </row>
    <row r="266">
      <c r="A266" s="16" t="str">
        <f>IFERROR(__xludf.DUMMYFUNCTION("""COMPUTED_VALUE"""),"Guard Shield")</f>
        <v>Guard Shield</v>
      </c>
      <c r="B266" s="16" t="str">
        <f>IFERROR(__xludf.DUMMYFUNCTION("""COMPUTED_VALUE"""),"Hand")</f>
        <v>Hand</v>
      </c>
      <c r="C266" s="16" t="str">
        <f>IFERROR(__xludf.DUMMYFUNCTION("""COMPUTED_VALUE"""),"Quest Item")</f>
        <v>Quest Item</v>
      </c>
      <c r="D266" s="16" t="str">
        <f>IFERROR(__xludf.DUMMYFUNCTION("""COMPUTED_VALUE"""),"Towershield")</f>
        <v>Towershield</v>
      </c>
      <c r="E266" s="16">
        <f>IFERROR(__xludf.DUMMYFUNCTION("""COMPUTED_VALUE"""),200.0)</f>
        <v>200</v>
      </c>
      <c r="F266" s="108">
        <f>IFERROR(__xludf.DUMMYFUNCTION("""COMPUTED_VALUE"""),1.1175E8)</f>
        <v>111750000</v>
      </c>
      <c r="G266" s="16" t="str">
        <f>IFERROR(__xludf.DUMMYFUNCTION("""COMPUTED_VALUE"""),"DEF")</f>
        <v>DEF</v>
      </c>
      <c r="H266" s="119">
        <f>IFERROR(__xludf.DUMMYFUNCTION("""COMPUTED_VALUE"""),25000.0)</f>
        <v>25000</v>
      </c>
      <c r="I266" s="16"/>
      <c r="J266" s="16"/>
      <c r="K266" s="16"/>
      <c r="L266" s="16"/>
      <c r="M266" s="16"/>
      <c r="N266" s="119">
        <f>IFERROR(__xludf.DUMMYFUNCTION("""COMPUTED_VALUE"""),25000.0)</f>
        <v>25000</v>
      </c>
      <c r="O266" s="16"/>
      <c r="P266" s="16"/>
      <c r="Q266" s="16"/>
      <c r="R266" s="16"/>
      <c r="S266" s="16"/>
      <c r="T266" s="16"/>
      <c r="U266" s="16"/>
      <c r="V266" s="16"/>
      <c r="W266" s="16"/>
      <c r="X266" s="16"/>
      <c r="Y266" s="16"/>
      <c r="Z266" s="16"/>
      <c r="AA266" s="16"/>
      <c r="AB266" s="16"/>
      <c r="AC266" s="119">
        <f>IFERROR(__xludf.DUMMYFUNCTION("""COMPUTED_VALUE"""),25000.0)</f>
        <v>25000</v>
      </c>
      <c r="AD266" s="16"/>
      <c r="AE266" s="16"/>
      <c r="AF266" s="16"/>
      <c r="AG266" s="16" t="str">
        <f>IFERROR(__xludf.DUMMYFUNCTION("""COMPUTED_VALUE"""),"Land of Spira")</f>
        <v>Land of Spira</v>
      </c>
      <c r="AH266" s="16" t="b">
        <f>IFERROR(__xludf.DUMMYFUNCTION("""COMPUTED_VALUE"""),TRUE)</f>
        <v>1</v>
      </c>
    </row>
    <row r="267">
      <c r="A267" s="16" t="str">
        <f>IFERROR(__xludf.DUMMYFUNCTION("""COMPUTED_VALUE"""),"Guard Sword")</f>
        <v>Guard Sword</v>
      </c>
      <c r="B267" s="16" t="str">
        <f>IFERROR(__xludf.DUMMYFUNCTION("""COMPUTED_VALUE"""),"Hand")</f>
        <v>Hand</v>
      </c>
      <c r="C267" s="16" t="str">
        <f>IFERROR(__xludf.DUMMYFUNCTION("""COMPUTED_VALUE"""),"Quest Item")</f>
        <v>Quest Item</v>
      </c>
      <c r="D267" s="16" t="str">
        <f>IFERROR(__xludf.DUMMYFUNCTION("""COMPUTED_VALUE"""),"Sword")</f>
        <v>Sword</v>
      </c>
      <c r="E267" s="16">
        <f>IFERROR(__xludf.DUMMYFUNCTION("""COMPUTED_VALUE"""),200.0)</f>
        <v>200</v>
      </c>
      <c r="F267" s="108">
        <f>IFERROR(__xludf.DUMMYFUNCTION("""COMPUTED_VALUE"""),1.1175E8)</f>
        <v>111750000</v>
      </c>
      <c r="G267" s="16" t="str">
        <f>IFERROR(__xludf.DUMMYFUNCTION("""COMPUTED_VALUE"""),"DMG")</f>
        <v>DMG</v>
      </c>
      <c r="H267" s="119">
        <f>IFERROR(__xludf.DUMMYFUNCTION("""COMPUTED_VALUE"""),25000.0)</f>
        <v>25000</v>
      </c>
      <c r="I267" s="16"/>
      <c r="J267" s="16"/>
      <c r="K267" s="16"/>
      <c r="L267" s="16"/>
      <c r="M267" s="16"/>
      <c r="N267" s="119">
        <f>IFERROR(__xludf.DUMMYFUNCTION("""COMPUTED_VALUE"""),25000.0)</f>
        <v>25000</v>
      </c>
      <c r="O267" s="16"/>
      <c r="P267" s="16"/>
      <c r="Q267" s="16"/>
      <c r="R267" s="16"/>
      <c r="S267" s="16"/>
      <c r="T267" s="16"/>
      <c r="U267" s="16"/>
      <c r="V267" s="16"/>
      <c r="W267" s="16"/>
      <c r="X267" s="16"/>
      <c r="Y267" s="16"/>
      <c r="Z267" s="16"/>
      <c r="AA267" s="16"/>
      <c r="AB267" s="16"/>
      <c r="AC267" s="119">
        <f>IFERROR(__xludf.DUMMYFUNCTION("""COMPUTED_VALUE"""),25000.0)</f>
        <v>25000</v>
      </c>
      <c r="AD267" s="16"/>
      <c r="AE267" s="16"/>
      <c r="AF267" s="16"/>
      <c r="AG267" s="16" t="str">
        <f>IFERROR(__xludf.DUMMYFUNCTION("""COMPUTED_VALUE"""),"Land of Spira")</f>
        <v>Land of Spira</v>
      </c>
      <c r="AH267" s="16" t="b">
        <f>IFERROR(__xludf.DUMMYFUNCTION("""COMPUTED_VALUE"""),TRUE)</f>
        <v>1</v>
      </c>
    </row>
    <row r="268">
      <c r="A268" s="16" t="str">
        <f>IFERROR(__xludf.DUMMYFUNCTION("""COMPUTED_VALUE"""),"Steel Armor")</f>
        <v>Steel Armor</v>
      </c>
      <c r="B268" s="16" t="str">
        <f>IFERROR(__xludf.DUMMYFUNCTION("""COMPUTED_VALUE"""),"Torso")</f>
        <v>Torso</v>
      </c>
      <c r="C268" s="16"/>
      <c r="D268" s="16"/>
      <c r="E268" s="16">
        <f>IFERROR(__xludf.DUMMYFUNCTION("""COMPUTED_VALUE"""),1.0)</f>
        <v>1</v>
      </c>
      <c r="F268" s="108">
        <f>IFERROR(__xludf.DUMMYFUNCTION("""COMPUTED_VALUE"""),0.0)</f>
        <v>0</v>
      </c>
      <c r="G268" s="16" t="str">
        <f>IFERROR(__xludf.DUMMYFUNCTION("""COMPUTED_VALUE"""),"DEF")</f>
        <v>DEF</v>
      </c>
      <c r="H268" s="16">
        <f>IFERROR(__xludf.DUMMYFUNCTION("""COMPUTED_VALUE"""),20.0)</f>
        <v>20</v>
      </c>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t="str">
        <f>IFERROR(__xludf.DUMMYFUNCTION("""COMPUTED_VALUE"""),"Land of Spira")</f>
        <v>Land of Spira</v>
      </c>
      <c r="AH268" s="16" t="b">
        <f>IFERROR(__xludf.DUMMYFUNCTION("""COMPUTED_VALUE"""),TRUE)</f>
        <v>1</v>
      </c>
    </row>
    <row r="269">
      <c r="A269" s="16" t="str">
        <f>IFERROR(__xludf.DUMMYFUNCTION("""COMPUTED_VALUE"""),"Steel Broadsword")</f>
        <v>Steel Broadsword</v>
      </c>
      <c r="B269" s="16" t="str">
        <f>IFERROR(__xludf.DUMMYFUNCTION("""COMPUTED_VALUE"""),"Hand")</f>
        <v>Hand</v>
      </c>
      <c r="C269" s="16"/>
      <c r="D269" s="16" t="str">
        <f>IFERROR(__xludf.DUMMYFUNCTION("""COMPUTED_VALUE"""),"Sword")</f>
        <v>Sword</v>
      </c>
      <c r="E269" s="16">
        <f>IFERROR(__xludf.DUMMYFUNCTION("""COMPUTED_VALUE"""),40.0)</f>
        <v>40</v>
      </c>
      <c r="F269" s="108">
        <f>IFERROR(__xludf.DUMMYFUNCTION("""COMPUTED_VALUE"""),60000.0)</f>
        <v>60000</v>
      </c>
      <c r="G269" s="16" t="str">
        <f>IFERROR(__xludf.DUMMYFUNCTION("""COMPUTED_VALUE"""),"DMG")</f>
        <v>DMG</v>
      </c>
      <c r="H269" s="16">
        <f>IFERROR(__xludf.DUMMYFUNCTION("""COMPUTED_VALUE"""),2000.0)</f>
        <v>2000</v>
      </c>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t="str">
        <f>IFERROR(__xludf.DUMMYFUNCTION("""COMPUTED_VALUE"""),"Land of Spira")</f>
        <v>Land of Spira</v>
      </c>
      <c r="AH269" s="16" t="b">
        <f>IFERROR(__xludf.DUMMYFUNCTION("""COMPUTED_VALUE"""),TRUE)</f>
        <v>1</v>
      </c>
    </row>
    <row r="270">
      <c r="A270" s="16" t="str">
        <f>IFERROR(__xludf.DUMMYFUNCTION("""COMPUTED_VALUE"""),"Steel Sword")</f>
        <v>Steel Sword</v>
      </c>
      <c r="B270" s="16" t="str">
        <f>IFERROR(__xludf.DUMMYFUNCTION("""COMPUTED_VALUE"""),"Hand")</f>
        <v>Hand</v>
      </c>
      <c r="C270" s="16"/>
      <c r="D270" s="16" t="str">
        <f>IFERROR(__xludf.DUMMYFUNCTION("""COMPUTED_VALUE"""),"Sword")</f>
        <v>Sword</v>
      </c>
      <c r="E270" s="16">
        <f>IFERROR(__xludf.DUMMYFUNCTION("""COMPUTED_VALUE"""),10.0)</f>
        <v>10</v>
      </c>
      <c r="F270" s="108">
        <f>IFERROR(__xludf.DUMMYFUNCTION("""COMPUTED_VALUE"""),1000.0)</f>
        <v>1000</v>
      </c>
      <c r="G270" s="16" t="str">
        <f>IFERROR(__xludf.DUMMYFUNCTION("""COMPUTED_VALUE"""),"DMG")</f>
        <v>DMG</v>
      </c>
      <c r="H270" s="16">
        <f>IFERROR(__xludf.DUMMYFUNCTION("""COMPUTED_VALUE"""),500.0)</f>
        <v>500</v>
      </c>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t="str">
        <f>IFERROR(__xludf.DUMMYFUNCTION("""COMPUTED_VALUE"""),"Land of Spira")</f>
        <v>Land of Spira</v>
      </c>
      <c r="AH270" s="16" t="b">
        <f>IFERROR(__xludf.DUMMYFUNCTION("""COMPUTED_VALUE"""),TRUE)</f>
        <v>1</v>
      </c>
    </row>
    <row r="271">
      <c r="A271" s="16" t="str">
        <f>IFERROR(__xludf.DUMMYFUNCTION("""COMPUTED_VALUE"""),"Stick of Mystery ")</f>
        <v>Stick of Mystery </v>
      </c>
      <c r="B271" s="16" t="str">
        <f>IFERROR(__xludf.DUMMYFUNCTION("""COMPUTED_VALUE"""),"Hand")</f>
        <v>Hand</v>
      </c>
      <c r="C271" s="16" t="str">
        <f>IFERROR(__xludf.DUMMYFUNCTION("""COMPUTED_VALUE"""),"Those who doubt the stick's power will suffer the stick's wrath")</f>
        <v>Those who doubt the stick's power will suffer the stick's wrath</v>
      </c>
      <c r="D271" s="16" t="str">
        <f>IFERROR(__xludf.DUMMYFUNCTION("""COMPUTED_VALUE"""),"Wand")</f>
        <v>Wand</v>
      </c>
      <c r="E271" s="16">
        <f>IFERROR(__xludf.DUMMYFUNCTION("""COMPUTED_VALUE"""),1.0)</f>
        <v>1</v>
      </c>
      <c r="F271" s="108">
        <f>IFERROR(__xludf.DUMMYFUNCTION("""COMPUTED_VALUE"""),0.0)</f>
        <v>0</v>
      </c>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t="str">
        <f>IFERROR(__xludf.DUMMYFUNCTION("""COMPUTED_VALUE"""),"++roll a d20 to see what it does :)")</f>
        <v>++roll a d20 to see what it does :)</v>
      </c>
      <c r="AG271" s="16" t="str">
        <f>IFERROR(__xludf.DUMMYFUNCTION("""COMPUTED_VALUE"""),"Land of Spira")</f>
        <v>Land of Spira</v>
      </c>
      <c r="AH271" s="16" t="b">
        <f>IFERROR(__xludf.DUMMYFUNCTION("""COMPUTED_VALUE"""),FALSE)</f>
        <v>0</v>
      </c>
    </row>
    <row r="272">
      <c r="A272" s="16" t="str">
        <f>IFERROR(__xludf.DUMMYFUNCTION("""COMPUTED_VALUE"""),"Stone Arming Sword")</f>
        <v>Stone Arming Sword</v>
      </c>
      <c r="B272" s="16" t="str">
        <f>IFERROR(__xludf.DUMMYFUNCTION("""COMPUTED_VALUE"""),"Hand")</f>
        <v>Hand</v>
      </c>
      <c r="C272" s="16"/>
      <c r="D272" s="16" t="str">
        <f>IFERROR(__xludf.DUMMYFUNCTION("""COMPUTED_VALUE"""),"Sword")</f>
        <v>Sword</v>
      </c>
      <c r="E272" s="16">
        <f>IFERROR(__xludf.DUMMYFUNCTION("""COMPUTED_VALUE"""),20.0)</f>
        <v>20</v>
      </c>
      <c r="F272" s="108">
        <f>IFERROR(__xludf.DUMMYFUNCTION("""COMPUTED_VALUE"""),1000.0)</f>
        <v>1000</v>
      </c>
      <c r="G272" s="16" t="str">
        <f>IFERROR(__xludf.DUMMYFUNCTION("""COMPUTED_VALUE"""),"DMG")</f>
        <v>DMG</v>
      </c>
      <c r="H272" s="16">
        <f>IFERROR(__xludf.DUMMYFUNCTION("""COMPUTED_VALUE"""),500.0)</f>
        <v>500</v>
      </c>
      <c r="I272" s="16"/>
      <c r="J272" s="16"/>
      <c r="K272" s="16"/>
      <c r="L272" s="16"/>
      <c r="M272" s="16"/>
      <c r="N272" s="16"/>
      <c r="O272" s="16">
        <f>IFERROR(__xludf.DUMMYFUNCTION("""COMPUTED_VALUE"""),200.0)</f>
        <v>200</v>
      </c>
      <c r="P272" s="16"/>
      <c r="Q272" s="16"/>
      <c r="R272" s="16"/>
      <c r="S272" s="16"/>
      <c r="T272" s="16"/>
      <c r="U272" s="16"/>
      <c r="V272" s="16"/>
      <c r="W272" s="16"/>
      <c r="X272" s="16"/>
      <c r="Y272" s="16"/>
      <c r="Z272" s="16"/>
      <c r="AA272" s="16"/>
      <c r="AB272" s="16"/>
      <c r="AC272" s="16"/>
      <c r="AD272" s="16"/>
      <c r="AE272" s="16"/>
      <c r="AF272" s="16"/>
      <c r="AG272" s="16" t="str">
        <f>IFERROR(__xludf.DUMMYFUNCTION("""COMPUTED_VALUE"""),"Land of Spira")</f>
        <v>Land of Spira</v>
      </c>
      <c r="AH272" s="16" t="b">
        <f>IFERROR(__xludf.DUMMYFUNCTION("""COMPUTED_VALUE"""),TRUE)</f>
        <v>1</v>
      </c>
    </row>
    <row r="273">
      <c r="A273" s="16" t="str">
        <f>IFERROR(__xludf.DUMMYFUNCTION("""COMPUTED_VALUE"""),"Stone Sledgehammer")</f>
        <v>Stone Sledgehammer</v>
      </c>
      <c r="B273" s="16" t="str">
        <f>IFERROR(__xludf.DUMMYFUNCTION("""COMPUTED_VALUE"""),"Hand")</f>
        <v>Hand</v>
      </c>
      <c r="C273" s="16"/>
      <c r="D273" s="16" t="str">
        <f>IFERROR(__xludf.DUMMYFUNCTION("""COMPUTED_VALUE"""),"Club")</f>
        <v>Club</v>
      </c>
      <c r="E273" s="16">
        <f>IFERROR(__xludf.DUMMYFUNCTION("""COMPUTED_VALUE"""),20.0)</f>
        <v>20</v>
      </c>
      <c r="F273" s="108">
        <f>IFERROR(__xludf.DUMMYFUNCTION("""COMPUTED_VALUE"""),1000.0)</f>
        <v>1000</v>
      </c>
      <c r="G273" s="16" t="str">
        <f>IFERROR(__xludf.DUMMYFUNCTION("""COMPUTED_VALUE"""),"DMG")</f>
        <v>DMG</v>
      </c>
      <c r="H273" s="16">
        <f>IFERROR(__xludf.DUMMYFUNCTION("""COMPUTED_VALUE"""),400.0)</f>
        <v>400</v>
      </c>
      <c r="I273" s="16"/>
      <c r="J273" s="16"/>
      <c r="K273" s="16"/>
      <c r="L273" s="16"/>
      <c r="M273" s="16">
        <f>IFERROR(__xludf.DUMMYFUNCTION("""COMPUTED_VALUE"""),200.0)</f>
        <v>200</v>
      </c>
      <c r="N273" s="16"/>
      <c r="O273" s="16"/>
      <c r="P273" s="16"/>
      <c r="Q273" s="16"/>
      <c r="R273" s="16"/>
      <c r="S273" s="16"/>
      <c r="T273" s="16"/>
      <c r="U273" s="16"/>
      <c r="V273" s="16"/>
      <c r="W273" s="16"/>
      <c r="X273" s="16"/>
      <c r="Y273" s="16"/>
      <c r="Z273" s="16"/>
      <c r="AA273" s="16"/>
      <c r="AB273" s="16"/>
      <c r="AC273" s="16"/>
      <c r="AD273" s="16"/>
      <c r="AE273" s="16"/>
      <c r="AF273" s="16"/>
      <c r="AG273" s="16" t="str">
        <f>IFERROR(__xludf.DUMMYFUNCTION("""COMPUTED_VALUE"""),"Land of Spira")</f>
        <v>Land of Spira</v>
      </c>
      <c r="AH273" s="16" t="b">
        <f>IFERROR(__xludf.DUMMYFUNCTION("""COMPUTED_VALUE"""),TRUE)</f>
        <v>1</v>
      </c>
    </row>
    <row r="274">
      <c r="A274" s="16" t="str">
        <f>IFERROR(__xludf.DUMMYFUNCTION("""COMPUTED_VALUE"""),"Stone Small Shield")</f>
        <v>Stone Small Shield</v>
      </c>
      <c r="B274" s="16" t="str">
        <f>IFERROR(__xludf.DUMMYFUNCTION("""COMPUTED_VALUE"""),"Hand")</f>
        <v>Hand</v>
      </c>
      <c r="C274" s="16"/>
      <c r="D274" s="16" t="str">
        <f>IFERROR(__xludf.DUMMYFUNCTION("""COMPUTED_VALUE"""),"Buckler")</f>
        <v>Buckler</v>
      </c>
      <c r="E274" s="16">
        <f>IFERROR(__xludf.DUMMYFUNCTION("""COMPUTED_VALUE"""),1.0)</f>
        <v>1</v>
      </c>
      <c r="F274" s="108">
        <f>IFERROR(__xludf.DUMMYFUNCTION("""COMPUTED_VALUE"""),0.0)</f>
        <v>0</v>
      </c>
      <c r="G274" s="16" t="str">
        <f>IFERROR(__xludf.DUMMYFUNCTION("""COMPUTED_VALUE"""),"DEF")</f>
        <v>DEF</v>
      </c>
      <c r="H274" s="16">
        <f>IFERROR(__xludf.DUMMYFUNCTION("""COMPUTED_VALUE"""),100.0)</f>
        <v>100</v>
      </c>
      <c r="I274" s="16"/>
      <c r="J274" s="16"/>
      <c r="K274" s="16"/>
      <c r="L274" s="16"/>
      <c r="M274" s="16"/>
      <c r="N274" s="16"/>
      <c r="O274" s="16"/>
      <c r="P274" s="16"/>
      <c r="Q274" s="16"/>
      <c r="R274" s="16"/>
      <c r="S274" s="16"/>
      <c r="T274" s="16"/>
      <c r="U274" s="16"/>
      <c r="V274" s="16"/>
      <c r="W274" s="16"/>
      <c r="X274" s="16"/>
      <c r="Y274" s="16"/>
      <c r="Z274" s="16"/>
      <c r="AA274" s="16"/>
      <c r="AB274" s="16"/>
      <c r="AC274" s="16"/>
      <c r="AD274" s="16"/>
      <c r="AE274" s="16"/>
      <c r="AF274" s="16"/>
      <c r="AG274" s="16" t="str">
        <f>IFERROR(__xludf.DUMMYFUNCTION("""COMPUTED_VALUE"""),"Land of Spira")</f>
        <v>Land of Spira</v>
      </c>
      <c r="AH274" s="16" t="b">
        <f>IFERROR(__xludf.DUMMYFUNCTION("""COMPUTED_VALUE"""),TRUE)</f>
        <v>1</v>
      </c>
    </row>
    <row r="275">
      <c r="A275" s="16" t="str">
        <f>IFERROR(__xludf.DUMMYFUNCTION("""COMPUTED_VALUE"""),"Stonewall Shield")</f>
        <v>Stonewall Shield</v>
      </c>
      <c r="B275" s="16" t="str">
        <f>IFERROR(__xludf.DUMMYFUNCTION("""COMPUTED_VALUE"""),"Hand")</f>
        <v>Hand</v>
      </c>
      <c r="C275" s="16"/>
      <c r="D275" s="16" t="str">
        <f>IFERROR(__xludf.DUMMYFUNCTION("""COMPUTED_VALUE"""),"Towershield")</f>
        <v>Towershield</v>
      </c>
      <c r="E275" s="16">
        <f>IFERROR(__xludf.DUMMYFUNCTION("""COMPUTED_VALUE"""),10.0)</f>
        <v>10</v>
      </c>
      <c r="F275" s="108">
        <f>IFERROR(__xludf.DUMMYFUNCTION("""COMPUTED_VALUE"""),1000.0)</f>
        <v>1000</v>
      </c>
      <c r="G275" s="16" t="str">
        <f>IFERROR(__xludf.DUMMYFUNCTION("""COMPUTED_VALUE"""),"DEF")</f>
        <v>DEF</v>
      </c>
      <c r="H275" s="16">
        <f>IFERROR(__xludf.DUMMYFUNCTION("""COMPUTED_VALUE"""),500.0)</f>
        <v>500</v>
      </c>
      <c r="I275" s="16"/>
      <c r="J275" s="16"/>
      <c r="K275" s="16"/>
      <c r="L275" s="16"/>
      <c r="M275" s="16"/>
      <c r="N275" s="16"/>
      <c r="O275" s="16"/>
      <c r="P275" s="16"/>
      <c r="Q275" s="16"/>
      <c r="R275" s="16"/>
      <c r="S275" s="16"/>
      <c r="T275" s="16"/>
      <c r="U275" s="16"/>
      <c r="V275" s="16"/>
      <c r="W275" s="16"/>
      <c r="X275" s="16"/>
      <c r="Y275" s="16"/>
      <c r="Z275" s="16"/>
      <c r="AA275" s="16"/>
      <c r="AB275" s="16"/>
      <c r="AC275" s="16"/>
      <c r="AD275" s="16"/>
      <c r="AE275" s="16"/>
      <c r="AF275" s="16" t="str">
        <f>IFERROR(__xludf.DUMMYFUNCTION("""COMPUTED_VALUE"""),"++Immunity to earth")</f>
        <v>++Immunity to earth</v>
      </c>
      <c r="AG275" s="16" t="str">
        <f>IFERROR(__xludf.DUMMYFUNCTION("""COMPUTED_VALUE"""),"Land of Spira")</f>
        <v>Land of Spira</v>
      </c>
      <c r="AH275" s="16" t="b">
        <f>IFERROR(__xludf.DUMMYFUNCTION("""COMPUTED_VALUE"""),TRUE)</f>
        <v>1</v>
      </c>
    </row>
    <row r="276">
      <c r="A276" s="16" t="str">
        <f>IFERROR(__xludf.DUMMYFUNCTION("""COMPUTED_VALUE"""),"Sturdy Wooden Shield")</f>
        <v>Sturdy Wooden Shield</v>
      </c>
      <c r="B276" s="16" t="str">
        <f>IFERROR(__xludf.DUMMYFUNCTION("""COMPUTED_VALUE"""),"Hand")</f>
        <v>Hand</v>
      </c>
      <c r="C276" s="16" t="str">
        <f>IFERROR(__xludf.DUMMYFUNCTION("""COMPUTED_VALUE"""),"A wooden shield")</f>
        <v>A wooden shield</v>
      </c>
      <c r="D276" s="16" t="str">
        <f>IFERROR(__xludf.DUMMYFUNCTION("""COMPUTED_VALUE"""),"Towershield")</f>
        <v>Towershield</v>
      </c>
      <c r="E276" s="16">
        <f>IFERROR(__xludf.DUMMYFUNCTION("""COMPUTED_VALUE"""),1.0)</f>
        <v>1</v>
      </c>
      <c r="F276" s="108">
        <f>IFERROR(__xludf.DUMMYFUNCTION("""COMPUTED_VALUE"""),0.0)</f>
        <v>0</v>
      </c>
      <c r="G276" s="16" t="str">
        <f>IFERROR(__xludf.DUMMYFUNCTION("""COMPUTED_VALUE"""),"DEF")</f>
        <v>DEF</v>
      </c>
      <c r="H276" s="16">
        <f>IFERROR(__xludf.DUMMYFUNCTION("""COMPUTED_VALUE"""),50.0)</f>
        <v>50</v>
      </c>
      <c r="I276" s="16"/>
      <c r="J276" s="16"/>
      <c r="K276" s="16"/>
      <c r="L276" s="16"/>
      <c r="M276" s="16"/>
      <c r="N276" s="16"/>
      <c r="O276" s="16"/>
      <c r="P276" s="16"/>
      <c r="Q276" s="16"/>
      <c r="R276" s="16"/>
      <c r="S276" s="16"/>
      <c r="T276" s="16"/>
      <c r="U276" s="16"/>
      <c r="V276" s="16"/>
      <c r="W276" s="16"/>
      <c r="X276" s="16"/>
      <c r="Y276" s="16"/>
      <c r="Z276" s="16"/>
      <c r="AA276" s="16"/>
      <c r="AB276" s="16"/>
      <c r="AC276" s="16"/>
      <c r="AD276" s="16"/>
      <c r="AE276" s="16"/>
      <c r="AF276" s="16"/>
      <c r="AG276" s="16" t="str">
        <f>IFERROR(__xludf.DUMMYFUNCTION("""COMPUTED_VALUE"""),"Land of Spira")</f>
        <v>Land of Spira</v>
      </c>
      <c r="AH276" s="16" t="b">
        <f>IFERROR(__xludf.DUMMYFUNCTION("""COMPUTED_VALUE"""),TRUE)</f>
        <v>1</v>
      </c>
    </row>
    <row r="277">
      <c r="A277" s="16" t="str">
        <f>IFERROR(__xludf.DUMMYFUNCTION("""COMPUTED_VALUE"""),"Swampville Dagger")</f>
        <v>Swampville Dagger</v>
      </c>
      <c r="B277" s="16" t="str">
        <f>IFERROR(__xludf.DUMMYFUNCTION("""COMPUTED_VALUE"""),"Hand")</f>
        <v>Hand</v>
      </c>
      <c r="C277" s="16"/>
      <c r="D277" s="16" t="str">
        <f>IFERROR(__xludf.DUMMYFUNCTION("""COMPUTED_VALUE"""),"Knife")</f>
        <v>Knife</v>
      </c>
      <c r="E277" s="16">
        <f>IFERROR(__xludf.DUMMYFUNCTION("""COMPUTED_VALUE"""),400.0)</f>
        <v>400</v>
      </c>
      <c r="F277" s="108">
        <f>IFERROR(__xludf.DUMMYFUNCTION("""COMPUTED_VALUE"""),7800000.0)</f>
        <v>7800000</v>
      </c>
      <c r="G277" s="16" t="str">
        <f>IFERROR(__xludf.DUMMYFUNCTION("""COMPUTED_VALUE"""),"DMG")</f>
        <v>DMG</v>
      </c>
      <c r="H277" s="119">
        <f>IFERROR(__xludf.DUMMYFUNCTION("""COMPUTED_VALUE"""),10000.0)</f>
        <v>10000</v>
      </c>
      <c r="I277" s="16"/>
      <c r="J277" s="16"/>
      <c r="K277" s="16"/>
      <c r="L277" s="16"/>
      <c r="M277" s="16"/>
      <c r="N277" s="16"/>
      <c r="O277" s="16"/>
      <c r="P277" s="16"/>
      <c r="Q277" s="16"/>
      <c r="R277" s="16"/>
      <c r="S277" s="119">
        <f>IFERROR(__xludf.DUMMYFUNCTION("""COMPUTED_VALUE"""),10000.0)</f>
        <v>10000</v>
      </c>
      <c r="T277" s="16"/>
      <c r="U277" s="16"/>
      <c r="V277" s="16"/>
      <c r="W277" s="16"/>
      <c r="X277" s="16"/>
      <c r="Y277" s="16"/>
      <c r="Z277" s="16"/>
      <c r="AA277" s="16"/>
      <c r="AB277" s="16"/>
      <c r="AC277" s="16"/>
      <c r="AD277" s="16"/>
      <c r="AE277" s="16"/>
      <c r="AF277" s="16" t="str">
        <f>IFERROR(__xludf.DUMMYFUNCTION("""COMPUTED_VALUE"""),"++Poison 5000 for 3 rounds.")</f>
        <v>++Poison 5000 for 3 rounds.</v>
      </c>
      <c r="AG277" s="16" t="str">
        <f>IFERROR(__xludf.DUMMYFUNCTION("""COMPUTED_VALUE"""),"Land of Spira")</f>
        <v>Land of Spira</v>
      </c>
      <c r="AH277" s="16" t="b">
        <f>IFERROR(__xludf.DUMMYFUNCTION("""COMPUTED_VALUE"""),TRUE)</f>
        <v>1</v>
      </c>
    </row>
    <row r="278">
      <c r="A278" s="16" t="str">
        <f>IFERROR(__xludf.DUMMYFUNCTION("""COMPUTED_VALUE"""),"Sword of Bad Luck")</f>
        <v>Sword of Bad Luck</v>
      </c>
      <c r="B278" s="16" t="str">
        <f>IFERROR(__xludf.DUMMYFUNCTION("""COMPUTED_VALUE"""),"Hand")</f>
        <v>Hand</v>
      </c>
      <c r="C278" s="16"/>
      <c r="D278" s="16" t="str">
        <f>IFERROR(__xludf.DUMMYFUNCTION("""COMPUTED_VALUE"""),"Sword")</f>
        <v>Sword</v>
      </c>
      <c r="E278" s="16">
        <f>IFERROR(__xludf.DUMMYFUNCTION("""COMPUTED_VALUE"""),600.0)</f>
        <v>600</v>
      </c>
      <c r="F278" s="108">
        <f>IFERROR(__xludf.DUMMYFUNCTION("""COMPUTED_VALUE"""),1.77E7)</f>
        <v>17700000</v>
      </c>
      <c r="G278" s="16" t="str">
        <f>IFERROR(__xludf.DUMMYFUNCTION("""COMPUTED_VALUE"""),"DMG")</f>
        <v>DMG</v>
      </c>
      <c r="H278" s="119">
        <f>IFERROR(__xludf.DUMMYFUNCTION("""COMPUTED_VALUE"""),30000.0)</f>
        <v>30000</v>
      </c>
      <c r="I278" s="16"/>
      <c r="J278" s="16"/>
      <c r="K278" s="16"/>
      <c r="L278" s="16"/>
      <c r="M278" s="16"/>
      <c r="N278" s="16"/>
      <c r="O278" s="16"/>
      <c r="P278" s="16"/>
      <c r="Q278" s="16"/>
      <c r="R278" s="16"/>
      <c r="S278" s="16"/>
      <c r="T278" s="16"/>
      <c r="U278" s="16"/>
      <c r="V278" s="16"/>
      <c r="W278" s="16"/>
      <c r="X278" s="16"/>
      <c r="Y278" s="16"/>
      <c r="Z278" s="16"/>
      <c r="AA278" s="16"/>
      <c r="AB278" s="16"/>
      <c r="AC278" s="16"/>
      <c r="AD278" s="16"/>
      <c r="AE278" s="16"/>
      <c r="AF278" s="16" t="str">
        <f>IFERROR(__xludf.DUMMYFUNCTION("""COMPUTED_VALUE"""),"++GSteal - Steal X amount of gilders equal to the amount of damage caused with this weapon.")</f>
        <v>++GSteal - Steal X amount of gilders equal to the amount of damage caused with this weapon.</v>
      </c>
      <c r="AG278" s="16" t="str">
        <f>IFERROR(__xludf.DUMMYFUNCTION("""COMPUTED_VALUE"""),"Land of The Forgotten")</f>
        <v>Land of The Forgotten</v>
      </c>
      <c r="AH278" s="16" t="b">
        <f>IFERROR(__xludf.DUMMYFUNCTION("""COMPUTED_VALUE"""),FALSE)</f>
        <v>0</v>
      </c>
    </row>
    <row r="279">
      <c r="A279" s="16" t="str">
        <f>IFERROR(__xludf.DUMMYFUNCTION("""COMPUTED_VALUE"""),"Sword of Chaotic Shadows")</f>
        <v>Sword of Chaotic Shadows</v>
      </c>
      <c r="B279" s="16" t="str">
        <f>IFERROR(__xludf.DUMMYFUNCTION("""COMPUTED_VALUE"""),"Hand")</f>
        <v>Hand</v>
      </c>
      <c r="C279" s="16"/>
      <c r="D279" s="16" t="str">
        <f>IFERROR(__xludf.DUMMYFUNCTION("""COMPUTED_VALUE"""),"Sword")</f>
        <v>Sword</v>
      </c>
      <c r="E279" s="16">
        <f>IFERROR(__xludf.DUMMYFUNCTION("""COMPUTED_VALUE"""),600.0)</f>
        <v>600</v>
      </c>
      <c r="F279" s="108">
        <f>IFERROR(__xludf.DUMMYFUNCTION("""COMPUTED_VALUE"""),1.77E7)</f>
        <v>17700000</v>
      </c>
      <c r="G279" s="16" t="str">
        <f>IFERROR(__xludf.DUMMYFUNCTION("""COMPUTED_VALUE"""),"DMG")</f>
        <v>DMG</v>
      </c>
      <c r="H279" s="119">
        <f>IFERROR(__xludf.DUMMYFUNCTION("""COMPUTED_VALUE"""),10000.0)</f>
        <v>10000</v>
      </c>
      <c r="I279" s="16"/>
      <c r="J279" s="16"/>
      <c r="K279" s="16"/>
      <c r="L279" s="16"/>
      <c r="M279" s="16"/>
      <c r="N279" s="16"/>
      <c r="O279" s="119">
        <f>IFERROR(__xludf.DUMMYFUNCTION("""COMPUTED_VALUE"""),10000.0)</f>
        <v>10000</v>
      </c>
      <c r="P279" s="16"/>
      <c r="Q279" s="16"/>
      <c r="R279" s="119">
        <f>IFERROR(__xludf.DUMMYFUNCTION("""COMPUTED_VALUE"""),10000.0)</f>
        <v>10000</v>
      </c>
      <c r="S279" s="16"/>
      <c r="T279" s="16"/>
      <c r="U279" s="16"/>
      <c r="V279" s="16"/>
      <c r="W279" s="16"/>
      <c r="X279" s="16"/>
      <c r="Y279" s="16"/>
      <c r="Z279" s="16"/>
      <c r="AA279" s="16"/>
      <c r="AB279" s="16"/>
      <c r="AC279" s="16"/>
      <c r="AD279" s="16"/>
      <c r="AE279" s="16"/>
      <c r="AF279" s="16"/>
      <c r="AG279" s="16" t="str">
        <f>IFERROR(__xludf.DUMMYFUNCTION("""COMPUTED_VALUE"""),"Land of Spira")</f>
        <v>Land of Spira</v>
      </c>
      <c r="AH279" s="16" t="b">
        <f>IFERROR(__xludf.DUMMYFUNCTION("""COMPUTED_VALUE"""),TRUE)</f>
        <v>1</v>
      </c>
    </row>
    <row r="280">
      <c r="A280" s="16" t="str">
        <f>IFERROR(__xludf.DUMMYFUNCTION("""COMPUTED_VALUE"""),"Sword Of Darkness")</f>
        <v>Sword Of Darkness</v>
      </c>
      <c r="B280" s="16" t="str">
        <f>IFERROR(__xludf.DUMMYFUNCTION("""COMPUTED_VALUE"""),"Hand")</f>
        <v>Hand</v>
      </c>
      <c r="C280" s="16"/>
      <c r="D280" s="16" t="str">
        <f>IFERROR(__xludf.DUMMYFUNCTION("""COMPUTED_VALUE"""),"Sword")</f>
        <v>Sword</v>
      </c>
      <c r="E280" s="16">
        <f>IFERROR(__xludf.DUMMYFUNCTION("""COMPUTED_VALUE"""),20.0)</f>
        <v>20</v>
      </c>
      <c r="F280" s="108">
        <f>IFERROR(__xludf.DUMMYFUNCTION("""COMPUTED_VALUE"""),1000.0)</f>
        <v>1000</v>
      </c>
      <c r="G280" s="16" t="str">
        <f>IFERROR(__xludf.DUMMYFUNCTION("""COMPUTED_VALUE"""),"DMG")</f>
        <v>DMG</v>
      </c>
      <c r="H280" s="16">
        <f>IFERROR(__xludf.DUMMYFUNCTION("""COMPUTED_VALUE"""),500.0)</f>
        <v>500</v>
      </c>
      <c r="I280" s="16"/>
      <c r="J280" s="16"/>
      <c r="K280" s="16"/>
      <c r="L280" s="16"/>
      <c r="M280" s="16"/>
      <c r="N280" s="16"/>
      <c r="O280" s="16">
        <f>IFERROR(__xludf.DUMMYFUNCTION("""COMPUTED_VALUE"""),200.0)</f>
        <v>200</v>
      </c>
      <c r="P280" s="16"/>
      <c r="Q280" s="16"/>
      <c r="R280" s="16"/>
      <c r="S280" s="16"/>
      <c r="T280" s="16"/>
      <c r="U280" s="16"/>
      <c r="V280" s="16"/>
      <c r="W280" s="16"/>
      <c r="X280" s="16"/>
      <c r="Y280" s="16"/>
      <c r="Z280" s="16"/>
      <c r="AA280" s="16"/>
      <c r="AB280" s="16"/>
      <c r="AC280" s="16"/>
      <c r="AD280" s="16"/>
      <c r="AE280" s="16"/>
      <c r="AF280" s="16"/>
      <c r="AG280" s="16" t="str">
        <f>IFERROR(__xludf.DUMMYFUNCTION("""COMPUTED_VALUE"""),"Land of Spira")</f>
        <v>Land of Spira</v>
      </c>
      <c r="AH280" s="16" t="b">
        <f>IFERROR(__xludf.DUMMYFUNCTION("""COMPUTED_VALUE"""),TRUE)</f>
        <v>1</v>
      </c>
    </row>
    <row r="281">
      <c r="A281" s="16" t="str">
        <f>IFERROR(__xludf.DUMMYFUNCTION("""COMPUTED_VALUE"""),"Sword of Disorder")</f>
        <v>Sword of Disorder</v>
      </c>
      <c r="B281" s="16" t="str">
        <f>IFERROR(__xludf.DUMMYFUNCTION("""COMPUTED_VALUE"""),"Hand")</f>
        <v>Hand</v>
      </c>
      <c r="C281" s="16"/>
      <c r="D281" s="16" t="str">
        <f>IFERROR(__xludf.DUMMYFUNCTION("""COMPUTED_VALUE"""),"Sword")</f>
        <v>Sword</v>
      </c>
      <c r="E281" s="16">
        <f>IFERROR(__xludf.DUMMYFUNCTION("""COMPUTED_VALUE"""),1.0)</f>
        <v>1</v>
      </c>
      <c r="F281" s="108">
        <f>IFERROR(__xludf.DUMMYFUNCTION("""COMPUTED_VALUE"""),0.0)</f>
        <v>0</v>
      </c>
      <c r="G281" s="16"/>
      <c r="H281" s="16"/>
      <c r="I281" s="16"/>
      <c r="J281" s="16"/>
      <c r="K281" s="16"/>
      <c r="L281" s="16"/>
      <c r="M281" s="16"/>
      <c r="N281" s="16"/>
      <c r="O281" s="16"/>
      <c r="P281" s="16"/>
      <c r="Q281" s="16"/>
      <c r="R281" s="16"/>
      <c r="S281" s="16"/>
      <c r="T281" s="16"/>
      <c r="U281" s="16"/>
      <c r="V281" s="16"/>
      <c r="W281" s="16"/>
      <c r="X281" s="16"/>
      <c r="Y281" s="16"/>
      <c r="Z281" s="16"/>
      <c r="AA281" s="16"/>
      <c r="AB281" s="16"/>
      <c r="AC281" s="16"/>
      <c r="AD281" s="16"/>
      <c r="AE281" s="16"/>
      <c r="AF281" s="16" t="str">
        <f>IFERROR(__xludf.DUMMYFUNCTION("""COMPUTED_VALUE"""),"++Make a fail or succeed roll while attacking to determine the effect. Fail = 1 damage. Succeed = 50,000 Chaos damage.
")</f>
        <v>++Make a fail or succeed roll while attacking to determine the effect. Fail = 1 damage. Succeed = 50,000 Chaos damage.
</v>
      </c>
      <c r="AG281" s="16" t="str">
        <f>IFERROR(__xludf.DUMMYFUNCTION("""COMPUTED_VALUE"""),"Land of Spira")</f>
        <v>Land of Spira</v>
      </c>
      <c r="AH281" s="16" t="b">
        <f>IFERROR(__xludf.DUMMYFUNCTION("""COMPUTED_VALUE"""),FALSE)</f>
        <v>0</v>
      </c>
    </row>
    <row r="282">
      <c r="A282" s="16" t="str">
        <f>IFERROR(__xludf.DUMMYFUNCTION("""COMPUTED_VALUE"""),"Sword Of Divine Flames")</f>
        <v>Sword Of Divine Flames</v>
      </c>
      <c r="B282" s="16" t="str">
        <f>IFERROR(__xludf.DUMMYFUNCTION("""COMPUTED_VALUE"""),"Hand")</f>
        <v>Hand</v>
      </c>
      <c r="C282" s="16"/>
      <c r="D282" s="16" t="str">
        <f>IFERROR(__xludf.DUMMYFUNCTION("""COMPUTED_VALUE"""),"Sword")</f>
        <v>Sword</v>
      </c>
      <c r="E282" s="16">
        <f>IFERROR(__xludf.DUMMYFUNCTION("""COMPUTED_VALUE"""),300.0)</f>
        <v>300</v>
      </c>
      <c r="F282" s="108">
        <f>IFERROR(__xludf.DUMMYFUNCTION("""COMPUTED_VALUE"""),4350000.0)</f>
        <v>4350000</v>
      </c>
      <c r="G282" s="16" t="str">
        <f>IFERROR(__xludf.DUMMYFUNCTION("""COMPUTED_VALUE"""),"DMG")</f>
        <v>DMG</v>
      </c>
      <c r="H282" s="16">
        <f>IFERROR(__xludf.DUMMYFUNCTION("""COMPUTED_VALUE"""),10000.0)</f>
        <v>10000</v>
      </c>
      <c r="I282" s="16">
        <f>IFERROR(__xludf.DUMMYFUNCTION("""COMPUTED_VALUE"""),5000.0)</f>
        <v>5000</v>
      </c>
      <c r="J282" s="16"/>
      <c r="K282" s="16"/>
      <c r="L282" s="16"/>
      <c r="M282" s="16"/>
      <c r="N282" s="16"/>
      <c r="O282" s="16"/>
      <c r="P282" s="16"/>
      <c r="Q282" s="16"/>
      <c r="R282" s="16"/>
      <c r="S282" s="16"/>
      <c r="T282" s="16"/>
      <c r="U282" s="16"/>
      <c r="V282" s="16"/>
      <c r="W282" s="16"/>
      <c r="X282" s="16"/>
      <c r="Y282" s="16"/>
      <c r="Z282" s="16"/>
      <c r="AA282" s="16"/>
      <c r="AB282" s="16"/>
      <c r="AC282" s="16"/>
      <c r="AD282" s="16"/>
      <c r="AE282" s="16"/>
      <c r="AF282" s="16" t="str">
        <f>IFERROR(__xludf.DUMMYFUNCTION("""COMPUTED_VALUE"""),"++Divine Flame - Fire spells and weapons will deal an additional X2 damage while this weapon is equipped")</f>
        <v>++Divine Flame - Fire spells and weapons will deal an additional X2 damage while this weapon is equipped</v>
      </c>
      <c r="AG282" s="16" t="str">
        <f>IFERROR(__xludf.DUMMYFUNCTION("""COMPUTED_VALUE"""),"Land of Spira")</f>
        <v>Land of Spira</v>
      </c>
      <c r="AH282" s="16" t="b">
        <f>IFERROR(__xludf.DUMMYFUNCTION("""COMPUTED_VALUE"""),FALSE)</f>
        <v>0</v>
      </c>
    </row>
    <row r="283">
      <c r="A283" s="16" t="str">
        <f>IFERROR(__xludf.DUMMYFUNCTION("""COMPUTED_VALUE"""),"Sword of Eternal darkness")</f>
        <v>Sword of Eternal darkness</v>
      </c>
      <c r="B283" s="16" t="str">
        <f>IFERROR(__xludf.DUMMYFUNCTION("""COMPUTED_VALUE"""),"Hand")</f>
        <v>Hand</v>
      </c>
      <c r="C283" s="16"/>
      <c r="D283" s="16" t="str">
        <f>IFERROR(__xludf.DUMMYFUNCTION("""COMPUTED_VALUE"""),"Sword")</f>
        <v>Sword</v>
      </c>
      <c r="E283" s="16">
        <f>IFERROR(__xludf.DUMMYFUNCTION("""COMPUTED_VALUE"""),30.0)</f>
        <v>30</v>
      </c>
      <c r="F283" s="108">
        <f>IFERROR(__xludf.DUMMYFUNCTION("""COMPUTED_VALUE"""),10000.0)</f>
        <v>10000</v>
      </c>
      <c r="G283" s="16" t="str">
        <f>IFERROR(__xludf.DUMMYFUNCTION("""COMPUTED_VALUE"""),"DMG")</f>
        <v>DMG</v>
      </c>
      <c r="H283" s="16">
        <f>IFERROR(__xludf.DUMMYFUNCTION("""COMPUTED_VALUE"""),500.0)</f>
        <v>500</v>
      </c>
      <c r="I283" s="16"/>
      <c r="J283" s="16"/>
      <c r="K283" s="16"/>
      <c r="L283" s="16"/>
      <c r="M283" s="16"/>
      <c r="N283" s="16"/>
      <c r="O283" s="16">
        <f>IFERROR(__xludf.DUMMYFUNCTION("""COMPUTED_VALUE"""),600.0)</f>
        <v>600</v>
      </c>
      <c r="P283" s="16"/>
      <c r="Q283" s="16"/>
      <c r="R283" s="16"/>
      <c r="S283" s="16"/>
      <c r="T283" s="16"/>
      <c r="U283" s="16"/>
      <c r="V283" s="16"/>
      <c r="W283" s="16"/>
      <c r="X283" s="16"/>
      <c r="Y283" s="16"/>
      <c r="Z283" s="16"/>
      <c r="AA283" s="16"/>
      <c r="AB283" s="16"/>
      <c r="AC283" s="16"/>
      <c r="AD283" s="16"/>
      <c r="AE283" s="16"/>
      <c r="AF283" s="16"/>
      <c r="AG283" s="16" t="str">
        <f>IFERROR(__xludf.DUMMYFUNCTION("""COMPUTED_VALUE"""),"Land of Spira")</f>
        <v>Land of Spira</v>
      </c>
      <c r="AH283" s="16" t="b">
        <f>IFERROR(__xludf.DUMMYFUNCTION("""COMPUTED_VALUE"""),TRUE)</f>
        <v>1</v>
      </c>
    </row>
    <row r="284">
      <c r="A284" s="16" t="str">
        <f>IFERROR(__xludf.DUMMYFUNCTION("""COMPUTED_VALUE"""),"Hela's Death Scythe")</f>
        <v>Hela's Death Scythe</v>
      </c>
      <c r="B284" s="16" t="str">
        <f>IFERROR(__xludf.DUMMYFUNCTION("""COMPUTED_VALUE"""),"Hand")</f>
        <v>Hand</v>
      </c>
      <c r="C284" s="16"/>
      <c r="D284" s="16" t="str">
        <f>IFERROR(__xludf.DUMMYFUNCTION("""COMPUTED_VALUE"""),"Scythe")</f>
        <v>Scythe</v>
      </c>
      <c r="E284" s="16">
        <f>IFERROR(__xludf.DUMMYFUNCTION("""COMPUTED_VALUE"""),1.0)</f>
        <v>1</v>
      </c>
      <c r="F284" s="108">
        <f>IFERROR(__xludf.DUMMYFUNCTION("""COMPUTED_VALUE"""),0.0)</f>
        <v>0</v>
      </c>
      <c r="G284" s="16" t="str">
        <f>IFERROR(__xludf.DUMMYFUNCTION("""COMPUTED_VALUE"""),"DMG")</f>
        <v>DMG</v>
      </c>
      <c r="H284" s="119">
        <f>IFERROR(__xludf.DUMMYFUNCTION("""COMPUTED_VALUE"""),0.0)</f>
        <v>0</v>
      </c>
      <c r="I284" s="16"/>
      <c r="J284" s="16"/>
      <c r="K284" s="16"/>
      <c r="L284" s="16"/>
      <c r="M284" s="16"/>
      <c r="N284" s="16"/>
      <c r="O284" s="16"/>
      <c r="P284" s="119">
        <f>IFERROR(__xludf.DUMMYFUNCTION("""COMPUTED_VALUE"""),0.0)</f>
        <v>0</v>
      </c>
      <c r="Q284" s="16"/>
      <c r="R284" s="16"/>
      <c r="S284" s="16"/>
      <c r="T284" s="16"/>
      <c r="U284" s="16"/>
      <c r="V284" s="16"/>
      <c r="W284" s="16"/>
      <c r="X284" s="16"/>
      <c r="Y284" s="16"/>
      <c r="Z284" s="16"/>
      <c r="AA284" s="16"/>
      <c r="AB284" s="16"/>
      <c r="AC284" s="16"/>
      <c r="AD284" s="16"/>
      <c r="AE284" s="16"/>
      <c r="AF284" s="16" t="str">
        <f>IFERROR(__xludf.DUMMYFUNCTION("""COMPUTED_VALUE"""),"++Soul Enhanced - This sword can be enchanted with any soul to increase its Natural and Spirit damage, Each soul enchanted into this sword gives it an additional 200 natural and spirit damage. +-Cannot be forged +-Cannot be duplicated
Souls 0/3000")</f>
        <v>++Soul Enhanced - This sword can be enchanted with any soul to increase its Natural and Spirit damage, Each soul enchanted into this sword gives it an additional 200 natural and spirit damage. +-Cannot be forged +-Cannot be duplicated
Souls 0/3000</v>
      </c>
      <c r="AG284" s="16" t="str">
        <f>IFERROR(__xludf.DUMMYFUNCTION("""COMPUTED_VALUE"""),"Abstara")</f>
        <v>Abstara</v>
      </c>
      <c r="AH284" s="16" t="b">
        <f>IFERROR(__xludf.DUMMYFUNCTION("""COMPUTED_VALUE"""),TRUE)</f>
        <v>1</v>
      </c>
    </row>
    <row r="285">
      <c r="A285" s="16" t="str">
        <f>IFERROR(__xludf.DUMMYFUNCTION("""COMPUTED_VALUE"""),"Sword of Nature’s Love")</f>
        <v>Sword of Nature’s Love</v>
      </c>
      <c r="B285" s="16" t="str">
        <f>IFERROR(__xludf.DUMMYFUNCTION("""COMPUTED_VALUE"""),"Hand")</f>
        <v>Hand</v>
      </c>
      <c r="C285" s="16"/>
      <c r="D285" s="16" t="str">
        <f>IFERROR(__xludf.DUMMYFUNCTION("""COMPUTED_VALUE"""),"Sword")</f>
        <v>Sword</v>
      </c>
      <c r="E285" s="16">
        <f>IFERROR(__xludf.DUMMYFUNCTION("""COMPUTED_VALUE"""),160.0)</f>
        <v>160</v>
      </c>
      <c r="F285" s="108">
        <f>IFERROR(__xludf.DUMMYFUNCTION("""COMPUTED_VALUE"""),1200000.0)</f>
        <v>1200000</v>
      </c>
      <c r="G285" s="16" t="str">
        <f>IFERROR(__xludf.DUMMYFUNCTION("""COMPUTED_VALUE"""),"DMG")</f>
        <v>DMG</v>
      </c>
      <c r="H285" s="119">
        <f>IFERROR(__xludf.DUMMYFUNCTION("""COMPUTED_VALUE"""),4000.0)</f>
        <v>4000</v>
      </c>
      <c r="I285" s="16"/>
      <c r="J285" s="16"/>
      <c r="K285" s="16"/>
      <c r="L285" s="16"/>
      <c r="M285" s="16"/>
      <c r="N285" s="16"/>
      <c r="O285" s="16"/>
      <c r="P285" s="16"/>
      <c r="Q285" s="16"/>
      <c r="R285" s="16"/>
      <c r="S285" s="119">
        <f>IFERROR(__xludf.DUMMYFUNCTION("""COMPUTED_VALUE"""),4000.0)</f>
        <v>4000</v>
      </c>
      <c r="T285" s="16"/>
      <c r="U285" s="16"/>
      <c r="V285" s="16"/>
      <c r="W285" s="16"/>
      <c r="X285" s="16"/>
      <c r="Y285" s="16"/>
      <c r="Z285" s="16"/>
      <c r="AA285" s="16"/>
      <c r="AB285" s="16"/>
      <c r="AC285" s="16"/>
      <c r="AD285" s="16"/>
      <c r="AE285" s="16"/>
      <c r="AF285" s="16" t="str">
        <f>IFERROR(__xludf.DUMMYFUNCTION("""COMPUTED_VALUE"""),"++Nature's Power - any damage dealt by this weapon gives HP back to the user equal to the damage dealt.")</f>
        <v>++Nature's Power - any damage dealt by this weapon gives HP back to the user equal to the damage dealt.</v>
      </c>
      <c r="AG285" s="16" t="str">
        <f>IFERROR(__xludf.DUMMYFUNCTION("""COMPUTED_VALUE"""),"Land of Spira")</f>
        <v>Land of Spira</v>
      </c>
      <c r="AH285" s="16" t="b">
        <f>IFERROR(__xludf.DUMMYFUNCTION("""COMPUTED_VALUE"""),FALSE)</f>
        <v>0</v>
      </c>
    </row>
    <row r="286">
      <c r="A286" s="16" t="str">
        <f>IFERROR(__xludf.DUMMYFUNCTION("""COMPUTED_VALUE"""),"Sword of Shadows")</f>
        <v>Sword of Shadows</v>
      </c>
      <c r="B286" s="16" t="str">
        <f>IFERROR(__xludf.DUMMYFUNCTION("""COMPUTED_VALUE"""),"Hand")</f>
        <v>Hand</v>
      </c>
      <c r="C286" s="16"/>
      <c r="D286" s="16" t="str">
        <f>IFERROR(__xludf.DUMMYFUNCTION("""COMPUTED_VALUE"""),"Sword")</f>
        <v>Sword</v>
      </c>
      <c r="E286" s="16">
        <f>IFERROR(__xludf.DUMMYFUNCTION("""COMPUTED_VALUE"""),30.0)</f>
        <v>30</v>
      </c>
      <c r="F286" s="108">
        <f>IFERROR(__xludf.DUMMYFUNCTION("""COMPUTED_VALUE"""),30000.0)</f>
        <v>30000</v>
      </c>
      <c r="G286" s="16" t="str">
        <f>IFERROR(__xludf.DUMMYFUNCTION("""COMPUTED_VALUE"""),"DMG")</f>
        <v>DMG</v>
      </c>
      <c r="H286" s="16">
        <f>IFERROR(__xludf.DUMMYFUNCTION("""COMPUTED_VALUE"""),1000.0)</f>
        <v>1000</v>
      </c>
      <c r="I286" s="16"/>
      <c r="J286" s="16"/>
      <c r="K286" s="16"/>
      <c r="L286" s="16"/>
      <c r="M286" s="16"/>
      <c r="N286" s="16"/>
      <c r="O286" s="16">
        <f>IFERROR(__xludf.DUMMYFUNCTION("""COMPUTED_VALUE"""),500.0)</f>
        <v>500</v>
      </c>
      <c r="P286" s="16"/>
      <c r="Q286" s="16"/>
      <c r="R286" s="16"/>
      <c r="S286" s="16"/>
      <c r="T286" s="16"/>
      <c r="U286" s="16"/>
      <c r="V286" s="16"/>
      <c r="W286" s="16"/>
      <c r="X286" s="16"/>
      <c r="Y286" s="16"/>
      <c r="Z286" s="16"/>
      <c r="AA286" s="16"/>
      <c r="AB286" s="16"/>
      <c r="AC286" s="16"/>
      <c r="AD286" s="16"/>
      <c r="AE286" s="16"/>
      <c r="AF286" s="16"/>
      <c r="AG286" s="16" t="str">
        <f>IFERROR(__xludf.DUMMYFUNCTION("""COMPUTED_VALUE"""),"Land of Spira")</f>
        <v>Land of Spira</v>
      </c>
      <c r="AH286" s="16" t="b">
        <f>IFERROR(__xludf.DUMMYFUNCTION("""COMPUTED_VALUE"""),TRUE)</f>
        <v>1</v>
      </c>
    </row>
    <row r="287">
      <c r="A287" s="16" t="str">
        <f>IFERROR(__xludf.DUMMYFUNCTION("""COMPUTED_VALUE"""),"Sword of Steel")</f>
        <v>Sword of Steel</v>
      </c>
      <c r="B287" s="16" t="str">
        <f>IFERROR(__xludf.DUMMYFUNCTION("""COMPUTED_VALUE"""),"Hand")</f>
        <v>Hand</v>
      </c>
      <c r="C287" s="16"/>
      <c r="D287" s="16" t="str">
        <f>IFERROR(__xludf.DUMMYFUNCTION("""COMPUTED_VALUE"""),"Sword")</f>
        <v>Sword</v>
      </c>
      <c r="E287" s="16">
        <f>IFERROR(__xludf.DUMMYFUNCTION("""COMPUTED_VALUE"""),1.0)</f>
        <v>1</v>
      </c>
      <c r="F287" s="108">
        <f>IFERROR(__xludf.DUMMYFUNCTION("""COMPUTED_VALUE"""),0.0)</f>
        <v>0</v>
      </c>
      <c r="G287" s="16" t="str">
        <f>IFERROR(__xludf.DUMMYFUNCTION("""COMPUTED_VALUE"""),"DMG")</f>
        <v>DMG</v>
      </c>
      <c r="H287" s="16">
        <f>IFERROR(__xludf.DUMMYFUNCTION("""COMPUTED_VALUE"""),300.0)</f>
        <v>300</v>
      </c>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t="str">
        <f>IFERROR(__xludf.DUMMYFUNCTION("""COMPUTED_VALUE"""),"Land of Spira")</f>
        <v>Land of Spira</v>
      </c>
      <c r="AH287" s="16" t="b">
        <f>IFERROR(__xludf.DUMMYFUNCTION("""COMPUTED_VALUE"""),TRUE)</f>
        <v>1</v>
      </c>
    </row>
    <row r="288">
      <c r="A288" s="16" t="str">
        <f>IFERROR(__xludf.DUMMYFUNCTION("""COMPUTED_VALUE"""),"Sword of The Abyss")</f>
        <v>Sword of The Abyss</v>
      </c>
      <c r="B288" s="16" t="str">
        <f>IFERROR(__xludf.DUMMYFUNCTION("""COMPUTED_VALUE"""),"Hand")</f>
        <v>Hand</v>
      </c>
      <c r="C288" s="16"/>
      <c r="D288" s="16" t="str">
        <f>IFERROR(__xludf.DUMMYFUNCTION("""COMPUTED_VALUE"""),"Sword")</f>
        <v>Sword</v>
      </c>
      <c r="E288" s="16">
        <f>IFERROR(__xludf.DUMMYFUNCTION("""COMPUTED_VALUE"""),260.0)</f>
        <v>260</v>
      </c>
      <c r="F288" s="108">
        <f>IFERROR(__xludf.DUMMYFUNCTION("""COMPUTED_VALUE"""),3250000.0)</f>
        <v>3250000</v>
      </c>
      <c r="G288" s="16" t="str">
        <f>IFERROR(__xludf.DUMMYFUNCTION("""COMPUTED_VALUE"""),"DMG")</f>
        <v>DMG</v>
      </c>
      <c r="H288" s="16">
        <f>IFERROR(__xludf.DUMMYFUNCTION("""COMPUTED_VALUE"""),8000.0)</f>
        <v>8000</v>
      </c>
      <c r="I288" s="16"/>
      <c r="J288" s="16"/>
      <c r="K288" s="16"/>
      <c r="L288" s="16"/>
      <c r="M288" s="16"/>
      <c r="N288" s="16"/>
      <c r="O288" s="16">
        <f>IFERROR(__xludf.DUMMYFUNCTION("""COMPUTED_VALUE"""),5000.0)</f>
        <v>5000</v>
      </c>
      <c r="P288" s="16"/>
      <c r="Q288" s="16"/>
      <c r="R288" s="16"/>
      <c r="S288" s="16"/>
      <c r="T288" s="16"/>
      <c r="U288" s="16"/>
      <c r="V288" s="16"/>
      <c r="W288" s="16"/>
      <c r="X288" s="16"/>
      <c r="Y288" s="16"/>
      <c r="Z288" s="16"/>
      <c r="AA288" s="16"/>
      <c r="AB288" s="16"/>
      <c r="AC288" s="16"/>
      <c r="AD288" s="16"/>
      <c r="AE288" s="16"/>
      <c r="AF288" s="16" t="str">
        <f>IFERROR(__xludf.DUMMYFUNCTION("""COMPUTED_VALUE"""),"++Abyss Embodiment - dark damage is increased by X2 for the user.")</f>
        <v>++Abyss Embodiment - dark damage is increased by X2 for the user.</v>
      </c>
      <c r="AG288" s="16" t="str">
        <f>IFERROR(__xludf.DUMMYFUNCTION("""COMPUTED_VALUE"""),"Land of Spira")</f>
        <v>Land of Spira</v>
      </c>
      <c r="AH288" s="16" t="b">
        <f>IFERROR(__xludf.DUMMYFUNCTION("""COMPUTED_VALUE"""),FALSE)</f>
        <v>0</v>
      </c>
    </row>
    <row r="289">
      <c r="A289" s="16" t="str">
        <f>IFERROR(__xludf.DUMMYFUNCTION("""COMPUTED_VALUE"""),"Sword of The Ancient Fire Serpent")</f>
        <v>Sword of The Ancient Fire Serpent</v>
      </c>
      <c r="B289" s="16" t="str">
        <f>IFERROR(__xludf.DUMMYFUNCTION("""COMPUTED_VALUE"""),"Hand")</f>
        <v>Hand</v>
      </c>
      <c r="C289" s="16"/>
      <c r="D289" s="16" t="str">
        <f>IFERROR(__xludf.DUMMYFUNCTION("""COMPUTED_VALUE"""),"Sword")</f>
        <v>Sword</v>
      </c>
      <c r="E289" s="16">
        <f>IFERROR(__xludf.DUMMYFUNCTION("""COMPUTED_VALUE"""),2000.0)</f>
        <v>2000</v>
      </c>
      <c r="F289" s="108">
        <f>IFERROR(__xludf.DUMMYFUNCTION("""COMPUTED_VALUE"""),1.99E8)</f>
        <v>199000000</v>
      </c>
      <c r="G289" s="16" t="str">
        <f>IFERROR(__xludf.DUMMYFUNCTION("""COMPUTED_VALUE"""),"DMG")</f>
        <v>DMG</v>
      </c>
      <c r="H289" s="119">
        <f>IFERROR(__xludf.DUMMYFUNCTION("""COMPUTED_VALUE"""),50000.0)</f>
        <v>50000</v>
      </c>
      <c r="I289" s="119">
        <f>IFERROR(__xludf.DUMMYFUNCTION("""COMPUTED_VALUE"""),50000.0)</f>
        <v>50000</v>
      </c>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t="str">
        <f>IFERROR(__xludf.DUMMYFUNCTION("""COMPUTED_VALUE"""),"++ Burn 50,000. ++Serpents Luck - +5 can be added to the users d20 rolls. +-Cannot be duplicated.")</f>
        <v>++ Burn 50,000. ++Serpents Luck - +5 can be added to the users d20 rolls. +-Cannot be duplicated.</v>
      </c>
      <c r="AG289" s="16" t="str">
        <f>IFERROR(__xludf.DUMMYFUNCTION("""COMPUTED_VALUE"""),"Land of Spira")</f>
        <v>Land of Spira</v>
      </c>
      <c r="AH289" s="16" t="b">
        <f>IFERROR(__xludf.DUMMYFUNCTION("""COMPUTED_VALUE"""),TRUE)</f>
        <v>1</v>
      </c>
    </row>
    <row r="290">
      <c r="A290" s="16" t="str">
        <f>IFERROR(__xludf.DUMMYFUNCTION("""COMPUTED_VALUE"""),"Sword of The Burning Forest")</f>
        <v>Sword of The Burning Forest</v>
      </c>
      <c r="B290" s="16" t="str">
        <f>IFERROR(__xludf.DUMMYFUNCTION("""COMPUTED_VALUE"""),"Hand")</f>
        <v>Hand</v>
      </c>
      <c r="C290" s="16" t="str">
        <f>IFERROR(__xludf.DUMMYFUNCTION("""COMPUTED_VALUE"""),"A sword forged by mekana to obliterate natural environments.")</f>
        <v>A sword forged by mekana to obliterate natural environments.</v>
      </c>
      <c r="D290" s="16" t="str">
        <f>IFERROR(__xludf.DUMMYFUNCTION("""COMPUTED_VALUE"""),"Sword")</f>
        <v>Sword</v>
      </c>
      <c r="E290" s="16">
        <f>IFERROR(__xludf.DUMMYFUNCTION("""COMPUTED_VALUE"""),600.0)</f>
        <v>600</v>
      </c>
      <c r="F290" s="108">
        <f>IFERROR(__xludf.DUMMYFUNCTION("""COMPUTED_VALUE"""),1.77E7)</f>
        <v>17700000</v>
      </c>
      <c r="G290" s="16" t="str">
        <f>IFERROR(__xludf.DUMMYFUNCTION("""COMPUTED_VALUE"""),"DMG")</f>
        <v>DMG</v>
      </c>
      <c r="H290" s="119">
        <f>IFERROR(__xludf.DUMMYFUNCTION("""COMPUTED_VALUE"""),20000.0)</f>
        <v>20000</v>
      </c>
      <c r="I290" s="119">
        <f>IFERROR(__xludf.DUMMYFUNCTION("""COMPUTED_VALUE"""),10000.0)</f>
        <v>10000</v>
      </c>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t="str">
        <f>IFERROR(__xludf.DUMMYFUNCTION("""COMPUTED_VALUE"""),"++Forest Fire- Burn 10,000, x4 fire damage while in a natural environment.")</f>
        <v>++Forest Fire- Burn 10,000, x4 fire damage while in a natural environment.</v>
      </c>
      <c r="AG290" s="16" t="str">
        <f>IFERROR(__xludf.DUMMYFUNCTION("""COMPUTED_VALUE"""),"Land of Spira")</f>
        <v>Land of Spira</v>
      </c>
      <c r="AH290" s="16" t="b">
        <f>IFERROR(__xludf.DUMMYFUNCTION("""COMPUTED_VALUE"""),FALSE)</f>
        <v>0</v>
      </c>
    </row>
    <row r="291">
      <c r="A291" s="16" t="str">
        <f>IFERROR(__xludf.DUMMYFUNCTION("""COMPUTED_VALUE"""),"Sword of The Crystal Chosen")</f>
        <v>Sword of The Crystal Chosen</v>
      </c>
      <c r="B291" s="16" t="str">
        <f>IFERROR(__xludf.DUMMYFUNCTION("""COMPUTED_VALUE"""),"Hand")</f>
        <v>Hand</v>
      </c>
      <c r="C291" s="16"/>
      <c r="D291" s="16" t="str">
        <f>IFERROR(__xludf.DUMMYFUNCTION("""COMPUTED_VALUE"""),"Sword")</f>
        <v>Sword</v>
      </c>
      <c r="E291" s="16">
        <f>IFERROR(__xludf.DUMMYFUNCTION("""COMPUTED_VALUE"""),400.0)</f>
        <v>400</v>
      </c>
      <c r="F291" s="108">
        <f>IFERROR(__xludf.DUMMYFUNCTION("""COMPUTED_VALUE"""),7800000.0)</f>
        <v>7800000</v>
      </c>
      <c r="G291" s="16" t="str">
        <f>IFERROR(__xludf.DUMMYFUNCTION("""COMPUTED_VALUE"""),"DMG")</f>
        <v>DMG</v>
      </c>
      <c r="H291" s="119">
        <f>IFERROR(__xludf.DUMMYFUNCTION("""COMPUTED_VALUE"""),10000.0)</f>
        <v>10000</v>
      </c>
      <c r="I291" s="16"/>
      <c r="J291" s="16"/>
      <c r="K291" s="16"/>
      <c r="L291" s="16"/>
      <c r="M291" s="119">
        <f>IFERROR(__xludf.DUMMYFUNCTION("""COMPUTED_VALUE"""),10000.0)</f>
        <v>10000</v>
      </c>
      <c r="N291" s="16"/>
      <c r="O291" s="16"/>
      <c r="P291" s="16"/>
      <c r="Q291" s="16"/>
      <c r="R291" s="16"/>
      <c r="S291" s="16"/>
      <c r="T291" s="16"/>
      <c r="U291" s="16"/>
      <c r="V291" s="16"/>
      <c r="W291" s="16"/>
      <c r="X291" s="16"/>
      <c r="Y291" s="16"/>
      <c r="Z291" s="16"/>
      <c r="AA291" s="16"/>
      <c r="AB291" s="16"/>
      <c r="AC291" s="16"/>
      <c r="AD291" s="16"/>
      <c r="AE291" s="16"/>
      <c r="AF291" s="16" t="str">
        <f>IFERROR(__xludf.DUMMYFUNCTION("""COMPUTED_VALUE"""),"++The Chosen Crystal - When Equipped any damage dealt by a Crystal or Gem related weapon is X4. +-Cannot be duplicated.")</f>
        <v>++The Chosen Crystal - When Equipped any damage dealt by a Crystal or Gem related weapon is X4. +-Cannot be duplicated.</v>
      </c>
      <c r="AG291" s="16" t="str">
        <f>IFERROR(__xludf.DUMMYFUNCTION("""COMPUTED_VALUE"""),"Land of Spira")</f>
        <v>Land of Spira</v>
      </c>
      <c r="AH291" s="16" t="b">
        <f>IFERROR(__xludf.DUMMYFUNCTION("""COMPUTED_VALUE"""),FALSE)</f>
        <v>0</v>
      </c>
    </row>
    <row r="292">
      <c r="A292" s="16" t="str">
        <f>IFERROR(__xludf.DUMMYFUNCTION("""COMPUTED_VALUE"""),"Sword Of The Cursed Naga")</f>
        <v>Sword Of The Cursed Naga</v>
      </c>
      <c r="B292" s="16" t="str">
        <f>IFERROR(__xludf.DUMMYFUNCTION("""COMPUTED_VALUE"""),"Hand")</f>
        <v>Hand</v>
      </c>
      <c r="C292" s="16"/>
      <c r="D292" s="16" t="str">
        <f>IFERROR(__xludf.DUMMYFUNCTION("""COMPUTED_VALUE"""),"Sword")</f>
        <v>Sword</v>
      </c>
      <c r="E292" s="16">
        <f>IFERROR(__xludf.DUMMYFUNCTION("""COMPUTED_VALUE"""),200.0)</f>
        <v>200</v>
      </c>
      <c r="F292" s="108">
        <f>IFERROR(__xludf.DUMMYFUNCTION("""COMPUTED_VALUE"""),2.868E8)</f>
        <v>286800000</v>
      </c>
      <c r="G292" s="16" t="str">
        <f>IFERROR(__xludf.DUMMYFUNCTION("""COMPUTED_VALUE"""),"DMG")</f>
        <v>DMG</v>
      </c>
      <c r="H292" s="16">
        <f>IFERROR(__xludf.DUMMYFUNCTION("""COMPUTED_VALUE"""),10000.0)</f>
        <v>10000</v>
      </c>
      <c r="I292" s="16"/>
      <c r="J292" s="16"/>
      <c r="K292" s="16"/>
      <c r="L292" s="16"/>
      <c r="M292" s="119">
        <f>IFERROR(__xludf.DUMMYFUNCTION("""COMPUTED_VALUE"""),50000.0)</f>
        <v>50000</v>
      </c>
      <c r="N292" s="16"/>
      <c r="O292" s="16"/>
      <c r="P292" s="16"/>
      <c r="Q292" s="16"/>
      <c r="R292" s="16"/>
      <c r="S292" s="16"/>
      <c r="T292" s="16"/>
      <c r="U292" s="16"/>
      <c r="V292" s="16"/>
      <c r="W292" s="16"/>
      <c r="X292" s="16"/>
      <c r="Y292" s="119">
        <f>IFERROR(__xludf.DUMMYFUNCTION("""COMPUTED_VALUE"""),50000.0)</f>
        <v>50000</v>
      </c>
      <c r="Z292" s="16"/>
      <c r="AA292" s="16"/>
      <c r="AB292" s="16"/>
      <c r="AC292" s="119">
        <f>IFERROR(__xludf.DUMMYFUNCTION("""COMPUTED_VALUE"""),10000.0)</f>
        <v>10000</v>
      </c>
      <c r="AD292" s="16"/>
      <c r="AE292" s="16"/>
      <c r="AF292" s="16" t="str">
        <f>IFERROR(__xludf.DUMMYFUNCTION("""COMPUTED_VALUE"""),"++Earth Charmer - Earth attacks will deal an additional X4 damage while this weapon is equipped.
++Poison Charmer - Poison 50,000 p/r.")</f>
        <v>++Earth Charmer - Earth attacks will deal an additional X4 damage while this weapon is equipped.
++Poison Charmer - Poison 50,000 p/r.</v>
      </c>
      <c r="AG292" s="16" t="str">
        <f>IFERROR(__xludf.DUMMYFUNCTION("""COMPUTED_VALUE"""),"Land of Spira")</f>
        <v>Land of Spira</v>
      </c>
      <c r="AH292" s="16" t="b">
        <f>IFERROR(__xludf.DUMMYFUNCTION("""COMPUTED_VALUE"""),FALSE)</f>
        <v>0</v>
      </c>
    </row>
    <row r="293">
      <c r="A293" s="16" t="str">
        <f>IFERROR(__xludf.DUMMYFUNCTION("""COMPUTED_VALUE"""),"Sword Of The Dragons Blood")</f>
        <v>Sword Of The Dragons Blood</v>
      </c>
      <c r="B293" s="16" t="str">
        <f>IFERROR(__xludf.DUMMYFUNCTION("""COMPUTED_VALUE"""),"Hand")</f>
        <v>Hand</v>
      </c>
      <c r="C293" s="16"/>
      <c r="D293" s="16" t="str">
        <f>IFERROR(__xludf.DUMMYFUNCTION("""COMPUTED_VALUE"""),"Sword")</f>
        <v>Sword</v>
      </c>
      <c r="E293" s="16">
        <f>IFERROR(__xludf.DUMMYFUNCTION("""COMPUTED_VALUE"""),1500.0)</f>
        <v>1500</v>
      </c>
      <c r="F293" s="108">
        <f>IFERROR(__xludf.DUMMYFUNCTION("""COMPUTED_VALUE"""),1.1175E8)</f>
        <v>111750000</v>
      </c>
      <c r="G293" s="16" t="str">
        <f>IFERROR(__xludf.DUMMYFUNCTION("""COMPUTED_VALUE"""),"DMG")</f>
        <v>DMG</v>
      </c>
      <c r="H293" s="16">
        <f>IFERROR(__xludf.DUMMYFUNCTION("""COMPUTED_VALUE"""),50000.0)</f>
        <v>50000</v>
      </c>
      <c r="I293" s="16"/>
      <c r="J293" s="16"/>
      <c r="K293" s="16"/>
      <c r="L293" s="16"/>
      <c r="M293" s="16"/>
      <c r="N293" s="16"/>
      <c r="O293" s="16"/>
      <c r="P293" s="16"/>
      <c r="Q293" s="16"/>
      <c r="R293" s="16"/>
      <c r="S293" s="16"/>
      <c r="T293" s="16"/>
      <c r="U293" s="16"/>
      <c r="V293" s="16"/>
      <c r="W293" s="16"/>
      <c r="X293" s="16"/>
      <c r="Y293" s="16">
        <f>IFERROR(__xludf.DUMMYFUNCTION("""COMPUTED_VALUE"""),25000.0)</f>
        <v>25000</v>
      </c>
      <c r="Z293" s="16"/>
      <c r="AA293" s="16"/>
      <c r="AB293" s="16"/>
      <c r="AC293" s="16"/>
      <c r="AD293" s="16"/>
      <c r="AE293" s="16"/>
      <c r="AF293" s="16" t="str">
        <f>IFERROR(__xludf.DUMMYFUNCTION("""COMPUTED_VALUE"""),"++Burning Blood: Upon a successful hit; 5000 bleed and burn until the enemy dies.")</f>
        <v>++Burning Blood: Upon a successful hit; 5000 bleed and burn until the enemy dies.</v>
      </c>
      <c r="AG293" s="16" t="str">
        <f>IFERROR(__xludf.DUMMYFUNCTION("""COMPUTED_VALUE"""),"Land of Spira")</f>
        <v>Land of Spira</v>
      </c>
      <c r="AH293" s="16" t="b">
        <f>IFERROR(__xludf.DUMMYFUNCTION("""COMPUTED_VALUE"""),TRUE)</f>
        <v>1</v>
      </c>
    </row>
    <row r="294">
      <c r="A294" s="16" t="str">
        <f>IFERROR(__xludf.DUMMYFUNCTION("""COMPUTED_VALUE"""),"Sword of The Haunted Mansion")</f>
        <v>Sword of The Haunted Mansion</v>
      </c>
      <c r="B294" s="16" t="str">
        <f>IFERROR(__xludf.DUMMYFUNCTION("""COMPUTED_VALUE"""),"Hand")</f>
        <v>Hand</v>
      </c>
      <c r="C294" s="16" t="str">
        <f>IFERROR(__xludf.DUMMYFUNCTION("""COMPUTED_VALUE"""),"Halloween exclusive")</f>
        <v>Halloween exclusive</v>
      </c>
      <c r="D294" s="16" t="str">
        <f>IFERROR(__xludf.DUMMYFUNCTION("""COMPUTED_VALUE"""),"Sword")</f>
        <v>Sword</v>
      </c>
      <c r="E294" s="16">
        <f>IFERROR(__xludf.DUMMYFUNCTION("""COMPUTED_VALUE"""),200.0)</f>
        <v>200</v>
      </c>
      <c r="F294" s="108">
        <f>IFERROR(__xludf.DUMMYFUNCTION("""COMPUTED_VALUE"""),1.99E8)</f>
        <v>199000000</v>
      </c>
      <c r="G294" s="16" t="str">
        <f>IFERROR(__xludf.DUMMYFUNCTION("""COMPUTED_VALUE"""),"DMG")</f>
        <v>DMG</v>
      </c>
      <c r="H294" s="119">
        <f>IFERROR(__xludf.DUMMYFUNCTION("""COMPUTED_VALUE"""),20000.0)</f>
        <v>20000</v>
      </c>
      <c r="I294" s="119">
        <f>IFERROR(__xludf.DUMMYFUNCTION("""COMPUTED_VALUE"""),20000.0)</f>
        <v>20000</v>
      </c>
      <c r="J294" s="16"/>
      <c r="K294" s="16"/>
      <c r="L294" s="16"/>
      <c r="M294" s="16"/>
      <c r="N294" s="16"/>
      <c r="O294" s="119">
        <f>IFERROR(__xludf.DUMMYFUNCTION("""COMPUTED_VALUE"""),20000.0)</f>
        <v>20000</v>
      </c>
      <c r="P294" s="16"/>
      <c r="Q294" s="16"/>
      <c r="R294" s="119">
        <f>IFERROR(__xludf.DUMMYFUNCTION("""COMPUTED_VALUE"""),20000.0)</f>
        <v>20000</v>
      </c>
      <c r="S294" s="16"/>
      <c r="T294" s="16"/>
      <c r="U294" s="16"/>
      <c r="V294" s="16"/>
      <c r="W294" s="16"/>
      <c r="X294" s="16"/>
      <c r="Y294" s="16"/>
      <c r="Z294" s="16"/>
      <c r="AA294" s="16"/>
      <c r="AB294" s="16"/>
      <c r="AC294" s="119">
        <f>IFERROR(__xludf.DUMMYFUNCTION("""COMPUTED_VALUE"""),20000.0)</f>
        <v>20000</v>
      </c>
      <c r="AD294" s="16"/>
      <c r="AE294" s="16"/>
      <c r="AF294" s="16" t="str">
        <f>IFERROR(__xludf.DUMMYFUNCTION("""COMPUTED_VALUE"""),"++Hallows Welcome: All enemies roll a d20 at the beginning of battle; All enemies that roll a 10 or lower start with 0 base defense and 0 evasion, All enemies that roll a 11 or higher start with X2 defense and ++5 additional evasion. +-Cannot be forged +-"&amp;"Cannot be duplicated")</f>
        <v>++Hallows Welcome: All enemies roll a d20 at the beginning of battle; All enemies that roll a 10 or lower start with 0 base defense and 0 evasion, All enemies that roll a 11 or higher start with X2 defense and ++5 additional evasion. +-Cannot be forged +-Cannot be duplicated</v>
      </c>
      <c r="AG294" s="16" t="str">
        <f>IFERROR(__xludf.DUMMYFUNCTION("""COMPUTED_VALUE"""),"Halloween Kingdom")</f>
        <v>Halloween Kingdom</v>
      </c>
      <c r="AH294" s="16" t="b">
        <f>IFERROR(__xludf.DUMMYFUNCTION("""COMPUTED_VALUE"""),FALSE)</f>
        <v>0</v>
      </c>
    </row>
    <row r="295">
      <c r="A295" s="16" t="str">
        <f>IFERROR(__xludf.DUMMYFUNCTION("""COMPUTED_VALUE"""),"Sword Of The Honorable Samurai")</f>
        <v>Sword Of The Honorable Samurai</v>
      </c>
      <c r="B295" s="16" t="str">
        <f>IFERROR(__xludf.DUMMYFUNCTION("""COMPUTED_VALUE"""),"Hand")</f>
        <v>Hand</v>
      </c>
      <c r="C295" s="16"/>
      <c r="D295" s="16" t="str">
        <f>IFERROR(__xludf.DUMMYFUNCTION("""COMPUTED_VALUE"""),"Sword")</f>
        <v>Sword</v>
      </c>
      <c r="E295" s="16">
        <f>IFERROR(__xludf.DUMMYFUNCTION("""COMPUTED_VALUE"""),400.0)</f>
        <v>400</v>
      </c>
      <c r="F295" s="108">
        <f>IFERROR(__xludf.DUMMYFUNCTION("""COMPUTED_VALUE"""),7800000.0)</f>
        <v>7800000</v>
      </c>
      <c r="G295" s="16" t="str">
        <f>IFERROR(__xludf.DUMMYFUNCTION("""COMPUTED_VALUE"""),"DMG")</f>
        <v>DMG</v>
      </c>
      <c r="H295" s="16">
        <f>IFERROR(__xludf.DUMMYFUNCTION("""COMPUTED_VALUE"""),10000.0)</f>
        <v>10000</v>
      </c>
      <c r="I295" s="16"/>
      <c r="J295" s="16"/>
      <c r="K295" s="16"/>
      <c r="L295" s="16"/>
      <c r="M295" s="16"/>
      <c r="N295" s="16">
        <f>IFERROR(__xludf.DUMMYFUNCTION("""COMPUTED_VALUE"""),5000.0)</f>
        <v>5000</v>
      </c>
      <c r="O295" s="16"/>
      <c r="P295" s="16"/>
      <c r="Q295" s="16">
        <f>IFERROR(__xludf.DUMMYFUNCTION("""COMPUTED_VALUE"""),5000.0)</f>
        <v>5000</v>
      </c>
      <c r="R295" s="16"/>
      <c r="S295" s="16"/>
      <c r="T295" s="16"/>
      <c r="U295" s="16"/>
      <c r="V295" s="16"/>
      <c r="W295" s="16"/>
      <c r="X295" s="16"/>
      <c r="Y295" s="16"/>
      <c r="Z295" s="16"/>
      <c r="AA295" s="16"/>
      <c r="AB295" s="16"/>
      <c r="AC295" s="16"/>
      <c r="AD295" s="16"/>
      <c r="AE295" s="16"/>
      <c r="AF295" s="16"/>
      <c r="AG295" s="16" t="str">
        <f>IFERROR(__xludf.DUMMYFUNCTION("""COMPUTED_VALUE"""),"Land of Spira")</f>
        <v>Land of Spira</v>
      </c>
      <c r="AH295" s="16" t="b">
        <f>IFERROR(__xludf.DUMMYFUNCTION("""COMPUTED_VALUE"""),TRUE)</f>
        <v>1</v>
      </c>
    </row>
    <row r="296">
      <c r="A296" s="16" t="str">
        <f>IFERROR(__xludf.DUMMYFUNCTION("""COMPUTED_VALUE"""),"Sword of The Crystal King")</f>
        <v>Sword of The Crystal King</v>
      </c>
      <c r="B296" s="16" t="str">
        <f>IFERROR(__xludf.DUMMYFUNCTION("""COMPUTED_VALUE"""),"Hand")</f>
        <v>Hand</v>
      </c>
      <c r="C296" s="16"/>
      <c r="D296" s="16" t="str">
        <f>IFERROR(__xludf.DUMMYFUNCTION("""COMPUTED_VALUE"""),"Sword")</f>
        <v>Sword</v>
      </c>
      <c r="E296" s="16">
        <f>IFERROR(__xludf.DUMMYFUNCTION("""COMPUTED_VALUE"""),200.0)</f>
        <v>200</v>
      </c>
      <c r="F296" s="108">
        <f>IFERROR(__xludf.DUMMYFUNCTION("""COMPUTED_VALUE"""),4.95E7)</f>
        <v>49500000</v>
      </c>
      <c r="G296" s="16" t="str">
        <f>IFERROR(__xludf.DUMMYFUNCTION("""COMPUTED_VALUE"""),"DMG")</f>
        <v>DMG</v>
      </c>
      <c r="H296" s="16">
        <f>IFERROR(__xludf.DUMMYFUNCTION("""COMPUTED_VALUE"""),20000.0)</f>
        <v>20000</v>
      </c>
      <c r="I296" s="16"/>
      <c r="J296" s="16"/>
      <c r="K296" s="16"/>
      <c r="L296" s="16"/>
      <c r="M296" s="16">
        <f>IFERROR(__xludf.DUMMYFUNCTION("""COMPUTED_VALUE"""),20000.0)</f>
        <v>20000</v>
      </c>
      <c r="N296" s="16"/>
      <c r="O296" s="16"/>
      <c r="P296" s="16"/>
      <c r="Q296" s="16"/>
      <c r="R296" s="16"/>
      <c r="S296" s="16"/>
      <c r="T296" s="16"/>
      <c r="U296" s="16"/>
      <c r="V296" s="16"/>
      <c r="W296" s="16"/>
      <c r="X296" s="16"/>
      <c r="Y296" s="16"/>
      <c r="Z296" s="16"/>
      <c r="AA296" s="16"/>
      <c r="AB296" s="16"/>
      <c r="AC296" s="16">
        <f>IFERROR(__xludf.DUMMYFUNCTION("""COMPUTED_VALUE"""),10000.0)</f>
        <v>10000</v>
      </c>
      <c r="AD296" s="16"/>
      <c r="AE296" s="16"/>
      <c r="AF296" s="16" t="str">
        <f>IFERROR(__xludf.DUMMYFUNCTION("""COMPUTED_VALUE"""),"++Crystal Kings Power - Damage dealt by this weapon gives you SP back equal to the damage you deal. ++ Crystal Embodyment - When Equipped any damage dealt by a Crystal or Gem related weapon is X8 for the user. +-Cannot be duplicated.")</f>
        <v>++Crystal Kings Power - Damage dealt by this weapon gives you SP back equal to the damage you deal. ++ Crystal Embodyment - When Equipped any damage dealt by a Crystal or Gem related weapon is X8 for the user. +-Cannot be duplicated.</v>
      </c>
      <c r="AG296" s="16" t="str">
        <f>IFERROR(__xludf.DUMMYFUNCTION("""COMPUTED_VALUE"""),"Land of Spira")</f>
        <v>Land of Spira</v>
      </c>
      <c r="AH296" s="16" t="b">
        <f>IFERROR(__xludf.DUMMYFUNCTION("""COMPUTED_VALUE"""),FALSE)</f>
        <v>0</v>
      </c>
    </row>
    <row r="297">
      <c r="A297" s="16" t="str">
        <f>IFERROR(__xludf.DUMMYFUNCTION("""COMPUTED_VALUE"""),"Sword of The Many Heroes")</f>
        <v>Sword of The Many Heroes</v>
      </c>
      <c r="B297" s="16" t="str">
        <f>IFERROR(__xludf.DUMMYFUNCTION("""COMPUTED_VALUE"""),"Hand")</f>
        <v>Hand</v>
      </c>
      <c r="C297" s="16"/>
      <c r="D297" s="16" t="str">
        <f>IFERROR(__xludf.DUMMYFUNCTION("""COMPUTED_VALUE"""),"Sword")</f>
        <v>Sword</v>
      </c>
      <c r="E297" s="16">
        <f>IFERROR(__xludf.DUMMYFUNCTION("""COMPUTED_VALUE"""),200.0)</f>
        <v>200</v>
      </c>
      <c r="F297" s="108">
        <f>IFERROR(__xludf.DUMMYFUNCTION("""COMPUTED_VALUE"""),7.194E9)</f>
        <v>7194000000</v>
      </c>
      <c r="G297" s="16" t="str">
        <f>IFERROR(__xludf.DUMMYFUNCTION("""COMPUTED_VALUE"""),"DMG")</f>
        <v>DMG</v>
      </c>
      <c r="H297" s="119">
        <f>IFERROR(__xludf.DUMMYFUNCTION("""COMPUTED_VALUE"""),100000.0)</f>
        <v>100000</v>
      </c>
      <c r="I297" s="16"/>
      <c r="J297" s="16"/>
      <c r="K297" s="16"/>
      <c r="L297" s="16"/>
      <c r="M297" s="16"/>
      <c r="N297" s="16"/>
      <c r="O297" s="16"/>
      <c r="P297" s="16"/>
      <c r="Q297" s="16"/>
      <c r="R297" s="16"/>
      <c r="S297" s="16"/>
      <c r="T297" s="16"/>
      <c r="U297" s="16"/>
      <c r="V297" s="16"/>
      <c r="W297" s="16"/>
      <c r="X297" s="16"/>
      <c r="Y297" s="16"/>
      <c r="Z297" s="16"/>
      <c r="AA297" s="16"/>
      <c r="AB297" s="16"/>
      <c r="AC297" s="119">
        <f>IFERROR(__xludf.DUMMYFUNCTION("""COMPUTED_VALUE"""),500000.0)</f>
        <v>500000</v>
      </c>
      <c r="AD297" s="16"/>
      <c r="AE297" s="16"/>
      <c r="AF297" s="16" t="str">
        <f>IFERROR(__xludf.DUMMYFUNCTION("""COMPUTED_VALUE"""),"++While you have this sword equipped and you have 4+ party members among your party, You and your allies deal X4 additional damage with weapons only. +-Cannot be duplicated")</f>
        <v>++While you have this sword equipped and you have 4+ party members among your party, You and your allies deal X4 additional damage with weapons only. +-Cannot be duplicated</v>
      </c>
      <c r="AG297" s="16" t="str">
        <f>IFERROR(__xludf.DUMMYFUNCTION("""COMPUTED_VALUE"""),"Abstara")</f>
        <v>Abstara</v>
      </c>
      <c r="AH297" s="16" t="b">
        <f>IFERROR(__xludf.DUMMYFUNCTION("""COMPUTED_VALUE"""),FALSE)</f>
        <v>0</v>
      </c>
    </row>
    <row r="298">
      <c r="A298" s="16" t="str">
        <f>IFERROR(__xludf.DUMMYFUNCTION("""COMPUTED_VALUE"""),"Sword Of The Reaper")</f>
        <v>Sword Of The Reaper</v>
      </c>
      <c r="B298" s="16" t="str">
        <f>IFERROR(__xludf.DUMMYFUNCTION("""COMPUTED_VALUE"""),"Hand")</f>
        <v>Hand</v>
      </c>
      <c r="C298" s="16"/>
      <c r="D298" s="16" t="str">
        <f>IFERROR(__xludf.DUMMYFUNCTION("""COMPUTED_VALUE"""),"Sword")</f>
        <v>Sword</v>
      </c>
      <c r="E298" s="16">
        <f>IFERROR(__xludf.DUMMYFUNCTION("""COMPUTED_VALUE"""),200.0)</f>
        <v>200</v>
      </c>
      <c r="F298" s="108">
        <f>IFERROR(__xludf.DUMMYFUNCTION("""COMPUTED_VALUE"""),660000.0)</f>
        <v>660000</v>
      </c>
      <c r="G298" s="16" t="str">
        <f>IFERROR(__xludf.DUMMYFUNCTION("""COMPUTED_VALUE"""),"DMG")</f>
        <v>DMG</v>
      </c>
      <c r="H298" s="16">
        <f>IFERROR(__xludf.DUMMYFUNCTION("""COMPUTED_VALUE"""),5000.0)</f>
        <v>5000</v>
      </c>
      <c r="I298" s="16"/>
      <c r="J298" s="16"/>
      <c r="K298" s="16"/>
      <c r="L298" s="16"/>
      <c r="M298" s="16"/>
      <c r="N298" s="16"/>
      <c r="O298" s="16"/>
      <c r="P298" s="16"/>
      <c r="Q298" s="16"/>
      <c r="R298" s="16"/>
      <c r="S298" s="16"/>
      <c r="T298" s="16"/>
      <c r="U298" s="16"/>
      <c r="V298" s="16"/>
      <c r="W298" s="16"/>
      <c r="X298" s="16"/>
      <c r="Y298" s="16"/>
      <c r="Z298" s="16"/>
      <c r="AA298" s="16"/>
      <c r="AB298" s="16"/>
      <c r="AC298" s="16">
        <f>IFERROR(__xludf.DUMMYFUNCTION("""COMPUTED_VALUE"""),1000.0)</f>
        <v>1000</v>
      </c>
      <c r="AD298" s="16"/>
      <c r="AE298" s="16"/>
      <c r="AF298" s="16" t="str">
        <f>IFERROR(__xludf.DUMMYFUNCTION("""COMPUTED_VALUE"""),"++Stop Targeting Me! - When targeted for an attack the base damage of this weapon will be increased by 1000 damage for the battle only.")</f>
        <v>++Stop Targeting Me! - When targeted for an attack the base damage of this weapon will be increased by 1000 damage for the battle only.</v>
      </c>
      <c r="AG298" s="16" t="str">
        <f>IFERROR(__xludf.DUMMYFUNCTION("""COMPUTED_VALUE"""),"Land of Spira")</f>
        <v>Land of Spira</v>
      </c>
      <c r="AH298" s="16" t="b">
        <f>IFERROR(__xludf.DUMMYFUNCTION("""COMPUTED_VALUE"""),FALSE)</f>
        <v>0</v>
      </c>
    </row>
    <row r="299">
      <c r="A299" s="16" t="str">
        <f>IFERROR(__xludf.DUMMYFUNCTION("""COMPUTED_VALUE"""),"Sword of The Sea Serpent")</f>
        <v>Sword of The Sea Serpent</v>
      </c>
      <c r="B299" s="16" t="str">
        <f>IFERROR(__xludf.DUMMYFUNCTION("""COMPUTED_VALUE"""),"Hand")</f>
        <v>Hand</v>
      </c>
      <c r="C299" s="16"/>
      <c r="D299" s="16" t="str">
        <f>IFERROR(__xludf.DUMMYFUNCTION("""COMPUTED_VALUE"""),"Sword")</f>
        <v>Sword</v>
      </c>
      <c r="E299" s="16">
        <f>IFERROR(__xludf.DUMMYFUNCTION("""COMPUTED_VALUE"""),400.0)</f>
        <v>400</v>
      </c>
      <c r="F299" s="108">
        <f>IFERROR(__xludf.DUMMYFUNCTION("""COMPUTED_VALUE"""),7800000.0)</f>
        <v>7800000</v>
      </c>
      <c r="G299" s="16" t="str">
        <f>IFERROR(__xludf.DUMMYFUNCTION("""COMPUTED_VALUE"""),"DMG")</f>
        <v>DMG</v>
      </c>
      <c r="H299" s="119">
        <f>IFERROR(__xludf.DUMMYFUNCTION("""COMPUTED_VALUE"""),10000.0)</f>
        <v>10000</v>
      </c>
      <c r="I299" s="16"/>
      <c r="J299" s="16"/>
      <c r="K299" s="119">
        <f>IFERROR(__xludf.DUMMYFUNCTION("""COMPUTED_VALUE"""),10000.0)</f>
        <v>10000</v>
      </c>
      <c r="L299" s="16"/>
      <c r="M299" s="16"/>
      <c r="N299" s="16"/>
      <c r="O299" s="16"/>
      <c r="P299" s="16"/>
      <c r="Q299" s="16"/>
      <c r="R299" s="16"/>
      <c r="S299" s="16"/>
      <c r="T299" s="16"/>
      <c r="U299" s="16"/>
      <c r="V299" s="16"/>
      <c r="W299" s="16"/>
      <c r="X299" s="16"/>
      <c r="Y299" s="16"/>
      <c r="Z299" s="16"/>
      <c r="AA299" s="16"/>
      <c r="AB299" s="16"/>
      <c r="AC299" s="16"/>
      <c r="AD299" s="16"/>
      <c r="AE299" s="16"/>
      <c r="AF299" s="16" t="str">
        <f>IFERROR(__xludf.DUMMYFUNCTION("""COMPUTED_VALUE"""),"++X2 Additional water damage for self, ++Sea Serpents Call: Upon a succesful hit there will be a 50% chance of summoning a sea serpent to aid you in battle if the battle is in water.")</f>
        <v>++X2 Additional water damage for self, ++Sea Serpents Call: Upon a succesful hit there will be a 50% chance of summoning a sea serpent to aid you in battle if the battle is in water.</v>
      </c>
      <c r="AG299" s="16" t="str">
        <f>IFERROR(__xludf.DUMMYFUNCTION("""COMPUTED_VALUE"""),"Land of Spira")</f>
        <v>Land of Spira</v>
      </c>
      <c r="AH299" s="16" t="b">
        <f>IFERROR(__xludf.DUMMYFUNCTION("""COMPUTED_VALUE"""),FALSE)</f>
        <v>0</v>
      </c>
    </row>
    <row r="300">
      <c r="A300" s="16" t="str">
        <f>IFERROR(__xludf.DUMMYFUNCTION("""COMPUTED_VALUE"""),"Sword of the Vampire’s Lust")</f>
        <v>Sword of the Vampire’s Lust</v>
      </c>
      <c r="B300" s="16" t="str">
        <f>IFERROR(__xludf.DUMMYFUNCTION("""COMPUTED_VALUE"""),"Hand")</f>
        <v>Hand</v>
      </c>
      <c r="C300" s="16"/>
      <c r="D300" s="16" t="str">
        <f>IFERROR(__xludf.DUMMYFUNCTION("""COMPUTED_VALUE"""),"Sword")</f>
        <v>Sword</v>
      </c>
      <c r="E300" s="16">
        <f>IFERROR(__xludf.DUMMYFUNCTION("""COMPUTED_VALUE"""),800.0)</f>
        <v>800</v>
      </c>
      <c r="F300" s="108">
        <f>IFERROR(__xludf.DUMMYFUNCTION("""COMPUTED_VALUE"""),3.16E7)</f>
        <v>31600000</v>
      </c>
      <c r="G300" s="16" t="str">
        <f>IFERROR(__xludf.DUMMYFUNCTION("""COMPUTED_VALUE"""),"DMG")</f>
        <v>DMG</v>
      </c>
      <c r="H300" s="119">
        <f>IFERROR(__xludf.DUMMYFUNCTION("""COMPUTED_VALUE"""),10000.0)</f>
        <v>10000</v>
      </c>
      <c r="I300" s="119">
        <f>IFERROR(__xludf.DUMMYFUNCTION("""COMPUTED_VALUE"""),10000.0)</f>
        <v>10000</v>
      </c>
      <c r="J300" s="16"/>
      <c r="K300" s="16"/>
      <c r="L300" s="16"/>
      <c r="M300" s="16"/>
      <c r="N300" s="16"/>
      <c r="O300" s="119">
        <f>IFERROR(__xludf.DUMMYFUNCTION("""COMPUTED_VALUE"""),10000.0)</f>
        <v>10000</v>
      </c>
      <c r="P300" s="119">
        <f>IFERROR(__xludf.DUMMYFUNCTION("""COMPUTED_VALUE"""),5000.0)</f>
        <v>5000</v>
      </c>
      <c r="Q300" s="16"/>
      <c r="R300" s="119">
        <f>IFERROR(__xludf.DUMMYFUNCTION("""COMPUTED_VALUE"""),5000.0)</f>
        <v>5000</v>
      </c>
      <c r="S300" s="16"/>
      <c r="T300" s="16"/>
      <c r="U300" s="16"/>
      <c r="V300" s="16"/>
      <c r="W300" s="16"/>
      <c r="X300" s="16"/>
      <c r="Y300" s="16"/>
      <c r="Z300" s="16"/>
      <c r="AA300" s="16"/>
      <c r="AB300" s="16"/>
      <c r="AC300" s="16"/>
      <c r="AD300" s="16"/>
      <c r="AE300" s="16"/>
      <c r="AF300" s="16" t="str">
        <f>IFERROR(__xludf.DUMMYFUNCTION("""COMPUTED_VALUE"""),"++Damage dealt by this weapon gives you hp back equal to the damage you deal")</f>
        <v>++Damage dealt by this weapon gives you hp back equal to the damage you deal</v>
      </c>
      <c r="AG300" s="16" t="str">
        <f>IFERROR(__xludf.DUMMYFUNCTION("""COMPUTED_VALUE"""),"Land of Spira")</f>
        <v>Land of Spira</v>
      </c>
      <c r="AH300" s="16" t="b">
        <f>IFERROR(__xludf.DUMMYFUNCTION("""COMPUTED_VALUE"""),FALSE)</f>
        <v>0</v>
      </c>
    </row>
    <row r="301">
      <c r="A301" s="16" t="str">
        <f>IFERROR(__xludf.DUMMYFUNCTION("""COMPUTED_VALUE"""),"Sword of The Waking Waters")</f>
        <v>Sword of The Waking Waters</v>
      </c>
      <c r="B301" s="16" t="str">
        <f>IFERROR(__xludf.DUMMYFUNCTION("""COMPUTED_VALUE"""),"Hand")</f>
        <v>Hand</v>
      </c>
      <c r="C301" s="16"/>
      <c r="D301" s="16" t="str">
        <f>IFERROR(__xludf.DUMMYFUNCTION("""COMPUTED_VALUE"""),"Sword")</f>
        <v>Sword</v>
      </c>
      <c r="E301" s="16">
        <f>IFERROR(__xludf.DUMMYFUNCTION("""COMPUTED_VALUE"""),800.0)</f>
        <v>800</v>
      </c>
      <c r="F301" s="108">
        <f>IFERROR(__xludf.DUMMYFUNCTION("""COMPUTED_VALUE"""),3.16E7)</f>
        <v>31600000</v>
      </c>
      <c r="G301" s="16" t="str">
        <f>IFERROR(__xludf.DUMMYFUNCTION("""COMPUTED_VALUE"""),"DMG")</f>
        <v>DMG</v>
      </c>
      <c r="H301" s="119">
        <f>IFERROR(__xludf.DUMMYFUNCTION("""COMPUTED_VALUE"""),20000.0)</f>
        <v>20000</v>
      </c>
      <c r="I301" s="16"/>
      <c r="J301" s="16"/>
      <c r="K301" s="119">
        <f>IFERROR(__xludf.DUMMYFUNCTION("""COMPUTED_VALUE"""),20000.0)</f>
        <v>20000</v>
      </c>
      <c r="L301" s="16"/>
      <c r="M301" s="16"/>
      <c r="N301" s="16"/>
      <c r="O301" s="16"/>
      <c r="P301" s="16"/>
      <c r="Q301" s="16"/>
      <c r="R301" s="16"/>
      <c r="S301" s="16"/>
      <c r="T301" s="16"/>
      <c r="U301" s="16"/>
      <c r="V301" s="16"/>
      <c r="W301" s="16"/>
      <c r="X301" s="16"/>
      <c r="Y301" s="16"/>
      <c r="Z301" s="16"/>
      <c r="AA301" s="16"/>
      <c r="AB301" s="16"/>
      <c r="AC301" s="16"/>
      <c r="AD301" s="16"/>
      <c r="AE301" s="16"/>
      <c r="AF301" s="16" t="str">
        <f>IFERROR(__xludf.DUMMYFUNCTION("""COMPUTED_VALUE"""),"++X4 additional Water damage for this weapon only. ++Waking Waters: When the battle is in water and you are attacking with this weapon your d20 roll becomes double. +-Cannot be duplicated")</f>
        <v>++X4 additional Water damage for this weapon only. ++Waking Waters: When the battle is in water and you are attacking with this weapon your d20 roll becomes double. +-Cannot be duplicated</v>
      </c>
      <c r="AG301" s="16" t="str">
        <f>IFERROR(__xludf.DUMMYFUNCTION("""COMPUTED_VALUE"""),"Land of Spira")</f>
        <v>Land of Spira</v>
      </c>
      <c r="AH301" s="16" t="b">
        <f>IFERROR(__xludf.DUMMYFUNCTION("""COMPUTED_VALUE"""),FALSE)</f>
        <v>0</v>
      </c>
    </row>
    <row r="302">
      <c r="A302" s="16" t="str">
        <f>IFERROR(__xludf.DUMMYFUNCTION("""COMPUTED_VALUE"""),"Sword of the Wicked")</f>
        <v>Sword of the Wicked</v>
      </c>
      <c r="B302" s="16" t="str">
        <f>IFERROR(__xludf.DUMMYFUNCTION("""COMPUTED_VALUE"""),"Hand")</f>
        <v>Hand</v>
      </c>
      <c r="C302" s="16"/>
      <c r="D302" s="16" t="str">
        <f>IFERROR(__xludf.DUMMYFUNCTION("""COMPUTED_VALUE"""),"Sword")</f>
        <v>Sword</v>
      </c>
      <c r="E302" s="16">
        <f>IFERROR(__xludf.DUMMYFUNCTION("""COMPUTED_VALUE"""),50.0)</f>
        <v>50</v>
      </c>
      <c r="F302" s="108">
        <f>IFERROR(__xludf.DUMMYFUNCTION("""COMPUTED_VALUE"""),100000.0)</f>
        <v>100000</v>
      </c>
      <c r="G302" s="16" t="str">
        <f>IFERROR(__xludf.DUMMYFUNCTION("""COMPUTED_VALUE"""),"DMG")</f>
        <v>DMG</v>
      </c>
      <c r="H302" s="16">
        <f>IFERROR(__xludf.DUMMYFUNCTION("""COMPUTED_VALUE"""),700.0)</f>
        <v>700</v>
      </c>
      <c r="I302" s="16"/>
      <c r="J302" s="16"/>
      <c r="K302" s="16"/>
      <c r="L302" s="16"/>
      <c r="M302" s="16"/>
      <c r="N302" s="16"/>
      <c r="O302" s="16">
        <f>IFERROR(__xludf.DUMMYFUNCTION("""COMPUTED_VALUE"""),900.0)</f>
        <v>900</v>
      </c>
      <c r="P302" s="16"/>
      <c r="Q302" s="16"/>
      <c r="R302" s="16">
        <f>IFERROR(__xludf.DUMMYFUNCTION("""COMPUTED_VALUE"""),900.0)</f>
        <v>900</v>
      </c>
      <c r="S302" s="16"/>
      <c r="T302" s="16"/>
      <c r="U302" s="16"/>
      <c r="V302" s="16"/>
      <c r="W302" s="16"/>
      <c r="X302" s="16"/>
      <c r="Y302" s="16"/>
      <c r="Z302" s="16"/>
      <c r="AA302" s="16"/>
      <c r="AB302" s="16"/>
      <c r="AC302" s="16"/>
      <c r="AD302" s="16"/>
      <c r="AE302" s="16"/>
      <c r="AF302" s="16"/>
      <c r="AG302" s="16" t="str">
        <f>IFERROR(__xludf.DUMMYFUNCTION("""COMPUTED_VALUE"""),"Land of Spira")</f>
        <v>Land of Spira</v>
      </c>
      <c r="AH302" s="16" t="b">
        <f>IFERROR(__xludf.DUMMYFUNCTION("""COMPUTED_VALUE"""),FALSE)</f>
        <v>0</v>
      </c>
    </row>
    <row r="303">
      <c r="A303" s="16" t="str">
        <f>IFERROR(__xludf.DUMMYFUNCTION("""COMPUTED_VALUE"""),"Sword Of Tritonoch")</f>
        <v>Sword Of Tritonoch</v>
      </c>
      <c r="B303" s="16" t="str">
        <f>IFERROR(__xludf.DUMMYFUNCTION("""COMPUTED_VALUE"""),"Hand")</f>
        <v>Hand</v>
      </c>
      <c r="C303" s="16"/>
      <c r="D303" s="16" t="str">
        <f>IFERROR(__xludf.DUMMYFUNCTION("""COMPUTED_VALUE"""),"Sword")</f>
        <v>Sword</v>
      </c>
      <c r="E303" s="16">
        <f>IFERROR(__xludf.DUMMYFUNCTION("""COMPUTED_VALUE"""),800.0)</f>
        <v>800</v>
      </c>
      <c r="F303" s="108">
        <f>IFERROR(__xludf.DUMMYFUNCTION("""COMPUTED_VALUE"""),3.16E7)</f>
        <v>31600000</v>
      </c>
      <c r="G303" s="16" t="str">
        <f>IFERROR(__xludf.DUMMYFUNCTION("""COMPUTED_VALUE"""),"DMG")</f>
        <v>DMG</v>
      </c>
      <c r="H303" s="16">
        <f>IFERROR(__xludf.DUMMYFUNCTION("""COMPUTED_VALUE"""),20000.0)</f>
        <v>20000</v>
      </c>
      <c r="I303" s="16"/>
      <c r="J303" s="16"/>
      <c r="K303" s="16">
        <f>IFERROR(__xludf.DUMMYFUNCTION("""COMPUTED_VALUE"""),20000.0)</f>
        <v>20000</v>
      </c>
      <c r="L303" s="16"/>
      <c r="M303" s="16"/>
      <c r="N303" s="16"/>
      <c r="O303" s="16"/>
      <c r="P303" s="16"/>
      <c r="Q303" s="16"/>
      <c r="R303" s="16"/>
      <c r="S303" s="16"/>
      <c r="T303" s="16"/>
      <c r="U303" s="16"/>
      <c r="V303" s="16"/>
      <c r="W303" s="16"/>
      <c r="X303" s="16"/>
      <c r="Y303" s="16"/>
      <c r="Z303" s="16"/>
      <c r="AA303" s="16"/>
      <c r="AB303" s="16"/>
      <c r="AC303" s="16"/>
      <c r="AD303" s="16"/>
      <c r="AE303" s="16"/>
      <c r="AF303" s="16" t="str">
        <f>IFERROR(__xludf.DUMMYFUNCTION("""COMPUTED_VALUE"""),"++Order of Atlanteans - +2 to your d20 roll, +5 charisma, ++Waves of Entitlement - x5 additional Water damage. +-Cannot be duplicated.")</f>
        <v>++Order of Atlanteans - +2 to your d20 roll, +5 charisma, ++Waves of Entitlement - x5 additional Water damage. +-Cannot be duplicated.</v>
      </c>
      <c r="AG303" s="16" t="str">
        <f>IFERROR(__xludf.DUMMYFUNCTION("""COMPUTED_VALUE"""),"Land of Spira")</f>
        <v>Land of Spira</v>
      </c>
      <c r="AH303" s="16" t="b">
        <f>IFERROR(__xludf.DUMMYFUNCTION("""COMPUTED_VALUE"""),FALSE)</f>
        <v>0</v>
      </c>
    </row>
    <row r="304">
      <c r="A304" s="16" t="str">
        <f>IFERROR(__xludf.DUMMYFUNCTION("""COMPUTED_VALUE"""),"Tentacle")</f>
        <v>Tentacle</v>
      </c>
      <c r="B304" s="16" t="str">
        <f>IFERROR(__xludf.DUMMYFUNCTION("""COMPUTED_VALUE"""),"Hand")</f>
        <v>Hand</v>
      </c>
      <c r="C304" s="16"/>
      <c r="D304" s="16" t="str">
        <f>IFERROR(__xludf.DUMMYFUNCTION("""COMPUTED_VALUE"""),"Claw")</f>
        <v>Claw</v>
      </c>
      <c r="E304" s="16">
        <f>IFERROR(__xludf.DUMMYFUNCTION("""COMPUTED_VALUE"""),30.0)</f>
        <v>30</v>
      </c>
      <c r="F304" s="108">
        <f>IFERROR(__xludf.DUMMYFUNCTION("""COMPUTED_VALUE"""),30000.0)</f>
        <v>30000</v>
      </c>
      <c r="G304" s="16" t="str">
        <f>IFERROR(__xludf.DUMMYFUNCTION("""COMPUTED_VALUE"""),"DMG")</f>
        <v>DMG</v>
      </c>
      <c r="H304" s="16">
        <f>IFERROR(__xludf.DUMMYFUNCTION("""COMPUTED_VALUE"""),1000.0)</f>
        <v>1000</v>
      </c>
      <c r="I304" s="16"/>
      <c r="J304" s="16"/>
      <c r="K304" s="16">
        <f>IFERROR(__xludf.DUMMYFUNCTION("""COMPUTED_VALUE"""),500.0)</f>
        <v>500</v>
      </c>
      <c r="L304" s="16"/>
      <c r="M304" s="16"/>
      <c r="N304" s="16"/>
      <c r="O304" s="16"/>
      <c r="P304" s="16"/>
      <c r="Q304" s="16"/>
      <c r="R304" s="16"/>
      <c r="S304" s="16"/>
      <c r="T304" s="16"/>
      <c r="U304" s="16"/>
      <c r="V304" s="16"/>
      <c r="W304" s="16"/>
      <c r="X304" s="16"/>
      <c r="Y304" s="16"/>
      <c r="Z304" s="16"/>
      <c r="AA304" s="16"/>
      <c r="AB304" s="16"/>
      <c r="AC304" s="16"/>
      <c r="AD304" s="16"/>
      <c r="AE304" s="16"/>
      <c r="AF304" s="16" t="str">
        <f>IFERROR(__xludf.DUMMYFUNCTION("""COMPUTED_VALUE"""),"++10% chance to remove target from battle")</f>
        <v>++10% chance to remove target from battle</v>
      </c>
      <c r="AG304" s="16" t="str">
        <f>IFERROR(__xludf.DUMMYFUNCTION("""COMPUTED_VALUE"""),"Land of Spira")</f>
        <v>Land of Spira</v>
      </c>
      <c r="AH304" s="16" t="b">
        <f>IFERROR(__xludf.DUMMYFUNCTION("""COMPUTED_VALUE"""),TRUE)</f>
        <v>1</v>
      </c>
    </row>
    <row r="305">
      <c r="A305" s="16" t="str">
        <f>IFERROR(__xludf.DUMMYFUNCTION("""COMPUTED_VALUE"""),"The Black Hook")</f>
        <v>The Black Hook</v>
      </c>
      <c r="B305" s="16" t="str">
        <f>IFERROR(__xludf.DUMMYFUNCTION("""COMPUTED_VALUE"""),"Hand")</f>
        <v>Hand</v>
      </c>
      <c r="C305" s="16"/>
      <c r="D305" s="16" t="str">
        <f>IFERROR(__xludf.DUMMYFUNCTION("""COMPUTED_VALUE"""),"Claw")</f>
        <v>Claw</v>
      </c>
      <c r="E305" s="16">
        <f>IFERROR(__xludf.DUMMYFUNCTION("""COMPUTED_VALUE"""),2500.0)</f>
        <v>2500</v>
      </c>
      <c r="F305" s="108">
        <f>IFERROR(__xludf.DUMMYFUNCTION("""COMPUTED_VALUE"""),3.1125E8)</f>
        <v>311250000</v>
      </c>
      <c r="G305" s="16" t="str">
        <f>IFERROR(__xludf.DUMMYFUNCTION("""COMPUTED_VALUE"""),"DMG")</f>
        <v>DMG</v>
      </c>
      <c r="H305" s="119">
        <f>IFERROR(__xludf.DUMMYFUNCTION("""COMPUTED_VALUE"""),50000.0)</f>
        <v>50000</v>
      </c>
      <c r="I305" s="16"/>
      <c r="J305" s="16"/>
      <c r="K305" s="16"/>
      <c r="L305" s="16"/>
      <c r="M305" s="16"/>
      <c r="N305" s="16"/>
      <c r="O305" s="119">
        <f>IFERROR(__xludf.DUMMYFUNCTION("""COMPUTED_VALUE"""),50000.0)</f>
        <v>50000</v>
      </c>
      <c r="P305" s="16"/>
      <c r="Q305" s="16"/>
      <c r="R305" s="16"/>
      <c r="S305" s="16"/>
      <c r="T305" s="16"/>
      <c r="U305" s="16"/>
      <c r="V305" s="16"/>
      <c r="W305" s="16"/>
      <c r="X305" s="16"/>
      <c r="Y305" s="119">
        <f>IFERROR(__xludf.DUMMYFUNCTION("""COMPUTED_VALUE"""),25000.0)</f>
        <v>25000</v>
      </c>
      <c r="Z305" s="16"/>
      <c r="AA305" s="16"/>
      <c r="AB305" s="16"/>
      <c r="AC305" s="16"/>
      <c r="AD305" s="16"/>
      <c r="AE305" s="16"/>
      <c r="AF305" s="16" t="str">
        <f>IFERROR(__xludf.DUMMYFUNCTION("""COMPUTED_VALUE"""),"++Increases blood and dark damage by X4 for the wielder of this claw, ++Decreases the HP cost of spells by half. ++35% chance to remove an enemy from battle")</f>
        <v>++Increases blood and dark damage by X4 for the wielder of this claw, ++Decreases the HP cost of spells by half. ++35% chance to remove an enemy from battle</v>
      </c>
      <c r="AG305" s="16" t="str">
        <f>IFERROR(__xludf.DUMMYFUNCTION("""COMPUTED_VALUE"""),"Abstara")</f>
        <v>Abstara</v>
      </c>
      <c r="AH305" s="16" t="b">
        <f>IFERROR(__xludf.DUMMYFUNCTION("""COMPUTED_VALUE"""),TRUE)</f>
        <v>1</v>
      </c>
    </row>
    <row r="306">
      <c r="A306" s="16" t="str">
        <f>IFERROR(__xludf.DUMMYFUNCTION("""COMPUTED_VALUE"""),"The Blade of the Chosen")</f>
        <v>The Blade of the Chosen</v>
      </c>
      <c r="B306" s="16" t="str">
        <f>IFERROR(__xludf.DUMMYFUNCTION("""COMPUTED_VALUE"""),"Hand")</f>
        <v>Hand</v>
      </c>
      <c r="C306" s="16"/>
      <c r="D306" s="16" t="str">
        <f>IFERROR(__xludf.DUMMYFUNCTION("""COMPUTED_VALUE"""),"Sword")</f>
        <v>Sword</v>
      </c>
      <c r="E306" s="16">
        <f>IFERROR(__xludf.DUMMYFUNCTION("""COMPUTED_VALUE"""),1000.0)</f>
        <v>1000</v>
      </c>
      <c r="F306" s="108">
        <f>IFERROR(__xludf.DUMMYFUNCTION("""COMPUTED_VALUE"""),4.95E7)</f>
        <v>49500000</v>
      </c>
      <c r="G306" s="16" t="str">
        <f>IFERROR(__xludf.DUMMYFUNCTION("""COMPUTED_VALUE"""),"DMG")</f>
        <v>DMG</v>
      </c>
      <c r="H306" s="119">
        <f>IFERROR(__xludf.DUMMYFUNCTION("""COMPUTED_VALUE"""),10000.0)</f>
        <v>10000</v>
      </c>
      <c r="I306" s="119">
        <f>IFERROR(__xludf.DUMMYFUNCTION("""COMPUTED_VALUE"""),10000.0)</f>
        <v>10000</v>
      </c>
      <c r="J306" s="16"/>
      <c r="K306" s="16"/>
      <c r="L306" s="16"/>
      <c r="M306" s="16"/>
      <c r="N306" s="16"/>
      <c r="O306" s="16"/>
      <c r="P306" s="16"/>
      <c r="Q306" s="119">
        <f>IFERROR(__xludf.DUMMYFUNCTION("""COMPUTED_VALUE"""),10000.0)</f>
        <v>10000</v>
      </c>
      <c r="R306" s="16"/>
      <c r="S306" s="119">
        <f>IFERROR(__xludf.DUMMYFUNCTION("""COMPUTED_VALUE"""),10000.0)</f>
        <v>10000</v>
      </c>
      <c r="T306" s="16"/>
      <c r="U306" s="16"/>
      <c r="V306" s="16"/>
      <c r="W306" s="16"/>
      <c r="X306" s="16"/>
      <c r="Y306" s="119">
        <f>IFERROR(__xludf.DUMMYFUNCTION("""COMPUTED_VALUE"""),10000.0)</f>
        <v>10000</v>
      </c>
      <c r="Z306" s="16"/>
      <c r="AA306" s="16"/>
      <c r="AB306" s="16"/>
      <c r="AC306" s="16"/>
      <c r="AD306" s="16"/>
      <c r="AE306" s="16"/>
      <c r="AF306" s="16" t="str">
        <f>IFERROR(__xludf.DUMMYFUNCTION("""COMPUTED_VALUE"""),"++Roll a d20 at the beginning of battle, 11 or higher = double the users defense and damage dealt for the current battle, 10 or lower = half the users defense and damage dealt for the current battle.")</f>
        <v>++Roll a d20 at the beginning of battle, 11 or higher = double the users defense and damage dealt for the current battle, 10 or lower = half the users defense and damage dealt for the current battle.</v>
      </c>
      <c r="AG306" s="16" t="str">
        <f>IFERROR(__xludf.DUMMYFUNCTION("""COMPUTED_VALUE"""),"Land of Spira")</f>
        <v>Land of Spira</v>
      </c>
      <c r="AH306" s="16" t="b">
        <f>IFERROR(__xludf.DUMMYFUNCTION("""COMPUTED_VALUE"""),FALSE)</f>
        <v>0</v>
      </c>
    </row>
    <row r="307">
      <c r="A307" s="16" t="str">
        <f>IFERROR(__xludf.DUMMYFUNCTION("""COMPUTED_VALUE"""),"The Bow of the Fallen Hero")</f>
        <v>The Bow of the Fallen Hero</v>
      </c>
      <c r="B307" s="16" t="str">
        <f>IFERROR(__xludf.DUMMYFUNCTION("""COMPUTED_VALUE"""),"Hand")</f>
        <v>Hand</v>
      </c>
      <c r="C307" s="16"/>
      <c r="D307" s="16" t="str">
        <f>IFERROR(__xludf.DUMMYFUNCTION("""COMPUTED_VALUE"""),"Bow")</f>
        <v>Bow</v>
      </c>
      <c r="E307" s="16">
        <f>IFERROR(__xludf.DUMMYFUNCTION("""COMPUTED_VALUE"""),100.0)</f>
        <v>100</v>
      </c>
      <c r="F307" s="108">
        <f>IFERROR(__xludf.DUMMYFUNCTION("""COMPUTED_VALUE"""),450000.0)</f>
        <v>450000</v>
      </c>
      <c r="G307" s="16" t="str">
        <f>IFERROR(__xludf.DUMMYFUNCTION("""COMPUTED_VALUE"""),"DMG")</f>
        <v>DMG</v>
      </c>
      <c r="H307" s="16">
        <f>IFERROR(__xludf.DUMMYFUNCTION("""COMPUTED_VALUE"""),5000.0)</f>
        <v>5000</v>
      </c>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t="str">
        <f>IFERROR(__xludf.DUMMYFUNCTION("""COMPUTED_VALUE"""),"++Dashing Arrows - You can use up to 6 arrows when attacking with this bow. ")</f>
        <v>++Dashing Arrows - You can use up to 6 arrows when attacking with this bow. </v>
      </c>
      <c r="AG307" s="16" t="str">
        <f>IFERROR(__xludf.DUMMYFUNCTION("""COMPUTED_VALUE"""),"Land of Spira")</f>
        <v>Land of Spira</v>
      </c>
      <c r="AH307" s="16" t="b">
        <f>IFERROR(__xludf.DUMMYFUNCTION("""COMPUTED_VALUE"""),FALSE)</f>
        <v>0</v>
      </c>
    </row>
    <row r="308">
      <c r="A308" s="16" t="str">
        <f>IFERROR(__xludf.DUMMYFUNCTION("""COMPUTED_VALUE"""),"The Bow of the Haunted")</f>
        <v>The Bow of the Haunted</v>
      </c>
      <c r="B308" s="16" t="str">
        <f>IFERROR(__xludf.DUMMYFUNCTION("""COMPUTED_VALUE"""),"Hand")</f>
        <v>Hand</v>
      </c>
      <c r="C308" s="16" t="str">
        <f>IFERROR(__xludf.DUMMYFUNCTION("""COMPUTED_VALUE"""),"Halloween exclusive")</f>
        <v>Halloween exclusive</v>
      </c>
      <c r="D308" s="16" t="str">
        <f>IFERROR(__xludf.DUMMYFUNCTION("""COMPUTED_VALUE"""),"Bow")</f>
        <v>Bow</v>
      </c>
      <c r="E308" s="16">
        <f>IFERROR(__xludf.DUMMYFUNCTION("""COMPUTED_VALUE"""),620.0)</f>
        <v>620</v>
      </c>
      <c r="F308" s="108">
        <f>IFERROR(__xludf.DUMMYFUNCTION("""COMPUTED_VALUE"""),1.891E7)</f>
        <v>18910000</v>
      </c>
      <c r="G308" s="16" t="str">
        <f>IFERROR(__xludf.DUMMYFUNCTION("""COMPUTED_VALUE"""),"DMG")</f>
        <v>DMG</v>
      </c>
      <c r="H308" s="16">
        <f>IFERROR(__xludf.DUMMYFUNCTION("""COMPUTED_VALUE"""),1000.0)</f>
        <v>1000</v>
      </c>
      <c r="I308" s="119">
        <f>IFERROR(__xludf.DUMMYFUNCTION("""COMPUTED_VALUE"""),10000.0)</f>
        <v>10000</v>
      </c>
      <c r="J308" s="16"/>
      <c r="K308" s="16"/>
      <c r="L308" s="16"/>
      <c r="M308" s="16"/>
      <c r="N308" s="16"/>
      <c r="O308" s="119">
        <f>IFERROR(__xludf.DUMMYFUNCTION("""COMPUTED_VALUE"""),10000.0)</f>
        <v>10000</v>
      </c>
      <c r="P308" s="16"/>
      <c r="Q308" s="16"/>
      <c r="R308" s="119">
        <f>IFERROR(__xludf.DUMMYFUNCTION("""COMPUTED_VALUE"""),10000.0)</f>
        <v>10000</v>
      </c>
      <c r="S308" s="16"/>
      <c r="T308" s="16"/>
      <c r="U308" s="16"/>
      <c r="V308" s="16"/>
      <c r="W308" s="16"/>
      <c r="X308" s="16"/>
      <c r="Y308" s="16"/>
      <c r="Z308" s="16"/>
      <c r="AA308" s="16"/>
      <c r="AB308" s="16"/>
      <c r="AC308" s="16"/>
      <c r="AD308" s="16"/>
      <c r="AE308" s="16"/>
      <c r="AF308" s="16" t="str">
        <f>IFERROR(__xludf.DUMMYFUNCTION("""COMPUTED_VALUE"""),"++You can use d20 arrows when attacking with this bow, rolls to see how many. Dark and Chaos damage is doubled when attacking with this bow.")</f>
        <v>++You can use d20 arrows when attacking with this bow, rolls to see how many. Dark and Chaos damage is doubled when attacking with this bow.</v>
      </c>
      <c r="AG308" s="16" t="str">
        <f>IFERROR(__xludf.DUMMYFUNCTION("""COMPUTED_VALUE"""),"Halloween Kingdom")</f>
        <v>Halloween Kingdom</v>
      </c>
      <c r="AH308" s="16" t="b">
        <f>IFERROR(__xludf.DUMMYFUNCTION("""COMPUTED_VALUE"""),FALSE)</f>
        <v>0</v>
      </c>
    </row>
    <row r="309">
      <c r="A309" s="16" t="str">
        <f>IFERROR(__xludf.DUMMYFUNCTION("""COMPUTED_VALUE"""),"The Bow of the Pandarian")</f>
        <v>The Bow of the Pandarian</v>
      </c>
      <c r="B309" s="16" t="str">
        <f>IFERROR(__xludf.DUMMYFUNCTION("""COMPUTED_VALUE"""),"Hand")</f>
        <v>Hand</v>
      </c>
      <c r="C309" s="16"/>
      <c r="D309" s="16" t="str">
        <f>IFERROR(__xludf.DUMMYFUNCTION("""COMPUTED_VALUE"""),"Bow")</f>
        <v>Bow</v>
      </c>
      <c r="E309" s="16">
        <f>IFERROR(__xludf.DUMMYFUNCTION("""COMPUTED_VALUE"""),40.0)</f>
        <v>40</v>
      </c>
      <c r="F309" s="108">
        <f>IFERROR(__xludf.DUMMYFUNCTION("""COMPUTED_VALUE"""),60000.0)</f>
        <v>60000</v>
      </c>
      <c r="G309" s="16" t="str">
        <f>IFERROR(__xludf.DUMMYFUNCTION("""COMPUTED_VALUE"""),"DMG")</f>
        <v>DMG</v>
      </c>
      <c r="H309" s="16">
        <f>IFERROR(__xludf.DUMMYFUNCTION("""COMPUTED_VALUE"""),2000.0)</f>
        <v>2000</v>
      </c>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t="str">
        <f>IFERROR(__xludf.DUMMYFUNCTION("""COMPUTED_VALUE"""),"++Half the Arrow - Ranged Spells cost half the sp cost, Ranger Enrage - All Ranged Attacks. do double in damage. ")</f>
        <v>++Half the Arrow - Ranged Spells cost half the sp cost, Ranger Enrage - All Ranged Attacks. do double in damage. </v>
      </c>
      <c r="AG309" s="16" t="str">
        <f>IFERROR(__xludf.DUMMYFUNCTION("""COMPUTED_VALUE"""),"Land of Spira")</f>
        <v>Land of Spira</v>
      </c>
      <c r="AH309" s="16" t="b">
        <f>IFERROR(__xludf.DUMMYFUNCTION("""COMPUTED_VALUE"""),FALSE)</f>
        <v>0</v>
      </c>
    </row>
    <row r="310">
      <c r="A310" s="16" t="str">
        <f>IFERROR(__xludf.DUMMYFUNCTION("""COMPUTED_VALUE"""),"The Buster")</f>
        <v>The Buster</v>
      </c>
      <c r="B310" s="16" t="str">
        <f>IFERROR(__xludf.DUMMYFUNCTION("""COMPUTED_VALUE"""),"Hand")</f>
        <v>Hand</v>
      </c>
      <c r="C310" s="16"/>
      <c r="D310" s="16" t="str">
        <f>IFERROR(__xludf.DUMMYFUNCTION("""COMPUTED_VALUE"""),"Sword")</f>
        <v>Sword</v>
      </c>
      <c r="E310" s="16">
        <f>IFERROR(__xludf.DUMMYFUNCTION("""COMPUTED_VALUE"""),400.0)</f>
        <v>400</v>
      </c>
      <c r="F310" s="108">
        <f>IFERROR(__xludf.DUMMYFUNCTION("""COMPUTED_VALUE"""),7800000.0)</f>
        <v>7800000</v>
      </c>
      <c r="G310" s="16" t="str">
        <f>IFERROR(__xludf.DUMMYFUNCTION("""COMPUTED_VALUE"""),"DMG")</f>
        <v>DMG</v>
      </c>
      <c r="H310" s="119">
        <f>IFERROR(__xludf.DUMMYFUNCTION("""COMPUTED_VALUE"""),20000.0)</f>
        <v>20000</v>
      </c>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t="str">
        <f>IFERROR(__xludf.DUMMYFUNCTION("""COMPUTED_VALUE"""),"Land of Spira")</f>
        <v>Land of Spira</v>
      </c>
      <c r="AH310" s="16" t="b">
        <f>IFERROR(__xludf.DUMMYFUNCTION("""COMPUTED_VALUE"""),TRUE)</f>
        <v>1</v>
      </c>
    </row>
    <row r="311">
      <c r="A311" s="16" t="str">
        <f>IFERROR(__xludf.DUMMYFUNCTION("""COMPUTED_VALUE"""),"The Dawn Splitter")</f>
        <v>The Dawn Splitter</v>
      </c>
      <c r="B311" s="16" t="str">
        <f>IFERROR(__xludf.DUMMYFUNCTION("""COMPUTED_VALUE"""),"Hand")</f>
        <v>Hand</v>
      </c>
      <c r="C311" s="16"/>
      <c r="D311" s="16" t="str">
        <f>IFERROR(__xludf.DUMMYFUNCTION("""COMPUTED_VALUE"""),"Sword")</f>
        <v>Sword</v>
      </c>
      <c r="E311" s="16">
        <f>IFERROR(__xludf.DUMMYFUNCTION("""COMPUTED_VALUE"""),200.0)</f>
        <v>200</v>
      </c>
      <c r="F311" s="108">
        <f>IFERROR(__xludf.DUMMYFUNCTION("""COMPUTED_VALUE"""),7.98E8)</f>
        <v>798000000</v>
      </c>
      <c r="G311" s="16" t="str">
        <f>IFERROR(__xludf.DUMMYFUNCTION("""COMPUTED_VALUE"""),"DMG")</f>
        <v>DMG</v>
      </c>
      <c r="H311" s="119">
        <f>IFERROR(__xludf.DUMMYFUNCTION("""COMPUTED_VALUE"""),50000.0)</f>
        <v>50000</v>
      </c>
      <c r="I311" s="119">
        <f>IFERROR(__xludf.DUMMYFUNCTION("""COMPUTED_VALUE"""),50000.0)</f>
        <v>50000</v>
      </c>
      <c r="J311" s="16"/>
      <c r="K311" s="16"/>
      <c r="L311" s="16"/>
      <c r="M311" s="16"/>
      <c r="N311" s="16"/>
      <c r="O311" s="119">
        <f>IFERROR(__xludf.DUMMYFUNCTION("""COMPUTED_VALUE"""),50000.0)</f>
        <v>50000</v>
      </c>
      <c r="P311" s="16"/>
      <c r="Q311" s="16"/>
      <c r="R311" s="16"/>
      <c r="S311" s="16"/>
      <c r="T311" s="16"/>
      <c r="U311" s="16"/>
      <c r="V311" s="16"/>
      <c r="W311" s="16"/>
      <c r="X311" s="16"/>
      <c r="Y311" s="16"/>
      <c r="Z311" s="16"/>
      <c r="AA311" s="16"/>
      <c r="AB311" s="16"/>
      <c r="AC311" s="119">
        <f>IFERROR(__xludf.DUMMYFUNCTION("""COMPUTED_VALUE"""),50000.0)</f>
        <v>50000</v>
      </c>
      <c r="AD311" s="16"/>
      <c r="AE311" s="16"/>
      <c r="AF311" s="16" t="str">
        <f>IFERROR(__xludf.DUMMYFUNCTION("""COMPUTED_VALUE"""),"++50% Chance to put the target to sleep.")</f>
        <v>++50% Chance to put the target to sleep.</v>
      </c>
      <c r="AG311" s="16" t="str">
        <f>IFERROR(__xludf.DUMMYFUNCTION("""COMPUTED_VALUE"""),"Abstara")</f>
        <v>Abstara</v>
      </c>
      <c r="AH311" s="16" t="b">
        <f>IFERROR(__xludf.DUMMYFUNCTION("""COMPUTED_VALUE"""),FALSE)</f>
        <v>0</v>
      </c>
    </row>
    <row r="312">
      <c r="A312" s="16" t="str">
        <f>IFERROR(__xludf.DUMMYFUNCTION("""COMPUTED_VALUE"""),"The Dragon King's Crown")</f>
        <v>The Dragon King's Crown</v>
      </c>
      <c r="B312" s="16" t="str">
        <f>IFERROR(__xludf.DUMMYFUNCTION("""COMPUTED_VALUE"""),"Head")</f>
        <v>Head</v>
      </c>
      <c r="C312" s="16"/>
      <c r="D312" s="16"/>
      <c r="E312" s="16">
        <f>IFERROR(__xludf.DUMMYFUNCTION("""COMPUTED_VALUE"""),400.0)</f>
        <v>400</v>
      </c>
      <c r="F312" s="108">
        <f>IFERROR(__xludf.DUMMYFUNCTION("""COMPUTED_VALUE"""),7800000.0)</f>
        <v>7800000</v>
      </c>
      <c r="G312" s="16" t="str">
        <f>IFERROR(__xludf.DUMMYFUNCTION("""COMPUTED_VALUE"""),"DEF")</f>
        <v>DEF</v>
      </c>
      <c r="H312" s="119">
        <f>IFERROR(__xludf.DUMMYFUNCTION("""COMPUTED_VALUE"""),20000.0)</f>
        <v>20000</v>
      </c>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t="str">
        <f>IFERROR(__xludf.DUMMYFUNCTION("""COMPUTED_VALUE"""),"++Immunity to damage from Natural Attacks...")</f>
        <v>++Immunity to damage from Natural Attacks...</v>
      </c>
      <c r="AG312" s="16" t="str">
        <f>IFERROR(__xludf.DUMMYFUNCTION("""COMPUTED_VALUE"""),"Land of Spira")</f>
        <v>Land of Spira</v>
      </c>
      <c r="AH312" s="16" t="b">
        <f>IFERROR(__xludf.DUMMYFUNCTION("""COMPUTED_VALUE"""),FALSE)</f>
        <v>0</v>
      </c>
    </row>
    <row r="313">
      <c r="A313" s="16" t="str">
        <f>IFERROR(__xludf.DUMMYFUNCTION("""COMPUTED_VALUE"""),"The Guardian Of Death's Sword")</f>
        <v>The Guardian Of Death's Sword</v>
      </c>
      <c r="B313" s="16" t="str">
        <f>IFERROR(__xludf.DUMMYFUNCTION("""COMPUTED_VALUE"""),"Hand")</f>
        <v>Hand</v>
      </c>
      <c r="C313" s="16"/>
      <c r="D313" s="16" t="str">
        <f>IFERROR(__xludf.DUMMYFUNCTION("""COMPUTED_VALUE"""),"Sword")</f>
        <v>Sword</v>
      </c>
      <c r="E313" s="16">
        <f>IFERROR(__xludf.DUMMYFUNCTION("""COMPUTED_VALUE"""),600.0)</f>
        <v>600</v>
      </c>
      <c r="F313" s="108">
        <f>IFERROR(__xludf.DUMMYFUNCTION("""COMPUTED_VALUE"""),1.77E7)</f>
        <v>17700000</v>
      </c>
      <c r="G313" s="16" t="str">
        <f>IFERROR(__xludf.DUMMYFUNCTION("""COMPUTED_VALUE"""),"DMG")</f>
        <v>DMG</v>
      </c>
      <c r="H313" s="16">
        <f>IFERROR(__xludf.DUMMYFUNCTION("""COMPUTED_VALUE"""),15000.0)</f>
        <v>15000</v>
      </c>
      <c r="I313" s="16"/>
      <c r="J313" s="16"/>
      <c r="K313" s="16"/>
      <c r="L313" s="16"/>
      <c r="M313" s="16"/>
      <c r="N313" s="16"/>
      <c r="O313" s="16">
        <f>IFERROR(__xludf.DUMMYFUNCTION("""COMPUTED_VALUE"""),5000.0)</f>
        <v>5000</v>
      </c>
      <c r="P313" s="16">
        <f>IFERROR(__xludf.DUMMYFUNCTION("""COMPUTED_VALUE"""),5000.0)</f>
        <v>5000</v>
      </c>
      <c r="Q313" s="16"/>
      <c r="R313" s="16">
        <f>IFERROR(__xludf.DUMMYFUNCTION("""COMPUTED_VALUE"""),5000.0)</f>
        <v>5000</v>
      </c>
      <c r="S313" s="16"/>
      <c r="T313" s="16"/>
      <c r="U313" s="16"/>
      <c r="V313" s="16"/>
      <c r="W313" s="16"/>
      <c r="X313" s="16"/>
      <c r="Y313" s="16"/>
      <c r="Z313" s="16"/>
      <c r="AA313" s="16"/>
      <c r="AB313" s="16"/>
      <c r="AC313" s="16"/>
      <c r="AD313" s="16"/>
      <c r="AE313" s="16"/>
      <c r="AF313" s="16"/>
      <c r="AG313" s="16" t="str">
        <f>IFERROR(__xludf.DUMMYFUNCTION("""COMPUTED_VALUE"""),"Land of Spira")</f>
        <v>Land of Spira</v>
      </c>
      <c r="AH313" s="16" t="b">
        <f>IFERROR(__xludf.DUMMYFUNCTION("""COMPUTED_VALUE"""),TRUE)</f>
        <v>1</v>
      </c>
    </row>
    <row r="314">
      <c r="A314" s="16" t="str">
        <f>IFERROR(__xludf.DUMMYFUNCTION("""COMPUTED_VALUE"""),"The Helm of Foul Night")</f>
        <v>The Helm of Foul Night</v>
      </c>
      <c r="B314" s="16" t="str">
        <f>IFERROR(__xludf.DUMMYFUNCTION("""COMPUTED_VALUE"""),"Head")</f>
        <v>Head</v>
      </c>
      <c r="C314" s="16"/>
      <c r="D314" s="16"/>
      <c r="E314" s="16">
        <f>IFERROR(__xludf.DUMMYFUNCTION("""COMPUTED_VALUE"""),200.0)</f>
        <v>200</v>
      </c>
      <c r="F314" s="108">
        <f>IFERROR(__xludf.DUMMYFUNCTION("""COMPUTED_VALUE"""),1900000.0)</f>
        <v>1900000</v>
      </c>
      <c r="G314" s="16" t="str">
        <f>IFERROR(__xludf.DUMMYFUNCTION("""COMPUTED_VALUE"""),"DEF")</f>
        <v>DEF</v>
      </c>
      <c r="H314" s="16">
        <f>IFERROR(__xludf.DUMMYFUNCTION("""COMPUTED_VALUE"""),5000.0)</f>
        <v>5000</v>
      </c>
      <c r="I314" s="16"/>
      <c r="J314" s="16"/>
      <c r="K314" s="16"/>
      <c r="L314" s="16"/>
      <c r="M314" s="16"/>
      <c r="N314" s="16"/>
      <c r="O314" s="16"/>
      <c r="P314" s="16"/>
      <c r="Q314" s="16"/>
      <c r="R314" s="16"/>
      <c r="S314" s="16">
        <f>IFERROR(__xludf.DUMMYFUNCTION("""COMPUTED_VALUE"""),5000.0)</f>
        <v>5000</v>
      </c>
      <c r="T314" s="16"/>
      <c r="U314" s="16"/>
      <c r="V314" s="16"/>
      <c r="W314" s="16"/>
      <c r="X314" s="16"/>
      <c r="Y314" s="16"/>
      <c r="Z314" s="16"/>
      <c r="AA314" s="16"/>
      <c r="AB314" s="16"/>
      <c r="AC314" s="16"/>
      <c r="AD314" s="16"/>
      <c r="AE314" s="16"/>
      <c r="AF314" s="16" t="str">
        <f>IFERROR(__xludf.DUMMYFUNCTION("""COMPUTED_VALUE"""),"(Foul Night Set) ++X2 Nature and Poison damage. ++Poison Immunity. ")</f>
        <v>(Foul Night Set) ++X2 Nature and Poison damage. ++Poison Immunity. </v>
      </c>
      <c r="AG314" s="16" t="str">
        <f>IFERROR(__xludf.DUMMYFUNCTION("""COMPUTED_VALUE"""),"Land of Spira")</f>
        <v>Land of Spira</v>
      </c>
      <c r="AH314" s="16" t="b">
        <f>IFERROR(__xludf.DUMMYFUNCTION("""COMPUTED_VALUE"""),FALSE)</f>
        <v>0</v>
      </c>
    </row>
    <row r="315">
      <c r="A315" s="16" t="str">
        <f>IFERROR(__xludf.DUMMYFUNCTION("""COMPUTED_VALUE"""),"The Invisible Spear")</f>
        <v>The Invisible Spear</v>
      </c>
      <c r="B315" s="16" t="str">
        <f>IFERROR(__xludf.DUMMYFUNCTION("""COMPUTED_VALUE"""),"Hand")</f>
        <v>Hand</v>
      </c>
      <c r="C315" s="16"/>
      <c r="D315" s="16" t="str">
        <f>IFERROR(__xludf.DUMMYFUNCTION("""COMPUTED_VALUE"""),"Spear")</f>
        <v>Spear</v>
      </c>
      <c r="E315" s="16">
        <f>IFERROR(__xludf.DUMMYFUNCTION("""COMPUTED_VALUE"""),1.0)</f>
        <v>1</v>
      </c>
      <c r="F315" s="108">
        <f>IFERROR(__xludf.DUMMYFUNCTION("""COMPUTED_VALUE"""),0.0)</f>
        <v>0</v>
      </c>
      <c r="G315" s="16" t="str">
        <f>IFERROR(__xludf.DUMMYFUNCTION("""COMPUTED_VALUE"""),"DMG")</f>
        <v>DMG</v>
      </c>
      <c r="H315" s="16">
        <f>IFERROR(__xludf.DUMMYFUNCTION("""COMPUTED_VALUE"""),200.0)</f>
        <v>200</v>
      </c>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t="str">
        <f>IFERROR(__xludf.DUMMYFUNCTION("""COMPUTED_VALUE"""),"++ignores evasion")</f>
        <v>++ignores evasion</v>
      </c>
      <c r="AG315" s="16" t="str">
        <f>IFERROR(__xludf.DUMMYFUNCTION("""COMPUTED_VALUE"""),"Land of Spira")</f>
        <v>Land of Spira</v>
      </c>
      <c r="AH315" s="16" t="b">
        <f>IFERROR(__xludf.DUMMYFUNCTION("""COMPUTED_VALUE"""),FALSE)</f>
        <v>0</v>
      </c>
    </row>
    <row r="316">
      <c r="A316" s="16" t="str">
        <f>IFERROR(__xludf.DUMMYFUNCTION("""COMPUTED_VALUE"""),"The Mysterious Mirror")</f>
        <v>The Mysterious Mirror</v>
      </c>
      <c r="B316" s="16" t="str">
        <f>IFERROR(__xludf.DUMMYFUNCTION("""COMPUTED_VALUE"""),"Hand")</f>
        <v>Hand</v>
      </c>
      <c r="C316" s="16"/>
      <c r="D316" s="16" t="str">
        <f>IFERROR(__xludf.DUMMYFUNCTION("""COMPUTED_VALUE"""),"Towershield")</f>
        <v>Towershield</v>
      </c>
      <c r="E316" s="16">
        <f>IFERROR(__xludf.DUMMYFUNCTION("""COMPUTED_VALUE"""),1.0)</f>
        <v>1</v>
      </c>
      <c r="F316" s="108">
        <f>IFERROR(__xludf.DUMMYFUNCTION("""COMPUTED_VALUE"""),0.0)</f>
        <v>0</v>
      </c>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t="str">
        <f>IFERROR(__xludf.DUMMYFUNCTION("""COMPUTED_VALUE"""),"++When the user would take damage from an enemy the damage is reflected back at all enemies instead, or you can choose to have the mirror absorb all damage taken from the first 2 attacks to add that damage on to your next attack, you may only choose up to"&amp;" 5 targets for the damage to be reflected back at. The mirrors effect only lasts for your first 2 turns. +-Cannot be forged +-Cannot be duplicated")</f>
        <v>++When the user would take damage from an enemy the damage is reflected back at all enemies instead, or you can choose to have the mirror absorb all damage taken from the first 2 attacks to add that damage on to your next attack, you may only choose up to 5 targets for the damage to be reflected back at. The mirrors effect only lasts for your first 2 turns. +-Cannot be forged +-Cannot be duplicated</v>
      </c>
      <c r="AG316" s="16" t="str">
        <f>IFERROR(__xludf.DUMMYFUNCTION("""COMPUTED_VALUE"""),"Land of The Forgotten")</f>
        <v>Land of The Forgotten</v>
      </c>
      <c r="AH316" s="16" t="b">
        <f>IFERROR(__xludf.DUMMYFUNCTION("""COMPUTED_VALUE"""),FALSE)</f>
        <v>0</v>
      </c>
    </row>
    <row r="317">
      <c r="A317" s="16" t="str">
        <f>IFERROR(__xludf.DUMMYFUNCTION("""COMPUTED_VALUE"""),"The Puppet Masters Amulet")</f>
        <v>The Puppet Masters Amulet</v>
      </c>
      <c r="B317" s="16" t="str">
        <f>IFERROR(__xludf.DUMMYFUNCTION("""COMPUTED_VALUE"""),"Neck")</f>
        <v>Neck</v>
      </c>
      <c r="C317" s="16"/>
      <c r="D317" s="16"/>
      <c r="E317" s="16">
        <f>IFERROR(__xludf.DUMMYFUNCTION("""COMPUTED_VALUE"""),1.0)</f>
        <v>1</v>
      </c>
      <c r="F317" s="108">
        <f>IFERROR(__xludf.DUMMYFUNCTION("""COMPUTED_VALUE"""),0.0)</f>
        <v>0</v>
      </c>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t="str">
        <f>IFERROR(__xludf.DUMMYFUNCTION("""COMPUTED_VALUE"""),"++Immune to possession.  +-Cannot be duplicated.")</f>
        <v>++Immune to possession.  +-Cannot be duplicated.</v>
      </c>
      <c r="AG317" s="16" t="str">
        <f>IFERROR(__xludf.DUMMYFUNCTION("""COMPUTED_VALUE"""),"Land of The Forgotten")</f>
        <v>Land of The Forgotten</v>
      </c>
      <c r="AH317" s="16" t="b">
        <f>IFERROR(__xludf.DUMMYFUNCTION("""COMPUTED_VALUE"""),FALSE)</f>
        <v>0</v>
      </c>
    </row>
    <row r="318">
      <c r="A318" s="16" t="str">
        <f>IFERROR(__xludf.DUMMYFUNCTION("""COMPUTED_VALUE"""),"The Puppet Masters Cloak")</f>
        <v>The Puppet Masters Cloak</v>
      </c>
      <c r="B318" s="16" t="str">
        <f>IFERROR(__xludf.DUMMYFUNCTION("""COMPUTED_VALUE"""),"Torso")</f>
        <v>Torso</v>
      </c>
      <c r="C318" s="16"/>
      <c r="D318" s="16"/>
      <c r="E318" s="16">
        <f>IFERROR(__xludf.DUMMYFUNCTION("""COMPUTED_VALUE"""),1.0)</f>
        <v>1</v>
      </c>
      <c r="F318" s="108">
        <f>IFERROR(__xludf.DUMMYFUNCTION("""COMPUTED_VALUE"""),0.0)</f>
        <v>0</v>
      </c>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t="str">
        <f>IFERROR(__xludf.DUMMYFUNCTION("""COMPUTED_VALUE"""),"++User and allies gain immunity to chaos and dark damage while in the party. +-Cannot be duplicated")</f>
        <v>++User and allies gain immunity to chaos and dark damage while in the party. +-Cannot be duplicated</v>
      </c>
      <c r="AG318" s="16" t="str">
        <f>IFERROR(__xludf.DUMMYFUNCTION("""COMPUTED_VALUE"""),"Land of The Forgotten")</f>
        <v>Land of The Forgotten</v>
      </c>
      <c r="AH318" s="16" t="b">
        <f>IFERROR(__xludf.DUMMYFUNCTION("""COMPUTED_VALUE"""),FALSE)</f>
        <v>0</v>
      </c>
    </row>
    <row r="319">
      <c r="A319" s="16" t="str">
        <f>IFERROR(__xludf.DUMMYFUNCTION("""COMPUTED_VALUE"""),"The Puppet Masters Ring")</f>
        <v>The Puppet Masters Ring</v>
      </c>
      <c r="B319" s="16" t="str">
        <f>IFERROR(__xludf.DUMMYFUNCTION("""COMPUTED_VALUE"""),"Ring")</f>
        <v>Ring</v>
      </c>
      <c r="C319" s="16"/>
      <c r="D319" s="16"/>
      <c r="E319" s="16">
        <f>IFERROR(__xludf.DUMMYFUNCTION("""COMPUTED_VALUE"""),1.0)</f>
        <v>1</v>
      </c>
      <c r="F319" s="108">
        <f>IFERROR(__xludf.DUMMYFUNCTION("""COMPUTED_VALUE"""),0.0)</f>
        <v>0</v>
      </c>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t="str">
        <f>IFERROR(__xludf.DUMMYFUNCTION("""COMPUTED_VALUE"""),"++Take control of a target of choice. Fail/Succeed roll, (This effect counts as a possession)  +-Cannot be duplicated.")</f>
        <v>++Take control of a target of choice. Fail/Succeed roll, (This effect counts as a possession)  +-Cannot be duplicated.</v>
      </c>
      <c r="AG319" s="16" t="str">
        <f>IFERROR(__xludf.DUMMYFUNCTION("""COMPUTED_VALUE"""),"Land of The Forgotten")</f>
        <v>Land of The Forgotten</v>
      </c>
      <c r="AH319" s="16" t="b">
        <f>IFERROR(__xludf.DUMMYFUNCTION("""COMPUTED_VALUE"""),FALSE)</f>
        <v>0</v>
      </c>
    </row>
    <row r="320">
      <c r="A320" s="16" t="str">
        <f>IFERROR(__xludf.DUMMYFUNCTION("""COMPUTED_VALUE"""),"The Red Sword")</f>
        <v>The Red Sword</v>
      </c>
      <c r="B320" s="16" t="str">
        <f>IFERROR(__xludf.DUMMYFUNCTION("""COMPUTED_VALUE"""),"Hand")</f>
        <v>Hand</v>
      </c>
      <c r="C320" s="16" t="str">
        <f>IFERROR(__xludf.DUMMYFUNCTION("""COMPUTED_VALUE"""),"A Sword that was made of Vampire’s Blood")</f>
        <v>A Sword that was made of Vampire’s Blood</v>
      </c>
      <c r="D320" s="16" t="str">
        <f>IFERROR(__xludf.DUMMYFUNCTION("""COMPUTED_VALUE"""),"Sword")</f>
        <v>Sword</v>
      </c>
      <c r="E320" s="16">
        <f>IFERROR(__xludf.DUMMYFUNCTION("""COMPUTED_VALUE"""),1.0)</f>
        <v>1</v>
      </c>
      <c r="F320" s="108">
        <f>IFERROR(__xludf.DUMMYFUNCTION("""COMPUTED_VALUE"""),0.0)</f>
        <v>0</v>
      </c>
      <c r="G320" s="16" t="str">
        <f>IFERROR(__xludf.DUMMYFUNCTION("""COMPUTED_VALUE"""),"DMG")</f>
        <v>DMG</v>
      </c>
      <c r="H320" s="16">
        <f>IFERROR(__xludf.DUMMYFUNCTION("""COMPUTED_VALUE"""),300.0)</f>
        <v>300</v>
      </c>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t="str">
        <f>IFERROR(__xludf.DUMMYFUNCTION("""COMPUTED_VALUE"""),"Land of Spira")</f>
        <v>Land of Spira</v>
      </c>
      <c r="AH320" s="16" t="b">
        <f>IFERROR(__xludf.DUMMYFUNCTION("""COMPUTED_VALUE"""),TRUE)</f>
        <v>1</v>
      </c>
    </row>
    <row r="321">
      <c r="A321" s="16" t="str">
        <f>IFERROR(__xludf.DUMMYFUNCTION("""COMPUTED_VALUE"""),"The Servants Sword")</f>
        <v>The Servants Sword</v>
      </c>
      <c r="B321" s="16" t="str">
        <f>IFERROR(__xludf.DUMMYFUNCTION("""COMPUTED_VALUE"""),"Hand")</f>
        <v>Hand</v>
      </c>
      <c r="C321" s="16"/>
      <c r="D321" s="16" t="str">
        <f>IFERROR(__xludf.DUMMYFUNCTION("""COMPUTED_VALUE"""),"Sword")</f>
        <v>Sword</v>
      </c>
      <c r="E321" s="16">
        <f>IFERROR(__xludf.DUMMYFUNCTION("""COMPUTED_VALUE"""),600.0)</f>
        <v>600</v>
      </c>
      <c r="F321" s="108">
        <f>IFERROR(__xludf.DUMMYFUNCTION("""COMPUTED_VALUE"""),1.77E7)</f>
        <v>17700000</v>
      </c>
      <c r="G321" s="16" t="str">
        <f>IFERROR(__xludf.DUMMYFUNCTION("""COMPUTED_VALUE"""),"DMG")</f>
        <v>DMG</v>
      </c>
      <c r="H321" s="119">
        <f>IFERROR(__xludf.DUMMYFUNCTION("""COMPUTED_VALUE"""),20000.0)</f>
        <v>20000</v>
      </c>
      <c r="I321" s="16"/>
      <c r="J321" s="16"/>
      <c r="K321" s="16"/>
      <c r="L321" s="16"/>
      <c r="M321" s="16"/>
      <c r="N321" s="16"/>
      <c r="O321" s="16"/>
      <c r="P321" s="16"/>
      <c r="Q321" s="16"/>
      <c r="R321" s="119">
        <f>IFERROR(__xludf.DUMMYFUNCTION("""COMPUTED_VALUE"""),10000.0)</f>
        <v>10000</v>
      </c>
      <c r="S321" s="16"/>
      <c r="T321" s="16"/>
      <c r="U321" s="16"/>
      <c r="V321" s="16"/>
      <c r="W321" s="16"/>
      <c r="X321" s="16"/>
      <c r="Y321" s="16"/>
      <c r="Z321" s="16"/>
      <c r="AA321" s="16"/>
      <c r="AB321" s="16"/>
      <c r="AC321" s="16"/>
      <c r="AD321" s="16"/>
      <c r="AE321" s="16"/>
      <c r="AF321" s="16"/>
      <c r="AG321" s="16"/>
      <c r="AH321" s="16" t="b">
        <f>IFERROR(__xludf.DUMMYFUNCTION("""COMPUTED_VALUE"""),FALSE)</f>
        <v>0</v>
      </c>
    </row>
    <row r="322">
      <c r="A322" s="16" t="str">
        <f>IFERROR(__xludf.DUMMYFUNCTION("""COMPUTED_VALUE"""),"The Shield of Foul Night")</f>
        <v>The Shield of Foul Night</v>
      </c>
      <c r="B322" s="16" t="str">
        <f>IFERROR(__xludf.DUMMYFUNCTION("""COMPUTED_VALUE"""),"Hand")</f>
        <v>Hand</v>
      </c>
      <c r="C322" s="16"/>
      <c r="D322" s="16" t="str">
        <f>IFERROR(__xludf.DUMMYFUNCTION("""COMPUTED_VALUE"""),"Buckler")</f>
        <v>Buckler</v>
      </c>
      <c r="E322" s="16">
        <f>IFERROR(__xludf.DUMMYFUNCTION("""COMPUTED_VALUE"""),200.0)</f>
        <v>200</v>
      </c>
      <c r="F322" s="108">
        <f>IFERROR(__xludf.DUMMYFUNCTION("""COMPUTED_VALUE"""),1900000.0)</f>
        <v>1900000</v>
      </c>
      <c r="G322" s="16" t="str">
        <f>IFERROR(__xludf.DUMMYFUNCTION("""COMPUTED_VALUE"""),"DEF")</f>
        <v>DEF</v>
      </c>
      <c r="H322" s="16">
        <f>IFERROR(__xludf.DUMMYFUNCTION("""COMPUTED_VALUE"""),5000.0)</f>
        <v>5000</v>
      </c>
      <c r="I322" s="16"/>
      <c r="J322" s="16"/>
      <c r="K322" s="16"/>
      <c r="L322" s="16"/>
      <c r="M322" s="16"/>
      <c r="N322" s="16"/>
      <c r="O322" s="16"/>
      <c r="P322" s="16"/>
      <c r="Q322" s="16"/>
      <c r="R322" s="16"/>
      <c r="S322" s="16">
        <f>IFERROR(__xludf.DUMMYFUNCTION("""COMPUTED_VALUE"""),5000.0)</f>
        <v>5000</v>
      </c>
      <c r="T322" s="16"/>
      <c r="U322" s="16"/>
      <c r="V322" s="16"/>
      <c r="W322" s="16"/>
      <c r="X322" s="16"/>
      <c r="Y322" s="16"/>
      <c r="Z322" s="16"/>
      <c r="AA322" s="16"/>
      <c r="AB322" s="16"/>
      <c r="AC322" s="16"/>
      <c r="AD322" s="16"/>
      <c r="AE322" s="16"/>
      <c r="AF322" s="16" t="str">
        <f>IFERROR(__xludf.DUMMYFUNCTION("""COMPUTED_VALUE"""),"(Foul Night Set) ++Nature Immunity, Poison Immunity")</f>
        <v>(Foul Night Set) ++Nature Immunity, Poison Immunity</v>
      </c>
      <c r="AG322" s="16" t="str">
        <f>IFERROR(__xludf.DUMMYFUNCTION("""COMPUTED_VALUE"""),"Land of Spira")</f>
        <v>Land of Spira</v>
      </c>
      <c r="AH322" s="16" t="b">
        <f>IFERROR(__xludf.DUMMYFUNCTION("""COMPUTED_VALUE"""),FALSE)</f>
        <v>0</v>
      </c>
    </row>
    <row r="323">
      <c r="A323" s="16" t="str">
        <f>IFERROR(__xludf.DUMMYFUNCTION("""COMPUTED_VALUE"""),"The Staff of  Haunted Bones")</f>
        <v>The Staff of  Haunted Bones</v>
      </c>
      <c r="B323" s="16" t="str">
        <f>IFERROR(__xludf.DUMMYFUNCTION("""COMPUTED_VALUE"""),"Hand")</f>
        <v>Hand</v>
      </c>
      <c r="C323" s="16" t="str">
        <f>IFERROR(__xludf.DUMMYFUNCTION("""COMPUTED_VALUE"""),"Halloween exclusive")</f>
        <v>Halloween exclusive</v>
      </c>
      <c r="D323" s="16" t="str">
        <f>IFERROR(__xludf.DUMMYFUNCTION("""COMPUTED_VALUE"""),"Staff")</f>
        <v>Staff</v>
      </c>
      <c r="E323" s="16">
        <f>IFERROR(__xludf.DUMMYFUNCTION("""COMPUTED_VALUE"""),1.0)</f>
        <v>1</v>
      </c>
      <c r="F323" s="108">
        <f>IFERROR(__xludf.DUMMYFUNCTION("""COMPUTED_VALUE"""),0.0)</f>
        <v>0</v>
      </c>
      <c r="G323" s="16" t="str">
        <f>IFERROR(__xludf.DUMMYFUNCTION("""COMPUTED_VALUE"""),"DMG")</f>
        <v>DMG</v>
      </c>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t="str">
        <f>IFERROR(__xludf.DUMMYFUNCTION("""COMPUTED_VALUE"""),"X2 additional Dark, Chaos, and Spirit damage.")</f>
        <v>X2 additional Dark, Chaos, and Spirit damage.</v>
      </c>
      <c r="AG323" s="16" t="str">
        <f>IFERROR(__xludf.DUMMYFUNCTION("""COMPUTED_VALUE"""),"Halloween Kingdom")</f>
        <v>Halloween Kingdom</v>
      </c>
      <c r="AH323" s="16" t="b">
        <f>IFERROR(__xludf.DUMMYFUNCTION("""COMPUTED_VALUE"""),FALSE)</f>
        <v>0</v>
      </c>
    </row>
    <row r="324">
      <c r="A324" s="16" t="str">
        <f>IFERROR(__xludf.DUMMYFUNCTION("""COMPUTED_VALUE"""),"The Staff of the Aquas")</f>
        <v>The Staff of the Aquas</v>
      </c>
      <c r="B324" s="16" t="str">
        <f>IFERROR(__xludf.DUMMYFUNCTION("""COMPUTED_VALUE"""),"Hand")</f>
        <v>Hand</v>
      </c>
      <c r="C324" s="16"/>
      <c r="D324" s="16" t="str">
        <f>IFERROR(__xludf.DUMMYFUNCTION("""COMPUTED_VALUE"""),"Staff")</f>
        <v>Staff</v>
      </c>
      <c r="E324" s="16">
        <f>IFERROR(__xludf.DUMMYFUNCTION("""COMPUTED_VALUE"""),1.0)</f>
        <v>1</v>
      </c>
      <c r="F324" s="108">
        <f>IFERROR(__xludf.DUMMYFUNCTION("""COMPUTED_VALUE"""),0.0)</f>
        <v>0</v>
      </c>
      <c r="G324" s="16" t="str">
        <f>IFERROR(__xludf.DUMMYFUNCTION("""COMPUTED_VALUE"""),"DMG")</f>
        <v>DMG</v>
      </c>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t="str">
        <f>IFERROR(__xludf.DUMMYFUNCTION("""COMPUTED_VALUE"""),"++All Water Spells Deal x3 damage and cost half sp to use.")</f>
        <v>++All Water Spells Deal x3 damage and cost half sp to use.</v>
      </c>
      <c r="AG324" s="16" t="str">
        <f>IFERROR(__xludf.DUMMYFUNCTION("""COMPUTED_VALUE"""),"Land of Spira")</f>
        <v>Land of Spira</v>
      </c>
      <c r="AH324" s="16" t="b">
        <f>IFERROR(__xludf.DUMMYFUNCTION("""COMPUTED_VALUE"""),FALSE)</f>
        <v>0</v>
      </c>
    </row>
    <row r="325">
      <c r="A325" s="16" t="str">
        <f>IFERROR(__xludf.DUMMYFUNCTION("""COMPUTED_VALUE"""),"The Staff of The Pumpkin’s Curse")</f>
        <v>The Staff of The Pumpkin’s Curse</v>
      </c>
      <c r="B325" s="16" t="str">
        <f>IFERROR(__xludf.DUMMYFUNCTION("""COMPUTED_VALUE"""),"Hand")</f>
        <v>Hand</v>
      </c>
      <c r="C325" s="16"/>
      <c r="D325" s="16" t="str">
        <f>IFERROR(__xludf.DUMMYFUNCTION("""COMPUTED_VALUE"""),"Staff")</f>
        <v>Staff</v>
      </c>
      <c r="E325" s="16">
        <f>IFERROR(__xludf.DUMMYFUNCTION("""COMPUTED_VALUE"""),1.0)</f>
        <v>1</v>
      </c>
      <c r="F325" s="108">
        <f>IFERROR(__xludf.DUMMYFUNCTION("""COMPUTED_VALUE"""),0.0)</f>
        <v>0</v>
      </c>
      <c r="G325" s="16" t="str">
        <f>IFERROR(__xludf.DUMMYFUNCTION("""COMPUTED_VALUE"""),"DMG")</f>
        <v>DMG</v>
      </c>
      <c r="H325" s="16"/>
      <c r="I325" s="16"/>
      <c r="J325" s="16"/>
      <c r="K325" s="16"/>
      <c r="L325" s="16"/>
      <c r="M325" s="16"/>
      <c r="N325" s="16"/>
      <c r="O325" s="16"/>
      <c r="P325" s="16"/>
      <c r="Q325" s="16"/>
      <c r="R325" s="16"/>
      <c r="S325" s="16"/>
      <c r="T325" s="16"/>
      <c r="U325" s="16"/>
      <c r="V325" s="16"/>
      <c r="W325" s="16"/>
      <c r="X325" s="16"/>
      <c r="Y325" s="16"/>
      <c r="Z325" s="16"/>
      <c r="AA325" s="16"/>
      <c r="AB325" s="16"/>
      <c r="AC325" s="16"/>
      <c r="AD325" s="16"/>
      <c r="AE325" s="16"/>
      <c r="AF325" s="16" t="str">
        <f>IFERROR(__xludf.DUMMYFUNCTION("""COMPUTED_VALUE"""),"++ Select a target, Any Fire Nature and Dark damage the target deals halved, Fail/Succeed.")</f>
        <v>++ Select a target, Any Fire Nature and Dark damage the target deals halved, Fail/Succeed.</v>
      </c>
      <c r="AG325" s="16" t="str">
        <f>IFERROR(__xludf.DUMMYFUNCTION("""COMPUTED_VALUE"""),"Land of Spira")</f>
        <v>Land of Spira</v>
      </c>
      <c r="AH325" s="16" t="b">
        <f>IFERROR(__xludf.DUMMYFUNCTION("""COMPUTED_VALUE"""),FALSE)</f>
        <v>0</v>
      </c>
    </row>
    <row r="326">
      <c r="A326" s="16" t="str">
        <f>IFERROR(__xludf.DUMMYFUNCTION("""COMPUTED_VALUE"""),"The Stick of the Panda")</f>
        <v>The Stick of the Panda</v>
      </c>
      <c r="B326" s="16" t="str">
        <f>IFERROR(__xludf.DUMMYFUNCTION("""COMPUTED_VALUE"""),"Hand")</f>
        <v>Hand</v>
      </c>
      <c r="C326" s="16"/>
      <c r="D326" s="16" t="str">
        <f>IFERROR(__xludf.DUMMYFUNCTION("""COMPUTED_VALUE"""),"Club")</f>
        <v>Club</v>
      </c>
      <c r="E326" s="16">
        <f>IFERROR(__xludf.DUMMYFUNCTION("""COMPUTED_VALUE"""),400.0)</f>
        <v>400</v>
      </c>
      <c r="F326" s="108">
        <f>IFERROR(__xludf.DUMMYFUNCTION("""COMPUTED_VALUE"""),7800000.0)</f>
        <v>7800000</v>
      </c>
      <c r="G326" s="16" t="str">
        <f>IFERROR(__xludf.DUMMYFUNCTION("""COMPUTED_VALUE"""),"DMG")</f>
        <v>DMG</v>
      </c>
      <c r="H326" s="119">
        <f>IFERROR(__xludf.DUMMYFUNCTION("""COMPUTED_VALUE"""),10000.0)</f>
        <v>10000</v>
      </c>
      <c r="I326" s="16"/>
      <c r="J326" s="16"/>
      <c r="K326" s="16"/>
      <c r="L326" s="16"/>
      <c r="M326" s="16"/>
      <c r="N326" s="16"/>
      <c r="O326" s="16"/>
      <c r="P326" s="16"/>
      <c r="Q326" s="16"/>
      <c r="R326" s="16"/>
      <c r="S326" s="119">
        <f>IFERROR(__xludf.DUMMYFUNCTION("""COMPUTED_VALUE"""),10000.0)</f>
        <v>10000</v>
      </c>
      <c r="T326" s="16"/>
      <c r="U326" s="16"/>
      <c r="V326" s="16"/>
      <c r="W326" s="16"/>
      <c r="X326" s="16"/>
      <c r="Y326" s="16"/>
      <c r="Z326" s="16"/>
      <c r="AA326" s="16"/>
      <c r="AB326" s="16"/>
      <c r="AC326" s="16"/>
      <c r="AD326" s="16"/>
      <c r="AE326" s="16"/>
      <c r="AF326" s="16" t="str">
        <f>IFERROR(__xludf.DUMMYFUNCTION("""COMPUTED_VALUE"""),"++When you find an herb you get 2 of the herb found instead of 1. +-Cannot be duplicated")</f>
        <v>++When you find an herb you get 2 of the herb found instead of 1. +-Cannot be duplicated</v>
      </c>
      <c r="AG326" s="16" t="str">
        <f>IFERROR(__xludf.DUMMYFUNCTION("""COMPUTED_VALUE"""),"Land of Spira")</f>
        <v>Land of Spira</v>
      </c>
      <c r="AH326" s="16" t="b">
        <f>IFERROR(__xludf.DUMMYFUNCTION("""COMPUTED_VALUE"""),FALSE)</f>
        <v>0</v>
      </c>
    </row>
    <row r="327">
      <c r="A327" s="16" t="str">
        <f>IFERROR(__xludf.DUMMYFUNCTION("""COMPUTED_VALUE"""),"The Sword Of Death")</f>
        <v>The Sword Of Death</v>
      </c>
      <c r="B327" s="16" t="str">
        <f>IFERROR(__xludf.DUMMYFUNCTION("""COMPUTED_VALUE"""),"Hand")</f>
        <v>Hand</v>
      </c>
      <c r="C327" s="16"/>
      <c r="D327" s="16" t="str">
        <f>IFERROR(__xludf.DUMMYFUNCTION("""COMPUTED_VALUE"""),"Sword")</f>
        <v>Sword</v>
      </c>
      <c r="E327" s="16">
        <f>IFERROR(__xludf.DUMMYFUNCTION("""COMPUTED_VALUE"""),1.0)</f>
        <v>1</v>
      </c>
      <c r="F327" s="108">
        <f>IFERROR(__xludf.DUMMYFUNCTION("""COMPUTED_VALUE"""),0.0)</f>
        <v>0</v>
      </c>
      <c r="G327" s="16" t="str">
        <f>IFERROR(__xludf.DUMMYFUNCTION("""COMPUTED_VALUE"""),"DMG")</f>
        <v>DMG</v>
      </c>
      <c r="H327" s="16">
        <f>IFERROR(__xludf.DUMMYFUNCTION("""COMPUTED_VALUE"""),250.0)</f>
        <v>250</v>
      </c>
      <c r="I327" s="16"/>
      <c r="J327" s="16"/>
      <c r="K327" s="16"/>
      <c r="L327" s="16"/>
      <c r="M327" s="16"/>
      <c r="N327" s="16"/>
      <c r="O327" s="16"/>
      <c r="P327" s="16"/>
      <c r="Q327" s="16"/>
      <c r="R327" s="16"/>
      <c r="S327" s="16"/>
      <c r="T327" s="16"/>
      <c r="U327" s="16"/>
      <c r="V327" s="16"/>
      <c r="W327" s="16"/>
      <c r="X327" s="16"/>
      <c r="Y327" s="16"/>
      <c r="Z327" s="16"/>
      <c r="AA327" s="16"/>
      <c r="AB327" s="16"/>
      <c r="AC327" s="16"/>
      <c r="AD327" s="16"/>
      <c r="AE327" s="16"/>
      <c r="AF327" s="16"/>
      <c r="AG327" s="16" t="str">
        <f>IFERROR(__xludf.DUMMYFUNCTION("""COMPUTED_VALUE"""),"Land of Spira")</f>
        <v>Land of Spira</v>
      </c>
      <c r="AH327" s="16" t="b">
        <f>IFERROR(__xludf.DUMMYFUNCTION("""COMPUTED_VALUE"""),TRUE)</f>
        <v>1</v>
      </c>
    </row>
    <row r="328">
      <c r="A328" s="16" t="str">
        <f>IFERROR(__xludf.DUMMYFUNCTION("""COMPUTED_VALUE"""),"The Sword Of Easter's Gathering (Exclusive)")</f>
        <v>The Sword Of Easter's Gathering (Exclusive)</v>
      </c>
      <c r="B328" s="16" t="str">
        <f>IFERROR(__xludf.DUMMYFUNCTION("""COMPUTED_VALUE"""),"Hand")</f>
        <v>Hand</v>
      </c>
      <c r="C328" s="16"/>
      <c r="D328" s="16" t="str">
        <f>IFERROR(__xludf.DUMMYFUNCTION("""COMPUTED_VALUE"""),"Sword")</f>
        <v>Sword</v>
      </c>
      <c r="E328" s="16">
        <f>IFERROR(__xludf.DUMMYFUNCTION("""COMPUTED_VALUE"""),200.0)</f>
        <v>200</v>
      </c>
      <c r="F328" s="108">
        <f>IFERROR(__xludf.DUMMYFUNCTION("""COMPUTED_VALUE"""),7800000.0)</f>
        <v>7800000</v>
      </c>
      <c r="G328" s="16" t="str">
        <f>IFERROR(__xludf.DUMMYFUNCTION("""COMPUTED_VALUE"""),"DMG")</f>
        <v>DMG</v>
      </c>
      <c r="H328" s="16"/>
      <c r="I328" s="16"/>
      <c r="J328" s="16"/>
      <c r="K328" s="16"/>
      <c r="L328" s="16"/>
      <c r="M328" s="16"/>
      <c r="N328" s="16"/>
      <c r="O328" s="16"/>
      <c r="P328" s="16"/>
      <c r="Q328" s="16"/>
      <c r="R328" s="16"/>
      <c r="S328" s="16">
        <f>IFERROR(__xludf.DUMMYFUNCTION("""COMPUTED_VALUE"""),10000.0)</f>
        <v>10000</v>
      </c>
      <c r="T328" s="16"/>
      <c r="U328" s="16"/>
      <c r="V328" s="16"/>
      <c r="W328" s="16"/>
      <c r="X328" s="16"/>
      <c r="Y328" s="16"/>
      <c r="Z328" s="16"/>
      <c r="AA328" s="16"/>
      <c r="AB328" s="16"/>
      <c r="AC328" s="16">
        <f>IFERROR(__xludf.DUMMYFUNCTION("""COMPUTED_VALUE"""),10000.0)</f>
        <v>10000</v>
      </c>
      <c r="AD328" s="16"/>
      <c r="AE328" s="16"/>
      <c r="AF328" s="16" t="str">
        <f>IFERROR(__xludf.DUMMYFUNCTION("""COMPUTED_VALUE"""),"++Doubles all elemental damage when held, ++2 on all rolls while in battle, +-Cannot be forged +-Cannot be duplicated")</f>
        <v>++Doubles all elemental damage when held, ++2 on all rolls while in battle, +-Cannot be forged +-Cannot be duplicated</v>
      </c>
      <c r="AG328" s="16" t="str">
        <f>IFERROR(__xludf.DUMMYFUNCTION("""COMPUTED_VALUE"""),"Land of Spira")</f>
        <v>Land of Spira</v>
      </c>
      <c r="AH328" s="16" t="b">
        <f>IFERROR(__xludf.DUMMYFUNCTION("""COMPUTED_VALUE"""),FALSE)</f>
        <v>0</v>
      </c>
    </row>
    <row r="329">
      <c r="A329" s="16" t="str">
        <f>IFERROR(__xludf.DUMMYFUNCTION("""COMPUTED_VALUE"""),"The Sword of Manannán (Exclusive)")</f>
        <v>The Sword of Manannán (Exclusive)</v>
      </c>
      <c r="B329" s="16" t="str">
        <f>IFERROR(__xludf.DUMMYFUNCTION("""COMPUTED_VALUE"""),"Hand")</f>
        <v>Hand</v>
      </c>
      <c r="C329" s="16" t="str">
        <f>IFERROR(__xludf.DUMMYFUNCTION("""COMPUTED_VALUE"""),"Lugh's Sword he wielded in battle")</f>
        <v>Lugh's Sword he wielded in battle</v>
      </c>
      <c r="D329" s="16" t="str">
        <f>IFERROR(__xludf.DUMMYFUNCTION("""COMPUTED_VALUE"""),"Sword")</f>
        <v>Sword</v>
      </c>
      <c r="E329" s="16">
        <f>IFERROR(__xludf.DUMMYFUNCTION("""COMPUTED_VALUE"""),200.0)</f>
        <v>200</v>
      </c>
      <c r="F329" s="108">
        <f>IFERROR(__xludf.DUMMYFUNCTION("""COMPUTED_VALUE"""),4.485E8)</f>
        <v>448500000</v>
      </c>
      <c r="G329" s="16" t="str">
        <f>IFERROR(__xludf.DUMMYFUNCTION("""COMPUTED_VALUE"""),"DMG")</f>
        <v>DMG</v>
      </c>
      <c r="H329" s="119">
        <f>IFERROR(__xludf.DUMMYFUNCTION("""COMPUTED_VALUE"""),75000.0)</f>
        <v>75000</v>
      </c>
      <c r="I329" s="16"/>
      <c r="J329" s="16"/>
      <c r="K329" s="16"/>
      <c r="L329" s="16"/>
      <c r="M329" s="16"/>
      <c r="N329" s="16"/>
      <c r="O329" s="16"/>
      <c r="P329" s="16"/>
      <c r="Q329" s="16"/>
      <c r="R329" s="16"/>
      <c r="S329" s="16"/>
      <c r="T329" s="16"/>
      <c r="U329" s="16"/>
      <c r="V329" s="16"/>
      <c r="W329" s="16"/>
      <c r="X329" s="16"/>
      <c r="Y329" s="16"/>
      <c r="Z329" s="16"/>
      <c r="AA329" s="16"/>
      <c r="AB329" s="16"/>
      <c r="AC329" s="119">
        <f>IFERROR(__xludf.DUMMYFUNCTION("""COMPUTED_VALUE"""),75000.0)</f>
        <v>75000</v>
      </c>
      <c r="AD329" s="16"/>
      <c r="AE329" s="16"/>
      <c r="AF329" s="16" t="str">
        <f>IFERROR(__xludf.DUMMYFUNCTION("""COMPUTED_VALUE"""),"++Intimidation and Charisma stat is double while equipped")</f>
        <v>++Intimidation and Charisma stat is double while equipped</v>
      </c>
      <c r="AG329" s="16" t="str">
        <f>IFERROR(__xludf.DUMMYFUNCTION("""COMPUTED_VALUE"""),"Land of Spira")</f>
        <v>Land of Spira</v>
      </c>
      <c r="AH329" s="16" t="b">
        <f>IFERROR(__xludf.DUMMYFUNCTION("""COMPUTED_VALUE"""),TRUE)</f>
        <v>1</v>
      </c>
    </row>
    <row r="330">
      <c r="A330" s="16" t="str">
        <f>IFERROR(__xludf.DUMMYFUNCTION("""COMPUTED_VALUE"""),"The Waking Ash of the Serpent’s Pendent")</f>
        <v>The Waking Ash of the Serpent’s Pendent</v>
      </c>
      <c r="B330" s="16" t="str">
        <f>IFERROR(__xludf.DUMMYFUNCTION("""COMPUTED_VALUE"""),"Neck")</f>
        <v>Neck</v>
      </c>
      <c r="C330" s="16"/>
      <c r="D330" s="16"/>
      <c r="E330" s="16">
        <f>IFERROR(__xludf.DUMMYFUNCTION("""COMPUTED_VALUE"""),1.0)</f>
        <v>1</v>
      </c>
      <c r="F330" s="108">
        <f>IFERROR(__xludf.DUMMYFUNCTION("""COMPUTED_VALUE"""),0.0)</f>
        <v>0</v>
      </c>
      <c r="G330" s="16"/>
      <c r="H330" s="16"/>
      <c r="I330" s="16"/>
      <c r="J330" s="16"/>
      <c r="K330" s="16"/>
      <c r="L330" s="16"/>
      <c r="M330" s="16"/>
      <c r="N330" s="16"/>
      <c r="O330" s="16"/>
      <c r="P330" s="16"/>
      <c r="Q330" s="16"/>
      <c r="R330" s="16"/>
      <c r="S330" s="16"/>
      <c r="T330" s="16"/>
      <c r="U330" s="16"/>
      <c r="V330" s="16"/>
      <c r="W330" s="16"/>
      <c r="X330" s="16"/>
      <c r="Y330" s="16"/>
      <c r="Z330" s="16"/>
      <c r="AA330" s="16"/>
      <c r="AB330" s="16"/>
      <c r="AC330" s="16"/>
      <c r="AD330" s="16"/>
      <c r="AE330" s="16"/>
      <c r="AF330" s="16" t="str">
        <f>IFERROR(__xludf.DUMMYFUNCTION("""COMPUTED_VALUE"""),"++When attacked with a fire spell or fire weapon you may absorb the damage you take from that 1 attack and add the damage you would have taken to your next attack as additional fire damage, This effect can only be used once per battle. +-Cannot be duplica"&amp;"ted.")</f>
        <v>++When attacked with a fire spell or fire weapon you may absorb the damage you take from that 1 attack and add the damage you would have taken to your next attack as additional fire damage, This effect can only be used once per battle. +-Cannot be duplicated.</v>
      </c>
      <c r="AG330" s="16" t="str">
        <f>IFERROR(__xludf.DUMMYFUNCTION("""COMPUTED_VALUE"""),"Abstara")</f>
        <v>Abstara</v>
      </c>
      <c r="AH330" s="16" t="b">
        <f>IFERROR(__xludf.DUMMYFUNCTION("""COMPUTED_VALUE"""),FALSE)</f>
        <v>0</v>
      </c>
    </row>
    <row r="331">
      <c r="A331" s="16" t="str">
        <f>IFERROR(__xludf.DUMMYFUNCTION("""COMPUTED_VALUE"""),"The Wand of Aquatic Beasts")</f>
        <v>The Wand of Aquatic Beasts</v>
      </c>
      <c r="B331" s="16" t="str">
        <f>IFERROR(__xludf.DUMMYFUNCTION("""COMPUTED_VALUE"""),"Hand")</f>
        <v>Hand</v>
      </c>
      <c r="C331" s="16"/>
      <c r="D331" s="16" t="str">
        <f>IFERROR(__xludf.DUMMYFUNCTION("""COMPUTED_VALUE"""),"Wand")</f>
        <v>Wand</v>
      </c>
      <c r="E331" s="16">
        <f>IFERROR(__xludf.DUMMYFUNCTION("""COMPUTED_VALUE"""),1.0)</f>
        <v>1</v>
      </c>
      <c r="F331" s="108">
        <f>IFERROR(__xludf.DUMMYFUNCTION("""COMPUTED_VALUE"""),0.0)</f>
        <v>0</v>
      </c>
      <c r="G331" s="16"/>
      <c r="H331" s="16"/>
      <c r="I331" s="16"/>
      <c r="J331" s="16"/>
      <c r="K331" s="16"/>
      <c r="L331" s="16"/>
      <c r="M331" s="16"/>
      <c r="N331" s="16"/>
      <c r="O331" s="16"/>
      <c r="P331" s="16"/>
      <c r="Q331" s="16"/>
      <c r="R331" s="16"/>
      <c r="S331" s="16"/>
      <c r="T331" s="16"/>
      <c r="U331" s="16"/>
      <c r="V331" s="16"/>
      <c r="W331" s="16"/>
      <c r="X331" s="16"/>
      <c r="Y331" s="16"/>
      <c r="Z331" s="16"/>
      <c r="AA331" s="16"/>
      <c r="AB331" s="16"/>
      <c r="AC331" s="16"/>
      <c r="AD331" s="16"/>
      <c r="AE331" s="16"/>
      <c r="AF331" s="16" t="str">
        <f>IFERROR(__xludf.DUMMYFUNCTION("""COMPUTED_VALUE"""),"++All water and storm spells are decreased by half sp.")</f>
        <v>++All water and storm spells are decreased by half sp.</v>
      </c>
      <c r="AG331" s="16" t="str">
        <f>IFERROR(__xludf.DUMMYFUNCTION("""COMPUTED_VALUE"""),"Land of Spira")</f>
        <v>Land of Spira</v>
      </c>
      <c r="AH331" s="16" t="b">
        <f>IFERROR(__xludf.DUMMYFUNCTION("""COMPUTED_VALUE"""),FALSE)</f>
        <v>0</v>
      </c>
    </row>
    <row r="332">
      <c r="A332" s="16" t="str">
        <f>IFERROR(__xludf.DUMMYFUNCTION("""COMPUTED_VALUE"""),"Titanic Two Hander")</f>
        <v>Titanic Two Hander</v>
      </c>
      <c r="B332" s="16" t="str">
        <f>IFERROR(__xludf.DUMMYFUNCTION("""COMPUTED_VALUE"""),"Hand")</f>
        <v>Hand</v>
      </c>
      <c r="C332" s="16"/>
      <c r="D332" s="16" t="str">
        <f>IFERROR(__xludf.DUMMYFUNCTION("""COMPUTED_VALUE"""),"Sword")</f>
        <v>Sword</v>
      </c>
      <c r="E332" s="16">
        <f>IFERROR(__xludf.DUMMYFUNCTION("""COMPUTED_VALUE"""),200.0)</f>
        <v>200</v>
      </c>
      <c r="F332" s="108">
        <f>IFERROR(__xludf.DUMMYFUNCTION("""COMPUTED_VALUE"""),1900000.0)</f>
        <v>1900000</v>
      </c>
      <c r="G332" s="16" t="str">
        <f>IFERROR(__xludf.DUMMYFUNCTION("""COMPUTED_VALUE"""),"DMG")</f>
        <v>DMG</v>
      </c>
      <c r="H332" s="119">
        <f>IFERROR(__xludf.DUMMYFUNCTION("""COMPUTED_VALUE"""),10000.0)</f>
        <v>10000</v>
      </c>
      <c r="I332" s="16"/>
      <c r="J332" s="16"/>
      <c r="K332" s="16"/>
      <c r="L332" s="16"/>
      <c r="M332" s="16"/>
      <c r="N332" s="16"/>
      <c r="O332" s="16"/>
      <c r="P332" s="16"/>
      <c r="Q332" s="16"/>
      <c r="R332" s="16"/>
      <c r="S332" s="16"/>
      <c r="T332" s="16"/>
      <c r="U332" s="16"/>
      <c r="V332" s="16"/>
      <c r="W332" s="16"/>
      <c r="X332" s="16"/>
      <c r="Y332" s="16"/>
      <c r="Z332" s="16"/>
      <c r="AA332" s="16"/>
      <c r="AB332" s="16"/>
      <c r="AC332" s="16"/>
      <c r="AD332" s="16"/>
      <c r="AE332" s="16"/>
      <c r="AF332" s="16"/>
      <c r="AG332" s="16" t="str">
        <f>IFERROR(__xludf.DUMMYFUNCTION("""COMPUTED_VALUE"""),"Land of Spira")</f>
        <v>Land of Spira</v>
      </c>
      <c r="AH332" s="16" t="b">
        <f>IFERROR(__xludf.DUMMYFUNCTION("""COMPUTED_VALUE"""),TRUE)</f>
        <v>1</v>
      </c>
    </row>
    <row r="333">
      <c r="A333" s="16" t="str">
        <f>IFERROR(__xludf.DUMMYFUNCTION("""COMPUTED_VALUE"""),"Top Hat")</f>
        <v>Top Hat</v>
      </c>
      <c r="B333" s="16" t="str">
        <f>IFERROR(__xludf.DUMMYFUNCTION("""COMPUTED_VALUE"""),"Head")</f>
        <v>Head</v>
      </c>
      <c r="C333" s="16" t="str">
        <f>IFERROR(__xludf.DUMMYFUNCTION("""COMPUTED_VALUE"""),"nothing like good ol abraham")</f>
        <v>nothing like good ol abraham</v>
      </c>
      <c r="D333" s="16"/>
      <c r="E333" s="16">
        <f>IFERROR(__xludf.DUMMYFUNCTION("""COMPUTED_VALUE"""),1.0)</f>
        <v>1</v>
      </c>
      <c r="F333" s="108">
        <f>IFERROR(__xludf.DUMMYFUNCTION("""COMPUTED_VALUE"""),0.0)</f>
        <v>0</v>
      </c>
      <c r="G333" s="16" t="str">
        <f>IFERROR(__xludf.DUMMYFUNCTION("""COMPUTED_VALUE"""),"DEF")</f>
        <v>DEF</v>
      </c>
      <c r="H333" s="16">
        <f>IFERROR(__xludf.DUMMYFUNCTION("""COMPUTED_VALUE"""),1.0)</f>
        <v>1</v>
      </c>
      <c r="I333" s="16"/>
      <c r="J333" s="16"/>
      <c r="K333" s="16"/>
      <c r="L333" s="16"/>
      <c r="M333" s="16"/>
      <c r="N333" s="16"/>
      <c r="O333" s="16"/>
      <c r="P333" s="16"/>
      <c r="Q333" s="16"/>
      <c r="R333" s="16"/>
      <c r="S333" s="16"/>
      <c r="T333" s="16"/>
      <c r="U333" s="16"/>
      <c r="V333" s="16"/>
      <c r="W333" s="16"/>
      <c r="X333" s="16"/>
      <c r="Y333" s="16"/>
      <c r="Z333" s="16"/>
      <c r="AA333" s="16"/>
      <c r="AB333" s="16"/>
      <c r="AC333" s="16"/>
      <c r="AD333" s="16"/>
      <c r="AE333" s="16"/>
      <c r="AF333" s="16"/>
      <c r="AG333" s="16" t="str">
        <f>IFERROR(__xludf.DUMMYFUNCTION("""COMPUTED_VALUE"""),"Land of Spira")</f>
        <v>Land of Spira</v>
      </c>
      <c r="AH333" s="16" t="b">
        <f>IFERROR(__xludf.DUMMYFUNCTION("""COMPUTED_VALUE"""),FALSE)</f>
        <v>0</v>
      </c>
    </row>
    <row r="334">
      <c r="A334" s="16" t="str">
        <f>IFERROR(__xludf.DUMMYFUNCTION("""COMPUTED_VALUE"""),"Trident")</f>
        <v>Trident</v>
      </c>
      <c r="B334" s="16" t="str">
        <f>IFERROR(__xludf.DUMMYFUNCTION("""COMPUTED_VALUE"""),"Hand")</f>
        <v>Hand</v>
      </c>
      <c r="C334" s="16"/>
      <c r="D334" s="16" t="str">
        <f>IFERROR(__xludf.DUMMYFUNCTION("""COMPUTED_VALUE"""),"Spear")</f>
        <v>Spear</v>
      </c>
      <c r="E334" s="16">
        <f>IFERROR(__xludf.DUMMYFUNCTION("""COMPUTED_VALUE"""),20.0)</f>
        <v>20</v>
      </c>
      <c r="F334" s="108">
        <f>IFERROR(__xludf.DUMMYFUNCTION("""COMPUTED_VALUE"""),1000.0)</f>
        <v>1000</v>
      </c>
      <c r="G334" s="16" t="str">
        <f>IFERROR(__xludf.DUMMYFUNCTION("""COMPUTED_VALUE"""),"DMG")</f>
        <v>DMG</v>
      </c>
      <c r="H334" s="16">
        <f>IFERROR(__xludf.DUMMYFUNCTION("""COMPUTED_VALUE"""),600.0)</f>
        <v>600</v>
      </c>
      <c r="I334" s="16"/>
      <c r="J334" s="16"/>
      <c r="K334" s="16"/>
      <c r="L334" s="16"/>
      <c r="M334" s="16"/>
      <c r="N334" s="16"/>
      <c r="O334" s="16"/>
      <c r="P334" s="16"/>
      <c r="Q334" s="16"/>
      <c r="R334" s="16"/>
      <c r="S334" s="16"/>
      <c r="T334" s="16"/>
      <c r="U334" s="16"/>
      <c r="V334" s="16"/>
      <c r="W334" s="16"/>
      <c r="X334" s="16"/>
      <c r="Y334" s="16"/>
      <c r="Z334" s="16"/>
      <c r="AA334" s="16"/>
      <c r="AB334" s="16"/>
      <c r="AC334" s="16"/>
      <c r="AD334" s="16"/>
      <c r="AE334" s="16"/>
      <c r="AF334" s="16"/>
      <c r="AG334" s="16" t="str">
        <f>IFERROR(__xludf.DUMMYFUNCTION("""COMPUTED_VALUE"""),"Land of Spira")</f>
        <v>Land of Spira</v>
      </c>
      <c r="AH334" s="16" t="b">
        <f>IFERROR(__xludf.DUMMYFUNCTION("""COMPUTED_VALUE"""),TRUE)</f>
        <v>1</v>
      </c>
    </row>
    <row r="335">
      <c r="A335" s="16" t="str">
        <f>IFERROR(__xludf.DUMMYFUNCTION("""COMPUTED_VALUE"""),"Tundra Staff")</f>
        <v>Tundra Staff</v>
      </c>
      <c r="B335" s="16" t="str">
        <f>IFERROR(__xludf.DUMMYFUNCTION("""COMPUTED_VALUE"""),"Hand")</f>
        <v>Hand</v>
      </c>
      <c r="C335" s="16"/>
      <c r="D335" s="16" t="str">
        <f>IFERROR(__xludf.DUMMYFUNCTION("""COMPUTED_VALUE"""),"Staff")</f>
        <v>Staff</v>
      </c>
      <c r="E335" s="16">
        <f>IFERROR(__xludf.DUMMYFUNCTION("""COMPUTED_VALUE"""),200.0)</f>
        <v>200</v>
      </c>
      <c r="F335" s="108">
        <f>IFERROR(__xludf.DUMMYFUNCTION("""COMPUTED_VALUE"""),1900000.0)</f>
        <v>1900000</v>
      </c>
      <c r="G335" s="16"/>
      <c r="H335" s="16"/>
      <c r="I335" s="16"/>
      <c r="J335" s="16"/>
      <c r="K335" s="16"/>
      <c r="L335" s="16"/>
      <c r="M335" s="119">
        <f>IFERROR(__xludf.DUMMYFUNCTION("""COMPUTED_VALUE"""),10000.0)</f>
        <v>10000</v>
      </c>
      <c r="N335" s="16"/>
      <c r="O335" s="16"/>
      <c r="P335" s="16"/>
      <c r="Q335" s="16"/>
      <c r="R335" s="16"/>
      <c r="S335" s="16"/>
      <c r="T335" s="16"/>
      <c r="U335" s="16"/>
      <c r="V335" s="16"/>
      <c r="W335" s="16"/>
      <c r="X335" s="16"/>
      <c r="Y335" s="16"/>
      <c r="Z335" s="16"/>
      <c r="AA335" s="16"/>
      <c r="AB335" s="16"/>
      <c r="AC335" s="16"/>
      <c r="AD335" s="16"/>
      <c r="AE335" s="16"/>
      <c r="AF335" s="16" t="str">
        <f>IFERROR(__xludf.DUMMYFUNCTION("""COMPUTED_VALUE"""),"++X2 Earth damage. +-Cannot be duplicated")</f>
        <v>++X2 Earth damage. +-Cannot be duplicated</v>
      </c>
      <c r="AG335" s="16" t="str">
        <f>IFERROR(__xludf.DUMMYFUNCTION("""COMPUTED_VALUE"""),"Land of Spira")</f>
        <v>Land of Spira</v>
      </c>
      <c r="AH335" s="16" t="b">
        <f>IFERROR(__xludf.DUMMYFUNCTION("""COMPUTED_VALUE"""),FALSE)</f>
        <v>0</v>
      </c>
    </row>
    <row r="336">
      <c r="A336" s="16" t="str">
        <f>IFERROR(__xludf.DUMMYFUNCTION("""COMPUTED_VALUE"""),"Twilight Bow")</f>
        <v>Twilight Bow</v>
      </c>
      <c r="B336" s="16" t="str">
        <f>IFERROR(__xludf.DUMMYFUNCTION("""COMPUTED_VALUE"""),"Hand")</f>
        <v>Hand</v>
      </c>
      <c r="C336" s="16"/>
      <c r="D336" s="16" t="str">
        <f>IFERROR(__xludf.DUMMYFUNCTION("""COMPUTED_VALUE"""),"Bow")</f>
        <v>Bow</v>
      </c>
      <c r="E336" s="16">
        <f>IFERROR(__xludf.DUMMYFUNCTION("""COMPUTED_VALUE"""),400.0)</f>
        <v>400</v>
      </c>
      <c r="F336" s="108">
        <f>IFERROR(__xludf.DUMMYFUNCTION("""COMPUTED_VALUE"""),7800000.0)</f>
        <v>7800000</v>
      </c>
      <c r="G336" s="16" t="str">
        <f>IFERROR(__xludf.DUMMYFUNCTION("""COMPUTED_VALUE"""),"DMG")</f>
        <v>DMG</v>
      </c>
      <c r="H336" s="119">
        <f>IFERROR(__xludf.DUMMYFUNCTION("""COMPUTED_VALUE"""),10000.0)</f>
        <v>10000</v>
      </c>
      <c r="I336" s="16"/>
      <c r="J336" s="16"/>
      <c r="K336" s="16"/>
      <c r="L336" s="16"/>
      <c r="M336" s="16"/>
      <c r="N336" s="16"/>
      <c r="O336" s="16"/>
      <c r="P336" s="16"/>
      <c r="Q336" s="16"/>
      <c r="R336" s="16"/>
      <c r="S336" s="16"/>
      <c r="T336" s="16"/>
      <c r="U336" s="16"/>
      <c r="V336" s="16"/>
      <c r="W336" s="119">
        <f>IFERROR(__xludf.DUMMYFUNCTION("""COMPUTED_VALUE"""),10000.0)</f>
        <v>10000</v>
      </c>
      <c r="X336" s="16"/>
      <c r="Y336" s="16"/>
      <c r="Z336" s="16"/>
      <c r="AA336" s="16"/>
      <c r="AB336" s="16"/>
      <c r="AC336" s="16"/>
      <c r="AD336" s="16"/>
      <c r="AE336" s="16"/>
      <c r="AF336" s="16"/>
      <c r="AG336" s="16" t="str">
        <f>IFERROR(__xludf.DUMMYFUNCTION("""COMPUTED_VALUE"""),"Land of Spira")</f>
        <v>Land of Spira</v>
      </c>
      <c r="AH336" s="16" t="b">
        <f>IFERROR(__xludf.DUMMYFUNCTION("""COMPUTED_VALUE"""),TRUE)</f>
        <v>1</v>
      </c>
    </row>
    <row r="337">
      <c r="A337" s="16" t="str">
        <f>IFERROR(__xludf.DUMMYFUNCTION("""COMPUTED_VALUE"""),"Twilight Crystal Sword of Evil's Bane")</f>
        <v>Twilight Crystal Sword of Evil's Bane</v>
      </c>
      <c r="B337" s="16" t="str">
        <f>IFERROR(__xludf.DUMMYFUNCTION("""COMPUTED_VALUE"""),"Hand")</f>
        <v>Hand</v>
      </c>
      <c r="C337" s="16" t="str">
        <f>IFERROR(__xludf.DUMMYFUNCTION("""COMPUTED_VALUE"""),"Halloween Event Exclusive Item")</f>
        <v>Halloween Event Exclusive Item</v>
      </c>
      <c r="D337" s="16" t="str">
        <f>IFERROR(__xludf.DUMMYFUNCTION("""COMPUTED_VALUE"""),"Sword")</f>
        <v>Sword</v>
      </c>
      <c r="E337" s="16">
        <f>IFERROR(__xludf.DUMMYFUNCTION("""COMPUTED_VALUE"""),200.0)</f>
        <v>200</v>
      </c>
      <c r="F337" s="108">
        <f>IFERROR(__xludf.DUMMYFUNCTION("""COMPUTED_VALUE"""),4.95E7)</f>
        <v>49500000</v>
      </c>
      <c r="G337" s="16" t="str">
        <f>IFERROR(__xludf.DUMMYFUNCTION("""COMPUTED_VALUE"""),"DMG")</f>
        <v>DMG</v>
      </c>
      <c r="H337" s="119">
        <f>IFERROR(__xludf.DUMMYFUNCTION("""COMPUTED_VALUE"""),20000.0)</f>
        <v>20000</v>
      </c>
      <c r="I337" s="16"/>
      <c r="J337" s="16"/>
      <c r="K337" s="16"/>
      <c r="L337" s="16"/>
      <c r="M337" s="16"/>
      <c r="N337" s="16"/>
      <c r="O337" s="16"/>
      <c r="P337" s="16"/>
      <c r="Q337" s="16"/>
      <c r="R337" s="16"/>
      <c r="S337" s="16"/>
      <c r="T337" s="16"/>
      <c r="U337" s="16"/>
      <c r="V337" s="16"/>
      <c r="W337" s="119">
        <f>IFERROR(__xludf.DUMMYFUNCTION("""COMPUTED_VALUE"""),20000.0)</f>
        <v>20000</v>
      </c>
      <c r="X337" s="16"/>
      <c r="Y337" s="16"/>
      <c r="Z337" s="16"/>
      <c r="AA337" s="16"/>
      <c r="AB337" s="16"/>
      <c r="AC337" s="119">
        <f>IFERROR(__xludf.DUMMYFUNCTION("""COMPUTED_VALUE"""),10000.0)</f>
        <v>10000</v>
      </c>
      <c r="AD337" s="16"/>
      <c r="AE337" s="16"/>
      <c r="AF337" s="16" t="str">
        <f>IFERROR(__xludf.DUMMYFUNCTION("""COMPUTED_VALUE"""),"++X4 Order, Light, Chaos, and Dark damage for the user and party. +-Cannot be forged +-Cannot be duplicated")</f>
        <v>++X4 Order, Light, Chaos, and Dark damage for the user and party. +-Cannot be forged +-Cannot be duplicated</v>
      </c>
      <c r="AG337" s="16" t="str">
        <f>IFERROR(__xludf.DUMMYFUNCTION("""COMPUTED_VALUE"""),"Land of Spira")</f>
        <v>Land of Spira</v>
      </c>
      <c r="AH337" s="16" t="b">
        <f>IFERROR(__xludf.DUMMYFUNCTION("""COMPUTED_VALUE"""),FALSE)</f>
        <v>0</v>
      </c>
    </row>
    <row r="338">
      <c r="A338" s="16" t="str">
        <f>IFERROR(__xludf.DUMMYFUNCTION("""COMPUTED_VALUE"""),"Twilight Sword")</f>
        <v>Twilight Sword</v>
      </c>
      <c r="B338" s="16" t="str">
        <f>IFERROR(__xludf.DUMMYFUNCTION("""COMPUTED_VALUE"""),"Hand")</f>
        <v>Hand</v>
      </c>
      <c r="C338" s="16"/>
      <c r="D338" s="16" t="str">
        <f>IFERROR(__xludf.DUMMYFUNCTION("""COMPUTED_VALUE"""),"Sword")</f>
        <v>Sword</v>
      </c>
      <c r="E338" s="16">
        <f>IFERROR(__xludf.DUMMYFUNCTION("""COMPUTED_VALUE"""),20.0)</f>
        <v>20</v>
      </c>
      <c r="F338" s="108">
        <f>IFERROR(__xludf.DUMMYFUNCTION("""COMPUTED_VALUE"""),1000.0)</f>
        <v>1000</v>
      </c>
      <c r="G338" s="16" t="str">
        <f>IFERROR(__xludf.DUMMYFUNCTION("""COMPUTED_VALUE"""),"DMG")</f>
        <v>DMG</v>
      </c>
      <c r="H338" s="16">
        <f>IFERROR(__xludf.DUMMYFUNCTION("""COMPUTED_VALUE"""),500.0)</f>
        <v>500</v>
      </c>
      <c r="I338" s="16"/>
      <c r="J338" s="16"/>
      <c r="K338" s="16"/>
      <c r="L338" s="16"/>
      <c r="M338" s="16"/>
      <c r="N338" s="16"/>
      <c r="O338" s="16"/>
      <c r="P338" s="16"/>
      <c r="Q338" s="16"/>
      <c r="R338" s="16"/>
      <c r="S338" s="16"/>
      <c r="T338" s="16"/>
      <c r="U338" s="16"/>
      <c r="V338" s="16"/>
      <c r="W338" s="16">
        <f>IFERROR(__xludf.DUMMYFUNCTION("""COMPUTED_VALUE"""),200.0)</f>
        <v>200</v>
      </c>
      <c r="X338" s="16"/>
      <c r="Y338" s="16"/>
      <c r="Z338" s="16"/>
      <c r="AA338" s="16"/>
      <c r="AB338" s="16"/>
      <c r="AC338" s="16"/>
      <c r="AD338" s="16"/>
      <c r="AE338" s="16"/>
      <c r="AF338" s="16"/>
      <c r="AG338" s="16" t="str">
        <f>IFERROR(__xludf.DUMMYFUNCTION("""COMPUTED_VALUE"""),"Land of Spira")</f>
        <v>Land of Spira</v>
      </c>
      <c r="AH338" s="16" t="b">
        <f>IFERROR(__xludf.DUMMYFUNCTION("""COMPUTED_VALUE"""),TRUE)</f>
        <v>1</v>
      </c>
    </row>
    <row r="339">
      <c r="A339" s="16" t="str">
        <f>IFERROR(__xludf.DUMMYFUNCTION("""COMPUTED_VALUE"""),"Unknown Amulet")</f>
        <v>Unknown Amulet</v>
      </c>
      <c r="B339" s="16" t="str">
        <f>IFERROR(__xludf.DUMMYFUNCTION("""COMPUTED_VALUE"""),"Neck")</f>
        <v>Neck</v>
      </c>
      <c r="C339" s="16"/>
      <c r="D339" s="16"/>
      <c r="E339" s="16">
        <f>IFERROR(__xludf.DUMMYFUNCTION("""COMPUTED_VALUE"""),1.0)</f>
        <v>1</v>
      </c>
      <c r="F339" s="108">
        <f>IFERROR(__xludf.DUMMYFUNCTION("""COMPUTED_VALUE"""),0.0)</f>
        <v>0</v>
      </c>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t="str">
        <f>IFERROR(__xludf.DUMMYFUNCTION("""COMPUTED_VALUE"""),"++At the beginning of battle, roll a d20. If the number is 1-5, everyone in the battle loses 1 HP. If the number is 6-10, all enemies lose 25% of their current HP. If the number is 11-19, the wearer loses 40% current HP. If the number is 20, the battle is"&amp;" instantly won. (If you roll above a 20 , double your loot amount of each item)")</f>
        <v>++At the beginning of battle, roll a d20. If the number is 1-5, everyone in the battle loses 1 HP. If the number is 6-10, all enemies lose 25% of their current HP. If the number is 11-19, the wearer loses 40% current HP. If the number is 20, the battle is instantly won. (If you roll above a 20 , double your loot amount of each item)</v>
      </c>
      <c r="AG339" s="16" t="str">
        <f>IFERROR(__xludf.DUMMYFUNCTION("""COMPUTED_VALUE"""),"Land of Spira")</f>
        <v>Land of Spira</v>
      </c>
      <c r="AH339" s="16" t="b">
        <f>IFERROR(__xludf.DUMMYFUNCTION("""COMPUTED_VALUE"""),FALSE)</f>
        <v>0</v>
      </c>
    </row>
    <row r="340">
      <c r="A340" s="16" t="str">
        <f>IFERROR(__xludf.DUMMYFUNCTION("""COMPUTED_VALUE"""),"Vambraces of Waking Waters")</f>
        <v>Vambraces of Waking Waters</v>
      </c>
      <c r="B340" s="16" t="str">
        <f>IFERROR(__xludf.DUMMYFUNCTION("""COMPUTED_VALUE"""),"Arms")</f>
        <v>Arms</v>
      </c>
      <c r="C340" s="16"/>
      <c r="D340" s="16"/>
      <c r="E340" s="16">
        <f>IFERROR(__xludf.DUMMYFUNCTION("""COMPUTED_VALUE"""),200.0)</f>
        <v>200</v>
      </c>
      <c r="F340" s="108">
        <f>IFERROR(__xludf.DUMMYFUNCTION("""COMPUTED_VALUE"""),1900000.0)</f>
        <v>1900000</v>
      </c>
      <c r="G340" s="16" t="str">
        <f>IFERROR(__xludf.DUMMYFUNCTION("""COMPUTED_VALUE"""),"DEF")</f>
        <v>DEF</v>
      </c>
      <c r="H340" s="16">
        <f>IFERROR(__xludf.DUMMYFUNCTION("""COMPUTED_VALUE"""),5000.0)</f>
        <v>5000</v>
      </c>
      <c r="I340" s="16"/>
      <c r="J340" s="16"/>
      <c r="K340" s="16">
        <f>IFERROR(__xludf.DUMMYFUNCTION("""COMPUTED_VALUE"""),5000.0)</f>
        <v>5000</v>
      </c>
      <c r="L340" s="16"/>
      <c r="M340" s="16"/>
      <c r="N340" s="16"/>
      <c r="O340" s="16"/>
      <c r="P340" s="16"/>
      <c r="Q340" s="16"/>
      <c r="R340" s="16"/>
      <c r="S340" s="16"/>
      <c r="T340" s="16"/>
      <c r="U340" s="16"/>
      <c r="V340" s="16"/>
      <c r="W340" s="16"/>
      <c r="X340" s="16"/>
      <c r="Y340" s="16"/>
      <c r="Z340" s="16"/>
      <c r="AA340" s="16"/>
      <c r="AB340" s="16"/>
      <c r="AC340" s="16"/>
      <c r="AD340" s="16"/>
      <c r="AE340" s="16"/>
      <c r="AF340" s="16" t="str">
        <f>IFERROR(__xludf.DUMMYFUNCTION("""COMPUTED_VALUE"""),"++X4 additional Water damage.")</f>
        <v>++X4 additional Water damage.</v>
      </c>
      <c r="AG340" s="16" t="str">
        <f>IFERROR(__xludf.DUMMYFUNCTION("""COMPUTED_VALUE"""),"Land of Spira")</f>
        <v>Land of Spira</v>
      </c>
      <c r="AH340" s="16" t="b">
        <f>IFERROR(__xludf.DUMMYFUNCTION("""COMPUTED_VALUE"""),FALSE)</f>
        <v>0</v>
      </c>
    </row>
    <row r="341">
      <c r="A341" s="16"/>
      <c r="B341" s="16"/>
      <c r="C341" s="16"/>
      <c r="D341" s="16"/>
      <c r="E341" s="16">
        <f>IFERROR(__xludf.DUMMYFUNCTION("""COMPUTED_VALUE"""),1.0)</f>
        <v>1</v>
      </c>
      <c r="F341" s="108">
        <f>IFERROR(__xludf.DUMMYFUNCTION("""COMPUTED_VALUE"""),0.0)</f>
        <v>0</v>
      </c>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t="str">
        <f>IFERROR(__xludf.DUMMYFUNCTION("""COMPUTED_VALUE"""),"Land of Spira")</f>
        <v>Land of Spira</v>
      </c>
      <c r="AH341" s="16" t="b">
        <f>IFERROR(__xludf.DUMMYFUNCTION("""COMPUTED_VALUE"""),FALSE)</f>
        <v>0</v>
      </c>
    </row>
    <row r="342">
      <c r="A342" s="16"/>
      <c r="B342" s="16"/>
      <c r="C342" s="16"/>
      <c r="D342" s="16"/>
      <c r="E342" s="16">
        <f>IFERROR(__xludf.DUMMYFUNCTION("""COMPUTED_VALUE"""),1.0)</f>
        <v>1</v>
      </c>
      <c r="F342" s="108">
        <f>IFERROR(__xludf.DUMMYFUNCTION("""COMPUTED_VALUE"""),0.0)</f>
        <v>0</v>
      </c>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t="str">
        <f>IFERROR(__xludf.DUMMYFUNCTION("""COMPUTED_VALUE"""),"Land of Spira")</f>
        <v>Land of Spira</v>
      </c>
      <c r="AH342" s="16" t="b">
        <f>IFERROR(__xludf.DUMMYFUNCTION("""COMPUTED_VALUE"""),FALSE)</f>
        <v>0</v>
      </c>
    </row>
    <row r="343">
      <c r="A343" s="16" t="str">
        <f>IFERROR(__xludf.DUMMYFUNCTION("""COMPUTED_VALUE"""),"Viking Helm")</f>
        <v>Viking Helm</v>
      </c>
      <c r="B343" s="16" t="str">
        <f>IFERROR(__xludf.DUMMYFUNCTION("""COMPUTED_VALUE"""),"Head")</f>
        <v>Head</v>
      </c>
      <c r="C343" s="16"/>
      <c r="D343" s="16"/>
      <c r="E343" s="16">
        <f>IFERROR(__xludf.DUMMYFUNCTION("""COMPUTED_VALUE"""),1.0)</f>
        <v>1</v>
      </c>
      <c r="F343" s="108">
        <f>IFERROR(__xludf.DUMMYFUNCTION("""COMPUTED_VALUE"""),0.0)</f>
        <v>0</v>
      </c>
      <c r="G343" s="16" t="str">
        <f>IFERROR(__xludf.DUMMYFUNCTION("""COMPUTED_VALUE"""),"DEF")</f>
        <v>DEF</v>
      </c>
      <c r="H343" s="16">
        <f>IFERROR(__xludf.DUMMYFUNCTION("""COMPUTED_VALUE"""),200.0)</f>
        <v>200</v>
      </c>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t="str">
        <f>IFERROR(__xludf.DUMMYFUNCTION("""COMPUTED_VALUE"""),"(Viking Set)")</f>
        <v>(Viking Set)</v>
      </c>
      <c r="AG343" s="16" t="str">
        <f>IFERROR(__xludf.DUMMYFUNCTION("""COMPUTED_VALUE"""),"Land of Spira")</f>
        <v>Land of Spira</v>
      </c>
      <c r="AH343" s="16" t="b">
        <f>IFERROR(__xludf.DUMMYFUNCTION("""COMPUTED_VALUE"""),TRUE)</f>
        <v>1</v>
      </c>
    </row>
    <row r="344">
      <c r="A344" s="16" t="str">
        <f>IFERROR(__xludf.DUMMYFUNCTION("""COMPUTED_VALUE"""),"Void sword")</f>
        <v>Void sword</v>
      </c>
      <c r="B344" s="16" t="str">
        <f>IFERROR(__xludf.DUMMYFUNCTION("""COMPUTED_VALUE"""),"Hand")</f>
        <v>Hand</v>
      </c>
      <c r="C344" s="16"/>
      <c r="D344" s="16" t="str">
        <f>IFERROR(__xludf.DUMMYFUNCTION("""COMPUTED_VALUE"""),"Sword")</f>
        <v>Sword</v>
      </c>
      <c r="E344" s="16">
        <f>IFERROR(__xludf.DUMMYFUNCTION("""COMPUTED_VALUE"""),200.0)</f>
        <v>200</v>
      </c>
      <c r="F344" s="108">
        <f>IFERROR(__xludf.DUMMYFUNCTION("""COMPUTED_VALUE"""),0.0)</f>
        <v>0</v>
      </c>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f>IFERROR(__xludf.DUMMYFUNCTION("""COMPUTED_VALUE"""),1.0)</f>
        <v>1</v>
      </c>
      <c r="AD344" s="16"/>
      <c r="AE344" s="16"/>
      <c r="AF344" s="16" t="str">
        <f>IFERROR(__xludf.DUMMYFUNCTION("""COMPUTED_VALUE"""),"++100% chance of instant death. Breaks upon instant death and causes a giant explosion causing 10,000,000 Celestial damage to all enemies..")</f>
        <v>++100% chance of instant death. Breaks upon instant death and causes a giant explosion causing 10,000,000 Celestial damage to all enemies..</v>
      </c>
      <c r="AG344" s="16" t="str">
        <f>IFERROR(__xludf.DUMMYFUNCTION("""COMPUTED_VALUE"""),"Land of Spira")</f>
        <v>Land of Spira</v>
      </c>
      <c r="AH344" s="16" t="b">
        <f>IFERROR(__xludf.DUMMYFUNCTION("""COMPUTED_VALUE"""),FALSE)</f>
        <v>0</v>
      </c>
    </row>
    <row r="345">
      <c r="A345" s="16" t="str">
        <f>IFERROR(__xludf.DUMMYFUNCTION("""COMPUTED_VALUE"""),"Volcanic Sword of Destruction")</f>
        <v>Volcanic Sword of Destruction</v>
      </c>
      <c r="B345" s="16" t="str">
        <f>IFERROR(__xludf.DUMMYFUNCTION("""COMPUTED_VALUE"""),"Hand")</f>
        <v>Hand</v>
      </c>
      <c r="C345" s="16"/>
      <c r="D345" s="16" t="str">
        <f>IFERROR(__xludf.DUMMYFUNCTION("""COMPUTED_VALUE"""),"Sword")</f>
        <v>Sword</v>
      </c>
      <c r="E345" s="16">
        <f>IFERROR(__xludf.DUMMYFUNCTION("""COMPUTED_VALUE"""),200.0)</f>
        <v>200</v>
      </c>
      <c r="F345" s="108">
        <f>IFERROR(__xludf.DUMMYFUNCTION("""COMPUTED_VALUE"""),4.995E9)</f>
        <v>4995000000</v>
      </c>
      <c r="G345" s="16" t="str">
        <f>IFERROR(__xludf.DUMMYFUNCTION("""COMPUTED_VALUE"""),"DMG")</f>
        <v>DMG</v>
      </c>
      <c r="H345" s="119">
        <f>IFERROR(__xludf.DUMMYFUNCTION("""COMPUTED_VALUE"""),100000.0)</f>
        <v>100000</v>
      </c>
      <c r="I345" s="119">
        <f>IFERROR(__xludf.DUMMYFUNCTION("""COMPUTED_VALUE"""),300000.0)</f>
        <v>300000</v>
      </c>
      <c r="J345" s="16"/>
      <c r="K345" s="16"/>
      <c r="L345" s="16"/>
      <c r="M345" s="16"/>
      <c r="N345" s="16"/>
      <c r="O345" s="16"/>
      <c r="P345" s="16"/>
      <c r="Q345" s="16"/>
      <c r="R345" s="16"/>
      <c r="S345" s="16"/>
      <c r="T345" s="16"/>
      <c r="U345" s="16"/>
      <c r="V345" s="16"/>
      <c r="W345" s="16"/>
      <c r="X345" s="16"/>
      <c r="Y345" s="16"/>
      <c r="Z345" s="16"/>
      <c r="AA345" s="16"/>
      <c r="AB345" s="16"/>
      <c r="AC345" s="119">
        <f>IFERROR(__xludf.DUMMYFUNCTION("""COMPUTED_VALUE"""),100000.0)</f>
        <v>100000</v>
      </c>
      <c r="AD345" s="16"/>
      <c r="AE345" s="16"/>
      <c r="AF345" s="16" t="str">
        <f>IFERROR(__xludf.DUMMYFUNCTION("""COMPUTED_VALUE"""),"++Volcanic Valves - Increase the damage of fire weapons and fire spells by x3, When you attack and miss the target with this sword the damage this sword deals will double each time you miss. +-Cannot be forged +-Cannot be duplicated")</f>
        <v>++Volcanic Valves - Increase the damage of fire weapons and fire spells by x3, When you attack and miss the target with this sword the damage this sword deals will double each time you miss. +-Cannot be forged +-Cannot be duplicated</v>
      </c>
      <c r="AG345" s="16" t="str">
        <f>IFERROR(__xludf.DUMMYFUNCTION("""COMPUTED_VALUE"""),"Abstara")</f>
        <v>Abstara</v>
      </c>
      <c r="AH345" s="16" t="b">
        <f>IFERROR(__xludf.DUMMYFUNCTION("""COMPUTED_VALUE"""),FALSE)</f>
        <v>0</v>
      </c>
    </row>
    <row r="346">
      <c r="A346" s="16" t="str">
        <f>IFERROR(__xludf.DUMMYFUNCTION("""COMPUTED_VALUE"""),"Wand of Grey")</f>
        <v>Wand of Grey</v>
      </c>
      <c r="B346" s="16" t="str">
        <f>IFERROR(__xludf.DUMMYFUNCTION("""COMPUTED_VALUE"""),"Hand")</f>
        <v>Hand</v>
      </c>
      <c r="C346" s="16"/>
      <c r="D346" s="16" t="str">
        <f>IFERROR(__xludf.DUMMYFUNCTION("""COMPUTED_VALUE"""),"Wand")</f>
        <v>Wand</v>
      </c>
      <c r="E346" s="16">
        <f>IFERROR(__xludf.DUMMYFUNCTION("""COMPUTED_VALUE"""),1.0)</f>
        <v>1</v>
      </c>
      <c r="F346" s="108">
        <f>IFERROR(__xludf.DUMMYFUNCTION("""COMPUTED_VALUE"""),0.0)</f>
        <v>0</v>
      </c>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t="str">
        <f>IFERROR(__xludf.DUMMYFUNCTION("""COMPUTED_VALUE"""),"++X2 more damage to all spells. +-Cannot be duplicated.")</f>
        <v>++X2 more damage to all spells. +-Cannot be duplicated.</v>
      </c>
      <c r="AG346" s="16" t="str">
        <f>IFERROR(__xludf.DUMMYFUNCTION("""COMPUTED_VALUE"""),"Land of Spira")</f>
        <v>Land of Spira</v>
      </c>
      <c r="AH346" s="16" t="b">
        <f>IFERROR(__xludf.DUMMYFUNCTION("""COMPUTED_VALUE"""),FALSE)</f>
        <v>0</v>
      </c>
    </row>
    <row r="347">
      <c r="A347" s="16" t="str">
        <f>IFERROR(__xludf.DUMMYFUNCTION("""COMPUTED_VALUE"""),"Wand of Multi-Color")</f>
        <v>Wand of Multi-Color</v>
      </c>
      <c r="B347" s="16" t="str">
        <f>IFERROR(__xludf.DUMMYFUNCTION("""COMPUTED_VALUE"""),"Hand")</f>
        <v>Hand</v>
      </c>
      <c r="C347" s="16"/>
      <c r="D347" s="16" t="str">
        <f>IFERROR(__xludf.DUMMYFUNCTION("""COMPUTED_VALUE"""),"Wand")</f>
        <v>Wand</v>
      </c>
      <c r="E347" s="16">
        <f>IFERROR(__xludf.DUMMYFUNCTION("""COMPUTED_VALUE"""),1.0)</f>
        <v>1</v>
      </c>
      <c r="F347" s="108">
        <f>IFERROR(__xludf.DUMMYFUNCTION("""COMPUTED_VALUE"""),0.0)</f>
        <v>0</v>
      </c>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t="str">
        <f>IFERROR(__xludf.DUMMYFUNCTION("""COMPUTED_VALUE"""),"++All types of spells are reduced by half sp. +-Cannot be duplicated. +-Can only equip one")</f>
        <v>++All types of spells are reduced by half sp. +-Cannot be duplicated. +-Can only equip one</v>
      </c>
      <c r="AG347" s="16" t="str">
        <f>IFERROR(__xludf.DUMMYFUNCTION("""COMPUTED_VALUE"""),"Land of Spira")</f>
        <v>Land of Spira</v>
      </c>
      <c r="AH347" s="16" t="b">
        <f>IFERROR(__xludf.DUMMYFUNCTION("""COMPUTED_VALUE"""),FALSE)</f>
        <v>0</v>
      </c>
    </row>
    <row r="348">
      <c r="A348" s="16" t="str">
        <f>IFERROR(__xludf.DUMMYFUNCTION("""COMPUTED_VALUE"""),"Warlock’s Armored Chestplate")</f>
        <v>Warlock’s Armored Chestplate</v>
      </c>
      <c r="B348" s="16" t="str">
        <f>IFERROR(__xludf.DUMMYFUNCTION("""COMPUTED_VALUE"""),"Torso")</f>
        <v>Torso</v>
      </c>
      <c r="C348" s="16"/>
      <c r="D348" s="16"/>
      <c r="E348" s="16">
        <f>IFERROR(__xludf.DUMMYFUNCTION("""COMPUTED_VALUE"""),100.0)</f>
        <v>100</v>
      </c>
      <c r="F348" s="108">
        <f>IFERROR(__xludf.DUMMYFUNCTION("""COMPUTED_VALUE"""),450000.0)</f>
        <v>450000</v>
      </c>
      <c r="G348" s="16" t="str">
        <f>IFERROR(__xludf.DUMMYFUNCTION("""COMPUTED_VALUE"""),"DEF")</f>
        <v>DEF</v>
      </c>
      <c r="H348" s="119">
        <f>IFERROR(__xludf.DUMMYFUNCTION("""COMPUTED_VALUE"""),5000.0)</f>
        <v>5000</v>
      </c>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t="str">
        <f>IFERROR(__xludf.DUMMYFUNCTION("""COMPUTED_VALUE"""),"++All Dark, and Weapon attacks deal X2 more damage, All SP costs for Melee, Dark, and Physical Spells are reduced to half. ++Immunity to Dark and Chaos Damage.")</f>
        <v>++All Dark, and Weapon attacks deal X2 more damage, All SP costs for Melee, Dark, and Physical Spells are reduced to half. ++Immunity to Dark and Chaos Damage.</v>
      </c>
      <c r="AG348" s="16" t="str">
        <f>IFERROR(__xludf.DUMMYFUNCTION("""COMPUTED_VALUE"""),"Land of Spira")</f>
        <v>Land of Spira</v>
      </c>
      <c r="AH348" s="16" t="b">
        <f>IFERROR(__xludf.DUMMYFUNCTION("""COMPUTED_VALUE"""),FALSE)</f>
        <v>0</v>
      </c>
    </row>
    <row r="349">
      <c r="A349" s="16" t="str">
        <f>IFERROR(__xludf.DUMMYFUNCTION("""COMPUTED_VALUE"""),"Water Warhammer")</f>
        <v>Water Warhammer</v>
      </c>
      <c r="B349" s="16" t="str">
        <f>IFERROR(__xludf.DUMMYFUNCTION("""COMPUTED_VALUE"""),"Hand")</f>
        <v>Hand</v>
      </c>
      <c r="C349" s="16"/>
      <c r="D349" s="16" t="str">
        <f>IFERROR(__xludf.DUMMYFUNCTION("""COMPUTED_VALUE"""),"Club")</f>
        <v>Club</v>
      </c>
      <c r="E349" s="16">
        <f>IFERROR(__xludf.DUMMYFUNCTION("""COMPUTED_VALUE"""),200.0)</f>
        <v>200</v>
      </c>
      <c r="F349" s="108">
        <f>IFERROR(__xludf.DUMMYFUNCTION("""COMPUTED_VALUE"""),1900000.0)</f>
        <v>1900000</v>
      </c>
      <c r="G349" s="16" t="str">
        <f>IFERROR(__xludf.DUMMYFUNCTION("""COMPUTED_VALUE"""),"DMG")</f>
        <v>DMG</v>
      </c>
      <c r="H349" s="16">
        <f>IFERROR(__xludf.DUMMYFUNCTION("""COMPUTED_VALUE"""),5000.0)</f>
        <v>5000</v>
      </c>
      <c r="I349" s="16"/>
      <c r="J349" s="16"/>
      <c r="K349" s="16">
        <f>IFERROR(__xludf.DUMMYFUNCTION("""COMPUTED_VALUE"""),5000.0)</f>
        <v>5000</v>
      </c>
      <c r="L349" s="16"/>
      <c r="M349" s="16"/>
      <c r="N349" s="16"/>
      <c r="O349" s="16"/>
      <c r="P349" s="16"/>
      <c r="Q349" s="16"/>
      <c r="R349" s="16"/>
      <c r="S349" s="16"/>
      <c r="T349" s="16"/>
      <c r="U349" s="16"/>
      <c r="V349" s="16"/>
      <c r="W349" s="16"/>
      <c r="X349" s="16"/>
      <c r="Y349" s="16"/>
      <c r="Z349" s="16"/>
      <c r="AA349" s="16"/>
      <c r="AB349" s="16"/>
      <c r="AC349" s="16"/>
      <c r="AD349" s="16"/>
      <c r="AE349" s="16"/>
      <c r="AF349" s="16"/>
      <c r="AG349" s="16" t="str">
        <f>IFERROR(__xludf.DUMMYFUNCTION("""COMPUTED_VALUE"""),"Land of Spira")</f>
        <v>Land of Spira</v>
      </c>
      <c r="AH349" s="16" t="b">
        <f>IFERROR(__xludf.DUMMYFUNCTION("""COMPUTED_VALUE"""),TRUE)</f>
        <v>1</v>
      </c>
    </row>
    <row r="350">
      <c r="A350" s="16" t="str">
        <f>IFERROR(__xludf.DUMMYFUNCTION("""COMPUTED_VALUE"""),"Weaponized Bamboo Hat")</f>
        <v>Weaponized Bamboo Hat</v>
      </c>
      <c r="B350" s="16" t="str">
        <f>IFERROR(__xludf.DUMMYFUNCTION("""COMPUTED_VALUE"""),"Head")</f>
        <v>Head</v>
      </c>
      <c r="C350" s="16"/>
      <c r="D350" s="16" t="str">
        <f>IFERROR(__xludf.DUMMYFUNCTION("""COMPUTED_VALUE"""),"Knife")</f>
        <v>Knife</v>
      </c>
      <c r="E350" s="16">
        <f>IFERROR(__xludf.DUMMYFUNCTION("""COMPUTED_VALUE"""),40.0)</f>
        <v>40</v>
      </c>
      <c r="F350" s="108">
        <f>IFERROR(__xludf.DUMMYFUNCTION("""COMPUTED_VALUE"""),60000.0)</f>
        <v>60000</v>
      </c>
      <c r="G350" s="16" t="str">
        <f>IFERROR(__xludf.DUMMYFUNCTION("""COMPUTED_VALUE"""),"DEF")</f>
        <v>DEF</v>
      </c>
      <c r="H350" s="16">
        <f>IFERROR(__xludf.DUMMYFUNCTION("""COMPUTED_VALUE"""),1000.0)</f>
        <v>1000</v>
      </c>
      <c r="I350" s="16"/>
      <c r="J350" s="16"/>
      <c r="K350" s="16"/>
      <c r="L350" s="16"/>
      <c r="M350" s="16"/>
      <c r="N350" s="16"/>
      <c r="O350" s="16"/>
      <c r="P350" s="16"/>
      <c r="Q350" s="16"/>
      <c r="R350" s="16"/>
      <c r="S350" s="16">
        <f>IFERROR(__xludf.DUMMYFUNCTION("""COMPUTED_VALUE"""),1000.0)</f>
        <v>1000</v>
      </c>
      <c r="T350" s="16"/>
      <c r="U350" s="16"/>
      <c r="V350" s="16"/>
      <c r="W350" s="16"/>
      <c r="X350" s="16"/>
      <c r="Y350" s="16"/>
      <c r="Z350" s="16"/>
      <c r="AA350" s="16"/>
      <c r="AB350" s="16"/>
      <c r="AC350" s="16"/>
      <c r="AD350" s="16"/>
      <c r="AE350" s="16"/>
      <c r="AF350" s="16" t="str">
        <f>IFERROR(__xludf.DUMMYFUNCTION("""COMPUTED_VALUE"""),"++10,000 damage when thrown, this item will return to you after thrown.")</f>
        <v>++10,000 damage when thrown, this item will return to you after thrown.</v>
      </c>
      <c r="AG350" s="16" t="str">
        <f>IFERROR(__xludf.DUMMYFUNCTION("""COMPUTED_VALUE"""),"Land of Spira")</f>
        <v>Land of Spira</v>
      </c>
      <c r="AH350" s="16" t="b">
        <f>IFERROR(__xludf.DUMMYFUNCTION("""COMPUTED_VALUE"""),FALSE)</f>
        <v>0</v>
      </c>
    </row>
    <row r="351">
      <c r="A351" s="16" t="str">
        <f>IFERROR(__xludf.DUMMYFUNCTION("""COMPUTED_VALUE"""),"Wig of Temper Fire")</f>
        <v>Wig of Temper Fire</v>
      </c>
      <c r="B351" s="16" t="str">
        <f>IFERROR(__xludf.DUMMYFUNCTION("""COMPUTED_VALUE"""),"Head")</f>
        <v>Head</v>
      </c>
      <c r="C351" s="16"/>
      <c r="D351" s="16"/>
      <c r="E351" s="16">
        <f>IFERROR(__xludf.DUMMYFUNCTION("""COMPUTED_VALUE"""),1.0)</f>
        <v>1</v>
      </c>
      <c r="F351" s="108">
        <f>IFERROR(__xludf.DUMMYFUNCTION("""COMPUTED_VALUE"""),0.0)</f>
        <v>0</v>
      </c>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t="str">
        <f>IFERROR(__xludf.DUMMYFUNCTION("""COMPUTED_VALUE"""),"++reduces any fire damage to 1 +-Cannot be duplicated")</f>
        <v>++reduces any fire damage to 1 +-Cannot be duplicated</v>
      </c>
      <c r="AG351" s="16" t="str">
        <f>IFERROR(__xludf.DUMMYFUNCTION("""COMPUTED_VALUE"""),"Land of Spira")</f>
        <v>Land of Spira</v>
      </c>
      <c r="AH351" s="16" t="b">
        <f>IFERROR(__xludf.DUMMYFUNCTION("""COMPUTED_VALUE"""),FALSE)</f>
        <v>0</v>
      </c>
    </row>
    <row r="352">
      <c r="A352" s="16" t="str">
        <f>IFERROR(__xludf.DUMMYFUNCTION("""COMPUTED_VALUE"""),"Woodsman’s Hacker")</f>
        <v>Woodsman’s Hacker</v>
      </c>
      <c r="B352" s="16" t="str">
        <f>IFERROR(__xludf.DUMMYFUNCTION("""COMPUTED_VALUE"""),"Hand")</f>
        <v>Hand</v>
      </c>
      <c r="C352" s="16"/>
      <c r="D352" s="16" t="str">
        <f>IFERROR(__xludf.DUMMYFUNCTION("""COMPUTED_VALUE"""),"Axe")</f>
        <v>Axe</v>
      </c>
      <c r="E352" s="16">
        <f>IFERROR(__xludf.DUMMYFUNCTION("""COMPUTED_VALUE"""),10.0)</f>
        <v>10</v>
      </c>
      <c r="F352" s="108">
        <f>IFERROR(__xludf.DUMMYFUNCTION("""COMPUTED_VALUE"""),1000.0)</f>
        <v>1000</v>
      </c>
      <c r="G352" s="16" t="str">
        <f>IFERROR(__xludf.DUMMYFUNCTION("""COMPUTED_VALUE"""),"DMG")</f>
        <v>DMG</v>
      </c>
      <c r="H352" s="16">
        <f>IFERROR(__xludf.DUMMYFUNCTION("""COMPUTED_VALUE"""),500.0)</f>
        <v>500</v>
      </c>
      <c r="I352" s="16"/>
      <c r="J352" s="16"/>
      <c r="K352" s="16"/>
      <c r="L352" s="16"/>
      <c r="M352" s="16"/>
      <c r="N352" s="16"/>
      <c r="O352" s="16"/>
      <c r="P352" s="16"/>
      <c r="Q352" s="16"/>
      <c r="R352" s="16"/>
      <c r="S352" s="16"/>
      <c r="T352" s="16"/>
      <c r="U352" s="16"/>
      <c r="V352" s="16"/>
      <c r="W352" s="16"/>
      <c r="X352" s="16"/>
      <c r="Y352" s="16"/>
      <c r="Z352" s="16"/>
      <c r="AA352" s="16"/>
      <c r="AB352" s="16"/>
      <c r="AC352" s="16"/>
      <c r="AD352" s="16"/>
      <c r="AE352" s="16"/>
      <c r="AF352" s="16"/>
      <c r="AG352" s="16" t="str">
        <f>IFERROR(__xludf.DUMMYFUNCTION("""COMPUTED_VALUE"""),"Land of Spira")</f>
        <v>Land of Spira</v>
      </c>
      <c r="AH352" s="16" t="b">
        <f>IFERROR(__xludf.DUMMYFUNCTION("""COMPUTED_VALUE"""),TRUE)</f>
        <v>1</v>
      </c>
    </row>
    <row r="353">
      <c r="A353" s="16" t="str">
        <f>IFERROR(__xludf.DUMMYFUNCTION("""COMPUTED_VALUE"""),"World Tree Sword")</f>
        <v>World Tree Sword</v>
      </c>
      <c r="B353" s="16" t="str">
        <f>IFERROR(__xludf.DUMMYFUNCTION("""COMPUTED_VALUE"""),"Hand")</f>
        <v>Hand</v>
      </c>
      <c r="C353" s="16"/>
      <c r="D353" s="16"/>
      <c r="E353" s="16">
        <f>IFERROR(__xludf.DUMMYFUNCTION("""COMPUTED_VALUE"""),200.0)</f>
        <v>200</v>
      </c>
      <c r="F353" s="108">
        <f>IFERROR(__xludf.DUMMYFUNCTION("""COMPUTED_VALUE"""),3.196E9)</f>
        <v>3196000000</v>
      </c>
      <c r="G353" s="16" t="str">
        <f>IFERROR(__xludf.DUMMYFUNCTION("""COMPUTED_VALUE"""),"DMG")</f>
        <v>DMG</v>
      </c>
      <c r="H353" s="119">
        <f>IFERROR(__xludf.DUMMYFUNCTION("""COMPUTED_VALUE"""),100000.0)</f>
        <v>100000</v>
      </c>
      <c r="I353" s="16"/>
      <c r="J353" s="16"/>
      <c r="K353" s="16"/>
      <c r="L353" s="16"/>
      <c r="M353" s="119">
        <f>IFERROR(__xludf.DUMMYFUNCTION("""COMPUTED_VALUE"""),50000.0)</f>
        <v>50000</v>
      </c>
      <c r="N353" s="119">
        <f>IFERROR(__xludf.DUMMYFUNCTION("""COMPUTED_VALUE"""),50000.0)</f>
        <v>50000</v>
      </c>
      <c r="O353" s="16"/>
      <c r="P353" s="119">
        <f>IFERROR(__xludf.DUMMYFUNCTION("""COMPUTED_VALUE"""),50000.0)</f>
        <v>50000</v>
      </c>
      <c r="Q353" s="119">
        <f>IFERROR(__xludf.DUMMYFUNCTION("""COMPUTED_VALUE"""),50000.0)</f>
        <v>50000</v>
      </c>
      <c r="R353" s="16"/>
      <c r="S353" s="119">
        <f>IFERROR(__xludf.DUMMYFUNCTION("""COMPUTED_VALUE"""),50000.0)</f>
        <v>50000</v>
      </c>
      <c r="T353" s="16"/>
      <c r="U353" s="16"/>
      <c r="V353" s="16"/>
      <c r="W353" s="16"/>
      <c r="X353" s="16"/>
      <c r="Y353" s="16"/>
      <c r="Z353" s="16"/>
      <c r="AA353" s="16"/>
      <c r="AB353" s="16"/>
      <c r="AC353" s="119">
        <f>IFERROR(__xludf.DUMMYFUNCTION("""COMPUTED_VALUE"""),50000.0)</f>
        <v>50000</v>
      </c>
      <c r="AD353" s="16"/>
      <c r="AE353" s="16"/>
      <c r="AF353" s="16" t="str">
        <f>IFERROR(__xludf.DUMMYFUNCTION("""COMPUTED_VALUE"""),"++If you kill an enemy with this weapon your HP and SP will fully be restored. +-Cannot be forged +-Cannot be duplicated")</f>
        <v>++If you kill an enemy with this weapon your HP and SP will fully be restored. +-Cannot be forged +-Cannot be duplicated</v>
      </c>
      <c r="AG353" s="16" t="str">
        <f>IFERROR(__xludf.DUMMYFUNCTION("""COMPUTED_VALUE"""),"Land of Spira")</f>
        <v>Land of Spira</v>
      </c>
      <c r="AH353" s="16" t="b">
        <f>IFERROR(__xludf.DUMMYFUNCTION("""COMPUTED_VALUE"""),FALSE)</f>
        <v>0</v>
      </c>
    </row>
    <row r="354">
      <c r="A354" s="16" t="str">
        <f>IFERROR(__xludf.DUMMYFUNCTION("""COMPUTED_VALUE"""),"Tear of the Dragon Pendant")</f>
        <v>Tear of the Dragon Pendant</v>
      </c>
      <c r="B354" s="16" t="str">
        <f>IFERROR(__xludf.DUMMYFUNCTION("""COMPUTED_VALUE"""),"Neck")</f>
        <v>Neck</v>
      </c>
      <c r="C354" s="16"/>
      <c r="D354" s="16"/>
      <c r="E354" s="16">
        <f>IFERROR(__xludf.DUMMYFUNCTION("""COMPUTED_VALUE"""),1.0)</f>
        <v>1</v>
      </c>
      <c r="F354" s="108">
        <f>IFERROR(__xludf.DUMMYFUNCTION("""COMPUTED_VALUE"""),0.0)</f>
        <v>0</v>
      </c>
      <c r="G354" s="16"/>
      <c r="H354" s="16"/>
      <c r="I354" s="16"/>
      <c r="J354" s="16"/>
      <c r="K354" s="16"/>
      <c r="L354" s="16"/>
      <c r="M354" s="16"/>
      <c r="N354" s="16"/>
      <c r="O354" s="16"/>
      <c r="P354" s="16"/>
      <c r="Q354" s="16"/>
      <c r="R354" s="16"/>
      <c r="S354" s="16"/>
      <c r="T354" s="16"/>
      <c r="U354" s="16"/>
      <c r="V354" s="16"/>
      <c r="W354" s="16"/>
      <c r="X354" s="16"/>
      <c r="Y354" s="16"/>
      <c r="Z354" s="16"/>
      <c r="AA354" s="16"/>
      <c r="AB354" s="16"/>
      <c r="AC354" s="16"/>
      <c r="AD354" s="16"/>
      <c r="AE354" s="16"/>
      <c r="AF354" s="16" t="str">
        <f>IFERROR(__xludf.DUMMYFUNCTION("""COMPUTED_VALUE"""),"++Plus 5 or Minus 5 on your attack and percentage rolls, Users choice. +-Cannot be duplicated.")</f>
        <v>++Plus 5 or Minus 5 on your attack and percentage rolls, Users choice. +-Cannot be duplicated.</v>
      </c>
      <c r="AG354" s="16" t="str">
        <f>IFERROR(__xludf.DUMMYFUNCTION("""COMPUTED_VALUE"""),"Dragonscale Island")</f>
        <v>Dragonscale Island</v>
      </c>
      <c r="AH354" s="16" t="b">
        <f>IFERROR(__xludf.DUMMYFUNCTION("""COMPUTED_VALUE"""),FALSE)</f>
        <v>0</v>
      </c>
    </row>
    <row r="355">
      <c r="A355" s="16" t="str">
        <f>IFERROR(__xludf.DUMMYFUNCTION("""COMPUTED_VALUE"""),"Luck of the Dragon Pendant")</f>
        <v>Luck of the Dragon Pendant</v>
      </c>
      <c r="B355" s="16" t="str">
        <f>IFERROR(__xludf.DUMMYFUNCTION("""COMPUTED_VALUE"""),"Neck")</f>
        <v>Neck</v>
      </c>
      <c r="C355" s="16"/>
      <c r="D355" s="16"/>
      <c r="E355" s="16">
        <f>IFERROR(__xludf.DUMMYFUNCTION("""COMPUTED_VALUE"""),1.0)</f>
        <v>1</v>
      </c>
      <c r="F355" s="108">
        <f>IFERROR(__xludf.DUMMYFUNCTION("""COMPUTED_VALUE"""),0.0)</f>
        <v>0</v>
      </c>
      <c r="G355" s="16"/>
      <c r="H355" s="16"/>
      <c r="I355" s="16"/>
      <c r="J355" s="16"/>
      <c r="K355" s="16"/>
      <c r="L355" s="16"/>
      <c r="M355" s="16"/>
      <c r="N355" s="16"/>
      <c r="O355" s="16"/>
      <c r="P355" s="16"/>
      <c r="Q355" s="16"/>
      <c r="R355" s="16"/>
      <c r="S355" s="16"/>
      <c r="T355" s="16"/>
      <c r="U355" s="16"/>
      <c r="V355" s="16"/>
      <c r="W355" s="16"/>
      <c r="X355" s="16"/>
      <c r="Y355" s="16"/>
      <c r="Z355" s="16"/>
      <c r="AA355" s="16"/>
      <c r="AB355" s="16"/>
      <c r="AC355" s="16"/>
      <c r="AD355" s="16"/>
      <c r="AE355" s="16"/>
      <c r="AF355" s="16" t="str">
        <f>IFERROR(__xludf.DUMMYFUNCTION("""COMPUTED_VALUE"""),"++Plus 5 or Minus 5 on your Loot and Fail/Succeed rolls, Users choice. +-Cannot be duplicated.")</f>
        <v>++Plus 5 or Minus 5 on your Loot and Fail/Succeed rolls, Users choice. +-Cannot be duplicated.</v>
      </c>
      <c r="AG355" s="16" t="str">
        <f>IFERROR(__xludf.DUMMYFUNCTION("""COMPUTED_VALUE"""),"Dragonscale Island")</f>
        <v>Dragonscale Island</v>
      </c>
      <c r="AH355" s="16" t="b">
        <f>IFERROR(__xludf.DUMMYFUNCTION("""COMPUTED_VALUE"""),FALSE)</f>
        <v>0</v>
      </c>
    </row>
    <row r="356">
      <c r="A356" s="16" t="str">
        <f>IFERROR(__xludf.DUMMYFUNCTION("""COMPUTED_VALUE"""),"Scale of the Dragon Pendant")</f>
        <v>Scale of the Dragon Pendant</v>
      </c>
      <c r="B356" s="16" t="str">
        <f>IFERROR(__xludf.DUMMYFUNCTION("""COMPUTED_VALUE"""),"Neck")</f>
        <v>Neck</v>
      </c>
      <c r="C356" s="16"/>
      <c r="D356" s="16"/>
      <c r="E356" s="16">
        <f>IFERROR(__xludf.DUMMYFUNCTION("""COMPUTED_VALUE"""),1.0)</f>
        <v>1</v>
      </c>
      <c r="F356" s="108">
        <f>IFERROR(__xludf.DUMMYFUNCTION("""COMPUTED_VALUE"""),0.0)</f>
        <v>0</v>
      </c>
      <c r="G356" s="16"/>
      <c r="H356" s="16"/>
      <c r="I356" s="16"/>
      <c r="J356" s="16"/>
      <c r="K356" s="16"/>
      <c r="L356" s="16"/>
      <c r="M356" s="16"/>
      <c r="N356" s="16"/>
      <c r="O356" s="16"/>
      <c r="P356" s="16"/>
      <c r="Q356" s="16"/>
      <c r="R356" s="16"/>
      <c r="S356" s="16"/>
      <c r="T356" s="16"/>
      <c r="U356" s="16"/>
      <c r="V356" s="16"/>
      <c r="W356" s="16"/>
      <c r="X356" s="16"/>
      <c r="Y356" s="16"/>
      <c r="Z356" s="16"/>
      <c r="AA356" s="16"/>
      <c r="AB356" s="16"/>
      <c r="AC356" s="16"/>
      <c r="AD356" s="16"/>
      <c r="AE356" s="16"/>
      <c r="AF356" s="16" t="str">
        <f>IFERROR(__xludf.DUMMYFUNCTION("""COMPUTED_VALUE"""),"++Allows you to use a companions SP as your own if the companion is a dragon. +-Cannot be duplicated.")</f>
        <v>++Allows you to use a companions SP as your own if the companion is a dragon. +-Cannot be duplicated.</v>
      </c>
      <c r="AG356" s="16" t="str">
        <f>IFERROR(__xludf.DUMMYFUNCTION("""COMPUTED_VALUE"""),"Dragonscale Island")</f>
        <v>Dragonscale Island</v>
      </c>
      <c r="AH356" s="16" t="b">
        <f>IFERROR(__xludf.DUMMYFUNCTION("""COMPUTED_VALUE"""),FALSE)</f>
        <v>0</v>
      </c>
    </row>
    <row r="357">
      <c r="A357" s="16" t="str">
        <f>IFERROR(__xludf.DUMMYFUNCTION("""COMPUTED_VALUE"""),"Guard Pauldrons")</f>
        <v>Guard Pauldrons</v>
      </c>
      <c r="B357" s="16" t="str">
        <f>IFERROR(__xludf.DUMMYFUNCTION("""COMPUTED_VALUE"""),"Shoulders")</f>
        <v>Shoulders</v>
      </c>
      <c r="C357" s="16" t="str">
        <f>IFERROR(__xludf.DUMMYFUNCTION("""COMPUTED_VALUE"""),"Quest Item")</f>
        <v>Quest Item</v>
      </c>
      <c r="D357" s="16"/>
      <c r="E357" s="16">
        <f>IFERROR(__xludf.DUMMYFUNCTION("""COMPUTED_VALUE"""),200.0)</f>
        <v>200</v>
      </c>
      <c r="F357" s="108">
        <f>IFERROR(__xludf.DUMMYFUNCTION("""COMPUTED_VALUE"""),1.1175E8)</f>
        <v>111750000</v>
      </c>
      <c r="G357" s="16" t="str">
        <f>IFERROR(__xludf.DUMMYFUNCTION("""COMPUTED_VALUE"""),"DEF")</f>
        <v>DEF</v>
      </c>
      <c r="H357" s="119">
        <f>IFERROR(__xludf.DUMMYFUNCTION("""COMPUTED_VALUE"""),25000.0)</f>
        <v>25000</v>
      </c>
      <c r="I357" s="16"/>
      <c r="J357" s="16"/>
      <c r="K357" s="16"/>
      <c r="L357" s="16"/>
      <c r="M357" s="16"/>
      <c r="N357" s="119">
        <f>IFERROR(__xludf.DUMMYFUNCTION("""COMPUTED_VALUE"""),25000.0)</f>
        <v>25000</v>
      </c>
      <c r="O357" s="16"/>
      <c r="P357" s="16"/>
      <c r="Q357" s="16"/>
      <c r="R357" s="16"/>
      <c r="S357" s="16"/>
      <c r="T357" s="16"/>
      <c r="U357" s="16"/>
      <c r="V357" s="16"/>
      <c r="W357" s="16"/>
      <c r="X357" s="16"/>
      <c r="Y357" s="16"/>
      <c r="Z357" s="16"/>
      <c r="AA357" s="16"/>
      <c r="AB357" s="16"/>
      <c r="AC357" s="119">
        <f>IFERROR(__xludf.DUMMYFUNCTION("""COMPUTED_VALUE"""),25000.0)</f>
        <v>25000</v>
      </c>
      <c r="AD357" s="16"/>
      <c r="AE357" s="16"/>
      <c r="AF357" s="16" t="str">
        <f>IFERROR(__xludf.DUMMYFUNCTION("""COMPUTED_VALUE"""),"+-Cannot be duplicated")</f>
        <v>+-Cannot be duplicated</v>
      </c>
      <c r="AG357" s="16" t="str">
        <f>IFERROR(__xludf.DUMMYFUNCTION("""COMPUTED_VALUE"""),"Land of Spira")</f>
        <v>Land of Spira</v>
      </c>
      <c r="AH357" s="16" t="b">
        <f>IFERROR(__xludf.DUMMYFUNCTION("""COMPUTED_VALUE"""),FALSE)</f>
        <v>0</v>
      </c>
    </row>
    <row r="358">
      <c r="A358" s="16" t="str">
        <f>IFERROR(__xludf.DUMMYFUNCTION("""COMPUTED_VALUE"""),"Guard Vambraces")</f>
        <v>Guard Vambraces</v>
      </c>
      <c r="B358" s="16" t="str">
        <f>IFERROR(__xludf.DUMMYFUNCTION("""COMPUTED_VALUE"""),"Arms")</f>
        <v>Arms</v>
      </c>
      <c r="C358" s="16" t="str">
        <f>IFERROR(__xludf.DUMMYFUNCTION("""COMPUTED_VALUE"""),"Quest Item")</f>
        <v>Quest Item</v>
      </c>
      <c r="D358" s="16"/>
      <c r="E358" s="16">
        <f>IFERROR(__xludf.DUMMYFUNCTION("""COMPUTED_VALUE"""),200.0)</f>
        <v>200</v>
      </c>
      <c r="F358" s="108">
        <f>IFERROR(__xludf.DUMMYFUNCTION("""COMPUTED_VALUE"""),1.1175E8)</f>
        <v>111750000</v>
      </c>
      <c r="G358" s="16" t="str">
        <f>IFERROR(__xludf.DUMMYFUNCTION("""COMPUTED_VALUE"""),"DEF")</f>
        <v>DEF</v>
      </c>
      <c r="H358" s="119">
        <f>IFERROR(__xludf.DUMMYFUNCTION("""COMPUTED_VALUE"""),25000.0)</f>
        <v>25000</v>
      </c>
      <c r="I358" s="16"/>
      <c r="J358" s="16"/>
      <c r="K358" s="16"/>
      <c r="L358" s="16"/>
      <c r="M358" s="16"/>
      <c r="N358" s="119">
        <f>IFERROR(__xludf.DUMMYFUNCTION("""COMPUTED_VALUE"""),25000.0)</f>
        <v>25000</v>
      </c>
      <c r="O358" s="16"/>
      <c r="P358" s="16"/>
      <c r="Q358" s="16"/>
      <c r="R358" s="16"/>
      <c r="S358" s="16"/>
      <c r="T358" s="16"/>
      <c r="U358" s="16"/>
      <c r="V358" s="16"/>
      <c r="W358" s="16"/>
      <c r="X358" s="16"/>
      <c r="Y358" s="16"/>
      <c r="Z358" s="16"/>
      <c r="AA358" s="16"/>
      <c r="AB358" s="16"/>
      <c r="AC358" s="119">
        <f>IFERROR(__xludf.DUMMYFUNCTION("""COMPUTED_VALUE"""),25000.0)</f>
        <v>25000</v>
      </c>
      <c r="AD358" s="16"/>
      <c r="AE358" s="16"/>
      <c r="AF358" s="16" t="str">
        <f>IFERROR(__xludf.DUMMYFUNCTION("""COMPUTED_VALUE"""),"+-Cannot be duplicated")</f>
        <v>+-Cannot be duplicated</v>
      </c>
      <c r="AG358" s="16" t="str">
        <f>IFERROR(__xludf.DUMMYFUNCTION("""COMPUTED_VALUE"""),"Land of Spira")</f>
        <v>Land of Spira</v>
      </c>
      <c r="AH358" s="16" t="b">
        <f>IFERROR(__xludf.DUMMYFUNCTION("""COMPUTED_VALUE"""),FALSE)</f>
        <v>0</v>
      </c>
    </row>
    <row r="359">
      <c r="A359" s="16" t="str">
        <f>IFERROR(__xludf.DUMMYFUNCTION("""COMPUTED_VALUE"""),"Royal Guard Pauldrons")</f>
        <v>Royal Guard Pauldrons</v>
      </c>
      <c r="B359" s="16" t="str">
        <f>IFERROR(__xludf.DUMMYFUNCTION("""COMPUTED_VALUE"""),"Shoulders")</f>
        <v>Shoulders</v>
      </c>
      <c r="C359" s="16" t="str">
        <f>IFERROR(__xludf.DUMMYFUNCTION("""COMPUTED_VALUE"""),"Quest Item")</f>
        <v>Quest Item</v>
      </c>
      <c r="D359" s="16"/>
      <c r="E359" s="16">
        <f>IFERROR(__xludf.DUMMYFUNCTION("""COMPUTED_VALUE"""),200.0)</f>
        <v>200</v>
      </c>
      <c r="F359" s="108">
        <f>IFERROR(__xludf.DUMMYFUNCTION("""COMPUTED_VALUE"""),4.485E8)</f>
        <v>448500000</v>
      </c>
      <c r="G359" s="16" t="str">
        <f>IFERROR(__xludf.DUMMYFUNCTION("""COMPUTED_VALUE"""),"DEF")</f>
        <v>DEF</v>
      </c>
      <c r="H359" s="119">
        <f>IFERROR(__xludf.DUMMYFUNCTION("""COMPUTED_VALUE"""),50000.0)</f>
        <v>50000</v>
      </c>
      <c r="I359" s="16"/>
      <c r="J359" s="16"/>
      <c r="K359" s="16"/>
      <c r="L359" s="16"/>
      <c r="M359" s="16"/>
      <c r="N359" s="119">
        <f>IFERROR(__xludf.DUMMYFUNCTION("""COMPUTED_VALUE"""),50000.0)</f>
        <v>50000</v>
      </c>
      <c r="O359" s="16"/>
      <c r="P359" s="16"/>
      <c r="Q359" s="16"/>
      <c r="R359" s="16"/>
      <c r="S359" s="16"/>
      <c r="T359" s="16"/>
      <c r="U359" s="16"/>
      <c r="V359" s="16"/>
      <c r="W359" s="16"/>
      <c r="X359" s="16"/>
      <c r="Y359" s="16"/>
      <c r="Z359" s="16"/>
      <c r="AA359" s="16"/>
      <c r="AB359" s="16"/>
      <c r="AC359" s="119">
        <f>IFERROR(__xludf.DUMMYFUNCTION("""COMPUTED_VALUE"""),50000.0)</f>
        <v>50000</v>
      </c>
      <c r="AD359" s="16"/>
      <c r="AE359" s="16"/>
      <c r="AF359" s="16" t="str">
        <f>IFERROR(__xludf.DUMMYFUNCTION("""COMPUTED_VALUE"""),"+-Cannot be duplicated")</f>
        <v>+-Cannot be duplicated</v>
      </c>
      <c r="AG359" s="16" t="str">
        <f>IFERROR(__xludf.DUMMYFUNCTION("""COMPUTED_VALUE"""),"Land of Spira")</f>
        <v>Land of Spira</v>
      </c>
      <c r="AH359" s="16" t="b">
        <f>IFERROR(__xludf.DUMMYFUNCTION("""COMPUTED_VALUE"""),FALSE)</f>
        <v>0</v>
      </c>
    </row>
    <row r="360">
      <c r="A360" s="16" t="str">
        <f>IFERROR(__xludf.DUMMYFUNCTION("""COMPUTED_VALUE"""),"Royal Guard Vambraces")</f>
        <v>Royal Guard Vambraces</v>
      </c>
      <c r="B360" s="16" t="str">
        <f>IFERROR(__xludf.DUMMYFUNCTION("""COMPUTED_VALUE"""),"Arms")</f>
        <v>Arms</v>
      </c>
      <c r="C360" s="16" t="str">
        <f>IFERROR(__xludf.DUMMYFUNCTION("""COMPUTED_VALUE"""),"Quest Item")</f>
        <v>Quest Item</v>
      </c>
      <c r="D360" s="16"/>
      <c r="E360" s="16">
        <f>IFERROR(__xludf.DUMMYFUNCTION("""COMPUTED_VALUE"""),200.0)</f>
        <v>200</v>
      </c>
      <c r="F360" s="108">
        <f>IFERROR(__xludf.DUMMYFUNCTION("""COMPUTED_VALUE"""),4.485E8)</f>
        <v>448500000</v>
      </c>
      <c r="G360" s="16" t="str">
        <f>IFERROR(__xludf.DUMMYFUNCTION("""COMPUTED_VALUE"""),"DEF")</f>
        <v>DEF</v>
      </c>
      <c r="H360" s="119">
        <f>IFERROR(__xludf.DUMMYFUNCTION("""COMPUTED_VALUE"""),50000.0)</f>
        <v>50000</v>
      </c>
      <c r="I360" s="16"/>
      <c r="J360" s="16"/>
      <c r="K360" s="16"/>
      <c r="L360" s="16"/>
      <c r="M360" s="16"/>
      <c r="N360" s="119">
        <f>IFERROR(__xludf.DUMMYFUNCTION("""COMPUTED_VALUE"""),50000.0)</f>
        <v>50000</v>
      </c>
      <c r="O360" s="16"/>
      <c r="P360" s="16"/>
      <c r="Q360" s="16"/>
      <c r="R360" s="16"/>
      <c r="S360" s="16"/>
      <c r="T360" s="16"/>
      <c r="U360" s="16"/>
      <c r="V360" s="16"/>
      <c r="W360" s="16"/>
      <c r="X360" s="16"/>
      <c r="Y360" s="16"/>
      <c r="Z360" s="16"/>
      <c r="AA360" s="16"/>
      <c r="AB360" s="16"/>
      <c r="AC360" s="119">
        <f>IFERROR(__xludf.DUMMYFUNCTION("""COMPUTED_VALUE"""),50000.0)</f>
        <v>50000</v>
      </c>
      <c r="AD360" s="16"/>
      <c r="AE360" s="16"/>
      <c r="AF360" s="16" t="str">
        <f>IFERROR(__xludf.DUMMYFUNCTION("""COMPUTED_VALUE"""),"+-Cannot be duplicated")</f>
        <v>+-Cannot be duplicated</v>
      </c>
      <c r="AG360" s="16" t="str">
        <f>IFERROR(__xludf.DUMMYFUNCTION("""COMPUTED_VALUE"""),"Land of Spira")</f>
        <v>Land of Spira</v>
      </c>
      <c r="AH360" s="16" t="b">
        <f>IFERROR(__xludf.DUMMYFUNCTION("""COMPUTED_VALUE"""),FALSE)</f>
        <v>0</v>
      </c>
    </row>
    <row r="361">
      <c r="A361" s="16" t="str">
        <f>IFERROR(__xludf.DUMMYFUNCTION("""COMPUTED_VALUE"""),"Celestian Royal Pauldrons")</f>
        <v>Celestian Royal Pauldrons</v>
      </c>
      <c r="B361" s="16" t="str">
        <f>IFERROR(__xludf.DUMMYFUNCTION("""COMPUTED_VALUE"""),"Shoulders")</f>
        <v>Shoulders</v>
      </c>
      <c r="C361" s="16" t="str">
        <f>IFERROR(__xludf.DUMMYFUNCTION("""COMPUTED_VALUE"""),"Quest Item")</f>
        <v>Quest Item</v>
      </c>
      <c r="D361" s="16"/>
      <c r="E361" s="16">
        <f>IFERROR(__xludf.DUMMYFUNCTION("""COMPUTED_VALUE"""),200.0)</f>
        <v>200</v>
      </c>
      <c r="F361" s="108">
        <f>IFERROR(__xludf.DUMMYFUNCTION("""COMPUTED_VALUE"""),3.196E9)</f>
        <v>3196000000</v>
      </c>
      <c r="G361" s="16" t="str">
        <f>IFERROR(__xludf.DUMMYFUNCTION("""COMPUTED_VALUE"""),"DEF")</f>
        <v>DEF</v>
      </c>
      <c r="H361" s="119">
        <f>IFERROR(__xludf.DUMMYFUNCTION("""COMPUTED_VALUE"""),100000.0)</f>
        <v>100000</v>
      </c>
      <c r="I361" s="16"/>
      <c r="J361" s="16"/>
      <c r="K361" s="16"/>
      <c r="L361" s="16"/>
      <c r="M361" s="16"/>
      <c r="N361" s="119">
        <f>IFERROR(__xludf.DUMMYFUNCTION("""COMPUTED_VALUE"""),100000.0)</f>
        <v>100000</v>
      </c>
      <c r="O361" s="119">
        <f>IFERROR(__xludf.DUMMYFUNCTION("""COMPUTED_VALUE"""),100000.0)</f>
        <v>100000</v>
      </c>
      <c r="P361" s="16"/>
      <c r="Q361" s="16"/>
      <c r="R361" s="16"/>
      <c r="S361" s="16"/>
      <c r="T361" s="16"/>
      <c r="U361" s="16"/>
      <c r="V361" s="16"/>
      <c r="W361" s="16"/>
      <c r="X361" s="16"/>
      <c r="Y361" s="16"/>
      <c r="Z361" s="16"/>
      <c r="AA361" s="16"/>
      <c r="AB361" s="16"/>
      <c r="AC361" s="119">
        <f>IFERROR(__xludf.DUMMYFUNCTION("""COMPUTED_VALUE"""),100000.0)</f>
        <v>100000</v>
      </c>
      <c r="AD361" s="16"/>
      <c r="AE361" s="16"/>
      <c r="AF361" s="16" t="str">
        <f>IFERROR(__xludf.DUMMYFUNCTION("""COMPUTED_VALUE"""),"++X2 Celestial Damage. +-Cannot be duplicated.")</f>
        <v>++X2 Celestial Damage. +-Cannot be duplicated.</v>
      </c>
      <c r="AG361" s="16" t="str">
        <f>IFERROR(__xludf.DUMMYFUNCTION("""COMPUTED_VALUE"""),"Land of Spira")</f>
        <v>Land of Spira</v>
      </c>
      <c r="AH361" s="16" t="b">
        <f>IFERROR(__xludf.DUMMYFUNCTION("""COMPUTED_VALUE"""),FALSE)</f>
        <v>0</v>
      </c>
    </row>
    <row r="362">
      <c r="A362" s="16" t="str">
        <f>IFERROR(__xludf.DUMMYFUNCTION("""COMPUTED_VALUE"""),"Celestian Royal Vambraces")</f>
        <v>Celestian Royal Vambraces</v>
      </c>
      <c r="B362" s="16" t="str">
        <f>IFERROR(__xludf.DUMMYFUNCTION("""COMPUTED_VALUE"""),"Arms")</f>
        <v>Arms</v>
      </c>
      <c r="C362" s="16" t="str">
        <f>IFERROR(__xludf.DUMMYFUNCTION("""COMPUTED_VALUE"""),"Quest Item")</f>
        <v>Quest Item</v>
      </c>
      <c r="D362" s="16"/>
      <c r="E362" s="16">
        <f>IFERROR(__xludf.DUMMYFUNCTION("""COMPUTED_VALUE"""),200.0)</f>
        <v>200</v>
      </c>
      <c r="F362" s="108">
        <f>IFERROR(__xludf.DUMMYFUNCTION("""COMPUTED_VALUE"""),3.196E9)</f>
        <v>3196000000</v>
      </c>
      <c r="G362" s="16" t="str">
        <f>IFERROR(__xludf.DUMMYFUNCTION("""COMPUTED_VALUE"""),"DEF")</f>
        <v>DEF</v>
      </c>
      <c r="H362" s="119">
        <f>IFERROR(__xludf.DUMMYFUNCTION("""COMPUTED_VALUE"""),100000.0)</f>
        <v>100000</v>
      </c>
      <c r="I362" s="16"/>
      <c r="J362" s="16"/>
      <c r="K362" s="16"/>
      <c r="L362" s="16"/>
      <c r="M362" s="16"/>
      <c r="N362" s="119">
        <f>IFERROR(__xludf.DUMMYFUNCTION("""COMPUTED_VALUE"""),100000.0)</f>
        <v>100000</v>
      </c>
      <c r="O362" s="119">
        <f>IFERROR(__xludf.DUMMYFUNCTION("""COMPUTED_VALUE"""),100000.0)</f>
        <v>100000</v>
      </c>
      <c r="P362" s="16"/>
      <c r="Q362" s="16"/>
      <c r="R362" s="16"/>
      <c r="S362" s="16"/>
      <c r="T362" s="16"/>
      <c r="U362" s="16"/>
      <c r="V362" s="16"/>
      <c r="W362" s="16"/>
      <c r="X362" s="16"/>
      <c r="Y362" s="16"/>
      <c r="Z362" s="16"/>
      <c r="AA362" s="16"/>
      <c r="AB362" s="16"/>
      <c r="AC362" s="119">
        <f>IFERROR(__xludf.DUMMYFUNCTION("""COMPUTED_VALUE"""),100000.0)</f>
        <v>100000</v>
      </c>
      <c r="AD362" s="16"/>
      <c r="AE362" s="16"/>
      <c r="AF362" s="16" t="str">
        <f>IFERROR(__xludf.DUMMYFUNCTION("""COMPUTED_VALUE"""),"++X2 Celestial Damage. +-Cannot be duplicated.")</f>
        <v>++X2 Celestial Damage. +-Cannot be duplicated.</v>
      </c>
      <c r="AG362" s="16" t="str">
        <f>IFERROR(__xludf.DUMMYFUNCTION("""COMPUTED_VALUE"""),"Land of Spira")</f>
        <v>Land of Spira</v>
      </c>
      <c r="AH362" s="16" t="b">
        <f>IFERROR(__xludf.DUMMYFUNCTION("""COMPUTED_VALUE"""),FALSE)</f>
        <v>0</v>
      </c>
    </row>
    <row r="363">
      <c r="A363" s="16" t="str">
        <f>IFERROR(__xludf.DUMMYFUNCTION("""COMPUTED_VALUE"""),"Royal Guard Shield")</f>
        <v>Royal Guard Shield</v>
      </c>
      <c r="B363" s="16" t="str">
        <f>IFERROR(__xludf.DUMMYFUNCTION("""COMPUTED_VALUE"""),"Hand")</f>
        <v>Hand</v>
      </c>
      <c r="C363" s="16" t="str">
        <f>IFERROR(__xludf.DUMMYFUNCTION("""COMPUTED_VALUE"""),"Quest Item")</f>
        <v>Quest Item</v>
      </c>
      <c r="D363" s="16" t="str">
        <f>IFERROR(__xludf.DUMMYFUNCTION("""COMPUTED_VALUE"""),"Towershield")</f>
        <v>Towershield</v>
      </c>
      <c r="E363" s="16">
        <f>IFERROR(__xludf.DUMMYFUNCTION("""COMPUTED_VALUE"""),200.0)</f>
        <v>200</v>
      </c>
      <c r="F363" s="108">
        <f>IFERROR(__xludf.DUMMYFUNCTION("""COMPUTED_VALUE"""),7.98E8)</f>
        <v>798000000</v>
      </c>
      <c r="G363" s="16" t="str">
        <f>IFERROR(__xludf.DUMMYFUNCTION("""COMPUTED_VALUE"""),"DEF")</f>
        <v>DEF</v>
      </c>
      <c r="H363" s="119">
        <f>IFERROR(__xludf.DUMMYFUNCTION("""COMPUTED_VALUE"""),50000.0)</f>
        <v>50000</v>
      </c>
      <c r="I363" s="16"/>
      <c r="J363" s="16"/>
      <c r="K363" s="16"/>
      <c r="L363" s="16"/>
      <c r="M363" s="16"/>
      <c r="N363" s="119">
        <f>IFERROR(__xludf.DUMMYFUNCTION("""COMPUTED_VALUE"""),50000.0)</f>
        <v>50000</v>
      </c>
      <c r="O363" s="119">
        <f>IFERROR(__xludf.DUMMYFUNCTION("""COMPUTED_VALUE"""),50000.0)</f>
        <v>50000</v>
      </c>
      <c r="P363" s="16"/>
      <c r="Q363" s="16"/>
      <c r="R363" s="16"/>
      <c r="S363" s="16"/>
      <c r="T363" s="16"/>
      <c r="U363" s="16"/>
      <c r="V363" s="16"/>
      <c r="W363" s="16"/>
      <c r="X363" s="16"/>
      <c r="Y363" s="16"/>
      <c r="Z363" s="16"/>
      <c r="AA363" s="16"/>
      <c r="AB363" s="16"/>
      <c r="AC363" s="119">
        <f>IFERROR(__xludf.DUMMYFUNCTION("""COMPUTED_VALUE"""),50000.0)</f>
        <v>50000</v>
      </c>
      <c r="AD363" s="16"/>
      <c r="AE363" s="16"/>
      <c r="AF363" s="16" t="str">
        <f>IFERROR(__xludf.DUMMYFUNCTION("""COMPUTED_VALUE"""),"++X2 Celestial Defense. +-Cannot be duplicated.")</f>
        <v>++X2 Celestial Defense. +-Cannot be duplicated.</v>
      </c>
      <c r="AG363" s="16" t="str">
        <f>IFERROR(__xludf.DUMMYFUNCTION("""COMPUTED_VALUE"""),"Land of Spira")</f>
        <v>Land of Spira</v>
      </c>
      <c r="AH363" s="16" t="b">
        <f>IFERROR(__xludf.DUMMYFUNCTION("""COMPUTED_VALUE"""),FALSE)</f>
        <v>0</v>
      </c>
    </row>
    <row r="364">
      <c r="A364" s="16" t="str">
        <f>IFERROR(__xludf.DUMMYFUNCTION("""COMPUTED_VALUE"""),"Guard Leggings")</f>
        <v>Guard Leggings</v>
      </c>
      <c r="B364" s="16" t="str">
        <f>IFERROR(__xludf.DUMMYFUNCTION("""COMPUTED_VALUE"""),"Legs")</f>
        <v>Legs</v>
      </c>
      <c r="C364" s="16" t="str">
        <f>IFERROR(__xludf.DUMMYFUNCTION("""COMPUTED_VALUE"""),"Quest Item")</f>
        <v>Quest Item</v>
      </c>
      <c r="D364" s="16"/>
      <c r="E364" s="16">
        <f>IFERROR(__xludf.DUMMYFUNCTION("""COMPUTED_VALUE"""),200.0)</f>
        <v>200</v>
      </c>
      <c r="F364" s="108">
        <f>IFERROR(__xludf.DUMMYFUNCTION("""COMPUTED_VALUE"""),1.1175E8)</f>
        <v>111750000</v>
      </c>
      <c r="G364" s="16" t="str">
        <f>IFERROR(__xludf.DUMMYFUNCTION("""COMPUTED_VALUE"""),"DEF")</f>
        <v>DEF</v>
      </c>
      <c r="H364" s="119">
        <f>IFERROR(__xludf.DUMMYFUNCTION("""COMPUTED_VALUE"""),25000.0)</f>
        <v>25000</v>
      </c>
      <c r="I364" s="16"/>
      <c r="J364" s="16"/>
      <c r="K364" s="16"/>
      <c r="L364" s="16"/>
      <c r="M364" s="16"/>
      <c r="N364" s="119">
        <f>IFERROR(__xludf.DUMMYFUNCTION("""COMPUTED_VALUE"""),25000.0)</f>
        <v>25000</v>
      </c>
      <c r="O364" s="16"/>
      <c r="P364" s="16"/>
      <c r="Q364" s="16"/>
      <c r="R364" s="16"/>
      <c r="S364" s="16"/>
      <c r="T364" s="16"/>
      <c r="U364" s="16"/>
      <c r="V364" s="16"/>
      <c r="W364" s="16"/>
      <c r="X364" s="16"/>
      <c r="Y364" s="16"/>
      <c r="Z364" s="16"/>
      <c r="AA364" s="16"/>
      <c r="AB364" s="16"/>
      <c r="AC364" s="119">
        <f>IFERROR(__xludf.DUMMYFUNCTION("""COMPUTED_VALUE"""),25000.0)</f>
        <v>25000</v>
      </c>
      <c r="AD364" s="16"/>
      <c r="AE364" s="16"/>
      <c r="AF364" s="16" t="str">
        <f>IFERROR(__xludf.DUMMYFUNCTION("""COMPUTED_VALUE"""),"+-Cannot be duplicated")</f>
        <v>+-Cannot be duplicated</v>
      </c>
      <c r="AG364" s="16" t="str">
        <f>IFERROR(__xludf.DUMMYFUNCTION("""COMPUTED_VALUE"""),"Land of Spira")</f>
        <v>Land of Spira</v>
      </c>
      <c r="AH364" s="16" t="b">
        <f>IFERROR(__xludf.DUMMYFUNCTION("""COMPUTED_VALUE"""),FALSE)</f>
        <v>0</v>
      </c>
    </row>
    <row r="365">
      <c r="A365" s="16" t="str">
        <f>IFERROR(__xludf.DUMMYFUNCTION("""COMPUTED_VALUE"""),"Guard Boots")</f>
        <v>Guard Boots</v>
      </c>
      <c r="B365" s="16" t="str">
        <f>IFERROR(__xludf.DUMMYFUNCTION("""COMPUTED_VALUE"""),"Feet")</f>
        <v>Feet</v>
      </c>
      <c r="C365" s="16" t="str">
        <f>IFERROR(__xludf.DUMMYFUNCTION("""COMPUTED_VALUE"""),"Quest Item")</f>
        <v>Quest Item</v>
      </c>
      <c r="D365" s="16"/>
      <c r="E365" s="16">
        <f>IFERROR(__xludf.DUMMYFUNCTION("""COMPUTED_VALUE"""),200.0)</f>
        <v>200</v>
      </c>
      <c r="F365" s="108">
        <f>IFERROR(__xludf.DUMMYFUNCTION("""COMPUTED_VALUE"""),1.1175E8)</f>
        <v>111750000</v>
      </c>
      <c r="G365" s="16" t="str">
        <f>IFERROR(__xludf.DUMMYFUNCTION("""COMPUTED_VALUE"""),"DEF")</f>
        <v>DEF</v>
      </c>
      <c r="H365" s="119">
        <f>IFERROR(__xludf.DUMMYFUNCTION("""COMPUTED_VALUE"""),25000.0)</f>
        <v>25000</v>
      </c>
      <c r="I365" s="16"/>
      <c r="J365" s="16"/>
      <c r="K365" s="16"/>
      <c r="L365" s="16"/>
      <c r="M365" s="16"/>
      <c r="N365" s="119">
        <f>IFERROR(__xludf.DUMMYFUNCTION("""COMPUTED_VALUE"""),25000.0)</f>
        <v>25000</v>
      </c>
      <c r="O365" s="16"/>
      <c r="P365" s="16"/>
      <c r="Q365" s="16"/>
      <c r="R365" s="16"/>
      <c r="S365" s="16"/>
      <c r="T365" s="16"/>
      <c r="U365" s="16"/>
      <c r="V365" s="16"/>
      <c r="W365" s="16"/>
      <c r="X365" s="16"/>
      <c r="Y365" s="16"/>
      <c r="Z365" s="16"/>
      <c r="AA365" s="16"/>
      <c r="AB365" s="16"/>
      <c r="AC365" s="119">
        <f>IFERROR(__xludf.DUMMYFUNCTION("""COMPUTED_VALUE"""),25000.0)</f>
        <v>25000</v>
      </c>
      <c r="AD365" s="16"/>
      <c r="AE365" s="16"/>
      <c r="AF365" s="16" t="str">
        <f>IFERROR(__xludf.DUMMYFUNCTION("""COMPUTED_VALUE"""),"+-Cannot be duplicated")</f>
        <v>+-Cannot be duplicated</v>
      </c>
      <c r="AG365" s="16" t="str">
        <f>IFERROR(__xludf.DUMMYFUNCTION("""COMPUTED_VALUE"""),"Land of Spira")</f>
        <v>Land of Spira</v>
      </c>
      <c r="AH365" s="16" t="b">
        <f>IFERROR(__xludf.DUMMYFUNCTION("""COMPUTED_VALUE"""),FALSE)</f>
        <v>0</v>
      </c>
    </row>
    <row r="366">
      <c r="A366" s="16" t="str">
        <f>IFERROR(__xludf.DUMMYFUNCTION("""COMPUTED_VALUE"""),"Celestian Royal Boots")</f>
        <v>Celestian Royal Boots</v>
      </c>
      <c r="B366" s="16" t="str">
        <f>IFERROR(__xludf.DUMMYFUNCTION("""COMPUTED_VALUE"""),"Feet")</f>
        <v>Feet</v>
      </c>
      <c r="C366" s="16" t="str">
        <f>IFERROR(__xludf.DUMMYFUNCTION("""COMPUTED_VALUE"""),"Quest Item")</f>
        <v>Quest Item</v>
      </c>
      <c r="D366" s="16"/>
      <c r="E366" s="16">
        <f>IFERROR(__xludf.DUMMYFUNCTION("""COMPUTED_VALUE"""),200.0)</f>
        <v>200</v>
      </c>
      <c r="F366" s="108">
        <f>IFERROR(__xludf.DUMMYFUNCTION("""COMPUTED_VALUE"""),3.196E9)</f>
        <v>3196000000</v>
      </c>
      <c r="G366" s="16" t="str">
        <f>IFERROR(__xludf.DUMMYFUNCTION("""COMPUTED_VALUE"""),"DEF")</f>
        <v>DEF</v>
      </c>
      <c r="H366" s="119">
        <f>IFERROR(__xludf.DUMMYFUNCTION("""COMPUTED_VALUE"""),100000.0)</f>
        <v>100000</v>
      </c>
      <c r="I366" s="16"/>
      <c r="J366" s="16"/>
      <c r="K366" s="16"/>
      <c r="L366" s="16"/>
      <c r="M366" s="16"/>
      <c r="N366" s="119">
        <f>IFERROR(__xludf.DUMMYFUNCTION("""COMPUTED_VALUE"""),100000.0)</f>
        <v>100000</v>
      </c>
      <c r="O366" s="119">
        <f>IFERROR(__xludf.DUMMYFUNCTION("""COMPUTED_VALUE"""),100000.0)</f>
        <v>100000</v>
      </c>
      <c r="P366" s="16"/>
      <c r="Q366" s="16"/>
      <c r="R366" s="16"/>
      <c r="S366" s="16"/>
      <c r="T366" s="16"/>
      <c r="U366" s="16"/>
      <c r="V366" s="16"/>
      <c r="W366" s="16"/>
      <c r="X366" s="16"/>
      <c r="Y366" s="16"/>
      <c r="Z366" s="16"/>
      <c r="AA366" s="16"/>
      <c r="AB366" s="16"/>
      <c r="AC366" s="119">
        <f>IFERROR(__xludf.DUMMYFUNCTION("""COMPUTED_VALUE"""),100000.0)</f>
        <v>100000</v>
      </c>
      <c r="AD366" s="16"/>
      <c r="AE366" s="16"/>
      <c r="AF366" s="16" t="str">
        <f>IFERROR(__xludf.DUMMYFUNCTION("""COMPUTED_VALUE"""),"++X6 Celestial Damage. +-Cannot be duplicated.")</f>
        <v>++X6 Celestial Damage. +-Cannot be duplicated.</v>
      </c>
      <c r="AG366" s="16" t="str">
        <f>IFERROR(__xludf.DUMMYFUNCTION("""COMPUTED_VALUE"""),"Land of Spira")</f>
        <v>Land of Spira</v>
      </c>
      <c r="AH366" s="16" t="b">
        <f>IFERROR(__xludf.DUMMYFUNCTION("""COMPUTED_VALUE"""),FALSE)</f>
        <v>0</v>
      </c>
    </row>
    <row r="367">
      <c r="A367" s="16" t="str">
        <f>IFERROR(__xludf.DUMMYFUNCTION("""COMPUTED_VALUE"""),"Celestian Royal Leggings")</f>
        <v>Celestian Royal Leggings</v>
      </c>
      <c r="B367" s="16" t="str">
        <f>IFERROR(__xludf.DUMMYFUNCTION("""COMPUTED_VALUE"""),"Legs")</f>
        <v>Legs</v>
      </c>
      <c r="C367" s="16" t="str">
        <f>IFERROR(__xludf.DUMMYFUNCTION("""COMPUTED_VALUE"""),"Quest Item")</f>
        <v>Quest Item</v>
      </c>
      <c r="D367" s="16"/>
      <c r="E367" s="16">
        <f>IFERROR(__xludf.DUMMYFUNCTION("""COMPUTED_VALUE"""),200.0)</f>
        <v>200</v>
      </c>
      <c r="F367" s="108">
        <f>IFERROR(__xludf.DUMMYFUNCTION("""COMPUTED_VALUE"""),3.196E9)</f>
        <v>3196000000</v>
      </c>
      <c r="G367" s="16" t="str">
        <f>IFERROR(__xludf.DUMMYFUNCTION("""COMPUTED_VALUE"""),"DEF")</f>
        <v>DEF</v>
      </c>
      <c r="H367" s="119">
        <f>IFERROR(__xludf.DUMMYFUNCTION("""COMPUTED_VALUE"""),100000.0)</f>
        <v>100000</v>
      </c>
      <c r="I367" s="16"/>
      <c r="J367" s="16"/>
      <c r="K367" s="16"/>
      <c r="L367" s="16"/>
      <c r="M367" s="16"/>
      <c r="N367" s="119">
        <f>IFERROR(__xludf.DUMMYFUNCTION("""COMPUTED_VALUE"""),100000.0)</f>
        <v>100000</v>
      </c>
      <c r="O367" s="119">
        <f>IFERROR(__xludf.DUMMYFUNCTION("""COMPUTED_VALUE"""),100000.0)</f>
        <v>100000</v>
      </c>
      <c r="P367" s="16"/>
      <c r="Q367" s="16"/>
      <c r="R367" s="16"/>
      <c r="S367" s="16"/>
      <c r="T367" s="16"/>
      <c r="U367" s="16"/>
      <c r="V367" s="16"/>
      <c r="W367" s="16"/>
      <c r="X367" s="16"/>
      <c r="Y367" s="16"/>
      <c r="Z367" s="16"/>
      <c r="AA367" s="16"/>
      <c r="AB367" s="16"/>
      <c r="AC367" s="119">
        <f>IFERROR(__xludf.DUMMYFUNCTION("""COMPUTED_VALUE"""),100000.0)</f>
        <v>100000</v>
      </c>
      <c r="AD367" s="16"/>
      <c r="AE367" s="16"/>
      <c r="AF367" s="16" t="str">
        <f>IFERROR(__xludf.DUMMYFUNCTION("""COMPUTED_VALUE"""),"++X6 Celestial Damage. +-Cannot be duplicated.")</f>
        <v>++X6 Celestial Damage. +-Cannot be duplicated.</v>
      </c>
      <c r="AG367" s="16" t="str">
        <f>IFERROR(__xludf.DUMMYFUNCTION("""COMPUTED_VALUE"""),"Land of Spira")</f>
        <v>Land of Spira</v>
      </c>
      <c r="AH367" s="16" t="b">
        <f>IFERROR(__xludf.DUMMYFUNCTION("""COMPUTED_VALUE"""),FALSE)</f>
        <v>0</v>
      </c>
    </row>
    <row r="368">
      <c r="A368" s="16" t="str">
        <f>IFERROR(__xludf.DUMMYFUNCTION("""COMPUTED_VALUE"""),"Celestian Royal Helmet")</f>
        <v>Celestian Royal Helmet</v>
      </c>
      <c r="B368" s="16" t="str">
        <f>IFERROR(__xludf.DUMMYFUNCTION("""COMPUTED_VALUE"""),"Head")</f>
        <v>Head</v>
      </c>
      <c r="C368" s="16" t="str">
        <f>IFERROR(__xludf.DUMMYFUNCTION("""COMPUTED_VALUE"""),"Quest Item")</f>
        <v>Quest Item</v>
      </c>
      <c r="D368" s="16"/>
      <c r="E368" s="16">
        <f>IFERROR(__xludf.DUMMYFUNCTION("""COMPUTED_VALUE"""),200.0)</f>
        <v>200</v>
      </c>
      <c r="F368" s="108">
        <f>IFERROR(__xludf.DUMMYFUNCTION("""COMPUTED_VALUE"""),3.196E9)</f>
        <v>3196000000</v>
      </c>
      <c r="G368" s="16" t="str">
        <f>IFERROR(__xludf.DUMMYFUNCTION("""COMPUTED_VALUE"""),"DEF")</f>
        <v>DEF</v>
      </c>
      <c r="H368" s="119">
        <f>IFERROR(__xludf.DUMMYFUNCTION("""COMPUTED_VALUE"""),100000.0)</f>
        <v>100000</v>
      </c>
      <c r="I368" s="16"/>
      <c r="J368" s="16"/>
      <c r="K368" s="16"/>
      <c r="L368" s="16"/>
      <c r="M368" s="16"/>
      <c r="N368" s="119">
        <f>IFERROR(__xludf.DUMMYFUNCTION("""COMPUTED_VALUE"""),100000.0)</f>
        <v>100000</v>
      </c>
      <c r="O368" s="119">
        <f>IFERROR(__xludf.DUMMYFUNCTION("""COMPUTED_VALUE"""),100000.0)</f>
        <v>100000</v>
      </c>
      <c r="P368" s="16"/>
      <c r="Q368" s="16"/>
      <c r="R368" s="16"/>
      <c r="S368" s="16"/>
      <c r="T368" s="16"/>
      <c r="U368" s="16"/>
      <c r="V368" s="16"/>
      <c r="W368" s="16"/>
      <c r="X368" s="16"/>
      <c r="Y368" s="16"/>
      <c r="Z368" s="16"/>
      <c r="AA368" s="16"/>
      <c r="AB368" s="16"/>
      <c r="AC368" s="119">
        <f>IFERROR(__xludf.DUMMYFUNCTION("""COMPUTED_VALUE"""),100000.0)</f>
        <v>100000</v>
      </c>
      <c r="AD368" s="16"/>
      <c r="AE368" s="16"/>
      <c r="AF368" s="16" t="str">
        <f>IFERROR(__xludf.DUMMYFUNCTION("""COMPUTED_VALUE"""),"++X6 Celestial Damage. +-Cannot be duplicated.")</f>
        <v>++X6 Celestial Damage. +-Cannot be duplicated.</v>
      </c>
      <c r="AG368" s="16" t="str">
        <f>IFERROR(__xludf.DUMMYFUNCTION("""COMPUTED_VALUE"""),"Land of Spira")</f>
        <v>Land of Spira</v>
      </c>
      <c r="AH368" s="16" t="b">
        <f>IFERROR(__xludf.DUMMYFUNCTION("""COMPUTED_VALUE"""),FALSE)</f>
        <v>0</v>
      </c>
    </row>
    <row r="369">
      <c r="A369" s="16" t="str">
        <f>IFERROR(__xludf.DUMMYFUNCTION("""COMPUTED_VALUE"""),"Celestian Royal Chestplate")</f>
        <v>Celestian Royal Chestplate</v>
      </c>
      <c r="B369" s="16" t="str">
        <f>IFERROR(__xludf.DUMMYFUNCTION("""COMPUTED_VALUE"""),"Torso")</f>
        <v>Torso</v>
      </c>
      <c r="C369" s="16" t="str">
        <f>IFERROR(__xludf.DUMMYFUNCTION("""COMPUTED_VALUE"""),"Quest Item")</f>
        <v>Quest Item</v>
      </c>
      <c r="D369" s="16"/>
      <c r="E369" s="16">
        <f>IFERROR(__xludf.DUMMYFUNCTION("""COMPUTED_VALUE"""),200.0)</f>
        <v>200</v>
      </c>
      <c r="F369" s="108">
        <f>IFERROR(__xludf.DUMMYFUNCTION("""COMPUTED_VALUE"""),3.196E9)</f>
        <v>3196000000</v>
      </c>
      <c r="G369" s="16" t="str">
        <f>IFERROR(__xludf.DUMMYFUNCTION("""COMPUTED_VALUE"""),"DEF")</f>
        <v>DEF</v>
      </c>
      <c r="H369" s="119">
        <f>IFERROR(__xludf.DUMMYFUNCTION("""COMPUTED_VALUE"""),100000.0)</f>
        <v>100000</v>
      </c>
      <c r="I369" s="16"/>
      <c r="J369" s="16"/>
      <c r="K369" s="16"/>
      <c r="L369" s="16"/>
      <c r="M369" s="16"/>
      <c r="N369" s="119">
        <f>IFERROR(__xludf.DUMMYFUNCTION("""COMPUTED_VALUE"""),100000.0)</f>
        <v>100000</v>
      </c>
      <c r="O369" s="119">
        <f>IFERROR(__xludf.DUMMYFUNCTION("""COMPUTED_VALUE"""),100000.0)</f>
        <v>100000</v>
      </c>
      <c r="P369" s="16"/>
      <c r="Q369" s="16"/>
      <c r="R369" s="16"/>
      <c r="S369" s="16"/>
      <c r="T369" s="16"/>
      <c r="U369" s="16"/>
      <c r="V369" s="16"/>
      <c r="W369" s="16"/>
      <c r="X369" s="16"/>
      <c r="Y369" s="16"/>
      <c r="Z369" s="16"/>
      <c r="AA369" s="16"/>
      <c r="AB369" s="16"/>
      <c r="AC369" s="119">
        <f>IFERROR(__xludf.DUMMYFUNCTION("""COMPUTED_VALUE"""),100000.0)</f>
        <v>100000</v>
      </c>
      <c r="AD369" s="16"/>
      <c r="AE369" s="16"/>
      <c r="AF369" s="16" t="str">
        <f>IFERROR(__xludf.DUMMYFUNCTION("""COMPUTED_VALUE"""),"++X6 Celestial Damage. +-Cannot be duplicated.")</f>
        <v>++X6 Celestial Damage. +-Cannot be duplicated.</v>
      </c>
      <c r="AG369" s="16" t="str">
        <f>IFERROR(__xludf.DUMMYFUNCTION("""COMPUTED_VALUE"""),"Land of Spira")</f>
        <v>Land of Spira</v>
      </c>
      <c r="AH369" s="16" t="b">
        <f>IFERROR(__xludf.DUMMYFUNCTION("""COMPUTED_VALUE"""),FALSE)</f>
        <v>0</v>
      </c>
    </row>
    <row r="370">
      <c r="A370" s="16" t="str">
        <f>IFERROR(__xludf.DUMMYFUNCTION("""COMPUTED_VALUE"""),"Guard Chestplate")</f>
        <v>Guard Chestplate</v>
      </c>
      <c r="B370" s="16" t="str">
        <f>IFERROR(__xludf.DUMMYFUNCTION("""COMPUTED_VALUE"""),"Torso")</f>
        <v>Torso</v>
      </c>
      <c r="C370" s="16" t="str">
        <f>IFERROR(__xludf.DUMMYFUNCTION("""COMPUTED_VALUE"""),"Quest Item")</f>
        <v>Quest Item</v>
      </c>
      <c r="D370" s="16"/>
      <c r="E370" s="16">
        <f>IFERROR(__xludf.DUMMYFUNCTION("""COMPUTED_VALUE"""),200.0)</f>
        <v>200</v>
      </c>
      <c r="F370" s="108">
        <f>IFERROR(__xludf.DUMMYFUNCTION("""COMPUTED_VALUE"""),1.1175E8)</f>
        <v>111750000</v>
      </c>
      <c r="G370" s="16" t="str">
        <f>IFERROR(__xludf.DUMMYFUNCTION("""COMPUTED_VALUE"""),"DEF")</f>
        <v>DEF</v>
      </c>
      <c r="H370" s="119">
        <f>IFERROR(__xludf.DUMMYFUNCTION("""COMPUTED_VALUE"""),25000.0)</f>
        <v>25000</v>
      </c>
      <c r="I370" s="16"/>
      <c r="J370" s="16"/>
      <c r="K370" s="16"/>
      <c r="L370" s="16"/>
      <c r="M370" s="16"/>
      <c r="N370" s="119">
        <f>IFERROR(__xludf.DUMMYFUNCTION("""COMPUTED_VALUE"""),25000.0)</f>
        <v>25000</v>
      </c>
      <c r="O370" s="16"/>
      <c r="P370" s="16"/>
      <c r="Q370" s="16"/>
      <c r="R370" s="16"/>
      <c r="S370" s="16"/>
      <c r="T370" s="16"/>
      <c r="U370" s="16"/>
      <c r="V370" s="16"/>
      <c r="W370" s="16"/>
      <c r="X370" s="16"/>
      <c r="Y370" s="16"/>
      <c r="Z370" s="16"/>
      <c r="AA370" s="16"/>
      <c r="AB370" s="16"/>
      <c r="AC370" s="119">
        <f>IFERROR(__xludf.DUMMYFUNCTION("""COMPUTED_VALUE"""),25000.0)</f>
        <v>25000</v>
      </c>
      <c r="AD370" s="16"/>
      <c r="AE370" s="16"/>
      <c r="AF370" s="16" t="str">
        <f>IFERROR(__xludf.DUMMYFUNCTION("""COMPUTED_VALUE"""),"+-Cannot be duplicated.")</f>
        <v>+-Cannot be duplicated.</v>
      </c>
      <c r="AG370" s="16" t="str">
        <f>IFERROR(__xludf.DUMMYFUNCTION("""COMPUTED_VALUE"""),"Land of Spira")</f>
        <v>Land of Spira</v>
      </c>
      <c r="AH370" s="16" t="b">
        <f>IFERROR(__xludf.DUMMYFUNCTION("""COMPUTED_VALUE"""),FALSE)</f>
        <v>0</v>
      </c>
    </row>
    <row r="371">
      <c r="A371" s="16" t="str">
        <f>IFERROR(__xludf.DUMMYFUNCTION("""COMPUTED_VALUE"""),"Revolver")</f>
        <v>Revolver</v>
      </c>
      <c r="B371" s="16" t="str">
        <f>IFERROR(__xludf.DUMMYFUNCTION("""COMPUTED_VALUE"""),"Hand")</f>
        <v>Hand</v>
      </c>
      <c r="C371" s="16"/>
      <c r="D371" s="16" t="str">
        <f>IFERROR(__xludf.DUMMYFUNCTION("""COMPUTED_VALUE"""),"Firearm")</f>
        <v>Firearm</v>
      </c>
      <c r="E371" s="16">
        <f>IFERROR(__xludf.DUMMYFUNCTION("""COMPUTED_VALUE"""),200.0)</f>
        <v>200</v>
      </c>
      <c r="F371" s="108">
        <f>IFERROR(__xludf.DUMMYFUNCTION("""COMPUTED_VALUE"""),1900000.0)</f>
        <v>1900000</v>
      </c>
      <c r="G371" s="16" t="str">
        <f>IFERROR(__xludf.DUMMYFUNCTION("""COMPUTED_VALUE"""),"DMG")</f>
        <v>DMG</v>
      </c>
      <c r="H371" s="119">
        <f>IFERROR(__xludf.DUMMYFUNCTION("""COMPUTED_VALUE"""),5000.0)</f>
        <v>5000</v>
      </c>
      <c r="I371" s="16"/>
      <c r="J371" s="16"/>
      <c r="K371" s="16"/>
      <c r="L371" s="16"/>
      <c r="M371" s="16"/>
      <c r="N371" s="16"/>
      <c r="O371" s="16"/>
      <c r="P371" s="16"/>
      <c r="Q371" s="16"/>
      <c r="R371" s="16"/>
      <c r="S371" s="16"/>
      <c r="T371" s="16"/>
      <c r="U371" s="16"/>
      <c r="V371" s="16"/>
      <c r="W371" s="16"/>
      <c r="X371" s="16"/>
      <c r="Y371" s="16">
        <f>IFERROR(__xludf.DUMMYFUNCTION("""COMPUTED_VALUE"""),5000.0)</f>
        <v>5000</v>
      </c>
      <c r="Z371" s="16"/>
      <c r="AA371" s="16"/>
      <c r="AB371" s="16"/>
      <c r="AC371" s="16"/>
      <c r="AD371" s="16"/>
      <c r="AE371" s="16"/>
      <c r="AF371" s="16"/>
      <c r="AG371" s="16" t="str">
        <f>IFERROR(__xludf.DUMMYFUNCTION("""COMPUTED_VALUE"""),"Land of Spira")</f>
        <v>Land of Spira</v>
      </c>
      <c r="AH371" s="16" t="b">
        <f>IFERROR(__xludf.DUMMYFUNCTION("""COMPUTED_VALUE"""),FALSE)</f>
        <v>0</v>
      </c>
    </row>
    <row r="372">
      <c r="A372" s="16" t="str">
        <f>IFERROR(__xludf.DUMMYFUNCTION("""COMPUTED_VALUE"""),"Musket")</f>
        <v>Musket</v>
      </c>
      <c r="B372" s="16" t="str">
        <f>IFERROR(__xludf.DUMMYFUNCTION("""COMPUTED_VALUE"""),"Hand")</f>
        <v>Hand</v>
      </c>
      <c r="C372" s="16"/>
      <c r="D372" s="16" t="str">
        <f>IFERROR(__xludf.DUMMYFUNCTION("""COMPUTED_VALUE"""),"Firearm")</f>
        <v>Firearm</v>
      </c>
      <c r="E372" s="16">
        <f>IFERROR(__xludf.DUMMYFUNCTION("""COMPUTED_VALUE"""),400.0)</f>
        <v>400</v>
      </c>
      <c r="F372" s="108">
        <f>IFERROR(__xludf.DUMMYFUNCTION("""COMPUTED_VALUE"""),7800000.0)</f>
        <v>7800000</v>
      </c>
      <c r="G372" s="16" t="str">
        <f>IFERROR(__xludf.DUMMYFUNCTION("""COMPUTED_VALUE"""),"DMG")</f>
        <v>DMG</v>
      </c>
      <c r="H372" s="119">
        <f>IFERROR(__xludf.DUMMYFUNCTION("""COMPUTED_VALUE"""),10000.0)</f>
        <v>10000</v>
      </c>
      <c r="I372" s="16"/>
      <c r="J372" s="16"/>
      <c r="K372" s="16"/>
      <c r="L372" s="16"/>
      <c r="M372" s="16"/>
      <c r="N372" s="16"/>
      <c r="O372" s="16"/>
      <c r="P372" s="16"/>
      <c r="Q372" s="16"/>
      <c r="R372" s="16"/>
      <c r="S372" s="16"/>
      <c r="T372" s="16"/>
      <c r="U372" s="16"/>
      <c r="V372" s="16"/>
      <c r="W372" s="16"/>
      <c r="X372" s="16"/>
      <c r="Y372" s="119">
        <f>IFERROR(__xludf.DUMMYFUNCTION("""COMPUTED_VALUE"""),10000.0)</f>
        <v>10000</v>
      </c>
      <c r="Z372" s="16"/>
      <c r="AA372" s="16"/>
      <c r="AB372" s="16"/>
      <c r="AC372" s="16"/>
      <c r="AD372" s="16"/>
      <c r="AE372" s="16"/>
      <c r="AF372" s="16"/>
      <c r="AG372" s="16" t="str">
        <f>IFERROR(__xludf.DUMMYFUNCTION("""COMPUTED_VALUE"""),"Land of Spira")</f>
        <v>Land of Spira</v>
      </c>
      <c r="AH372" s="16" t="b">
        <f>IFERROR(__xludf.DUMMYFUNCTION("""COMPUTED_VALUE"""),FALSE)</f>
        <v>0</v>
      </c>
    </row>
    <row r="373">
      <c r="A373" s="16" t="str">
        <f>IFERROR(__xludf.DUMMYFUNCTION("""COMPUTED_VALUE"""),"Lazer Infused Railgun")</f>
        <v>Lazer Infused Railgun</v>
      </c>
      <c r="B373" s="16" t="str">
        <f>IFERROR(__xludf.DUMMYFUNCTION("""COMPUTED_VALUE"""),"Hand")</f>
        <v>Hand</v>
      </c>
      <c r="C373" s="16"/>
      <c r="D373" s="16" t="str">
        <f>IFERROR(__xludf.DUMMYFUNCTION("""COMPUTED_VALUE"""),"Firearm")</f>
        <v>Firearm</v>
      </c>
      <c r="E373" s="16">
        <f>IFERROR(__xludf.DUMMYFUNCTION("""COMPUTED_VALUE"""),1600.0)</f>
        <v>1600</v>
      </c>
      <c r="F373" s="108">
        <f>IFERROR(__xludf.DUMMYFUNCTION("""COMPUTED_VALUE"""),1.272E8)</f>
        <v>127200000</v>
      </c>
      <c r="G373" s="16" t="str">
        <f>IFERROR(__xludf.DUMMYFUNCTION("""COMPUTED_VALUE"""),"DMG")</f>
        <v>DMG</v>
      </c>
      <c r="H373" s="119">
        <f>IFERROR(__xludf.DUMMYFUNCTION("""COMPUTED_VALUE"""),40000.0)</f>
        <v>40000</v>
      </c>
      <c r="I373" s="16"/>
      <c r="J373" s="16"/>
      <c r="K373" s="16"/>
      <c r="L373" s="16"/>
      <c r="M373" s="16"/>
      <c r="N373" s="16"/>
      <c r="O373" s="16"/>
      <c r="P373" s="16"/>
      <c r="Q373" s="16"/>
      <c r="R373" s="16"/>
      <c r="S373" s="16"/>
      <c r="T373" s="16"/>
      <c r="U373" s="16"/>
      <c r="V373" s="16"/>
      <c r="W373" s="16"/>
      <c r="X373" s="16"/>
      <c r="Y373" s="119">
        <f>IFERROR(__xludf.DUMMYFUNCTION("""COMPUTED_VALUE"""),40000.0)</f>
        <v>40000</v>
      </c>
      <c r="Z373" s="16"/>
      <c r="AA373" s="16"/>
      <c r="AB373" s="16"/>
      <c r="AC373" s="16"/>
      <c r="AD373" s="16"/>
      <c r="AE373" s="16"/>
      <c r="AF373" s="16" t="str">
        <f>IFERROR(__xludf.DUMMYFUNCTION("""COMPUTED_VALUE"""),"++Damages all enemies, Cannot Avoid. ++Ignores defense, ++Does not need ammunition. +-Cannot be forged. ")</f>
        <v>++Damages all enemies, Cannot Avoid. ++Ignores defense, ++Does not need ammunition. +-Cannot be forged. </v>
      </c>
      <c r="AG373" s="16" t="str">
        <f>IFERROR(__xludf.DUMMYFUNCTION("""COMPUTED_VALUE"""),"Land of Spira")</f>
        <v>Land of Spira</v>
      </c>
      <c r="AH373" s="16" t="b">
        <f>IFERROR(__xludf.DUMMYFUNCTION("""COMPUTED_VALUE"""),FALSE)</f>
        <v>0</v>
      </c>
    </row>
    <row r="374">
      <c r="A374" s="16" t="str">
        <f>IFERROR(__xludf.DUMMYFUNCTION("""COMPUTED_VALUE"""),"Minigun")</f>
        <v>Minigun</v>
      </c>
      <c r="B374" s="16" t="str">
        <f>IFERROR(__xludf.DUMMYFUNCTION("""COMPUTED_VALUE"""),"Hand")</f>
        <v>Hand</v>
      </c>
      <c r="C374" s="16"/>
      <c r="D374" s="16" t="str">
        <f>IFERROR(__xludf.DUMMYFUNCTION("""COMPUTED_VALUE"""),"Firearm")</f>
        <v>Firearm</v>
      </c>
      <c r="E374" s="16">
        <f>IFERROR(__xludf.DUMMYFUNCTION("""COMPUTED_VALUE"""),1200.0)</f>
        <v>1200</v>
      </c>
      <c r="F374" s="108">
        <f>IFERROR(__xludf.DUMMYFUNCTION("""COMPUTED_VALUE"""),7.14E7)</f>
        <v>71400000</v>
      </c>
      <c r="G374" s="16" t="str">
        <f>IFERROR(__xludf.DUMMYFUNCTION("""COMPUTED_VALUE"""),"DMG")</f>
        <v>DMG</v>
      </c>
      <c r="H374" s="119">
        <f>IFERROR(__xludf.DUMMYFUNCTION("""COMPUTED_VALUE"""),30000.0)</f>
        <v>30000</v>
      </c>
      <c r="I374" s="16"/>
      <c r="J374" s="16"/>
      <c r="K374" s="16"/>
      <c r="L374" s="16"/>
      <c r="M374" s="16"/>
      <c r="N374" s="16"/>
      <c r="O374" s="16"/>
      <c r="P374" s="16"/>
      <c r="Q374" s="16"/>
      <c r="R374" s="16"/>
      <c r="S374" s="16"/>
      <c r="T374" s="16"/>
      <c r="U374" s="16"/>
      <c r="V374" s="16"/>
      <c r="W374" s="16"/>
      <c r="X374" s="16"/>
      <c r="Y374" s="119">
        <f>IFERROR(__xludf.DUMMYFUNCTION("""COMPUTED_VALUE"""),30000.0)</f>
        <v>30000</v>
      </c>
      <c r="Z374" s="16"/>
      <c r="AA374" s="16"/>
      <c r="AB374" s="16"/>
      <c r="AC374" s="16"/>
      <c r="AD374" s="16"/>
      <c r="AE374" s="16"/>
      <c r="AF374" s="16" t="str">
        <f>IFERROR(__xludf.DUMMYFUNCTION("""COMPUTED_VALUE"""),"++Damages all enemies, Cannot Avoid, Roll a d100 the turn you use this weapon to see how many bullets it shoots.")</f>
        <v>++Damages all enemies, Cannot Avoid, Roll a d100 the turn you use this weapon to see how many bullets it shoots.</v>
      </c>
      <c r="AG374" s="16" t="str">
        <f>IFERROR(__xludf.DUMMYFUNCTION("""COMPUTED_VALUE"""),"Land of Spira")</f>
        <v>Land of Spira</v>
      </c>
      <c r="AH374" s="16" t="b">
        <f>IFERROR(__xludf.DUMMYFUNCTION("""COMPUTED_VALUE"""),FALSE)</f>
        <v>0</v>
      </c>
    </row>
    <row r="375">
      <c r="A375" s="16" t="str">
        <f>IFERROR(__xludf.DUMMYFUNCTION("""COMPUTED_VALUE"""),"Seahorse’s Ring")</f>
        <v>Seahorse’s Ring</v>
      </c>
      <c r="B375" s="16" t="str">
        <f>IFERROR(__xludf.DUMMYFUNCTION("""COMPUTED_VALUE"""),"Ring")</f>
        <v>Ring</v>
      </c>
      <c r="C375" s="16"/>
      <c r="D375" s="16"/>
      <c r="E375" s="16">
        <f>IFERROR(__xludf.DUMMYFUNCTION("""COMPUTED_VALUE"""),20.0)</f>
        <v>20</v>
      </c>
      <c r="F375" s="108">
        <f>IFERROR(__xludf.DUMMYFUNCTION("""COMPUTED_VALUE"""),10000.0)</f>
        <v>10000</v>
      </c>
      <c r="G375" s="16"/>
      <c r="H375" s="16"/>
      <c r="I375" s="16"/>
      <c r="J375" s="16"/>
      <c r="K375" s="16"/>
      <c r="L375" s="16"/>
      <c r="M375" s="16"/>
      <c r="N375" s="16"/>
      <c r="O375" s="16"/>
      <c r="P375" s="16"/>
      <c r="Q375" s="16"/>
      <c r="R375" s="16"/>
      <c r="S375" s="16">
        <f>IFERROR(__xludf.DUMMYFUNCTION("""COMPUTED_VALUE"""),1000.0)</f>
        <v>1000</v>
      </c>
      <c r="T375" s="16"/>
      <c r="U375" s="16"/>
      <c r="V375" s="16"/>
      <c r="W375" s="16"/>
      <c r="X375" s="16"/>
      <c r="Y375" s="16"/>
      <c r="Z375" s="16"/>
      <c r="AA375" s="16"/>
      <c r="AB375" s="16"/>
      <c r="AC375" s="16"/>
      <c r="AD375" s="16"/>
      <c r="AE375" s="16"/>
      <c r="AF375" s="16" t="str">
        <f>IFERROR(__xludf.DUMMYFUNCTION("""COMPUTED_VALUE"""),"++When fishing you have a 5% chance to encounter a rare seahorse, and he will give you a unique item (Chosen by a DM/GM)")</f>
        <v>++When fishing you have a 5% chance to encounter a rare seahorse, and he will give you a unique item (Chosen by a DM/GM)</v>
      </c>
      <c r="AG375" s="16" t="str">
        <f>IFERROR(__xludf.DUMMYFUNCTION("""COMPUTED_VALUE"""),"Land of Spira")</f>
        <v>Land of Spira</v>
      </c>
      <c r="AH375" s="16" t="b">
        <f>IFERROR(__xludf.DUMMYFUNCTION("""COMPUTED_VALUE"""),FALSE)</f>
        <v>0</v>
      </c>
    </row>
    <row r="376">
      <c r="A376" s="16" t="str">
        <f>IFERROR(__xludf.DUMMYFUNCTION("""COMPUTED_VALUE"""),"Bamboo Vambraces")</f>
        <v>Bamboo Vambraces</v>
      </c>
      <c r="B376" s="16" t="str">
        <f>IFERROR(__xludf.DUMMYFUNCTION("""COMPUTED_VALUE"""),"Arms")</f>
        <v>Arms</v>
      </c>
      <c r="C376" s="16"/>
      <c r="D376" s="16"/>
      <c r="E376" s="16">
        <f>IFERROR(__xludf.DUMMYFUNCTION("""COMPUTED_VALUE"""),40.0)</f>
        <v>40</v>
      </c>
      <c r="F376" s="108">
        <f>IFERROR(__xludf.DUMMYFUNCTION("""COMPUTED_VALUE"""),60000.0)</f>
        <v>60000</v>
      </c>
      <c r="G376" s="16" t="str">
        <f>IFERROR(__xludf.DUMMYFUNCTION("""COMPUTED_VALUE"""),"DEF")</f>
        <v>DEF</v>
      </c>
      <c r="H376" s="16">
        <f>IFERROR(__xludf.DUMMYFUNCTION("""COMPUTED_VALUE"""),1000.0)</f>
        <v>1000</v>
      </c>
      <c r="I376" s="16"/>
      <c r="J376" s="16"/>
      <c r="K376" s="16"/>
      <c r="L376" s="16"/>
      <c r="M376" s="16"/>
      <c r="N376" s="16"/>
      <c r="O376" s="16"/>
      <c r="P376" s="16"/>
      <c r="Q376" s="16"/>
      <c r="R376" s="16"/>
      <c r="S376" s="16">
        <f>IFERROR(__xludf.DUMMYFUNCTION("""COMPUTED_VALUE"""),1000.0)</f>
        <v>1000</v>
      </c>
      <c r="T376" s="16"/>
      <c r="U376" s="16"/>
      <c r="V376" s="16"/>
      <c r="W376" s="16"/>
      <c r="X376" s="16"/>
      <c r="Y376" s="16"/>
      <c r="Z376" s="16"/>
      <c r="AA376" s="16"/>
      <c r="AB376" s="16"/>
      <c r="AC376" s="16"/>
      <c r="AD376" s="16"/>
      <c r="AE376" s="16"/>
      <c r="AF376" s="16"/>
      <c r="AG376" s="16" t="str">
        <f>IFERROR(__xludf.DUMMYFUNCTION("""COMPUTED_VALUE"""),"Land of Spira")</f>
        <v>Land of Spira</v>
      </c>
      <c r="AH376" s="16" t="b">
        <f>IFERROR(__xludf.DUMMYFUNCTION("""COMPUTED_VALUE"""),FALSE)</f>
        <v>0</v>
      </c>
    </row>
    <row r="377">
      <c r="A377" s="16" t="str">
        <f>IFERROR(__xludf.DUMMYFUNCTION("""COMPUTED_VALUE"""),"Bamboo Pauldrons")</f>
        <v>Bamboo Pauldrons</v>
      </c>
      <c r="B377" s="16" t="str">
        <f>IFERROR(__xludf.DUMMYFUNCTION("""COMPUTED_VALUE"""),"Shoulders")</f>
        <v>Shoulders</v>
      </c>
      <c r="C377" s="16"/>
      <c r="D377" s="16"/>
      <c r="E377" s="16">
        <f>IFERROR(__xludf.DUMMYFUNCTION("""COMPUTED_VALUE"""),40.0)</f>
        <v>40</v>
      </c>
      <c r="F377" s="108">
        <f>IFERROR(__xludf.DUMMYFUNCTION("""COMPUTED_VALUE"""),60000.0)</f>
        <v>60000</v>
      </c>
      <c r="G377" s="16" t="str">
        <f>IFERROR(__xludf.DUMMYFUNCTION("""COMPUTED_VALUE"""),"DEF")</f>
        <v>DEF</v>
      </c>
      <c r="H377" s="16">
        <f>IFERROR(__xludf.DUMMYFUNCTION("""COMPUTED_VALUE"""),1000.0)</f>
        <v>1000</v>
      </c>
      <c r="I377" s="16"/>
      <c r="J377" s="16"/>
      <c r="K377" s="16"/>
      <c r="L377" s="16"/>
      <c r="M377" s="16"/>
      <c r="N377" s="16"/>
      <c r="O377" s="16"/>
      <c r="P377" s="16"/>
      <c r="Q377" s="16"/>
      <c r="R377" s="16"/>
      <c r="S377" s="16">
        <f>IFERROR(__xludf.DUMMYFUNCTION("""COMPUTED_VALUE"""),1000.0)</f>
        <v>1000</v>
      </c>
      <c r="T377" s="16"/>
      <c r="U377" s="16"/>
      <c r="V377" s="16"/>
      <c r="W377" s="16"/>
      <c r="X377" s="16"/>
      <c r="Y377" s="16"/>
      <c r="Z377" s="16"/>
      <c r="AA377" s="16"/>
      <c r="AB377" s="16"/>
      <c r="AC377" s="16"/>
      <c r="AD377" s="16"/>
      <c r="AE377" s="16"/>
      <c r="AF377" s="16"/>
      <c r="AG377" s="16" t="str">
        <f>IFERROR(__xludf.DUMMYFUNCTION("""COMPUTED_VALUE"""),"Land of Spira")</f>
        <v>Land of Spira</v>
      </c>
      <c r="AH377" s="16" t="b">
        <f>IFERROR(__xludf.DUMMYFUNCTION("""COMPUTED_VALUE"""),FALSE)</f>
        <v>0</v>
      </c>
    </row>
    <row r="378">
      <c r="A378" s="16" t="str">
        <f>IFERROR(__xludf.DUMMYFUNCTION("""COMPUTED_VALUE"""),"Bamboo Chestplate")</f>
        <v>Bamboo Chestplate</v>
      </c>
      <c r="B378" s="16" t="str">
        <f>IFERROR(__xludf.DUMMYFUNCTION("""COMPUTED_VALUE"""),"Torso")</f>
        <v>Torso</v>
      </c>
      <c r="C378" s="16"/>
      <c r="D378" s="16"/>
      <c r="E378" s="16">
        <f>IFERROR(__xludf.DUMMYFUNCTION("""COMPUTED_VALUE"""),40.0)</f>
        <v>40</v>
      </c>
      <c r="F378" s="108">
        <f>IFERROR(__xludf.DUMMYFUNCTION("""COMPUTED_VALUE"""),60000.0)</f>
        <v>60000</v>
      </c>
      <c r="G378" s="16" t="str">
        <f>IFERROR(__xludf.DUMMYFUNCTION("""COMPUTED_VALUE"""),"DEF")</f>
        <v>DEF</v>
      </c>
      <c r="H378" s="16">
        <f>IFERROR(__xludf.DUMMYFUNCTION("""COMPUTED_VALUE"""),1000.0)</f>
        <v>1000</v>
      </c>
      <c r="I378" s="16"/>
      <c r="J378" s="16"/>
      <c r="K378" s="16"/>
      <c r="L378" s="16"/>
      <c r="M378" s="16"/>
      <c r="N378" s="16"/>
      <c r="O378" s="16"/>
      <c r="P378" s="16"/>
      <c r="Q378" s="16"/>
      <c r="R378" s="16"/>
      <c r="S378" s="16">
        <f>IFERROR(__xludf.DUMMYFUNCTION("""COMPUTED_VALUE"""),1000.0)</f>
        <v>1000</v>
      </c>
      <c r="T378" s="16"/>
      <c r="U378" s="16"/>
      <c r="V378" s="16"/>
      <c r="W378" s="16"/>
      <c r="X378" s="16"/>
      <c r="Y378" s="16"/>
      <c r="Z378" s="16"/>
      <c r="AA378" s="16"/>
      <c r="AB378" s="16"/>
      <c r="AC378" s="16"/>
      <c r="AD378" s="16"/>
      <c r="AE378" s="16"/>
      <c r="AF378" s="16"/>
      <c r="AG378" s="16" t="str">
        <f>IFERROR(__xludf.DUMMYFUNCTION("""COMPUTED_VALUE"""),"Land of Spira")</f>
        <v>Land of Spira</v>
      </c>
      <c r="AH378" s="16" t="b">
        <f>IFERROR(__xludf.DUMMYFUNCTION("""COMPUTED_VALUE"""),FALSE)</f>
        <v>0</v>
      </c>
    </row>
    <row r="379">
      <c r="A379" s="16" t="str">
        <f>IFERROR(__xludf.DUMMYFUNCTION("""COMPUTED_VALUE"""),"Bamboo Greaves")</f>
        <v>Bamboo Greaves</v>
      </c>
      <c r="B379" s="16" t="str">
        <f>IFERROR(__xludf.DUMMYFUNCTION("""COMPUTED_VALUE"""),"Legs")</f>
        <v>Legs</v>
      </c>
      <c r="C379" s="16"/>
      <c r="D379" s="16"/>
      <c r="E379" s="16">
        <f>IFERROR(__xludf.DUMMYFUNCTION("""COMPUTED_VALUE"""),40.0)</f>
        <v>40</v>
      </c>
      <c r="F379" s="108">
        <f>IFERROR(__xludf.DUMMYFUNCTION("""COMPUTED_VALUE"""),60000.0)</f>
        <v>60000</v>
      </c>
      <c r="G379" s="16" t="str">
        <f>IFERROR(__xludf.DUMMYFUNCTION("""COMPUTED_VALUE"""),"DEF")</f>
        <v>DEF</v>
      </c>
      <c r="H379" s="16">
        <f>IFERROR(__xludf.DUMMYFUNCTION("""COMPUTED_VALUE"""),1000.0)</f>
        <v>1000</v>
      </c>
      <c r="I379" s="16"/>
      <c r="J379" s="16"/>
      <c r="K379" s="16"/>
      <c r="L379" s="16"/>
      <c r="M379" s="16"/>
      <c r="N379" s="16"/>
      <c r="O379" s="16"/>
      <c r="P379" s="16"/>
      <c r="Q379" s="16"/>
      <c r="R379" s="16"/>
      <c r="S379" s="16">
        <f>IFERROR(__xludf.DUMMYFUNCTION("""COMPUTED_VALUE"""),1000.0)</f>
        <v>1000</v>
      </c>
      <c r="T379" s="16"/>
      <c r="U379" s="16"/>
      <c r="V379" s="16"/>
      <c r="W379" s="16"/>
      <c r="X379" s="16"/>
      <c r="Y379" s="16"/>
      <c r="Z379" s="16"/>
      <c r="AA379" s="16"/>
      <c r="AB379" s="16"/>
      <c r="AC379" s="16"/>
      <c r="AD379" s="16"/>
      <c r="AE379" s="16"/>
      <c r="AF379" s="16"/>
      <c r="AG379" s="16" t="str">
        <f>IFERROR(__xludf.DUMMYFUNCTION("""COMPUTED_VALUE"""),"Land of Spira")</f>
        <v>Land of Spira</v>
      </c>
      <c r="AH379" s="16" t="b">
        <f>IFERROR(__xludf.DUMMYFUNCTION("""COMPUTED_VALUE"""),FALSE)</f>
        <v>0</v>
      </c>
    </row>
    <row r="380">
      <c r="A380" s="16" t="str">
        <f>IFERROR(__xludf.DUMMYFUNCTION("""COMPUTED_VALUE"""),"Strengthened Bamboo Sword")</f>
        <v>Strengthened Bamboo Sword</v>
      </c>
      <c r="B380" s="16" t="str">
        <f>IFERROR(__xludf.DUMMYFUNCTION("""COMPUTED_VALUE"""),"Hand")</f>
        <v>Hand</v>
      </c>
      <c r="C380" s="16"/>
      <c r="D380" s="16" t="str">
        <f>IFERROR(__xludf.DUMMYFUNCTION("""COMPUTED_VALUE"""),"Sword")</f>
        <v>Sword</v>
      </c>
      <c r="E380" s="16">
        <f>IFERROR(__xludf.DUMMYFUNCTION("""COMPUTED_VALUE"""),40.0)</f>
        <v>40</v>
      </c>
      <c r="F380" s="108">
        <f>IFERROR(__xludf.DUMMYFUNCTION("""COMPUTED_VALUE"""),60000.0)</f>
        <v>60000</v>
      </c>
      <c r="G380" s="16" t="str">
        <f>IFERROR(__xludf.DUMMYFUNCTION("""COMPUTED_VALUE"""),"DMG")</f>
        <v>DMG</v>
      </c>
      <c r="H380" s="16">
        <f>IFERROR(__xludf.DUMMYFUNCTION("""COMPUTED_VALUE"""),1000.0)</f>
        <v>1000</v>
      </c>
      <c r="I380" s="16"/>
      <c r="J380" s="16"/>
      <c r="K380" s="16"/>
      <c r="L380" s="16"/>
      <c r="M380" s="16"/>
      <c r="N380" s="16"/>
      <c r="O380" s="16"/>
      <c r="P380" s="16"/>
      <c r="Q380" s="16"/>
      <c r="R380" s="16"/>
      <c r="S380" s="16">
        <f>IFERROR(__xludf.DUMMYFUNCTION("""COMPUTED_VALUE"""),1000.0)</f>
        <v>1000</v>
      </c>
      <c r="T380" s="16"/>
      <c r="U380" s="16"/>
      <c r="V380" s="16"/>
      <c r="W380" s="16"/>
      <c r="X380" s="16"/>
      <c r="Y380" s="16"/>
      <c r="Z380" s="16"/>
      <c r="AA380" s="16"/>
      <c r="AB380" s="16"/>
      <c r="AC380" s="16"/>
      <c r="AD380" s="16"/>
      <c r="AE380" s="16"/>
      <c r="AF380" s="16" t="str">
        <f>IFERROR(__xludf.DUMMYFUNCTION("""COMPUTED_VALUE"""),"++X4 damage for this weapon if the battle is in a Forest or Jungle.")</f>
        <v>++X4 damage for this weapon if the battle is in a Forest or Jungle.</v>
      </c>
      <c r="AG380" s="16" t="str">
        <f>IFERROR(__xludf.DUMMYFUNCTION("""COMPUTED_VALUE"""),"Land of Spira")</f>
        <v>Land of Spira</v>
      </c>
      <c r="AH380" s="16" t="b">
        <f>IFERROR(__xludf.DUMMYFUNCTION("""COMPUTED_VALUE"""),FALSE)</f>
        <v>0</v>
      </c>
    </row>
    <row r="381">
      <c r="A381" s="16" t="str">
        <f>IFERROR(__xludf.DUMMYFUNCTION("""COMPUTED_VALUE"""),"Bamboo Sandals")</f>
        <v>Bamboo Sandals</v>
      </c>
      <c r="B381" s="16" t="str">
        <f>IFERROR(__xludf.DUMMYFUNCTION("""COMPUTED_VALUE"""),"Feet")</f>
        <v>Feet</v>
      </c>
      <c r="C381" s="16"/>
      <c r="D381" s="16"/>
      <c r="E381" s="16">
        <f>IFERROR(__xludf.DUMMYFUNCTION("""COMPUTED_VALUE"""),40.0)</f>
        <v>40</v>
      </c>
      <c r="F381" s="108">
        <f>IFERROR(__xludf.DUMMYFUNCTION("""COMPUTED_VALUE"""),60000.0)</f>
        <v>60000</v>
      </c>
      <c r="G381" s="16" t="str">
        <f>IFERROR(__xludf.DUMMYFUNCTION("""COMPUTED_VALUE"""),"DEF")</f>
        <v>DEF</v>
      </c>
      <c r="H381" s="16">
        <f>IFERROR(__xludf.DUMMYFUNCTION("""COMPUTED_VALUE"""),1000.0)</f>
        <v>1000</v>
      </c>
      <c r="I381" s="16"/>
      <c r="J381" s="16"/>
      <c r="K381" s="16"/>
      <c r="L381" s="16"/>
      <c r="M381" s="16"/>
      <c r="N381" s="16"/>
      <c r="O381" s="16"/>
      <c r="P381" s="16"/>
      <c r="Q381" s="16"/>
      <c r="R381" s="16"/>
      <c r="S381" s="16">
        <f>IFERROR(__xludf.DUMMYFUNCTION("""COMPUTED_VALUE"""),1000.0)</f>
        <v>1000</v>
      </c>
      <c r="T381" s="16"/>
      <c r="U381" s="16"/>
      <c r="V381" s="16"/>
      <c r="W381" s="16"/>
      <c r="X381" s="16"/>
      <c r="Y381" s="16"/>
      <c r="Z381" s="16"/>
      <c r="AA381" s="16"/>
      <c r="AB381" s="16"/>
      <c r="AC381" s="16"/>
      <c r="AD381" s="16"/>
      <c r="AE381" s="16"/>
      <c r="AF381" s="16"/>
      <c r="AG381" s="16" t="str">
        <f>IFERROR(__xludf.DUMMYFUNCTION("""COMPUTED_VALUE"""),"Land of Spira")</f>
        <v>Land of Spira</v>
      </c>
      <c r="AH381" s="16" t="b">
        <f>IFERROR(__xludf.DUMMYFUNCTION("""COMPUTED_VALUE"""),FALSE)</f>
        <v>0</v>
      </c>
    </row>
    <row r="382">
      <c r="A382" s="16" t="str">
        <f>IFERROR(__xludf.DUMMYFUNCTION("""COMPUTED_VALUE"""),"Greaves of Foul Night")</f>
        <v>Greaves of Foul Night</v>
      </c>
      <c r="B382" s="16" t="str">
        <f>IFERROR(__xludf.DUMMYFUNCTION("""COMPUTED_VALUE"""),"Legs")</f>
        <v>Legs</v>
      </c>
      <c r="C382" s="16"/>
      <c r="D382" s="16"/>
      <c r="E382" s="16">
        <f>IFERROR(__xludf.DUMMYFUNCTION("""COMPUTED_VALUE"""),200.0)</f>
        <v>200</v>
      </c>
      <c r="F382" s="108">
        <f>IFERROR(__xludf.DUMMYFUNCTION("""COMPUTED_VALUE"""),1900000.0)</f>
        <v>1900000</v>
      </c>
      <c r="G382" s="16" t="str">
        <f>IFERROR(__xludf.DUMMYFUNCTION("""COMPUTED_VALUE"""),"DEF")</f>
        <v>DEF</v>
      </c>
      <c r="H382" s="16">
        <f>IFERROR(__xludf.DUMMYFUNCTION("""COMPUTED_VALUE"""),5000.0)</f>
        <v>5000</v>
      </c>
      <c r="I382" s="16"/>
      <c r="J382" s="16"/>
      <c r="K382" s="16"/>
      <c r="L382" s="16"/>
      <c r="M382" s="16"/>
      <c r="N382" s="16"/>
      <c r="O382" s="16"/>
      <c r="P382" s="16"/>
      <c r="Q382" s="16"/>
      <c r="R382" s="16"/>
      <c r="S382" s="16">
        <f>IFERROR(__xludf.DUMMYFUNCTION("""COMPUTED_VALUE"""),5000.0)</f>
        <v>5000</v>
      </c>
      <c r="T382" s="16"/>
      <c r="U382" s="16"/>
      <c r="V382" s="16"/>
      <c r="W382" s="16"/>
      <c r="X382" s="16"/>
      <c r="Y382" s="16"/>
      <c r="Z382" s="16"/>
      <c r="AA382" s="16"/>
      <c r="AB382" s="16"/>
      <c r="AC382" s="16"/>
      <c r="AD382" s="16"/>
      <c r="AE382" s="16"/>
      <c r="AF382" s="16" t="str">
        <f>IFERROR(__xludf.DUMMYFUNCTION("""COMPUTED_VALUE"""),"(Foul Night Set) ++X2 Nature and Poison damage, Poison Immunity.")</f>
        <v>(Foul Night Set) ++X2 Nature and Poison damage, Poison Immunity.</v>
      </c>
      <c r="AG382" s="16" t="str">
        <f>IFERROR(__xludf.DUMMYFUNCTION("""COMPUTED_VALUE"""),"Land of Spira")</f>
        <v>Land of Spira</v>
      </c>
      <c r="AH382" s="16" t="b">
        <f>IFERROR(__xludf.DUMMYFUNCTION("""COMPUTED_VALUE"""),FALSE)</f>
        <v>0</v>
      </c>
    </row>
    <row r="383">
      <c r="A383" s="16" t="str">
        <f>IFERROR(__xludf.DUMMYFUNCTION("""COMPUTED_VALUE"""),"Vambraces of Foul Night")</f>
        <v>Vambraces of Foul Night</v>
      </c>
      <c r="B383" s="16" t="str">
        <f>IFERROR(__xludf.DUMMYFUNCTION("""COMPUTED_VALUE"""),"Arms")</f>
        <v>Arms</v>
      </c>
      <c r="C383" s="16"/>
      <c r="D383" s="16"/>
      <c r="E383" s="16">
        <f>IFERROR(__xludf.DUMMYFUNCTION("""COMPUTED_VALUE"""),200.0)</f>
        <v>200</v>
      </c>
      <c r="F383" s="108">
        <f>IFERROR(__xludf.DUMMYFUNCTION("""COMPUTED_VALUE"""),1900000.0)</f>
        <v>1900000</v>
      </c>
      <c r="G383" s="16" t="str">
        <f>IFERROR(__xludf.DUMMYFUNCTION("""COMPUTED_VALUE"""),"DEF")</f>
        <v>DEF</v>
      </c>
      <c r="H383" s="16">
        <f>IFERROR(__xludf.DUMMYFUNCTION("""COMPUTED_VALUE"""),5000.0)</f>
        <v>5000</v>
      </c>
      <c r="I383" s="16"/>
      <c r="J383" s="16"/>
      <c r="K383" s="16"/>
      <c r="L383" s="16"/>
      <c r="M383" s="16"/>
      <c r="N383" s="16"/>
      <c r="O383" s="16">
        <f>IFERROR(__xludf.DUMMYFUNCTION("""COMPUTED_VALUE"""),5000.0)</f>
        <v>5000</v>
      </c>
      <c r="P383" s="16"/>
      <c r="Q383" s="16"/>
      <c r="R383" s="16"/>
      <c r="S383" s="16"/>
      <c r="T383" s="16"/>
      <c r="U383" s="16"/>
      <c r="V383" s="16"/>
      <c r="W383" s="16"/>
      <c r="X383" s="16"/>
      <c r="Y383" s="16"/>
      <c r="Z383" s="16"/>
      <c r="AA383" s="16"/>
      <c r="AB383" s="16"/>
      <c r="AC383" s="16"/>
      <c r="AD383" s="16"/>
      <c r="AE383" s="16"/>
      <c r="AF383" s="16" t="str">
        <f>IFERROR(__xludf.DUMMYFUNCTION("""COMPUTED_VALUE"""),"(Foul Night Set) ++X2 Dark and Poison damage, Poison Immunity.")</f>
        <v>(Foul Night Set) ++X2 Dark and Poison damage, Poison Immunity.</v>
      </c>
      <c r="AG383" s="16" t="str">
        <f>IFERROR(__xludf.DUMMYFUNCTION("""COMPUTED_VALUE"""),"Land of Spira")</f>
        <v>Land of Spira</v>
      </c>
      <c r="AH383" s="16" t="b">
        <f>IFERROR(__xludf.DUMMYFUNCTION("""COMPUTED_VALUE"""),FALSE)</f>
        <v>0</v>
      </c>
    </row>
    <row r="384">
      <c r="A384" s="16" t="str">
        <f>IFERROR(__xludf.DUMMYFUNCTION("""COMPUTED_VALUE"""),"Boots of Foul Night")</f>
        <v>Boots of Foul Night</v>
      </c>
      <c r="B384" s="16" t="str">
        <f>IFERROR(__xludf.DUMMYFUNCTION("""COMPUTED_VALUE"""),"Feet")</f>
        <v>Feet</v>
      </c>
      <c r="C384" s="16"/>
      <c r="D384" s="16"/>
      <c r="E384" s="16">
        <f>IFERROR(__xludf.DUMMYFUNCTION("""COMPUTED_VALUE"""),200.0)</f>
        <v>200</v>
      </c>
      <c r="F384" s="108">
        <f>IFERROR(__xludf.DUMMYFUNCTION("""COMPUTED_VALUE"""),1900000.0)</f>
        <v>1900000</v>
      </c>
      <c r="G384" s="16" t="str">
        <f>IFERROR(__xludf.DUMMYFUNCTION("""COMPUTED_VALUE"""),"DEF")</f>
        <v>DEF</v>
      </c>
      <c r="H384" s="16">
        <f>IFERROR(__xludf.DUMMYFUNCTION("""COMPUTED_VALUE"""),5000.0)</f>
        <v>5000</v>
      </c>
      <c r="I384" s="16"/>
      <c r="J384" s="16"/>
      <c r="K384" s="16"/>
      <c r="L384" s="16"/>
      <c r="M384" s="16"/>
      <c r="N384" s="16"/>
      <c r="O384" s="16">
        <f>IFERROR(__xludf.DUMMYFUNCTION("""COMPUTED_VALUE"""),5000.0)</f>
        <v>5000</v>
      </c>
      <c r="P384" s="16"/>
      <c r="Q384" s="16"/>
      <c r="R384" s="16"/>
      <c r="S384" s="16"/>
      <c r="T384" s="16"/>
      <c r="U384" s="16"/>
      <c r="V384" s="16"/>
      <c r="W384" s="16"/>
      <c r="X384" s="16"/>
      <c r="Y384" s="16"/>
      <c r="Z384" s="16"/>
      <c r="AA384" s="16"/>
      <c r="AB384" s="16"/>
      <c r="AC384" s="16"/>
      <c r="AD384" s="16"/>
      <c r="AE384" s="16"/>
      <c r="AF384" s="16" t="str">
        <f>IFERROR(__xludf.DUMMYFUNCTION("""COMPUTED_VALUE"""),"(Foul Night Set) ++X2 Dark and Poison damage, Poison Immunity.")</f>
        <v>(Foul Night Set) ++X2 Dark and Poison damage, Poison Immunity.</v>
      </c>
      <c r="AG384" s="16" t="str">
        <f>IFERROR(__xludf.DUMMYFUNCTION("""COMPUTED_VALUE"""),"Land of Spira")</f>
        <v>Land of Spira</v>
      </c>
      <c r="AH384" s="16" t="b">
        <f>IFERROR(__xludf.DUMMYFUNCTION("""COMPUTED_VALUE"""),FALSE)</f>
        <v>0</v>
      </c>
    </row>
    <row r="385">
      <c r="A385" s="16" t="str">
        <f>IFERROR(__xludf.DUMMYFUNCTION("""COMPUTED_VALUE"""),"Pauldrons of Foul Night")</f>
        <v>Pauldrons of Foul Night</v>
      </c>
      <c r="B385" s="16" t="str">
        <f>IFERROR(__xludf.DUMMYFUNCTION("""COMPUTED_VALUE"""),"Shoulders")</f>
        <v>Shoulders</v>
      </c>
      <c r="C385" s="16"/>
      <c r="D385" s="16"/>
      <c r="E385" s="16">
        <f>IFERROR(__xludf.DUMMYFUNCTION("""COMPUTED_VALUE"""),200.0)</f>
        <v>200</v>
      </c>
      <c r="F385" s="108">
        <f>IFERROR(__xludf.DUMMYFUNCTION("""COMPUTED_VALUE"""),1900000.0)</f>
        <v>1900000</v>
      </c>
      <c r="G385" s="16" t="str">
        <f>IFERROR(__xludf.DUMMYFUNCTION("""COMPUTED_VALUE"""),"DEF")</f>
        <v>DEF</v>
      </c>
      <c r="H385" s="16">
        <f>IFERROR(__xludf.DUMMYFUNCTION("""COMPUTED_VALUE"""),5000.0)</f>
        <v>5000</v>
      </c>
      <c r="I385" s="16"/>
      <c r="J385" s="16"/>
      <c r="K385" s="16"/>
      <c r="L385" s="16"/>
      <c r="M385" s="16"/>
      <c r="N385" s="16"/>
      <c r="O385" s="16">
        <f>IFERROR(__xludf.DUMMYFUNCTION("""COMPUTED_VALUE"""),5000.0)</f>
        <v>5000</v>
      </c>
      <c r="P385" s="16"/>
      <c r="Q385" s="16"/>
      <c r="R385" s="16"/>
      <c r="S385" s="16"/>
      <c r="T385" s="16"/>
      <c r="U385" s="16"/>
      <c r="V385" s="16"/>
      <c r="W385" s="16"/>
      <c r="X385" s="16"/>
      <c r="Y385" s="16"/>
      <c r="Z385" s="16"/>
      <c r="AA385" s="16"/>
      <c r="AB385" s="16"/>
      <c r="AC385" s="16"/>
      <c r="AD385" s="16"/>
      <c r="AE385" s="16"/>
      <c r="AF385" s="16" t="str">
        <f>IFERROR(__xludf.DUMMYFUNCTION("""COMPUTED_VALUE"""),"(Foul Night Set) ++X2 Dark and Poison damage, Poison Immunity.")</f>
        <v>(Foul Night Set) ++X2 Dark and Poison damage, Poison Immunity.</v>
      </c>
      <c r="AG385" s="16" t="str">
        <f>IFERROR(__xludf.DUMMYFUNCTION("""COMPUTED_VALUE"""),"Land of Spira")</f>
        <v>Land of Spira</v>
      </c>
      <c r="AH385" s="16" t="b">
        <f>IFERROR(__xludf.DUMMYFUNCTION("""COMPUTED_VALUE"""),FALSE)</f>
        <v>0</v>
      </c>
    </row>
    <row r="386">
      <c r="A386" s="16" t="str">
        <f>IFERROR(__xludf.DUMMYFUNCTION("""COMPUTED_VALUE"""),"Crystal Forged Pauldrons")</f>
        <v>Crystal Forged Pauldrons</v>
      </c>
      <c r="B386" s="16" t="str">
        <f>IFERROR(__xludf.DUMMYFUNCTION("""COMPUTED_VALUE"""),"Shoulders")</f>
        <v>Shoulders</v>
      </c>
      <c r="C386" s="16"/>
      <c r="D386" s="16"/>
      <c r="E386" s="16">
        <f>IFERROR(__xludf.DUMMYFUNCTION("""COMPUTED_VALUE"""),200.0)</f>
        <v>200</v>
      </c>
      <c r="F386" s="108">
        <f>IFERROR(__xludf.DUMMYFUNCTION("""COMPUTED_VALUE"""),1900000.0)</f>
        <v>1900000</v>
      </c>
      <c r="G386" s="16" t="str">
        <f>IFERROR(__xludf.DUMMYFUNCTION("""COMPUTED_VALUE"""),"DEF")</f>
        <v>DEF</v>
      </c>
      <c r="H386" s="16">
        <f>IFERROR(__xludf.DUMMYFUNCTION("""COMPUTED_VALUE"""),5000.0)</f>
        <v>5000</v>
      </c>
      <c r="I386" s="16"/>
      <c r="J386" s="16"/>
      <c r="K386" s="16"/>
      <c r="L386" s="16"/>
      <c r="M386" s="16">
        <f>IFERROR(__xludf.DUMMYFUNCTION("""COMPUTED_VALUE"""),5000.0)</f>
        <v>5000</v>
      </c>
      <c r="N386" s="16"/>
      <c r="O386" s="16"/>
      <c r="P386" s="16"/>
      <c r="Q386" s="16"/>
      <c r="R386" s="16"/>
      <c r="S386" s="16"/>
      <c r="T386" s="16"/>
      <c r="U386" s="16"/>
      <c r="V386" s="16"/>
      <c r="W386" s="16"/>
      <c r="X386" s="16"/>
      <c r="Y386" s="16"/>
      <c r="Z386" s="16"/>
      <c r="AA386" s="16"/>
      <c r="AB386" s="16"/>
      <c r="AC386" s="16"/>
      <c r="AD386" s="16"/>
      <c r="AE386" s="16"/>
      <c r="AF386" s="16" t="str">
        <f>IFERROR(__xludf.DUMMYFUNCTION("""COMPUTED_VALUE"""),"++When equipped, Gem and Crystal related weapons deal an additional X2 damage for the user.")</f>
        <v>++When equipped, Gem and Crystal related weapons deal an additional X2 damage for the user.</v>
      </c>
      <c r="AG386" s="16" t="str">
        <f>IFERROR(__xludf.DUMMYFUNCTION("""COMPUTED_VALUE"""),"Land of Spira")</f>
        <v>Land of Spira</v>
      </c>
      <c r="AH386" s="16" t="b">
        <f>IFERROR(__xludf.DUMMYFUNCTION("""COMPUTED_VALUE"""),FALSE)</f>
        <v>0</v>
      </c>
    </row>
    <row r="387">
      <c r="A387" s="16" t="str">
        <f>IFERROR(__xludf.DUMMYFUNCTION("""COMPUTED_VALUE"""),"Crystal Forged Greaves")</f>
        <v>Crystal Forged Greaves</v>
      </c>
      <c r="B387" s="16" t="str">
        <f>IFERROR(__xludf.DUMMYFUNCTION("""COMPUTED_VALUE"""),"Legs")</f>
        <v>Legs</v>
      </c>
      <c r="C387" s="16"/>
      <c r="D387" s="16"/>
      <c r="E387" s="16">
        <f>IFERROR(__xludf.DUMMYFUNCTION("""COMPUTED_VALUE"""),200.0)</f>
        <v>200</v>
      </c>
      <c r="F387" s="108">
        <f>IFERROR(__xludf.DUMMYFUNCTION("""COMPUTED_VALUE"""),1900000.0)</f>
        <v>1900000</v>
      </c>
      <c r="G387" s="16" t="str">
        <f>IFERROR(__xludf.DUMMYFUNCTION("""COMPUTED_VALUE"""),"DEF")</f>
        <v>DEF</v>
      </c>
      <c r="H387" s="16">
        <f>IFERROR(__xludf.DUMMYFUNCTION("""COMPUTED_VALUE"""),5000.0)</f>
        <v>5000</v>
      </c>
      <c r="I387" s="16"/>
      <c r="J387" s="16"/>
      <c r="K387" s="16"/>
      <c r="L387" s="16"/>
      <c r="M387" s="16">
        <f>IFERROR(__xludf.DUMMYFUNCTION("""COMPUTED_VALUE"""),5000.0)</f>
        <v>5000</v>
      </c>
      <c r="N387" s="16"/>
      <c r="O387" s="16"/>
      <c r="P387" s="16"/>
      <c r="Q387" s="16"/>
      <c r="R387" s="16"/>
      <c r="S387" s="16"/>
      <c r="T387" s="16"/>
      <c r="U387" s="16"/>
      <c r="V387" s="16"/>
      <c r="W387" s="16"/>
      <c r="X387" s="16"/>
      <c r="Y387" s="16"/>
      <c r="Z387" s="16"/>
      <c r="AA387" s="16"/>
      <c r="AB387" s="16"/>
      <c r="AC387" s="16"/>
      <c r="AD387" s="16"/>
      <c r="AE387" s="16"/>
      <c r="AF387" s="16" t="str">
        <f>IFERROR(__xludf.DUMMYFUNCTION("""COMPUTED_VALUE"""),"++When equipped, Gem and Crystal related weapons deal an additional X2 damage for the user.")</f>
        <v>++When equipped, Gem and Crystal related weapons deal an additional X2 damage for the user.</v>
      </c>
      <c r="AG387" s="16" t="str">
        <f>IFERROR(__xludf.DUMMYFUNCTION("""COMPUTED_VALUE"""),"Land of Spira")</f>
        <v>Land of Spira</v>
      </c>
      <c r="AH387" s="16" t="b">
        <f>IFERROR(__xludf.DUMMYFUNCTION("""COMPUTED_VALUE"""),FALSE)</f>
        <v>0</v>
      </c>
    </row>
    <row r="388">
      <c r="A388" s="16" t="str">
        <f>IFERROR(__xludf.DUMMYFUNCTION("""COMPUTED_VALUE"""),"Crystal Forged Boots")</f>
        <v>Crystal Forged Boots</v>
      </c>
      <c r="B388" s="16" t="str">
        <f>IFERROR(__xludf.DUMMYFUNCTION("""COMPUTED_VALUE"""),"Feet")</f>
        <v>Feet</v>
      </c>
      <c r="C388" s="16"/>
      <c r="D388" s="16"/>
      <c r="E388" s="16">
        <f>IFERROR(__xludf.DUMMYFUNCTION("""COMPUTED_VALUE"""),200.0)</f>
        <v>200</v>
      </c>
      <c r="F388" s="108">
        <f>IFERROR(__xludf.DUMMYFUNCTION("""COMPUTED_VALUE"""),1900000.0)</f>
        <v>1900000</v>
      </c>
      <c r="G388" s="16" t="str">
        <f>IFERROR(__xludf.DUMMYFUNCTION("""COMPUTED_VALUE"""),"DEF")</f>
        <v>DEF</v>
      </c>
      <c r="H388" s="16">
        <f>IFERROR(__xludf.DUMMYFUNCTION("""COMPUTED_VALUE"""),5000.0)</f>
        <v>5000</v>
      </c>
      <c r="I388" s="16"/>
      <c r="J388" s="16"/>
      <c r="K388" s="16"/>
      <c r="L388" s="16"/>
      <c r="M388" s="16">
        <f>IFERROR(__xludf.DUMMYFUNCTION("""COMPUTED_VALUE"""),5000.0)</f>
        <v>5000</v>
      </c>
      <c r="N388" s="16"/>
      <c r="O388" s="16"/>
      <c r="P388" s="16"/>
      <c r="Q388" s="16"/>
      <c r="R388" s="16"/>
      <c r="S388" s="16"/>
      <c r="T388" s="16"/>
      <c r="U388" s="16"/>
      <c r="V388" s="16"/>
      <c r="W388" s="16"/>
      <c r="X388" s="16"/>
      <c r="Y388" s="16"/>
      <c r="Z388" s="16"/>
      <c r="AA388" s="16"/>
      <c r="AB388" s="16"/>
      <c r="AC388" s="16"/>
      <c r="AD388" s="16"/>
      <c r="AE388" s="16"/>
      <c r="AF388" s="16" t="str">
        <f>IFERROR(__xludf.DUMMYFUNCTION("""COMPUTED_VALUE"""),"++When equipped, Gem and Crystal related weapons deal an additional X2 damage for the user.")</f>
        <v>++When equipped, Gem and Crystal related weapons deal an additional X2 damage for the user.</v>
      </c>
      <c r="AG388" s="16" t="str">
        <f>IFERROR(__xludf.DUMMYFUNCTION("""COMPUTED_VALUE"""),"Land of Spira")</f>
        <v>Land of Spira</v>
      </c>
      <c r="AH388" s="16" t="b">
        <f>IFERROR(__xludf.DUMMYFUNCTION("""COMPUTED_VALUE"""),FALSE)</f>
        <v>0</v>
      </c>
    </row>
    <row r="389">
      <c r="A389" s="16" t="str">
        <f>IFERROR(__xludf.DUMMYFUNCTION("""COMPUTED_VALUE"""),"Crystal Forged Vambraces")</f>
        <v>Crystal Forged Vambraces</v>
      </c>
      <c r="B389" s="16" t="str">
        <f>IFERROR(__xludf.DUMMYFUNCTION("""COMPUTED_VALUE"""),"Arms")</f>
        <v>Arms</v>
      </c>
      <c r="C389" s="16"/>
      <c r="D389" s="16"/>
      <c r="E389" s="16">
        <f>IFERROR(__xludf.DUMMYFUNCTION("""COMPUTED_VALUE"""),200.0)</f>
        <v>200</v>
      </c>
      <c r="F389" s="108">
        <f>IFERROR(__xludf.DUMMYFUNCTION("""COMPUTED_VALUE"""),1900000.0)</f>
        <v>1900000</v>
      </c>
      <c r="G389" s="16" t="str">
        <f>IFERROR(__xludf.DUMMYFUNCTION("""COMPUTED_VALUE"""),"DEF")</f>
        <v>DEF</v>
      </c>
      <c r="H389" s="16">
        <f>IFERROR(__xludf.DUMMYFUNCTION("""COMPUTED_VALUE"""),5000.0)</f>
        <v>5000</v>
      </c>
      <c r="I389" s="16"/>
      <c r="J389" s="16"/>
      <c r="K389" s="16"/>
      <c r="L389" s="16"/>
      <c r="M389" s="16">
        <f>IFERROR(__xludf.DUMMYFUNCTION("""COMPUTED_VALUE"""),5000.0)</f>
        <v>5000</v>
      </c>
      <c r="N389" s="16"/>
      <c r="O389" s="16"/>
      <c r="P389" s="16"/>
      <c r="Q389" s="16"/>
      <c r="R389" s="16"/>
      <c r="S389" s="16"/>
      <c r="T389" s="16"/>
      <c r="U389" s="16"/>
      <c r="V389" s="16"/>
      <c r="W389" s="16"/>
      <c r="X389" s="16"/>
      <c r="Y389" s="16"/>
      <c r="Z389" s="16"/>
      <c r="AA389" s="16"/>
      <c r="AB389" s="16"/>
      <c r="AC389" s="16"/>
      <c r="AD389" s="16"/>
      <c r="AE389" s="16"/>
      <c r="AF389" s="16" t="str">
        <f>IFERROR(__xludf.DUMMYFUNCTION("""COMPUTED_VALUE"""),"++When equipped, Gem and Crystal related weapons deal an additional X2 damage for the user.")</f>
        <v>++When equipped, Gem and Crystal related weapons deal an additional X2 damage for the user.</v>
      </c>
      <c r="AG389" s="16" t="str">
        <f>IFERROR(__xludf.DUMMYFUNCTION("""COMPUTED_VALUE"""),"Land of Spira")</f>
        <v>Land of Spira</v>
      </c>
      <c r="AH389" s="16" t="b">
        <f>IFERROR(__xludf.DUMMYFUNCTION("""COMPUTED_VALUE"""),FALSE)</f>
        <v>0</v>
      </c>
    </row>
    <row r="390">
      <c r="A390" s="16" t="str">
        <f>IFERROR(__xludf.DUMMYFUNCTION("""COMPUTED_VALUE"""),"Fiddle")</f>
        <v>Fiddle</v>
      </c>
      <c r="B390" s="16" t="str">
        <f>IFERROR(__xludf.DUMMYFUNCTION("""COMPUTED_VALUE"""),"Hand")</f>
        <v>Hand</v>
      </c>
      <c r="C390" s="16"/>
      <c r="D390" s="16" t="str">
        <f>IFERROR(__xludf.DUMMYFUNCTION("""COMPUTED_VALUE"""),"Instrument")</f>
        <v>Instrument</v>
      </c>
      <c r="E390" s="16">
        <f>IFERROR(__xludf.DUMMYFUNCTION("""COMPUTED_VALUE"""),40.0)</f>
        <v>40</v>
      </c>
      <c r="F390" s="108">
        <f>IFERROR(__xludf.DUMMYFUNCTION("""COMPUTED_VALUE"""),60000.0)</f>
        <v>60000</v>
      </c>
      <c r="G390" s="16" t="str">
        <f>IFERROR(__xludf.DUMMYFUNCTION("""COMPUTED_VALUE"""),"DMG")</f>
        <v>DMG</v>
      </c>
      <c r="H390" s="16">
        <f>IFERROR(__xludf.DUMMYFUNCTION("""COMPUTED_VALUE"""),2000.0)</f>
        <v>2000</v>
      </c>
      <c r="I390" s="16"/>
      <c r="J390" s="16"/>
      <c r="K390" s="16"/>
      <c r="L390" s="16"/>
      <c r="M390" s="16"/>
      <c r="N390" s="16"/>
      <c r="O390" s="16"/>
      <c r="P390" s="16"/>
      <c r="Q390" s="16"/>
      <c r="R390" s="16"/>
      <c r="S390" s="16"/>
      <c r="T390" s="16"/>
      <c r="U390" s="16"/>
      <c r="V390" s="16"/>
      <c r="W390" s="16"/>
      <c r="X390" s="16"/>
      <c r="Y390" s="16"/>
      <c r="Z390" s="16"/>
      <c r="AA390" s="16"/>
      <c r="AB390" s="16"/>
      <c r="AC390" s="16"/>
      <c r="AD390" s="16"/>
      <c r="AE390" s="16"/>
      <c r="AF390" s="16"/>
      <c r="AG390" s="16" t="str">
        <f>IFERROR(__xludf.DUMMYFUNCTION("""COMPUTED_VALUE"""),"Land of Spira")</f>
        <v>Land of Spira</v>
      </c>
      <c r="AH390" s="16" t="b">
        <f>IFERROR(__xludf.DUMMYFUNCTION("""COMPUTED_VALUE"""),FALSE)</f>
        <v>0</v>
      </c>
    </row>
    <row r="391">
      <c r="A391" s="16" t="str">
        <f>IFERROR(__xludf.DUMMYFUNCTION("""COMPUTED_VALUE"""),"WyvernTail Blade")</f>
        <v>WyvernTail Blade</v>
      </c>
      <c r="B391" s="16" t="str">
        <f>IFERROR(__xludf.DUMMYFUNCTION("""COMPUTED_VALUE"""),"Hand")</f>
        <v>Hand</v>
      </c>
      <c r="C391" s="16"/>
      <c r="D391" s="16" t="str">
        <f>IFERROR(__xludf.DUMMYFUNCTION("""COMPUTED_VALUE"""),"Sword")</f>
        <v>Sword</v>
      </c>
      <c r="E391" s="16">
        <f>IFERROR(__xludf.DUMMYFUNCTION("""COMPUTED_VALUE"""),200.0)</f>
        <v>200</v>
      </c>
      <c r="F391" s="108">
        <f>IFERROR(__xludf.DUMMYFUNCTION("""COMPUTED_VALUE"""),1900000.0)</f>
        <v>1900000</v>
      </c>
      <c r="G391" s="16" t="str">
        <f>IFERROR(__xludf.DUMMYFUNCTION("""COMPUTED_VALUE"""),"DMG")</f>
        <v>DMG</v>
      </c>
      <c r="H391" s="16">
        <f>IFERROR(__xludf.DUMMYFUNCTION("""COMPUTED_VALUE"""),5000.0)</f>
        <v>5000</v>
      </c>
      <c r="I391" s="16"/>
      <c r="J391" s="16"/>
      <c r="K391" s="16">
        <f>IFERROR(__xludf.DUMMYFUNCTION("""COMPUTED_VALUE"""),5000.0)</f>
        <v>5000</v>
      </c>
      <c r="L391" s="16"/>
      <c r="M391" s="16"/>
      <c r="N391" s="16"/>
      <c r="O391" s="16"/>
      <c r="P391" s="16"/>
      <c r="Q391" s="16"/>
      <c r="R391" s="16"/>
      <c r="S391" s="16"/>
      <c r="T391" s="16"/>
      <c r="U391" s="16"/>
      <c r="V391" s="16"/>
      <c r="W391" s="16"/>
      <c r="X391" s="16"/>
      <c r="Y391" s="16"/>
      <c r="Z391" s="16"/>
      <c r="AA391" s="16"/>
      <c r="AB391" s="16"/>
      <c r="AC391" s="16"/>
      <c r="AD391" s="16"/>
      <c r="AE391" s="16"/>
      <c r="AF391" s="16" t="str">
        <f>IFERROR(__xludf.DUMMYFUNCTION("""COMPUTED_VALUE"""),"(Wyverntail Set) ++50% Chance to freeze the target being attacked by this weapon.")</f>
        <v>(Wyverntail Set) ++50% Chance to freeze the target being attacked by this weapon.</v>
      </c>
      <c r="AG391" s="16" t="str">
        <f>IFERROR(__xludf.DUMMYFUNCTION("""COMPUTED_VALUE"""),"Dragonscale Island")</f>
        <v>Dragonscale Island</v>
      </c>
      <c r="AH391" s="16" t="b">
        <f>IFERROR(__xludf.DUMMYFUNCTION("""COMPUTED_VALUE"""),TRUE)</f>
        <v>1</v>
      </c>
    </row>
    <row r="392">
      <c r="A392" s="16" t="str">
        <f>IFERROR(__xludf.DUMMYFUNCTION("""COMPUTED_VALUE"""),"WyvernTail Helm")</f>
        <v>WyvernTail Helm</v>
      </c>
      <c r="B392" s="16" t="str">
        <f>IFERROR(__xludf.DUMMYFUNCTION("""COMPUTED_VALUE"""),"Head")</f>
        <v>Head</v>
      </c>
      <c r="C392" s="16"/>
      <c r="D392" s="16"/>
      <c r="E392" s="16">
        <f>IFERROR(__xludf.DUMMYFUNCTION("""COMPUTED_VALUE"""),200.0)</f>
        <v>200</v>
      </c>
      <c r="F392" s="108">
        <f>IFERROR(__xludf.DUMMYFUNCTION("""COMPUTED_VALUE"""),1900000.0)</f>
        <v>1900000</v>
      </c>
      <c r="G392" s="16" t="str">
        <f>IFERROR(__xludf.DUMMYFUNCTION("""COMPUTED_VALUE"""),"DEF")</f>
        <v>DEF</v>
      </c>
      <c r="H392" s="16">
        <f>IFERROR(__xludf.DUMMYFUNCTION("""COMPUTED_VALUE"""),10000.0)</f>
        <v>10000</v>
      </c>
      <c r="I392" s="16"/>
      <c r="J392" s="16"/>
      <c r="K392" s="16"/>
      <c r="L392" s="16"/>
      <c r="M392" s="16"/>
      <c r="N392" s="16"/>
      <c r="O392" s="16"/>
      <c r="P392" s="16"/>
      <c r="Q392" s="16"/>
      <c r="R392" s="16"/>
      <c r="S392" s="16"/>
      <c r="T392" s="16"/>
      <c r="U392" s="16"/>
      <c r="V392" s="16"/>
      <c r="W392" s="16"/>
      <c r="X392" s="16"/>
      <c r="Y392" s="16"/>
      <c r="Z392" s="16"/>
      <c r="AA392" s="16"/>
      <c r="AB392" s="16"/>
      <c r="AC392" s="16"/>
      <c r="AD392" s="16"/>
      <c r="AE392" s="16"/>
      <c r="AF392" s="16" t="str">
        <f>IFERROR(__xludf.DUMMYFUNCTION("""COMPUTED_VALUE"""),"(Wyverntail Set) ++Freeze Immunity")</f>
        <v>(Wyverntail Set) ++Freeze Immunity</v>
      </c>
      <c r="AG392" s="16" t="str">
        <f>IFERROR(__xludf.DUMMYFUNCTION("""COMPUTED_VALUE"""),"Dragonscale Island")</f>
        <v>Dragonscale Island</v>
      </c>
      <c r="AH392" s="16" t="b">
        <f>IFERROR(__xludf.DUMMYFUNCTION("""COMPUTED_VALUE"""),TRUE)</f>
        <v>1</v>
      </c>
    </row>
    <row r="393">
      <c r="A393" s="16" t="str">
        <f>IFERROR(__xludf.DUMMYFUNCTION("""COMPUTED_VALUE"""),"WyvernTail Pauldrons")</f>
        <v>WyvernTail Pauldrons</v>
      </c>
      <c r="B393" s="16" t="str">
        <f>IFERROR(__xludf.DUMMYFUNCTION("""COMPUTED_VALUE"""),"Shoulders")</f>
        <v>Shoulders</v>
      </c>
      <c r="C393" s="16"/>
      <c r="D393" s="16"/>
      <c r="E393" s="16">
        <f>IFERROR(__xludf.DUMMYFUNCTION("""COMPUTED_VALUE"""),200.0)</f>
        <v>200</v>
      </c>
      <c r="F393" s="108">
        <f>IFERROR(__xludf.DUMMYFUNCTION("""COMPUTED_VALUE"""),1900000.0)</f>
        <v>1900000</v>
      </c>
      <c r="G393" s="16" t="str">
        <f>IFERROR(__xludf.DUMMYFUNCTION("""COMPUTED_VALUE"""),"DEF")</f>
        <v>DEF</v>
      </c>
      <c r="H393" s="16">
        <f>IFERROR(__xludf.DUMMYFUNCTION("""COMPUTED_VALUE"""),10000.0)</f>
        <v>10000</v>
      </c>
      <c r="I393" s="16"/>
      <c r="J393" s="16"/>
      <c r="K393" s="16"/>
      <c r="L393" s="16"/>
      <c r="M393" s="16"/>
      <c r="N393" s="16"/>
      <c r="O393" s="16"/>
      <c r="P393" s="16"/>
      <c r="Q393" s="16"/>
      <c r="R393" s="16"/>
      <c r="S393" s="16"/>
      <c r="T393" s="16"/>
      <c r="U393" s="16"/>
      <c r="V393" s="16"/>
      <c r="W393" s="16"/>
      <c r="X393" s="16"/>
      <c r="Y393" s="16"/>
      <c r="Z393" s="16"/>
      <c r="AA393" s="16"/>
      <c r="AB393" s="16"/>
      <c r="AC393" s="16"/>
      <c r="AD393" s="16"/>
      <c r="AE393" s="16"/>
      <c r="AF393" s="16" t="str">
        <f>IFERROR(__xludf.DUMMYFUNCTION("""COMPUTED_VALUE"""),"(Wyverntail Set) ++Freeze Immunity")</f>
        <v>(Wyverntail Set) ++Freeze Immunity</v>
      </c>
      <c r="AG393" s="16" t="str">
        <f>IFERROR(__xludf.DUMMYFUNCTION("""COMPUTED_VALUE"""),"Dragonscale Island")</f>
        <v>Dragonscale Island</v>
      </c>
      <c r="AH393" s="16" t="b">
        <f>IFERROR(__xludf.DUMMYFUNCTION("""COMPUTED_VALUE"""),TRUE)</f>
        <v>1</v>
      </c>
    </row>
    <row r="394">
      <c r="A394" s="16" t="str">
        <f>IFERROR(__xludf.DUMMYFUNCTION("""COMPUTED_VALUE"""),"WyvernTail Chestplate")</f>
        <v>WyvernTail Chestplate</v>
      </c>
      <c r="B394" s="16" t="str">
        <f>IFERROR(__xludf.DUMMYFUNCTION("""COMPUTED_VALUE"""),"Torso")</f>
        <v>Torso</v>
      </c>
      <c r="C394" s="16"/>
      <c r="D394" s="16"/>
      <c r="E394" s="16">
        <f>IFERROR(__xludf.DUMMYFUNCTION("""COMPUTED_VALUE"""),200.0)</f>
        <v>200</v>
      </c>
      <c r="F394" s="108">
        <f>IFERROR(__xludf.DUMMYFUNCTION("""COMPUTED_VALUE"""),1900000.0)</f>
        <v>1900000</v>
      </c>
      <c r="G394" s="16" t="str">
        <f>IFERROR(__xludf.DUMMYFUNCTION("""COMPUTED_VALUE"""),"DEF")</f>
        <v>DEF</v>
      </c>
      <c r="H394" s="16">
        <f>IFERROR(__xludf.DUMMYFUNCTION("""COMPUTED_VALUE"""),10000.0)</f>
        <v>10000</v>
      </c>
      <c r="I394" s="16"/>
      <c r="J394" s="16"/>
      <c r="K394" s="16"/>
      <c r="L394" s="16"/>
      <c r="M394" s="16"/>
      <c r="N394" s="16"/>
      <c r="O394" s="16"/>
      <c r="P394" s="16"/>
      <c r="Q394" s="16"/>
      <c r="R394" s="16"/>
      <c r="S394" s="16"/>
      <c r="T394" s="16"/>
      <c r="U394" s="16"/>
      <c r="V394" s="16"/>
      <c r="W394" s="16"/>
      <c r="X394" s="16"/>
      <c r="Y394" s="16"/>
      <c r="Z394" s="16"/>
      <c r="AA394" s="16"/>
      <c r="AB394" s="16"/>
      <c r="AC394" s="16"/>
      <c r="AD394" s="16"/>
      <c r="AE394" s="16"/>
      <c r="AF394" s="16" t="str">
        <f>IFERROR(__xludf.DUMMYFUNCTION("""COMPUTED_VALUE"""),"(Wyverntail Set) ++Freeze Immunity")</f>
        <v>(Wyverntail Set) ++Freeze Immunity</v>
      </c>
      <c r="AG394" s="16" t="str">
        <f>IFERROR(__xludf.DUMMYFUNCTION("""COMPUTED_VALUE"""),"Dragonscale Island")</f>
        <v>Dragonscale Island</v>
      </c>
      <c r="AH394" s="16" t="b">
        <f>IFERROR(__xludf.DUMMYFUNCTION("""COMPUTED_VALUE"""),TRUE)</f>
        <v>1</v>
      </c>
    </row>
    <row r="395">
      <c r="A395" s="16" t="str">
        <f>IFERROR(__xludf.DUMMYFUNCTION("""COMPUTED_VALUE"""),"WyvernTail Vambraces")</f>
        <v>WyvernTail Vambraces</v>
      </c>
      <c r="B395" s="16" t="str">
        <f>IFERROR(__xludf.DUMMYFUNCTION("""COMPUTED_VALUE"""),"Arms")</f>
        <v>Arms</v>
      </c>
      <c r="C395" s="16"/>
      <c r="D395" s="16"/>
      <c r="E395" s="16">
        <f>IFERROR(__xludf.DUMMYFUNCTION("""COMPUTED_VALUE"""),200.0)</f>
        <v>200</v>
      </c>
      <c r="F395" s="108">
        <f>IFERROR(__xludf.DUMMYFUNCTION("""COMPUTED_VALUE"""),1900000.0)</f>
        <v>1900000</v>
      </c>
      <c r="G395" s="16" t="str">
        <f>IFERROR(__xludf.DUMMYFUNCTION("""COMPUTED_VALUE"""),"DEF")</f>
        <v>DEF</v>
      </c>
      <c r="H395" s="16">
        <f>IFERROR(__xludf.DUMMYFUNCTION("""COMPUTED_VALUE"""),10000.0)</f>
        <v>10000</v>
      </c>
      <c r="I395" s="16"/>
      <c r="J395" s="16"/>
      <c r="K395" s="16"/>
      <c r="L395" s="16"/>
      <c r="M395" s="16"/>
      <c r="N395" s="16"/>
      <c r="O395" s="16"/>
      <c r="P395" s="16"/>
      <c r="Q395" s="16"/>
      <c r="R395" s="16"/>
      <c r="S395" s="16"/>
      <c r="T395" s="16"/>
      <c r="U395" s="16"/>
      <c r="V395" s="16"/>
      <c r="W395" s="16"/>
      <c r="X395" s="16"/>
      <c r="Y395" s="16"/>
      <c r="Z395" s="16"/>
      <c r="AA395" s="16"/>
      <c r="AB395" s="16"/>
      <c r="AC395" s="16"/>
      <c r="AD395" s="16"/>
      <c r="AE395" s="16"/>
      <c r="AF395" s="16" t="str">
        <f>IFERROR(__xludf.DUMMYFUNCTION("""COMPUTED_VALUE"""),"(Wyverntail Set) ++Freeze Immunity")</f>
        <v>(Wyverntail Set) ++Freeze Immunity</v>
      </c>
      <c r="AG395" s="16" t="str">
        <f>IFERROR(__xludf.DUMMYFUNCTION("""COMPUTED_VALUE"""),"Dragonscale Island")</f>
        <v>Dragonscale Island</v>
      </c>
      <c r="AH395" s="16" t="b">
        <f>IFERROR(__xludf.DUMMYFUNCTION("""COMPUTED_VALUE"""),TRUE)</f>
        <v>1</v>
      </c>
    </row>
    <row r="396">
      <c r="A396" s="16" t="str">
        <f>IFERROR(__xludf.DUMMYFUNCTION("""COMPUTED_VALUE"""),"WyvernTail Greaves")</f>
        <v>WyvernTail Greaves</v>
      </c>
      <c r="B396" s="16" t="str">
        <f>IFERROR(__xludf.DUMMYFUNCTION("""COMPUTED_VALUE"""),"Legs")</f>
        <v>Legs</v>
      </c>
      <c r="C396" s="16"/>
      <c r="D396" s="16"/>
      <c r="E396" s="16">
        <f>IFERROR(__xludf.DUMMYFUNCTION("""COMPUTED_VALUE"""),200.0)</f>
        <v>200</v>
      </c>
      <c r="F396" s="108">
        <f>IFERROR(__xludf.DUMMYFUNCTION("""COMPUTED_VALUE"""),1900000.0)</f>
        <v>1900000</v>
      </c>
      <c r="G396" s="16" t="str">
        <f>IFERROR(__xludf.DUMMYFUNCTION("""COMPUTED_VALUE"""),"DEF")</f>
        <v>DEF</v>
      </c>
      <c r="H396" s="16">
        <f>IFERROR(__xludf.DUMMYFUNCTION("""COMPUTED_VALUE"""),10000.0)</f>
        <v>10000</v>
      </c>
      <c r="I396" s="16"/>
      <c r="J396" s="16"/>
      <c r="K396" s="16"/>
      <c r="L396" s="16"/>
      <c r="M396" s="16"/>
      <c r="N396" s="16"/>
      <c r="O396" s="16"/>
      <c r="P396" s="16"/>
      <c r="Q396" s="16"/>
      <c r="R396" s="16"/>
      <c r="S396" s="16"/>
      <c r="T396" s="16"/>
      <c r="U396" s="16"/>
      <c r="V396" s="16"/>
      <c r="W396" s="16"/>
      <c r="X396" s="16"/>
      <c r="Y396" s="16"/>
      <c r="Z396" s="16"/>
      <c r="AA396" s="16"/>
      <c r="AB396" s="16"/>
      <c r="AC396" s="16"/>
      <c r="AD396" s="16"/>
      <c r="AE396" s="16"/>
      <c r="AF396" s="16" t="str">
        <f>IFERROR(__xludf.DUMMYFUNCTION("""COMPUTED_VALUE"""),"(Wyverntail Set) ++Freeze Immunity")</f>
        <v>(Wyverntail Set) ++Freeze Immunity</v>
      </c>
      <c r="AG396" s="16" t="str">
        <f>IFERROR(__xludf.DUMMYFUNCTION("""COMPUTED_VALUE"""),"Dragonscale Island")</f>
        <v>Dragonscale Island</v>
      </c>
      <c r="AH396" s="16" t="b">
        <f>IFERROR(__xludf.DUMMYFUNCTION("""COMPUTED_VALUE"""),TRUE)</f>
        <v>1</v>
      </c>
    </row>
    <row r="397">
      <c r="A397" s="16" t="str">
        <f>IFERROR(__xludf.DUMMYFUNCTION("""COMPUTED_VALUE"""),"WyvernTail Boots")</f>
        <v>WyvernTail Boots</v>
      </c>
      <c r="B397" s="16" t="str">
        <f>IFERROR(__xludf.DUMMYFUNCTION("""COMPUTED_VALUE"""),"Feet")</f>
        <v>Feet</v>
      </c>
      <c r="C397" s="16"/>
      <c r="D397" s="16"/>
      <c r="E397" s="16">
        <f>IFERROR(__xludf.DUMMYFUNCTION("""COMPUTED_VALUE"""),200.0)</f>
        <v>200</v>
      </c>
      <c r="F397" s="108">
        <f>IFERROR(__xludf.DUMMYFUNCTION("""COMPUTED_VALUE"""),1900000.0)</f>
        <v>1900000</v>
      </c>
      <c r="G397" s="16" t="str">
        <f>IFERROR(__xludf.DUMMYFUNCTION("""COMPUTED_VALUE"""),"DEF")</f>
        <v>DEF</v>
      </c>
      <c r="H397" s="16">
        <f>IFERROR(__xludf.DUMMYFUNCTION("""COMPUTED_VALUE"""),10000.0)</f>
        <v>10000</v>
      </c>
      <c r="I397" s="16"/>
      <c r="J397" s="16"/>
      <c r="K397" s="16"/>
      <c r="L397" s="16"/>
      <c r="M397" s="16"/>
      <c r="N397" s="16"/>
      <c r="O397" s="16"/>
      <c r="P397" s="16"/>
      <c r="Q397" s="16"/>
      <c r="R397" s="16"/>
      <c r="S397" s="16"/>
      <c r="T397" s="16"/>
      <c r="U397" s="16"/>
      <c r="V397" s="16"/>
      <c r="W397" s="16"/>
      <c r="X397" s="16"/>
      <c r="Y397" s="16"/>
      <c r="Z397" s="16"/>
      <c r="AA397" s="16"/>
      <c r="AB397" s="16"/>
      <c r="AC397" s="16"/>
      <c r="AD397" s="16"/>
      <c r="AE397" s="16"/>
      <c r="AF397" s="16" t="str">
        <f>IFERROR(__xludf.DUMMYFUNCTION("""COMPUTED_VALUE"""),"(Wyverntail Set) ++Freeze Immunity")</f>
        <v>(Wyverntail Set) ++Freeze Immunity</v>
      </c>
      <c r="AG397" s="16" t="str">
        <f>IFERROR(__xludf.DUMMYFUNCTION("""COMPUTED_VALUE"""),"Dragonscale Island")</f>
        <v>Dragonscale Island</v>
      </c>
      <c r="AH397" s="16" t="b">
        <f>IFERROR(__xludf.DUMMYFUNCTION("""COMPUTED_VALUE"""),TRUE)</f>
        <v>1</v>
      </c>
    </row>
    <row r="398">
      <c r="A398" s="16" t="str">
        <f>IFERROR(__xludf.DUMMYFUNCTION("""COMPUTED_VALUE"""),"WyvernTail Pendent")</f>
        <v>WyvernTail Pendent</v>
      </c>
      <c r="B398" s="16" t="str">
        <f>IFERROR(__xludf.DUMMYFUNCTION("""COMPUTED_VALUE"""),"Neck")</f>
        <v>Neck</v>
      </c>
      <c r="C398" s="16"/>
      <c r="D398" s="16"/>
      <c r="E398" s="16">
        <f>IFERROR(__xludf.DUMMYFUNCTION("""COMPUTED_VALUE"""),1.0)</f>
        <v>1</v>
      </c>
      <c r="F398" s="108">
        <f>IFERROR(__xludf.DUMMYFUNCTION("""COMPUTED_VALUE"""),0.0)</f>
        <v>0</v>
      </c>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t="str">
        <f>IFERROR(__xludf.DUMMYFUNCTION("""COMPUTED_VALUE"""),"(Wyverntail Set) ++When you are attacked, the enemy that attacked you has a 25% Chance to Freeze.")</f>
        <v>(Wyverntail Set) ++When you are attacked, the enemy that attacked you has a 25% Chance to Freeze.</v>
      </c>
      <c r="AG398" s="16" t="str">
        <f>IFERROR(__xludf.DUMMYFUNCTION("""COMPUTED_VALUE"""),"Dragonscale Island")</f>
        <v>Dragonscale Island</v>
      </c>
      <c r="AH398" s="16" t="b">
        <f>IFERROR(__xludf.DUMMYFUNCTION("""COMPUTED_VALUE"""),FALSE)</f>
        <v>0</v>
      </c>
    </row>
    <row r="399">
      <c r="A399" s="16" t="str">
        <f>IFERROR(__xludf.DUMMYFUNCTION("""COMPUTED_VALUE"""),"WyvernTail Ring")</f>
        <v>WyvernTail Ring</v>
      </c>
      <c r="B399" s="16" t="str">
        <f>IFERROR(__xludf.DUMMYFUNCTION("""COMPUTED_VALUE"""),"Ring")</f>
        <v>Ring</v>
      </c>
      <c r="C399" s="16"/>
      <c r="D399" s="16"/>
      <c r="E399" s="16">
        <f>IFERROR(__xludf.DUMMYFUNCTION("""COMPUTED_VALUE"""),1.0)</f>
        <v>1</v>
      </c>
      <c r="F399" s="108">
        <f>IFERROR(__xludf.DUMMYFUNCTION("""COMPUTED_VALUE"""),0.0)</f>
        <v>0</v>
      </c>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t="str">
        <f>IFERROR(__xludf.DUMMYFUNCTION("""COMPUTED_VALUE"""),"(Wyverntail Set) ++When you are attacked, the enemy that attacked you has a 25% Chance to Freeze. ")</f>
        <v>(Wyverntail Set) ++When you are attacked, the enemy that attacked you has a 25% Chance to Freeze. </v>
      </c>
      <c r="AG399" s="16" t="str">
        <f>IFERROR(__xludf.DUMMYFUNCTION("""COMPUTED_VALUE"""),"Dragonscale Island")</f>
        <v>Dragonscale Island</v>
      </c>
      <c r="AH399" s="16" t="b">
        <f>IFERROR(__xludf.DUMMYFUNCTION("""COMPUTED_VALUE"""),FALSE)</f>
        <v>0</v>
      </c>
    </row>
    <row r="400">
      <c r="A400" s="16" t="str">
        <f>IFERROR(__xludf.DUMMYFUNCTION("""COMPUTED_VALUE"""),"Sweltering Blade")</f>
        <v>Sweltering Blade</v>
      </c>
      <c r="B400" s="16" t="str">
        <f>IFERROR(__xludf.DUMMYFUNCTION("""COMPUTED_VALUE"""),"Hand")</f>
        <v>Hand</v>
      </c>
      <c r="C400" s="16"/>
      <c r="D400" s="16" t="str">
        <f>IFERROR(__xludf.DUMMYFUNCTION("""COMPUTED_VALUE"""),"Sword")</f>
        <v>Sword</v>
      </c>
      <c r="E400" s="16">
        <f>IFERROR(__xludf.DUMMYFUNCTION("""COMPUTED_VALUE"""),400.0)</f>
        <v>400</v>
      </c>
      <c r="F400" s="108">
        <f>IFERROR(__xludf.DUMMYFUNCTION("""COMPUTED_VALUE"""),7800000.0)</f>
        <v>7800000</v>
      </c>
      <c r="G400" s="16" t="str">
        <f>IFERROR(__xludf.DUMMYFUNCTION("""COMPUTED_VALUE"""),"DMG")</f>
        <v>DMG</v>
      </c>
      <c r="H400" s="16">
        <f>IFERROR(__xludf.DUMMYFUNCTION("""COMPUTED_VALUE"""),5000.0)</f>
        <v>5000</v>
      </c>
      <c r="I400" s="16">
        <f>IFERROR(__xludf.DUMMYFUNCTION("""COMPUTED_VALUE"""),5000.0)</f>
        <v>5000</v>
      </c>
      <c r="J400" s="16"/>
      <c r="K400" s="16">
        <f>IFERROR(__xludf.DUMMYFUNCTION("""COMPUTED_VALUE"""),5000.0)</f>
        <v>5000</v>
      </c>
      <c r="L400" s="16"/>
      <c r="M400" s="16"/>
      <c r="N400" s="16"/>
      <c r="O400" s="16"/>
      <c r="P400" s="16"/>
      <c r="Q400" s="16"/>
      <c r="R400" s="16"/>
      <c r="S400" s="16">
        <f>IFERROR(__xludf.DUMMYFUNCTION("""COMPUTED_VALUE"""),5000.0)</f>
        <v>5000</v>
      </c>
      <c r="T400" s="16"/>
      <c r="U400" s="16"/>
      <c r="V400" s="16"/>
      <c r="W400" s="16"/>
      <c r="X400" s="16"/>
      <c r="Y400" s="16"/>
      <c r="Z400" s="16"/>
      <c r="AA400" s="16"/>
      <c r="AB400" s="16"/>
      <c r="AC400" s="16"/>
      <c r="AD400" s="16"/>
      <c r="AE400" s="16"/>
      <c r="AF400" s="16" t="str">
        <f>IFERROR(__xludf.DUMMYFUNCTION("""COMPUTED_VALUE"""),"(Sweltering Set) ++X2 Nature, Water, and Fire Damage.")</f>
        <v>(Sweltering Set) ++X2 Nature, Water, and Fire Damage.</v>
      </c>
      <c r="AG400" s="16" t="str">
        <f>IFERROR(__xludf.DUMMYFUNCTION("""COMPUTED_VALUE"""),"Dragonscale Island")</f>
        <v>Dragonscale Island</v>
      </c>
      <c r="AH400" s="16" t="b">
        <f>IFERROR(__xludf.DUMMYFUNCTION("""COMPUTED_VALUE"""),TRUE)</f>
        <v>1</v>
      </c>
    </row>
    <row r="401">
      <c r="A401" s="16" t="str">
        <f>IFERROR(__xludf.DUMMYFUNCTION("""COMPUTED_VALUE"""),"Sweltering Helm")</f>
        <v>Sweltering Helm</v>
      </c>
      <c r="B401" s="16" t="str">
        <f>IFERROR(__xludf.DUMMYFUNCTION("""COMPUTED_VALUE"""),"Head")</f>
        <v>Head</v>
      </c>
      <c r="C401" s="16"/>
      <c r="D401" s="16"/>
      <c r="E401" s="16">
        <f>IFERROR(__xludf.DUMMYFUNCTION("""COMPUTED_VALUE"""),400.0)</f>
        <v>400</v>
      </c>
      <c r="F401" s="108">
        <f>IFERROR(__xludf.DUMMYFUNCTION("""COMPUTED_VALUE"""),7800000.0)</f>
        <v>7800000</v>
      </c>
      <c r="G401" s="16" t="str">
        <f>IFERROR(__xludf.DUMMYFUNCTION("""COMPUTED_VALUE"""),"DEF")</f>
        <v>DEF</v>
      </c>
      <c r="H401" s="16">
        <f>IFERROR(__xludf.DUMMYFUNCTION("""COMPUTED_VALUE"""),5000.0)</f>
        <v>5000</v>
      </c>
      <c r="I401" s="16">
        <f>IFERROR(__xludf.DUMMYFUNCTION("""COMPUTED_VALUE"""),5000.0)</f>
        <v>5000</v>
      </c>
      <c r="J401" s="16"/>
      <c r="K401" s="16">
        <f>IFERROR(__xludf.DUMMYFUNCTION("""COMPUTED_VALUE"""),5000.0)</f>
        <v>5000</v>
      </c>
      <c r="L401" s="16"/>
      <c r="M401" s="16"/>
      <c r="N401" s="16"/>
      <c r="O401" s="16"/>
      <c r="P401" s="16"/>
      <c r="Q401" s="16"/>
      <c r="R401" s="16"/>
      <c r="S401" s="16">
        <f>IFERROR(__xludf.DUMMYFUNCTION("""COMPUTED_VALUE"""),5000.0)</f>
        <v>5000</v>
      </c>
      <c r="T401" s="16"/>
      <c r="U401" s="16"/>
      <c r="V401" s="16"/>
      <c r="W401" s="16"/>
      <c r="X401" s="16"/>
      <c r="Y401" s="16"/>
      <c r="Z401" s="16"/>
      <c r="AA401" s="16"/>
      <c r="AB401" s="16"/>
      <c r="AC401" s="16"/>
      <c r="AD401" s="16"/>
      <c r="AE401" s="16"/>
      <c r="AF401" s="16" t="str">
        <f>IFERROR(__xludf.DUMMYFUNCTION("""COMPUTED_VALUE"""),"(Sweltering Set) ++X2 Nature, Water, and Fire Damage.")</f>
        <v>(Sweltering Set) ++X2 Nature, Water, and Fire Damage.</v>
      </c>
      <c r="AG401" s="16" t="str">
        <f>IFERROR(__xludf.DUMMYFUNCTION("""COMPUTED_VALUE"""),"Dragonscale Island")</f>
        <v>Dragonscale Island</v>
      </c>
      <c r="AH401" s="16" t="b">
        <f>IFERROR(__xludf.DUMMYFUNCTION("""COMPUTED_VALUE"""),TRUE)</f>
        <v>1</v>
      </c>
    </row>
    <row r="402">
      <c r="A402" s="16" t="str">
        <f>IFERROR(__xludf.DUMMYFUNCTION("""COMPUTED_VALUE"""),"Sweltering Pauldrons")</f>
        <v>Sweltering Pauldrons</v>
      </c>
      <c r="B402" s="16" t="str">
        <f>IFERROR(__xludf.DUMMYFUNCTION("""COMPUTED_VALUE"""),"Shoulders")</f>
        <v>Shoulders</v>
      </c>
      <c r="C402" s="16"/>
      <c r="D402" s="16"/>
      <c r="E402" s="16">
        <f>IFERROR(__xludf.DUMMYFUNCTION("""COMPUTED_VALUE"""),400.0)</f>
        <v>400</v>
      </c>
      <c r="F402" s="108">
        <f>IFERROR(__xludf.DUMMYFUNCTION("""COMPUTED_VALUE"""),7800000.0)</f>
        <v>7800000</v>
      </c>
      <c r="G402" s="16" t="str">
        <f>IFERROR(__xludf.DUMMYFUNCTION("""COMPUTED_VALUE"""),"DEF")</f>
        <v>DEF</v>
      </c>
      <c r="H402" s="16">
        <f>IFERROR(__xludf.DUMMYFUNCTION("""COMPUTED_VALUE"""),5000.0)</f>
        <v>5000</v>
      </c>
      <c r="I402" s="16">
        <f>IFERROR(__xludf.DUMMYFUNCTION("""COMPUTED_VALUE"""),5000.0)</f>
        <v>5000</v>
      </c>
      <c r="J402" s="16"/>
      <c r="K402" s="16">
        <f>IFERROR(__xludf.DUMMYFUNCTION("""COMPUTED_VALUE"""),5000.0)</f>
        <v>5000</v>
      </c>
      <c r="L402" s="16"/>
      <c r="M402" s="16"/>
      <c r="N402" s="16"/>
      <c r="O402" s="16"/>
      <c r="P402" s="16"/>
      <c r="Q402" s="16"/>
      <c r="R402" s="16"/>
      <c r="S402" s="16">
        <f>IFERROR(__xludf.DUMMYFUNCTION("""COMPUTED_VALUE"""),5000.0)</f>
        <v>5000</v>
      </c>
      <c r="T402" s="16"/>
      <c r="U402" s="16"/>
      <c r="V402" s="16"/>
      <c r="W402" s="16"/>
      <c r="X402" s="16"/>
      <c r="Y402" s="16"/>
      <c r="Z402" s="16"/>
      <c r="AA402" s="16"/>
      <c r="AB402" s="16"/>
      <c r="AC402" s="16"/>
      <c r="AD402" s="16"/>
      <c r="AE402" s="16"/>
      <c r="AF402" s="16" t="str">
        <f>IFERROR(__xludf.DUMMYFUNCTION("""COMPUTED_VALUE"""),"(Sweltering Set) ++X2 Nature, Water, and Fire Damage.")</f>
        <v>(Sweltering Set) ++X2 Nature, Water, and Fire Damage.</v>
      </c>
      <c r="AG402" s="16" t="str">
        <f>IFERROR(__xludf.DUMMYFUNCTION("""COMPUTED_VALUE"""),"Dragonscale Island")</f>
        <v>Dragonscale Island</v>
      </c>
      <c r="AH402" s="16" t="b">
        <f>IFERROR(__xludf.DUMMYFUNCTION("""COMPUTED_VALUE"""),TRUE)</f>
        <v>1</v>
      </c>
    </row>
    <row r="403">
      <c r="A403" s="16" t="str">
        <f>IFERROR(__xludf.DUMMYFUNCTION("""COMPUTED_VALUE"""),"Sweltering Chestplate")</f>
        <v>Sweltering Chestplate</v>
      </c>
      <c r="B403" s="16" t="str">
        <f>IFERROR(__xludf.DUMMYFUNCTION("""COMPUTED_VALUE"""),"Torso")</f>
        <v>Torso</v>
      </c>
      <c r="C403" s="16"/>
      <c r="D403" s="16"/>
      <c r="E403" s="16">
        <f>IFERROR(__xludf.DUMMYFUNCTION("""COMPUTED_VALUE"""),400.0)</f>
        <v>400</v>
      </c>
      <c r="F403" s="108">
        <f>IFERROR(__xludf.DUMMYFUNCTION("""COMPUTED_VALUE"""),7800000.0)</f>
        <v>7800000</v>
      </c>
      <c r="G403" s="16" t="str">
        <f>IFERROR(__xludf.DUMMYFUNCTION("""COMPUTED_VALUE"""),"DEF")</f>
        <v>DEF</v>
      </c>
      <c r="H403" s="16">
        <f>IFERROR(__xludf.DUMMYFUNCTION("""COMPUTED_VALUE"""),5000.0)</f>
        <v>5000</v>
      </c>
      <c r="I403" s="16">
        <f>IFERROR(__xludf.DUMMYFUNCTION("""COMPUTED_VALUE"""),5000.0)</f>
        <v>5000</v>
      </c>
      <c r="J403" s="16"/>
      <c r="K403" s="16">
        <f>IFERROR(__xludf.DUMMYFUNCTION("""COMPUTED_VALUE"""),5000.0)</f>
        <v>5000</v>
      </c>
      <c r="L403" s="16"/>
      <c r="M403" s="16"/>
      <c r="N403" s="16"/>
      <c r="O403" s="16"/>
      <c r="P403" s="16"/>
      <c r="Q403" s="16"/>
      <c r="R403" s="16"/>
      <c r="S403" s="16">
        <f>IFERROR(__xludf.DUMMYFUNCTION("""COMPUTED_VALUE"""),5000.0)</f>
        <v>5000</v>
      </c>
      <c r="T403" s="16"/>
      <c r="U403" s="16"/>
      <c r="V403" s="16"/>
      <c r="W403" s="16"/>
      <c r="X403" s="16"/>
      <c r="Y403" s="16"/>
      <c r="Z403" s="16"/>
      <c r="AA403" s="16"/>
      <c r="AB403" s="16"/>
      <c r="AC403" s="16"/>
      <c r="AD403" s="16"/>
      <c r="AE403" s="16"/>
      <c r="AF403" s="16" t="str">
        <f>IFERROR(__xludf.DUMMYFUNCTION("""COMPUTED_VALUE"""),"(Sweltering Set) ++X2 Nature, Water, and Fire Damage.")</f>
        <v>(Sweltering Set) ++X2 Nature, Water, and Fire Damage.</v>
      </c>
      <c r="AG403" s="16" t="str">
        <f>IFERROR(__xludf.DUMMYFUNCTION("""COMPUTED_VALUE"""),"Dragonscale Island")</f>
        <v>Dragonscale Island</v>
      </c>
      <c r="AH403" s="16" t="b">
        <f>IFERROR(__xludf.DUMMYFUNCTION("""COMPUTED_VALUE"""),TRUE)</f>
        <v>1</v>
      </c>
    </row>
    <row r="404">
      <c r="A404" s="16" t="str">
        <f>IFERROR(__xludf.DUMMYFUNCTION("""COMPUTED_VALUE"""),"Sweltering Vambraces")</f>
        <v>Sweltering Vambraces</v>
      </c>
      <c r="B404" s="16" t="str">
        <f>IFERROR(__xludf.DUMMYFUNCTION("""COMPUTED_VALUE"""),"Arms")</f>
        <v>Arms</v>
      </c>
      <c r="C404" s="16"/>
      <c r="D404" s="16"/>
      <c r="E404" s="16">
        <f>IFERROR(__xludf.DUMMYFUNCTION("""COMPUTED_VALUE"""),400.0)</f>
        <v>400</v>
      </c>
      <c r="F404" s="108">
        <f>IFERROR(__xludf.DUMMYFUNCTION("""COMPUTED_VALUE"""),7800000.0)</f>
        <v>7800000</v>
      </c>
      <c r="G404" s="16" t="str">
        <f>IFERROR(__xludf.DUMMYFUNCTION("""COMPUTED_VALUE"""),"DEF")</f>
        <v>DEF</v>
      </c>
      <c r="H404" s="16">
        <f>IFERROR(__xludf.DUMMYFUNCTION("""COMPUTED_VALUE"""),5000.0)</f>
        <v>5000</v>
      </c>
      <c r="I404" s="16">
        <f>IFERROR(__xludf.DUMMYFUNCTION("""COMPUTED_VALUE"""),5000.0)</f>
        <v>5000</v>
      </c>
      <c r="J404" s="16"/>
      <c r="K404" s="16">
        <f>IFERROR(__xludf.DUMMYFUNCTION("""COMPUTED_VALUE"""),5000.0)</f>
        <v>5000</v>
      </c>
      <c r="L404" s="16"/>
      <c r="M404" s="16"/>
      <c r="N404" s="16"/>
      <c r="O404" s="16"/>
      <c r="P404" s="16"/>
      <c r="Q404" s="16"/>
      <c r="R404" s="16"/>
      <c r="S404" s="16">
        <f>IFERROR(__xludf.DUMMYFUNCTION("""COMPUTED_VALUE"""),5000.0)</f>
        <v>5000</v>
      </c>
      <c r="T404" s="16"/>
      <c r="U404" s="16"/>
      <c r="V404" s="16"/>
      <c r="W404" s="16"/>
      <c r="X404" s="16"/>
      <c r="Y404" s="16"/>
      <c r="Z404" s="16"/>
      <c r="AA404" s="16"/>
      <c r="AB404" s="16"/>
      <c r="AC404" s="16"/>
      <c r="AD404" s="16"/>
      <c r="AE404" s="16"/>
      <c r="AF404" s="16" t="str">
        <f>IFERROR(__xludf.DUMMYFUNCTION("""COMPUTED_VALUE"""),"(Sweltering Set) ++X2 Nature, Water, and Fire Damage.")</f>
        <v>(Sweltering Set) ++X2 Nature, Water, and Fire Damage.</v>
      </c>
      <c r="AG404" s="16" t="str">
        <f>IFERROR(__xludf.DUMMYFUNCTION("""COMPUTED_VALUE"""),"Dragonscale Island")</f>
        <v>Dragonscale Island</v>
      </c>
      <c r="AH404" s="16" t="b">
        <f>IFERROR(__xludf.DUMMYFUNCTION("""COMPUTED_VALUE"""),TRUE)</f>
        <v>1</v>
      </c>
    </row>
    <row r="405">
      <c r="A405" s="16" t="str">
        <f>IFERROR(__xludf.DUMMYFUNCTION("""COMPUTED_VALUE"""),"Sweltering Greaves")</f>
        <v>Sweltering Greaves</v>
      </c>
      <c r="B405" s="16" t="str">
        <f>IFERROR(__xludf.DUMMYFUNCTION("""COMPUTED_VALUE"""),"Legs")</f>
        <v>Legs</v>
      </c>
      <c r="C405" s="16"/>
      <c r="D405" s="16"/>
      <c r="E405" s="16">
        <f>IFERROR(__xludf.DUMMYFUNCTION("""COMPUTED_VALUE"""),400.0)</f>
        <v>400</v>
      </c>
      <c r="F405" s="108">
        <f>IFERROR(__xludf.DUMMYFUNCTION("""COMPUTED_VALUE"""),7800000.0)</f>
        <v>7800000</v>
      </c>
      <c r="G405" s="16" t="str">
        <f>IFERROR(__xludf.DUMMYFUNCTION("""COMPUTED_VALUE"""),"DEF")</f>
        <v>DEF</v>
      </c>
      <c r="H405" s="16">
        <f>IFERROR(__xludf.DUMMYFUNCTION("""COMPUTED_VALUE"""),5000.0)</f>
        <v>5000</v>
      </c>
      <c r="I405" s="16">
        <f>IFERROR(__xludf.DUMMYFUNCTION("""COMPUTED_VALUE"""),5000.0)</f>
        <v>5000</v>
      </c>
      <c r="J405" s="16"/>
      <c r="K405" s="16">
        <f>IFERROR(__xludf.DUMMYFUNCTION("""COMPUTED_VALUE"""),5000.0)</f>
        <v>5000</v>
      </c>
      <c r="L405" s="16"/>
      <c r="M405" s="16"/>
      <c r="N405" s="16"/>
      <c r="O405" s="16"/>
      <c r="P405" s="16"/>
      <c r="Q405" s="16"/>
      <c r="R405" s="16"/>
      <c r="S405" s="16">
        <f>IFERROR(__xludf.DUMMYFUNCTION("""COMPUTED_VALUE"""),5000.0)</f>
        <v>5000</v>
      </c>
      <c r="T405" s="16"/>
      <c r="U405" s="16"/>
      <c r="V405" s="16"/>
      <c r="W405" s="16"/>
      <c r="X405" s="16"/>
      <c r="Y405" s="16"/>
      <c r="Z405" s="16"/>
      <c r="AA405" s="16"/>
      <c r="AB405" s="16"/>
      <c r="AC405" s="16"/>
      <c r="AD405" s="16"/>
      <c r="AE405" s="16"/>
      <c r="AF405" s="16" t="str">
        <f>IFERROR(__xludf.DUMMYFUNCTION("""COMPUTED_VALUE"""),"(Sweltering Set) ++X2 Nature, Water, and Fire Damage.")</f>
        <v>(Sweltering Set) ++X2 Nature, Water, and Fire Damage.</v>
      </c>
      <c r="AG405" s="16" t="str">
        <f>IFERROR(__xludf.DUMMYFUNCTION("""COMPUTED_VALUE"""),"Dragonscale Island")</f>
        <v>Dragonscale Island</v>
      </c>
      <c r="AH405" s="16" t="b">
        <f>IFERROR(__xludf.DUMMYFUNCTION("""COMPUTED_VALUE"""),TRUE)</f>
        <v>1</v>
      </c>
    </row>
    <row r="406">
      <c r="A406" s="16" t="str">
        <f>IFERROR(__xludf.DUMMYFUNCTION("""COMPUTED_VALUE"""),"Sweltering Boots")</f>
        <v>Sweltering Boots</v>
      </c>
      <c r="B406" s="16" t="str">
        <f>IFERROR(__xludf.DUMMYFUNCTION("""COMPUTED_VALUE"""),"Feet")</f>
        <v>Feet</v>
      </c>
      <c r="C406" s="16"/>
      <c r="D406" s="16"/>
      <c r="E406" s="16">
        <f>IFERROR(__xludf.DUMMYFUNCTION("""COMPUTED_VALUE"""),400.0)</f>
        <v>400</v>
      </c>
      <c r="F406" s="108">
        <f>IFERROR(__xludf.DUMMYFUNCTION("""COMPUTED_VALUE"""),7800000.0)</f>
        <v>7800000</v>
      </c>
      <c r="G406" s="16" t="str">
        <f>IFERROR(__xludf.DUMMYFUNCTION("""COMPUTED_VALUE"""),"DEF")</f>
        <v>DEF</v>
      </c>
      <c r="H406" s="16">
        <f>IFERROR(__xludf.DUMMYFUNCTION("""COMPUTED_VALUE"""),5000.0)</f>
        <v>5000</v>
      </c>
      <c r="I406" s="16">
        <f>IFERROR(__xludf.DUMMYFUNCTION("""COMPUTED_VALUE"""),5000.0)</f>
        <v>5000</v>
      </c>
      <c r="J406" s="16"/>
      <c r="K406" s="16">
        <f>IFERROR(__xludf.DUMMYFUNCTION("""COMPUTED_VALUE"""),5000.0)</f>
        <v>5000</v>
      </c>
      <c r="L406" s="16"/>
      <c r="M406" s="16"/>
      <c r="N406" s="16"/>
      <c r="O406" s="16"/>
      <c r="P406" s="16"/>
      <c r="Q406" s="16"/>
      <c r="R406" s="16"/>
      <c r="S406" s="16">
        <f>IFERROR(__xludf.DUMMYFUNCTION("""COMPUTED_VALUE"""),5000.0)</f>
        <v>5000</v>
      </c>
      <c r="T406" s="16"/>
      <c r="U406" s="16"/>
      <c r="V406" s="16"/>
      <c r="W406" s="16"/>
      <c r="X406" s="16"/>
      <c r="Y406" s="16"/>
      <c r="Z406" s="16"/>
      <c r="AA406" s="16"/>
      <c r="AB406" s="16"/>
      <c r="AC406" s="16"/>
      <c r="AD406" s="16"/>
      <c r="AE406" s="16"/>
      <c r="AF406" s="16" t="str">
        <f>IFERROR(__xludf.DUMMYFUNCTION("""COMPUTED_VALUE"""),"(Sweltering Set) ++X2 Nature, Water, and Fire Damage.")</f>
        <v>(Sweltering Set) ++X2 Nature, Water, and Fire Damage.</v>
      </c>
      <c r="AG406" s="16" t="str">
        <f>IFERROR(__xludf.DUMMYFUNCTION("""COMPUTED_VALUE"""),"Dragonscale Island")</f>
        <v>Dragonscale Island</v>
      </c>
      <c r="AH406" s="16" t="b">
        <f>IFERROR(__xludf.DUMMYFUNCTION("""COMPUTED_VALUE"""),TRUE)</f>
        <v>1</v>
      </c>
    </row>
    <row r="407">
      <c r="A407" s="16" t="str">
        <f>IFERROR(__xludf.DUMMYFUNCTION("""COMPUTED_VALUE"""),"Sweltering Pendent")</f>
        <v>Sweltering Pendent</v>
      </c>
      <c r="B407" s="16" t="str">
        <f>IFERROR(__xludf.DUMMYFUNCTION("""COMPUTED_VALUE"""),"Neck")</f>
        <v>Neck</v>
      </c>
      <c r="C407" s="16"/>
      <c r="D407" s="16"/>
      <c r="E407" s="16">
        <f>IFERROR(__xludf.DUMMYFUNCTION("""COMPUTED_VALUE"""),1.0)</f>
        <v>1</v>
      </c>
      <c r="F407" s="108">
        <f>IFERROR(__xludf.DUMMYFUNCTION("""COMPUTED_VALUE"""),0.0)</f>
        <v>0</v>
      </c>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t="str">
        <f>IFERROR(__xludf.DUMMYFUNCTION("""COMPUTED_VALUE"""),"(Sweltering Set) ++Fire, Nature, and Water immunity.")</f>
        <v>(Sweltering Set) ++Fire, Nature, and Water immunity.</v>
      </c>
      <c r="AG407" s="16" t="str">
        <f>IFERROR(__xludf.DUMMYFUNCTION("""COMPUTED_VALUE"""),"Dragonscale Island")</f>
        <v>Dragonscale Island</v>
      </c>
      <c r="AH407" s="16" t="b">
        <f>IFERROR(__xludf.DUMMYFUNCTION("""COMPUTED_VALUE"""),FALSE)</f>
        <v>0</v>
      </c>
    </row>
    <row r="408">
      <c r="A408" s="16" t="str">
        <f>IFERROR(__xludf.DUMMYFUNCTION("""COMPUTED_VALUE"""),"Sweltering Ring")</f>
        <v>Sweltering Ring</v>
      </c>
      <c r="B408" s="16" t="str">
        <f>IFERROR(__xludf.DUMMYFUNCTION("""COMPUTED_VALUE"""),"Ring")</f>
        <v>Ring</v>
      </c>
      <c r="C408" s="16"/>
      <c r="D408" s="16"/>
      <c r="E408" s="16">
        <f>IFERROR(__xludf.DUMMYFUNCTION("""COMPUTED_VALUE"""),1.0)</f>
        <v>1</v>
      </c>
      <c r="F408" s="108">
        <f>IFERROR(__xludf.DUMMYFUNCTION("""COMPUTED_VALUE"""),0.0)</f>
        <v>0</v>
      </c>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t="str">
        <f>IFERROR(__xludf.DUMMYFUNCTION("""COMPUTED_VALUE"""),"(Sweltering Set) ++Fire, Nature, and Water immunity.")</f>
        <v>(Sweltering Set) ++Fire, Nature, and Water immunity.</v>
      </c>
      <c r="AG408" s="16" t="str">
        <f>IFERROR(__xludf.DUMMYFUNCTION("""COMPUTED_VALUE"""),"Dragonscale Island")</f>
        <v>Dragonscale Island</v>
      </c>
      <c r="AH408" s="16" t="b">
        <f>IFERROR(__xludf.DUMMYFUNCTION("""COMPUTED_VALUE"""),FALSE)</f>
        <v>0</v>
      </c>
    </row>
    <row r="409">
      <c r="A409" s="16" t="str">
        <f>IFERROR(__xludf.DUMMYFUNCTION("""COMPUTED_VALUE"""),"Reinforced Tortoise Shell")</f>
        <v>Reinforced Tortoise Shell</v>
      </c>
      <c r="B409" s="16" t="str">
        <f>IFERROR(__xludf.DUMMYFUNCTION("""COMPUTED_VALUE"""),"Torso")</f>
        <v>Torso</v>
      </c>
      <c r="C409" s="16"/>
      <c r="D409" s="16"/>
      <c r="E409" s="16">
        <f>IFERROR(__xludf.DUMMYFUNCTION("""COMPUTED_VALUE"""),400.0)</f>
        <v>400</v>
      </c>
      <c r="F409" s="108">
        <f>IFERROR(__xludf.DUMMYFUNCTION("""COMPUTED_VALUE"""),7800000.0)</f>
        <v>7800000</v>
      </c>
      <c r="G409" s="16" t="str">
        <f>IFERROR(__xludf.DUMMYFUNCTION("""COMPUTED_VALUE"""),"DEF")</f>
        <v>DEF</v>
      </c>
      <c r="H409" s="16">
        <f>IFERROR(__xludf.DUMMYFUNCTION("""COMPUTED_VALUE"""),10000.0)</f>
        <v>10000</v>
      </c>
      <c r="I409" s="16"/>
      <c r="J409" s="16"/>
      <c r="K409" s="16">
        <f>IFERROR(__xludf.DUMMYFUNCTION("""COMPUTED_VALUE"""),5000.0)</f>
        <v>5000</v>
      </c>
      <c r="L409" s="16"/>
      <c r="M409" s="16"/>
      <c r="N409" s="16">
        <f>IFERROR(__xludf.DUMMYFUNCTION("""COMPUTED_VALUE"""),5000.0)</f>
        <v>5000</v>
      </c>
      <c r="O409" s="16"/>
      <c r="P409" s="16"/>
      <c r="Q409" s="16"/>
      <c r="R409" s="16"/>
      <c r="S409" s="16"/>
      <c r="T409" s="16"/>
      <c r="U409" s="16"/>
      <c r="V409" s="16"/>
      <c r="W409" s="16"/>
      <c r="X409" s="16"/>
      <c r="Y409" s="16"/>
      <c r="Z409" s="16"/>
      <c r="AA409" s="16"/>
      <c r="AB409" s="16"/>
      <c r="AC409" s="16"/>
      <c r="AD409" s="16"/>
      <c r="AE409" s="16"/>
      <c r="AF409" s="16" t="str">
        <f>IFERROR(__xludf.DUMMYFUNCTION("""COMPUTED_VALUE"""),"++X2 Defense for the wearer. +-Cannot be Duplicated.")</f>
        <v>++X2 Defense for the wearer. +-Cannot be Duplicated.</v>
      </c>
      <c r="AG409" s="16" t="str">
        <f>IFERROR(__xludf.DUMMYFUNCTION("""COMPUTED_VALUE"""),"Dragonscale Island")</f>
        <v>Dragonscale Island</v>
      </c>
      <c r="AH409" s="16" t="b">
        <f>IFERROR(__xludf.DUMMYFUNCTION("""COMPUTED_VALUE"""),TRUE)</f>
        <v>1</v>
      </c>
    </row>
    <row r="410">
      <c r="A410" s="16" t="str">
        <f>IFERROR(__xludf.DUMMYFUNCTION("""COMPUTED_VALUE"""),"Tortoise Shell Shield")</f>
        <v>Tortoise Shell Shield</v>
      </c>
      <c r="B410" s="16" t="str">
        <f>IFERROR(__xludf.DUMMYFUNCTION("""COMPUTED_VALUE"""),"Hand")</f>
        <v>Hand</v>
      </c>
      <c r="C410" s="16"/>
      <c r="D410" s="16" t="str">
        <f>IFERROR(__xludf.DUMMYFUNCTION("""COMPUTED_VALUE"""),"Towershield")</f>
        <v>Towershield</v>
      </c>
      <c r="E410" s="16">
        <f>IFERROR(__xludf.DUMMYFUNCTION("""COMPUTED_VALUE"""),400.0)</f>
        <v>400</v>
      </c>
      <c r="F410" s="108">
        <f>IFERROR(__xludf.DUMMYFUNCTION("""COMPUTED_VALUE"""),7800000.0)</f>
        <v>7800000</v>
      </c>
      <c r="G410" s="16" t="str">
        <f>IFERROR(__xludf.DUMMYFUNCTION("""COMPUTED_VALUE"""),"DEF")</f>
        <v>DEF</v>
      </c>
      <c r="H410" s="16">
        <f>IFERROR(__xludf.DUMMYFUNCTION("""COMPUTED_VALUE"""),20000.0)</f>
        <v>20000</v>
      </c>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t="str">
        <f>IFERROR(__xludf.DUMMYFUNCTION("""COMPUTED_VALUE"""),"++X2 Defense for the wearer. +-Cannot be Duplicated.")</f>
        <v>++X2 Defense for the wearer. +-Cannot be Duplicated.</v>
      </c>
      <c r="AG410" s="16" t="str">
        <f>IFERROR(__xludf.DUMMYFUNCTION("""COMPUTED_VALUE"""),"Dragonscale Island")</f>
        <v>Dragonscale Island</v>
      </c>
      <c r="AH410" s="16" t="b">
        <f>IFERROR(__xludf.DUMMYFUNCTION("""COMPUTED_VALUE"""),TRUE)</f>
        <v>1</v>
      </c>
    </row>
    <row r="411">
      <c r="A411" s="16" t="str">
        <f>IFERROR(__xludf.DUMMYFUNCTION("""COMPUTED_VALUE"""),"Stone of the Summit")</f>
        <v>Stone of the Summit</v>
      </c>
      <c r="B411" s="16" t="str">
        <f>IFERROR(__xludf.DUMMYFUNCTION("""COMPUTED_VALUE"""),"Hand")</f>
        <v>Hand</v>
      </c>
      <c r="C411" s="16"/>
      <c r="D411" s="16"/>
      <c r="E411" s="16">
        <f>IFERROR(__xludf.DUMMYFUNCTION("""COMPUTED_VALUE"""),1.0)</f>
        <v>1</v>
      </c>
      <c r="F411" s="108">
        <f>IFERROR(__xludf.DUMMYFUNCTION("""COMPUTED_VALUE"""),0.0)</f>
        <v>0</v>
      </c>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t="str">
        <f>IFERROR(__xludf.DUMMYFUNCTION("""COMPUTED_VALUE"""),"++X2 additional damage towards weapons for the user.")</f>
        <v>++X2 additional damage towards weapons for the user.</v>
      </c>
      <c r="AG411" s="16" t="str">
        <f>IFERROR(__xludf.DUMMYFUNCTION("""COMPUTED_VALUE"""),"Dragonscale Island")</f>
        <v>Dragonscale Island</v>
      </c>
      <c r="AH411" s="16" t="b">
        <f>IFERROR(__xludf.DUMMYFUNCTION("""COMPUTED_VALUE"""),FALSE)</f>
        <v>0</v>
      </c>
    </row>
    <row r="412">
      <c r="A412" s="16" t="str">
        <f>IFERROR(__xludf.DUMMYFUNCTION("""COMPUTED_VALUE"""),"Deep Blue Pearl")</f>
        <v>Deep Blue Pearl</v>
      </c>
      <c r="B412" s="16" t="str">
        <f>IFERROR(__xludf.DUMMYFUNCTION("""COMPUTED_VALUE"""),"Hand")</f>
        <v>Hand</v>
      </c>
      <c r="C412" s="16" t="str">
        <f>IFERROR(__xludf.DUMMYFUNCTION("""COMPUTED_VALUE"""),"A rare pearl found deep within the ocean of Dragonscale Island.")</f>
        <v>A rare pearl found deep within the ocean of Dragonscale Island.</v>
      </c>
      <c r="D412" s="16"/>
      <c r="E412" s="16">
        <f>IFERROR(__xludf.DUMMYFUNCTION("""COMPUTED_VALUE"""),200.0)</f>
        <v>200</v>
      </c>
      <c r="F412" s="108">
        <f>IFERROR(__xludf.DUMMYFUNCTION("""COMPUTED_VALUE"""),1900000.0)</f>
        <v>1900000</v>
      </c>
      <c r="G412" s="16" t="str">
        <f>IFERROR(__xludf.DUMMYFUNCTION("""COMPUTED_VALUE"""),"DEF")</f>
        <v>DEF</v>
      </c>
      <c r="H412" s="119">
        <f>IFERROR(__xludf.DUMMYFUNCTION("""COMPUTED_VALUE"""),10000.0)</f>
        <v>10000</v>
      </c>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t="str">
        <f>IFERROR(__xludf.DUMMYFUNCTION("""COMPUTED_VALUE"""),"++Water Immunity. ++Water damage dealt by you gives you sp back equal half the damage caused.")</f>
        <v>++Water Immunity. ++Water damage dealt by you gives you sp back equal half the damage caused.</v>
      </c>
      <c r="AG412" s="16" t="str">
        <f>IFERROR(__xludf.DUMMYFUNCTION("""COMPUTED_VALUE"""),"Dragonscale Island")</f>
        <v>Dragonscale Island</v>
      </c>
      <c r="AH412" s="16" t="b">
        <f>IFERROR(__xludf.DUMMYFUNCTION("""COMPUTED_VALUE"""),FALSE)</f>
        <v>0</v>
      </c>
    </row>
    <row r="413">
      <c r="A413" s="16" t="str">
        <f>IFERROR(__xludf.DUMMYFUNCTION("""COMPUTED_VALUE"""),"Tempests Lightning Rod")</f>
        <v>Tempests Lightning Rod</v>
      </c>
      <c r="B413" s="16" t="str">
        <f>IFERROR(__xludf.DUMMYFUNCTION("""COMPUTED_VALUE"""),"Hand")</f>
        <v>Hand</v>
      </c>
      <c r="C413" s="16"/>
      <c r="D413" s="16" t="str">
        <f>IFERROR(__xludf.DUMMYFUNCTION("""COMPUTED_VALUE"""),"Spear")</f>
        <v>Spear</v>
      </c>
      <c r="E413" s="16">
        <f>IFERROR(__xludf.DUMMYFUNCTION("""COMPUTED_VALUE"""),600.0)</f>
        <v>600</v>
      </c>
      <c r="F413" s="108">
        <f>IFERROR(__xludf.DUMMYFUNCTION("""COMPUTED_VALUE"""),1.77E7)</f>
        <v>17700000</v>
      </c>
      <c r="G413" s="16" t="str">
        <f>IFERROR(__xludf.DUMMYFUNCTION("""COMPUTED_VALUE"""),"DMG")</f>
        <v>DMG</v>
      </c>
      <c r="H413" s="119">
        <f>IFERROR(__xludf.DUMMYFUNCTION("""COMPUTED_VALUE"""),10000.0)</f>
        <v>10000</v>
      </c>
      <c r="I413" s="16"/>
      <c r="J413" s="16"/>
      <c r="K413" s="119">
        <f>IFERROR(__xludf.DUMMYFUNCTION("""COMPUTED_VALUE"""),10000.0)</f>
        <v>10000</v>
      </c>
      <c r="L413" s="119">
        <f>IFERROR(__xludf.DUMMYFUNCTION("""COMPUTED_VALUE"""),10000.0)</f>
        <v>10000</v>
      </c>
      <c r="M413" s="16"/>
      <c r="N413" s="16"/>
      <c r="O413" s="16"/>
      <c r="P413" s="16"/>
      <c r="Q413" s="16"/>
      <c r="R413" s="16"/>
      <c r="S413" s="16"/>
      <c r="T413" s="16"/>
      <c r="U413" s="16"/>
      <c r="V413" s="16"/>
      <c r="W413" s="16"/>
      <c r="X413" s="16"/>
      <c r="Y413" s="16"/>
      <c r="Z413" s="16"/>
      <c r="AA413" s="16"/>
      <c r="AB413" s="16"/>
      <c r="AC413" s="16"/>
      <c r="AD413" s="16"/>
      <c r="AE413" s="16"/>
      <c r="AF413" s="16" t="str">
        <f>IFERROR(__xludf.DUMMYFUNCTION("""COMPUTED_VALUE"""),"++X4 additional Storm Damage for the user, ++You may attack up to 3 times with this weapon in 1 turn, Roll a d3 to determine how many attacks this weapon does.")</f>
        <v>++X4 additional Storm Damage for the user, ++You may attack up to 3 times with this weapon in 1 turn, Roll a d3 to determine how many attacks this weapon does.</v>
      </c>
      <c r="AG413" s="16" t="str">
        <f>IFERROR(__xludf.DUMMYFUNCTION("""COMPUTED_VALUE"""),"Dragonscale Island")</f>
        <v>Dragonscale Island</v>
      </c>
      <c r="AH413" s="16" t="b">
        <f>IFERROR(__xludf.DUMMYFUNCTION("""COMPUTED_VALUE"""),TRUE)</f>
        <v>1</v>
      </c>
    </row>
    <row r="414">
      <c r="A414" s="16" t="str">
        <f>IFERROR(__xludf.DUMMYFUNCTION("""COMPUTED_VALUE"""),"Sword of Mystic Vagility")</f>
        <v>Sword of Mystic Vagility</v>
      </c>
      <c r="B414" s="16" t="str">
        <f>IFERROR(__xludf.DUMMYFUNCTION("""COMPUTED_VALUE"""),"Hand")</f>
        <v>Hand</v>
      </c>
      <c r="C414" s="16"/>
      <c r="D414" s="16" t="str">
        <f>IFERROR(__xludf.DUMMYFUNCTION("""COMPUTED_VALUE"""),"Sword")</f>
        <v>Sword</v>
      </c>
      <c r="E414" s="16">
        <f>IFERROR(__xludf.DUMMYFUNCTION("""COMPUTED_VALUE"""),200.0)</f>
        <v>200</v>
      </c>
      <c r="F414" s="108">
        <f>IFERROR(__xludf.DUMMYFUNCTION("""COMPUTED_VALUE"""),1.99E8)</f>
        <v>199000000</v>
      </c>
      <c r="G414" s="16" t="str">
        <f>IFERROR(__xludf.DUMMYFUNCTION("""COMPUTED_VALUE"""),"DMG")</f>
        <v>DMG</v>
      </c>
      <c r="H414" s="119">
        <f>IFERROR(__xludf.DUMMYFUNCTION("""COMPUTED_VALUE"""),50000.0)</f>
        <v>50000</v>
      </c>
      <c r="I414" s="16"/>
      <c r="J414" s="16"/>
      <c r="K414" s="16"/>
      <c r="L414" s="16"/>
      <c r="M414" s="16"/>
      <c r="N414" s="16"/>
      <c r="O414" s="16"/>
      <c r="P414" s="16"/>
      <c r="Q414" s="16"/>
      <c r="R414" s="16"/>
      <c r="S414" s="16"/>
      <c r="T414" s="16"/>
      <c r="U414" s="16"/>
      <c r="V414" s="16"/>
      <c r="W414" s="16"/>
      <c r="X414" s="16"/>
      <c r="Y414" s="16"/>
      <c r="Z414" s="16"/>
      <c r="AA414" s="16"/>
      <c r="AB414" s="16"/>
      <c r="AC414" s="119">
        <f>IFERROR(__xludf.DUMMYFUNCTION("""COMPUTED_VALUE"""),50000.0)</f>
        <v>50000</v>
      </c>
      <c r="AD414" s="16"/>
      <c r="AE414" s="16"/>
      <c r="AF414" s="16" t="str">
        <f>IFERROR(__xludf.DUMMYFUNCTION("""COMPUTED_VALUE"""),"++5 to d20 rolls, ++2 Evasion, ++2 Mobility. +-Cannot be duplicated.")</f>
        <v>++5 to d20 rolls, ++2 Evasion, ++2 Mobility. +-Cannot be duplicated.</v>
      </c>
      <c r="AG414" s="16" t="str">
        <f>IFERROR(__xludf.DUMMYFUNCTION("""COMPUTED_VALUE"""),"Land of Spira")</f>
        <v>Land of Spira</v>
      </c>
      <c r="AH414" s="16" t="b">
        <f>IFERROR(__xludf.DUMMYFUNCTION("""COMPUTED_VALUE"""),FALSE)</f>
        <v>0</v>
      </c>
    </row>
    <row r="415">
      <c r="A415" s="16" t="str">
        <f>IFERROR(__xludf.DUMMYFUNCTION("""COMPUTED_VALUE"""),".50 Caliber Machine Gun (car)")</f>
        <v>.50 Caliber Machine Gun (car)</v>
      </c>
      <c r="B415" s="16" t="str">
        <f>IFERROR(__xludf.DUMMYFUNCTION("""COMPUTED_VALUE"""),"CarGun")</f>
        <v>CarGun</v>
      </c>
      <c r="C415" s="16"/>
      <c r="D415" s="16" t="str">
        <f>IFERROR(__xludf.DUMMYFUNCTION("""COMPUTED_VALUE"""),"Firearm")</f>
        <v>Firearm</v>
      </c>
      <c r="E415" s="16">
        <f>IFERROR(__xludf.DUMMYFUNCTION("""COMPUTED_VALUE"""),400.0)</f>
        <v>400</v>
      </c>
      <c r="F415" s="108">
        <f>IFERROR(__xludf.DUMMYFUNCTION("""COMPUTED_VALUE"""),7800000.0)</f>
        <v>7800000</v>
      </c>
      <c r="G415" s="16" t="str">
        <f>IFERROR(__xludf.DUMMYFUNCTION("""COMPUTED_VALUE"""),"DMG")</f>
        <v>DMG</v>
      </c>
      <c r="H415" s="119">
        <f>IFERROR(__xludf.DUMMYFUNCTION("""COMPUTED_VALUE"""),20000.0)</f>
        <v>20000</v>
      </c>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t="str">
        <f>IFERROR(__xludf.DUMMYFUNCTION("""COMPUTED_VALUE"""),"++Roll a d500 to see how many bullets are used when you attack with this weapon. +-Uses bullets. ++Damages 2 targets. ++Cannot Avoid.")</f>
        <v>++Roll a d500 to see how many bullets are used when you attack with this weapon. +-Uses bullets. ++Damages 2 targets. ++Cannot Avoid.</v>
      </c>
      <c r="AG415" s="16" t="str">
        <f>IFERROR(__xludf.DUMMYFUNCTION("""COMPUTED_VALUE"""),"Land of Spira")</f>
        <v>Land of Spira</v>
      </c>
      <c r="AH415" s="16" t="b">
        <f>IFERROR(__xludf.DUMMYFUNCTION("""COMPUTED_VALUE"""),FALSE)</f>
        <v>0</v>
      </c>
    </row>
    <row r="416">
      <c r="A416" s="16" t="str">
        <f>IFERROR(__xludf.DUMMYFUNCTION("""COMPUTED_VALUE"""),"Auto Turret")</f>
        <v>Auto Turret</v>
      </c>
      <c r="B416" s="16" t="str">
        <f>IFERROR(__xludf.DUMMYFUNCTION("""COMPUTED_VALUE"""),"CarGun")</f>
        <v>CarGun</v>
      </c>
      <c r="C416" s="16"/>
      <c r="D416" s="16" t="str">
        <f>IFERROR(__xludf.DUMMYFUNCTION("""COMPUTED_VALUE"""),"Firearm")</f>
        <v>Firearm</v>
      </c>
      <c r="E416" s="16">
        <f>IFERROR(__xludf.DUMMYFUNCTION("""COMPUTED_VALUE"""),800.0)</f>
        <v>800</v>
      </c>
      <c r="F416" s="108">
        <f>IFERROR(__xludf.DUMMYFUNCTION("""COMPUTED_VALUE"""),3.16E7)</f>
        <v>31600000</v>
      </c>
      <c r="G416" s="16" t="str">
        <f>IFERROR(__xludf.DUMMYFUNCTION("""COMPUTED_VALUE"""),"DMG")</f>
        <v>DMG</v>
      </c>
      <c r="H416" s="119">
        <f>IFERROR(__xludf.DUMMYFUNCTION("""COMPUTED_VALUE"""),40000.0)</f>
        <v>40000</v>
      </c>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t="str">
        <f>IFERROR(__xludf.DUMMYFUNCTION("""COMPUTED_VALUE"""),"++Does not take an action to use, Acts as if it has a turn order of its own. ++Has unlimited bullets. +-Uses bullets ++Roll a d1000 to see how many bullets are used. ++Damages all targets. ++Cannot avoid.")</f>
        <v>++Does not take an action to use, Acts as if it has a turn order of its own. ++Has unlimited bullets. +-Uses bullets ++Roll a d1000 to see how many bullets are used. ++Damages all targets. ++Cannot avoid.</v>
      </c>
      <c r="AG416" s="16" t="str">
        <f>IFERROR(__xludf.DUMMYFUNCTION("""COMPUTED_VALUE"""),"Land of Spira")</f>
        <v>Land of Spira</v>
      </c>
      <c r="AH416" s="16" t="b">
        <f>IFERROR(__xludf.DUMMYFUNCTION("""COMPUTED_VALUE"""),FALSE)</f>
        <v>0</v>
      </c>
    </row>
    <row r="417">
      <c r="A417" s="16" t="str">
        <f>IFERROR(__xludf.DUMMYFUNCTION("""COMPUTED_VALUE"""),"Lazer Infused Cannon")</f>
        <v>Lazer Infused Cannon</v>
      </c>
      <c r="B417" s="16" t="str">
        <f>IFERROR(__xludf.DUMMYFUNCTION("""COMPUTED_VALUE"""),"BoatGun")</f>
        <v>BoatGun</v>
      </c>
      <c r="C417" s="16"/>
      <c r="D417" s="16" t="str">
        <f>IFERROR(__xludf.DUMMYFUNCTION("""COMPUTED_VALUE"""),"Firearm")</f>
        <v>Firearm</v>
      </c>
      <c r="E417" s="16">
        <f>IFERROR(__xludf.DUMMYFUNCTION("""COMPUTED_VALUE"""),5000.0)</f>
        <v>5000</v>
      </c>
      <c r="F417" s="108">
        <f>IFERROR(__xludf.DUMMYFUNCTION("""COMPUTED_VALUE"""),1.2475E9)</f>
        <v>1247500000</v>
      </c>
      <c r="G417" s="16" t="str">
        <f>IFERROR(__xludf.DUMMYFUNCTION("""COMPUTED_VALUE"""),"DMG")</f>
        <v>DMG</v>
      </c>
      <c r="H417" s="16"/>
      <c r="I417" s="119">
        <f>IFERROR(__xludf.DUMMYFUNCTION("""COMPUTED_VALUE"""),250000.0)</f>
        <v>250000</v>
      </c>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t="str">
        <f>IFERROR(__xludf.DUMMYFUNCTION("""COMPUTED_VALUE"""),"++Does not use Ammunition. ++Cannot avoid, ++Damages all enemies.")</f>
        <v>++Does not use Ammunition. ++Cannot avoid, ++Damages all enemies.</v>
      </c>
      <c r="AG417" s="16" t="str">
        <f>IFERROR(__xludf.DUMMYFUNCTION("""COMPUTED_VALUE"""),"Land of Spira")</f>
        <v>Land of Spira</v>
      </c>
      <c r="AH417" s="16" t="b">
        <f>IFERROR(__xludf.DUMMYFUNCTION("""COMPUTED_VALUE"""),FALSE)</f>
        <v>0</v>
      </c>
    </row>
    <row r="418">
      <c r="A418" s="16" t="str">
        <f>IFERROR(__xludf.DUMMYFUNCTION("""COMPUTED_VALUE"""),"Roof Mounted Turret")</f>
        <v>Roof Mounted Turret</v>
      </c>
      <c r="B418" s="16" t="str">
        <f>IFERROR(__xludf.DUMMYFUNCTION("""COMPUTED_VALUE"""),"CarGun")</f>
        <v>CarGun</v>
      </c>
      <c r="C418" s="16"/>
      <c r="D418" s="16" t="str">
        <f>IFERROR(__xludf.DUMMYFUNCTION("""COMPUTED_VALUE"""),"Firearm")</f>
        <v>Firearm</v>
      </c>
      <c r="E418" s="16">
        <f>IFERROR(__xludf.DUMMYFUNCTION("""COMPUTED_VALUE"""),500.0)</f>
        <v>500</v>
      </c>
      <c r="F418" s="108">
        <f>IFERROR(__xludf.DUMMYFUNCTION("""COMPUTED_VALUE"""),1.225E7)</f>
        <v>12250000</v>
      </c>
      <c r="G418" s="16" t="str">
        <f>IFERROR(__xludf.DUMMYFUNCTION("""COMPUTED_VALUE"""),"DMG")</f>
        <v>DMG</v>
      </c>
      <c r="H418" s="119">
        <f>IFERROR(__xludf.DUMMYFUNCTION("""COMPUTED_VALUE"""),25000.0)</f>
        <v>25000</v>
      </c>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t="str">
        <f>IFERROR(__xludf.DUMMYFUNCTION("""COMPUTED_VALUE"""),"++Roll a d500 to see how many bullets are used when you attack with this weapon. +-Uses bullets ++Damages up to 2 targets.")</f>
        <v>++Roll a d500 to see how many bullets are used when you attack with this weapon. +-Uses bullets ++Damages up to 2 targets.</v>
      </c>
      <c r="AG418" s="16" t="str">
        <f>IFERROR(__xludf.DUMMYFUNCTION("""COMPUTED_VALUE"""),"Land of Spira")</f>
        <v>Land of Spira</v>
      </c>
      <c r="AH418" s="16" t="b">
        <f>IFERROR(__xludf.DUMMYFUNCTION("""COMPUTED_VALUE"""),FALSE)</f>
        <v>0</v>
      </c>
    </row>
    <row r="419">
      <c r="A419" s="16" t="str">
        <f>IFERROR(__xludf.DUMMYFUNCTION("""COMPUTED_VALUE"""),".50 Caliber Machine Gun (boat)")</f>
        <v>.50 Caliber Machine Gun (boat)</v>
      </c>
      <c r="B419" s="16" t="str">
        <f>IFERROR(__xludf.DUMMYFUNCTION("""COMPUTED_VALUE"""),"BoatGun")</f>
        <v>BoatGun</v>
      </c>
      <c r="C419" s="16"/>
      <c r="D419" s="16" t="str">
        <f>IFERROR(__xludf.DUMMYFUNCTION("""COMPUTED_VALUE"""),"Firearm")</f>
        <v>Firearm</v>
      </c>
      <c r="E419" s="16">
        <f>IFERROR(__xludf.DUMMYFUNCTION("""COMPUTED_VALUE"""),500.0)</f>
        <v>500</v>
      </c>
      <c r="F419" s="108">
        <f>IFERROR(__xludf.DUMMYFUNCTION("""COMPUTED_VALUE"""),1.225E7)</f>
        <v>12250000</v>
      </c>
      <c r="G419" s="16" t="str">
        <f>IFERROR(__xludf.DUMMYFUNCTION("""COMPUTED_VALUE"""),"DMG")</f>
        <v>DMG</v>
      </c>
      <c r="H419" s="119">
        <f>IFERROR(__xludf.DUMMYFUNCTION("""COMPUTED_VALUE"""),25000.0)</f>
        <v>25000</v>
      </c>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t="str">
        <f>IFERROR(__xludf.DUMMYFUNCTION("""COMPUTED_VALUE"""),"++Roll a d500 to see how many bullets are used when you attack with this weapon. +-Uses bullets")</f>
        <v>++Roll a d500 to see how many bullets are used when you attack with this weapon. +-Uses bullets</v>
      </c>
      <c r="AG419" s="16" t="str">
        <f>IFERROR(__xludf.DUMMYFUNCTION("""COMPUTED_VALUE"""),"Land of Spira")</f>
        <v>Land of Spira</v>
      </c>
      <c r="AH419" s="16" t="b">
        <f>IFERROR(__xludf.DUMMYFUNCTION("""COMPUTED_VALUE"""),FALSE)</f>
        <v>0</v>
      </c>
    </row>
    <row r="420">
      <c r="A420" s="16" t="str">
        <f>IFERROR(__xludf.DUMMYFUNCTION("""COMPUTED_VALUE"""),"Missile Turret (car)")</f>
        <v>Missile Turret (car)</v>
      </c>
      <c r="B420" s="16" t="str">
        <f>IFERROR(__xludf.DUMMYFUNCTION("""COMPUTED_VALUE"""),"CarGun")</f>
        <v>CarGun</v>
      </c>
      <c r="C420" s="16"/>
      <c r="D420" s="16" t="str">
        <f>IFERROR(__xludf.DUMMYFUNCTION("""COMPUTED_VALUE"""),"Firearm")</f>
        <v>Firearm</v>
      </c>
      <c r="E420" s="16">
        <f>IFERROR(__xludf.DUMMYFUNCTION("""COMPUTED_VALUE"""),2000.0)</f>
        <v>2000</v>
      </c>
      <c r="F420" s="108">
        <f>IFERROR(__xludf.DUMMYFUNCTION("""COMPUTED_VALUE"""),1.99E8)</f>
        <v>199000000</v>
      </c>
      <c r="G420" s="16" t="str">
        <f>IFERROR(__xludf.DUMMYFUNCTION("""COMPUTED_VALUE"""),"DMG")</f>
        <v>DMG</v>
      </c>
      <c r="H420" s="119">
        <f>IFERROR(__xludf.DUMMYFUNCTION("""COMPUTED_VALUE"""),50000.0)</f>
        <v>50000</v>
      </c>
      <c r="I420" s="119">
        <f>IFERROR(__xludf.DUMMYFUNCTION("""COMPUTED_VALUE"""),50000.0)</f>
        <v>50000</v>
      </c>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t="str">
        <f>IFERROR(__xludf.DUMMYFUNCTION("""COMPUTED_VALUE"""),"++Damages all enemies. +-Uses Missiles.")</f>
        <v>++Damages all enemies. +-Uses Missiles.</v>
      </c>
      <c r="AG420" s="16" t="str">
        <f>IFERROR(__xludf.DUMMYFUNCTION("""COMPUTED_VALUE"""),"Land of Spira")</f>
        <v>Land of Spira</v>
      </c>
      <c r="AH420" s="16" t="b">
        <f>IFERROR(__xludf.DUMMYFUNCTION("""COMPUTED_VALUE"""),FALSE)</f>
        <v>0</v>
      </c>
    </row>
    <row r="421">
      <c r="A421" s="16" t="str">
        <f>IFERROR(__xludf.DUMMYFUNCTION("""COMPUTED_VALUE"""),"Missile Turret (boat)")</f>
        <v>Missile Turret (boat)</v>
      </c>
      <c r="B421" s="16" t="str">
        <f>IFERROR(__xludf.DUMMYFUNCTION("""COMPUTED_VALUE"""),"BoatGun")</f>
        <v>BoatGun</v>
      </c>
      <c r="C421" s="16"/>
      <c r="D421" s="16" t="str">
        <f>IFERROR(__xludf.DUMMYFUNCTION("""COMPUTED_VALUE"""),"Firearm")</f>
        <v>Firearm</v>
      </c>
      <c r="E421" s="16">
        <f>IFERROR(__xludf.DUMMYFUNCTION("""COMPUTED_VALUE"""),2000.0)</f>
        <v>2000</v>
      </c>
      <c r="F421" s="108">
        <f>IFERROR(__xludf.DUMMYFUNCTION("""COMPUTED_VALUE"""),1.99E8)</f>
        <v>199000000</v>
      </c>
      <c r="G421" s="16" t="str">
        <f>IFERROR(__xludf.DUMMYFUNCTION("""COMPUTED_VALUE"""),"DMG")</f>
        <v>DMG</v>
      </c>
      <c r="H421" s="119">
        <f>IFERROR(__xludf.DUMMYFUNCTION("""COMPUTED_VALUE"""),50000.0)</f>
        <v>50000</v>
      </c>
      <c r="I421" s="119">
        <f>IFERROR(__xludf.DUMMYFUNCTION("""COMPUTED_VALUE"""),50000.0)</f>
        <v>50000</v>
      </c>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t="str">
        <f>IFERROR(__xludf.DUMMYFUNCTION("""COMPUTED_VALUE"""),"++Damages all enemies. +-Uses Missiles.")</f>
        <v>++Damages all enemies. +-Uses Missiles.</v>
      </c>
      <c r="AG421" s="16" t="str">
        <f>IFERROR(__xludf.DUMMYFUNCTION("""COMPUTED_VALUE"""),"Land of Spira")</f>
        <v>Land of Spira</v>
      </c>
      <c r="AH421" s="16" t="b">
        <f>IFERROR(__xludf.DUMMYFUNCTION("""COMPUTED_VALUE"""),FALSE)</f>
        <v>0</v>
      </c>
    </row>
    <row r="422">
      <c r="A422" s="16" t="str">
        <f>IFERROR(__xludf.DUMMYFUNCTION("""COMPUTED_VALUE"""),"Royal Sword of Dragonia")</f>
        <v>Royal Sword of Dragonia</v>
      </c>
      <c r="B422" s="16" t="str">
        <f>IFERROR(__xludf.DUMMYFUNCTION("""COMPUTED_VALUE"""),"Hand")</f>
        <v>Hand</v>
      </c>
      <c r="C422" s="16"/>
      <c r="D422" s="16" t="str">
        <f>IFERROR(__xludf.DUMMYFUNCTION("""COMPUTED_VALUE"""),"Sword")</f>
        <v>Sword</v>
      </c>
      <c r="E422" s="16">
        <f>IFERROR(__xludf.DUMMYFUNCTION("""COMPUTED_VALUE"""),200.0)</f>
        <v>200</v>
      </c>
      <c r="F422" s="108">
        <f>IFERROR(__xludf.DUMMYFUNCTION("""COMPUTED_VALUE"""),7.98E8)</f>
        <v>798000000</v>
      </c>
      <c r="G422" s="16" t="str">
        <f>IFERROR(__xludf.DUMMYFUNCTION("""COMPUTED_VALUE"""),"DMG")</f>
        <v>DMG</v>
      </c>
      <c r="H422" s="119">
        <f>IFERROR(__xludf.DUMMYFUNCTION("""COMPUTED_VALUE"""),50000.0)</f>
        <v>50000</v>
      </c>
      <c r="I422" s="119">
        <f>IFERROR(__xludf.DUMMYFUNCTION("""COMPUTED_VALUE"""),50000.0)</f>
        <v>50000</v>
      </c>
      <c r="J422" s="16"/>
      <c r="K422" s="16"/>
      <c r="L422" s="16"/>
      <c r="M422" s="16"/>
      <c r="N422" s="16"/>
      <c r="O422" s="16"/>
      <c r="P422" s="16"/>
      <c r="Q422" s="119">
        <f>IFERROR(__xludf.DUMMYFUNCTION("""COMPUTED_VALUE"""),50000.0)</f>
        <v>50000</v>
      </c>
      <c r="R422" s="16"/>
      <c r="S422" s="16"/>
      <c r="T422" s="16"/>
      <c r="U422" s="16"/>
      <c r="V422" s="16"/>
      <c r="W422" s="16"/>
      <c r="X422" s="16"/>
      <c r="Y422" s="119">
        <f>IFERROR(__xludf.DUMMYFUNCTION("""COMPUTED_VALUE"""),25000.0)</f>
        <v>25000</v>
      </c>
      <c r="Z422" s="16"/>
      <c r="AA422" s="16"/>
      <c r="AB422" s="16"/>
      <c r="AC422" s="119">
        <f>IFERROR(__xludf.DUMMYFUNCTION("""COMPUTED_VALUE"""),25000.0)</f>
        <v>25000</v>
      </c>
      <c r="AD422" s="16"/>
      <c r="AE422" s="16"/>
      <c r="AF422" s="16" t="str">
        <f>IFERROR(__xludf.DUMMYFUNCTION("""COMPUTED_VALUE"""),"++Dragons Luck II: If you have a dragon companion with you during the current battle add ++5 to your turn order roll. +-Cannot be forged +-Cannot be duplicated")</f>
        <v>++Dragons Luck II: If you have a dragon companion with you during the current battle add ++5 to your turn order roll. +-Cannot be forged +-Cannot be duplicated</v>
      </c>
      <c r="AG422" s="16" t="str">
        <f>IFERROR(__xludf.DUMMYFUNCTION("""COMPUTED_VALUE"""),"Dragonscale Island")</f>
        <v>Dragonscale Island</v>
      </c>
      <c r="AH422" s="16" t="b">
        <f>IFERROR(__xludf.DUMMYFUNCTION("""COMPUTED_VALUE"""),FALSE)</f>
        <v>0</v>
      </c>
    </row>
    <row r="423">
      <c r="A423" s="16" t="str">
        <f>IFERROR(__xludf.DUMMYFUNCTION("""COMPUTED_VALUE"""),"Dragonian Helm")</f>
        <v>Dragonian Helm</v>
      </c>
      <c r="B423" s="16" t="str">
        <f>IFERROR(__xludf.DUMMYFUNCTION("""COMPUTED_VALUE"""),"Head")</f>
        <v>Head</v>
      </c>
      <c r="C423" s="16"/>
      <c r="D423" s="16" t="str">
        <f>IFERROR(__xludf.DUMMYFUNCTION("""COMPUTED_VALUE"""),"Sword")</f>
        <v>Sword</v>
      </c>
      <c r="E423" s="16">
        <f>IFERROR(__xludf.DUMMYFUNCTION("""COMPUTED_VALUE"""),200.0)</f>
        <v>200</v>
      </c>
      <c r="F423" s="108">
        <f>IFERROR(__xludf.DUMMYFUNCTION("""COMPUTED_VALUE"""),7.98E8)</f>
        <v>798000000</v>
      </c>
      <c r="G423" s="16" t="str">
        <f>IFERROR(__xludf.DUMMYFUNCTION("""COMPUTED_VALUE"""),"DEF")</f>
        <v>DEF</v>
      </c>
      <c r="H423" s="119">
        <f>IFERROR(__xludf.DUMMYFUNCTION("""COMPUTED_VALUE"""),50000.0)</f>
        <v>50000</v>
      </c>
      <c r="I423" s="119">
        <f>IFERROR(__xludf.DUMMYFUNCTION("""COMPUTED_VALUE"""),50000.0)</f>
        <v>50000</v>
      </c>
      <c r="J423" s="16"/>
      <c r="K423" s="16"/>
      <c r="L423" s="16"/>
      <c r="M423" s="16"/>
      <c r="N423" s="16"/>
      <c r="O423" s="16"/>
      <c r="P423" s="16"/>
      <c r="Q423" s="119">
        <f>IFERROR(__xludf.DUMMYFUNCTION("""COMPUTED_VALUE"""),50000.0)</f>
        <v>50000</v>
      </c>
      <c r="R423" s="16"/>
      <c r="S423" s="16"/>
      <c r="T423" s="16"/>
      <c r="U423" s="16"/>
      <c r="V423" s="16"/>
      <c r="W423" s="16"/>
      <c r="X423" s="16"/>
      <c r="Y423" s="119">
        <f>IFERROR(__xludf.DUMMYFUNCTION("""COMPUTED_VALUE"""),25000.0)</f>
        <v>25000</v>
      </c>
      <c r="Z423" s="16"/>
      <c r="AA423" s="16"/>
      <c r="AB423" s="16"/>
      <c r="AC423" s="119">
        <f>IFERROR(__xludf.DUMMYFUNCTION("""COMPUTED_VALUE"""),25000.0)</f>
        <v>25000</v>
      </c>
      <c r="AD423" s="16"/>
      <c r="AE423" s="16"/>
      <c r="AF423" s="16" t="str">
        <f>IFERROR(__xludf.DUMMYFUNCTION("""COMPUTED_VALUE"""),"++Dragons Armor: Damage dealt to the wearer by a dragon becomes halved. +-Cannot be forged +-Cannot be duplicated")</f>
        <v>++Dragons Armor: Damage dealt to the wearer by a dragon becomes halved. +-Cannot be forged +-Cannot be duplicated</v>
      </c>
      <c r="AG423" s="16" t="str">
        <f>IFERROR(__xludf.DUMMYFUNCTION("""COMPUTED_VALUE"""),"Dragonscale Island")</f>
        <v>Dragonscale Island</v>
      </c>
      <c r="AH423" s="16" t="b">
        <f>IFERROR(__xludf.DUMMYFUNCTION("""COMPUTED_VALUE"""),FALSE)</f>
        <v>0</v>
      </c>
    </row>
    <row r="424">
      <c r="A424" s="16" t="str">
        <f>IFERROR(__xludf.DUMMYFUNCTION("""COMPUTED_VALUE"""),"Dragonian Pauldrons")</f>
        <v>Dragonian Pauldrons</v>
      </c>
      <c r="B424" s="16" t="str">
        <f>IFERROR(__xludf.DUMMYFUNCTION("""COMPUTED_VALUE"""),"Shoulders")</f>
        <v>Shoulders</v>
      </c>
      <c r="C424" s="16"/>
      <c r="D424" s="16"/>
      <c r="E424" s="16">
        <f>IFERROR(__xludf.DUMMYFUNCTION("""COMPUTED_VALUE"""),200.0)</f>
        <v>200</v>
      </c>
      <c r="F424" s="108">
        <f>IFERROR(__xludf.DUMMYFUNCTION("""COMPUTED_VALUE"""),7.98E8)</f>
        <v>798000000</v>
      </c>
      <c r="G424" s="16" t="str">
        <f>IFERROR(__xludf.DUMMYFUNCTION("""COMPUTED_VALUE"""),"DEF")</f>
        <v>DEF</v>
      </c>
      <c r="H424" s="119">
        <f>IFERROR(__xludf.DUMMYFUNCTION("""COMPUTED_VALUE"""),50000.0)</f>
        <v>50000</v>
      </c>
      <c r="I424" s="119">
        <f>IFERROR(__xludf.DUMMYFUNCTION("""COMPUTED_VALUE"""),50000.0)</f>
        <v>50000</v>
      </c>
      <c r="J424" s="16"/>
      <c r="K424" s="16"/>
      <c r="L424" s="16"/>
      <c r="M424" s="16"/>
      <c r="N424" s="16"/>
      <c r="O424" s="16"/>
      <c r="P424" s="16"/>
      <c r="Q424" s="119">
        <f>IFERROR(__xludf.DUMMYFUNCTION("""COMPUTED_VALUE"""),50000.0)</f>
        <v>50000</v>
      </c>
      <c r="R424" s="16"/>
      <c r="S424" s="16"/>
      <c r="T424" s="16"/>
      <c r="U424" s="16"/>
      <c r="V424" s="16"/>
      <c r="W424" s="16"/>
      <c r="X424" s="16"/>
      <c r="Y424" s="119">
        <f>IFERROR(__xludf.DUMMYFUNCTION("""COMPUTED_VALUE"""),25000.0)</f>
        <v>25000</v>
      </c>
      <c r="Z424" s="16"/>
      <c r="AA424" s="16"/>
      <c r="AB424" s="16"/>
      <c r="AC424" s="119">
        <f>IFERROR(__xludf.DUMMYFUNCTION("""COMPUTED_VALUE"""),25000.0)</f>
        <v>25000</v>
      </c>
      <c r="AD424" s="16"/>
      <c r="AE424" s="16"/>
      <c r="AF424" s="16" t="str">
        <f>IFERROR(__xludf.DUMMYFUNCTION("""COMPUTED_VALUE"""),"++Dragons Armor: Damage dealt to the wearer by a dragon becomes halved. +-Cannot be forged +-Cannot be duplicated")</f>
        <v>++Dragons Armor: Damage dealt to the wearer by a dragon becomes halved. +-Cannot be forged +-Cannot be duplicated</v>
      </c>
      <c r="AG424" s="16" t="str">
        <f>IFERROR(__xludf.DUMMYFUNCTION("""COMPUTED_VALUE"""),"Dragonscale Island")</f>
        <v>Dragonscale Island</v>
      </c>
      <c r="AH424" s="16" t="b">
        <f>IFERROR(__xludf.DUMMYFUNCTION("""COMPUTED_VALUE"""),FALSE)</f>
        <v>0</v>
      </c>
    </row>
    <row r="425">
      <c r="A425" s="16" t="str">
        <f>IFERROR(__xludf.DUMMYFUNCTION("""COMPUTED_VALUE"""),"Dragonian Chestplate")</f>
        <v>Dragonian Chestplate</v>
      </c>
      <c r="B425" s="16" t="str">
        <f>IFERROR(__xludf.DUMMYFUNCTION("""COMPUTED_VALUE"""),"Torso")</f>
        <v>Torso</v>
      </c>
      <c r="C425" s="16"/>
      <c r="D425" s="16"/>
      <c r="E425" s="16">
        <f>IFERROR(__xludf.DUMMYFUNCTION("""COMPUTED_VALUE"""),200.0)</f>
        <v>200</v>
      </c>
      <c r="F425" s="108">
        <f>IFERROR(__xludf.DUMMYFUNCTION("""COMPUTED_VALUE"""),7.98E8)</f>
        <v>798000000</v>
      </c>
      <c r="G425" s="16" t="str">
        <f>IFERROR(__xludf.DUMMYFUNCTION("""COMPUTED_VALUE"""),"DEF")</f>
        <v>DEF</v>
      </c>
      <c r="H425" s="119">
        <f>IFERROR(__xludf.DUMMYFUNCTION("""COMPUTED_VALUE"""),50000.0)</f>
        <v>50000</v>
      </c>
      <c r="I425" s="119">
        <f>IFERROR(__xludf.DUMMYFUNCTION("""COMPUTED_VALUE"""),50000.0)</f>
        <v>50000</v>
      </c>
      <c r="J425" s="16"/>
      <c r="K425" s="16"/>
      <c r="L425" s="16"/>
      <c r="M425" s="16"/>
      <c r="N425" s="16"/>
      <c r="O425" s="16"/>
      <c r="P425" s="16"/>
      <c r="Q425" s="119">
        <f>IFERROR(__xludf.DUMMYFUNCTION("""COMPUTED_VALUE"""),50000.0)</f>
        <v>50000</v>
      </c>
      <c r="R425" s="16"/>
      <c r="S425" s="16"/>
      <c r="T425" s="16"/>
      <c r="U425" s="16"/>
      <c r="V425" s="16"/>
      <c r="W425" s="16"/>
      <c r="X425" s="16"/>
      <c r="Y425" s="119">
        <f>IFERROR(__xludf.DUMMYFUNCTION("""COMPUTED_VALUE"""),25000.0)</f>
        <v>25000</v>
      </c>
      <c r="Z425" s="16"/>
      <c r="AA425" s="16"/>
      <c r="AB425" s="16"/>
      <c r="AC425" s="119">
        <f>IFERROR(__xludf.DUMMYFUNCTION("""COMPUTED_VALUE"""),25000.0)</f>
        <v>25000</v>
      </c>
      <c r="AD425" s="16"/>
      <c r="AE425" s="16"/>
      <c r="AF425" s="16" t="str">
        <f>IFERROR(__xludf.DUMMYFUNCTION("""COMPUTED_VALUE"""),"++Dragons Armor: Damage dealt to the wearer by a dragon becomes halved. +-Cannot be forged +-Cannot be duplicated")</f>
        <v>++Dragons Armor: Damage dealt to the wearer by a dragon becomes halved. +-Cannot be forged +-Cannot be duplicated</v>
      </c>
      <c r="AG425" s="16" t="str">
        <f>IFERROR(__xludf.DUMMYFUNCTION("""COMPUTED_VALUE"""),"Dragonscale Island")</f>
        <v>Dragonscale Island</v>
      </c>
      <c r="AH425" s="16" t="b">
        <f>IFERROR(__xludf.DUMMYFUNCTION("""COMPUTED_VALUE"""),FALSE)</f>
        <v>0</v>
      </c>
    </row>
    <row r="426">
      <c r="A426" s="16" t="str">
        <f>IFERROR(__xludf.DUMMYFUNCTION("""COMPUTED_VALUE"""),"Dragonian Vambraces")</f>
        <v>Dragonian Vambraces</v>
      </c>
      <c r="B426" s="16" t="str">
        <f>IFERROR(__xludf.DUMMYFUNCTION("""COMPUTED_VALUE"""),"Arms")</f>
        <v>Arms</v>
      </c>
      <c r="C426" s="16"/>
      <c r="D426" s="16"/>
      <c r="E426" s="16">
        <f>IFERROR(__xludf.DUMMYFUNCTION("""COMPUTED_VALUE"""),200.0)</f>
        <v>200</v>
      </c>
      <c r="F426" s="108">
        <f>IFERROR(__xludf.DUMMYFUNCTION("""COMPUTED_VALUE"""),7.98E8)</f>
        <v>798000000</v>
      </c>
      <c r="G426" s="16" t="str">
        <f>IFERROR(__xludf.DUMMYFUNCTION("""COMPUTED_VALUE"""),"DEF")</f>
        <v>DEF</v>
      </c>
      <c r="H426" s="119">
        <f>IFERROR(__xludf.DUMMYFUNCTION("""COMPUTED_VALUE"""),50000.0)</f>
        <v>50000</v>
      </c>
      <c r="I426" s="119">
        <f>IFERROR(__xludf.DUMMYFUNCTION("""COMPUTED_VALUE"""),50000.0)</f>
        <v>50000</v>
      </c>
      <c r="J426" s="16"/>
      <c r="K426" s="16"/>
      <c r="L426" s="16"/>
      <c r="M426" s="16"/>
      <c r="N426" s="16"/>
      <c r="O426" s="16"/>
      <c r="P426" s="16"/>
      <c r="Q426" s="119">
        <f>IFERROR(__xludf.DUMMYFUNCTION("""COMPUTED_VALUE"""),50000.0)</f>
        <v>50000</v>
      </c>
      <c r="R426" s="16"/>
      <c r="S426" s="16"/>
      <c r="T426" s="16"/>
      <c r="U426" s="16"/>
      <c r="V426" s="16"/>
      <c r="W426" s="16"/>
      <c r="X426" s="16"/>
      <c r="Y426" s="119">
        <f>IFERROR(__xludf.DUMMYFUNCTION("""COMPUTED_VALUE"""),25000.0)</f>
        <v>25000</v>
      </c>
      <c r="Z426" s="16"/>
      <c r="AA426" s="16"/>
      <c r="AB426" s="16"/>
      <c r="AC426" s="119">
        <f>IFERROR(__xludf.DUMMYFUNCTION("""COMPUTED_VALUE"""),25000.0)</f>
        <v>25000</v>
      </c>
      <c r="AD426" s="16"/>
      <c r="AE426" s="16"/>
      <c r="AF426" s="16" t="str">
        <f>IFERROR(__xludf.DUMMYFUNCTION("""COMPUTED_VALUE"""),"++Dragons Armor: Damage dealt to the wearer by a dragon becomes halved. +-Cannot be forged +-Cannot be duplicated")</f>
        <v>++Dragons Armor: Damage dealt to the wearer by a dragon becomes halved. +-Cannot be forged +-Cannot be duplicated</v>
      </c>
      <c r="AG426" s="16" t="str">
        <f>IFERROR(__xludf.DUMMYFUNCTION("""COMPUTED_VALUE"""),"Dragonscale Island")</f>
        <v>Dragonscale Island</v>
      </c>
      <c r="AH426" s="16" t="b">
        <f>IFERROR(__xludf.DUMMYFUNCTION("""COMPUTED_VALUE"""),FALSE)</f>
        <v>0</v>
      </c>
    </row>
    <row r="427">
      <c r="A427" s="16" t="str">
        <f>IFERROR(__xludf.DUMMYFUNCTION("""COMPUTED_VALUE"""),"Dragonian Greaves")</f>
        <v>Dragonian Greaves</v>
      </c>
      <c r="B427" s="16" t="str">
        <f>IFERROR(__xludf.DUMMYFUNCTION("""COMPUTED_VALUE"""),"Legs")</f>
        <v>Legs</v>
      </c>
      <c r="C427" s="16"/>
      <c r="D427" s="16"/>
      <c r="E427" s="16">
        <f>IFERROR(__xludf.DUMMYFUNCTION("""COMPUTED_VALUE"""),200.0)</f>
        <v>200</v>
      </c>
      <c r="F427" s="108">
        <f>IFERROR(__xludf.DUMMYFUNCTION("""COMPUTED_VALUE"""),7.98E8)</f>
        <v>798000000</v>
      </c>
      <c r="G427" s="16" t="str">
        <f>IFERROR(__xludf.DUMMYFUNCTION("""COMPUTED_VALUE"""),"DEF")</f>
        <v>DEF</v>
      </c>
      <c r="H427" s="119">
        <f>IFERROR(__xludf.DUMMYFUNCTION("""COMPUTED_VALUE"""),50000.0)</f>
        <v>50000</v>
      </c>
      <c r="I427" s="119">
        <f>IFERROR(__xludf.DUMMYFUNCTION("""COMPUTED_VALUE"""),50000.0)</f>
        <v>50000</v>
      </c>
      <c r="J427" s="16"/>
      <c r="K427" s="16"/>
      <c r="L427" s="16"/>
      <c r="M427" s="16"/>
      <c r="N427" s="16"/>
      <c r="O427" s="16"/>
      <c r="P427" s="16"/>
      <c r="Q427" s="119">
        <f>IFERROR(__xludf.DUMMYFUNCTION("""COMPUTED_VALUE"""),50000.0)</f>
        <v>50000</v>
      </c>
      <c r="R427" s="16"/>
      <c r="S427" s="16"/>
      <c r="T427" s="16"/>
      <c r="U427" s="16"/>
      <c r="V427" s="16"/>
      <c r="W427" s="16"/>
      <c r="X427" s="16"/>
      <c r="Y427" s="119">
        <f>IFERROR(__xludf.DUMMYFUNCTION("""COMPUTED_VALUE"""),25000.0)</f>
        <v>25000</v>
      </c>
      <c r="Z427" s="16"/>
      <c r="AA427" s="16"/>
      <c r="AB427" s="16"/>
      <c r="AC427" s="119">
        <f>IFERROR(__xludf.DUMMYFUNCTION("""COMPUTED_VALUE"""),25000.0)</f>
        <v>25000</v>
      </c>
      <c r="AD427" s="16"/>
      <c r="AE427" s="16"/>
      <c r="AF427" s="16" t="str">
        <f>IFERROR(__xludf.DUMMYFUNCTION("""COMPUTED_VALUE"""),"++Dragons Armor: Damage dealt to the wearer by a dragon becomes halved. +-Cannot be forged +-Cannot be duplicated")</f>
        <v>++Dragons Armor: Damage dealt to the wearer by a dragon becomes halved. +-Cannot be forged +-Cannot be duplicated</v>
      </c>
      <c r="AG427" s="16" t="str">
        <f>IFERROR(__xludf.DUMMYFUNCTION("""COMPUTED_VALUE"""),"Dragonscale Island")</f>
        <v>Dragonscale Island</v>
      </c>
      <c r="AH427" s="16" t="b">
        <f>IFERROR(__xludf.DUMMYFUNCTION("""COMPUTED_VALUE"""),FALSE)</f>
        <v>0</v>
      </c>
    </row>
    <row r="428">
      <c r="A428" s="16" t="str">
        <f>IFERROR(__xludf.DUMMYFUNCTION("""COMPUTED_VALUE"""),"Dragonian Boots")</f>
        <v>Dragonian Boots</v>
      </c>
      <c r="B428" s="16" t="str">
        <f>IFERROR(__xludf.DUMMYFUNCTION("""COMPUTED_VALUE"""),"Feet")</f>
        <v>Feet</v>
      </c>
      <c r="C428" s="16"/>
      <c r="D428" s="16"/>
      <c r="E428" s="16">
        <f>IFERROR(__xludf.DUMMYFUNCTION("""COMPUTED_VALUE"""),200.0)</f>
        <v>200</v>
      </c>
      <c r="F428" s="108">
        <f>IFERROR(__xludf.DUMMYFUNCTION("""COMPUTED_VALUE"""),7.98E8)</f>
        <v>798000000</v>
      </c>
      <c r="G428" s="16" t="str">
        <f>IFERROR(__xludf.DUMMYFUNCTION("""COMPUTED_VALUE"""),"DEF")</f>
        <v>DEF</v>
      </c>
      <c r="H428" s="119">
        <f>IFERROR(__xludf.DUMMYFUNCTION("""COMPUTED_VALUE"""),50000.0)</f>
        <v>50000</v>
      </c>
      <c r="I428" s="119">
        <f>IFERROR(__xludf.DUMMYFUNCTION("""COMPUTED_VALUE"""),50000.0)</f>
        <v>50000</v>
      </c>
      <c r="J428" s="16"/>
      <c r="K428" s="16"/>
      <c r="L428" s="16"/>
      <c r="M428" s="16"/>
      <c r="N428" s="16"/>
      <c r="O428" s="16"/>
      <c r="P428" s="16"/>
      <c r="Q428" s="119">
        <f>IFERROR(__xludf.DUMMYFUNCTION("""COMPUTED_VALUE"""),50000.0)</f>
        <v>50000</v>
      </c>
      <c r="R428" s="16"/>
      <c r="S428" s="16"/>
      <c r="T428" s="16"/>
      <c r="U428" s="16"/>
      <c r="V428" s="16"/>
      <c r="W428" s="16"/>
      <c r="X428" s="16"/>
      <c r="Y428" s="119">
        <f>IFERROR(__xludf.DUMMYFUNCTION("""COMPUTED_VALUE"""),25000.0)</f>
        <v>25000</v>
      </c>
      <c r="Z428" s="16"/>
      <c r="AA428" s="16"/>
      <c r="AB428" s="16"/>
      <c r="AC428" s="119">
        <f>IFERROR(__xludf.DUMMYFUNCTION("""COMPUTED_VALUE"""),25000.0)</f>
        <v>25000</v>
      </c>
      <c r="AD428" s="16"/>
      <c r="AE428" s="16"/>
      <c r="AF428" s="16" t="str">
        <f>IFERROR(__xludf.DUMMYFUNCTION("""COMPUTED_VALUE"""),"++Dragons Armor: Damage dealt to the wearer by a dragon becomes halved. +-Cannot be forged +-Cannot be duplicated")</f>
        <v>++Dragons Armor: Damage dealt to the wearer by a dragon becomes halved. +-Cannot be forged +-Cannot be duplicated</v>
      </c>
      <c r="AG428" s="16" t="str">
        <f>IFERROR(__xludf.DUMMYFUNCTION("""COMPUTED_VALUE"""),"Dragonscale Island")</f>
        <v>Dragonscale Island</v>
      </c>
      <c r="AH428" s="16" t="b">
        <f>IFERROR(__xludf.DUMMYFUNCTION("""COMPUTED_VALUE"""),FALSE)</f>
        <v>0</v>
      </c>
    </row>
    <row r="429">
      <c r="A429" s="16" t="str">
        <f>IFERROR(__xludf.DUMMYFUNCTION("""COMPUTED_VALUE"""),"Dragonian Pendent")</f>
        <v>Dragonian Pendent</v>
      </c>
      <c r="B429" s="16" t="str">
        <f>IFERROR(__xludf.DUMMYFUNCTION("""COMPUTED_VALUE"""),"Neck")</f>
        <v>Neck</v>
      </c>
      <c r="C429" s="16"/>
      <c r="D429" s="16"/>
      <c r="E429" s="16">
        <f>IFERROR(__xludf.DUMMYFUNCTION("""COMPUTED_VALUE"""),200.0)</f>
        <v>200</v>
      </c>
      <c r="F429" s="108">
        <f>IFERROR(__xludf.DUMMYFUNCTION("""COMPUTED_VALUE"""),4350000.0)</f>
        <v>4350000</v>
      </c>
      <c r="G429" s="16" t="str">
        <f>IFERROR(__xludf.DUMMYFUNCTION("""COMPUTED_VALUE"""),"DEF")</f>
        <v>DEF</v>
      </c>
      <c r="H429" s="16"/>
      <c r="I429" s="16"/>
      <c r="J429" s="16"/>
      <c r="K429" s="16"/>
      <c r="L429" s="16"/>
      <c r="M429" s="16"/>
      <c r="N429" s="16"/>
      <c r="O429" s="16"/>
      <c r="P429" s="16"/>
      <c r="Q429" s="16"/>
      <c r="R429" s="16"/>
      <c r="S429" s="16"/>
      <c r="T429" s="16"/>
      <c r="U429" s="16"/>
      <c r="V429" s="16"/>
      <c r="W429" s="16"/>
      <c r="X429" s="16"/>
      <c r="Y429" s="16"/>
      <c r="Z429" s="16"/>
      <c r="AA429" s="16"/>
      <c r="AB429" s="16"/>
      <c r="AC429" s="119">
        <f>IFERROR(__xludf.DUMMYFUNCTION("""COMPUTED_VALUE"""),15000.0)</f>
        <v>15000</v>
      </c>
      <c r="AD429" s="16"/>
      <c r="AE429" s="16"/>
      <c r="AF429" s="16" t="str">
        <f>IFERROR(__xludf.DUMMYFUNCTION("""COMPUTED_VALUE"""),"++Dragon Dealer: Damage dealt to dragons by the wearer is increased by X4. +-Cannot be forged +-Cannot be duplicated")</f>
        <v>++Dragon Dealer: Damage dealt to dragons by the wearer is increased by X4. +-Cannot be forged +-Cannot be duplicated</v>
      </c>
      <c r="AG429" s="16" t="str">
        <f>IFERROR(__xludf.DUMMYFUNCTION("""COMPUTED_VALUE"""),"Dragonscale Island")</f>
        <v>Dragonscale Island</v>
      </c>
      <c r="AH429" s="16" t="b">
        <f>IFERROR(__xludf.DUMMYFUNCTION("""COMPUTED_VALUE"""),FALSE)</f>
        <v>0</v>
      </c>
    </row>
    <row r="430">
      <c r="A430" s="16" t="str">
        <f>IFERROR(__xludf.DUMMYFUNCTION("""COMPUTED_VALUE"""),"Dragonian Ring")</f>
        <v>Dragonian Ring</v>
      </c>
      <c r="B430" s="16" t="str">
        <f>IFERROR(__xludf.DUMMYFUNCTION("""COMPUTED_VALUE"""),"Ring")</f>
        <v>Ring</v>
      </c>
      <c r="C430" s="16"/>
      <c r="D430" s="16"/>
      <c r="E430" s="16">
        <f>IFERROR(__xludf.DUMMYFUNCTION("""COMPUTED_VALUE"""),200.0)</f>
        <v>200</v>
      </c>
      <c r="F430" s="108">
        <f>IFERROR(__xludf.DUMMYFUNCTION("""COMPUTED_VALUE"""),4350000.0)</f>
        <v>4350000</v>
      </c>
      <c r="G430" s="16" t="str">
        <f>IFERROR(__xludf.DUMMYFUNCTION("""COMPUTED_VALUE"""),"DEF")</f>
        <v>DEF</v>
      </c>
      <c r="H430" s="16"/>
      <c r="I430" s="16"/>
      <c r="J430" s="16"/>
      <c r="K430" s="16"/>
      <c r="L430" s="16"/>
      <c r="M430" s="16"/>
      <c r="N430" s="16"/>
      <c r="O430" s="16"/>
      <c r="P430" s="16"/>
      <c r="Q430" s="16"/>
      <c r="R430" s="16"/>
      <c r="S430" s="16"/>
      <c r="T430" s="16"/>
      <c r="U430" s="16"/>
      <c r="V430" s="16"/>
      <c r="W430" s="16"/>
      <c r="X430" s="16"/>
      <c r="Y430" s="16"/>
      <c r="Z430" s="16"/>
      <c r="AA430" s="16"/>
      <c r="AB430" s="16"/>
      <c r="AC430" s="119">
        <f>IFERROR(__xludf.DUMMYFUNCTION("""COMPUTED_VALUE"""),15000.0)</f>
        <v>15000</v>
      </c>
      <c r="AD430" s="16"/>
      <c r="AE430" s="16"/>
      <c r="AF430" s="16" t="str">
        <f>IFERROR(__xludf.DUMMYFUNCTION("""COMPUTED_VALUE"""),"++Dragon Dealer: Damage dealt to dragons by the wearer is increased by X4. +-Cannot be forged +-Cannot be duplicated")</f>
        <v>++Dragon Dealer: Damage dealt to dragons by the wearer is increased by X4. +-Cannot be forged +-Cannot be duplicated</v>
      </c>
      <c r="AG430" s="16" t="str">
        <f>IFERROR(__xludf.DUMMYFUNCTION("""COMPUTED_VALUE"""),"Dragonscale Island")</f>
        <v>Dragonscale Island</v>
      </c>
      <c r="AH430" s="16" t="b">
        <f>IFERROR(__xludf.DUMMYFUNCTION("""COMPUTED_VALUE"""),FALSE)</f>
        <v>0</v>
      </c>
    </row>
    <row r="431">
      <c r="A431" s="16" t="str">
        <f>IFERROR(__xludf.DUMMYFUNCTION("""COMPUTED_VALUE"""),"Fishing Pole of Luck and Power")</f>
        <v>Fishing Pole of Luck and Power</v>
      </c>
      <c r="B431" s="16" t="str">
        <f>IFERROR(__xludf.DUMMYFUNCTION("""COMPUTED_VALUE"""),"Hand")</f>
        <v>Hand</v>
      </c>
      <c r="C431" s="16"/>
      <c r="D431" s="16" t="str">
        <f>IFERROR(__xludf.DUMMYFUNCTION("""COMPUTED_VALUE"""),"Club")</f>
        <v>Club</v>
      </c>
      <c r="E431" s="16">
        <f>IFERROR(__xludf.DUMMYFUNCTION("""COMPUTED_VALUE"""),1600.0)</f>
        <v>1600</v>
      </c>
      <c r="F431" s="108">
        <f>IFERROR(__xludf.DUMMYFUNCTION("""COMPUTED_VALUE"""),1.272E8)</f>
        <v>127200000</v>
      </c>
      <c r="G431" s="16" t="str">
        <f>IFERROR(__xludf.DUMMYFUNCTION("""COMPUTED_VALUE"""),"DMG")</f>
        <v>DMG</v>
      </c>
      <c r="H431" s="119">
        <f>IFERROR(__xludf.DUMMYFUNCTION("""COMPUTED_VALUE"""),20000.0)</f>
        <v>20000</v>
      </c>
      <c r="I431" s="119">
        <f>IFERROR(__xludf.DUMMYFUNCTION("""COMPUTED_VALUE"""),20000.0)</f>
        <v>20000</v>
      </c>
      <c r="J431" s="16"/>
      <c r="K431" s="119">
        <f>IFERROR(__xludf.DUMMYFUNCTION("""COMPUTED_VALUE"""),20000.0)</f>
        <v>20000</v>
      </c>
      <c r="L431" s="119">
        <f>IFERROR(__xludf.DUMMYFUNCTION("""COMPUTED_VALUE"""),20000.0)</f>
        <v>20000</v>
      </c>
      <c r="M431" s="16"/>
      <c r="N431" s="16"/>
      <c r="O431" s="16"/>
      <c r="P431" s="16"/>
      <c r="Q431" s="16"/>
      <c r="R431" s="16"/>
      <c r="S431" s="16"/>
      <c r="T431" s="16"/>
      <c r="U431" s="16"/>
      <c r="V431" s="16"/>
      <c r="W431" s="16"/>
      <c r="X431" s="16"/>
      <c r="Y431" s="16"/>
      <c r="Z431" s="16"/>
      <c r="AA431" s="16"/>
      <c r="AB431" s="16"/>
      <c r="AC431" s="16"/>
      <c r="AD431" s="16"/>
      <c r="AE431" s="16"/>
      <c r="AF431" s="16" t="str">
        <f>IFERROR(__xludf.DUMMYFUNCTION("""COMPUTED_VALUE"""),"++Can be used as a weapon or to fish, Will cook fish that are caught. ++When you deal damage to a target with this item it will have a 50% chance to remove them from battle.")</f>
        <v>++Can be used as a weapon or to fish, Will cook fish that are caught. ++When you deal damage to a target with this item it will have a 50% chance to remove them from battle.</v>
      </c>
      <c r="AG431" s="16" t="str">
        <f>IFERROR(__xludf.DUMMYFUNCTION("""COMPUTED_VALUE"""),"Land of Spira")</f>
        <v>Land of Spira</v>
      </c>
      <c r="AH431" s="16" t="b">
        <f>IFERROR(__xludf.DUMMYFUNCTION("""COMPUTED_VALUE"""),FALSE)</f>
        <v>0</v>
      </c>
    </row>
    <row r="432">
      <c r="A432" s="16" t="str">
        <f>IFERROR(__xludf.DUMMYFUNCTION("""COMPUTED_VALUE"""),"Ancient Oni Pauldrons")</f>
        <v>Ancient Oni Pauldrons</v>
      </c>
      <c r="B432" s="16" t="str">
        <f>IFERROR(__xludf.DUMMYFUNCTION("""COMPUTED_VALUE"""),"Shoulders")</f>
        <v>Shoulders</v>
      </c>
      <c r="C432" s="16" t="str">
        <f>IFERROR(__xludf.DUMMYFUNCTION("""COMPUTED_VALUE"""),"An ancient relic to Zhenmay")</f>
        <v>An ancient relic to Zhenmay</v>
      </c>
      <c r="D432" s="16"/>
      <c r="E432" s="16">
        <f>IFERROR(__xludf.DUMMYFUNCTION("""COMPUTED_VALUE"""),200.0)</f>
        <v>200</v>
      </c>
      <c r="F432" s="108">
        <f>IFERROR(__xludf.DUMMYFUNCTION("""COMPUTED_VALUE"""),5.104E8)</f>
        <v>510400000</v>
      </c>
      <c r="G432" s="16" t="str">
        <f>IFERROR(__xludf.DUMMYFUNCTION("""COMPUTED_VALUE"""),"DEF")</f>
        <v>DEF</v>
      </c>
      <c r="H432" s="119">
        <f>IFERROR(__xludf.DUMMYFUNCTION("""COMPUTED_VALUE"""),10000.0)</f>
        <v>10000</v>
      </c>
      <c r="I432" s="119">
        <f>IFERROR(__xludf.DUMMYFUNCTION("""COMPUTED_VALUE"""),10000.0)</f>
        <v>10000</v>
      </c>
      <c r="J432" s="119">
        <f>IFERROR(__xludf.DUMMYFUNCTION("""COMPUTED_VALUE"""),10000.0)</f>
        <v>10000</v>
      </c>
      <c r="K432" s="119">
        <f>IFERROR(__xludf.DUMMYFUNCTION("""COMPUTED_VALUE"""),10000.0)</f>
        <v>10000</v>
      </c>
      <c r="L432" s="119">
        <f>IFERROR(__xludf.DUMMYFUNCTION("""COMPUTED_VALUE"""),10000.0)</f>
        <v>10000</v>
      </c>
      <c r="M432" s="119">
        <f>IFERROR(__xludf.DUMMYFUNCTION("""COMPUTED_VALUE"""),10000.0)</f>
        <v>10000</v>
      </c>
      <c r="N432" s="119">
        <f>IFERROR(__xludf.DUMMYFUNCTION("""COMPUTED_VALUE"""),10000.0)</f>
        <v>10000</v>
      </c>
      <c r="O432" s="119">
        <f>IFERROR(__xludf.DUMMYFUNCTION("""COMPUTED_VALUE"""),10000.0)</f>
        <v>10000</v>
      </c>
      <c r="P432" s="119">
        <f>IFERROR(__xludf.DUMMYFUNCTION("""COMPUTED_VALUE"""),10000.0)</f>
        <v>10000</v>
      </c>
      <c r="Q432" s="119">
        <f>IFERROR(__xludf.DUMMYFUNCTION("""COMPUTED_VALUE"""),10000.0)</f>
        <v>10000</v>
      </c>
      <c r="R432" s="119">
        <f>IFERROR(__xludf.DUMMYFUNCTION("""COMPUTED_VALUE"""),10000.0)</f>
        <v>10000</v>
      </c>
      <c r="S432" s="119">
        <f>IFERROR(__xludf.DUMMYFUNCTION("""COMPUTED_VALUE"""),10000.0)</f>
        <v>10000</v>
      </c>
      <c r="T432" s="16"/>
      <c r="U432" s="16"/>
      <c r="V432" s="16"/>
      <c r="W432" s="16"/>
      <c r="X432" s="119">
        <f>IFERROR(__xludf.DUMMYFUNCTION("""COMPUTED_VALUE"""),10000.0)</f>
        <v>10000</v>
      </c>
      <c r="Y432" s="119">
        <f>IFERROR(__xludf.DUMMYFUNCTION("""COMPUTED_VALUE"""),10000.0)</f>
        <v>10000</v>
      </c>
      <c r="Z432" s="16"/>
      <c r="AA432" s="16"/>
      <c r="AB432" s="119">
        <f>IFERROR(__xludf.DUMMYFUNCTION("""COMPUTED_VALUE"""),10000.0)</f>
        <v>10000</v>
      </c>
      <c r="AC432" s="119">
        <f>IFERROR(__xludf.DUMMYFUNCTION("""COMPUTED_VALUE"""),10000.0)</f>
        <v>10000</v>
      </c>
      <c r="AD432" s="16"/>
      <c r="AE432" s="16"/>
      <c r="AF432" s="16" t="str">
        <f>IFERROR(__xludf.DUMMYFUNCTION("""COMPUTED_VALUE"""),"++X2 damage for all elements. +-Only Samurai's, Monks, and Ninjas can equip. +-Cannot be forged +-Cannot be duplicated")</f>
        <v>++X2 damage for all elements. +-Only Samurai's, Monks, and Ninjas can equip. +-Cannot be forged +-Cannot be duplicated</v>
      </c>
      <c r="AG432" s="16" t="str">
        <f>IFERROR(__xludf.DUMMYFUNCTION("""COMPUTED_VALUE"""),"Land of Spira")</f>
        <v>Land of Spira</v>
      </c>
      <c r="AH432" s="16" t="b">
        <f>IFERROR(__xludf.DUMMYFUNCTION("""COMPUTED_VALUE"""),FALSE)</f>
        <v>0</v>
      </c>
    </row>
    <row r="433">
      <c r="A433" s="16" t="str">
        <f>IFERROR(__xludf.DUMMYFUNCTION("""COMPUTED_VALUE"""),"Ancient Oni Vambraces")</f>
        <v>Ancient Oni Vambraces</v>
      </c>
      <c r="B433" s="16" t="str">
        <f>IFERROR(__xludf.DUMMYFUNCTION("""COMPUTED_VALUE"""),"Arms")</f>
        <v>Arms</v>
      </c>
      <c r="C433" s="16" t="str">
        <f>IFERROR(__xludf.DUMMYFUNCTION("""COMPUTED_VALUE"""),"An ancient relic to Zhenmay")</f>
        <v>An ancient relic to Zhenmay</v>
      </c>
      <c r="D433" s="16"/>
      <c r="E433" s="16">
        <f>IFERROR(__xludf.DUMMYFUNCTION("""COMPUTED_VALUE"""),200.0)</f>
        <v>200</v>
      </c>
      <c r="F433" s="108">
        <f>IFERROR(__xludf.DUMMYFUNCTION("""COMPUTED_VALUE"""),5.104E8)</f>
        <v>510400000</v>
      </c>
      <c r="G433" s="16" t="str">
        <f>IFERROR(__xludf.DUMMYFUNCTION("""COMPUTED_VALUE"""),"DEF")</f>
        <v>DEF</v>
      </c>
      <c r="H433" s="119">
        <f>IFERROR(__xludf.DUMMYFUNCTION("""COMPUTED_VALUE"""),10000.0)</f>
        <v>10000</v>
      </c>
      <c r="I433" s="119">
        <f>IFERROR(__xludf.DUMMYFUNCTION("""COMPUTED_VALUE"""),10000.0)</f>
        <v>10000</v>
      </c>
      <c r="J433" s="119">
        <f>IFERROR(__xludf.DUMMYFUNCTION("""COMPUTED_VALUE"""),10000.0)</f>
        <v>10000</v>
      </c>
      <c r="K433" s="119">
        <f>IFERROR(__xludf.DUMMYFUNCTION("""COMPUTED_VALUE"""),10000.0)</f>
        <v>10000</v>
      </c>
      <c r="L433" s="119">
        <f>IFERROR(__xludf.DUMMYFUNCTION("""COMPUTED_VALUE"""),10000.0)</f>
        <v>10000</v>
      </c>
      <c r="M433" s="119">
        <f>IFERROR(__xludf.DUMMYFUNCTION("""COMPUTED_VALUE"""),10000.0)</f>
        <v>10000</v>
      </c>
      <c r="N433" s="119">
        <f>IFERROR(__xludf.DUMMYFUNCTION("""COMPUTED_VALUE"""),10000.0)</f>
        <v>10000</v>
      </c>
      <c r="O433" s="119">
        <f>IFERROR(__xludf.DUMMYFUNCTION("""COMPUTED_VALUE"""),10000.0)</f>
        <v>10000</v>
      </c>
      <c r="P433" s="119">
        <f>IFERROR(__xludf.DUMMYFUNCTION("""COMPUTED_VALUE"""),10000.0)</f>
        <v>10000</v>
      </c>
      <c r="Q433" s="119">
        <f>IFERROR(__xludf.DUMMYFUNCTION("""COMPUTED_VALUE"""),10000.0)</f>
        <v>10000</v>
      </c>
      <c r="R433" s="119">
        <f>IFERROR(__xludf.DUMMYFUNCTION("""COMPUTED_VALUE"""),10000.0)</f>
        <v>10000</v>
      </c>
      <c r="S433" s="119">
        <f>IFERROR(__xludf.DUMMYFUNCTION("""COMPUTED_VALUE"""),10000.0)</f>
        <v>10000</v>
      </c>
      <c r="T433" s="16"/>
      <c r="U433" s="16"/>
      <c r="V433" s="16"/>
      <c r="W433" s="16"/>
      <c r="X433" s="119">
        <f>IFERROR(__xludf.DUMMYFUNCTION("""COMPUTED_VALUE"""),10000.0)</f>
        <v>10000</v>
      </c>
      <c r="Y433" s="119">
        <f>IFERROR(__xludf.DUMMYFUNCTION("""COMPUTED_VALUE"""),10000.0)</f>
        <v>10000</v>
      </c>
      <c r="Z433" s="16"/>
      <c r="AA433" s="16"/>
      <c r="AB433" s="119">
        <f>IFERROR(__xludf.DUMMYFUNCTION("""COMPUTED_VALUE"""),10000.0)</f>
        <v>10000</v>
      </c>
      <c r="AC433" s="119">
        <f>IFERROR(__xludf.DUMMYFUNCTION("""COMPUTED_VALUE"""),10000.0)</f>
        <v>10000</v>
      </c>
      <c r="AD433" s="16"/>
      <c r="AE433" s="16"/>
      <c r="AF433" s="16" t="str">
        <f>IFERROR(__xludf.DUMMYFUNCTION("""COMPUTED_VALUE"""),"++X2 additional damage for all elements. +-Only Samurai's, Monks, and Ninjas can equip. +-Cannot be forged +-Cannot be duplicated")</f>
        <v>++X2 additional damage for all elements. +-Only Samurai's, Monks, and Ninjas can equip. +-Cannot be forged +-Cannot be duplicated</v>
      </c>
      <c r="AG433" s="16" t="str">
        <f>IFERROR(__xludf.DUMMYFUNCTION("""COMPUTED_VALUE"""),"Land of Spira")</f>
        <v>Land of Spira</v>
      </c>
      <c r="AH433" s="16" t="b">
        <f>IFERROR(__xludf.DUMMYFUNCTION("""COMPUTED_VALUE"""),FALSE)</f>
        <v>0</v>
      </c>
    </row>
    <row r="434">
      <c r="A434" s="16" t="str">
        <f>IFERROR(__xludf.DUMMYFUNCTION("""COMPUTED_VALUE"""),"Ancient Oni Greaves")</f>
        <v>Ancient Oni Greaves</v>
      </c>
      <c r="B434" s="16" t="str">
        <f>IFERROR(__xludf.DUMMYFUNCTION("""COMPUTED_VALUE"""),"Legs")</f>
        <v>Legs</v>
      </c>
      <c r="C434" s="16" t="str">
        <f>IFERROR(__xludf.DUMMYFUNCTION("""COMPUTED_VALUE"""),"An ancient relic to Zhenmay")</f>
        <v>An ancient relic to Zhenmay</v>
      </c>
      <c r="D434" s="16"/>
      <c r="E434" s="16">
        <f>IFERROR(__xludf.DUMMYFUNCTION("""COMPUTED_VALUE"""),200.0)</f>
        <v>200</v>
      </c>
      <c r="F434" s="108">
        <f>IFERROR(__xludf.DUMMYFUNCTION("""COMPUTED_VALUE"""),5.104E8)</f>
        <v>510400000</v>
      </c>
      <c r="G434" s="16" t="str">
        <f>IFERROR(__xludf.DUMMYFUNCTION("""COMPUTED_VALUE"""),"DEF")</f>
        <v>DEF</v>
      </c>
      <c r="H434" s="119">
        <f>IFERROR(__xludf.DUMMYFUNCTION("""COMPUTED_VALUE"""),10000.0)</f>
        <v>10000</v>
      </c>
      <c r="I434" s="119">
        <f>IFERROR(__xludf.DUMMYFUNCTION("""COMPUTED_VALUE"""),10000.0)</f>
        <v>10000</v>
      </c>
      <c r="J434" s="119">
        <f>IFERROR(__xludf.DUMMYFUNCTION("""COMPUTED_VALUE"""),10000.0)</f>
        <v>10000</v>
      </c>
      <c r="K434" s="119">
        <f>IFERROR(__xludf.DUMMYFUNCTION("""COMPUTED_VALUE"""),10000.0)</f>
        <v>10000</v>
      </c>
      <c r="L434" s="119">
        <f>IFERROR(__xludf.DUMMYFUNCTION("""COMPUTED_VALUE"""),10000.0)</f>
        <v>10000</v>
      </c>
      <c r="M434" s="119">
        <f>IFERROR(__xludf.DUMMYFUNCTION("""COMPUTED_VALUE"""),10000.0)</f>
        <v>10000</v>
      </c>
      <c r="N434" s="119">
        <f>IFERROR(__xludf.DUMMYFUNCTION("""COMPUTED_VALUE"""),10000.0)</f>
        <v>10000</v>
      </c>
      <c r="O434" s="119">
        <f>IFERROR(__xludf.DUMMYFUNCTION("""COMPUTED_VALUE"""),10000.0)</f>
        <v>10000</v>
      </c>
      <c r="P434" s="119">
        <f>IFERROR(__xludf.DUMMYFUNCTION("""COMPUTED_VALUE"""),10000.0)</f>
        <v>10000</v>
      </c>
      <c r="Q434" s="119">
        <f>IFERROR(__xludf.DUMMYFUNCTION("""COMPUTED_VALUE"""),10000.0)</f>
        <v>10000</v>
      </c>
      <c r="R434" s="119">
        <f>IFERROR(__xludf.DUMMYFUNCTION("""COMPUTED_VALUE"""),10000.0)</f>
        <v>10000</v>
      </c>
      <c r="S434" s="119">
        <f>IFERROR(__xludf.DUMMYFUNCTION("""COMPUTED_VALUE"""),10000.0)</f>
        <v>10000</v>
      </c>
      <c r="T434" s="16"/>
      <c r="U434" s="16"/>
      <c r="V434" s="16"/>
      <c r="W434" s="16"/>
      <c r="X434" s="119">
        <f>IFERROR(__xludf.DUMMYFUNCTION("""COMPUTED_VALUE"""),10000.0)</f>
        <v>10000</v>
      </c>
      <c r="Y434" s="119">
        <f>IFERROR(__xludf.DUMMYFUNCTION("""COMPUTED_VALUE"""),10000.0)</f>
        <v>10000</v>
      </c>
      <c r="Z434" s="16"/>
      <c r="AA434" s="16"/>
      <c r="AB434" s="119">
        <f>IFERROR(__xludf.DUMMYFUNCTION("""COMPUTED_VALUE"""),10000.0)</f>
        <v>10000</v>
      </c>
      <c r="AC434" s="119">
        <f>IFERROR(__xludf.DUMMYFUNCTION("""COMPUTED_VALUE"""),10000.0)</f>
        <v>10000</v>
      </c>
      <c r="AD434" s="16"/>
      <c r="AE434" s="16"/>
      <c r="AF434" s="16" t="str">
        <f>IFERROR(__xludf.DUMMYFUNCTION("""COMPUTED_VALUE"""),"++X2 additional damage for all elements. +-Only Samurai's, Monks, and Ninjas can equip. +-Cannot be forged +-Cannot be duplicated")</f>
        <v>++X2 additional damage for all elements. +-Only Samurai's, Monks, and Ninjas can equip. +-Cannot be forged +-Cannot be duplicated</v>
      </c>
      <c r="AG434" s="16" t="str">
        <f>IFERROR(__xludf.DUMMYFUNCTION("""COMPUTED_VALUE"""),"Land of Spira")</f>
        <v>Land of Spira</v>
      </c>
      <c r="AH434" s="16" t="b">
        <f>IFERROR(__xludf.DUMMYFUNCTION("""COMPUTED_VALUE"""),FALSE)</f>
        <v>0</v>
      </c>
    </row>
    <row r="435">
      <c r="A435" s="16" t="str">
        <f>IFERROR(__xludf.DUMMYFUNCTION("""COMPUTED_VALUE"""),"Ancient Oni Boots")</f>
        <v>Ancient Oni Boots</v>
      </c>
      <c r="B435" s="16" t="str">
        <f>IFERROR(__xludf.DUMMYFUNCTION("""COMPUTED_VALUE"""),"Feet")</f>
        <v>Feet</v>
      </c>
      <c r="C435" s="16" t="str">
        <f>IFERROR(__xludf.DUMMYFUNCTION("""COMPUTED_VALUE"""),"An ancient relic to Zhenmay")</f>
        <v>An ancient relic to Zhenmay</v>
      </c>
      <c r="D435" s="16"/>
      <c r="E435" s="16">
        <f>IFERROR(__xludf.DUMMYFUNCTION("""COMPUTED_VALUE"""),200.0)</f>
        <v>200</v>
      </c>
      <c r="F435" s="108">
        <f>IFERROR(__xludf.DUMMYFUNCTION("""COMPUTED_VALUE"""),5.104E8)</f>
        <v>510400000</v>
      </c>
      <c r="G435" s="16" t="str">
        <f>IFERROR(__xludf.DUMMYFUNCTION("""COMPUTED_VALUE"""),"DEF")</f>
        <v>DEF</v>
      </c>
      <c r="H435" s="119">
        <f>IFERROR(__xludf.DUMMYFUNCTION("""COMPUTED_VALUE"""),10000.0)</f>
        <v>10000</v>
      </c>
      <c r="I435" s="119">
        <f>IFERROR(__xludf.DUMMYFUNCTION("""COMPUTED_VALUE"""),10000.0)</f>
        <v>10000</v>
      </c>
      <c r="J435" s="119">
        <f>IFERROR(__xludf.DUMMYFUNCTION("""COMPUTED_VALUE"""),10000.0)</f>
        <v>10000</v>
      </c>
      <c r="K435" s="119">
        <f>IFERROR(__xludf.DUMMYFUNCTION("""COMPUTED_VALUE"""),10000.0)</f>
        <v>10000</v>
      </c>
      <c r="L435" s="119">
        <f>IFERROR(__xludf.DUMMYFUNCTION("""COMPUTED_VALUE"""),10000.0)</f>
        <v>10000</v>
      </c>
      <c r="M435" s="119">
        <f>IFERROR(__xludf.DUMMYFUNCTION("""COMPUTED_VALUE"""),10000.0)</f>
        <v>10000</v>
      </c>
      <c r="N435" s="119">
        <f>IFERROR(__xludf.DUMMYFUNCTION("""COMPUTED_VALUE"""),10000.0)</f>
        <v>10000</v>
      </c>
      <c r="O435" s="119">
        <f>IFERROR(__xludf.DUMMYFUNCTION("""COMPUTED_VALUE"""),10000.0)</f>
        <v>10000</v>
      </c>
      <c r="P435" s="119">
        <f>IFERROR(__xludf.DUMMYFUNCTION("""COMPUTED_VALUE"""),10000.0)</f>
        <v>10000</v>
      </c>
      <c r="Q435" s="119">
        <f>IFERROR(__xludf.DUMMYFUNCTION("""COMPUTED_VALUE"""),10000.0)</f>
        <v>10000</v>
      </c>
      <c r="R435" s="119">
        <f>IFERROR(__xludf.DUMMYFUNCTION("""COMPUTED_VALUE"""),10000.0)</f>
        <v>10000</v>
      </c>
      <c r="S435" s="119">
        <f>IFERROR(__xludf.DUMMYFUNCTION("""COMPUTED_VALUE"""),10000.0)</f>
        <v>10000</v>
      </c>
      <c r="T435" s="16"/>
      <c r="U435" s="16"/>
      <c r="V435" s="16"/>
      <c r="W435" s="16"/>
      <c r="X435" s="119">
        <f>IFERROR(__xludf.DUMMYFUNCTION("""COMPUTED_VALUE"""),10000.0)</f>
        <v>10000</v>
      </c>
      <c r="Y435" s="119">
        <f>IFERROR(__xludf.DUMMYFUNCTION("""COMPUTED_VALUE"""),10000.0)</f>
        <v>10000</v>
      </c>
      <c r="Z435" s="16"/>
      <c r="AA435" s="16"/>
      <c r="AB435" s="119">
        <f>IFERROR(__xludf.DUMMYFUNCTION("""COMPUTED_VALUE"""),10000.0)</f>
        <v>10000</v>
      </c>
      <c r="AC435" s="119">
        <f>IFERROR(__xludf.DUMMYFUNCTION("""COMPUTED_VALUE"""),10000.0)</f>
        <v>10000</v>
      </c>
      <c r="AD435" s="16"/>
      <c r="AE435" s="16"/>
      <c r="AF435" s="16" t="str">
        <f>IFERROR(__xludf.DUMMYFUNCTION("""COMPUTED_VALUE"""),"++X2 additional damage for all elements. +-Only Samurai's, Monks, and Ninjas can equip. +-Cannot be forged +-Cannot be duplicated")</f>
        <v>++X2 additional damage for all elements. +-Only Samurai's, Monks, and Ninjas can equip. +-Cannot be forged +-Cannot be duplicated</v>
      </c>
      <c r="AG435" s="16" t="str">
        <f>IFERROR(__xludf.DUMMYFUNCTION("""COMPUTED_VALUE"""),"Land of Spira")</f>
        <v>Land of Spira</v>
      </c>
      <c r="AH435" s="16" t="b">
        <f>IFERROR(__xludf.DUMMYFUNCTION("""COMPUTED_VALUE"""),FALSE)</f>
        <v>0</v>
      </c>
    </row>
    <row r="436">
      <c r="A436" s="16" t="str">
        <f>IFERROR(__xludf.DUMMYFUNCTION("""COMPUTED_VALUE"""),"Ancient Oni Katana")</f>
        <v>Ancient Oni Katana</v>
      </c>
      <c r="B436" s="16" t="str">
        <f>IFERROR(__xludf.DUMMYFUNCTION("""COMPUTED_VALUE"""),"Hand")</f>
        <v>Hand</v>
      </c>
      <c r="C436" s="16" t="str">
        <f>IFERROR(__xludf.DUMMYFUNCTION("""COMPUTED_VALUE"""),"An ancient relic to Zhenmay")</f>
        <v>An ancient relic to Zhenmay</v>
      </c>
      <c r="D436" s="16" t="str">
        <f>IFERROR(__xludf.DUMMYFUNCTION("""COMPUTED_VALUE"""),"Sword")</f>
        <v>Sword</v>
      </c>
      <c r="E436" s="16">
        <f>IFERROR(__xludf.DUMMYFUNCTION("""COMPUTED_VALUE"""),200.0)</f>
        <v>200</v>
      </c>
      <c r="F436" s="108">
        <f>IFERROR(__xludf.DUMMYFUNCTION("""COMPUTED_VALUE"""),5.104E8)</f>
        <v>510400000</v>
      </c>
      <c r="G436" s="16" t="str">
        <f>IFERROR(__xludf.DUMMYFUNCTION("""COMPUTED_VALUE"""),"DMG")</f>
        <v>DMG</v>
      </c>
      <c r="H436" s="119">
        <f>IFERROR(__xludf.DUMMYFUNCTION("""COMPUTED_VALUE"""),10000.0)</f>
        <v>10000</v>
      </c>
      <c r="I436" s="119">
        <f>IFERROR(__xludf.DUMMYFUNCTION("""COMPUTED_VALUE"""),10000.0)</f>
        <v>10000</v>
      </c>
      <c r="J436" s="119">
        <f>IFERROR(__xludf.DUMMYFUNCTION("""COMPUTED_VALUE"""),10000.0)</f>
        <v>10000</v>
      </c>
      <c r="K436" s="119">
        <f>IFERROR(__xludf.DUMMYFUNCTION("""COMPUTED_VALUE"""),10000.0)</f>
        <v>10000</v>
      </c>
      <c r="L436" s="119">
        <f>IFERROR(__xludf.DUMMYFUNCTION("""COMPUTED_VALUE"""),10000.0)</f>
        <v>10000</v>
      </c>
      <c r="M436" s="119">
        <f>IFERROR(__xludf.DUMMYFUNCTION("""COMPUTED_VALUE"""),10000.0)</f>
        <v>10000</v>
      </c>
      <c r="N436" s="119">
        <f>IFERROR(__xludf.DUMMYFUNCTION("""COMPUTED_VALUE"""),10000.0)</f>
        <v>10000</v>
      </c>
      <c r="O436" s="119">
        <f>IFERROR(__xludf.DUMMYFUNCTION("""COMPUTED_VALUE"""),10000.0)</f>
        <v>10000</v>
      </c>
      <c r="P436" s="119">
        <f>IFERROR(__xludf.DUMMYFUNCTION("""COMPUTED_VALUE"""),10000.0)</f>
        <v>10000</v>
      </c>
      <c r="Q436" s="119">
        <f>IFERROR(__xludf.DUMMYFUNCTION("""COMPUTED_VALUE"""),10000.0)</f>
        <v>10000</v>
      </c>
      <c r="R436" s="119">
        <f>IFERROR(__xludf.DUMMYFUNCTION("""COMPUTED_VALUE"""),10000.0)</f>
        <v>10000</v>
      </c>
      <c r="S436" s="119">
        <f>IFERROR(__xludf.DUMMYFUNCTION("""COMPUTED_VALUE"""),10000.0)</f>
        <v>10000</v>
      </c>
      <c r="T436" s="16"/>
      <c r="U436" s="16"/>
      <c r="V436" s="16"/>
      <c r="W436" s="16"/>
      <c r="X436" s="119">
        <f>IFERROR(__xludf.DUMMYFUNCTION("""COMPUTED_VALUE"""),10000.0)</f>
        <v>10000</v>
      </c>
      <c r="Y436" s="119">
        <f>IFERROR(__xludf.DUMMYFUNCTION("""COMPUTED_VALUE"""),10000.0)</f>
        <v>10000</v>
      </c>
      <c r="Z436" s="16"/>
      <c r="AA436" s="16"/>
      <c r="AB436" s="119">
        <f>IFERROR(__xludf.DUMMYFUNCTION("""COMPUTED_VALUE"""),10000.0)</f>
        <v>10000</v>
      </c>
      <c r="AC436" s="119">
        <f>IFERROR(__xludf.DUMMYFUNCTION("""COMPUTED_VALUE"""),10000.0)</f>
        <v>10000</v>
      </c>
      <c r="AD436" s="16"/>
      <c r="AE436" s="16"/>
      <c r="AF436" s="16" t="str">
        <f>IFERROR(__xludf.DUMMYFUNCTION("""COMPUTED_VALUE"""),"++X2 additional damage for all elements. +-Only Samurai's, Monks, and Ninjas can equip. +-Cannot be forged +-Cannot be duplicated")</f>
        <v>++X2 additional damage for all elements. +-Only Samurai's, Monks, and Ninjas can equip. +-Cannot be forged +-Cannot be duplicated</v>
      </c>
      <c r="AG436" s="16" t="str">
        <f>IFERROR(__xludf.DUMMYFUNCTION("""COMPUTED_VALUE"""),"Land of Spira")</f>
        <v>Land of Spira</v>
      </c>
      <c r="AH436" s="16" t="b">
        <f>IFERROR(__xludf.DUMMYFUNCTION("""COMPUTED_VALUE"""),FALSE)</f>
        <v>0</v>
      </c>
    </row>
    <row r="437">
      <c r="A437" s="16" t="str">
        <f>IFERROR(__xludf.DUMMYFUNCTION("""COMPUTED_VALUE"""),"The Grand Staff of Evil Flames")</f>
        <v>The Grand Staff of Evil Flames</v>
      </c>
      <c r="B437" s="16" t="str">
        <f>IFERROR(__xludf.DUMMYFUNCTION("""COMPUTED_VALUE"""),"Hand")</f>
        <v>Hand</v>
      </c>
      <c r="C437" s="16"/>
      <c r="D437" s="16" t="str">
        <f>IFERROR(__xludf.DUMMYFUNCTION("""COMPUTED_VALUE"""),"Staff")</f>
        <v>Staff</v>
      </c>
      <c r="E437" s="16">
        <f>IFERROR(__xludf.DUMMYFUNCTION("""COMPUTED_VALUE"""),1200.0)</f>
        <v>1200</v>
      </c>
      <c r="F437" s="108">
        <f>IFERROR(__xludf.DUMMYFUNCTION("""COMPUTED_VALUE"""),7.14E7)</f>
        <v>71400000</v>
      </c>
      <c r="G437" s="16" t="str">
        <f>IFERROR(__xludf.DUMMYFUNCTION("""COMPUTED_VALUE"""),"DMG")</f>
        <v>DMG</v>
      </c>
      <c r="H437" s="16"/>
      <c r="I437" s="119">
        <f>IFERROR(__xludf.DUMMYFUNCTION("""COMPUTED_VALUE"""),20000.0)</f>
        <v>20000</v>
      </c>
      <c r="J437" s="16"/>
      <c r="K437" s="16"/>
      <c r="L437" s="16"/>
      <c r="M437" s="16"/>
      <c r="N437" s="16"/>
      <c r="O437" s="119">
        <f>IFERROR(__xludf.DUMMYFUNCTION("""COMPUTED_VALUE"""),20000.0)</f>
        <v>20000</v>
      </c>
      <c r="P437" s="16"/>
      <c r="Q437" s="16"/>
      <c r="R437" s="119">
        <f>IFERROR(__xludf.DUMMYFUNCTION("""COMPUTED_VALUE"""),20000.0)</f>
        <v>20000</v>
      </c>
      <c r="S437" s="16"/>
      <c r="T437" s="16"/>
      <c r="U437" s="16"/>
      <c r="V437" s="16"/>
      <c r="W437" s="16"/>
      <c r="X437" s="16"/>
      <c r="Y437" s="16"/>
      <c r="Z437" s="16"/>
      <c r="AA437" s="16"/>
      <c r="AB437" s="16"/>
      <c r="AC437" s="16"/>
      <c r="AD437" s="16"/>
      <c r="AE437" s="16"/>
      <c r="AF437" s="16" t="str">
        <f>IFERROR(__xludf.DUMMYFUNCTION("""COMPUTED_VALUE"""),"++X4 additional Dark, Fire, and Chaos damage for the user while equipped. +-Cannot be duplicated")</f>
        <v>++X4 additional Dark, Fire, and Chaos damage for the user while equipped. +-Cannot be duplicated</v>
      </c>
      <c r="AG437" s="16" t="str">
        <f>IFERROR(__xludf.DUMMYFUNCTION("""COMPUTED_VALUE"""),"Abstara")</f>
        <v>Abstara</v>
      </c>
      <c r="AH437" s="16" t="b">
        <f>IFERROR(__xludf.DUMMYFUNCTION("""COMPUTED_VALUE"""),TRUE)</f>
        <v>1</v>
      </c>
    </row>
    <row r="438">
      <c r="A438" s="16" t="str">
        <f>IFERROR(__xludf.DUMMYFUNCTION("""COMPUTED_VALUE"""),"Soul Sword of The Endless Realm")</f>
        <v>Soul Sword of The Endless Realm</v>
      </c>
      <c r="B438" s="16" t="str">
        <f>IFERROR(__xludf.DUMMYFUNCTION("""COMPUTED_VALUE"""),"Hand")</f>
        <v>Hand</v>
      </c>
      <c r="C438" s="16"/>
      <c r="D438" s="16" t="str">
        <f>IFERROR(__xludf.DUMMYFUNCTION("""COMPUTED_VALUE"""),"Sword")</f>
        <v>Sword</v>
      </c>
      <c r="E438" s="16">
        <f>IFERROR(__xludf.DUMMYFUNCTION("""COMPUTED_VALUE"""),200.0)</f>
        <v>200</v>
      </c>
      <c r="F438" s="108">
        <f>IFERROR(__xludf.DUMMYFUNCTION("""COMPUTED_VALUE"""),4.0455E9)</f>
        <v>4045500000</v>
      </c>
      <c r="G438" s="16" t="str">
        <f>IFERROR(__xludf.DUMMYFUNCTION("""COMPUTED_VALUE"""),"DMG")</f>
        <v>DMG</v>
      </c>
      <c r="H438" s="119">
        <f>IFERROR(__xludf.DUMMYFUNCTION("""COMPUTED_VALUE"""),150000.0)</f>
        <v>150000</v>
      </c>
      <c r="I438" s="16"/>
      <c r="J438" s="16"/>
      <c r="K438" s="16"/>
      <c r="L438" s="16"/>
      <c r="M438" s="16"/>
      <c r="N438" s="16"/>
      <c r="O438" s="119">
        <f>IFERROR(__xludf.DUMMYFUNCTION("""COMPUTED_VALUE"""),150000.0)</f>
        <v>150000</v>
      </c>
      <c r="P438" s="16"/>
      <c r="Q438" s="16"/>
      <c r="R438" s="16"/>
      <c r="S438" s="16"/>
      <c r="T438" s="16"/>
      <c r="U438" s="16"/>
      <c r="V438" s="16"/>
      <c r="W438" s="16"/>
      <c r="X438" s="16"/>
      <c r="Y438" s="16"/>
      <c r="Z438" s="16"/>
      <c r="AA438" s="16"/>
      <c r="AB438" s="16"/>
      <c r="AC438" s="119">
        <f>IFERROR(__xludf.DUMMYFUNCTION("""COMPUTED_VALUE"""),150000.0)</f>
        <v>150000</v>
      </c>
      <c r="AD438" s="16"/>
      <c r="AE438" s="16"/>
      <c r="AF438" s="16" t="str">
        <f>IFERROR(__xludf.DUMMYFUNCTION("""COMPUTED_VALUE"""),"++While equipped if you have other soul related items equipped this sword will deal X8 additional damage, ++SP Steal: Gain SP back equal to the damage caused with this weapon. +-Cannot be duplicated.")</f>
        <v>++While equipped if you have other soul related items equipped this sword will deal X8 additional damage, ++SP Steal: Gain SP back equal to the damage caused with this weapon. +-Cannot be duplicated.</v>
      </c>
      <c r="AG438" s="16" t="str">
        <f>IFERROR(__xludf.DUMMYFUNCTION("""COMPUTED_VALUE"""),"Abstara")</f>
        <v>Abstara</v>
      </c>
      <c r="AH438" s="16" t="b">
        <f>IFERROR(__xludf.DUMMYFUNCTION("""COMPUTED_VALUE"""),TRUE)</f>
        <v>1</v>
      </c>
    </row>
    <row r="439">
      <c r="A439" s="16" t="str">
        <f>IFERROR(__xludf.DUMMYFUNCTION("""COMPUTED_VALUE"""),"Rat King's Crown")</f>
        <v>Rat King's Crown</v>
      </c>
      <c r="B439" s="16" t="str">
        <f>IFERROR(__xludf.DUMMYFUNCTION("""COMPUTED_VALUE"""),"Head")</f>
        <v>Head</v>
      </c>
      <c r="C439" s="16"/>
      <c r="D439" s="16"/>
      <c r="E439" s="16">
        <f>IFERROR(__xludf.DUMMYFUNCTION("""COMPUTED_VALUE"""),1000.0)</f>
        <v>1000</v>
      </c>
      <c r="F439" s="108">
        <f>IFERROR(__xludf.DUMMYFUNCTION("""COMPUTED_VALUE"""),4.95E7)</f>
        <v>49500000</v>
      </c>
      <c r="G439" s="16" t="str">
        <f>IFERROR(__xludf.DUMMYFUNCTION("""COMPUTED_VALUE"""),"DEF")</f>
        <v>DEF</v>
      </c>
      <c r="H439" s="119">
        <f>IFERROR(__xludf.DUMMYFUNCTION("""COMPUTED_VALUE"""),50000.0)</f>
        <v>50000</v>
      </c>
      <c r="I439" s="16"/>
      <c r="J439" s="16"/>
      <c r="K439" s="16"/>
      <c r="L439" s="16"/>
      <c r="M439" s="16"/>
      <c r="N439" s="16"/>
      <c r="O439" s="16"/>
      <c r="P439" s="16"/>
      <c r="Q439" s="16"/>
      <c r="R439" s="16"/>
      <c r="S439" s="16"/>
      <c r="T439" s="16"/>
      <c r="U439" s="16"/>
      <c r="V439" s="16"/>
      <c r="W439" s="16"/>
      <c r="X439" s="16"/>
      <c r="Y439" s="16"/>
      <c r="Z439" s="16"/>
      <c r="AA439" s="16"/>
      <c r="AB439" s="16"/>
      <c r="AC439" s="16"/>
      <c r="AD439" s="16"/>
      <c r="AE439" s="16"/>
      <c r="AF439" s="16" t="str">
        <f>IFERROR(__xludf.DUMMYFUNCTION("""COMPUTED_VALUE"""),"++If you or a party member dies this crown will summon a d2 of Lava Rats, Level determined by DM/GM, This effect can only be applied once per battle. +-Cannot be duplicated.")</f>
        <v>++If you or a party member dies this crown will summon a d2 of Lava Rats, Level determined by DM/GM, This effect can only be applied once per battle. +-Cannot be duplicated.</v>
      </c>
      <c r="AG439" s="16" t="str">
        <f>IFERROR(__xludf.DUMMYFUNCTION("""COMPUTED_VALUE"""),"Abstara")</f>
        <v>Abstara</v>
      </c>
      <c r="AH439" s="16" t="b">
        <f>IFERROR(__xludf.DUMMYFUNCTION("""COMPUTED_VALUE"""),FALSE)</f>
        <v>0</v>
      </c>
    </row>
    <row r="440">
      <c r="A440" s="16" t="str">
        <f>IFERROR(__xludf.DUMMYFUNCTION("""COMPUTED_VALUE"""),"Vermouth's Crown of Tides")</f>
        <v>Vermouth's Crown of Tides</v>
      </c>
      <c r="B440" s="16" t="str">
        <f>IFERROR(__xludf.DUMMYFUNCTION("""COMPUTED_VALUE"""),"Head")</f>
        <v>Head</v>
      </c>
      <c r="C440" s="16" t="str">
        <f>IFERROR(__xludf.DUMMYFUNCTION("""COMPUTED_VALUE"""),"A magical artifact that grants control over water and weather, allowing the wearer to manipulate aquatic elements.")</f>
        <v>A magical artifact that grants control over water and weather, allowing the wearer to manipulate aquatic elements.</v>
      </c>
      <c r="D440" s="16"/>
      <c r="E440" s="16">
        <f>IFERROR(__xludf.DUMMYFUNCTION("""COMPUTED_VALUE"""),700.0)</f>
        <v>700</v>
      </c>
      <c r="F440" s="108">
        <f>IFERROR(__xludf.DUMMYFUNCTION("""COMPUTED_VALUE"""),2.415E7)</f>
        <v>24150000</v>
      </c>
      <c r="G440" s="16" t="str">
        <f>IFERROR(__xludf.DUMMYFUNCTION("""COMPUTED_VALUE"""),"DEF")</f>
        <v>DEF</v>
      </c>
      <c r="H440" s="119">
        <f>IFERROR(__xludf.DUMMYFUNCTION("""COMPUTED_VALUE"""),25000.0)</f>
        <v>25000</v>
      </c>
      <c r="I440" s="16"/>
      <c r="J440" s="16"/>
      <c r="K440" s="119">
        <f>IFERROR(__xludf.DUMMYFUNCTION("""COMPUTED_VALUE"""),10000.0)</f>
        <v>10000</v>
      </c>
      <c r="L440" s="16"/>
      <c r="M440" s="16"/>
      <c r="N440" s="16"/>
      <c r="O440" s="16"/>
      <c r="P440" s="16"/>
      <c r="Q440" s="16"/>
      <c r="R440" s="16"/>
      <c r="S440" s="16"/>
      <c r="T440" s="16"/>
      <c r="U440" s="16"/>
      <c r="V440" s="16"/>
      <c r="W440" s="16"/>
      <c r="X440" s="16"/>
      <c r="Y440" s="16"/>
      <c r="Z440" s="16"/>
      <c r="AA440" s="16"/>
      <c r="AB440" s="16"/>
      <c r="AC440" s="16"/>
      <c r="AD440" s="16"/>
      <c r="AE440" s="16"/>
      <c r="AF440" s="16" t="str">
        <f>IFERROR(__xludf.DUMMYFUNCTION("""COMPUTED_VALUE"""),"++Immunity to Water damage. ++X2 Additional Water damage for the user.")</f>
        <v>++Immunity to Water damage. ++X2 Additional Water damage for the user.</v>
      </c>
      <c r="AG440" s="16" t="str">
        <f>IFERROR(__xludf.DUMMYFUNCTION("""COMPUTED_VALUE"""),"Land of Spira")</f>
        <v>Land of Spira</v>
      </c>
      <c r="AH440" s="16" t="b">
        <f>IFERROR(__xludf.DUMMYFUNCTION("""COMPUTED_VALUE"""),FALSE)</f>
        <v>0</v>
      </c>
    </row>
    <row r="441">
      <c r="A441" s="16" t="str">
        <f>IFERROR(__xludf.DUMMYFUNCTION("""COMPUTED_VALUE"""),"ChronoMech Enigma")</f>
        <v>ChronoMech Enigma</v>
      </c>
      <c r="B441" s="16" t="str">
        <f>IFERROR(__xludf.DUMMYFUNCTION("""COMPUTED_VALUE"""),"Hand")</f>
        <v>Hand</v>
      </c>
      <c r="C441" s="16" t="str">
        <f>IFERROR(__xludf.DUMMYFUNCTION("""COMPUTED_VALUE"""),"A clockwork device that grants unique abilities.")</f>
        <v>A clockwork device that grants unique abilities.</v>
      </c>
      <c r="D441" s="16"/>
      <c r="E441" s="16">
        <f>IFERROR(__xludf.DUMMYFUNCTION("""COMPUTED_VALUE"""),200.0)</f>
        <v>200</v>
      </c>
      <c r="F441" s="108">
        <f>IFERROR(__xludf.DUMMYFUNCTION("""COMPUTED_VALUE"""),1900000.0)</f>
        <v>1900000</v>
      </c>
      <c r="G441" s="16" t="str">
        <f>IFERROR(__xludf.DUMMYFUNCTION("""COMPUTED_VALUE"""),"DEF")</f>
        <v>DEF</v>
      </c>
      <c r="H441" s="119">
        <f>IFERROR(__xludf.DUMMYFUNCTION("""COMPUTED_VALUE"""),10000.0)</f>
        <v>10000</v>
      </c>
      <c r="I441" s="16"/>
      <c r="J441" s="16"/>
      <c r="K441" s="16"/>
      <c r="L441" s="16"/>
      <c r="M441" s="16"/>
      <c r="N441" s="16"/>
      <c r="O441" s="16"/>
      <c r="P441" s="16"/>
      <c r="Q441" s="16"/>
      <c r="R441" s="16"/>
      <c r="S441" s="16"/>
      <c r="T441" s="16"/>
      <c r="U441" s="16"/>
      <c r="V441" s="16"/>
      <c r="W441" s="16"/>
      <c r="X441" s="16"/>
      <c r="Y441" s="16"/>
      <c r="Z441" s="16"/>
      <c r="AA441" s="16"/>
      <c r="AB441" s="16"/>
      <c r="AC441" s="16"/>
      <c r="AD441" s="16"/>
      <c r="AE441" s="16"/>
      <c r="AF441" s="16" t="str">
        <f>IFERROR(__xludf.DUMMYFUNCTION("""COMPUTED_VALUE"""),"++Allows you to change the time of day to day or night. Can only be used once per journey while traveling. ++Fail/Succeed. +-Cannot be duplicated.")</f>
        <v>++Allows you to change the time of day to day or night. Can only be used once per journey while traveling. ++Fail/Succeed. +-Cannot be duplicated.</v>
      </c>
      <c r="AG441" s="16" t="str">
        <f>IFERROR(__xludf.DUMMYFUNCTION("""COMPUTED_VALUE"""),"Land of Spira")</f>
        <v>Land of Spira</v>
      </c>
      <c r="AH441" s="16" t="b">
        <f>IFERROR(__xludf.DUMMYFUNCTION("""COMPUTED_VALUE"""),FALSE)</f>
        <v>0</v>
      </c>
    </row>
    <row r="442">
      <c r="A442" s="16" t="str">
        <f>IFERROR(__xludf.DUMMYFUNCTION("""COMPUTED_VALUE"""),"Royal Sword of The Halloween Kingdom")</f>
        <v>Royal Sword of The Halloween Kingdom</v>
      </c>
      <c r="B442" s="16" t="str">
        <f>IFERROR(__xludf.DUMMYFUNCTION("""COMPUTED_VALUE"""),"Hand")</f>
        <v>Hand</v>
      </c>
      <c r="C442" s="16" t="str">
        <f>IFERROR(__xludf.DUMMYFUNCTION("""COMPUTED_VALUE"""),"Halloween Exclusive")</f>
        <v>Halloween Exclusive</v>
      </c>
      <c r="D442" s="16" t="str">
        <f>IFERROR(__xludf.DUMMYFUNCTION("""COMPUTED_VALUE"""),"Sword")</f>
        <v>Sword</v>
      </c>
      <c r="E442" s="16">
        <f>IFERROR(__xludf.DUMMYFUNCTION("""COMPUTED_VALUE"""),200.0)</f>
        <v>200</v>
      </c>
      <c r="F442" s="108">
        <f>IFERROR(__xludf.DUMMYFUNCTION("""COMPUTED_VALUE"""),1.0557E9)</f>
        <v>1055700000</v>
      </c>
      <c r="G442" s="16" t="str">
        <f>IFERROR(__xludf.DUMMYFUNCTION("""COMPUTED_VALUE"""),"DMG")</f>
        <v>DMG</v>
      </c>
      <c r="H442" s="119">
        <f>IFERROR(__xludf.DUMMYFUNCTION("""COMPUTED_VALUE"""),50000.0)</f>
        <v>50000</v>
      </c>
      <c r="I442" s="119">
        <f>IFERROR(__xludf.DUMMYFUNCTION("""COMPUTED_VALUE"""),20000.0)</f>
        <v>20000</v>
      </c>
      <c r="J442" s="16"/>
      <c r="K442" s="16"/>
      <c r="L442" s="16"/>
      <c r="M442" s="16"/>
      <c r="N442" s="16"/>
      <c r="O442" s="119">
        <f>IFERROR(__xludf.DUMMYFUNCTION("""COMPUTED_VALUE"""),20000.0)</f>
        <v>20000</v>
      </c>
      <c r="P442" s="119">
        <f>IFERROR(__xludf.DUMMYFUNCTION("""COMPUTED_VALUE"""),20000.0)</f>
        <v>20000</v>
      </c>
      <c r="Q442" s="16"/>
      <c r="R442" s="119">
        <f>IFERROR(__xludf.DUMMYFUNCTION("""COMPUTED_VALUE"""),20000.0)</f>
        <v>20000</v>
      </c>
      <c r="S442" s="16"/>
      <c r="T442" s="16"/>
      <c r="U442" s="16"/>
      <c r="V442" s="119">
        <f>IFERROR(__xludf.DUMMYFUNCTION("""COMPUTED_VALUE"""),20000.0)</f>
        <v>20000</v>
      </c>
      <c r="W442" s="119">
        <f>IFERROR(__xludf.DUMMYFUNCTION("""COMPUTED_VALUE"""),20000.0)</f>
        <v>20000</v>
      </c>
      <c r="X442" s="119">
        <f>IFERROR(__xludf.DUMMYFUNCTION("""COMPUTED_VALUE"""),20000.0)</f>
        <v>20000</v>
      </c>
      <c r="Y442" s="119">
        <f>IFERROR(__xludf.DUMMYFUNCTION("""COMPUTED_VALUE"""),20000.0)</f>
        <v>20000</v>
      </c>
      <c r="Z442" s="16"/>
      <c r="AA442" s="16"/>
      <c r="AB442" s="16"/>
      <c r="AC442" s="119">
        <f>IFERROR(__xludf.DUMMYFUNCTION("""COMPUTED_VALUE"""),20000.0)</f>
        <v>20000</v>
      </c>
      <c r="AD442" s="16"/>
      <c r="AE442" s="16"/>
      <c r="AF442" s="16" t="str">
        <f>IFERROR(__xludf.DUMMYFUNCTION("""COMPUTED_VALUE"""),"++Hallows Guidance: +5 can be added to your d20 rolls, ++Royal Shadows of the Halloween Kingdom: 25% chance to cast conceal for no sp cost after successfully attacking an enemy with this weapon. +-Cannot be forged +-Cannot be duplicated")</f>
        <v>++Hallows Guidance: +5 can be added to your d20 rolls, ++Royal Shadows of the Halloween Kingdom: 25% chance to cast conceal for no sp cost after successfully attacking an enemy with this weapon. +-Cannot be forged +-Cannot be duplicated</v>
      </c>
      <c r="AG442" s="16" t="str">
        <f>IFERROR(__xludf.DUMMYFUNCTION("""COMPUTED_VALUE"""),"Halloween Kingdom")</f>
        <v>Halloween Kingdom</v>
      </c>
      <c r="AH442" s="16" t="b">
        <f>IFERROR(__xludf.DUMMYFUNCTION("""COMPUTED_VALUE"""),FALSE)</f>
        <v>0</v>
      </c>
    </row>
    <row r="443">
      <c r="A443" s="16" t="str">
        <f>IFERROR(__xludf.DUMMYFUNCTION("""COMPUTED_VALUE"""),"Royal Shield of The Halloween Kingdom")</f>
        <v>Royal Shield of The Halloween Kingdom</v>
      </c>
      <c r="B443" s="16" t="str">
        <f>IFERROR(__xludf.DUMMYFUNCTION("""COMPUTED_VALUE"""),"Hand")</f>
        <v>Hand</v>
      </c>
      <c r="C443" s="16" t="str">
        <f>IFERROR(__xludf.DUMMYFUNCTION("""COMPUTED_VALUE"""),"Halloween Exclusive")</f>
        <v>Halloween Exclusive</v>
      </c>
      <c r="D443" s="16" t="str">
        <f>IFERROR(__xludf.DUMMYFUNCTION("""COMPUTED_VALUE"""),"Towershield")</f>
        <v>Towershield</v>
      </c>
      <c r="E443" s="16">
        <f>IFERROR(__xludf.DUMMYFUNCTION("""COMPUTED_VALUE"""),200.0)</f>
        <v>200</v>
      </c>
      <c r="F443" s="108">
        <f>IFERROR(__xludf.DUMMYFUNCTION("""COMPUTED_VALUE"""),1.0557E9)</f>
        <v>1055700000</v>
      </c>
      <c r="G443" s="16" t="str">
        <f>IFERROR(__xludf.DUMMYFUNCTION("""COMPUTED_VALUE"""),"DEF")</f>
        <v>DEF</v>
      </c>
      <c r="H443" s="119">
        <f>IFERROR(__xludf.DUMMYFUNCTION("""COMPUTED_VALUE"""),50000.0)</f>
        <v>50000</v>
      </c>
      <c r="I443" s="119">
        <f>IFERROR(__xludf.DUMMYFUNCTION("""COMPUTED_VALUE"""),20000.0)</f>
        <v>20000</v>
      </c>
      <c r="J443" s="16"/>
      <c r="K443" s="16"/>
      <c r="L443" s="16"/>
      <c r="M443" s="16"/>
      <c r="N443" s="16"/>
      <c r="O443" s="119">
        <f>IFERROR(__xludf.DUMMYFUNCTION("""COMPUTED_VALUE"""),20000.0)</f>
        <v>20000</v>
      </c>
      <c r="P443" s="119">
        <f>IFERROR(__xludf.DUMMYFUNCTION("""COMPUTED_VALUE"""),20000.0)</f>
        <v>20000</v>
      </c>
      <c r="Q443" s="16"/>
      <c r="R443" s="119">
        <f>IFERROR(__xludf.DUMMYFUNCTION("""COMPUTED_VALUE"""),20000.0)</f>
        <v>20000</v>
      </c>
      <c r="S443" s="16"/>
      <c r="T443" s="16"/>
      <c r="U443" s="16"/>
      <c r="V443" s="119">
        <f>IFERROR(__xludf.DUMMYFUNCTION("""COMPUTED_VALUE"""),20000.0)</f>
        <v>20000</v>
      </c>
      <c r="W443" s="119">
        <f>IFERROR(__xludf.DUMMYFUNCTION("""COMPUTED_VALUE"""),20000.0)</f>
        <v>20000</v>
      </c>
      <c r="X443" s="119">
        <f>IFERROR(__xludf.DUMMYFUNCTION("""COMPUTED_VALUE"""),20000.0)</f>
        <v>20000</v>
      </c>
      <c r="Y443" s="119">
        <f>IFERROR(__xludf.DUMMYFUNCTION("""COMPUTED_VALUE"""),20000.0)</f>
        <v>20000</v>
      </c>
      <c r="Z443" s="16"/>
      <c r="AA443" s="16"/>
      <c r="AB443" s="16"/>
      <c r="AC443" s="119">
        <f>IFERROR(__xludf.DUMMYFUNCTION("""COMPUTED_VALUE"""),20000.0)</f>
        <v>20000</v>
      </c>
      <c r="AD443" s="16"/>
      <c r="AE443" s="16"/>
      <c r="AF443" s="16" t="str">
        <f>IFERROR(__xludf.DUMMYFUNCTION("""COMPUTED_VALUE"""),"++Royal Ward of The Halloween Kingdom: 25% chance to be unaffected by a weapon attack. ++Pumpkin Thorns: 25% chance to inflict half the damage dealt to you back to the enemy. +-Cannot be forged +-Cannot be duplicated")</f>
        <v>++Royal Ward of The Halloween Kingdom: 25% chance to be unaffected by a weapon attack. ++Pumpkin Thorns: 25% chance to inflict half the damage dealt to you back to the enemy. +-Cannot be forged +-Cannot be duplicated</v>
      </c>
      <c r="AG443" s="16" t="str">
        <f>IFERROR(__xludf.DUMMYFUNCTION("""COMPUTED_VALUE"""),"Halloween Kingdom")</f>
        <v>Halloween Kingdom</v>
      </c>
      <c r="AH443" s="16" t="b">
        <f>IFERROR(__xludf.DUMMYFUNCTION("""COMPUTED_VALUE"""),FALSE)</f>
        <v>0</v>
      </c>
    </row>
    <row r="444">
      <c r="A444" s="16" t="str">
        <f>IFERROR(__xludf.DUMMYFUNCTION("""COMPUTED_VALUE"""),"Sacred Flaming Pearl")</f>
        <v>Sacred Flaming Pearl</v>
      </c>
      <c r="B444" s="16" t="str">
        <f>IFERROR(__xludf.DUMMYFUNCTION("""COMPUTED_VALUE"""),"Hand")</f>
        <v>Hand</v>
      </c>
      <c r="C444" s="16" t="str">
        <f>IFERROR(__xludf.DUMMYFUNCTION("""COMPUTED_VALUE"""),"Quest item.")</f>
        <v>Quest item.</v>
      </c>
      <c r="D444" s="16"/>
      <c r="E444" s="16">
        <f>IFERROR(__xludf.DUMMYFUNCTION("""COMPUTED_VALUE"""),1.0)</f>
        <v>1</v>
      </c>
      <c r="F444" s="108">
        <f>IFERROR(__xludf.DUMMYFUNCTION("""COMPUTED_VALUE"""),0.0)</f>
        <v>0</v>
      </c>
      <c r="G444" s="16"/>
      <c r="H444" s="16"/>
      <c r="I444" s="16"/>
      <c r="J444" s="16"/>
      <c r="K444" s="16"/>
      <c r="L444" s="16"/>
      <c r="M444" s="16"/>
      <c r="N444" s="16"/>
      <c r="O444" s="16"/>
      <c r="P444" s="16"/>
      <c r="Q444" s="16"/>
      <c r="R444" s="16"/>
      <c r="S444" s="16"/>
      <c r="T444" s="16"/>
      <c r="U444" s="16"/>
      <c r="V444" s="16"/>
      <c r="W444" s="16"/>
      <c r="X444" s="16"/>
      <c r="Y444" s="16"/>
      <c r="Z444" s="16"/>
      <c r="AA444" s="16"/>
      <c r="AB444" s="16"/>
      <c r="AC444" s="16"/>
      <c r="AD444" s="16"/>
      <c r="AE444" s="16"/>
      <c r="AF444" s="16" t="str">
        <f>IFERROR(__xludf.DUMMYFUNCTION("""COMPUTED_VALUE"""),"++X4 additional fire damage for the user. +-Cannot be duplicated.")</f>
        <v>++X4 additional fire damage for the user. +-Cannot be duplicated.</v>
      </c>
      <c r="AG444" s="16" t="str">
        <f>IFERROR(__xludf.DUMMYFUNCTION("""COMPUTED_VALUE"""),"Abstara")</f>
        <v>Abstara</v>
      </c>
      <c r="AH444" s="16" t="b">
        <f>IFERROR(__xludf.DUMMYFUNCTION("""COMPUTED_VALUE"""),FALSE)</f>
        <v>0</v>
      </c>
    </row>
    <row r="445">
      <c r="A445" s="16" t="str">
        <f>IFERROR(__xludf.DUMMYFUNCTION("""COMPUTED_VALUE"""),"DragonScale Royal Helm")</f>
        <v>DragonScale Royal Helm</v>
      </c>
      <c r="B445" s="16" t="str">
        <f>IFERROR(__xludf.DUMMYFUNCTION("""COMPUTED_VALUE"""),"Head")</f>
        <v>Head</v>
      </c>
      <c r="C445" s="16"/>
      <c r="D445" s="16"/>
      <c r="E445" s="16">
        <f>IFERROR(__xludf.DUMMYFUNCTION("""COMPUTED_VALUE"""),200.0)</f>
        <v>200</v>
      </c>
      <c r="F445" s="108">
        <f>IFERROR(__xludf.DUMMYFUNCTION("""COMPUTED_VALUE"""),9.73E7)</f>
        <v>97300000</v>
      </c>
      <c r="G445" s="16" t="str">
        <f>IFERROR(__xludf.DUMMYFUNCTION("""COMPUTED_VALUE"""),"DEF")</f>
        <v>DEF</v>
      </c>
      <c r="H445" s="119">
        <f>IFERROR(__xludf.DUMMYFUNCTION("""COMPUTED_VALUE"""),40000.0)</f>
        <v>40000</v>
      </c>
      <c r="I445" s="16"/>
      <c r="J445" s="16"/>
      <c r="K445" s="16"/>
      <c r="L445" s="16"/>
      <c r="M445" s="16"/>
      <c r="N445" s="16"/>
      <c r="O445" s="16">
        <f>IFERROR(__xludf.DUMMYFUNCTION("""COMPUTED_VALUE"""),10000.0)</f>
        <v>10000</v>
      </c>
      <c r="P445" s="16"/>
      <c r="Q445" s="16"/>
      <c r="R445" s="16">
        <f>IFERROR(__xludf.DUMMYFUNCTION("""COMPUTED_VALUE"""),10000.0)</f>
        <v>10000</v>
      </c>
      <c r="S445" s="16"/>
      <c r="T445" s="16"/>
      <c r="U445" s="16"/>
      <c r="V445" s="16"/>
      <c r="W445" s="16"/>
      <c r="X445" s="16"/>
      <c r="Y445" s="16"/>
      <c r="Z445" s="16"/>
      <c r="AA445" s="16"/>
      <c r="AB445" s="16"/>
      <c r="AC445" s="16">
        <f>IFERROR(__xludf.DUMMYFUNCTION("""COMPUTED_VALUE"""),10000.0)</f>
        <v>10000</v>
      </c>
      <c r="AD445" s="16"/>
      <c r="AE445" s="16"/>
      <c r="AF445" s="16" t="str">
        <f>IFERROR(__xludf.DUMMYFUNCTION("""COMPUTED_VALUE"""),"++X2 Defense for the Wearer. ++Light Embodiment - When Equipped deal X2 Order and Light DMG ")</f>
        <v>++X2 Defense for the Wearer. ++Light Embodiment - When Equipped deal X2 Order and Light DMG </v>
      </c>
      <c r="AG445" s="16" t="str">
        <f>IFERROR(__xludf.DUMMYFUNCTION("""COMPUTED_VALUE"""),"Dragonscale Island")</f>
        <v>Dragonscale Island</v>
      </c>
      <c r="AH445" s="16" t="b">
        <f>IFERROR(__xludf.DUMMYFUNCTION("""COMPUTED_VALUE"""),TRUE)</f>
        <v>1</v>
      </c>
    </row>
    <row r="446">
      <c r="A446" s="16" t="str">
        <f>IFERROR(__xludf.DUMMYFUNCTION("""COMPUTED_VALUE"""),"DragonScale Royal Chestplate")</f>
        <v>DragonScale Royal Chestplate</v>
      </c>
      <c r="B446" s="16" t="str">
        <f>IFERROR(__xludf.DUMMYFUNCTION("""COMPUTED_VALUE"""),"Torso")</f>
        <v>Torso</v>
      </c>
      <c r="C446" s="16"/>
      <c r="D446" s="16"/>
      <c r="E446" s="16">
        <f>IFERROR(__xludf.DUMMYFUNCTION("""COMPUTED_VALUE"""),200.0)</f>
        <v>200</v>
      </c>
      <c r="F446" s="108">
        <f>IFERROR(__xludf.DUMMYFUNCTION("""COMPUTED_VALUE"""),5.995E7)</f>
        <v>59950000</v>
      </c>
      <c r="G446" s="16" t="str">
        <f>IFERROR(__xludf.DUMMYFUNCTION("""COMPUTED_VALUE"""),"DEF")</f>
        <v>DEF</v>
      </c>
      <c r="H446" s="119">
        <f>IFERROR(__xludf.DUMMYFUNCTION("""COMPUTED_VALUE"""),20000.0)</f>
        <v>20000</v>
      </c>
      <c r="I446" s="16"/>
      <c r="J446" s="16"/>
      <c r="K446" s="16">
        <f>IFERROR(__xludf.DUMMYFUNCTION("""COMPUTED_VALUE"""),5000.0)</f>
        <v>5000</v>
      </c>
      <c r="L446" s="16"/>
      <c r="M446" s="16"/>
      <c r="N446" s="16"/>
      <c r="O446" s="16">
        <f>IFERROR(__xludf.DUMMYFUNCTION("""COMPUTED_VALUE"""),10000.0)</f>
        <v>10000</v>
      </c>
      <c r="P446" s="16"/>
      <c r="Q446" s="16"/>
      <c r="R446" s="16">
        <f>IFERROR(__xludf.DUMMYFUNCTION("""COMPUTED_VALUE"""),10000.0)</f>
        <v>10000</v>
      </c>
      <c r="S446" s="16"/>
      <c r="T446" s="16"/>
      <c r="U446" s="16"/>
      <c r="V446" s="16"/>
      <c r="W446" s="16"/>
      <c r="X446" s="16"/>
      <c r="Y446" s="16"/>
      <c r="Z446" s="16"/>
      <c r="AA446" s="16"/>
      <c r="AB446" s="16"/>
      <c r="AC446" s="16">
        <f>IFERROR(__xludf.DUMMYFUNCTION("""COMPUTED_VALUE"""),10000.0)</f>
        <v>10000</v>
      </c>
      <c r="AD446" s="16"/>
      <c r="AE446" s="16"/>
      <c r="AF446" s="16" t="str">
        <f>IFERROR(__xludf.DUMMYFUNCTION("""COMPUTED_VALUE"""),"++X4 Defense for the Wearer. ++Light Embodiment II - When Equipped deal X4 Order and Light DMG ")</f>
        <v>++X4 Defense for the Wearer. ++Light Embodiment II - When Equipped deal X4 Order and Light DMG </v>
      </c>
      <c r="AG446" s="16" t="str">
        <f>IFERROR(__xludf.DUMMYFUNCTION("""COMPUTED_VALUE"""),"Dragonscale Island")</f>
        <v>Dragonscale Island</v>
      </c>
      <c r="AH446" s="16" t="b">
        <f>IFERROR(__xludf.DUMMYFUNCTION("""COMPUTED_VALUE"""),TRUE)</f>
        <v>1</v>
      </c>
    </row>
    <row r="447">
      <c r="A447" s="16" t="str">
        <f>IFERROR(__xludf.DUMMYFUNCTION("""COMPUTED_VALUE"""),"DragonScale Royal Vambraces")</f>
        <v>DragonScale Royal Vambraces</v>
      </c>
      <c r="B447" s="16" t="str">
        <f>IFERROR(__xludf.DUMMYFUNCTION("""COMPUTED_VALUE"""),"Arms")</f>
        <v>Arms</v>
      </c>
      <c r="C447" s="16"/>
      <c r="D447" s="16"/>
      <c r="E447" s="16">
        <f>IFERROR(__xludf.DUMMYFUNCTION("""COMPUTED_VALUE"""),200.0)</f>
        <v>200</v>
      </c>
      <c r="F447" s="108">
        <f>IFERROR(__xludf.DUMMYFUNCTION("""COMPUTED_VALUE"""),3.16E7)</f>
        <v>31600000</v>
      </c>
      <c r="G447" s="16" t="str">
        <f>IFERROR(__xludf.DUMMYFUNCTION("""COMPUTED_VALUE"""),"DEF")</f>
        <v>DEF</v>
      </c>
      <c r="H447" s="119">
        <f>IFERROR(__xludf.DUMMYFUNCTION("""COMPUTED_VALUE"""),10000.0)</f>
        <v>10000</v>
      </c>
      <c r="I447" s="16"/>
      <c r="J447" s="16"/>
      <c r="K447" s="16"/>
      <c r="L447" s="16"/>
      <c r="M447" s="16"/>
      <c r="N447" s="16"/>
      <c r="O447" s="16">
        <f>IFERROR(__xludf.DUMMYFUNCTION("""COMPUTED_VALUE"""),10000.0)</f>
        <v>10000</v>
      </c>
      <c r="P447" s="16"/>
      <c r="Q447" s="16"/>
      <c r="R447" s="16">
        <f>IFERROR(__xludf.DUMMYFUNCTION("""COMPUTED_VALUE"""),10000.0)</f>
        <v>10000</v>
      </c>
      <c r="S447" s="16"/>
      <c r="T447" s="16"/>
      <c r="U447" s="16"/>
      <c r="V447" s="16"/>
      <c r="W447" s="16"/>
      <c r="X447" s="16"/>
      <c r="Y447" s="16"/>
      <c r="Z447" s="16"/>
      <c r="AA447" s="16"/>
      <c r="AB447" s="16"/>
      <c r="AC447" s="16">
        <f>IFERROR(__xludf.DUMMYFUNCTION("""COMPUTED_VALUE"""),10000.0)</f>
        <v>10000</v>
      </c>
      <c r="AD447" s="16"/>
      <c r="AE447" s="16"/>
      <c r="AF447" s="16" t="str">
        <f>IFERROR(__xludf.DUMMYFUNCTION("""COMPUTED_VALUE"""),"++X2 Defense for the Wearer. ++Light Embodiment - When Equipped deal X2 Order and Light DMG ")</f>
        <v>++X2 Defense for the Wearer. ++Light Embodiment - When Equipped deal X2 Order and Light DMG </v>
      </c>
      <c r="AG447" s="16" t="str">
        <f>IFERROR(__xludf.DUMMYFUNCTION("""COMPUTED_VALUE"""),"Dragonscale Island")</f>
        <v>Dragonscale Island</v>
      </c>
      <c r="AH447" s="16" t="b">
        <f>IFERROR(__xludf.DUMMYFUNCTION("""COMPUTED_VALUE"""),TRUE)</f>
        <v>1</v>
      </c>
    </row>
    <row r="448">
      <c r="A448" s="16" t="str">
        <f>IFERROR(__xludf.DUMMYFUNCTION("""COMPUTED_VALUE"""),"DragonScale Royal Greaves")</f>
        <v>DragonScale Royal Greaves</v>
      </c>
      <c r="B448" s="16" t="str">
        <f>IFERROR(__xludf.DUMMYFUNCTION("""COMPUTED_VALUE"""),"Legs")</f>
        <v>Legs</v>
      </c>
      <c r="C448" s="16"/>
      <c r="D448" s="16"/>
      <c r="E448" s="16">
        <f>IFERROR(__xludf.DUMMYFUNCTION("""COMPUTED_VALUE"""),200.0)</f>
        <v>200</v>
      </c>
      <c r="F448" s="108">
        <f>IFERROR(__xludf.DUMMYFUNCTION("""COMPUTED_VALUE"""),3.16E7)</f>
        <v>31600000</v>
      </c>
      <c r="G448" s="16" t="str">
        <f>IFERROR(__xludf.DUMMYFUNCTION("""COMPUTED_VALUE"""),"DEF")</f>
        <v>DEF</v>
      </c>
      <c r="H448" s="119">
        <f>IFERROR(__xludf.DUMMYFUNCTION("""COMPUTED_VALUE"""),10000.0)</f>
        <v>10000</v>
      </c>
      <c r="I448" s="16"/>
      <c r="J448" s="16"/>
      <c r="K448" s="16"/>
      <c r="L448" s="16"/>
      <c r="M448" s="16"/>
      <c r="N448" s="16"/>
      <c r="O448" s="16">
        <f>IFERROR(__xludf.DUMMYFUNCTION("""COMPUTED_VALUE"""),10000.0)</f>
        <v>10000</v>
      </c>
      <c r="P448" s="16"/>
      <c r="Q448" s="16"/>
      <c r="R448" s="16">
        <f>IFERROR(__xludf.DUMMYFUNCTION("""COMPUTED_VALUE"""),10000.0)</f>
        <v>10000</v>
      </c>
      <c r="S448" s="16"/>
      <c r="T448" s="16"/>
      <c r="U448" s="16"/>
      <c r="V448" s="16"/>
      <c r="W448" s="16"/>
      <c r="X448" s="16"/>
      <c r="Y448" s="16"/>
      <c r="Z448" s="16"/>
      <c r="AA448" s="16"/>
      <c r="AB448" s="16"/>
      <c r="AC448" s="16">
        <f>IFERROR(__xludf.DUMMYFUNCTION("""COMPUTED_VALUE"""),10000.0)</f>
        <v>10000</v>
      </c>
      <c r="AD448" s="16"/>
      <c r="AE448" s="16"/>
      <c r="AF448" s="16" t="str">
        <f>IFERROR(__xludf.DUMMYFUNCTION("""COMPUTED_VALUE"""),"++X2 Defense for the Wearer. ++Light Embodiment - When Equipped deal X2 Order and Light DMG ")</f>
        <v>++X2 Defense for the Wearer. ++Light Embodiment - When Equipped deal X2 Order and Light DMG </v>
      </c>
      <c r="AG448" s="16" t="str">
        <f>IFERROR(__xludf.DUMMYFUNCTION("""COMPUTED_VALUE"""),"Dragonscale Island")</f>
        <v>Dragonscale Island</v>
      </c>
      <c r="AH448" s="16" t="b">
        <f>IFERROR(__xludf.DUMMYFUNCTION("""COMPUTED_VALUE"""),TRUE)</f>
        <v>1</v>
      </c>
    </row>
    <row r="449">
      <c r="A449" s="16" t="str">
        <f>IFERROR(__xludf.DUMMYFUNCTION("""COMPUTED_VALUE"""),"DragonScale Royal Shield")</f>
        <v>DragonScale Royal Shield</v>
      </c>
      <c r="B449" s="16" t="str">
        <f>IFERROR(__xludf.DUMMYFUNCTION("""COMPUTED_VALUE"""),"Hand")</f>
        <v>Hand</v>
      </c>
      <c r="C449" s="16"/>
      <c r="D449" s="16" t="str">
        <f>IFERROR(__xludf.DUMMYFUNCTION("""COMPUTED_VALUE"""),"Towershield")</f>
        <v>Towershield</v>
      </c>
      <c r="E449" s="16">
        <f>IFERROR(__xludf.DUMMYFUNCTION("""COMPUTED_VALUE"""),200.0)</f>
        <v>200</v>
      </c>
      <c r="F449" s="108">
        <f>IFERROR(__xludf.DUMMYFUNCTION("""COMPUTED_VALUE"""),2.1945E8)</f>
        <v>219450000</v>
      </c>
      <c r="G449" s="16" t="str">
        <f>IFERROR(__xludf.DUMMYFUNCTION("""COMPUTED_VALUE"""),"DEF")</f>
        <v>DEF</v>
      </c>
      <c r="H449" s="119">
        <f>IFERROR(__xludf.DUMMYFUNCTION("""COMPUTED_VALUE"""),55000.0)</f>
        <v>55000</v>
      </c>
      <c r="I449" s="16"/>
      <c r="J449" s="16"/>
      <c r="K449" s="16"/>
      <c r="L449" s="16"/>
      <c r="M449" s="16"/>
      <c r="N449" s="16"/>
      <c r="O449" s="16">
        <f>IFERROR(__xludf.DUMMYFUNCTION("""COMPUTED_VALUE"""),20000.0)</f>
        <v>20000</v>
      </c>
      <c r="P449" s="16"/>
      <c r="Q449" s="16"/>
      <c r="R449" s="16">
        <f>IFERROR(__xludf.DUMMYFUNCTION("""COMPUTED_VALUE"""),20000.0)</f>
        <v>20000</v>
      </c>
      <c r="S449" s="16"/>
      <c r="T449" s="16"/>
      <c r="U449" s="16"/>
      <c r="V449" s="16"/>
      <c r="W449" s="16"/>
      <c r="X449" s="16"/>
      <c r="Y449" s="16"/>
      <c r="Z449" s="16"/>
      <c r="AA449" s="16"/>
      <c r="AB449" s="16"/>
      <c r="AC449" s="16">
        <f>IFERROR(__xludf.DUMMYFUNCTION("""COMPUTED_VALUE"""),10000.0)</f>
        <v>10000</v>
      </c>
      <c r="AD449" s="16"/>
      <c r="AE449" s="16"/>
      <c r="AF449" s="16" t="str">
        <f>IFERROR(__xludf.DUMMYFUNCTION("""COMPUTED_VALUE"""),"++X2 Defense for the Wearer. ++Light Embodiment - When Equipped deal X2 Order and Light DMG ")</f>
        <v>++X2 Defense for the Wearer. ++Light Embodiment - When Equipped deal X2 Order and Light DMG </v>
      </c>
      <c r="AG449" s="16" t="str">
        <f>IFERROR(__xludf.DUMMYFUNCTION("""COMPUTED_VALUE"""),"Dragonscale Island")</f>
        <v>Dragonscale Island</v>
      </c>
      <c r="AH449" s="16" t="b">
        <f>IFERROR(__xludf.DUMMYFUNCTION("""COMPUTED_VALUE"""),TRUE)</f>
        <v>1</v>
      </c>
    </row>
    <row r="450">
      <c r="A450" s="16" t="str">
        <f>IFERROR(__xludf.DUMMYFUNCTION("""COMPUTED_VALUE"""),"DragonScale Royal Boots")</f>
        <v>DragonScale Royal Boots</v>
      </c>
      <c r="B450" s="16" t="str">
        <f>IFERROR(__xludf.DUMMYFUNCTION("""COMPUTED_VALUE"""),"Feet")</f>
        <v>Feet</v>
      </c>
      <c r="C450" s="16"/>
      <c r="D450" s="16"/>
      <c r="E450" s="16">
        <f>IFERROR(__xludf.DUMMYFUNCTION("""COMPUTED_VALUE"""),200.0)</f>
        <v>200</v>
      </c>
      <c r="F450" s="108">
        <f>IFERROR(__xludf.DUMMYFUNCTION("""COMPUTED_VALUE"""),5.356E7)</f>
        <v>53560000</v>
      </c>
      <c r="G450" s="16" t="str">
        <f>IFERROR(__xludf.DUMMYFUNCTION("""COMPUTED_VALUE"""),"DEF")</f>
        <v>DEF</v>
      </c>
      <c r="H450" s="119">
        <f>IFERROR(__xludf.DUMMYFUNCTION("""COMPUTED_VALUE"""),22000.0)</f>
        <v>22000</v>
      </c>
      <c r="I450" s="16"/>
      <c r="J450" s="16"/>
      <c r="K450" s="16"/>
      <c r="L450" s="16"/>
      <c r="M450" s="16"/>
      <c r="N450" s="16"/>
      <c r="O450" s="16">
        <f>IFERROR(__xludf.DUMMYFUNCTION("""COMPUTED_VALUE"""),10000.0)</f>
        <v>10000</v>
      </c>
      <c r="P450" s="16"/>
      <c r="Q450" s="16"/>
      <c r="R450" s="16">
        <f>IFERROR(__xludf.DUMMYFUNCTION("""COMPUTED_VALUE"""),10000.0)</f>
        <v>10000</v>
      </c>
      <c r="S450" s="16"/>
      <c r="T450" s="16"/>
      <c r="U450" s="16"/>
      <c r="V450" s="16"/>
      <c r="W450" s="16"/>
      <c r="X450" s="16"/>
      <c r="Y450" s="16"/>
      <c r="Z450" s="16"/>
      <c r="AA450" s="16"/>
      <c r="AB450" s="16"/>
      <c r="AC450" s="16">
        <f>IFERROR(__xludf.DUMMYFUNCTION("""COMPUTED_VALUE"""),10000.0)</f>
        <v>10000</v>
      </c>
      <c r="AD450" s="16"/>
      <c r="AE450" s="16"/>
      <c r="AF450" s="16" t="str">
        <f>IFERROR(__xludf.DUMMYFUNCTION("""COMPUTED_VALUE"""),"++X2 Defense for the Wearer. ++Light Embodiment - When Equipped deal X2 Order and Light DMG ")</f>
        <v>++X2 Defense for the Wearer. ++Light Embodiment - When Equipped deal X2 Order and Light DMG </v>
      </c>
      <c r="AG450" s="16" t="str">
        <f>IFERROR(__xludf.DUMMYFUNCTION("""COMPUTED_VALUE"""),"Dragonscale Island")</f>
        <v>Dragonscale Island</v>
      </c>
      <c r="AH450" s="16" t="b">
        <f>IFERROR(__xludf.DUMMYFUNCTION("""COMPUTED_VALUE"""),TRUE)</f>
        <v>1</v>
      </c>
    </row>
    <row r="451">
      <c r="A451" s="16" t="str">
        <f>IFERROR(__xludf.DUMMYFUNCTION("""COMPUTED_VALUE"""),"DragonScale Royal Pauldrons")</f>
        <v>DragonScale Royal Pauldrons</v>
      </c>
      <c r="B451" s="16" t="str">
        <f>IFERROR(__xludf.DUMMYFUNCTION("""COMPUTED_VALUE"""),"Shoulders")</f>
        <v>Shoulders</v>
      </c>
      <c r="C451" s="16"/>
      <c r="D451" s="16"/>
      <c r="E451" s="16">
        <f>IFERROR(__xludf.DUMMYFUNCTION("""COMPUTED_VALUE"""),200.0)</f>
        <v>200</v>
      </c>
      <c r="F451" s="108">
        <f>IFERROR(__xludf.DUMMYFUNCTION("""COMPUTED_VALUE"""),4.95E7)</f>
        <v>49500000</v>
      </c>
      <c r="G451" s="16" t="str">
        <f>IFERROR(__xludf.DUMMYFUNCTION("""COMPUTED_VALUE"""),"DEF")</f>
        <v>DEF</v>
      </c>
      <c r="H451" s="119">
        <f>IFERROR(__xludf.DUMMYFUNCTION("""COMPUTED_VALUE"""),20000.0)</f>
        <v>20000</v>
      </c>
      <c r="I451" s="16"/>
      <c r="J451" s="16"/>
      <c r="K451" s="16"/>
      <c r="L451" s="16"/>
      <c r="M451" s="16"/>
      <c r="N451" s="16"/>
      <c r="O451" s="16">
        <f>IFERROR(__xludf.DUMMYFUNCTION("""COMPUTED_VALUE"""),10000.0)</f>
        <v>10000</v>
      </c>
      <c r="P451" s="16"/>
      <c r="Q451" s="16"/>
      <c r="R451" s="16">
        <f>IFERROR(__xludf.DUMMYFUNCTION("""COMPUTED_VALUE"""),10000.0)</f>
        <v>10000</v>
      </c>
      <c r="S451" s="16"/>
      <c r="T451" s="16"/>
      <c r="U451" s="16"/>
      <c r="V451" s="16"/>
      <c r="W451" s="16"/>
      <c r="X451" s="16"/>
      <c r="Y451" s="16"/>
      <c r="Z451" s="16"/>
      <c r="AA451" s="16"/>
      <c r="AB451" s="16"/>
      <c r="AC451" s="16">
        <f>IFERROR(__xludf.DUMMYFUNCTION("""COMPUTED_VALUE"""),10000.0)</f>
        <v>10000</v>
      </c>
      <c r="AD451" s="16"/>
      <c r="AE451" s="16"/>
      <c r="AF451" s="16" t="str">
        <f>IFERROR(__xludf.DUMMYFUNCTION("""COMPUTED_VALUE"""),"++X2 Defense for the Wearer. ++Light Embodiment - When Equipped deal X2 Order and Light DMG ")</f>
        <v>++X2 Defense for the Wearer. ++Light Embodiment - When Equipped deal X2 Order and Light DMG </v>
      </c>
      <c r="AG451" s="16" t="str">
        <f>IFERROR(__xludf.DUMMYFUNCTION("""COMPUTED_VALUE"""),"Dragonscale Island")</f>
        <v>Dragonscale Island</v>
      </c>
      <c r="AH451" s="16" t="b">
        <f>IFERROR(__xludf.DUMMYFUNCTION("""COMPUTED_VALUE"""),TRUE)</f>
        <v>1</v>
      </c>
    </row>
    <row r="452">
      <c r="A452" s="16" t="str">
        <f>IFERROR(__xludf.DUMMYFUNCTION("""COMPUTED_VALUE"""),"BLADE! OF! JUSTICE!!!!")</f>
        <v>BLADE! OF! JUSTICE!!!!</v>
      </c>
      <c r="B452" s="16" t="str">
        <f>IFERROR(__xludf.DUMMYFUNCTION("""COMPUTED_VALUE"""),"Hand")</f>
        <v>Hand</v>
      </c>
      <c r="C452" s="16"/>
      <c r="D452" s="16" t="str">
        <f>IFERROR(__xludf.DUMMYFUNCTION("""COMPUTED_VALUE"""),"Sword")</f>
        <v>Sword</v>
      </c>
      <c r="E452" s="16">
        <f>IFERROR(__xludf.DUMMYFUNCTION("""COMPUTED_VALUE"""),200.0)</f>
        <v>200</v>
      </c>
      <c r="F452" s="108">
        <f>IFERROR(__xludf.DUMMYFUNCTION("""COMPUTED_VALUE"""),3.367E8)</f>
        <v>336700000</v>
      </c>
      <c r="G452" s="16" t="str">
        <f>IFERROR(__xludf.DUMMYFUNCTION("""COMPUTED_VALUE"""),"DMG")</f>
        <v>DMG</v>
      </c>
      <c r="H452" s="119">
        <f>IFERROR(__xludf.DUMMYFUNCTION("""COMPUTED_VALUE"""),100000.0)</f>
        <v>100000</v>
      </c>
      <c r="I452" s="16"/>
      <c r="J452" s="16"/>
      <c r="K452" s="16"/>
      <c r="L452" s="16"/>
      <c r="M452" s="16"/>
      <c r="N452" s="16">
        <f>IFERROR(__xludf.DUMMYFUNCTION("""COMPUTED_VALUE"""),10000.0)</f>
        <v>10000</v>
      </c>
      <c r="O452" s="16"/>
      <c r="P452" s="16"/>
      <c r="Q452" s="119">
        <f>IFERROR(__xludf.DUMMYFUNCTION("""COMPUTED_VALUE"""),10000.0)</f>
        <v>10000</v>
      </c>
      <c r="R452" s="16"/>
      <c r="S452" s="16"/>
      <c r="T452" s="16"/>
      <c r="U452" s="16"/>
      <c r="V452" s="16"/>
      <c r="W452" s="16"/>
      <c r="X452" s="16"/>
      <c r="Y452" s="16"/>
      <c r="Z452" s="16"/>
      <c r="AA452" s="16"/>
      <c r="AB452" s="16"/>
      <c r="AC452" s="16">
        <f>IFERROR(__xludf.DUMMYFUNCTION("""COMPUTED_VALUE"""),10000.0)</f>
        <v>10000</v>
      </c>
      <c r="AD452" s="16"/>
      <c r="AE452" s="16"/>
      <c r="AF452" s="16" t="str">
        <f>IFERROR(__xludf.DUMMYFUNCTION("""COMPUTED_VALUE"""),"++This Weapon will deal X4 damage while equipped against Criminals. ++Light Embodiment II - When Equipped deal X4 Order and Light DMG ")</f>
        <v>++This Weapon will deal X4 damage while equipped against Criminals. ++Light Embodiment II - When Equipped deal X4 Order and Light DMG </v>
      </c>
      <c r="AG452" s="16" t="str">
        <f>IFERROR(__xludf.DUMMYFUNCTION("""COMPUTED_VALUE"""),"Dragonscale Island")</f>
        <v>Dragonscale Island</v>
      </c>
      <c r="AH452" s="16" t="b">
        <f>IFERROR(__xludf.DUMMYFUNCTION("""COMPUTED_VALUE"""),TRUE)</f>
        <v>1</v>
      </c>
    </row>
    <row r="453">
      <c r="A453" s="16" t="str">
        <f>IFERROR(__xludf.DUMMYFUNCTION("""COMPUTED_VALUE"""),"Abstara Royal Helm")</f>
        <v>Abstara Royal Helm</v>
      </c>
      <c r="B453" s="16" t="str">
        <f>IFERROR(__xludf.DUMMYFUNCTION("""COMPUTED_VALUE"""),"Head")</f>
        <v>Head</v>
      </c>
      <c r="C453" s="16"/>
      <c r="D453" s="16"/>
      <c r="E453" s="16">
        <f>IFERROR(__xludf.DUMMYFUNCTION("""COMPUTED_VALUE"""),200.0)</f>
        <v>200</v>
      </c>
      <c r="F453" s="108">
        <f>IFERROR(__xludf.DUMMYFUNCTION("""COMPUTED_VALUE"""),1.99E8)</f>
        <v>199000000</v>
      </c>
      <c r="G453" s="16" t="str">
        <f>IFERROR(__xludf.DUMMYFUNCTION("""COMPUTED_VALUE"""),"DEF")</f>
        <v>DEF</v>
      </c>
      <c r="H453" s="119">
        <f>IFERROR(__xludf.DUMMYFUNCTION("""COMPUTED_VALUE"""),50000.0)</f>
        <v>50000</v>
      </c>
      <c r="I453" s="16"/>
      <c r="J453" s="16"/>
      <c r="K453" s="16"/>
      <c r="L453" s="16"/>
      <c r="M453" s="16"/>
      <c r="N453" s="16"/>
      <c r="O453" s="16"/>
      <c r="P453" s="16"/>
      <c r="Q453" s="16"/>
      <c r="R453" s="16"/>
      <c r="S453" s="16"/>
      <c r="T453" s="16"/>
      <c r="U453" s="16"/>
      <c r="V453" s="16"/>
      <c r="W453" s="16"/>
      <c r="X453" s="16"/>
      <c r="Y453" s="16"/>
      <c r="Z453" s="16"/>
      <c r="AA453" s="16"/>
      <c r="AB453" s="16"/>
      <c r="AC453" s="119">
        <f>IFERROR(__xludf.DUMMYFUNCTION("""COMPUTED_VALUE"""),50000.0)</f>
        <v>50000</v>
      </c>
      <c r="AD453" s="16"/>
      <c r="AE453" s="16"/>
      <c r="AF453"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3" s="16" t="str">
        <f>IFERROR(__xludf.DUMMYFUNCTION("""COMPUTED_VALUE"""),"Abstara")</f>
        <v>Abstara</v>
      </c>
      <c r="AH453" s="16" t="b">
        <f>IFERROR(__xludf.DUMMYFUNCTION("""COMPUTED_VALUE"""),TRUE)</f>
        <v>1</v>
      </c>
    </row>
    <row r="454">
      <c r="A454" s="16" t="str">
        <f>IFERROR(__xludf.DUMMYFUNCTION("""COMPUTED_VALUE"""),"Abstara Royal Chestplate")</f>
        <v>Abstara Royal Chestplate</v>
      </c>
      <c r="B454" s="16" t="str">
        <f>IFERROR(__xludf.DUMMYFUNCTION("""COMPUTED_VALUE"""),"Torso")</f>
        <v>Torso</v>
      </c>
      <c r="C454" s="16"/>
      <c r="D454" s="16"/>
      <c r="E454" s="16">
        <f>IFERROR(__xludf.DUMMYFUNCTION("""COMPUTED_VALUE"""),200.0)</f>
        <v>200</v>
      </c>
      <c r="F454" s="108">
        <f>IFERROR(__xludf.DUMMYFUNCTION("""COMPUTED_VALUE"""),1.99E8)</f>
        <v>199000000</v>
      </c>
      <c r="G454" s="16" t="str">
        <f>IFERROR(__xludf.DUMMYFUNCTION("""COMPUTED_VALUE"""),"DEF")</f>
        <v>DEF</v>
      </c>
      <c r="H454" s="119">
        <f>IFERROR(__xludf.DUMMYFUNCTION("""COMPUTED_VALUE"""),50000.0)</f>
        <v>50000</v>
      </c>
      <c r="I454" s="16"/>
      <c r="J454" s="16"/>
      <c r="K454" s="16"/>
      <c r="L454" s="16"/>
      <c r="M454" s="16"/>
      <c r="N454" s="16"/>
      <c r="O454" s="16"/>
      <c r="P454" s="16"/>
      <c r="Q454" s="16"/>
      <c r="R454" s="16"/>
      <c r="S454" s="16"/>
      <c r="T454" s="16"/>
      <c r="U454" s="16"/>
      <c r="V454" s="16"/>
      <c r="W454" s="16"/>
      <c r="X454" s="16"/>
      <c r="Y454" s="16"/>
      <c r="Z454" s="16"/>
      <c r="AA454" s="16"/>
      <c r="AB454" s="16"/>
      <c r="AC454" s="119">
        <f>IFERROR(__xludf.DUMMYFUNCTION("""COMPUTED_VALUE"""),50000.0)</f>
        <v>50000</v>
      </c>
      <c r="AD454" s="16"/>
      <c r="AE454" s="16"/>
      <c r="AF454"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4" s="16" t="str">
        <f>IFERROR(__xludf.DUMMYFUNCTION("""COMPUTED_VALUE"""),"Abstara")</f>
        <v>Abstara</v>
      </c>
      <c r="AH454" s="16" t="b">
        <f>IFERROR(__xludf.DUMMYFUNCTION("""COMPUTED_VALUE"""),TRUE)</f>
        <v>1</v>
      </c>
    </row>
    <row r="455">
      <c r="A455" s="16" t="str">
        <f>IFERROR(__xludf.DUMMYFUNCTION("""COMPUTED_VALUE"""),"Abstara Royal Vambraces")</f>
        <v>Abstara Royal Vambraces</v>
      </c>
      <c r="B455" s="16" t="str">
        <f>IFERROR(__xludf.DUMMYFUNCTION("""COMPUTED_VALUE"""),"Arms")</f>
        <v>Arms</v>
      </c>
      <c r="C455" s="16"/>
      <c r="D455" s="16"/>
      <c r="E455" s="16">
        <f>IFERROR(__xludf.DUMMYFUNCTION("""COMPUTED_VALUE"""),200.0)</f>
        <v>200</v>
      </c>
      <c r="F455" s="108">
        <f>IFERROR(__xludf.DUMMYFUNCTION("""COMPUTED_VALUE"""),1.99E8)</f>
        <v>199000000</v>
      </c>
      <c r="G455" s="16" t="str">
        <f>IFERROR(__xludf.DUMMYFUNCTION("""COMPUTED_VALUE"""),"DEF")</f>
        <v>DEF</v>
      </c>
      <c r="H455" s="119">
        <f>IFERROR(__xludf.DUMMYFUNCTION("""COMPUTED_VALUE"""),50000.0)</f>
        <v>50000</v>
      </c>
      <c r="I455" s="16"/>
      <c r="J455" s="16"/>
      <c r="K455" s="16"/>
      <c r="L455" s="16"/>
      <c r="M455" s="16"/>
      <c r="N455" s="16"/>
      <c r="O455" s="16"/>
      <c r="P455" s="16"/>
      <c r="Q455" s="16"/>
      <c r="R455" s="16"/>
      <c r="S455" s="16"/>
      <c r="T455" s="16"/>
      <c r="U455" s="16"/>
      <c r="V455" s="16"/>
      <c r="W455" s="16"/>
      <c r="X455" s="16"/>
      <c r="Y455" s="16"/>
      <c r="Z455" s="16"/>
      <c r="AA455" s="16"/>
      <c r="AB455" s="16"/>
      <c r="AC455" s="119">
        <f>IFERROR(__xludf.DUMMYFUNCTION("""COMPUTED_VALUE"""),50000.0)</f>
        <v>50000</v>
      </c>
      <c r="AD455" s="16"/>
      <c r="AE455" s="16"/>
      <c r="AF455"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5" s="16" t="str">
        <f>IFERROR(__xludf.DUMMYFUNCTION("""COMPUTED_VALUE"""),"Abstara")</f>
        <v>Abstara</v>
      </c>
      <c r="AH455" s="16" t="b">
        <f>IFERROR(__xludf.DUMMYFUNCTION("""COMPUTED_VALUE"""),TRUE)</f>
        <v>1</v>
      </c>
    </row>
    <row r="456">
      <c r="A456" s="16" t="str">
        <f>IFERROR(__xludf.DUMMYFUNCTION("""COMPUTED_VALUE"""),"Abstara Royal Greaves")</f>
        <v>Abstara Royal Greaves</v>
      </c>
      <c r="B456" s="16" t="str">
        <f>IFERROR(__xludf.DUMMYFUNCTION("""COMPUTED_VALUE"""),"Legs")</f>
        <v>Legs</v>
      </c>
      <c r="C456" s="16"/>
      <c r="D456" s="16"/>
      <c r="E456" s="16">
        <f>IFERROR(__xludf.DUMMYFUNCTION("""COMPUTED_VALUE"""),200.0)</f>
        <v>200</v>
      </c>
      <c r="F456" s="108">
        <f>IFERROR(__xludf.DUMMYFUNCTION("""COMPUTED_VALUE"""),1.99E8)</f>
        <v>199000000</v>
      </c>
      <c r="G456" s="16" t="str">
        <f>IFERROR(__xludf.DUMMYFUNCTION("""COMPUTED_VALUE"""),"DEF")</f>
        <v>DEF</v>
      </c>
      <c r="H456" s="119">
        <f>IFERROR(__xludf.DUMMYFUNCTION("""COMPUTED_VALUE"""),50000.0)</f>
        <v>50000</v>
      </c>
      <c r="I456" s="16"/>
      <c r="J456" s="16"/>
      <c r="K456" s="16"/>
      <c r="L456" s="16"/>
      <c r="M456" s="16"/>
      <c r="N456" s="16"/>
      <c r="O456" s="16"/>
      <c r="P456" s="16"/>
      <c r="Q456" s="16"/>
      <c r="R456" s="16"/>
      <c r="S456" s="16"/>
      <c r="T456" s="16"/>
      <c r="U456" s="16"/>
      <c r="V456" s="16"/>
      <c r="W456" s="16"/>
      <c r="X456" s="16"/>
      <c r="Y456" s="16"/>
      <c r="Z456" s="16"/>
      <c r="AA456" s="16"/>
      <c r="AB456" s="16"/>
      <c r="AC456" s="119">
        <f>IFERROR(__xludf.DUMMYFUNCTION("""COMPUTED_VALUE"""),50000.0)</f>
        <v>50000</v>
      </c>
      <c r="AD456" s="16"/>
      <c r="AE456" s="16"/>
      <c r="AF456"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6" s="16" t="str">
        <f>IFERROR(__xludf.DUMMYFUNCTION("""COMPUTED_VALUE"""),"Abstara")</f>
        <v>Abstara</v>
      </c>
      <c r="AH456" s="16" t="b">
        <f>IFERROR(__xludf.DUMMYFUNCTION("""COMPUTED_VALUE"""),TRUE)</f>
        <v>1</v>
      </c>
    </row>
    <row r="457">
      <c r="A457" s="16" t="str">
        <f>IFERROR(__xludf.DUMMYFUNCTION("""COMPUTED_VALUE"""),"Abstara Royal Shield")</f>
        <v>Abstara Royal Shield</v>
      </c>
      <c r="B457" s="16" t="str">
        <f>IFERROR(__xludf.DUMMYFUNCTION("""COMPUTED_VALUE"""),"Hand")</f>
        <v>Hand</v>
      </c>
      <c r="C457" s="16"/>
      <c r="D457" s="16" t="str">
        <f>IFERROR(__xludf.DUMMYFUNCTION("""COMPUTED_VALUE"""),"Towershield")</f>
        <v>Towershield</v>
      </c>
      <c r="E457" s="16">
        <f>IFERROR(__xludf.DUMMYFUNCTION("""COMPUTED_VALUE"""),200.0)</f>
        <v>200</v>
      </c>
      <c r="F457" s="108">
        <f>IFERROR(__xludf.DUMMYFUNCTION("""COMPUTED_VALUE"""),1.99E8)</f>
        <v>199000000</v>
      </c>
      <c r="G457" s="16" t="str">
        <f>IFERROR(__xludf.DUMMYFUNCTION("""COMPUTED_VALUE"""),"DEF")</f>
        <v>DEF</v>
      </c>
      <c r="H457" s="119">
        <f>IFERROR(__xludf.DUMMYFUNCTION("""COMPUTED_VALUE"""),50000.0)</f>
        <v>50000</v>
      </c>
      <c r="I457" s="16"/>
      <c r="J457" s="16"/>
      <c r="K457" s="16"/>
      <c r="L457" s="16"/>
      <c r="M457" s="16"/>
      <c r="N457" s="16"/>
      <c r="O457" s="16"/>
      <c r="P457" s="16"/>
      <c r="Q457" s="16"/>
      <c r="R457" s="16"/>
      <c r="S457" s="16"/>
      <c r="T457" s="16"/>
      <c r="U457" s="16"/>
      <c r="V457" s="16"/>
      <c r="W457" s="16"/>
      <c r="X457" s="16"/>
      <c r="Y457" s="16"/>
      <c r="Z457" s="16"/>
      <c r="AA457" s="16"/>
      <c r="AB457" s="16"/>
      <c r="AC457" s="119">
        <f>IFERROR(__xludf.DUMMYFUNCTION("""COMPUTED_VALUE"""),50000.0)</f>
        <v>50000</v>
      </c>
      <c r="AD457" s="16"/>
      <c r="AE457" s="16"/>
      <c r="AF457"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7" s="16" t="str">
        <f>IFERROR(__xludf.DUMMYFUNCTION("""COMPUTED_VALUE"""),"Abstara")</f>
        <v>Abstara</v>
      </c>
      <c r="AH457" s="16" t="b">
        <f>IFERROR(__xludf.DUMMYFUNCTION("""COMPUTED_VALUE"""),TRUE)</f>
        <v>1</v>
      </c>
    </row>
    <row r="458">
      <c r="A458" s="16" t="str">
        <f>IFERROR(__xludf.DUMMYFUNCTION("""COMPUTED_VALUE"""),"Abstara Royal Boots")</f>
        <v>Abstara Royal Boots</v>
      </c>
      <c r="B458" s="16" t="str">
        <f>IFERROR(__xludf.DUMMYFUNCTION("""COMPUTED_VALUE"""),"Feet")</f>
        <v>Feet</v>
      </c>
      <c r="C458" s="16"/>
      <c r="D458" s="16"/>
      <c r="E458" s="16">
        <f>IFERROR(__xludf.DUMMYFUNCTION("""COMPUTED_VALUE"""),200.0)</f>
        <v>200</v>
      </c>
      <c r="F458" s="108">
        <f>IFERROR(__xludf.DUMMYFUNCTION("""COMPUTED_VALUE"""),1.99E8)</f>
        <v>199000000</v>
      </c>
      <c r="G458" s="16" t="str">
        <f>IFERROR(__xludf.DUMMYFUNCTION("""COMPUTED_VALUE"""),"DEF")</f>
        <v>DEF</v>
      </c>
      <c r="H458" s="119">
        <f>IFERROR(__xludf.DUMMYFUNCTION("""COMPUTED_VALUE"""),50000.0)</f>
        <v>50000</v>
      </c>
      <c r="I458" s="16"/>
      <c r="J458" s="16"/>
      <c r="K458" s="16"/>
      <c r="L458" s="16"/>
      <c r="M458" s="16"/>
      <c r="N458" s="16"/>
      <c r="O458" s="16"/>
      <c r="P458" s="16"/>
      <c r="Q458" s="16"/>
      <c r="R458" s="16"/>
      <c r="S458" s="16"/>
      <c r="T458" s="16"/>
      <c r="U458" s="16"/>
      <c r="V458" s="16"/>
      <c r="W458" s="16"/>
      <c r="X458" s="16"/>
      <c r="Y458" s="16"/>
      <c r="Z458" s="16"/>
      <c r="AA458" s="16"/>
      <c r="AB458" s="16"/>
      <c r="AC458" s="119">
        <f>IFERROR(__xludf.DUMMYFUNCTION("""COMPUTED_VALUE"""),50000.0)</f>
        <v>50000</v>
      </c>
      <c r="AD458" s="16"/>
      <c r="AE458" s="16"/>
      <c r="AF458"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8" s="16" t="str">
        <f>IFERROR(__xludf.DUMMYFUNCTION("""COMPUTED_VALUE"""),"Abstara")</f>
        <v>Abstara</v>
      </c>
      <c r="AH458" s="16" t="b">
        <f>IFERROR(__xludf.DUMMYFUNCTION("""COMPUTED_VALUE"""),TRUE)</f>
        <v>1</v>
      </c>
    </row>
    <row r="459">
      <c r="A459" s="16" t="str">
        <f>IFERROR(__xludf.DUMMYFUNCTION("""COMPUTED_VALUE"""),"Abstara Royal Pauldrons")</f>
        <v>Abstara Royal Pauldrons</v>
      </c>
      <c r="B459" s="16" t="str">
        <f>IFERROR(__xludf.DUMMYFUNCTION("""COMPUTED_VALUE"""),"Shoulders")</f>
        <v>Shoulders</v>
      </c>
      <c r="C459" s="16"/>
      <c r="D459" s="16"/>
      <c r="E459" s="16">
        <f>IFERROR(__xludf.DUMMYFUNCTION("""COMPUTED_VALUE"""),200.0)</f>
        <v>200</v>
      </c>
      <c r="F459" s="108">
        <f>IFERROR(__xludf.DUMMYFUNCTION("""COMPUTED_VALUE"""),1.99E8)</f>
        <v>199000000</v>
      </c>
      <c r="G459" s="16" t="str">
        <f>IFERROR(__xludf.DUMMYFUNCTION("""COMPUTED_VALUE"""),"DEF")</f>
        <v>DEF</v>
      </c>
      <c r="H459" s="119">
        <f>IFERROR(__xludf.DUMMYFUNCTION("""COMPUTED_VALUE"""),50000.0)</f>
        <v>50000</v>
      </c>
      <c r="I459" s="16"/>
      <c r="J459" s="16"/>
      <c r="K459" s="16"/>
      <c r="L459" s="16"/>
      <c r="M459" s="16"/>
      <c r="N459" s="16"/>
      <c r="O459" s="16"/>
      <c r="P459" s="16"/>
      <c r="Q459" s="16"/>
      <c r="R459" s="16"/>
      <c r="S459" s="16"/>
      <c r="T459" s="16"/>
      <c r="U459" s="16"/>
      <c r="V459" s="16"/>
      <c r="W459" s="16"/>
      <c r="X459" s="16"/>
      <c r="Y459" s="16"/>
      <c r="Z459" s="16"/>
      <c r="AA459" s="16"/>
      <c r="AB459" s="16"/>
      <c r="AC459" s="119">
        <f>IFERROR(__xludf.DUMMYFUNCTION("""COMPUTED_VALUE"""),50000.0)</f>
        <v>50000</v>
      </c>
      <c r="AD459" s="16"/>
      <c r="AE459" s="16"/>
      <c r="AF459" s="16" t="str">
        <f>IFERROR(__xludf.DUMMYFUNCTION("""COMPUTED_VALUE"""),"++X4 Defense for the Wearer. ++Underworldly Embodiment - When Equipped deal X4 Dark, Chaos, Fire, and Celestial DMG ")</f>
        <v>++X4 Defense for the Wearer. ++Underworldly Embodiment - When Equipped deal X4 Dark, Chaos, Fire, and Celestial DMG </v>
      </c>
      <c r="AG459" s="16" t="str">
        <f>IFERROR(__xludf.DUMMYFUNCTION("""COMPUTED_VALUE"""),"Abstara")</f>
        <v>Abstara</v>
      </c>
      <c r="AH459" s="16" t="b">
        <f>IFERROR(__xludf.DUMMYFUNCTION("""COMPUTED_VALUE"""),TRUE)</f>
        <v>1</v>
      </c>
    </row>
    <row r="460">
      <c r="A460" s="16" t="str">
        <f>IFERROR(__xludf.DUMMYFUNCTION("""COMPUTED_VALUE"""),"Feathered Hat of Roguish ""Justice""")</f>
        <v>Feathered Hat of Roguish "Justice"</v>
      </c>
      <c r="B460" s="16" t="str">
        <f>IFERROR(__xludf.DUMMYFUNCTION("""COMPUTED_VALUE"""),"Head")</f>
        <v>Head</v>
      </c>
      <c r="C460" s="16" t="str">
        <f>IFERROR(__xludf.DUMMYFUNCTION("""COMPUTED_VALUE"""),"Quest Item")</f>
        <v>Quest Item</v>
      </c>
      <c r="D460" s="16"/>
      <c r="E460" s="16">
        <f>IFERROR(__xludf.DUMMYFUNCTION("""COMPUTED_VALUE"""),200.0)</f>
        <v>200</v>
      </c>
      <c r="F460" s="108">
        <f>IFERROR(__xludf.DUMMYFUNCTION("""COMPUTED_VALUE"""),3.16E7)</f>
        <v>31600000</v>
      </c>
      <c r="G460" s="16" t="str">
        <f>IFERROR(__xludf.DUMMYFUNCTION("""COMPUTED_VALUE"""),"DEF")</f>
        <v>DEF</v>
      </c>
      <c r="H460" s="119">
        <f>IFERROR(__xludf.DUMMYFUNCTION("""COMPUTED_VALUE"""),10000.0)</f>
        <v>10000</v>
      </c>
      <c r="I460" s="16"/>
      <c r="J460" s="16"/>
      <c r="K460" s="16"/>
      <c r="L460" s="16"/>
      <c r="M460" s="16"/>
      <c r="N460" s="16">
        <f>IFERROR(__xludf.DUMMYFUNCTION("""COMPUTED_VALUE"""),10000.0)</f>
        <v>10000</v>
      </c>
      <c r="O460" s="16"/>
      <c r="P460" s="16"/>
      <c r="Q460" s="119">
        <f>IFERROR(__xludf.DUMMYFUNCTION("""COMPUTED_VALUE"""),10000.0)</f>
        <v>10000</v>
      </c>
      <c r="R460" s="16"/>
      <c r="S460" s="16"/>
      <c r="T460" s="16"/>
      <c r="U460" s="16"/>
      <c r="V460" s="16"/>
      <c r="W460" s="16"/>
      <c r="X460" s="16"/>
      <c r="Y460" s="16"/>
      <c r="Z460" s="16"/>
      <c r="AA460" s="16"/>
      <c r="AB460" s="16"/>
      <c r="AC460" s="16">
        <f>IFERROR(__xludf.DUMMYFUNCTION("""COMPUTED_VALUE"""),10000.0)</f>
        <v>10000</v>
      </c>
      <c r="AD460" s="16"/>
      <c r="AE460" s="16"/>
      <c r="AF460"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0" s="16" t="str">
        <f>IFERROR(__xludf.DUMMYFUNCTION("""COMPUTED_VALUE"""),"Land of Spira")</f>
        <v>Land of Spira</v>
      </c>
      <c r="AH460" s="16" t="b">
        <f>IFERROR(__xludf.DUMMYFUNCTION("""COMPUTED_VALUE"""),FALSE)</f>
        <v>0</v>
      </c>
    </row>
    <row r="461">
      <c r="A461" s="16" t="str">
        <f>IFERROR(__xludf.DUMMYFUNCTION("""COMPUTED_VALUE"""),"Cape of Misdeed")</f>
        <v>Cape of Misdeed</v>
      </c>
      <c r="B461" s="16" t="str">
        <f>IFERROR(__xludf.DUMMYFUNCTION("""COMPUTED_VALUE"""),"Shoulders")</f>
        <v>Shoulders</v>
      </c>
      <c r="C461" s="16" t="str">
        <f>IFERROR(__xludf.DUMMYFUNCTION("""COMPUTED_VALUE"""),"Quest Item")</f>
        <v>Quest Item</v>
      </c>
      <c r="D461" s="16"/>
      <c r="E461" s="16">
        <f>IFERROR(__xludf.DUMMYFUNCTION("""COMPUTED_VALUE"""),200.0)</f>
        <v>200</v>
      </c>
      <c r="F461" s="108">
        <f>IFERROR(__xludf.DUMMYFUNCTION("""COMPUTED_VALUE"""),9460000.0)</f>
        <v>9460000</v>
      </c>
      <c r="G461" s="16" t="str">
        <f>IFERROR(__xludf.DUMMYFUNCTION("""COMPUTED_VALUE"""),"DEF")</f>
        <v>DEF</v>
      </c>
      <c r="H461" s="119">
        <f>IFERROR(__xludf.DUMMYFUNCTION("""COMPUTED_VALUE"""),1000.0)</f>
        <v>1000</v>
      </c>
      <c r="I461" s="16"/>
      <c r="J461" s="16"/>
      <c r="K461" s="16"/>
      <c r="L461" s="16"/>
      <c r="M461" s="16"/>
      <c r="N461" s="16">
        <f>IFERROR(__xludf.DUMMYFUNCTION("""COMPUTED_VALUE"""),10000.0)</f>
        <v>10000</v>
      </c>
      <c r="O461" s="16"/>
      <c r="P461" s="16"/>
      <c r="Q461" s="119">
        <f>IFERROR(__xludf.DUMMYFUNCTION("""COMPUTED_VALUE"""),10000.0)</f>
        <v>10000</v>
      </c>
      <c r="R461" s="16"/>
      <c r="S461" s="16"/>
      <c r="T461" s="16"/>
      <c r="U461" s="16"/>
      <c r="V461" s="16"/>
      <c r="W461" s="16"/>
      <c r="X461" s="16"/>
      <c r="Y461" s="16"/>
      <c r="Z461" s="16"/>
      <c r="AA461" s="16"/>
      <c r="AB461" s="16"/>
      <c r="AC461" s="16">
        <f>IFERROR(__xludf.DUMMYFUNCTION("""COMPUTED_VALUE"""),1000.0)</f>
        <v>1000</v>
      </c>
      <c r="AD461" s="16"/>
      <c r="AE461" s="16"/>
      <c r="AF461"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1" s="16" t="str">
        <f>IFERROR(__xludf.DUMMYFUNCTION("""COMPUTED_VALUE"""),"Land of Spira")</f>
        <v>Land of Spira</v>
      </c>
      <c r="AH461" s="16" t="b">
        <f>IFERROR(__xludf.DUMMYFUNCTION("""COMPUTED_VALUE"""),FALSE)</f>
        <v>0</v>
      </c>
    </row>
    <row r="462">
      <c r="A462" s="16" t="str">
        <f>IFERROR(__xludf.DUMMYFUNCTION("""COMPUTED_VALUE"""),"Doublet of Debauchery")</f>
        <v>Doublet of Debauchery</v>
      </c>
      <c r="B462" s="16" t="str">
        <f>IFERROR(__xludf.DUMMYFUNCTION("""COMPUTED_VALUE"""),"Torso")</f>
        <v>Torso</v>
      </c>
      <c r="C462" s="16" t="str">
        <f>IFERROR(__xludf.DUMMYFUNCTION("""COMPUTED_VALUE"""),"Quest Item")</f>
        <v>Quest Item</v>
      </c>
      <c r="D462" s="16"/>
      <c r="E462" s="16">
        <f>IFERROR(__xludf.DUMMYFUNCTION("""COMPUTED_VALUE"""),200.0)</f>
        <v>200</v>
      </c>
      <c r="F462" s="108">
        <f>IFERROR(__xludf.DUMMYFUNCTION("""COMPUTED_VALUE"""),9.73E7)</f>
        <v>97300000</v>
      </c>
      <c r="G462" s="16" t="str">
        <f>IFERROR(__xludf.DUMMYFUNCTION("""COMPUTED_VALUE"""),"DEF")</f>
        <v>DEF</v>
      </c>
      <c r="H462" s="119">
        <f>IFERROR(__xludf.DUMMYFUNCTION("""COMPUTED_VALUE"""),20000.0)</f>
        <v>20000</v>
      </c>
      <c r="I462" s="16"/>
      <c r="J462" s="16"/>
      <c r="K462" s="16"/>
      <c r="L462" s="16"/>
      <c r="M462" s="16"/>
      <c r="N462" s="16">
        <f>IFERROR(__xludf.DUMMYFUNCTION("""COMPUTED_VALUE"""),20000.0)</f>
        <v>20000</v>
      </c>
      <c r="O462" s="16"/>
      <c r="P462" s="16"/>
      <c r="Q462" s="119">
        <f>IFERROR(__xludf.DUMMYFUNCTION("""COMPUTED_VALUE"""),20000.0)</f>
        <v>20000</v>
      </c>
      <c r="R462" s="16"/>
      <c r="S462" s="16"/>
      <c r="T462" s="16"/>
      <c r="U462" s="16"/>
      <c r="V462" s="16"/>
      <c r="W462" s="16"/>
      <c r="X462" s="16"/>
      <c r="Y462" s="16"/>
      <c r="Z462" s="16"/>
      <c r="AA462" s="16"/>
      <c r="AB462" s="16"/>
      <c r="AC462" s="16">
        <f>IFERROR(__xludf.DUMMYFUNCTION("""COMPUTED_VALUE"""),10000.0)</f>
        <v>10000</v>
      </c>
      <c r="AD462" s="16"/>
      <c r="AE462" s="16"/>
      <c r="AF462"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2" s="16" t="str">
        <f>IFERROR(__xludf.DUMMYFUNCTION("""COMPUTED_VALUE"""),"Land of Spira")</f>
        <v>Land of Spira</v>
      </c>
      <c r="AH462" s="16" t="b">
        <f>IFERROR(__xludf.DUMMYFUNCTION("""COMPUTED_VALUE"""),FALSE)</f>
        <v>0</v>
      </c>
    </row>
    <row r="463">
      <c r="A463" s="16" t="str">
        <f>IFERROR(__xludf.DUMMYFUNCTION("""COMPUTED_VALUE"""),"Leather Boots of Softstep")</f>
        <v>Leather Boots of Softstep</v>
      </c>
      <c r="B463" s="16" t="str">
        <f>IFERROR(__xludf.DUMMYFUNCTION("""COMPUTED_VALUE"""),"Feet")</f>
        <v>Feet</v>
      </c>
      <c r="C463" s="16" t="str">
        <f>IFERROR(__xludf.DUMMYFUNCTION("""COMPUTED_VALUE"""),"Quest Item")</f>
        <v>Quest Item</v>
      </c>
      <c r="D463" s="16"/>
      <c r="E463" s="16">
        <f>IFERROR(__xludf.DUMMYFUNCTION("""COMPUTED_VALUE"""),200.0)</f>
        <v>200</v>
      </c>
      <c r="F463" s="108">
        <f>IFERROR(__xludf.DUMMYFUNCTION("""COMPUTED_VALUE"""),3.16E7)</f>
        <v>31600000</v>
      </c>
      <c r="G463" s="16" t="str">
        <f>IFERROR(__xludf.DUMMYFUNCTION("""COMPUTED_VALUE"""),"DEF")</f>
        <v>DEF</v>
      </c>
      <c r="H463" s="119">
        <f>IFERROR(__xludf.DUMMYFUNCTION("""COMPUTED_VALUE"""),10000.0)</f>
        <v>10000</v>
      </c>
      <c r="I463" s="16"/>
      <c r="J463" s="16"/>
      <c r="K463" s="16"/>
      <c r="L463" s="16"/>
      <c r="M463" s="16"/>
      <c r="N463" s="16">
        <f>IFERROR(__xludf.DUMMYFUNCTION("""COMPUTED_VALUE"""),10000.0)</f>
        <v>10000</v>
      </c>
      <c r="O463" s="16"/>
      <c r="P463" s="16"/>
      <c r="Q463" s="119">
        <f>IFERROR(__xludf.DUMMYFUNCTION("""COMPUTED_VALUE"""),10000.0)</f>
        <v>10000</v>
      </c>
      <c r="R463" s="16"/>
      <c r="S463" s="16"/>
      <c r="T463" s="16"/>
      <c r="U463" s="16"/>
      <c r="V463" s="16"/>
      <c r="W463" s="16"/>
      <c r="X463" s="16"/>
      <c r="Y463" s="16"/>
      <c r="Z463" s="16"/>
      <c r="AA463" s="16"/>
      <c r="AB463" s="16"/>
      <c r="AC463" s="16">
        <f>IFERROR(__xludf.DUMMYFUNCTION("""COMPUTED_VALUE"""),10000.0)</f>
        <v>10000</v>
      </c>
      <c r="AD463" s="16"/>
      <c r="AE463" s="16"/>
      <c r="AF463"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3" s="16" t="str">
        <f>IFERROR(__xludf.DUMMYFUNCTION("""COMPUTED_VALUE"""),"Land of Spira")</f>
        <v>Land of Spira</v>
      </c>
      <c r="AH463" s="16" t="b">
        <f>IFERROR(__xludf.DUMMYFUNCTION("""COMPUTED_VALUE"""),FALSE)</f>
        <v>0</v>
      </c>
    </row>
    <row r="464">
      <c r="A464" s="16" t="str">
        <f>IFERROR(__xludf.DUMMYFUNCTION("""COMPUTED_VALUE"""),"Tights of Fabulous Thievery")</f>
        <v>Tights of Fabulous Thievery</v>
      </c>
      <c r="B464" s="16" t="str">
        <f>IFERROR(__xludf.DUMMYFUNCTION("""COMPUTED_VALUE"""),"Legs")</f>
        <v>Legs</v>
      </c>
      <c r="C464" s="16" t="str">
        <f>IFERROR(__xludf.DUMMYFUNCTION("""COMPUTED_VALUE"""),"Quest Item")</f>
        <v>Quest Item</v>
      </c>
      <c r="D464" s="16"/>
      <c r="E464" s="16">
        <f>IFERROR(__xludf.DUMMYFUNCTION("""COMPUTED_VALUE"""),200.0)</f>
        <v>200</v>
      </c>
      <c r="F464" s="108">
        <f>IFERROR(__xludf.DUMMYFUNCTION("""COMPUTED_VALUE"""),3.16E7)</f>
        <v>31600000</v>
      </c>
      <c r="G464" s="16" t="str">
        <f>IFERROR(__xludf.DUMMYFUNCTION("""COMPUTED_VALUE"""),"DEF")</f>
        <v>DEF</v>
      </c>
      <c r="H464" s="119">
        <f>IFERROR(__xludf.DUMMYFUNCTION("""COMPUTED_VALUE"""),10000.0)</f>
        <v>10000</v>
      </c>
      <c r="I464" s="16"/>
      <c r="J464" s="16"/>
      <c r="K464" s="16"/>
      <c r="L464" s="16"/>
      <c r="M464" s="16"/>
      <c r="N464" s="16">
        <f>IFERROR(__xludf.DUMMYFUNCTION("""COMPUTED_VALUE"""),10000.0)</f>
        <v>10000</v>
      </c>
      <c r="O464" s="16"/>
      <c r="P464" s="16"/>
      <c r="Q464" s="119">
        <f>IFERROR(__xludf.DUMMYFUNCTION("""COMPUTED_VALUE"""),10000.0)</f>
        <v>10000</v>
      </c>
      <c r="R464" s="16"/>
      <c r="S464" s="16"/>
      <c r="T464" s="16"/>
      <c r="U464" s="16"/>
      <c r="V464" s="16"/>
      <c r="W464" s="16"/>
      <c r="X464" s="16"/>
      <c r="Y464" s="16"/>
      <c r="Z464" s="16"/>
      <c r="AA464" s="16"/>
      <c r="AB464" s="16"/>
      <c r="AC464" s="16">
        <f>IFERROR(__xludf.DUMMYFUNCTION("""COMPUTED_VALUE"""),10000.0)</f>
        <v>10000</v>
      </c>
      <c r="AD464" s="16"/>
      <c r="AE464" s="16"/>
      <c r="AF464"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4" s="16" t="str">
        <f>IFERROR(__xludf.DUMMYFUNCTION("""COMPUTED_VALUE"""),"Land of Spira")</f>
        <v>Land of Spira</v>
      </c>
      <c r="AH464" s="16" t="b">
        <f>IFERROR(__xludf.DUMMYFUNCTION("""COMPUTED_VALUE"""),FALSE)</f>
        <v>0</v>
      </c>
    </row>
    <row r="465">
      <c r="A465" s="16" t="str">
        <f>IFERROR(__xludf.DUMMYFUNCTION("""COMPUTED_VALUE"""),"Fingerless Glove of Anonymity")</f>
        <v>Fingerless Glove of Anonymity</v>
      </c>
      <c r="B465" s="16" t="str">
        <f>IFERROR(__xludf.DUMMYFUNCTION("""COMPUTED_VALUE"""),"Hand")</f>
        <v>Hand</v>
      </c>
      <c r="C465" s="16" t="str">
        <f>IFERROR(__xludf.DUMMYFUNCTION("""COMPUTED_VALUE"""),"Quest Item")</f>
        <v>Quest Item</v>
      </c>
      <c r="D465" s="16" t="str">
        <f>IFERROR(__xludf.DUMMYFUNCTION("""COMPUTED_VALUE"""),"Claw")</f>
        <v>Claw</v>
      </c>
      <c r="E465" s="16">
        <f>IFERROR(__xludf.DUMMYFUNCTION("""COMPUTED_VALUE"""),200.0)</f>
        <v>200</v>
      </c>
      <c r="F465" s="108">
        <f>IFERROR(__xludf.DUMMYFUNCTION("""COMPUTED_VALUE"""),3.16E7)</f>
        <v>31600000</v>
      </c>
      <c r="G465" s="16" t="str">
        <f>IFERROR(__xludf.DUMMYFUNCTION("""COMPUTED_VALUE"""),"DMG")</f>
        <v>DMG</v>
      </c>
      <c r="H465" s="119">
        <f>IFERROR(__xludf.DUMMYFUNCTION("""COMPUTED_VALUE"""),10000.0)</f>
        <v>10000</v>
      </c>
      <c r="I465" s="16"/>
      <c r="J465" s="16"/>
      <c r="K465" s="16"/>
      <c r="L465" s="16"/>
      <c r="M465" s="16"/>
      <c r="N465" s="16">
        <f>IFERROR(__xludf.DUMMYFUNCTION("""COMPUTED_VALUE"""),10000.0)</f>
        <v>10000</v>
      </c>
      <c r="O465" s="16"/>
      <c r="P465" s="16"/>
      <c r="Q465" s="119">
        <f>IFERROR(__xludf.DUMMYFUNCTION("""COMPUTED_VALUE"""),10000.0)</f>
        <v>10000</v>
      </c>
      <c r="R465" s="16"/>
      <c r="S465" s="16"/>
      <c r="T465" s="16"/>
      <c r="U465" s="16"/>
      <c r="V465" s="16"/>
      <c r="W465" s="16"/>
      <c r="X465" s="16"/>
      <c r="Y465" s="16"/>
      <c r="Z465" s="16"/>
      <c r="AA465" s="16"/>
      <c r="AB465" s="16"/>
      <c r="AC465" s="16">
        <f>IFERROR(__xludf.DUMMYFUNCTION("""COMPUTED_VALUE"""),10000.0)</f>
        <v>10000</v>
      </c>
      <c r="AD465" s="16"/>
      <c r="AE465" s="16"/>
      <c r="AF465" s="16" t="str">
        <f>IFERROR(__xludf.DUMMYFUNCTION("""COMPUTED_VALUE"""),"(Roguish Guise Set) ++X2 Money Stolen Via the Sword of Bad Luck. +1 Evasion When Fighting Guards. ++5% Chance to not gain a bounty when committing a crime (Cannot be Increased) ++20% chance to remove enemy from battle +-Cannot be duplicated +-Pirate/Marau"&amp;"der Only")</f>
        <v>(Roguish Guise Set) ++X2 Money Stolen Via the Sword of Bad Luck. +1 Evasion When Fighting Guards. ++5% Chance to not gain a bounty when committing a crime (Cannot be Increased) ++20% chance to remove enemy from battle +-Cannot be duplicated +-Pirate/Marauder Only</v>
      </c>
      <c r="AG465" s="16" t="str">
        <f>IFERROR(__xludf.DUMMYFUNCTION("""COMPUTED_VALUE"""),"Land of Spira")</f>
        <v>Land of Spira</v>
      </c>
      <c r="AH465" s="16" t="b">
        <f>IFERROR(__xludf.DUMMYFUNCTION("""COMPUTED_VALUE"""),FALSE)</f>
        <v>0</v>
      </c>
    </row>
    <row r="466">
      <c r="A466" s="16" t="str">
        <f>IFERROR(__xludf.DUMMYFUNCTION("""COMPUTED_VALUE"""),"Bracers of Dastardly Deflection")</f>
        <v>Bracers of Dastardly Deflection</v>
      </c>
      <c r="B466" s="16" t="str">
        <f>IFERROR(__xludf.DUMMYFUNCTION("""COMPUTED_VALUE"""),"Arms")</f>
        <v>Arms</v>
      </c>
      <c r="C466" s="16" t="str">
        <f>IFERROR(__xludf.DUMMYFUNCTION("""COMPUTED_VALUE"""),"Quest Item")</f>
        <v>Quest Item</v>
      </c>
      <c r="D466" s="16"/>
      <c r="E466" s="16">
        <f>IFERROR(__xludf.DUMMYFUNCTION("""COMPUTED_VALUE"""),200.0)</f>
        <v>200</v>
      </c>
      <c r="F466" s="108">
        <f>IFERROR(__xludf.DUMMYFUNCTION("""COMPUTED_VALUE"""),3.16E7)</f>
        <v>31600000</v>
      </c>
      <c r="G466" s="16" t="str">
        <f>IFERROR(__xludf.DUMMYFUNCTION("""COMPUTED_VALUE"""),"DEF")</f>
        <v>DEF</v>
      </c>
      <c r="H466" s="119">
        <f>IFERROR(__xludf.DUMMYFUNCTION("""COMPUTED_VALUE"""),10000.0)</f>
        <v>10000</v>
      </c>
      <c r="I466" s="16"/>
      <c r="J466" s="16"/>
      <c r="K466" s="16"/>
      <c r="L466" s="16"/>
      <c r="M466" s="16"/>
      <c r="N466" s="16">
        <f>IFERROR(__xludf.DUMMYFUNCTION("""COMPUTED_VALUE"""),10000.0)</f>
        <v>10000</v>
      </c>
      <c r="O466" s="16"/>
      <c r="P466" s="16"/>
      <c r="Q466" s="119">
        <f>IFERROR(__xludf.DUMMYFUNCTION("""COMPUTED_VALUE"""),10000.0)</f>
        <v>10000</v>
      </c>
      <c r="R466" s="16"/>
      <c r="S466" s="16"/>
      <c r="T466" s="16"/>
      <c r="U466" s="16"/>
      <c r="V466" s="16"/>
      <c r="W466" s="16"/>
      <c r="X466" s="16"/>
      <c r="Y466" s="16"/>
      <c r="Z466" s="16"/>
      <c r="AA466" s="16"/>
      <c r="AB466" s="16"/>
      <c r="AC466" s="16">
        <f>IFERROR(__xludf.DUMMYFUNCTION("""COMPUTED_VALUE"""),10000.0)</f>
        <v>10000</v>
      </c>
      <c r="AD466" s="16"/>
      <c r="AE466" s="16"/>
      <c r="AF466" s="16" t="str">
        <f>IFERROR(__xludf.DUMMYFUNCTION("""COMPUTED_VALUE"""),"(Roguish Guise Set) ++X2 Money Stolen Via the Sword of Bad Luck. +1 Evasion When Fighting Guards +-Cannot be duplicated +-Pirate/Marauder Only")</f>
        <v>(Roguish Guise Set) ++X2 Money Stolen Via the Sword of Bad Luck. +1 Evasion When Fighting Guards +-Cannot be duplicated +-Pirate/Marauder Only</v>
      </c>
      <c r="AG466" s="16" t="str">
        <f>IFERROR(__xludf.DUMMYFUNCTION("""COMPUTED_VALUE"""),"Land of Spira")</f>
        <v>Land of Spira</v>
      </c>
      <c r="AH466" s="16" t="b">
        <f>IFERROR(__xludf.DUMMYFUNCTION("""COMPUTED_VALUE"""),FALSE)</f>
        <v>0</v>
      </c>
    </row>
    <row r="467">
      <c r="A467" s="16" t="str">
        <f>IFERROR(__xludf.DUMMYFUNCTION("""COMPUTED_VALUE"""),"Amulet of the Goddess of Theft")</f>
        <v>Amulet of the Goddess of Theft</v>
      </c>
      <c r="B467" s="16" t="str">
        <f>IFERROR(__xludf.DUMMYFUNCTION("""COMPUTED_VALUE"""),"Neck")</f>
        <v>Neck</v>
      </c>
      <c r="C467" s="16" t="str">
        <f>IFERROR(__xludf.DUMMYFUNCTION("""COMPUTED_VALUE"""),"Quest Item")</f>
        <v>Quest Item</v>
      </c>
      <c r="D467" s="16"/>
      <c r="E467" s="16">
        <f>IFERROR(__xludf.DUMMYFUNCTION("""COMPUTED_VALUE"""),1.0)</f>
        <v>1</v>
      </c>
      <c r="F467" s="108">
        <f>IFERROR(__xludf.DUMMYFUNCTION("""COMPUTED_VALUE"""),0.0)</f>
        <v>0</v>
      </c>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t="str">
        <f>IFERROR(__xludf.DUMMYFUNCTION("""COMPUTED_VALUE"""),"(Roguish Guise Set) ++X2 Money Stolen Via the Sword of Bad Luck. +5 Evasion +-Cannot be forged +-Cannot be duplicated +-Pirate/Marauder Only")</f>
        <v>(Roguish Guise Set) ++X2 Money Stolen Via the Sword of Bad Luck. +5 Evasion +-Cannot be forged +-Cannot be duplicated +-Pirate/Marauder Only</v>
      </c>
      <c r="AG467" s="16" t="str">
        <f>IFERROR(__xludf.DUMMYFUNCTION("""COMPUTED_VALUE"""),"Land of Spira")</f>
        <v>Land of Spira</v>
      </c>
      <c r="AH467" s="16" t="b">
        <f>IFERROR(__xludf.DUMMYFUNCTION("""COMPUTED_VALUE"""),FALSE)</f>
        <v>0</v>
      </c>
    </row>
    <row r="468">
      <c r="A468" s="16" t="str">
        <f>IFERROR(__xludf.DUMMYFUNCTION("""COMPUTED_VALUE"""),"Flute of The Majestic Forest")</f>
        <v>Flute of The Majestic Forest</v>
      </c>
      <c r="B468" s="16" t="str">
        <f>IFERROR(__xludf.DUMMYFUNCTION("""COMPUTED_VALUE"""),"Hand")</f>
        <v>Hand</v>
      </c>
      <c r="C468" s="16"/>
      <c r="D468" s="16" t="str">
        <f>IFERROR(__xludf.DUMMYFUNCTION("""COMPUTED_VALUE"""),"Instrument")</f>
        <v>Instrument</v>
      </c>
      <c r="E468" s="16">
        <f>IFERROR(__xludf.DUMMYFUNCTION("""COMPUTED_VALUE"""),300.0)</f>
        <v>300</v>
      </c>
      <c r="F468" s="108">
        <f>IFERROR(__xludf.DUMMYFUNCTION("""COMPUTED_VALUE"""),4350000.0)</f>
        <v>4350000</v>
      </c>
      <c r="G468" s="16" t="str">
        <f>IFERROR(__xludf.DUMMYFUNCTION("""COMPUTED_VALUE"""),"DMG")</f>
        <v>DMG</v>
      </c>
      <c r="H468" s="119">
        <f>IFERROR(__xludf.DUMMYFUNCTION("""COMPUTED_VALUE"""),5000.0)</f>
        <v>5000</v>
      </c>
      <c r="I468" s="16"/>
      <c r="J468" s="16"/>
      <c r="K468" s="16"/>
      <c r="L468" s="16"/>
      <c r="M468" s="16"/>
      <c r="N468" s="16"/>
      <c r="O468" s="16"/>
      <c r="P468" s="16"/>
      <c r="Q468" s="16"/>
      <c r="R468" s="16"/>
      <c r="S468" s="16">
        <f>IFERROR(__xludf.DUMMYFUNCTION("""COMPUTED_VALUE"""),5000.0)</f>
        <v>5000</v>
      </c>
      <c r="T468" s="16"/>
      <c r="U468" s="16"/>
      <c r="V468" s="16"/>
      <c r="W468" s="16"/>
      <c r="X468" s="16"/>
      <c r="Y468" s="16"/>
      <c r="Z468" s="16"/>
      <c r="AA468" s="16"/>
      <c r="AB468" s="16"/>
      <c r="AC468" s="16"/>
      <c r="AD468" s="16"/>
      <c r="AE468" s="16">
        <f>IFERROR(__xludf.DUMMYFUNCTION("""COMPUTED_VALUE"""),5000.0)</f>
        <v>5000</v>
      </c>
      <c r="AF468" s="16" t="str">
        <f>IFERROR(__xludf.DUMMYFUNCTION("""COMPUTED_VALUE"""),"++X2 Additional Nature damage while equipped. ++Song of The Forest - Summons a nature mob determined by the DM/GM to assist you in battle. +-Cannot be duplicated. +-Only Bards can equip.")</f>
        <v>++X2 Additional Nature damage while equipped. ++Song of The Forest - Summons a nature mob determined by the DM/GM to assist you in battle. +-Cannot be duplicated. +-Only Bards can equip.</v>
      </c>
      <c r="AG468" s="16" t="str">
        <f>IFERROR(__xludf.DUMMYFUNCTION("""COMPUTED_VALUE"""),"Land of Spira")</f>
        <v>Land of Spira</v>
      </c>
      <c r="AH468" s="16" t="b">
        <f>IFERROR(__xludf.DUMMYFUNCTION("""COMPUTED_VALUE"""),FALSE)</f>
        <v>0</v>
      </c>
    </row>
    <row r="469">
      <c r="A469" s="16" t="str">
        <f>IFERROR(__xludf.DUMMYFUNCTION("""COMPUTED_VALUE"""),"Heatmore Tribal Drums")</f>
        <v>Heatmore Tribal Drums</v>
      </c>
      <c r="B469" s="16" t="str">
        <f>IFERROR(__xludf.DUMMYFUNCTION("""COMPUTED_VALUE"""),"Hand")</f>
        <v>Hand</v>
      </c>
      <c r="C469" s="16"/>
      <c r="D469" s="16" t="str">
        <f>IFERROR(__xludf.DUMMYFUNCTION("""COMPUTED_VALUE"""),"Instrument")</f>
        <v>Instrument</v>
      </c>
      <c r="E469" s="16">
        <f>IFERROR(__xludf.DUMMYFUNCTION("""COMPUTED_VALUE"""),600.0)</f>
        <v>600</v>
      </c>
      <c r="F469" s="108">
        <f>IFERROR(__xludf.DUMMYFUNCTION("""COMPUTED_VALUE"""),1.77E7)</f>
        <v>17700000</v>
      </c>
      <c r="G469" s="16" t="str">
        <f>IFERROR(__xludf.DUMMYFUNCTION("""COMPUTED_VALUE"""),"DMG")</f>
        <v>DMG</v>
      </c>
      <c r="H469" s="119">
        <f>IFERROR(__xludf.DUMMYFUNCTION("""COMPUTED_VALUE"""),10000.0)</f>
        <v>10000</v>
      </c>
      <c r="I469" s="119">
        <f>IFERROR(__xludf.DUMMYFUNCTION("""COMPUTED_VALUE"""),10000.0)</f>
        <v>10000</v>
      </c>
      <c r="J469" s="16"/>
      <c r="K469" s="16"/>
      <c r="L469" s="16"/>
      <c r="M469" s="16"/>
      <c r="N469" s="16"/>
      <c r="O469" s="16"/>
      <c r="P469" s="16"/>
      <c r="Q469" s="16"/>
      <c r="R469" s="16"/>
      <c r="S469" s="16"/>
      <c r="T469" s="16"/>
      <c r="U469" s="16"/>
      <c r="V469" s="16"/>
      <c r="W469" s="16"/>
      <c r="X469" s="16"/>
      <c r="Y469" s="16"/>
      <c r="Z469" s="16"/>
      <c r="AA469" s="16"/>
      <c r="AB469" s="16"/>
      <c r="AC469" s="16"/>
      <c r="AD469" s="16"/>
      <c r="AE469" s="119">
        <f>IFERROR(__xludf.DUMMYFUNCTION("""COMPUTED_VALUE"""),10000.0)</f>
        <v>10000</v>
      </c>
      <c r="AF469" s="16" t="str">
        <f>IFERROR(__xludf.DUMMYFUNCTION("""COMPUTED_VALUE"""),"++X2 Additional Fire damage while equipped. ++Tribal Chant 25% chance to call Master Sawoogo to aid you in battle. +-Cannot be duplicated. +-Only Bards can equip.")</f>
        <v>++X2 Additional Fire damage while equipped. ++Tribal Chant 25% chance to call Master Sawoogo to aid you in battle. +-Cannot be duplicated. +-Only Bards can equip.</v>
      </c>
      <c r="AG469" s="16" t="str">
        <f>IFERROR(__xludf.DUMMYFUNCTION("""COMPUTED_VALUE"""),"Land of Spira")</f>
        <v>Land of Spira</v>
      </c>
      <c r="AH469" s="16" t="b">
        <f>IFERROR(__xludf.DUMMYFUNCTION("""COMPUTED_VALUE"""),FALSE)</f>
        <v>0</v>
      </c>
    </row>
    <row r="470">
      <c r="A470" s="16" t="str">
        <f>IFERROR(__xludf.DUMMYFUNCTION("""COMPUTED_VALUE"""),"Heatmore Tribal Maracas")</f>
        <v>Heatmore Tribal Maracas</v>
      </c>
      <c r="B470" s="16" t="str">
        <f>IFERROR(__xludf.DUMMYFUNCTION("""COMPUTED_VALUE"""),"Hand")</f>
        <v>Hand</v>
      </c>
      <c r="C470" s="16"/>
      <c r="D470" s="16" t="str">
        <f>IFERROR(__xludf.DUMMYFUNCTION("""COMPUTED_VALUE"""),"Instrument")</f>
        <v>Instrument</v>
      </c>
      <c r="E470" s="16">
        <f>IFERROR(__xludf.DUMMYFUNCTION("""COMPUTED_VALUE"""),900.0)</f>
        <v>900</v>
      </c>
      <c r="F470" s="108">
        <f>IFERROR(__xludf.DUMMYFUNCTION("""COMPUTED_VALUE"""),4.005E7)</f>
        <v>40050000</v>
      </c>
      <c r="G470" s="16" t="str">
        <f>IFERROR(__xludf.DUMMYFUNCTION("""COMPUTED_VALUE"""),"DMG")</f>
        <v>DMG</v>
      </c>
      <c r="H470" s="119">
        <f>IFERROR(__xludf.DUMMYFUNCTION("""COMPUTED_VALUE"""),15000.0)</f>
        <v>15000</v>
      </c>
      <c r="I470" s="119">
        <f>IFERROR(__xludf.DUMMYFUNCTION("""COMPUTED_VALUE"""),15000.0)</f>
        <v>15000</v>
      </c>
      <c r="J470" s="16"/>
      <c r="K470" s="16"/>
      <c r="L470" s="16"/>
      <c r="M470" s="16"/>
      <c r="N470" s="16"/>
      <c r="O470" s="16"/>
      <c r="P470" s="16"/>
      <c r="Q470" s="16"/>
      <c r="R470" s="16"/>
      <c r="S470" s="16"/>
      <c r="T470" s="16"/>
      <c r="U470" s="16"/>
      <c r="V470" s="16"/>
      <c r="W470" s="16"/>
      <c r="X470" s="16"/>
      <c r="Y470" s="16"/>
      <c r="Z470" s="16"/>
      <c r="AA470" s="16"/>
      <c r="AB470" s="16"/>
      <c r="AC470" s="16"/>
      <c r="AD470" s="16"/>
      <c r="AE470" s="119">
        <f>IFERROR(__xludf.DUMMYFUNCTION("""COMPUTED_VALUE"""),15000.0)</f>
        <v>15000</v>
      </c>
      <c r="AF470" s="16" t="str">
        <f>IFERROR(__xludf.DUMMYFUNCTION("""COMPUTED_VALUE"""),"++X4 additional Fire and Acoustic damage while equipped. +-Cannot be duplicated. +-Only Bards can equip.")</f>
        <v>++X4 additional Fire and Acoustic damage while equipped. +-Cannot be duplicated. +-Only Bards can equip.</v>
      </c>
      <c r="AG470" s="16" t="str">
        <f>IFERROR(__xludf.DUMMYFUNCTION("""COMPUTED_VALUE"""),"Land of Spira")</f>
        <v>Land of Spira</v>
      </c>
      <c r="AH470" s="16" t="b">
        <f>IFERROR(__xludf.DUMMYFUNCTION("""COMPUTED_VALUE"""),FALSE)</f>
        <v>0</v>
      </c>
    </row>
    <row r="471">
      <c r="A471" s="16" t="str">
        <f>IFERROR(__xludf.DUMMYFUNCTION("""COMPUTED_VALUE"""),"Mask of Creeping Darkness")</f>
        <v>Mask of Creeping Darkness</v>
      </c>
      <c r="B471" s="16" t="str">
        <f>IFERROR(__xludf.DUMMYFUNCTION("""COMPUTED_VALUE"""),"Head")</f>
        <v>Head</v>
      </c>
      <c r="C471" s="16" t="str">
        <f>IFERROR(__xludf.DUMMYFUNCTION("""COMPUTED_VALUE"""),"Quest Item")</f>
        <v>Quest Item</v>
      </c>
      <c r="D471" s="16"/>
      <c r="E471" s="16">
        <f>IFERROR(__xludf.DUMMYFUNCTION("""COMPUTED_VALUE"""),200.0)</f>
        <v>200</v>
      </c>
      <c r="F471" s="108">
        <f>IFERROR(__xludf.DUMMYFUNCTION("""COMPUTED_VALUE"""),1.7955E8)</f>
        <v>179550000</v>
      </c>
      <c r="G471" s="16" t="str">
        <f>IFERROR(__xludf.DUMMYFUNCTION("""COMPUTED_VALUE"""),"DEF")</f>
        <v>DEF</v>
      </c>
      <c r="H471" s="119">
        <f>IFERROR(__xludf.DUMMYFUNCTION("""COMPUTED_VALUE"""),25000.0)</f>
        <v>25000</v>
      </c>
      <c r="I471" s="16"/>
      <c r="J471" s="16"/>
      <c r="K471" s="16"/>
      <c r="L471" s="16"/>
      <c r="M471" s="16"/>
      <c r="N471" s="16">
        <f>IFERROR(__xludf.DUMMYFUNCTION("""COMPUTED_VALUE"""),25000.0)</f>
        <v>25000</v>
      </c>
      <c r="O471" s="16"/>
      <c r="P471" s="16"/>
      <c r="Q471" s="119">
        <f>IFERROR(__xludf.DUMMYFUNCTION("""COMPUTED_VALUE"""),25000.0)</f>
        <v>25000</v>
      </c>
      <c r="R471" s="16"/>
      <c r="S471" s="16"/>
      <c r="T471" s="16"/>
      <c r="U471" s="16"/>
      <c r="V471" s="16"/>
      <c r="W471" s="16"/>
      <c r="X471" s="16"/>
      <c r="Y471" s="16"/>
      <c r="Z471" s="16"/>
      <c r="AA471" s="16"/>
      <c r="AB471" s="16"/>
      <c r="AC471" s="16">
        <f>IFERROR(__xludf.DUMMYFUNCTION("""COMPUTED_VALUE"""),20000.0)</f>
        <v>20000</v>
      </c>
      <c r="AD471" s="16"/>
      <c r="AE471" s="16"/>
      <c r="AF471" s="16" t="str">
        <f>IFERROR(__xludf.DUMMYFUNCTION("""COMPUTED_VALUE"""),"++X2 Damage whilst invulnerable breaking invulnerability upon being used. +-Cannot be Duplicated. +-Ninja Only")</f>
        <v>++X2 Damage whilst invulnerable breaking invulnerability upon being used. +-Cannot be Duplicated. +-Ninja Only</v>
      </c>
      <c r="AG471" s="16" t="str">
        <f>IFERROR(__xludf.DUMMYFUNCTION("""COMPUTED_VALUE"""),"Dragonscale Island")</f>
        <v>Dragonscale Island</v>
      </c>
      <c r="AH471" s="16" t="b">
        <f>IFERROR(__xludf.DUMMYFUNCTION("""COMPUTED_VALUE"""),FALSE)</f>
        <v>0</v>
      </c>
    </row>
    <row r="472">
      <c r="A472" s="16" t="str">
        <f>IFERROR(__xludf.DUMMYFUNCTION("""COMPUTED_VALUE"""),"Chest of Evershifting Darkness")</f>
        <v>Chest of Evershifting Darkness</v>
      </c>
      <c r="B472" s="16" t="str">
        <f>IFERROR(__xludf.DUMMYFUNCTION("""COMPUTED_VALUE"""),"Torso")</f>
        <v>Torso</v>
      </c>
      <c r="C472" s="16" t="str">
        <f>IFERROR(__xludf.DUMMYFUNCTION("""COMPUTED_VALUE"""),"Quest Item")</f>
        <v>Quest Item</v>
      </c>
      <c r="D472" s="16"/>
      <c r="E472" s="16">
        <f>IFERROR(__xludf.DUMMYFUNCTION("""COMPUTED_VALUE"""),200.0)</f>
        <v>200</v>
      </c>
      <c r="F472" s="108">
        <f>IFERROR(__xludf.DUMMYFUNCTION("""COMPUTED_VALUE"""),2.1945E8)</f>
        <v>219450000</v>
      </c>
      <c r="G472" s="16" t="str">
        <f>IFERROR(__xludf.DUMMYFUNCTION("""COMPUTED_VALUE"""),"DEF")</f>
        <v>DEF</v>
      </c>
      <c r="H472" s="119">
        <f>IFERROR(__xludf.DUMMYFUNCTION("""COMPUTED_VALUE"""),25000.0)</f>
        <v>25000</v>
      </c>
      <c r="I472" s="16"/>
      <c r="J472" s="16"/>
      <c r="K472" s="16"/>
      <c r="L472" s="16"/>
      <c r="M472" s="16"/>
      <c r="N472" s="16">
        <f>IFERROR(__xludf.DUMMYFUNCTION("""COMPUTED_VALUE"""),25000.0)</f>
        <v>25000</v>
      </c>
      <c r="O472" s="16"/>
      <c r="P472" s="16"/>
      <c r="Q472" s="119">
        <f>IFERROR(__xludf.DUMMYFUNCTION("""COMPUTED_VALUE"""),25000.0)</f>
        <v>25000</v>
      </c>
      <c r="R472" s="16"/>
      <c r="S472" s="16"/>
      <c r="T472" s="16"/>
      <c r="U472" s="16"/>
      <c r="V472" s="16"/>
      <c r="W472" s="16"/>
      <c r="X472" s="16"/>
      <c r="Y472" s="16"/>
      <c r="Z472" s="16"/>
      <c r="AA472" s="16"/>
      <c r="AB472" s="16"/>
      <c r="AC472" s="16">
        <f>IFERROR(__xludf.DUMMYFUNCTION("""COMPUTED_VALUE"""),30000.0)</f>
        <v>30000</v>
      </c>
      <c r="AD472" s="16"/>
      <c r="AE472" s="16"/>
      <c r="AF472" s="16" t="str">
        <f>IFERROR(__xludf.DUMMYFUNCTION("""COMPUTED_VALUE"""),"(Shuttering Shadows Set) ++X4 Damage whilst invulnerable breaking invulnerability upon being used. +-Cannot be Duplicated. +-Ninja Only")</f>
        <v>(Shuttering Shadows Set) ++X4 Damage whilst invulnerable breaking invulnerability upon being used. +-Cannot be Duplicated. +-Ninja Only</v>
      </c>
      <c r="AG472" s="16" t="str">
        <f>IFERROR(__xludf.DUMMYFUNCTION("""COMPUTED_VALUE"""),"Dragonscale Island")</f>
        <v>Dragonscale Island</v>
      </c>
      <c r="AH472" s="16" t="b">
        <f>IFERROR(__xludf.DUMMYFUNCTION("""COMPUTED_VALUE"""),FALSE)</f>
        <v>0</v>
      </c>
    </row>
    <row r="473">
      <c r="A473" s="16" t="str">
        <f>IFERROR(__xludf.DUMMYFUNCTION("""COMPUTED_VALUE"""),"Leather Boots of EDGINESS")</f>
        <v>Leather Boots of EDGINESS</v>
      </c>
      <c r="B473" s="16" t="str">
        <f>IFERROR(__xludf.DUMMYFUNCTION("""COMPUTED_VALUE"""),"Feet")</f>
        <v>Feet</v>
      </c>
      <c r="C473" s="16" t="str">
        <f>IFERROR(__xludf.DUMMYFUNCTION("""COMPUTED_VALUE"""),"Quest Item")</f>
        <v>Quest Item</v>
      </c>
      <c r="D473" s="16"/>
      <c r="E473" s="16">
        <f>IFERROR(__xludf.DUMMYFUNCTION("""COMPUTED_VALUE"""),200.0)</f>
        <v>200</v>
      </c>
      <c r="F473" s="108">
        <f>IFERROR(__xludf.DUMMYFUNCTION("""COMPUTED_VALUE"""),1.7955E8)</f>
        <v>179550000</v>
      </c>
      <c r="G473" s="16" t="str">
        <f>IFERROR(__xludf.DUMMYFUNCTION("""COMPUTED_VALUE"""),"DEF")</f>
        <v>DEF</v>
      </c>
      <c r="H473" s="119">
        <f>IFERROR(__xludf.DUMMYFUNCTION("""COMPUTED_VALUE"""),25000.0)</f>
        <v>25000</v>
      </c>
      <c r="I473" s="16"/>
      <c r="J473" s="16"/>
      <c r="K473" s="16"/>
      <c r="L473" s="16"/>
      <c r="M473" s="16"/>
      <c r="N473" s="16">
        <f>IFERROR(__xludf.DUMMYFUNCTION("""COMPUTED_VALUE"""),25000.0)</f>
        <v>25000</v>
      </c>
      <c r="O473" s="16"/>
      <c r="P473" s="16"/>
      <c r="Q473" s="119">
        <f>IFERROR(__xludf.DUMMYFUNCTION("""COMPUTED_VALUE"""),25000.0)</f>
        <v>25000</v>
      </c>
      <c r="R473" s="16"/>
      <c r="S473" s="16"/>
      <c r="T473" s="16"/>
      <c r="U473" s="16"/>
      <c r="V473" s="16"/>
      <c r="W473" s="16"/>
      <c r="X473" s="16"/>
      <c r="Y473" s="16"/>
      <c r="Z473" s="16"/>
      <c r="AA473" s="16"/>
      <c r="AB473" s="16"/>
      <c r="AC473" s="16">
        <f>IFERROR(__xludf.DUMMYFUNCTION("""COMPUTED_VALUE"""),20000.0)</f>
        <v>20000</v>
      </c>
      <c r="AD473" s="16"/>
      <c r="AE473" s="16"/>
      <c r="AF473" s="16" t="str">
        <f>IFERROR(__xludf.DUMMYFUNCTION("""COMPUTED_VALUE"""),"(Shuttering Shadows Set) ++X2 Damage whilst invulnerable breaking invulnerability upon being used. +-Cannot be Duplicated. +-Ninja Only")</f>
        <v>(Shuttering Shadows Set) ++X2 Damage whilst invulnerable breaking invulnerability upon being used. +-Cannot be Duplicated. +-Ninja Only</v>
      </c>
      <c r="AG473" s="16" t="str">
        <f>IFERROR(__xludf.DUMMYFUNCTION("""COMPUTED_VALUE"""),"Dragonscale Island")</f>
        <v>Dragonscale Island</v>
      </c>
      <c r="AH473" s="16" t="b">
        <f>IFERROR(__xludf.DUMMYFUNCTION("""COMPUTED_VALUE"""),FALSE)</f>
        <v>0</v>
      </c>
    </row>
    <row r="474">
      <c r="A474" s="16" t="str">
        <f>IFERROR(__xludf.DUMMYFUNCTION("""COMPUTED_VALUE"""),"Silken Gloves of Dexterity")</f>
        <v>Silken Gloves of Dexterity</v>
      </c>
      <c r="B474" s="16" t="str">
        <f>IFERROR(__xludf.DUMMYFUNCTION("""COMPUTED_VALUE"""),"Arms")</f>
        <v>Arms</v>
      </c>
      <c r="C474" s="16" t="str">
        <f>IFERROR(__xludf.DUMMYFUNCTION("""COMPUTED_VALUE"""),"Quest Item")</f>
        <v>Quest Item</v>
      </c>
      <c r="D474" s="16"/>
      <c r="E474" s="16">
        <f>IFERROR(__xludf.DUMMYFUNCTION("""COMPUTED_VALUE"""),200.0)</f>
        <v>200</v>
      </c>
      <c r="F474" s="108">
        <f>IFERROR(__xludf.DUMMYFUNCTION("""COMPUTED_VALUE"""),1.7955E8)</f>
        <v>179550000</v>
      </c>
      <c r="G474" s="16" t="str">
        <f>IFERROR(__xludf.DUMMYFUNCTION("""COMPUTED_VALUE"""),"DEF")</f>
        <v>DEF</v>
      </c>
      <c r="H474" s="119">
        <f>IFERROR(__xludf.DUMMYFUNCTION("""COMPUTED_VALUE"""),25000.0)</f>
        <v>25000</v>
      </c>
      <c r="I474" s="16"/>
      <c r="J474" s="16"/>
      <c r="K474" s="16"/>
      <c r="L474" s="16"/>
      <c r="M474" s="16"/>
      <c r="N474" s="16">
        <f>IFERROR(__xludf.DUMMYFUNCTION("""COMPUTED_VALUE"""),25000.0)</f>
        <v>25000</v>
      </c>
      <c r="O474" s="16"/>
      <c r="P474" s="16"/>
      <c r="Q474" s="119">
        <f>IFERROR(__xludf.DUMMYFUNCTION("""COMPUTED_VALUE"""),25000.0)</f>
        <v>25000</v>
      </c>
      <c r="R474" s="16"/>
      <c r="S474" s="16"/>
      <c r="T474" s="16"/>
      <c r="U474" s="16"/>
      <c r="V474" s="16"/>
      <c r="W474" s="16"/>
      <c r="X474" s="16"/>
      <c r="Y474" s="16"/>
      <c r="Z474" s="16"/>
      <c r="AA474" s="16"/>
      <c r="AB474" s="16"/>
      <c r="AC474" s="16">
        <f>IFERROR(__xludf.DUMMYFUNCTION("""COMPUTED_VALUE"""),20000.0)</f>
        <v>20000</v>
      </c>
      <c r="AD474" s="16"/>
      <c r="AE474" s="16"/>
      <c r="AF474" s="16" t="str">
        <f>IFERROR(__xludf.DUMMYFUNCTION("""COMPUTED_VALUE"""),"(Shuttering Shadows Set) ++gain +5 to attack rolls whilst invulnerable. ++the Knife attribute is 3X as likely to activate. +-Cannot be forged +-Cannot be duplicated +-Ninja Only")</f>
        <v>(Shuttering Shadows Set) ++gain +5 to attack rolls whilst invulnerable. ++the Knife attribute is 3X as likely to activate. +-Cannot be forged +-Cannot be duplicated +-Ninja Only</v>
      </c>
      <c r="AG474" s="16" t="str">
        <f>IFERROR(__xludf.DUMMYFUNCTION("""COMPUTED_VALUE"""),"Dragonscale Island")</f>
        <v>Dragonscale Island</v>
      </c>
      <c r="AH474" s="16" t="b">
        <f>IFERROR(__xludf.DUMMYFUNCTION("""COMPUTED_VALUE"""),FALSE)</f>
        <v>0</v>
      </c>
    </row>
    <row r="475">
      <c r="A475" s="16" t="str">
        <f>IFERROR(__xludf.DUMMYFUNCTION("""COMPUTED_VALUE"""),"Leggings of Swift Death")</f>
        <v>Leggings of Swift Death</v>
      </c>
      <c r="B475" s="16" t="str">
        <f>IFERROR(__xludf.DUMMYFUNCTION("""COMPUTED_VALUE"""),"Legs")</f>
        <v>Legs</v>
      </c>
      <c r="C475" s="16" t="str">
        <f>IFERROR(__xludf.DUMMYFUNCTION("""COMPUTED_VALUE"""),"Quest Item")</f>
        <v>Quest Item</v>
      </c>
      <c r="D475" s="16"/>
      <c r="E475" s="16">
        <f>IFERROR(__xludf.DUMMYFUNCTION("""COMPUTED_VALUE"""),200.0)</f>
        <v>200</v>
      </c>
      <c r="F475" s="108">
        <f>IFERROR(__xludf.DUMMYFUNCTION("""COMPUTED_VALUE"""),1.7955E8)</f>
        <v>179550000</v>
      </c>
      <c r="G475" s="16" t="str">
        <f>IFERROR(__xludf.DUMMYFUNCTION("""COMPUTED_VALUE"""),"DEF")</f>
        <v>DEF</v>
      </c>
      <c r="H475" s="119">
        <f>IFERROR(__xludf.DUMMYFUNCTION("""COMPUTED_VALUE"""),25000.0)</f>
        <v>25000</v>
      </c>
      <c r="I475" s="16"/>
      <c r="J475" s="16"/>
      <c r="K475" s="16"/>
      <c r="L475" s="16"/>
      <c r="M475" s="16"/>
      <c r="N475" s="16">
        <f>IFERROR(__xludf.DUMMYFUNCTION("""COMPUTED_VALUE"""),25000.0)</f>
        <v>25000</v>
      </c>
      <c r="O475" s="16"/>
      <c r="P475" s="16"/>
      <c r="Q475" s="119">
        <f>IFERROR(__xludf.DUMMYFUNCTION("""COMPUTED_VALUE"""),25000.0)</f>
        <v>25000</v>
      </c>
      <c r="R475" s="16"/>
      <c r="S475" s="16"/>
      <c r="T475" s="16"/>
      <c r="U475" s="16"/>
      <c r="V475" s="16"/>
      <c r="W475" s="16"/>
      <c r="X475" s="16"/>
      <c r="Y475" s="16"/>
      <c r="Z475" s="16"/>
      <c r="AA475" s="16"/>
      <c r="AB475" s="16"/>
      <c r="AC475" s="16">
        <f>IFERROR(__xludf.DUMMYFUNCTION("""COMPUTED_VALUE"""),20000.0)</f>
        <v>20000</v>
      </c>
      <c r="AD475" s="16"/>
      <c r="AE475" s="16"/>
      <c r="AF475" s="16" t="str">
        <f>IFERROR(__xludf.DUMMYFUNCTION("""COMPUTED_VALUE"""),"(Shuttering Shadows Set) ++X2 Damage whilst invulnerable breaking invulnerability upon being used, +-Cannot be Duplicated, +-Ninja Only")</f>
        <v>(Shuttering Shadows Set) ++X2 Damage whilst invulnerable breaking invulnerability upon being used, +-Cannot be Duplicated, +-Ninja Only</v>
      </c>
      <c r="AG475" s="16" t="str">
        <f>IFERROR(__xludf.DUMMYFUNCTION("""COMPUTED_VALUE"""),"Dragonscale Island")</f>
        <v>Dragonscale Island</v>
      </c>
      <c r="AH475" s="16" t="b">
        <f>IFERROR(__xludf.DUMMYFUNCTION("""COMPUTED_VALUE"""),FALSE)</f>
        <v>0</v>
      </c>
    </row>
    <row r="476">
      <c r="A476" s="16" t="str">
        <f>IFERROR(__xludf.DUMMYFUNCTION("""COMPUTED_VALUE"""),"Cape of Illusion")</f>
        <v>Cape of Illusion</v>
      </c>
      <c r="B476" s="16" t="str">
        <f>IFERROR(__xludf.DUMMYFUNCTION("""COMPUTED_VALUE"""),"Shoulders")</f>
        <v>Shoulders</v>
      </c>
      <c r="C476" s="16" t="str">
        <f>IFERROR(__xludf.DUMMYFUNCTION("""COMPUTED_VALUE"""),"Quest Item")</f>
        <v>Quest Item</v>
      </c>
      <c r="D476" s="16"/>
      <c r="E476" s="16">
        <f>IFERROR(__xludf.DUMMYFUNCTION("""COMPUTED_VALUE"""),200.0)</f>
        <v>200</v>
      </c>
      <c r="F476" s="108">
        <f>IFERROR(__xludf.DUMMYFUNCTION("""COMPUTED_VALUE"""),1.7955E8)</f>
        <v>179550000</v>
      </c>
      <c r="G476" s="16" t="str">
        <f>IFERROR(__xludf.DUMMYFUNCTION("""COMPUTED_VALUE"""),"DEF")</f>
        <v>DEF</v>
      </c>
      <c r="H476" s="119">
        <f>IFERROR(__xludf.DUMMYFUNCTION("""COMPUTED_VALUE"""),25000.0)</f>
        <v>25000</v>
      </c>
      <c r="I476" s="16"/>
      <c r="J476" s="16"/>
      <c r="K476" s="16"/>
      <c r="L476" s="16"/>
      <c r="M476" s="16"/>
      <c r="N476" s="16">
        <f>IFERROR(__xludf.DUMMYFUNCTION("""COMPUTED_VALUE"""),25000.0)</f>
        <v>25000</v>
      </c>
      <c r="O476" s="16"/>
      <c r="P476" s="16"/>
      <c r="Q476" s="119">
        <f>IFERROR(__xludf.DUMMYFUNCTION("""COMPUTED_VALUE"""),25000.0)</f>
        <v>25000</v>
      </c>
      <c r="R476" s="16"/>
      <c r="S476" s="16"/>
      <c r="T476" s="16"/>
      <c r="U476" s="16"/>
      <c r="V476" s="16"/>
      <c r="W476" s="16"/>
      <c r="X476" s="16"/>
      <c r="Y476" s="16"/>
      <c r="Z476" s="16"/>
      <c r="AA476" s="16"/>
      <c r="AB476" s="16"/>
      <c r="AC476" s="16">
        <f>IFERROR(__xludf.DUMMYFUNCTION("""COMPUTED_VALUE"""),20000.0)</f>
        <v>20000</v>
      </c>
      <c r="AD476" s="16"/>
      <c r="AE476" s="16"/>
      <c r="AF476" s="16" t="str">
        <f>IFERROR(__xludf.DUMMYFUNCTION("""COMPUTED_VALUE"""),"(Shuttering Shadows Set) ++X2 Damage whilst invulnerable breaking invulnerability upon being used, 50% chance to become unaffected by an Instant death effect. ++Conceal: upon entering combat you are invulnerable for 1 round or until you attack +-Cannot be"&amp;" forged +-Cannot be duplicated +-Ninja Only")</f>
        <v>(Shuttering Shadows Set) ++X2 Damage whilst invulnerable breaking invulnerability upon being used, 50% chance to become unaffected by an Instant death effect. ++Conceal: upon entering combat you are invulnerable for 1 round or until you attack +-Cannot be forged +-Cannot be duplicated +-Ninja Only</v>
      </c>
      <c r="AG476" s="16" t="str">
        <f>IFERROR(__xludf.DUMMYFUNCTION("""COMPUTED_VALUE"""),"Dragonscale Island")</f>
        <v>Dragonscale Island</v>
      </c>
      <c r="AH476" s="16" t="b">
        <f>IFERROR(__xludf.DUMMYFUNCTION("""COMPUTED_VALUE"""),FALSE)</f>
        <v>0</v>
      </c>
    </row>
    <row r="477">
      <c r="A477" s="16" t="str">
        <f>IFERROR(__xludf.DUMMYFUNCTION("""COMPUTED_VALUE"""),"Assassin's Kiss")</f>
        <v>Assassin's Kiss</v>
      </c>
      <c r="B477" s="16" t="str">
        <f>IFERROR(__xludf.DUMMYFUNCTION("""COMPUTED_VALUE"""),"Hand")</f>
        <v>Hand</v>
      </c>
      <c r="C477" s="16" t="str">
        <f>IFERROR(__xludf.DUMMYFUNCTION("""COMPUTED_VALUE"""),"Quest Item")</f>
        <v>Quest Item</v>
      </c>
      <c r="D477" s="16" t="str">
        <f>IFERROR(__xludf.DUMMYFUNCTION("""COMPUTED_VALUE"""),"Knife")</f>
        <v>Knife</v>
      </c>
      <c r="E477" s="16">
        <f>IFERROR(__xludf.DUMMYFUNCTION("""COMPUTED_VALUE"""),200.0)</f>
        <v>200</v>
      </c>
      <c r="F477" s="108">
        <f>IFERROR(__xludf.DUMMYFUNCTION("""COMPUTED_VALUE"""),2.409E8)</f>
        <v>240900000</v>
      </c>
      <c r="G477" s="16" t="str">
        <f>IFERROR(__xludf.DUMMYFUNCTION("""COMPUTED_VALUE"""),"DMG")</f>
        <v>DMG</v>
      </c>
      <c r="H477" s="119">
        <f>IFERROR(__xludf.DUMMYFUNCTION("""COMPUTED_VALUE"""),50000.0)</f>
        <v>50000</v>
      </c>
      <c r="I477" s="16"/>
      <c r="J477" s="16"/>
      <c r="K477" s="16"/>
      <c r="L477" s="16"/>
      <c r="M477" s="16"/>
      <c r="N477" s="16"/>
      <c r="O477" s="16">
        <f>IFERROR(__xludf.DUMMYFUNCTION("""COMPUTED_VALUE"""),25000.0)</f>
        <v>25000</v>
      </c>
      <c r="P477" s="16"/>
      <c r="Q477" s="16"/>
      <c r="R477" s="16">
        <f>IFERROR(__xludf.DUMMYFUNCTION("""COMPUTED_VALUE"""),25000.0)</f>
        <v>25000</v>
      </c>
      <c r="S477" s="16"/>
      <c r="T477" s="16"/>
      <c r="U477" s="16"/>
      <c r="V477" s="16"/>
      <c r="W477" s="16"/>
      <c r="X477" s="16"/>
      <c r="Y477" s="16"/>
      <c r="Z477" s="16"/>
      <c r="AA477" s="16"/>
      <c r="AB477" s="16"/>
      <c r="AC477" s="16">
        <f>IFERROR(__xludf.DUMMYFUNCTION("""COMPUTED_VALUE"""),10000.0)</f>
        <v>10000</v>
      </c>
      <c r="AD477" s="16"/>
      <c r="AE477" s="16"/>
      <c r="AF477" s="16" t="str">
        <f>IFERROR(__xludf.DUMMYFUNCTION("""COMPUTED_VALUE"""),"(Shuttering Shadows Set) ++X4 Damage whilst invulnerable breaking invulnerability upon being used. ++When equipped with the Night's Edge attack with both weapons at the same time. +-Cannot be Duplicated Must be used in conjunction with the Night's Edge or"&amp;" any weapon the Night's Edge is forged into, +-Ninja Only")</f>
        <v>(Shuttering Shadows Set) ++X4 Damage whilst invulnerable breaking invulnerability upon being used. ++When equipped with the Night's Edge attack with both weapons at the same time. +-Cannot be Duplicated Must be used in conjunction with the Night's Edge or any weapon the Night's Edge is forged into, +-Ninja Only</v>
      </c>
      <c r="AG477" s="16" t="str">
        <f>IFERROR(__xludf.DUMMYFUNCTION("""COMPUTED_VALUE"""),"Dragonscale Island")</f>
        <v>Dragonscale Island</v>
      </c>
      <c r="AH477" s="16" t="b">
        <f>IFERROR(__xludf.DUMMYFUNCTION("""COMPUTED_VALUE"""),FALSE)</f>
        <v>0</v>
      </c>
    </row>
    <row r="478">
      <c r="A478" s="16" t="str">
        <f>IFERROR(__xludf.DUMMYFUNCTION("""COMPUTED_VALUE"""),"Night's Edge")</f>
        <v>Night's Edge</v>
      </c>
      <c r="B478" s="16" t="str">
        <f>IFERROR(__xludf.DUMMYFUNCTION("""COMPUTED_VALUE"""),"Hand")</f>
        <v>Hand</v>
      </c>
      <c r="C478" s="16" t="str">
        <f>IFERROR(__xludf.DUMMYFUNCTION("""COMPUTED_VALUE"""),"Quest Item")</f>
        <v>Quest Item</v>
      </c>
      <c r="D478" s="16" t="str">
        <f>IFERROR(__xludf.DUMMYFUNCTION("""COMPUTED_VALUE"""),"Knife")</f>
        <v>Knife</v>
      </c>
      <c r="E478" s="16">
        <f>IFERROR(__xludf.DUMMYFUNCTION("""COMPUTED_VALUE"""),200.0)</f>
        <v>200</v>
      </c>
      <c r="F478" s="108">
        <f>IFERROR(__xludf.DUMMYFUNCTION("""COMPUTED_VALUE"""),2.409E8)</f>
        <v>240900000</v>
      </c>
      <c r="G478" s="16" t="str">
        <f>IFERROR(__xludf.DUMMYFUNCTION("""COMPUTED_VALUE"""),"DMG")</f>
        <v>DMG</v>
      </c>
      <c r="H478" s="119">
        <f>IFERROR(__xludf.DUMMYFUNCTION("""COMPUTED_VALUE"""),50000.0)</f>
        <v>50000</v>
      </c>
      <c r="I478" s="16"/>
      <c r="J478" s="16"/>
      <c r="K478" s="16"/>
      <c r="L478" s="16"/>
      <c r="M478" s="16"/>
      <c r="N478" s="16"/>
      <c r="O478" s="119">
        <f>IFERROR(__xludf.DUMMYFUNCTION("""COMPUTED_VALUE"""),25000.0)</f>
        <v>25000</v>
      </c>
      <c r="P478" s="16"/>
      <c r="Q478" s="16"/>
      <c r="R478" s="16">
        <f>IFERROR(__xludf.DUMMYFUNCTION("""COMPUTED_VALUE"""),25000.0)</f>
        <v>25000</v>
      </c>
      <c r="S478" s="16"/>
      <c r="T478" s="16"/>
      <c r="U478" s="16"/>
      <c r="V478" s="16"/>
      <c r="W478" s="16"/>
      <c r="X478" s="16"/>
      <c r="Y478" s="16"/>
      <c r="Z478" s="16"/>
      <c r="AA478" s="16"/>
      <c r="AB478" s="16"/>
      <c r="AC478" s="16">
        <f>IFERROR(__xludf.DUMMYFUNCTION("""COMPUTED_VALUE"""),10000.0)</f>
        <v>10000</v>
      </c>
      <c r="AD478" s="16"/>
      <c r="AE478" s="16"/>
      <c r="AF478" s="16" t="str">
        <f>IFERROR(__xludf.DUMMYFUNCTION("""COMPUTED_VALUE"""),"(Shuttering Shadows Set) ++X4 Damage whilst invulnerable breaking invulnerability upon being used, When equipped with the Assassin's Kiss, attack with both weapons at the same time. +-Cannot be Duplicated, +-Must be Equipped with the Assassin's Kiss +-Nin"&amp;"ja Only")</f>
        <v>(Shuttering Shadows Set) ++X4 Damage whilst invulnerable breaking invulnerability upon being used, When equipped with the Assassin's Kiss, attack with both weapons at the same time. +-Cannot be Duplicated, +-Must be Equipped with the Assassin's Kiss +-Ninja Only</v>
      </c>
      <c r="AG478" s="16" t="str">
        <f>IFERROR(__xludf.DUMMYFUNCTION("""COMPUTED_VALUE"""),"Dragonscale Island")</f>
        <v>Dragonscale Island</v>
      </c>
      <c r="AH478" s="16" t="b">
        <f>IFERROR(__xludf.DUMMYFUNCTION("""COMPUTED_VALUE"""),FALSE)</f>
        <v>0</v>
      </c>
    </row>
    <row r="479">
      <c r="A479" s="16" t="str">
        <f>IFERROR(__xludf.DUMMYFUNCTION("""COMPUTED_VALUE"""),"Ancient Draconian Deity Necklace")</f>
        <v>Ancient Draconian Deity Necklace</v>
      </c>
      <c r="B479" s="16" t="str">
        <f>IFERROR(__xludf.DUMMYFUNCTION("""COMPUTED_VALUE"""),"Neck")</f>
        <v>Neck</v>
      </c>
      <c r="C479" s="16"/>
      <c r="D479" s="16"/>
      <c r="E479" s="16">
        <f>IFERROR(__xludf.DUMMYFUNCTION("""COMPUTED_VALUE"""),1.0)</f>
        <v>1</v>
      </c>
      <c r="F479" s="108">
        <f>IFERROR(__xludf.DUMMYFUNCTION("""COMPUTED_VALUE"""),0.0)</f>
        <v>0</v>
      </c>
      <c r="G479" s="16" t="str">
        <f>IFERROR(__xludf.DUMMYFUNCTION("""COMPUTED_VALUE"""),"DMG")</f>
        <v>DMG</v>
      </c>
      <c r="H479" s="16"/>
      <c r="I479" s="16"/>
      <c r="J479" s="16"/>
      <c r="K479" s="16"/>
      <c r="L479" s="16"/>
      <c r="M479" s="16"/>
      <c r="N479" s="16"/>
      <c r="O479" s="16"/>
      <c r="P479" s="16"/>
      <c r="Q479" s="16"/>
      <c r="R479" s="16"/>
      <c r="S479" s="16"/>
      <c r="T479" s="16"/>
      <c r="U479" s="16"/>
      <c r="V479" s="16"/>
      <c r="W479" s="16"/>
      <c r="X479" s="16"/>
      <c r="Y479" s="16"/>
      <c r="Z479" s="16"/>
      <c r="AA479" s="16"/>
      <c r="AB479" s="16"/>
      <c r="AC479" s="16"/>
      <c r="AD479" s="16"/>
      <c r="AE479" s="16"/>
      <c r="AF479" s="16" t="str">
        <f>IFERROR(__xludf.DUMMYFUNCTION("""COMPUTED_VALUE"""),"++5 to all d20 rolls, +-Cannot be duplicated.")</f>
        <v>++5 to all d20 rolls, +-Cannot be duplicated.</v>
      </c>
      <c r="AG479" s="16" t="str">
        <f>IFERROR(__xludf.DUMMYFUNCTION("""COMPUTED_VALUE"""),"Dragonscale Island")</f>
        <v>Dragonscale Island</v>
      </c>
      <c r="AH479" s="16" t="b">
        <f>IFERROR(__xludf.DUMMYFUNCTION("""COMPUTED_VALUE"""),FALSE)</f>
        <v>0</v>
      </c>
    </row>
    <row r="480">
      <c r="A480" s="16" t="str">
        <f>IFERROR(__xludf.DUMMYFUNCTION("""COMPUTED_VALUE"""),"Gungnir")</f>
        <v>Gungnir</v>
      </c>
      <c r="B480" s="16" t="str">
        <f>IFERROR(__xludf.DUMMYFUNCTION("""COMPUTED_VALUE"""),"Hand")</f>
        <v>Hand</v>
      </c>
      <c r="C480" s="16"/>
      <c r="D480" s="16" t="str">
        <f>IFERROR(__xludf.DUMMYFUNCTION("""COMPUTED_VALUE"""),"Spear")</f>
        <v>Spear</v>
      </c>
      <c r="E480" s="16">
        <f>IFERROR(__xludf.DUMMYFUNCTION("""COMPUTED_VALUE"""),1.0)</f>
        <v>1</v>
      </c>
      <c r="F480" s="108">
        <f>IFERROR(__xludf.DUMMYFUNCTION("""COMPUTED_VALUE"""),0.0)</f>
        <v>0</v>
      </c>
      <c r="G480" s="16" t="str">
        <f>IFERROR(__xludf.DUMMYFUNCTION("""COMPUTED_VALUE"""),"DMG")</f>
        <v>DMG</v>
      </c>
      <c r="H480" s="16"/>
      <c r="I480" s="16"/>
      <c r="J480" s="16"/>
      <c r="K480" s="16"/>
      <c r="L480" s="16"/>
      <c r="M480" s="16"/>
      <c r="N480" s="16"/>
      <c r="O480" s="16"/>
      <c r="P480" s="16"/>
      <c r="Q480" s="16"/>
      <c r="R480" s="16"/>
      <c r="S480" s="16"/>
      <c r="T480" s="16"/>
      <c r="U480" s="16"/>
      <c r="V480" s="16"/>
      <c r="W480" s="16"/>
      <c r="X480" s="16"/>
      <c r="Y480" s="16"/>
      <c r="Z480" s="16"/>
      <c r="AA480" s="16"/>
      <c r="AB480" s="16"/>
      <c r="AC480" s="16"/>
      <c r="AD480" s="16"/>
      <c r="AE480" s="16"/>
      <c r="AF480" s="16"/>
      <c r="AG480" s="16" t="str">
        <f>IFERROR(__xludf.DUMMYFUNCTION("""COMPUTED_VALUE"""),"Abstara")</f>
        <v>Abstara</v>
      </c>
      <c r="AH480" s="16" t="b">
        <f>IFERROR(__xludf.DUMMYFUNCTION("""COMPUTED_VALUE"""),FALSE)</f>
        <v>0</v>
      </c>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c r="AA481" s="16"/>
      <c r="AB481" s="16"/>
      <c r="AC481" s="16"/>
      <c r="AD481" s="16"/>
      <c r="AE481" s="16"/>
      <c r="AF481" s="16"/>
      <c r="AG481" s="16"/>
      <c r="AH481" s="16" t="b">
        <f>IFERROR(__xludf.DUMMYFUNCTION("""COMPUTED_VALUE"""),FALSE)</f>
        <v>0</v>
      </c>
    </row>
    <row r="482">
      <c r="A482" s="16" t="str">
        <f>IFERROR(__xludf.DUMMYFUNCTION("""COMPUTED_VALUE"""),"Gaia's Rock Hammer")</f>
        <v>Gaia's Rock Hammer</v>
      </c>
      <c r="B482" s="16" t="str">
        <f>IFERROR(__xludf.DUMMYFUNCTION("""COMPUTED_VALUE"""),"Hand")</f>
        <v>Hand</v>
      </c>
      <c r="C482" s="16" t="str">
        <f>IFERROR(__xludf.DUMMYFUNCTION("""COMPUTED_VALUE"""),"Quest Item")</f>
        <v>Quest Item</v>
      </c>
      <c r="D482" s="16" t="str">
        <f>IFERROR(__xludf.DUMMYFUNCTION("""COMPUTED_VALUE"""),"Club")</f>
        <v>Club</v>
      </c>
      <c r="E482" s="16">
        <f>IFERROR(__xludf.DUMMYFUNCTION("""COMPUTED_VALUE"""),200.0)</f>
        <v>200</v>
      </c>
      <c r="F482" s="108">
        <f>IFERROR(__xludf.DUMMYFUNCTION("""COMPUTED_VALUE"""),5.4285E8)</f>
        <v>542850000</v>
      </c>
      <c r="G482" s="16" t="str">
        <f>IFERROR(__xludf.DUMMYFUNCTION("""COMPUTED_VALUE"""),"DMG")</f>
        <v>DMG</v>
      </c>
      <c r="H482" s="119">
        <f>IFERROR(__xludf.DUMMYFUNCTION("""COMPUTED_VALUE"""),25000.0)</f>
        <v>25000</v>
      </c>
      <c r="I482" s="16"/>
      <c r="J482" s="16"/>
      <c r="K482" s="16"/>
      <c r="L482" s="16"/>
      <c r="M482" s="119">
        <f>IFERROR(__xludf.DUMMYFUNCTION("""COMPUTED_VALUE"""),100000.0)</f>
        <v>100000</v>
      </c>
      <c r="N482" s="16"/>
      <c r="O482" s="16"/>
      <c r="P482" s="16"/>
      <c r="Q482" s="16"/>
      <c r="R482" s="16"/>
      <c r="S482" s="119">
        <f>IFERROR(__xludf.DUMMYFUNCTION("""COMPUTED_VALUE"""),15000.0)</f>
        <v>15000</v>
      </c>
      <c r="T482" s="16"/>
      <c r="U482" s="16"/>
      <c r="V482" s="16"/>
      <c r="W482" s="16"/>
      <c r="X482" s="16"/>
      <c r="Y482" s="16"/>
      <c r="Z482" s="16"/>
      <c r="AA482" s="16"/>
      <c r="AB482" s="16"/>
      <c r="AC482" s="119">
        <f>IFERROR(__xludf.DUMMYFUNCTION("""COMPUTED_VALUE"""),25000.0)</f>
        <v>25000</v>
      </c>
      <c r="AD482" s="16"/>
      <c r="AE482" s="16"/>
      <c r="AF482" s="16" t="str">
        <f>IFERROR(__xludf.DUMMYFUNCTION("""COMPUTED_VALUE"""),"++X4 Earth damage. Gaia's Slumber: ++50% chance to put target to sleep. +-Cannot be duplicated, +-You can only acquire one of these")</f>
        <v>++X4 Earth damage. Gaia's Slumber: ++50% chance to put target to sleep. +-Cannot be duplicated, +-You can only acquire one of these</v>
      </c>
      <c r="AG482" s="16" t="str">
        <f>IFERROR(__xludf.DUMMYFUNCTION("""COMPUTED_VALUE"""),"Land of Spira")</f>
        <v>Land of Spira</v>
      </c>
      <c r="AH482" s="16" t="b">
        <f>IFERROR(__xludf.DUMMYFUNCTION("""COMPUTED_VALUE"""),FALSE)</f>
        <v>0</v>
      </c>
    </row>
    <row r="483">
      <c r="A483" s="16" t="str">
        <f>IFERROR(__xludf.DUMMYFUNCTION("""COMPUTED_VALUE"""),"Bahamut's Claw")</f>
        <v>Bahamut's Claw</v>
      </c>
      <c r="B483" s="16" t="str">
        <f>IFERROR(__xludf.DUMMYFUNCTION("""COMPUTED_VALUE"""),"Hand")</f>
        <v>Hand</v>
      </c>
      <c r="C483" s="16" t="str">
        <f>IFERROR(__xludf.DUMMYFUNCTION("""COMPUTED_VALUE"""),"Mob Exclusive")</f>
        <v>Mob Exclusive</v>
      </c>
      <c r="D483" s="16" t="str">
        <f>IFERROR(__xludf.DUMMYFUNCTION("""COMPUTED_VALUE"""),"Claw")</f>
        <v>Claw</v>
      </c>
      <c r="E483" s="16">
        <f>IFERROR(__xludf.DUMMYFUNCTION("""COMPUTED_VALUE"""),200.0)</f>
        <v>200</v>
      </c>
      <c r="F483" s="108">
        <f>IFERROR(__xludf.DUMMYFUNCTION("""COMPUTED_VALUE"""),1.12425E10)</f>
        <v>11242500000</v>
      </c>
      <c r="G483" s="16" t="str">
        <f>IFERROR(__xludf.DUMMYFUNCTION("""COMPUTED_VALUE"""),"DMG")</f>
        <v>DMG</v>
      </c>
      <c r="H483" s="119">
        <f>IFERROR(__xludf.DUMMYFUNCTION("""COMPUTED_VALUE"""),250000.0)</f>
        <v>250000</v>
      </c>
      <c r="I483" s="16"/>
      <c r="J483" s="16"/>
      <c r="K483" s="16"/>
      <c r="L483" s="16"/>
      <c r="M483" s="16"/>
      <c r="N483" s="16"/>
      <c r="O483" s="16"/>
      <c r="P483" s="16"/>
      <c r="Q483" s="16"/>
      <c r="R483" s="16"/>
      <c r="S483" s="16"/>
      <c r="T483" s="16"/>
      <c r="U483" s="16"/>
      <c r="V483" s="16"/>
      <c r="W483" s="16"/>
      <c r="X483" s="16"/>
      <c r="Y483" s="16"/>
      <c r="Z483" s="119">
        <f>IFERROR(__xludf.DUMMYFUNCTION("""COMPUTED_VALUE"""),250000.0)</f>
        <v>250000</v>
      </c>
      <c r="AA483" s="16"/>
      <c r="AB483" s="16"/>
      <c r="AC483" s="119">
        <f>IFERROR(__xludf.DUMMYFUNCTION("""COMPUTED_VALUE"""),250000.0)</f>
        <v>250000</v>
      </c>
      <c r="AD483" s="16"/>
      <c r="AE483" s="16"/>
      <c r="AF483" s="16" t="str">
        <f>IFERROR(__xludf.DUMMYFUNCTION("""COMPUTED_VALUE"""),"+-Cannot resist or be immune to this attack. ++Bahamut's Bloodlust: Heals Bahamut by 2X damage dealt with this weapon. 50% chance to remove any hit enemy from battle")</f>
        <v>+-Cannot resist or be immune to this attack. ++Bahamut's Bloodlust: Heals Bahamut by 2X damage dealt with this weapon. 50% chance to remove any hit enemy from battle</v>
      </c>
      <c r="AG483" s="16" t="str">
        <f>IFERROR(__xludf.DUMMYFUNCTION("""COMPUTED_VALUE"""),"Tantalus - The Void")</f>
        <v>Tantalus - The Void</v>
      </c>
      <c r="AH483" s="16" t="b">
        <f>IFERROR(__xludf.DUMMYFUNCTION("""COMPUTED_VALUE"""),FALSE)</f>
        <v>0</v>
      </c>
    </row>
    <row r="484">
      <c r="A484" s="16" t="str">
        <f>IFERROR(__xludf.DUMMYFUNCTION("""COMPUTED_VALUE"""),"Chronos' Staff of Time")</f>
        <v>Chronos' Staff of Time</v>
      </c>
      <c r="B484" s="16" t="str">
        <f>IFERROR(__xludf.DUMMYFUNCTION("""COMPUTED_VALUE"""),"Hand")</f>
        <v>Hand</v>
      </c>
      <c r="C484" s="16"/>
      <c r="D484" s="16" t="str">
        <f>IFERROR(__xludf.DUMMYFUNCTION("""COMPUTED_VALUE"""),"Staff")</f>
        <v>Staff</v>
      </c>
      <c r="E484" s="16">
        <f>IFERROR(__xludf.DUMMYFUNCTION("""COMPUTED_VALUE"""),1.0)</f>
        <v>1</v>
      </c>
      <c r="F484" s="108">
        <f>IFERROR(__xludf.DUMMYFUNCTION("""COMPUTED_VALUE"""),0.0)</f>
        <v>0</v>
      </c>
      <c r="G484" s="16" t="str">
        <f>IFERROR(__xludf.DUMMYFUNCTION("""COMPUTED_VALUE"""),"DMG")</f>
        <v>DMG</v>
      </c>
      <c r="H484" s="16"/>
      <c r="I484" s="16"/>
      <c r="J484" s="16"/>
      <c r="K484" s="16"/>
      <c r="L484" s="16"/>
      <c r="M484" s="16"/>
      <c r="N484" s="16"/>
      <c r="O484" s="16"/>
      <c r="P484" s="16"/>
      <c r="Q484" s="16"/>
      <c r="R484" s="16"/>
      <c r="S484" s="16"/>
      <c r="T484" s="16"/>
      <c r="U484" s="16"/>
      <c r="V484" s="16"/>
      <c r="W484" s="16"/>
      <c r="X484" s="16"/>
      <c r="Y484" s="16"/>
      <c r="Z484" s="16"/>
      <c r="AA484" s="16"/>
      <c r="AB484" s="16"/>
      <c r="AC484" s="16"/>
      <c r="AD484" s="16"/>
      <c r="AE484" s="16"/>
      <c r="AF484" s="16"/>
      <c r="AG484" s="16" t="str">
        <f>IFERROR(__xludf.DUMMYFUNCTION("""COMPUTED_VALUE"""),"Solreach")</f>
        <v>Solreach</v>
      </c>
      <c r="AH484" s="16" t="b">
        <f>IFERROR(__xludf.DUMMYFUNCTION("""COMPUTED_VALUE"""),FALSE)</f>
        <v>0</v>
      </c>
    </row>
    <row r="485">
      <c r="A485" s="16" t="str">
        <f>IFERROR(__xludf.DUMMYFUNCTION("""COMPUTED_VALUE"""),"Scimitar")</f>
        <v>Scimitar</v>
      </c>
      <c r="B485" s="16" t="str">
        <f>IFERROR(__xludf.DUMMYFUNCTION("""COMPUTED_VALUE"""),"Hand")</f>
        <v>Hand</v>
      </c>
      <c r="C485" s="16"/>
      <c r="D485" s="16" t="str">
        <f>IFERROR(__xludf.DUMMYFUNCTION("""COMPUTED_VALUE"""),"Sword")</f>
        <v>Sword</v>
      </c>
      <c r="E485" s="16">
        <f>IFERROR(__xludf.DUMMYFUNCTION("""COMPUTED_VALUE"""),300.0)</f>
        <v>300</v>
      </c>
      <c r="F485" s="108">
        <f>IFERROR(__xludf.DUMMYFUNCTION("""COMPUTED_VALUE"""),4350000.0)</f>
        <v>4350000</v>
      </c>
      <c r="G485" s="16" t="str">
        <f>IFERROR(__xludf.DUMMYFUNCTION("""COMPUTED_VALUE"""),"DMG")</f>
        <v>DMG</v>
      </c>
      <c r="H485" s="119">
        <f>IFERROR(__xludf.DUMMYFUNCTION("""COMPUTED_VALUE"""),10000.0)</f>
        <v>10000</v>
      </c>
      <c r="I485" s="119">
        <f>IFERROR(__xludf.DUMMYFUNCTION("""COMPUTED_VALUE"""),5000.0)</f>
        <v>5000</v>
      </c>
      <c r="J485" s="16"/>
      <c r="K485" s="16"/>
      <c r="L485" s="16"/>
      <c r="M485" s="16"/>
      <c r="N485" s="16"/>
      <c r="O485" s="16"/>
      <c r="P485" s="16"/>
      <c r="Q485" s="16"/>
      <c r="R485" s="16"/>
      <c r="S485" s="16"/>
      <c r="T485" s="16"/>
      <c r="U485" s="16"/>
      <c r="V485" s="16"/>
      <c r="W485" s="16"/>
      <c r="X485" s="16"/>
      <c r="Y485" s="16"/>
      <c r="Z485" s="16"/>
      <c r="AA485" s="16"/>
      <c r="AB485" s="16"/>
      <c r="AC485" s="16"/>
      <c r="AD485" s="16"/>
      <c r="AE485" s="16"/>
      <c r="AF485" s="16"/>
      <c r="AG485" s="16" t="str">
        <f>IFERROR(__xludf.DUMMYFUNCTION("""COMPUTED_VALUE"""),"Land of Spira")</f>
        <v>Land of Spira</v>
      </c>
      <c r="AH485" s="16" t="b">
        <f>IFERROR(__xludf.DUMMYFUNCTION("""COMPUTED_VALUE"""),FALSE)</f>
        <v>0</v>
      </c>
    </row>
    <row r="486">
      <c r="A486" s="16" t="str">
        <f>IFERROR(__xludf.DUMMYFUNCTION("""COMPUTED_VALUE"""),"Gaia's Helmet of Earthen Fortitude")</f>
        <v>Gaia's Helmet of Earthen Fortitude</v>
      </c>
      <c r="B486" s="16" t="str">
        <f>IFERROR(__xludf.DUMMYFUNCTION("""COMPUTED_VALUE"""),"Head")</f>
        <v>Head</v>
      </c>
      <c r="C486" s="16" t="str">
        <f>IFERROR(__xludf.DUMMYFUNCTION("""COMPUTED_VALUE"""),"Mob Exclusive")</f>
        <v>Mob Exclusive</v>
      </c>
      <c r="D486" s="16"/>
      <c r="E486" s="16">
        <f>IFERROR(__xludf.DUMMYFUNCTION("""COMPUTED_VALUE"""),200.0)</f>
        <v>200</v>
      </c>
      <c r="F486" s="108">
        <f>IFERROR(__xludf.DUMMYFUNCTION("""COMPUTED_VALUE"""),3.6315E8)</f>
        <v>363150000</v>
      </c>
      <c r="G486" s="16" t="str">
        <f>IFERROR(__xludf.DUMMYFUNCTION("""COMPUTED_VALUE"""),"DEF")</f>
        <v>DEF</v>
      </c>
      <c r="H486" s="119">
        <f>IFERROR(__xludf.DUMMYFUNCTION("""COMPUTED_VALUE"""),50000.0)</f>
        <v>50000</v>
      </c>
      <c r="I486" s="119">
        <f>IFERROR(__xludf.DUMMYFUNCTION("""COMPUTED_VALUE"""),35000.0)</f>
        <v>35000</v>
      </c>
      <c r="J486" s="16"/>
      <c r="K486" s="16"/>
      <c r="L486" s="16"/>
      <c r="M486" s="16"/>
      <c r="N486" s="16"/>
      <c r="O486" s="16"/>
      <c r="P486" s="16"/>
      <c r="Q486" s="16"/>
      <c r="R486" s="16"/>
      <c r="S486" s="16"/>
      <c r="T486" s="16"/>
      <c r="U486" s="16"/>
      <c r="V486" s="16"/>
      <c r="W486" s="16"/>
      <c r="X486" s="16"/>
      <c r="Y486" s="16"/>
      <c r="Z486" s="16"/>
      <c r="AA486" s="16"/>
      <c r="AB486" s="16"/>
      <c r="AC486" s="119">
        <f>IFERROR(__xludf.DUMMYFUNCTION("""COMPUTED_VALUE"""),50000.0)</f>
        <v>50000</v>
      </c>
      <c r="AD486" s="16"/>
      <c r="AE486" s="16"/>
      <c r="AF486" s="16" t="str">
        <f>IFERROR(__xludf.DUMMYFUNCTION("""COMPUTED_VALUE"""),"++X2 Earth Damage for self. ++X2 Defense for self. ++Godly Authority: 50% chance to possess one enemy once per battle.")</f>
        <v>++X2 Earth Damage for self. ++X2 Defense for self. ++Godly Authority: 50% chance to possess one enemy once per battle.</v>
      </c>
      <c r="AG486" s="16" t="str">
        <f>IFERROR(__xludf.DUMMYFUNCTION("""COMPUTED_VALUE"""),"Land of Spira")</f>
        <v>Land of Spira</v>
      </c>
      <c r="AH486" s="16" t="b">
        <f>IFERROR(__xludf.DUMMYFUNCTION("""COMPUTED_VALUE"""),FALSE)</f>
        <v>0</v>
      </c>
    </row>
    <row r="487">
      <c r="A487" s="16" t="str">
        <f>IFERROR(__xludf.DUMMYFUNCTION("""COMPUTED_VALUE"""),"Gaia's Pendant")</f>
        <v>Gaia's Pendant</v>
      </c>
      <c r="B487" s="16" t="str">
        <f>IFERROR(__xludf.DUMMYFUNCTION("""COMPUTED_VALUE"""),"Neck")</f>
        <v>Neck</v>
      </c>
      <c r="C487" s="16" t="str">
        <f>IFERROR(__xludf.DUMMYFUNCTION("""COMPUTED_VALUE"""),"Mob Exclusive")</f>
        <v>Mob Exclusive</v>
      </c>
      <c r="D487" s="16"/>
      <c r="E487" s="16">
        <f>IFERROR(__xludf.DUMMYFUNCTION("""COMPUTED_VALUE"""),1.0)</f>
        <v>1</v>
      </c>
      <c r="F487" s="108">
        <f>IFERROR(__xludf.DUMMYFUNCTION("""COMPUTED_VALUE"""),0.0)</f>
        <v>0</v>
      </c>
      <c r="G487" s="16"/>
      <c r="H487" s="16"/>
      <c r="I487" s="16"/>
      <c r="J487" s="16"/>
      <c r="K487" s="16"/>
      <c r="L487" s="16"/>
      <c r="M487" s="16"/>
      <c r="N487" s="16"/>
      <c r="O487" s="16"/>
      <c r="P487" s="16"/>
      <c r="Q487" s="16"/>
      <c r="R487" s="16"/>
      <c r="S487" s="16"/>
      <c r="T487" s="16"/>
      <c r="U487" s="16"/>
      <c r="V487" s="16"/>
      <c r="W487" s="16"/>
      <c r="X487" s="16"/>
      <c r="Y487" s="16"/>
      <c r="Z487" s="16"/>
      <c r="AA487" s="16"/>
      <c r="AB487" s="16"/>
      <c r="AC487" s="16"/>
      <c r="AD487" s="16"/>
      <c r="AE487" s="16"/>
      <c r="AF487" s="16" t="str">
        <f>IFERROR(__xludf.DUMMYFUNCTION("""COMPUTED_VALUE"""),"++Revives entire party upon death of the wearer. +-one use per battle")</f>
        <v>++Revives entire party upon death of the wearer. +-one use per battle</v>
      </c>
      <c r="AG487" s="16" t="str">
        <f>IFERROR(__xludf.DUMMYFUNCTION("""COMPUTED_VALUE"""),"Land of Spira")</f>
        <v>Land of Spira</v>
      </c>
      <c r="AH487" s="16" t="b">
        <f>IFERROR(__xludf.DUMMYFUNCTION("""COMPUTED_VALUE"""),FALSE)</f>
        <v>0</v>
      </c>
    </row>
    <row r="488">
      <c r="A488" s="16" t="str">
        <f>IFERROR(__xludf.DUMMYFUNCTION("""COMPUTED_VALUE"""),"Gaia's Sandals of Earthen Fortitude")</f>
        <v>Gaia's Sandals of Earthen Fortitude</v>
      </c>
      <c r="B488" s="16" t="str">
        <f>IFERROR(__xludf.DUMMYFUNCTION("""COMPUTED_VALUE"""),"Feet")</f>
        <v>Feet</v>
      </c>
      <c r="C488" s="16" t="str">
        <f>IFERROR(__xludf.DUMMYFUNCTION("""COMPUTED_VALUE"""),"Mob Exclusive")</f>
        <v>Mob Exclusive</v>
      </c>
      <c r="D488" s="16"/>
      <c r="E488" s="16">
        <f>IFERROR(__xludf.DUMMYFUNCTION("""COMPUTED_VALUE"""),200.0)</f>
        <v>200</v>
      </c>
      <c r="F488" s="108">
        <f>IFERROR(__xludf.DUMMYFUNCTION("""COMPUTED_VALUE"""),3.6315E8)</f>
        <v>363150000</v>
      </c>
      <c r="G488" s="16" t="str">
        <f>IFERROR(__xludf.DUMMYFUNCTION("""COMPUTED_VALUE"""),"DEF")</f>
        <v>DEF</v>
      </c>
      <c r="H488" s="119">
        <f>IFERROR(__xludf.DUMMYFUNCTION("""COMPUTED_VALUE"""),50000.0)</f>
        <v>50000</v>
      </c>
      <c r="I488" s="119">
        <f>IFERROR(__xludf.DUMMYFUNCTION("""COMPUTED_VALUE"""),35000.0)</f>
        <v>35000</v>
      </c>
      <c r="J488" s="16"/>
      <c r="K488" s="16"/>
      <c r="L488" s="16"/>
      <c r="M488" s="16"/>
      <c r="N488" s="16"/>
      <c r="O488" s="16"/>
      <c r="P488" s="16"/>
      <c r="Q488" s="16"/>
      <c r="R488" s="16"/>
      <c r="S488" s="16"/>
      <c r="T488" s="16"/>
      <c r="U488" s="16"/>
      <c r="V488" s="16"/>
      <c r="W488" s="16"/>
      <c r="X488" s="16"/>
      <c r="Y488" s="16"/>
      <c r="Z488" s="16"/>
      <c r="AA488" s="16"/>
      <c r="AB488" s="16"/>
      <c r="AC488" s="119">
        <f>IFERROR(__xludf.DUMMYFUNCTION("""COMPUTED_VALUE"""),50000.0)</f>
        <v>50000</v>
      </c>
      <c r="AD488" s="16"/>
      <c r="AE488" s="16"/>
      <c r="AF488" s="16" t="str">
        <f>IFERROR(__xludf.DUMMYFUNCTION("""COMPUTED_VALUE"""),"++X2 Earth Damage for self. ++X2 Defense for self")</f>
        <v>++X2 Earth Damage for self. ++X2 Defense for self</v>
      </c>
      <c r="AG488" s="16" t="str">
        <f>IFERROR(__xludf.DUMMYFUNCTION("""COMPUTED_VALUE"""),"Land of Spira")</f>
        <v>Land of Spira</v>
      </c>
      <c r="AH488" s="16" t="b">
        <f>IFERROR(__xludf.DUMMYFUNCTION("""COMPUTED_VALUE"""),FALSE)</f>
        <v>0</v>
      </c>
    </row>
    <row r="489">
      <c r="A489" s="16" t="str">
        <f>IFERROR(__xludf.DUMMYFUNCTION("""COMPUTED_VALUE"""),"Gaia's Gloves")</f>
        <v>Gaia's Gloves</v>
      </c>
      <c r="B489" s="16" t="str">
        <f>IFERROR(__xludf.DUMMYFUNCTION("""COMPUTED_VALUE"""),"Arms")</f>
        <v>Arms</v>
      </c>
      <c r="C489" s="16" t="str">
        <f>IFERROR(__xludf.DUMMYFUNCTION("""COMPUTED_VALUE"""),"Mob Exclusive")</f>
        <v>Mob Exclusive</v>
      </c>
      <c r="D489" s="16"/>
      <c r="E489" s="16">
        <f>IFERROR(__xludf.DUMMYFUNCTION("""COMPUTED_VALUE"""),200.0)</f>
        <v>200</v>
      </c>
      <c r="F489" s="108">
        <f>IFERROR(__xludf.DUMMYFUNCTION("""COMPUTED_VALUE"""),3.6315E8)</f>
        <v>363150000</v>
      </c>
      <c r="G489" s="16" t="str">
        <f>IFERROR(__xludf.DUMMYFUNCTION("""COMPUTED_VALUE"""),"DEF")</f>
        <v>DEF</v>
      </c>
      <c r="H489" s="119">
        <f>IFERROR(__xludf.DUMMYFUNCTION("""COMPUTED_VALUE"""),50000.0)</f>
        <v>50000</v>
      </c>
      <c r="I489" s="119">
        <f>IFERROR(__xludf.DUMMYFUNCTION("""COMPUTED_VALUE"""),35000.0)</f>
        <v>35000</v>
      </c>
      <c r="J489" s="16"/>
      <c r="K489" s="16"/>
      <c r="L489" s="16"/>
      <c r="M489" s="16"/>
      <c r="N489" s="16"/>
      <c r="O489" s="16"/>
      <c r="P489" s="16"/>
      <c r="Q489" s="16"/>
      <c r="R489" s="16"/>
      <c r="S489" s="16"/>
      <c r="T489" s="16"/>
      <c r="U489" s="16"/>
      <c r="V489" s="16"/>
      <c r="W489" s="16"/>
      <c r="X489" s="16"/>
      <c r="Y489" s="16"/>
      <c r="Z489" s="16"/>
      <c r="AA489" s="16"/>
      <c r="AB489" s="16"/>
      <c r="AC489" s="119">
        <f>IFERROR(__xludf.DUMMYFUNCTION("""COMPUTED_VALUE"""),50000.0)</f>
        <v>50000</v>
      </c>
      <c r="AD489" s="16"/>
      <c r="AE489" s="16"/>
      <c r="AF489" s="16" t="str">
        <f>IFERROR(__xludf.DUMMYFUNCTION("""COMPUTED_VALUE"""),"++X2 Earth Damage for self. ++X2 Defense for self")</f>
        <v>++X2 Earth Damage for self. ++X2 Defense for self</v>
      </c>
      <c r="AG489" s="16" t="str">
        <f>IFERROR(__xludf.DUMMYFUNCTION("""COMPUTED_VALUE"""),"Land of Spira")</f>
        <v>Land of Spira</v>
      </c>
      <c r="AH489" s="16" t="b">
        <f>IFERROR(__xludf.DUMMYFUNCTION("""COMPUTED_VALUE"""),FALSE)</f>
        <v>0</v>
      </c>
    </row>
    <row r="490">
      <c r="A490" s="16" t="str">
        <f>IFERROR(__xludf.DUMMYFUNCTION("""COMPUTED_VALUE"""),"Gaia's Gaiters")</f>
        <v>Gaia's Gaiters</v>
      </c>
      <c r="B490" s="16" t="str">
        <f>IFERROR(__xludf.DUMMYFUNCTION("""COMPUTED_VALUE"""),"Legs")</f>
        <v>Legs</v>
      </c>
      <c r="C490" s="16" t="str">
        <f>IFERROR(__xludf.DUMMYFUNCTION("""COMPUTED_VALUE"""),"Mob Exclusive")</f>
        <v>Mob Exclusive</v>
      </c>
      <c r="D490" s="16"/>
      <c r="E490" s="16">
        <f>IFERROR(__xludf.DUMMYFUNCTION("""COMPUTED_VALUE"""),200.0)</f>
        <v>200</v>
      </c>
      <c r="F490" s="108">
        <f>IFERROR(__xludf.DUMMYFUNCTION("""COMPUTED_VALUE"""),3.6315E8)</f>
        <v>363150000</v>
      </c>
      <c r="G490" s="16" t="str">
        <f>IFERROR(__xludf.DUMMYFUNCTION("""COMPUTED_VALUE"""),"DEF")</f>
        <v>DEF</v>
      </c>
      <c r="H490" s="119">
        <f>IFERROR(__xludf.DUMMYFUNCTION("""COMPUTED_VALUE"""),50000.0)</f>
        <v>50000</v>
      </c>
      <c r="I490" s="119">
        <f>IFERROR(__xludf.DUMMYFUNCTION("""COMPUTED_VALUE"""),35000.0)</f>
        <v>35000</v>
      </c>
      <c r="J490" s="16"/>
      <c r="K490" s="16"/>
      <c r="L490" s="16"/>
      <c r="M490" s="16"/>
      <c r="N490" s="16"/>
      <c r="O490" s="16"/>
      <c r="P490" s="16"/>
      <c r="Q490" s="16"/>
      <c r="R490" s="16"/>
      <c r="S490" s="16"/>
      <c r="T490" s="16"/>
      <c r="U490" s="16"/>
      <c r="V490" s="16"/>
      <c r="W490" s="16"/>
      <c r="X490" s="16"/>
      <c r="Y490" s="16"/>
      <c r="Z490" s="16"/>
      <c r="AA490" s="16"/>
      <c r="AB490" s="16"/>
      <c r="AC490" s="119">
        <f>IFERROR(__xludf.DUMMYFUNCTION("""COMPUTED_VALUE"""),50000.0)</f>
        <v>50000</v>
      </c>
      <c r="AD490" s="16"/>
      <c r="AE490" s="16"/>
      <c r="AF490" s="16" t="str">
        <f>IFERROR(__xludf.DUMMYFUNCTION("""COMPUTED_VALUE"""),"++X2 Earth Damage for self. ++X2 Defense for self")</f>
        <v>++X2 Earth Damage for self. ++X2 Defense for self</v>
      </c>
      <c r="AG490" s="16" t="str">
        <f>IFERROR(__xludf.DUMMYFUNCTION("""COMPUTED_VALUE"""),"Land of Spira")</f>
        <v>Land of Spira</v>
      </c>
      <c r="AH490" s="16" t="b">
        <f>IFERROR(__xludf.DUMMYFUNCTION("""COMPUTED_VALUE"""),FALSE)</f>
        <v>0</v>
      </c>
    </row>
    <row r="491">
      <c r="A491" s="16" t="str">
        <f>IFERROR(__xludf.DUMMYFUNCTION("""COMPUTED_VALUE"""),"Gaia's Pauldrons")</f>
        <v>Gaia's Pauldrons</v>
      </c>
      <c r="B491" s="16" t="str">
        <f>IFERROR(__xludf.DUMMYFUNCTION("""COMPUTED_VALUE"""),"Shoulders")</f>
        <v>Shoulders</v>
      </c>
      <c r="C491" s="16" t="str">
        <f>IFERROR(__xludf.DUMMYFUNCTION("""COMPUTED_VALUE"""),"Mob Exclusive")</f>
        <v>Mob Exclusive</v>
      </c>
      <c r="D491" s="16"/>
      <c r="E491" s="16">
        <f>IFERROR(__xludf.DUMMYFUNCTION("""COMPUTED_VALUE"""),200.0)</f>
        <v>200</v>
      </c>
      <c r="F491" s="108">
        <f>IFERROR(__xludf.DUMMYFUNCTION("""COMPUTED_VALUE"""),3.6315E8)</f>
        <v>363150000</v>
      </c>
      <c r="G491" s="16" t="str">
        <f>IFERROR(__xludf.DUMMYFUNCTION("""COMPUTED_VALUE"""),"DEF")</f>
        <v>DEF</v>
      </c>
      <c r="H491" s="119">
        <f>IFERROR(__xludf.DUMMYFUNCTION("""COMPUTED_VALUE"""),50000.0)</f>
        <v>50000</v>
      </c>
      <c r="I491" s="119">
        <f>IFERROR(__xludf.DUMMYFUNCTION("""COMPUTED_VALUE"""),35000.0)</f>
        <v>35000</v>
      </c>
      <c r="J491" s="16"/>
      <c r="K491" s="16"/>
      <c r="L491" s="16"/>
      <c r="M491" s="16"/>
      <c r="N491" s="16"/>
      <c r="O491" s="16"/>
      <c r="P491" s="16"/>
      <c r="Q491" s="16"/>
      <c r="R491" s="16"/>
      <c r="S491" s="16"/>
      <c r="T491" s="16"/>
      <c r="U491" s="16"/>
      <c r="V491" s="16"/>
      <c r="W491" s="16"/>
      <c r="X491" s="16"/>
      <c r="Y491" s="16"/>
      <c r="Z491" s="16"/>
      <c r="AA491" s="16"/>
      <c r="AB491" s="16"/>
      <c r="AC491" s="119">
        <f>IFERROR(__xludf.DUMMYFUNCTION("""COMPUTED_VALUE"""),50000.0)</f>
        <v>50000</v>
      </c>
      <c r="AD491" s="16"/>
      <c r="AE491" s="16"/>
      <c r="AF491" s="16" t="str">
        <f>IFERROR(__xludf.DUMMYFUNCTION("""COMPUTED_VALUE"""),"++X2 Earth Damage for self. ++X2 Defense for self")</f>
        <v>++X2 Earth Damage for self. ++X2 Defense for self</v>
      </c>
      <c r="AG491" s="16" t="str">
        <f>IFERROR(__xludf.DUMMYFUNCTION("""COMPUTED_VALUE"""),"Land of Spira")</f>
        <v>Land of Spira</v>
      </c>
      <c r="AH491" s="16" t="b">
        <f>IFERROR(__xludf.DUMMYFUNCTION("""COMPUTED_VALUE"""),FALSE)</f>
        <v>0</v>
      </c>
    </row>
    <row r="492">
      <c r="A492" s="16" t="str">
        <f>IFERROR(__xludf.DUMMYFUNCTION("""COMPUTED_VALUE"""),"Gaia's Chestpiece")</f>
        <v>Gaia's Chestpiece</v>
      </c>
      <c r="B492" s="16" t="str">
        <f>IFERROR(__xludf.DUMMYFUNCTION("""COMPUTED_VALUE"""),"Torso")</f>
        <v>Torso</v>
      </c>
      <c r="C492" s="16" t="str">
        <f>IFERROR(__xludf.DUMMYFUNCTION("""COMPUTED_VALUE"""),"Mob Exclusive")</f>
        <v>Mob Exclusive</v>
      </c>
      <c r="D492" s="16"/>
      <c r="E492" s="16">
        <f>IFERROR(__xludf.DUMMYFUNCTION("""COMPUTED_VALUE"""),200.0)</f>
        <v>200</v>
      </c>
      <c r="F492" s="108">
        <f>IFERROR(__xludf.DUMMYFUNCTION("""COMPUTED_VALUE"""),1.4553E9)</f>
        <v>1455300000</v>
      </c>
      <c r="G492" s="16" t="str">
        <f>IFERROR(__xludf.DUMMYFUNCTION("""COMPUTED_VALUE"""),"DEF")</f>
        <v>DEF</v>
      </c>
      <c r="H492" s="119">
        <f>IFERROR(__xludf.DUMMYFUNCTION("""COMPUTED_VALUE"""),100000.0)</f>
        <v>100000</v>
      </c>
      <c r="I492" s="119">
        <f>IFERROR(__xludf.DUMMYFUNCTION("""COMPUTED_VALUE"""),70000.0)</f>
        <v>70000</v>
      </c>
      <c r="J492" s="16"/>
      <c r="K492" s="16"/>
      <c r="L492" s="16"/>
      <c r="M492" s="16"/>
      <c r="N492" s="16"/>
      <c r="O492" s="16"/>
      <c r="P492" s="16"/>
      <c r="Q492" s="16"/>
      <c r="R492" s="16"/>
      <c r="S492" s="16"/>
      <c r="T492" s="16"/>
      <c r="U492" s="16"/>
      <c r="V492" s="16"/>
      <c r="W492" s="16"/>
      <c r="X492" s="16"/>
      <c r="Y492" s="16"/>
      <c r="Z492" s="16"/>
      <c r="AA492" s="16"/>
      <c r="AB492" s="16"/>
      <c r="AC492" s="119">
        <f>IFERROR(__xludf.DUMMYFUNCTION("""COMPUTED_VALUE"""),100000.0)</f>
        <v>100000</v>
      </c>
      <c r="AD492" s="16"/>
      <c r="AE492" s="16"/>
      <c r="AF492" s="16" t="str">
        <f>IFERROR(__xludf.DUMMYFUNCTION("""COMPUTED_VALUE"""),"++X2 Earth Damage for self. ++X2 Defense for self")</f>
        <v>++X2 Earth Damage for self. ++X2 Defense for self</v>
      </c>
      <c r="AG492" s="16" t="str">
        <f>IFERROR(__xludf.DUMMYFUNCTION("""COMPUTED_VALUE"""),"Land of Spira")</f>
        <v>Land of Spira</v>
      </c>
      <c r="AH492" s="16" t="b">
        <f>IFERROR(__xludf.DUMMYFUNCTION("""COMPUTED_VALUE"""),FALSE)</f>
        <v>0</v>
      </c>
    </row>
    <row r="493">
      <c r="A493" s="16" t="str">
        <f>IFERROR(__xludf.DUMMYFUNCTION("""COMPUTED_VALUE"""),"Gaia's Ring")</f>
        <v>Gaia's Ring</v>
      </c>
      <c r="B493" s="16" t="str">
        <f>IFERROR(__xludf.DUMMYFUNCTION("""COMPUTED_VALUE"""),"Ring")</f>
        <v>Ring</v>
      </c>
      <c r="C493" s="16" t="str">
        <f>IFERROR(__xludf.DUMMYFUNCTION("""COMPUTED_VALUE"""),"Mob Exclusive")</f>
        <v>Mob Exclusive</v>
      </c>
      <c r="D493" s="16"/>
      <c r="E493" s="16">
        <f>IFERROR(__xludf.DUMMYFUNCTION("""COMPUTED_VALUE"""),1.0)</f>
        <v>1</v>
      </c>
      <c r="F493" s="108">
        <f>IFERROR(__xludf.DUMMYFUNCTION("""COMPUTED_VALUE"""),0.0)</f>
        <v>0</v>
      </c>
      <c r="G493" s="16"/>
      <c r="H493" s="16"/>
      <c r="I493" s="16"/>
      <c r="J493" s="16"/>
      <c r="K493" s="16"/>
      <c r="L493" s="16"/>
      <c r="M493" s="16"/>
      <c r="N493" s="16"/>
      <c r="O493" s="16"/>
      <c r="P493" s="16"/>
      <c r="Q493" s="16"/>
      <c r="R493" s="16"/>
      <c r="S493" s="16"/>
      <c r="T493" s="16"/>
      <c r="U493" s="16"/>
      <c r="V493" s="16"/>
      <c r="W493" s="16"/>
      <c r="X493" s="16"/>
      <c r="Y493" s="16"/>
      <c r="Z493" s="16"/>
      <c r="AA493" s="16"/>
      <c r="AB493" s="16"/>
      <c r="AC493" s="16"/>
      <c r="AD493" s="16"/>
      <c r="AE493" s="16"/>
      <c r="AF493" s="16" t="str">
        <f>IFERROR(__xludf.DUMMYFUNCTION("""COMPUTED_VALUE"""),"++X4 defense for self and allies, 50 sp")</f>
        <v>++X4 defense for self and allies, 50 sp</v>
      </c>
      <c r="AG493" s="16" t="str">
        <f>IFERROR(__xludf.DUMMYFUNCTION("""COMPUTED_VALUE"""),"Land of Spira")</f>
        <v>Land of Spira</v>
      </c>
      <c r="AH493" s="16" t="b">
        <f>IFERROR(__xludf.DUMMYFUNCTION("""COMPUTED_VALUE"""),FALSE)</f>
        <v>0</v>
      </c>
    </row>
    <row r="494">
      <c r="A494" s="16" t="str">
        <f>IFERROR(__xludf.DUMMYFUNCTION("""COMPUTED_VALUE"""),"Paladin of Gaia's Bucket helm of Tenacity")</f>
        <v>Paladin of Gaia's Bucket helm of Tenacity</v>
      </c>
      <c r="B494" s="16" t="str">
        <f>IFERROR(__xludf.DUMMYFUNCTION("""COMPUTED_VALUE"""),"Head")</f>
        <v>Head</v>
      </c>
      <c r="C494" s="16" t="str">
        <f>IFERROR(__xludf.DUMMYFUNCTION("""COMPUTED_VALUE"""),"Quest Item")</f>
        <v>Quest Item</v>
      </c>
      <c r="D494" s="16"/>
      <c r="E494" s="16">
        <f>IFERROR(__xludf.DUMMYFUNCTION("""COMPUTED_VALUE"""),200.0)</f>
        <v>200</v>
      </c>
      <c r="F494" s="108">
        <f>IFERROR(__xludf.DUMMYFUNCTION("""COMPUTED_VALUE"""),1.272E8)</f>
        <v>127200000</v>
      </c>
      <c r="G494" s="16" t="str">
        <f>IFERROR(__xludf.DUMMYFUNCTION("""COMPUTED_VALUE"""),"DEF")</f>
        <v>DEF</v>
      </c>
      <c r="H494" s="119">
        <f>IFERROR(__xludf.DUMMYFUNCTION("""COMPUTED_VALUE"""),20000.0)</f>
        <v>20000</v>
      </c>
      <c r="I494" s="119">
        <f>IFERROR(__xludf.DUMMYFUNCTION("""COMPUTED_VALUE"""),5000.0)</f>
        <v>5000</v>
      </c>
      <c r="J494" s="16"/>
      <c r="K494" s="16"/>
      <c r="L494" s="16"/>
      <c r="M494" s="119">
        <f>IFERROR(__xludf.DUMMYFUNCTION("""COMPUTED_VALUE"""),35000.0)</f>
        <v>35000</v>
      </c>
      <c r="N494" s="16"/>
      <c r="O494" s="16"/>
      <c r="P494" s="16"/>
      <c r="Q494" s="16"/>
      <c r="R494" s="16"/>
      <c r="S494" s="16"/>
      <c r="T494" s="16"/>
      <c r="U494" s="16"/>
      <c r="V494" s="16"/>
      <c r="W494" s="16"/>
      <c r="X494" s="16"/>
      <c r="Y494" s="16"/>
      <c r="Z494" s="16"/>
      <c r="AA494" s="16"/>
      <c r="AB494" s="16"/>
      <c r="AC494" s="119">
        <f>IFERROR(__xludf.DUMMYFUNCTION("""COMPUTED_VALUE"""),20000.0)</f>
        <v>20000</v>
      </c>
      <c r="AD494" s="16"/>
      <c r="AE494" s="16"/>
      <c r="AF494" s="16" t="str">
        <f>IFERROR(__xludf.DUMMYFUNCTION("""COMPUTED_VALUE"""),"++Gaia's Tenacity II: 10% Chance to revive after death +-Cannot be forged +-Cannot be duplicated +-(Paladin or Knight Class Only)")</f>
        <v>++Gaia's Tenacity II: 10% Chance to revive after death +-Cannot be forged +-Cannot be duplicated +-(Paladin or Knight Class Only)</v>
      </c>
      <c r="AG494" s="16" t="str">
        <f>IFERROR(__xludf.DUMMYFUNCTION("""COMPUTED_VALUE"""),"Land of Spira")</f>
        <v>Land of Spira</v>
      </c>
      <c r="AH494" s="16" t="b">
        <f>IFERROR(__xludf.DUMMYFUNCTION("""COMPUTED_VALUE"""),FALSE)</f>
        <v>0</v>
      </c>
    </row>
    <row r="495">
      <c r="A495" s="16" t="str">
        <f>IFERROR(__xludf.DUMMYFUNCTION("""COMPUTED_VALUE"""),"Paladin of Gaia's Stone Pauldrons")</f>
        <v>Paladin of Gaia's Stone Pauldrons</v>
      </c>
      <c r="B495" s="16" t="str">
        <f>IFERROR(__xludf.DUMMYFUNCTION("""COMPUTED_VALUE"""),"Shoulders")</f>
        <v>Shoulders</v>
      </c>
      <c r="C495" s="16" t="str">
        <f>IFERROR(__xludf.DUMMYFUNCTION("""COMPUTED_VALUE"""),"Quest Item")</f>
        <v>Quest Item</v>
      </c>
      <c r="D495" s="16"/>
      <c r="E495" s="16">
        <f>IFERROR(__xludf.DUMMYFUNCTION("""COMPUTED_VALUE"""),200.0)</f>
        <v>200</v>
      </c>
      <c r="F495" s="108">
        <f>IFERROR(__xludf.DUMMYFUNCTION("""COMPUTED_VALUE"""),1.272E8)</f>
        <v>127200000</v>
      </c>
      <c r="G495" s="16" t="str">
        <f>IFERROR(__xludf.DUMMYFUNCTION("""COMPUTED_VALUE"""),"DEF")</f>
        <v>DEF</v>
      </c>
      <c r="H495" s="119">
        <f>IFERROR(__xludf.DUMMYFUNCTION("""COMPUTED_VALUE"""),20000.0)</f>
        <v>20000</v>
      </c>
      <c r="I495" s="119">
        <f>IFERROR(__xludf.DUMMYFUNCTION("""COMPUTED_VALUE"""),5000.0)</f>
        <v>5000</v>
      </c>
      <c r="J495" s="16"/>
      <c r="K495" s="16"/>
      <c r="L495" s="16"/>
      <c r="M495" s="119">
        <f>IFERROR(__xludf.DUMMYFUNCTION("""COMPUTED_VALUE"""),35000.0)</f>
        <v>35000</v>
      </c>
      <c r="N495" s="16"/>
      <c r="O495" s="16"/>
      <c r="P495" s="16"/>
      <c r="Q495" s="16"/>
      <c r="R495" s="16"/>
      <c r="S495" s="16"/>
      <c r="T495" s="16"/>
      <c r="U495" s="16"/>
      <c r="V495" s="16"/>
      <c r="W495" s="16"/>
      <c r="X495" s="16"/>
      <c r="Y495" s="16"/>
      <c r="Z495" s="16"/>
      <c r="AA495" s="16"/>
      <c r="AB495" s="16"/>
      <c r="AC495" s="119">
        <f>IFERROR(__xludf.DUMMYFUNCTION("""COMPUTED_VALUE"""),20000.0)</f>
        <v>20000</v>
      </c>
      <c r="AD495" s="16"/>
      <c r="AE495" s="16"/>
      <c r="AF495" s="16" t="str">
        <f>IFERROR(__xludf.DUMMYFUNCTION("""COMPUTED_VALUE"""),"++Blessing of Stone I: 2X Earth Damage +-(Paladin or Knight Class Only)")</f>
        <v>++Blessing of Stone I: 2X Earth Damage +-(Paladin or Knight Class Only)</v>
      </c>
      <c r="AG495" s="16" t="str">
        <f>IFERROR(__xludf.DUMMYFUNCTION("""COMPUTED_VALUE"""),"Land of Spira")</f>
        <v>Land of Spira</v>
      </c>
      <c r="AH495" s="16" t="b">
        <f>IFERROR(__xludf.DUMMYFUNCTION("""COMPUTED_VALUE"""),FALSE)</f>
        <v>0</v>
      </c>
    </row>
    <row r="496">
      <c r="A496" s="16" t="str">
        <f>IFERROR(__xludf.DUMMYFUNCTION("""COMPUTED_VALUE"""),"Paladin of Gaia's Emblazoned Chestpiece")</f>
        <v>Paladin of Gaia's Emblazoned Chestpiece</v>
      </c>
      <c r="B496" s="16" t="str">
        <f>IFERROR(__xludf.DUMMYFUNCTION("""COMPUTED_VALUE"""),"Torso")</f>
        <v>Torso</v>
      </c>
      <c r="C496" s="16" t="str">
        <f>IFERROR(__xludf.DUMMYFUNCTION("""COMPUTED_VALUE"""),"Quest Item")</f>
        <v>Quest Item</v>
      </c>
      <c r="D496" s="16"/>
      <c r="E496" s="16">
        <f>IFERROR(__xludf.DUMMYFUNCTION("""COMPUTED_VALUE"""),200.0)</f>
        <v>200</v>
      </c>
      <c r="F496" s="108">
        <f>IFERROR(__xludf.DUMMYFUNCTION("""COMPUTED_VALUE"""),7.201E8)</f>
        <v>720100000</v>
      </c>
      <c r="G496" s="16" t="str">
        <f>IFERROR(__xludf.DUMMYFUNCTION("""COMPUTED_VALUE"""),"DEF")</f>
        <v>DEF</v>
      </c>
      <c r="H496" s="119">
        <f>IFERROR(__xludf.DUMMYFUNCTION("""COMPUTED_VALUE"""),50000.0)</f>
        <v>50000</v>
      </c>
      <c r="I496" s="119">
        <f>IFERROR(__xludf.DUMMYFUNCTION("""COMPUTED_VALUE"""),20000.0)</f>
        <v>20000</v>
      </c>
      <c r="J496" s="16"/>
      <c r="K496" s="16"/>
      <c r="L496" s="16"/>
      <c r="M496" s="119">
        <f>IFERROR(__xludf.DUMMYFUNCTION("""COMPUTED_VALUE"""),70000.0)</f>
        <v>70000</v>
      </c>
      <c r="N496" s="16"/>
      <c r="O496" s="16"/>
      <c r="P496" s="16"/>
      <c r="Q496" s="16"/>
      <c r="R496" s="16"/>
      <c r="S496" s="16"/>
      <c r="T496" s="16"/>
      <c r="U496" s="16"/>
      <c r="V496" s="16"/>
      <c r="W496" s="16"/>
      <c r="X496" s="16"/>
      <c r="Y496" s="16"/>
      <c r="Z496" s="16"/>
      <c r="AA496" s="16"/>
      <c r="AB496" s="16"/>
      <c r="AC496" s="119">
        <f>IFERROR(__xludf.DUMMYFUNCTION("""COMPUTED_VALUE"""),50000.0)</f>
        <v>50000</v>
      </c>
      <c r="AD496" s="16"/>
      <c r="AE496" s="16"/>
      <c r="AF496" s="16" t="str">
        <f>IFERROR(__xludf.DUMMYFUNCTION("""COMPUTED_VALUE"""),"++X2 defense for self and allies +-Paladin or Knight Class Only +-Can only equip one")</f>
        <v>++X2 defense for self and allies +-Paladin or Knight Class Only +-Can only equip one</v>
      </c>
      <c r="AG496" s="16" t="str">
        <f>IFERROR(__xludf.DUMMYFUNCTION("""COMPUTED_VALUE"""),"Land of Spira")</f>
        <v>Land of Spira</v>
      </c>
      <c r="AH496" s="16" t="b">
        <f>IFERROR(__xludf.DUMMYFUNCTION("""COMPUTED_VALUE"""),FALSE)</f>
        <v>0</v>
      </c>
    </row>
    <row r="497">
      <c r="A497" s="16" t="str">
        <f>IFERROR(__xludf.DUMMYFUNCTION("""COMPUTED_VALUE"""),"Paladin of Gaia's Vambraces")</f>
        <v>Paladin of Gaia's Vambraces</v>
      </c>
      <c r="B497" s="16" t="str">
        <f>IFERROR(__xludf.DUMMYFUNCTION("""COMPUTED_VALUE"""),"Arms")</f>
        <v>Arms</v>
      </c>
      <c r="C497" s="16" t="str">
        <f>IFERROR(__xludf.DUMMYFUNCTION("""COMPUTED_VALUE"""),"Quest Item")</f>
        <v>Quest Item</v>
      </c>
      <c r="D497" s="16"/>
      <c r="E497" s="16">
        <f>IFERROR(__xludf.DUMMYFUNCTION("""COMPUTED_VALUE"""),200.0)</f>
        <v>200</v>
      </c>
      <c r="F497" s="108">
        <f>IFERROR(__xludf.DUMMYFUNCTION("""COMPUTED_VALUE"""),1.272E8)</f>
        <v>127200000</v>
      </c>
      <c r="G497" s="16" t="str">
        <f>IFERROR(__xludf.DUMMYFUNCTION("""COMPUTED_VALUE"""),"DEF")</f>
        <v>DEF</v>
      </c>
      <c r="H497" s="119">
        <f>IFERROR(__xludf.DUMMYFUNCTION("""COMPUTED_VALUE"""),20000.0)</f>
        <v>20000</v>
      </c>
      <c r="I497" s="119">
        <f>IFERROR(__xludf.DUMMYFUNCTION("""COMPUTED_VALUE"""),5000.0)</f>
        <v>5000</v>
      </c>
      <c r="J497" s="16"/>
      <c r="K497" s="16"/>
      <c r="L497" s="16"/>
      <c r="M497" s="119">
        <f>IFERROR(__xludf.DUMMYFUNCTION("""COMPUTED_VALUE"""),35000.0)</f>
        <v>35000</v>
      </c>
      <c r="N497" s="16"/>
      <c r="O497" s="16"/>
      <c r="P497" s="16"/>
      <c r="Q497" s="16"/>
      <c r="R497" s="16"/>
      <c r="S497" s="16"/>
      <c r="T497" s="16"/>
      <c r="U497" s="16"/>
      <c r="V497" s="16"/>
      <c r="W497" s="16"/>
      <c r="X497" s="16"/>
      <c r="Y497" s="16"/>
      <c r="Z497" s="16"/>
      <c r="AA497" s="16"/>
      <c r="AB497" s="16"/>
      <c r="AC497" s="119">
        <f>IFERROR(__xludf.DUMMYFUNCTION("""COMPUTED_VALUE"""),20000.0)</f>
        <v>20000</v>
      </c>
      <c r="AD497" s="16"/>
      <c r="AE497" s="16"/>
      <c r="AF497" s="16" t="str">
        <f>IFERROR(__xludf.DUMMYFUNCTION("""COMPUTED_VALUE"""),"++X2 defense for self and allies +-Paladin or Knight Class Only +-Can only equip one")</f>
        <v>++X2 defense for self and allies +-Paladin or Knight Class Only +-Can only equip one</v>
      </c>
      <c r="AG497" s="16" t="str">
        <f>IFERROR(__xludf.DUMMYFUNCTION("""COMPUTED_VALUE"""),"Land of Spira")</f>
        <v>Land of Spira</v>
      </c>
      <c r="AH497" s="16" t="b">
        <f>IFERROR(__xludf.DUMMYFUNCTION("""COMPUTED_VALUE"""),FALSE)</f>
        <v>0</v>
      </c>
    </row>
    <row r="498">
      <c r="A498" s="16" t="str">
        <f>IFERROR(__xludf.DUMMYFUNCTION("""COMPUTED_VALUE"""),"Paladin of Gaia's Plate Chausses")</f>
        <v>Paladin of Gaia's Plate Chausses</v>
      </c>
      <c r="B498" s="16" t="str">
        <f>IFERROR(__xludf.DUMMYFUNCTION("""COMPUTED_VALUE"""),"Legs")</f>
        <v>Legs</v>
      </c>
      <c r="C498" s="16" t="str">
        <f>IFERROR(__xludf.DUMMYFUNCTION("""COMPUTED_VALUE"""),"Quest Item")</f>
        <v>Quest Item</v>
      </c>
      <c r="D498" s="16"/>
      <c r="E498" s="16">
        <f>IFERROR(__xludf.DUMMYFUNCTION("""COMPUTED_VALUE"""),200.0)</f>
        <v>200</v>
      </c>
      <c r="F498" s="108">
        <f>IFERROR(__xludf.DUMMYFUNCTION("""COMPUTED_VALUE"""),1.272E8)</f>
        <v>127200000</v>
      </c>
      <c r="G498" s="16" t="str">
        <f>IFERROR(__xludf.DUMMYFUNCTION("""COMPUTED_VALUE"""),"DEF")</f>
        <v>DEF</v>
      </c>
      <c r="H498" s="119">
        <f>IFERROR(__xludf.DUMMYFUNCTION("""COMPUTED_VALUE"""),20000.0)</f>
        <v>20000</v>
      </c>
      <c r="I498" s="119">
        <f>IFERROR(__xludf.DUMMYFUNCTION("""COMPUTED_VALUE"""),5000.0)</f>
        <v>5000</v>
      </c>
      <c r="J498" s="16"/>
      <c r="K498" s="16"/>
      <c r="L498" s="16"/>
      <c r="M498" s="119">
        <f>IFERROR(__xludf.DUMMYFUNCTION("""COMPUTED_VALUE"""),35000.0)</f>
        <v>35000</v>
      </c>
      <c r="N498" s="16"/>
      <c r="O498" s="16"/>
      <c r="P498" s="16"/>
      <c r="Q498" s="16"/>
      <c r="R498" s="16"/>
      <c r="S498" s="16"/>
      <c r="T498" s="16"/>
      <c r="U498" s="16"/>
      <c r="V498" s="16"/>
      <c r="W498" s="16"/>
      <c r="X498" s="16"/>
      <c r="Y498" s="16"/>
      <c r="Z498" s="16"/>
      <c r="AA498" s="16"/>
      <c r="AB498" s="16"/>
      <c r="AC498" s="119">
        <f>IFERROR(__xludf.DUMMYFUNCTION("""COMPUTED_VALUE"""),20000.0)</f>
        <v>20000</v>
      </c>
      <c r="AD498" s="16"/>
      <c r="AE498" s="16"/>
      <c r="AF498" s="16" t="str">
        <f>IFERROR(__xludf.DUMMYFUNCTION("""COMPUTED_VALUE"""),"++Blessing of Stone I: 2X Earth Damage +-Paladin or Knight Class Only +-Can only equip one")</f>
        <v>++Blessing of Stone I: 2X Earth Damage +-Paladin or Knight Class Only +-Can only equip one</v>
      </c>
      <c r="AG498" s="16" t="str">
        <f>IFERROR(__xludf.DUMMYFUNCTION("""COMPUTED_VALUE"""),"Land of Spira")</f>
        <v>Land of Spira</v>
      </c>
      <c r="AH498" s="16" t="b">
        <f>IFERROR(__xludf.DUMMYFUNCTION("""COMPUTED_VALUE"""),FALSE)</f>
        <v>0</v>
      </c>
    </row>
    <row r="499">
      <c r="A499" s="16" t="str">
        <f>IFERROR(__xludf.DUMMYFUNCTION("""COMPUTED_VALUE"""),"Paladin of Gaia's Sabatons")</f>
        <v>Paladin of Gaia's Sabatons</v>
      </c>
      <c r="B499" s="16" t="str">
        <f>IFERROR(__xludf.DUMMYFUNCTION("""COMPUTED_VALUE"""),"Feet")</f>
        <v>Feet</v>
      </c>
      <c r="C499" s="16" t="str">
        <f>IFERROR(__xludf.DUMMYFUNCTION("""COMPUTED_VALUE"""),"Quest Item")</f>
        <v>Quest Item</v>
      </c>
      <c r="D499" s="16"/>
      <c r="E499" s="16">
        <f>IFERROR(__xludf.DUMMYFUNCTION("""COMPUTED_VALUE"""),200.0)</f>
        <v>200</v>
      </c>
      <c r="F499" s="108">
        <f>IFERROR(__xludf.DUMMYFUNCTION("""COMPUTED_VALUE"""),1.272E8)</f>
        <v>127200000</v>
      </c>
      <c r="G499" s="16" t="str">
        <f>IFERROR(__xludf.DUMMYFUNCTION("""COMPUTED_VALUE"""),"DEF")</f>
        <v>DEF</v>
      </c>
      <c r="H499" s="119">
        <f>IFERROR(__xludf.DUMMYFUNCTION("""COMPUTED_VALUE"""),20000.0)</f>
        <v>20000</v>
      </c>
      <c r="I499" s="119">
        <f>IFERROR(__xludf.DUMMYFUNCTION("""COMPUTED_VALUE"""),5000.0)</f>
        <v>5000</v>
      </c>
      <c r="J499" s="16"/>
      <c r="K499" s="16"/>
      <c r="L499" s="16"/>
      <c r="M499" s="119">
        <f>IFERROR(__xludf.DUMMYFUNCTION("""COMPUTED_VALUE"""),35000.0)</f>
        <v>35000</v>
      </c>
      <c r="N499" s="16"/>
      <c r="O499" s="16"/>
      <c r="P499" s="16"/>
      <c r="Q499" s="16"/>
      <c r="R499" s="16"/>
      <c r="S499" s="16"/>
      <c r="T499" s="16"/>
      <c r="U499" s="16"/>
      <c r="V499" s="16"/>
      <c r="W499" s="16"/>
      <c r="X499" s="16"/>
      <c r="Y499" s="16"/>
      <c r="Z499" s="16"/>
      <c r="AA499" s="16"/>
      <c r="AB499" s="16"/>
      <c r="AC499" s="119">
        <f>IFERROR(__xludf.DUMMYFUNCTION("""COMPUTED_VALUE"""),20000.0)</f>
        <v>20000</v>
      </c>
      <c r="AD499" s="16"/>
      <c r="AE499" s="16"/>
      <c r="AF499" s="16" t="str">
        <f>IFERROR(__xludf.DUMMYFUNCTION("""COMPUTED_VALUE"""),"++Blessing of Stone I: 2X Earth Damage +-Paladin or Knight Class Only +-Can only equip one")</f>
        <v>++Blessing of Stone I: 2X Earth Damage +-Paladin or Knight Class Only +-Can only equip one</v>
      </c>
      <c r="AG499" s="16" t="str">
        <f>IFERROR(__xludf.DUMMYFUNCTION("""COMPUTED_VALUE"""),"Land of Spira")</f>
        <v>Land of Spira</v>
      </c>
      <c r="AH499" s="16" t="b">
        <f>IFERROR(__xludf.DUMMYFUNCTION("""COMPUTED_VALUE"""),FALSE)</f>
        <v>0</v>
      </c>
    </row>
    <row r="500">
      <c r="A500" s="16" t="str">
        <f>IFERROR(__xludf.DUMMYFUNCTION("""COMPUTED_VALUE"""),"Paladin of Gaia's Ruby Ring")</f>
        <v>Paladin of Gaia's Ruby Ring</v>
      </c>
      <c r="B500" s="16" t="str">
        <f>IFERROR(__xludf.DUMMYFUNCTION("""COMPUTED_VALUE"""),"Ring")</f>
        <v>Ring</v>
      </c>
      <c r="C500" s="16" t="str">
        <f>IFERROR(__xludf.DUMMYFUNCTION("""COMPUTED_VALUE"""),"Quest Item")</f>
        <v>Quest Item</v>
      </c>
      <c r="D500" s="16"/>
      <c r="E500" s="16">
        <f>IFERROR(__xludf.DUMMYFUNCTION("""COMPUTED_VALUE"""),1.0)</f>
        <v>1</v>
      </c>
      <c r="F500" s="108">
        <f>IFERROR(__xludf.DUMMYFUNCTION("""COMPUTED_VALUE"""),0.0)</f>
        <v>0</v>
      </c>
      <c r="G500" s="16"/>
      <c r="H500" s="16"/>
      <c r="I500" s="16"/>
      <c r="J500" s="16"/>
      <c r="K500" s="16"/>
      <c r="L500" s="16"/>
      <c r="M500" s="16"/>
      <c r="N500" s="16"/>
      <c r="O500" s="16"/>
      <c r="P500" s="16"/>
      <c r="Q500" s="16"/>
      <c r="R500" s="16"/>
      <c r="S500" s="16"/>
      <c r="T500" s="16"/>
      <c r="U500" s="16"/>
      <c r="V500" s="16"/>
      <c r="W500" s="16"/>
      <c r="X500" s="16"/>
      <c r="Y500" s="16"/>
      <c r="Z500" s="16"/>
      <c r="AA500" s="16"/>
      <c r="AB500" s="16"/>
      <c r="AC500" s="16"/>
      <c r="AD500" s="16"/>
      <c r="AE500" s="16"/>
      <c r="AF500" s="16" t="str">
        <f>IFERROR(__xludf.DUMMYFUNCTION("""COMPUTED_VALUE"""),"++Blessing of Stone II: 4X Earth Damage 
++Gaia's Tenacity I: 5% chance to revive after death +-Paladin or Knight Class Only +-Cannot be forged +-Cannot be duplicated +-Can only equip one")</f>
        <v>++Blessing of Stone II: 4X Earth Damage 
++Gaia's Tenacity I: 5% chance to revive after death +-Paladin or Knight Class Only +-Cannot be forged +-Cannot be duplicated +-Can only equip one</v>
      </c>
      <c r="AG500" s="16" t="str">
        <f>IFERROR(__xludf.DUMMYFUNCTION("""COMPUTED_VALUE"""),"Land of Spira")</f>
        <v>Land of Spira</v>
      </c>
      <c r="AH500" s="16" t="b">
        <f>IFERROR(__xludf.DUMMYFUNCTION("""COMPUTED_VALUE"""),FALSE)</f>
        <v>0</v>
      </c>
    </row>
    <row r="501">
      <c r="A501" s="16" t="str">
        <f>IFERROR(__xludf.DUMMYFUNCTION("""COMPUTED_VALUE"""),"Paladin of Gaia's Emerald Pendant")</f>
        <v>Paladin of Gaia's Emerald Pendant</v>
      </c>
      <c r="B501" s="16" t="str">
        <f>IFERROR(__xludf.DUMMYFUNCTION("""COMPUTED_VALUE"""),"Neck")</f>
        <v>Neck</v>
      </c>
      <c r="C501" s="16" t="str">
        <f>IFERROR(__xludf.DUMMYFUNCTION("""COMPUTED_VALUE"""),"Quest Item")</f>
        <v>Quest Item</v>
      </c>
      <c r="D501" s="16"/>
      <c r="E501" s="16">
        <f>IFERROR(__xludf.DUMMYFUNCTION("""COMPUTED_VALUE"""),1.0)</f>
        <v>1</v>
      </c>
      <c r="F501" s="108">
        <f>IFERROR(__xludf.DUMMYFUNCTION("""COMPUTED_VALUE"""),0.0)</f>
        <v>0</v>
      </c>
      <c r="G501" s="16"/>
      <c r="H501" s="16"/>
      <c r="I501" s="16"/>
      <c r="J501" s="16"/>
      <c r="K501" s="16"/>
      <c r="L501" s="16"/>
      <c r="M501" s="16"/>
      <c r="N501" s="16"/>
      <c r="O501" s="16"/>
      <c r="P501" s="16"/>
      <c r="Q501" s="16"/>
      <c r="R501" s="16"/>
      <c r="S501" s="16"/>
      <c r="T501" s="16"/>
      <c r="U501" s="16"/>
      <c r="V501" s="16"/>
      <c r="W501" s="16"/>
      <c r="X501" s="16"/>
      <c r="Y501" s="16"/>
      <c r="Z501" s="16"/>
      <c r="AA501" s="16"/>
      <c r="AB501" s="16"/>
      <c r="AC501" s="16"/>
      <c r="AD501" s="16"/>
      <c r="AE501" s="16"/>
      <c r="AF501" s="16" t="str">
        <f>IFERROR(__xludf.DUMMYFUNCTION("""COMPUTED_VALUE"""),"++Blessing of Stone II: 4X Earth Damage 
++Gaia's Blessing I: 4X defense for self and allies 100 sp (Once per battle) +-(Paladin or Knight Class Only)")</f>
        <v>++Blessing of Stone II: 4X Earth Damage 
++Gaia's Blessing I: 4X defense for self and allies 100 sp (Once per battle) +-(Paladin or Knight Class Only)</v>
      </c>
      <c r="AG501" s="16" t="str">
        <f>IFERROR(__xludf.DUMMYFUNCTION("""COMPUTED_VALUE"""),"Land of Spira")</f>
        <v>Land of Spira</v>
      </c>
      <c r="AH501" s="16" t="b">
        <f>IFERROR(__xludf.DUMMYFUNCTION("""COMPUTED_VALUE"""),FALSE)</f>
        <v>0</v>
      </c>
    </row>
    <row r="502">
      <c r="A502" s="16" t="str">
        <f>IFERROR(__xludf.DUMMYFUNCTION("""COMPUTED_VALUE"""),"The Blacksmith's Forged Battleaxe ")</f>
        <v>The Blacksmith's Forged Battleaxe </v>
      </c>
      <c r="B502" s="16" t="str">
        <f>IFERROR(__xludf.DUMMYFUNCTION("""COMPUTED_VALUE"""),"Hand")</f>
        <v>Hand</v>
      </c>
      <c r="C502" s="16" t="str">
        <f>IFERROR(__xludf.DUMMYFUNCTION("""COMPUTED_VALUE"""),"Mob Exclusive")</f>
        <v>Mob Exclusive</v>
      </c>
      <c r="D502" s="16" t="str">
        <f>IFERROR(__xludf.DUMMYFUNCTION("""COMPUTED_VALUE"""),"Axe")</f>
        <v>Axe</v>
      </c>
      <c r="E502" s="16">
        <f>IFERROR(__xludf.DUMMYFUNCTION("""COMPUTED_VALUE"""),200.0)</f>
        <v>200</v>
      </c>
      <c r="F502" s="108">
        <f>IFERROR(__xludf.DUMMYFUNCTION("""COMPUTED_VALUE"""),1.2475E9)</f>
        <v>1247500000</v>
      </c>
      <c r="G502" s="16" t="str">
        <f>IFERROR(__xludf.DUMMYFUNCTION("""COMPUTED_VALUE"""),"DMG")</f>
        <v>DMG</v>
      </c>
      <c r="H502" s="119">
        <f>IFERROR(__xludf.DUMMYFUNCTION("""COMPUTED_VALUE"""),100000.0)</f>
        <v>100000</v>
      </c>
      <c r="I502" s="119">
        <f>IFERROR(__xludf.DUMMYFUNCTION("""COMPUTED_VALUE"""),100000.0)</f>
        <v>100000</v>
      </c>
      <c r="J502" s="16"/>
      <c r="K502" s="16"/>
      <c r="L502" s="16"/>
      <c r="M502" s="16"/>
      <c r="N502" s="16"/>
      <c r="O502" s="16"/>
      <c r="P502" s="16"/>
      <c r="Q502" s="16"/>
      <c r="R502" s="16"/>
      <c r="S502" s="16"/>
      <c r="T502" s="16"/>
      <c r="U502" s="16"/>
      <c r="V502" s="16"/>
      <c r="W502" s="16"/>
      <c r="X502" s="16"/>
      <c r="Y502" s="16"/>
      <c r="Z502" s="16"/>
      <c r="AA502" s="16"/>
      <c r="AB502" s="16"/>
      <c r="AC502" s="119">
        <f>IFERROR(__xludf.DUMMYFUNCTION("""COMPUTED_VALUE"""),50000.0)</f>
        <v>50000</v>
      </c>
      <c r="AD502" s="16"/>
      <c r="AE502" s="16"/>
      <c r="AF502" s="16" t="str">
        <f>IFERROR(__xludf.DUMMYFUNCTION("""COMPUTED_VALUE"""),"(Hephaestus' Set) ++Forged Fury: Attacks with this weapon hit all enemies (all enemies can roll to evade). ++X2 Weapon damage")</f>
        <v>(Hephaestus' Set) ++Forged Fury: Attacks with this weapon hit all enemies (all enemies can roll to evade). ++X2 Weapon damage</v>
      </c>
      <c r="AG502" s="16" t="str">
        <f>IFERROR(__xludf.DUMMYFUNCTION("""COMPUTED_VALUE"""),"Land of Spira")</f>
        <v>Land of Spira</v>
      </c>
      <c r="AH502" s="16" t="b">
        <f>IFERROR(__xludf.DUMMYFUNCTION("""COMPUTED_VALUE"""),FALSE)</f>
        <v>0</v>
      </c>
    </row>
    <row r="503">
      <c r="A503" s="16" t="str">
        <f>IFERROR(__xludf.DUMMYFUNCTION("""COMPUTED_VALUE"""),"The Blacksmith's Forged Sword")</f>
        <v>The Blacksmith's Forged Sword</v>
      </c>
      <c r="B503" s="16" t="str">
        <f>IFERROR(__xludf.DUMMYFUNCTION("""COMPUTED_VALUE"""),"Hand")</f>
        <v>Hand</v>
      </c>
      <c r="C503" s="16" t="str">
        <f>IFERROR(__xludf.DUMMYFUNCTION("""COMPUTED_VALUE"""),"Mob Exclusive")</f>
        <v>Mob Exclusive</v>
      </c>
      <c r="D503" s="16" t="str">
        <f>IFERROR(__xludf.DUMMYFUNCTION("""COMPUTED_VALUE"""),"Sword")</f>
        <v>Sword</v>
      </c>
      <c r="E503" s="16">
        <f>IFERROR(__xludf.DUMMYFUNCTION("""COMPUTED_VALUE"""),200.0)</f>
        <v>200</v>
      </c>
      <c r="F503" s="108">
        <f>IFERROR(__xludf.DUMMYFUNCTION("""COMPUTED_VALUE"""),1.2475E9)</f>
        <v>1247500000</v>
      </c>
      <c r="G503" s="16" t="str">
        <f>IFERROR(__xludf.DUMMYFUNCTION("""COMPUTED_VALUE"""),"DMG")</f>
        <v>DMG</v>
      </c>
      <c r="H503" s="119">
        <f>IFERROR(__xludf.DUMMYFUNCTION("""COMPUTED_VALUE"""),100000.0)</f>
        <v>100000</v>
      </c>
      <c r="I503" s="119">
        <f>IFERROR(__xludf.DUMMYFUNCTION("""COMPUTED_VALUE"""),100000.0)</f>
        <v>100000</v>
      </c>
      <c r="J503" s="16"/>
      <c r="K503" s="16"/>
      <c r="L503" s="16"/>
      <c r="M503" s="16"/>
      <c r="N503" s="16"/>
      <c r="O503" s="16"/>
      <c r="P503" s="16"/>
      <c r="Q503" s="16"/>
      <c r="R503" s="16"/>
      <c r="S503" s="16"/>
      <c r="T503" s="16"/>
      <c r="U503" s="16"/>
      <c r="V503" s="16"/>
      <c r="W503" s="16"/>
      <c r="X503" s="16"/>
      <c r="Y503" s="16"/>
      <c r="Z503" s="16"/>
      <c r="AA503" s="16"/>
      <c r="AB503" s="16"/>
      <c r="AC503" s="119">
        <f>IFERROR(__xludf.DUMMYFUNCTION("""COMPUTED_VALUE"""),50000.0)</f>
        <v>50000</v>
      </c>
      <c r="AD503" s="16"/>
      <c r="AE503" s="16"/>
      <c r="AF503" s="16" t="str">
        <f>IFERROR(__xludf.DUMMYFUNCTION("""COMPUTED_VALUE"""),"(Hephaestus' Set) ++Elemental Gem Slash: This weapon will have a 25% chance each to cast the following powers when attacking with this weapon; Molten Ruby Spikes, Searing Sapphire Strike, Energizing Emerald Pulse.")</f>
        <v>(Hephaestus' Set) ++Elemental Gem Slash: This weapon will have a 25% chance each to cast the following powers when attacking with this weapon; Molten Ruby Spikes, Searing Sapphire Strike, Energizing Emerald Pulse.</v>
      </c>
      <c r="AG503" s="16" t="str">
        <f>IFERROR(__xludf.DUMMYFUNCTION("""COMPUTED_VALUE"""),"Land of Spira")</f>
        <v>Land of Spira</v>
      </c>
      <c r="AH503" s="16" t="b">
        <f>IFERROR(__xludf.DUMMYFUNCTION("""COMPUTED_VALUE"""),FALSE)</f>
        <v>0</v>
      </c>
    </row>
    <row r="504">
      <c r="A504" s="16" t="str">
        <f>IFERROR(__xludf.DUMMYFUNCTION("""COMPUTED_VALUE"""),"The Blacksmith's Forged Helmet")</f>
        <v>The Blacksmith's Forged Helmet</v>
      </c>
      <c r="B504" s="16" t="str">
        <f>IFERROR(__xludf.DUMMYFUNCTION("""COMPUTED_VALUE"""),"Head")</f>
        <v>Head</v>
      </c>
      <c r="C504" s="16" t="str">
        <f>IFERROR(__xludf.DUMMYFUNCTION("""COMPUTED_VALUE"""),"Mob Exclusive")</f>
        <v>Mob Exclusive</v>
      </c>
      <c r="D504" s="16"/>
      <c r="E504" s="16">
        <f>IFERROR(__xludf.DUMMYFUNCTION("""COMPUTED_VALUE"""),4000.0)</f>
        <v>4000</v>
      </c>
      <c r="F504" s="108">
        <f>IFERROR(__xludf.DUMMYFUNCTION("""COMPUTED_VALUE"""),7.98E8)</f>
        <v>798000000</v>
      </c>
      <c r="G504" s="16" t="str">
        <f>IFERROR(__xludf.DUMMYFUNCTION("""COMPUTED_VALUE"""),"DEF")</f>
        <v>DEF</v>
      </c>
      <c r="H504" s="119">
        <f>IFERROR(__xludf.DUMMYFUNCTION("""COMPUTED_VALUE"""),200000.0)</f>
        <v>200000</v>
      </c>
      <c r="I504" s="16"/>
      <c r="J504" s="16"/>
      <c r="K504" s="16"/>
      <c r="L504" s="16"/>
      <c r="M504" s="16"/>
      <c r="N504" s="16"/>
      <c r="O504" s="16"/>
      <c r="P504" s="16"/>
      <c r="Q504" s="16"/>
      <c r="R504" s="16"/>
      <c r="S504" s="16"/>
      <c r="T504" s="16"/>
      <c r="U504" s="16"/>
      <c r="V504" s="16"/>
      <c r="W504" s="16"/>
      <c r="X504" s="16"/>
      <c r="Y504" s="16"/>
      <c r="Z504" s="16"/>
      <c r="AA504" s="16"/>
      <c r="AB504" s="16"/>
      <c r="AC504" s="16"/>
      <c r="AD504" s="16"/>
      <c r="AE504" s="16"/>
      <c r="AF504" s="16" t="str">
        <f>IFERROR(__xludf.DUMMYFUNCTION("""COMPUTED_VALUE"""),"(Hephaestus' Set) ++Immune to freezing. ++Hephaestus' Fury: shoot an eye ray causing 10,000 damage (you cannot dodge this). ++X2 defense for self")</f>
        <v>(Hephaestus' Set) ++Immune to freezing. ++Hephaestus' Fury: shoot an eye ray causing 10,000 damage (you cannot dodge this). ++X2 defense for self</v>
      </c>
      <c r="AG504" s="16" t="str">
        <f>IFERROR(__xludf.DUMMYFUNCTION("""COMPUTED_VALUE"""),"Land of Spira")</f>
        <v>Land of Spira</v>
      </c>
      <c r="AH504" s="16" t="b">
        <f>IFERROR(__xludf.DUMMYFUNCTION("""COMPUTED_VALUE"""),FALSE)</f>
        <v>0</v>
      </c>
    </row>
    <row r="505">
      <c r="A505" s="16" t="str">
        <f>IFERROR(__xludf.DUMMYFUNCTION("""COMPUTED_VALUE"""),"The Blacksmith's Forged Pauldrons")</f>
        <v>The Blacksmith's Forged Pauldrons</v>
      </c>
      <c r="B505" s="16" t="str">
        <f>IFERROR(__xludf.DUMMYFUNCTION("""COMPUTED_VALUE"""),"Shoulders")</f>
        <v>Shoulders</v>
      </c>
      <c r="C505" s="16" t="str">
        <f>IFERROR(__xludf.DUMMYFUNCTION("""COMPUTED_VALUE"""),"Mob Exclusive")</f>
        <v>Mob Exclusive</v>
      </c>
      <c r="D505" s="16"/>
      <c r="E505" s="16">
        <f>IFERROR(__xludf.DUMMYFUNCTION("""COMPUTED_VALUE"""),4000.0)</f>
        <v>4000</v>
      </c>
      <c r="F505" s="108">
        <f>IFERROR(__xludf.DUMMYFUNCTION("""COMPUTED_VALUE"""),7.98E8)</f>
        <v>798000000</v>
      </c>
      <c r="G505" s="16" t="str">
        <f>IFERROR(__xludf.DUMMYFUNCTION("""COMPUTED_VALUE"""),"DEF")</f>
        <v>DEF</v>
      </c>
      <c r="H505" s="119">
        <f>IFERROR(__xludf.DUMMYFUNCTION("""COMPUTED_VALUE"""),200000.0)</f>
        <v>200000</v>
      </c>
      <c r="I505" s="16"/>
      <c r="J505" s="16"/>
      <c r="K505" s="16"/>
      <c r="L505" s="16"/>
      <c r="M505" s="16"/>
      <c r="N505" s="16"/>
      <c r="O505" s="16"/>
      <c r="P505" s="16"/>
      <c r="Q505" s="16"/>
      <c r="R505" s="16"/>
      <c r="S505" s="16"/>
      <c r="T505" s="16"/>
      <c r="U505" s="16"/>
      <c r="V505" s="16"/>
      <c r="W505" s="16"/>
      <c r="X505" s="16"/>
      <c r="Y505" s="16"/>
      <c r="Z505" s="16"/>
      <c r="AA505" s="16"/>
      <c r="AB505" s="16"/>
      <c r="AC505" s="16"/>
      <c r="AD505" s="16"/>
      <c r="AE505" s="16"/>
      <c r="AF505" s="16" t="str">
        <f>IFERROR(__xludf.DUMMYFUNCTION("""COMPUTED_VALUE"""),"(Hephaestus' Set) ++Immune to Celestial. ++When Equipped you are invulnerable to damage unless you attack. ++When you battle with any undead you can deal X2 damage")</f>
        <v>(Hephaestus' Set) ++Immune to Celestial. ++When Equipped you are invulnerable to damage unless you attack. ++When you battle with any undead you can deal X2 damage</v>
      </c>
      <c r="AG505" s="16" t="str">
        <f>IFERROR(__xludf.DUMMYFUNCTION("""COMPUTED_VALUE"""),"Land of Spira")</f>
        <v>Land of Spira</v>
      </c>
      <c r="AH505" s="16" t="b">
        <f>IFERROR(__xludf.DUMMYFUNCTION("""COMPUTED_VALUE"""),FALSE)</f>
        <v>0</v>
      </c>
    </row>
    <row r="506">
      <c r="A506" s="16" t="str">
        <f>IFERROR(__xludf.DUMMYFUNCTION("""COMPUTED_VALUE"""),"The Blacksmith's Forged Vambraces")</f>
        <v>The Blacksmith's Forged Vambraces</v>
      </c>
      <c r="B506" s="16" t="str">
        <f>IFERROR(__xludf.DUMMYFUNCTION("""COMPUTED_VALUE"""),"Arms")</f>
        <v>Arms</v>
      </c>
      <c r="C506" s="16" t="str">
        <f>IFERROR(__xludf.DUMMYFUNCTION("""COMPUTED_VALUE"""),"Mob Exclusive")</f>
        <v>Mob Exclusive</v>
      </c>
      <c r="D506" s="16"/>
      <c r="E506" s="16">
        <f>IFERROR(__xludf.DUMMYFUNCTION("""COMPUTED_VALUE"""),4000.0)</f>
        <v>4000</v>
      </c>
      <c r="F506" s="108">
        <f>IFERROR(__xludf.DUMMYFUNCTION("""COMPUTED_VALUE"""),7.98E8)</f>
        <v>798000000</v>
      </c>
      <c r="G506" s="16" t="str">
        <f>IFERROR(__xludf.DUMMYFUNCTION("""COMPUTED_VALUE"""),"DEF")</f>
        <v>DEF</v>
      </c>
      <c r="H506" s="119">
        <f>IFERROR(__xludf.DUMMYFUNCTION("""COMPUTED_VALUE"""),200000.0)</f>
        <v>200000</v>
      </c>
      <c r="I506" s="16"/>
      <c r="J506" s="16"/>
      <c r="K506" s="16"/>
      <c r="L506" s="16"/>
      <c r="M506" s="16"/>
      <c r="N506" s="16"/>
      <c r="O506" s="16"/>
      <c r="P506" s="16"/>
      <c r="Q506" s="16"/>
      <c r="R506" s="16"/>
      <c r="S506" s="16"/>
      <c r="T506" s="16"/>
      <c r="U506" s="16"/>
      <c r="V506" s="16"/>
      <c r="W506" s="16"/>
      <c r="X506" s="16"/>
      <c r="Y506" s="16"/>
      <c r="Z506" s="16"/>
      <c r="AA506" s="16"/>
      <c r="AB506" s="16"/>
      <c r="AC506" s="16"/>
      <c r="AD506" s="16"/>
      <c r="AE506" s="16"/>
      <c r="AF506" s="16" t="str">
        <f>IFERROR(__xludf.DUMMYFUNCTION("""COMPUTED_VALUE"""),"(Hephaestus' Set) ++Immune to Chaos and Dark. ++Upon taking fire damage instead heal by 5X that fire damage. ++Take 2X water Damage")</f>
        <v>(Hephaestus' Set) ++Immune to Chaos and Dark. ++Upon taking fire damage instead heal by 5X that fire damage. ++Take 2X water Damage</v>
      </c>
      <c r="AG506" s="16" t="str">
        <f>IFERROR(__xludf.DUMMYFUNCTION("""COMPUTED_VALUE"""),"Land of Spira")</f>
        <v>Land of Spira</v>
      </c>
      <c r="AH506" s="16" t="b">
        <f>IFERROR(__xludf.DUMMYFUNCTION("""COMPUTED_VALUE"""),FALSE)</f>
        <v>0</v>
      </c>
    </row>
    <row r="507">
      <c r="A507" s="16" t="str">
        <f>IFERROR(__xludf.DUMMYFUNCTION("""COMPUTED_VALUE"""),"The Blacksmith's Forged Greaves")</f>
        <v>The Blacksmith's Forged Greaves</v>
      </c>
      <c r="B507" s="16" t="str">
        <f>IFERROR(__xludf.DUMMYFUNCTION("""COMPUTED_VALUE"""),"Legs")</f>
        <v>Legs</v>
      </c>
      <c r="C507" s="16" t="str">
        <f>IFERROR(__xludf.DUMMYFUNCTION("""COMPUTED_VALUE"""),"Mob Exclusive")</f>
        <v>Mob Exclusive</v>
      </c>
      <c r="D507" s="16"/>
      <c r="E507" s="16">
        <f>IFERROR(__xludf.DUMMYFUNCTION("""COMPUTED_VALUE"""),4000.0)</f>
        <v>4000</v>
      </c>
      <c r="F507" s="108">
        <f>IFERROR(__xludf.DUMMYFUNCTION("""COMPUTED_VALUE"""),7.98E8)</f>
        <v>798000000</v>
      </c>
      <c r="G507" s="16" t="str">
        <f>IFERROR(__xludf.DUMMYFUNCTION("""COMPUTED_VALUE"""),"DEF")</f>
        <v>DEF</v>
      </c>
      <c r="H507" s="119">
        <f>IFERROR(__xludf.DUMMYFUNCTION("""COMPUTED_VALUE"""),200000.0)</f>
        <v>200000</v>
      </c>
      <c r="I507" s="16"/>
      <c r="J507" s="16"/>
      <c r="K507" s="16"/>
      <c r="L507" s="16"/>
      <c r="M507" s="16"/>
      <c r="N507" s="16"/>
      <c r="O507" s="16"/>
      <c r="P507" s="16"/>
      <c r="Q507" s="16"/>
      <c r="R507" s="16"/>
      <c r="S507" s="16"/>
      <c r="T507" s="16"/>
      <c r="U507" s="16"/>
      <c r="V507" s="16"/>
      <c r="W507" s="16"/>
      <c r="X507" s="16"/>
      <c r="Y507" s="16"/>
      <c r="Z507" s="16"/>
      <c r="AA507" s="16"/>
      <c r="AB507" s="16"/>
      <c r="AC507" s="16"/>
      <c r="AD507" s="16"/>
      <c r="AE507" s="16"/>
      <c r="AF507" s="16" t="str">
        <f>IFERROR(__xludf.DUMMYFUNCTION("""COMPUTED_VALUE"""),"(Hephaestus' Set) ++When attacking with a weapon you have a 25% chance of attacking again with the same weapon. ++Increases all types of Damage by X2. ++Hephaetus's Undying Rage: Upon being killed or removed from battle revive with full health (once per b"&amp;"attle)")</f>
        <v>(Hephaestus' Set) ++When attacking with a weapon you have a 25% chance of attacking again with the same weapon. ++Increases all types of Damage by X2. ++Hephaetus's Undying Rage: Upon being killed or removed from battle revive with full health (once per battle)</v>
      </c>
      <c r="AG507" s="16" t="str">
        <f>IFERROR(__xludf.DUMMYFUNCTION("""COMPUTED_VALUE"""),"Land of Spira")</f>
        <v>Land of Spira</v>
      </c>
      <c r="AH507" s="16" t="b">
        <f>IFERROR(__xludf.DUMMYFUNCTION("""COMPUTED_VALUE"""),FALSE)</f>
        <v>0</v>
      </c>
    </row>
    <row r="508">
      <c r="A508" s="16" t="str">
        <f>IFERROR(__xludf.DUMMYFUNCTION("""COMPUTED_VALUE"""),"The Blacksmith's Forged Sabatons")</f>
        <v>The Blacksmith's Forged Sabatons</v>
      </c>
      <c r="B508" s="16" t="str">
        <f>IFERROR(__xludf.DUMMYFUNCTION("""COMPUTED_VALUE"""),"Feet")</f>
        <v>Feet</v>
      </c>
      <c r="C508" s="16" t="str">
        <f>IFERROR(__xludf.DUMMYFUNCTION("""COMPUTED_VALUE"""),"Mob Exclusive")</f>
        <v>Mob Exclusive</v>
      </c>
      <c r="D508" s="16"/>
      <c r="E508" s="16">
        <f>IFERROR(__xludf.DUMMYFUNCTION("""COMPUTED_VALUE"""),4000.0)</f>
        <v>4000</v>
      </c>
      <c r="F508" s="108">
        <f>IFERROR(__xludf.DUMMYFUNCTION("""COMPUTED_VALUE"""),7.98E8)</f>
        <v>798000000</v>
      </c>
      <c r="G508" s="16" t="str">
        <f>IFERROR(__xludf.DUMMYFUNCTION("""COMPUTED_VALUE"""),"DEF")</f>
        <v>DEF</v>
      </c>
      <c r="H508" s="119">
        <f>IFERROR(__xludf.DUMMYFUNCTION("""COMPUTED_VALUE"""),200000.0)</f>
        <v>200000</v>
      </c>
      <c r="I508" s="16"/>
      <c r="J508" s="16"/>
      <c r="K508" s="16"/>
      <c r="L508" s="16"/>
      <c r="M508" s="16"/>
      <c r="N508" s="16"/>
      <c r="O508" s="16"/>
      <c r="P508" s="16"/>
      <c r="Q508" s="16"/>
      <c r="R508" s="16"/>
      <c r="S508" s="16"/>
      <c r="T508" s="16"/>
      <c r="U508" s="16"/>
      <c r="V508" s="16"/>
      <c r="W508" s="16"/>
      <c r="X508" s="16"/>
      <c r="Y508" s="16"/>
      <c r="Z508" s="16"/>
      <c r="AA508" s="16"/>
      <c r="AB508" s="16"/>
      <c r="AC508" s="16"/>
      <c r="AD508" s="16"/>
      <c r="AE508" s="16"/>
      <c r="AF508" s="16" t="str">
        <f>IFERROR(__xludf.DUMMYFUNCTION("""COMPUTED_VALUE"""),"(Hephaestus' Set) ++At the start of your turn roll a d20 unaffected by roll bonuses 1-10 no effect 11-20 you act twice on your turn (does not stack with chaincast). ++Heavy Stomp: Causes enemies to be stunned for 1 round with a fail/succeed roll (cooldown"&amp;": 3 rounds). ++all weapons deal X2 Damage")</f>
        <v>(Hephaestus' Set) ++At the start of your turn roll a d20 unaffected by roll bonuses 1-10 no effect 11-20 you act twice on your turn (does not stack with chaincast). ++Heavy Stomp: Causes enemies to be stunned for 1 round with a fail/succeed roll (cooldown: 3 rounds). ++all weapons deal X2 Damage</v>
      </c>
      <c r="AG508" s="16" t="str">
        <f>IFERROR(__xludf.DUMMYFUNCTION("""COMPUTED_VALUE"""),"Land of Spira")</f>
        <v>Land of Spira</v>
      </c>
      <c r="AH508" s="16" t="b">
        <f>IFERROR(__xludf.DUMMYFUNCTION("""COMPUTED_VALUE"""),FALSE)</f>
        <v>0</v>
      </c>
    </row>
    <row r="509">
      <c r="A509" s="16" t="str">
        <f>IFERROR(__xludf.DUMMYFUNCTION("""COMPUTED_VALUE"""),"The Blacksmith's Forged Cuirasses")</f>
        <v>The Blacksmith's Forged Cuirasses</v>
      </c>
      <c r="B509" s="16" t="str">
        <f>IFERROR(__xludf.DUMMYFUNCTION("""COMPUTED_VALUE"""),"Torso")</f>
        <v>Torso</v>
      </c>
      <c r="C509" s="16" t="str">
        <f>IFERROR(__xludf.DUMMYFUNCTION("""COMPUTED_VALUE"""),"Mob Exclusive")</f>
        <v>Mob Exclusive</v>
      </c>
      <c r="D509" s="16"/>
      <c r="E509" s="16">
        <f>IFERROR(__xludf.DUMMYFUNCTION("""COMPUTED_VALUE"""),4000.0)</f>
        <v>4000</v>
      </c>
      <c r="F509" s="108">
        <f>IFERROR(__xludf.DUMMYFUNCTION("""COMPUTED_VALUE"""),7.98E8)</f>
        <v>798000000</v>
      </c>
      <c r="G509" s="16" t="str">
        <f>IFERROR(__xludf.DUMMYFUNCTION("""COMPUTED_VALUE"""),"DEF")</f>
        <v>DEF</v>
      </c>
      <c r="H509" s="119">
        <f>IFERROR(__xludf.DUMMYFUNCTION("""COMPUTED_VALUE"""),200000.0)</f>
        <v>200000</v>
      </c>
      <c r="I509" s="16"/>
      <c r="J509" s="16"/>
      <c r="K509" s="16"/>
      <c r="L509" s="16"/>
      <c r="M509" s="16"/>
      <c r="N509" s="16"/>
      <c r="O509" s="16"/>
      <c r="P509" s="16"/>
      <c r="Q509" s="16"/>
      <c r="R509" s="16"/>
      <c r="S509" s="16"/>
      <c r="T509" s="16"/>
      <c r="U509" s="16"/>
      <c r="V509" s="16"/>
      <c r="W509" s="16"/>
      <c r="X509" s="16"/>
      <c r="Y509" s="16"/>
      <c r="Z509" s="16"/>
      <c r="AA509" s="16"/>
      <c r="AB509" s="16"/>
      <c r="AC509" s="16"/>
      <c r="AD509" s="16"/>
      <c r="AE509" s="16"/>
      <c r="AF509" s="16" t="str">
        <f>IFERROR(__xludf.DUMMYFUNCTION("""COMPUTED_VALUE"""),"(Hephaestus' Set) ++10 to all d20 rolls. ++50% to all percentage based abilities. ++Upon taking damage 25% chance to blind the one that hits you giving them blindness 3")</f>
        <v>(Hephaestus' Set) ++10 to all d20 rolls. ++50% to all percentage based abilities. ++Upon taking damage 25% chance to blind the one that hits you giving them blindness 3</v>
      </c>
      <c r="AG509" s="16" t="str">
        <f>IFERROR(__xludf.DUMMYFUNCTION("""COMPUTED_VALUE"""),"Land of Spira")</f>
        <v>Land of Spira</v>
      </c>
      <c r="AH509" s="16" t="b">
        <f>IFERROR(__xludf.DUMMYFUNCTION("""COMPUTED_VALUE"""),FALSE)</f>
        <v>0</v>
      </c>
    </row>
    <row r="510">
      <c r="A510" s="16" t="str">
        <f>IFERROR(__xludf.DUMMYFUNCTION("""COMPUTED_VALUE"""),"The Blacksmith's Forged Ring")</f>
        <v>The Blacksmith's Forged Ring</v>
      </c>
      <c r="B510" s="16" t="str">
        <f>IFERROR(__xludf.DUMMYFUNCTION("""COMPUTED_VALUE"""),"Ring")</f>
        <v>Ring</v>
      </c>
      <c r="C510" s="16" t="str">
        <f>IFERROR(__xludf.DUMMYFUNCTION("""COMPUTED_VALUE"""),"Mob Exclusive")</f>
        <v>Mob Exclusive</v>
      </c>
      <c r="D510" s="16"/>
      <c r="E510" s="16">
        <f>IFERROR(__xludf.DUMMYFUNCTION("""COMPUTED_VALUE"""),1.0)</f>
        <v>1</v>
      </c>
      <c r="F510" s="108">
        <f>IFERROR(__xludf.DUMMYFUNCTION("""COMPUTED_VALUE"""),0.0)</f>
        <v>0</v>
      </c>
      <c r="G510" s="16"/>
      <c r="H510" s="16"/>
      <c r="I510" s="16"/>
      <c r="J510" s="16"/>
      <c r="K510" s="16"/>
      <c r="L510" s="16"/>
      <c r="M510" s="16"/>
      <c r="N510" s="16"/>
      <c r="O510" s="16"/>
      <c r="P510" s="16"/>
      <c r="Q510" s="16"/>
      <c r="R510" s="16"/>
      <c r="S510" s="16"/>
      <c r="T510" s="16"/>
      <c r="U510" s="16"/>
      <c r="V510" s="16"/>
      <c r="W510" s="16"/>
      <c r="X510" s="16"/>
      <c r="Y510" s="16"/>
      <c r="Z510" s="16"/>
      <c r="AA510" s="16"/>
      <c r="AB510" s="16"/>
      <c r="AC510" s="16"/>
      <c r="AD510" s="16"/>
      <c r="AE510" s="16"/>
      <c r="AF510" s="16" t="str">
        <f>IFERROR(__xludf.DUMMYFUNCTION("""COMPUTED_VALUE"""),"(Hephaestus' Set) ++Increase all types of damage by X2. ++Causes instant death with a fail/succeed roll. ++Inflict half the damage you take back to the enemy that dealt it for the first 3 rounds of battle.")</f>
        <v>(Hephaestus' Set) ++Increase all types of damage by X2. ++Causes instant death with a fail/succeed roll. ++Inflict half the damage you take back to the enemy that dealt it for the first 3 rounds of battle.</v>
      </c>
      <c r="AG510" s="16" t="str">
        <f>IFERROR(__xludf.DUMMYFUNCTION("""COMPUTED_VALUE"""),"Land of Spira")</f>
        <v>Land of Spira</v>
      </c>
      <c r="AH510" s="16" t="b">
        <f>IFERROR(__xludf.DUMMYFUNCTION("""COMPUTED_VALUE"""),FALSE)</f>
        <v>0</v>
      </c>
    </row>
    <row r="511">
      <c r="A511" s="16" t="str">
        <f>IFERROR(__xludf.DUMMYFUNCTION("""COMPUTED_VALUE"""),"The Blacksmith's Forged Pendant")</f>
        <v>The Blacksmith's Forged Pendant</v>
      </c>
      <c r="B511" s="16" t="str">
        <f>IFERROR(__xludf.DUMMYFUNCTION("""COMPUTED_VALUE"""),"Neck")</f>
        <v>Neck</v>
      </c>
      <c r="C511" s="16" t="str">
        <f>IFERROR(__xludf.DUMMYFUNCTION("""COMPUTED_VALUE"""),"Mob Exclusive")</f>
        <v>Mob Exclusive</v>
      </c>
      <c r="D511" s="16"/>
      <c r="E511" s="16">
        <f>IFERROR(__xludf.DUMMYFUNCTION("""COMPUTED_VALUE"""),1.0)</f>
        <v>1</v>
      </c>
      <c r="F511" s="108">
        <f>IFERROR(__xludf.DUMMYFUNCTION("""COMPUTED_VALUE"""),0.0)</f>
        <v>0</v>
      </c>
      <c r="G511" s="16"/>
      <c r="H511" s="16"/>
      <c r="I511" s="16"/>
      <c r="J511" s="16"/>
      <c r="K511" s="16"/>
      <c r="L511" s="16"/>
      <c r="M511" s="16"/>
      <c r="N511" s="16"/>
      <c r="O511" s="16"/>
      <c r="P511" s="16"/>
      <c r="Q511" s="16"/>
      <c r="R511" s="16"/>
      <c r="S511" s="16"/>
      <c r="T511" s="16"/>
      <c r="U511" s="16"/>
      <c r="V511" s="16"/>
      <c r="W511" s="16"/>
      <c r="X511" s="16"/>
      <c r="Y511" s="16"/>
      <c r="Z511" s="16"/>
      <c r="AA511" s="16"/>
      <c r="AB511" s="16"/>
      <c r="AC511" s="16"/>
      <c r="AD511" s="16"/>
      <c r="AE511" s="16"/>
      <c r="AF511" s="16" t="str">
        <f>IFERROR(__xludf.DUMMYFUNCTION("""COMPUTED_VALUE"""),"(Hephaestus' Set) ++Forged items now deal double in damage for the wearer. ++If you kill an enemy with a weapon your HP and SP will fully be restored. ++Enemies deduct 2 from their rolls when targeting you")</f>
        <v>(Hephaestus' Set) ++Forged items now deal double in damage for the wearer. ++If you kill an enemy with a weapon your HP and SP will fully be restored. ++Enemies deduct 2 from their rolls when targeting you</v>
      </c>
      <c r="AG511" s="16" t="str">
        <f>IFERROR(__xludf.DUMMYFUNCTION("""COMPUTED_VALUE"""),"Land of Spira")</f>
        <v>Land of Spira</v>
      </c>
      <c r="AH511" s="16" t="b">
        <f>IFERROR(__xludf.DUMMYFUNCTION("""COMPUTED_VALUE"""),FALSE)</f>
        <v>0</v>
      </c>
    </row>
    <row r="512">
      <c r="A512" s="16" t="str">
        <f>IFERROR(__xludf.DUMMYFUNCTION("""COMPUTED_VALUE"""),"The Blacksmith's Ring of Green Hatred")</f>
        <v>The Blacksmith's Ring of Green Hatred</v>
      </c>
      <c r="B512" s="16" t="str">
        <f>IFERROR(__xludf.DUMMYFUNCTION("""COMPUTED_VALUE"""),"Ring")</f>
        <v>Ring</v>
      </c>
      <c r="C512" s="16" t="str">
        <f>IFERROR(__xludf.DUMMYFUNCTION("""COMPUTED_VALUE"""),"Mob Exclusive")</f>
        <v>Mob Exclusive</v>
      </c>
      <c r="D512" s="16"/>
      <c r="E512" s="16">
        <f>IFERROR(__xludf.DUMMYFUNCTION("""COMPUTED_VALUE"""),1.0)</f>
        <v>1</v>
      </c>
      <c r="F512" s="108">
        <f>IFERROR(__xludf.DUMMYFUNCTION("""COMPUTED_VALUE"""),0.0)</f>
        <v>0</v>
      </c>
      <c r="G512" s="16"/>
      <c r="H512" s="16"/>
      <c r="I512" s="16"/>
      <c r="J512" s="16"/>
      <c r="K512" s="16"/>
      <c r="L512" s="16"/>
      <c r="M512" s="16"/>
      <c r="N512" s="16"/>
      <c r="O512" s="16"/>
      <c r="P512" s="16"/>
      <c r="Q512" s="16"/>
      <c r="R512" s="16"/>
      <c r="S512" s="16"/>
      <c r="T512" s="16"/>
      <c r="U512" s="16"/>
      <c r="V512" s="16"/>
      <c r="W512" s="16"/>
      <c r="X512" s="16"/>
      <c r="Y512" s="16"/>
      <c r="Z512" s="16"/>
      <c r="AA512" s="16"/>
      <c r="AB512" s="16"/>
      <c r="AC512" s="16"/>
      <c r="AD512" s="16"/>
      <c r="AE512" s="16"/>
      <c r="AF512" s="16" t="str">
        <f>IFERROR(__xludf.DUMMYFUNCTION("""COMPUTED_VALUE"""),"(Hephaestus' Set) ++All attacks deal X10 damage against any enemies with the starting town of Forest View.")</f>
        <v>(Hephaestus' Set) ++All attacks deal X10 damage against any enemies with the starting town of Forest View.</v>
      </c>
      <c r="AG512" s="16" t="str">
        <f>IFERROR(__xludf.DUMMYFUNCTION("""COMPUTED_VALUE"""),"Land of Spira")</f>
        <v>Land of Spira</v>
      </c>
      <c r="AH512" s="16" t="b">
        <f>IFERROR(__xludf.DUMMYFUNCTION("""COMPUTED_VALUE"""),FALSE)</f>
        <v>0</v>
      </c>
    </row>
    <row r="513">
      <c r="A513" s="16" t="str">
        <f>IFERROR(__xludf.DUMMYFUNCTION("""COMPUTED_VALUE"""),"Ring o' Strength and Fire")</f>
        <v>Ring o' Strength and Fire</v>
      </c>
      <c r="B513" s="16" t="str">
        <f>IFERROR(__xludf.DUMMYFUNCTION("""COMPUTED_VALUE"""),"Ring")</f>
        <v>Ring</v>
      </c>
      <c r="C513" s="16"/>
      <c r="D513" s="16"/>
      <c r="E513" s="16">
        <f>IFERROR(__xludf.DUMMYFUNCTION("""COMPUTED_VALUE"""),1.0)</f>
        <v>1</v>
      </c>
      <c r="F513" s="108">
        <f>IFERROR(__xludf.DUMMYFUNCTION("""COMPUTED_VALUE"""),0.0)</f>
        <v>0</v>
      </c>
      <c r="G513" s="16"/>
      <c r="H513" s="16"/>
      <c r="I513" s="16"/>
      <c r="J513" s="16"/>
      <c r="K513" s="16"/>
      <c r="L513" s="16"/>
      <c r="M513" s="16"/>
      <c r="N513" s="16"/>
      <c r="O513" s="16"/>
      <c r="P513" s="16"/>
      <c r="Q513" s="16"/>
      <c r="R513" s="16"/>
      <c r="S513" s="16"/>
      <c r="T513" s="16"/>
      <c r="U513" s="16"/>
      <c r="V513" s="16"/>
      <c r="W513" s="16"/>
      <c r="X513" s="16"/>
      <c r="Y513" s="16"/>
      <c r="Z513" s="16"/>
      <c r="AA513" s="16"/>
      <c r="AB513" s="16"/>
      <c r="AC513" s="16"/>
      <c r="AD513" s="16"/>
      <c r="AE513" s="16"/>
      <c r="AF513" s="16" t="str">
        <f>IFERROR(__xludf.DUMMYFUNCTION("""COMPUTED_VALUE"""),"++Grants immunity to fire. ++Grants X2 damage. +-Can only equip one +-Cannot be duplicated")</f>
        <v>++Grants immunity to fire. ++Grants X2 damage. +-Can only equip one +-Cannot be duplicated</v>
      </c>
      <c r="AG513" s="16" t="str">
        <f>IFERROR(__xludf.DUMMYFUNCTION("""COMPUTED_VALUE"""),"Land of Spira")</f>
        <v>Land of Spira</v>
      </c>
      <c r="AH513" s="16" t="b">
        <f>IFERROR(__xludf.DUMMYFUNCTION("""COMPUTED_VALUE"""),FALSE)</f>
        <v>0</v>
      </c>
    </row>
    <row r="514">
      <c r="A514" s="16" t="str">
        <f>IFERROR(__xludf.DUMMYFUNCTION("""COMPUTED_VALUE"""),"Ring o' Fortitude and Earth")</f>
        <v>Ring o' Fortitude and Earth</v>
      </c>
      <c r="B514" s="16" t="str">
        <f>IFERROR(__xludf.DUMMYFUNCTION("""COMPUTED_VALUE"""),"Ring")</f>
        <v>Ring</v>
      </c>
      <c r="C514" s="16"/>
      <c r="D514" s="16"/>
      <c r="E514" s="16">
        <f>IFERROR(__xludf.DUMMYFUNCTION("""COMPUTED_VALUE"""),1.0)</f>
        <v>1</v>
      </c>
      <c r="F514" s="108">
        <f>IFERROR(__xludf.DUMMYFUNCTION("""COMPUTED_VALUE"""),0.0)</f>
        <v>0</v>
      </c>
      <c r="G514" s="16"/>
      <c r="H514" s="16"/>
      <c r="I514" s="16"/>
      <c r="J514" s="16"/>
      <c r="K514" s="16"/>
      <c r="L514" s="16"/>
      <c r="M514" s="16"/>
      <c r="N514" s="16"/>
      <c r="O514" s="16"/>
      <c r="P514" s="16"/>
      <c r="Q514" s="16"/>
      <c r="R514" s="16"/>
      <c r="S514" s="16"/>
      <c r="T514" s="16"/>
      <c r="U514" s="16"/>
      <c r="V514" s="16"/>
      <c r="W514" s="16"/>
      <c r="X514" s="16"/>
      <c r="Y514" s="16"/>
      <c r="Z514" s="16"/>
      <c r="AA514" s="16"/>
      <c r="AB514" s="16"/>
      <c r="AC514" s="16"/>
      <c r="AD514" s="16"/>
      <c r="AE514" s="16"/>
      <c r="AF514" s="16" t="str">
        <f>IFERROR(__xludf.DUMMYFUNCTION("""COMPUTED_VALUE"""),"++Grants immunity to Earth. ++Grants X2 Defense. +-Can only equip one +-Cannot be duplicated")</f>
        <v>++Grants immunity to Earth. ++Grants X2 Defense. +-Can only equip one +-Cannot be duplicated</v>
      </c>
      <c r="AG514" s="16" t="str">
        <f>IFERROR(__xludf.DUMMYFUNCTION("""COMPUTED_VALUE"""),"Land of Spira")</f>
        <v>Land of Spira</v>
      </c>
      <c r="AH514" s="16" t="b">
        <f>IFERROR(__xludf.DUMMYFUNCTION("""COMPUTED_VALUE"""),FALSE)</f>
        <v>0</v>
      </c>
    </row>
    <row r="515">
      <c r="A515" s="16" t="str">
        <f>IFERROR(__xludf.DUMMYFUNCTION("""COMPUTED_VALUE"""),"Ring o' Agility and Water")</f>
        <v>Ring o' Agility and Water</v>
      </c>
      <c r="B515" s="16" t="str">
        <f>IFERROR(__xludf.DUMMYFUNCTION("""COMPUTED_VALUE"""),"Ring")</f>
        <v>Ring</v>
      </c>
      <c r="C515" s="16"/>
      <c r="D515" s="16"/>
      <c r="E515" s="16">
        <f>IFERROR(__xludf.DUMMYFUNCTION("""COMPUTED_VALUE"""),1.0)</f>
        <v>1</v>
      </c>
      <c r="F515" s="108">
        <f>IFERROR(__xludf.DUMMYFUNCTION("""COMPUTED_VALUE"""),0.0)</f>
        <v>0</v>
      </c>
      <c r="G515" s="16"/>
      <c r="H515" s="16"/>
      <c r="I515" s="16"/>
      <c r="J515" s="16"/>
      <c r="K515" s="16"/>
      <c r="L515" s="16"/>
      <c r="M515" s="16"/>
      <c r="N515" s="16"/>
      <c r="O515" s="16"/>
      <c r="P515" s="16"/>
      <c r="Q515" s="16"/>
      <c r="R515" s="16"/>
      <c r="S515" s="16"/>
      <c r="T515" s="16"/>
      <c r="U515" s="16"/>
      <c r="V515" s="16"/>
      <c r="W515" s="16"/>
      <c r="X515" s="16"/>
      <c r="Y515" s="16"/>
      <c r="Z515" s="16"/>
      <c r="AA515" s="16"/>
      <c r="AB515" s="16"/>
      <c r="AC515" s="16"/>
      <c r="AD515" s="16"/>
      <c r="AE515" s="16"/>
      <c r="AF515" s="16" t="str">
        <f>IFERROR(__xludf.DUMMYFUNCTION("""COMPUTED_VALUE"""),"++Grants Immunity to Water. ++Grants +5 to evasion. +-Can only equip one +-Cannot be duplicated")</f>
        <v>++Grants Immunity to Water. ++Grants +5 to evasion. +-Can only equip one +-Cannot be duplicated</v>
      </c>
      <c r="AG515" s="16" t="str">
        <f>IFERROR(__xludf.DUMMYFUNCTION("""COMPUTED_VALUE"""),"Land of Spira")</f>
        <v>Land of Spira</v>
      </c>
      <c r="AH515" s="16" t="b">
        <f>IFERROR(__xludf.DUMMYFUNCTION("""COMPUTED_VALUE"""),FALSE)</f>
        <v>0</v>
      </c>
    </row>
    <row r="516">
      <c r="A516" s="16" t="str">
        <f>IFERROR(__xludf.DUMMYFUNCTION("""COMPUTED_VALUE"""),"Ring o' Power and Delta")</f>
        <v>Ring o' Power and Delta</v>
      </c>
      <c r="B516" s="16" t="str">
        <f>IFERROR(__xludf.DUMMYFUNCTION("""COMPUTED_VALUE"""),"Ring")</f>
        <v>Ring</v>
      </c>
      <c r="C516" s="16"/>
      <c r="D516" s="16"/>
      <c r="E516" s="16">
        <f>IFERROR(__xludf.DUMMYFUNCTION("""COMPUTED_VALUE"""),1.0)</f>
        <v>1</v>
      </c>
      <c r="F516" s="108">
        <f>IFERROR(__xludf.DUMMYFUNCTION("""COMPUTED_VALUE"""),0.0)</f>
        <v>0</v>
      </c>
      <c r="G516" s="16"/>
      <c r="H516" s="16"/>
      <c r="I516" s="16"/>
      <c r="J516" s="16"/>
      <c r="K516" s="16"/>
      <c r="L516" s="16"/>
      <c r="M516" s="16"/>
      <c r="N516" s="16"/>
      <c r="O516" s="16"/>
      <c r="P516" s="16"/>
      <c r="Q516" s="16"/>
      <c r="R516" s="16"/>
      <c r="S516" s="16"/>
      <c r="T516" s="16"/>
      <c r="U516" s="16"/>
      <c r="V516" s="16"/>
      <c r="W516" s="16"/>
      <c r="X516" s="16"/>
      <c r="Y516" s="16"/>
      <c r="Z516" s="16"/>
      <c r="AA516" s="16"/>
      <c r="AB516" s="16"/>
      <c r="AC516" s="16"/>
      <c r="AD516" s="16"/>
      <c r="AE516" s="16"/>
      <c r="AF516" s="16" t="str">
        <f>IFERROR(__xludf.DUMMYFUNCTION("""COMPUTED_VALUE"""),"++Grants X4 Delta damage. ++Take Half delta damage. +-Can only equip one +-Cannot be duplicated")</f>
        <v>++Grants X4 Delta damage. ++Take Half delta damage. +-Can only equip one +-Cannot be duplicated</v>
      </c>
      <c r="AG516" s="16" t="str">
        <f>IFERROR(__xludf.DUMMYFUNCTION("""COMPUTED_VALUE"""),"Land of Spira")</f>
        <v>Land of Spira</v>
      </c>
      <c r="AH516" s="16" t="b">
        <f>IFERROR(__xludf.DUMMYFUNCTION("""COMPUTED_VALUE"""),FALSE)</f>
        <v>0</v>
      </c>
    </row>
    <row r="517">
      <c r="A517" s="16" t="str">
        <f>IFERROR(__xludf.DUMMYFUNCTION("""COMPUTED_VALUE"""),"Ring o' Courage and Order")</f>
        <v>Ring o' Courage and Order</v>
      </c>
      <c r="B517" s="16" t="str">
        <f>IFERROR(__xludf.DUMMYFUNCTION("""COMPUTED_VALUE"""),"Ring")</f>
        <v>Ring</v>
      </c>
      <c r="C517" s="16"/>
      <c r="D517" s="16"/>
      <c r="E517" s="16">
        <f>IFERROR(__xludf.DUMMYFUNCTION("""COMPUTED_VALUE"""),1.0)</f>
        <v>1</v>
      </c>
      <c r="F517" s="108">
        <f>IFERROR(__xludf.DUMMYFUNCTION("""COMPUTED_VALUE"""),0.0)</f>
        <v>0</v>
      </c>
      <c r="G517" s="16"/>
      <c r="H517" s="16"/>
      <c r="I517" s="16"/>
      <c r="J517" s="16"/>
      <c r="K517" s="16"/>
      <c r="L517" s="16"/>
      <c r="M517" s="16"/>
      <c r="N517" s="16"/>
      <c r="O517" s="16"/>
      <c r="P517" s="16"/>
      <c r="Q517" s="16"/>
      <c r="R517" s="16"/>
      <c r="S517" s="16"/>
      <c r="T517" s="16"/>
      <c r="U517" s="16"/>
      <c r="V517" s="16"/>
      <c r="W517" s="16"/>
      <c r="X517" s="16"/>
      <c r="Y517" s="16"/>
      <c r="Z517" s="16"/>
      <c r="AA517" s="16"/>
      <c r="AB517" s="16"/>
      <c r="AC517" s="16"/>
      <c r="AD517" s="16"/>
      <c r="AE517" s="16"/>
      <c r="AF517" s="16" t="str">
        <f>IFERROR(__xludf.DUMMYFUNCTION("""COMPUTED_VALUE"""),"++Grants Immunity to Order. ++Enemies halve their rolls when fleeing. +-Can only equip one +-Cannot be duplicated")</f>
        <v>++Grants Immunity to Order. ++Enemies halve their rolls when fleeing. +-Can only equip one +-Cannot be duplicated</v>
      </c>
      <c r="AG517" s="16" t="str">
        <f>IFERROR(__xludf.DUMMYFUNCTION("""COMPUTED_VALUE"""),"Land of Spira")</f>
        <v>Land of Spira</v>
      </c>
      <c r="AH517" s="16" t="b">
        <f>IFERROR(__xludf.DUMMYFUNCTION("""COMPUTED_VALUE"""),FALSE)</f>
        <v>0</v>
      </c>
    </row>
    <row r="518">
      <c r="A518" s="16" t="str">
        <f>IFERROR(__xludf.DUMMYFUNCTION("""COMPUTED_VALUE"""),"Ring o' Resilience and Physicality")</f>
        <v>Ring o' Resilience and Physicality</v>
      </c>
      <c r="B518" s="16" t="str">
        <f>IFERROR(__xludf.DUMMYFUNCTION("""COMPUTED_VALUE"""),"Ring")</f>
        <v>Ring</v>
      </c>
      <c r="C518" s="16"/>
      <c r="D518" s="16"/>
      <c r="E518" s="16">
        <f>IFERROR(__xludf.DUMMYFUNCTION("""COMPUTED_VALUE"""),1.0)</f>
        <v>1</v>
      </c>
      <c r="F518" s="108">
        <f>IFERROR(__xludf.DUMMYFUNCTION("""COMPUTED_VALUE"""),0.0)</f>
        <v>0</v>
      </c>
      <c r="G518" s="16"/>
      <c r="H518" s="16"/>
      <c r="I518" s="16"/>
      <c r="J518" s="16"/>
      <c r="K518" s="16"/>
      <c r="L518" s="16"/>
      <c r="M518" s="16"/>
      <c r="N518" s="16"/>
      <c r="O518" s="16"/>
      <c r="P518" s="16"/>
      <c r="Q518" s="16"/>
      <c r="R518" s="16"/>
      <c r="S518" s="16"/>
      <c r="T518" s="16"/>
      <c r="U518" s="16"/>
      <c r="V518" s="16"/>
      <c r="W518" s="16"/>
      <c r="X518" s="16"/>
      <c r="Y518" s="16"/>
      <c r="Z518" s="16"/>
      <c r="AA518" s="16"/>
      <c r="AB518" s="16"/>
      <c r="AC518" s="16"/>
      <c r="AD518" s="16"/>
      <c r="AE518" s="16"/>
      <c r="AF518" s="16" t="str">
        <f>IFERROR(__xludf.DUMMYFUNCTION("""COMPUTED_VALUE"""),"++Grants Immunity to Natural attacks. ++Grants +5 Mobility. +-Can only equip one +-Cannot be duplicated")</f>
        <v>++Grants Immunity to Natural attacks. ++Grants +5 Mobility. +-Can only equip one +-Cannot be duplicated</v>
      </c>
      <c r="AG518" s="16" t="str">
        <f>IFERROR(__xludf.DUMMYFUNCTION("""COMPUTED_VALUE"""),"Land of Spira")</f>
        <v>Land of Spira</v>
      </c>
      <c r="AH518" s="16" t="b">
        <f>IFERROR(__xludf.DUMMYFUNCTION("""COMPUTED_VALUE"""),FALSE)</f>
        <v>0</v>
      </c>
    </row>
    <row r="519">
      <c r="A519" s="16" t="str">
        <f>IFERROR(__xludf.DUMMYFUNCTION("""COMPUTED_VALUE"""),"Ring o' Insanity and Chaos")</f>
        <v>Ring o' Insanity and Chaos</v>
      </c>
      <c r="B519" s="16" t="str">
        <f>IFERROR(__xludf.DUMMYFUNCTION("""COMPUTED_VALUE"""),"Ring")</f>
        <v>Ring</v>
      </c>
      <c r="C519" s="16"/>
      <c r="D519" s="16"/>
      <c r="E519" s="16">
        <f>IFERROR(__xludf.DUMMYFUNCTION("""COMPUTED_VALUE"""),1.0)</f>
        <v>1</v>
      </c>
      <c r="F519" s="108">
        <f>IFERROR(__xludf.DUMMYFUNCTION("""COMPUTED_VALUE"""),0.0)</f>
        <v>0</v>
      </c>
      <c r="G519" s="16"/>
      <c r="H519" s="16"/>
      <c r="I519" s="16"/>
      <c r="J519" s="16"/>
      <c r="K519" s="16"/>
      <c r="L519" s="16"/>
      <c r="M519" s="16"/>
      <c r="N519" s="16"/>
      <c r="O519" s="16"/>
      <c r="P519" s="16"/>
      <c r="Q519" s="16"/>
      <c r="R519" s="16"/>
      <c r="S519" s="16"/>
      <c r="T519" s="16"/>
      <c r="U519" s="16"/>
      <c r="V519" s="16"/>
      <c r="W519" s="16"/>
      <c r="X519" s="16"/>
      <c r="Y519" s="16"/>
      <c r="Z519" s="16"/>
      <c r="AA519" s="16"/>
      <c r="AB519" s="16"/>
      <c r="AC519" s="16"/>
      <c r="AD519" s="16"/>
      <c r="AE519" s="16"/>
      <c r="AF519" s="16" t="str">
        <f>IFERROR(__xludf.DUMMYFUNCTION("""COMPUTED_VALUE"""),"++Grants Immunity to Chaos. +5 to Intimidation. +-Can only equip one +-Cannot be duplicated")</f>
        <v>++Grants Immunity to Chaos. +5 to Intimidation. +-Can only equip one +-Cannot be duplicated</v>
      </c>
      <c r="AG519" s="16" t="str">
        <f>IFERROR(__xludf.DUMMYFUNCTION("""COMPUTED_VALUE"""),"Land of Spira")</f>
        <v>Land of Spira</v>
      </c>
      <c r="AH519" s="16" t="b">
        <f>IFERROR(__xludf.DUMMYFUNCTION("""COMPUTED_VALUE"""),FALSE)</f>
        <v>0</v>
      </c>
    </row>
    <row r="520">
      <c r="A520" s="16" t="str">
        <f>IFERROR(__xludf.DUMMYFUNCTION("""COMPUTED_VALUE"""),"Ring o' Debonair and Light")</f>
        <v>Ring o' Debonair and Light</v>
      </c>
      <c r="B520" s="16" t="str">
        <f>IFERROR(__xludf.DUMMYFUNCTION("""COMPUTED_VALUE"""),"Ring")</f>
        <v>Ring</v>
      </c>
      <c r="C520" s="16"/>
      <c r="D520" s="16"/>
      <c r="E520" s="16">
        <f>IFERROR(__xludf.DUMMYFUNCTION("""COMPUTED_VALUE"""),1.0)</f>
        <v>1</v>
      </c>
      <c r="F520" s="108">
        <f>IFERROR(__xludf.DUMMYFUNCTION("""COMPUTED_VALUE"""),0.0)</f>
        <v>0</v>
      </c>
      <c r="G520" s="16"/>
      <c r="H520" s="16"/>
      <c r="I520" s="16"/>
      <c r="J520" s="16"/>
      <c r="K520" s="16"/>
      <c r="L520" s="16"/>
      <c r="M520" s="16"/>
      <c r="N520" s="16"/>
      <c r="O520" s="16"/>
      <c r="P520" s="16"/>
      <c r="Q520" s="16"/>
      <c r="R520" s="16"/>
      <c r="S520" s="16"/>
      <c r="T520" s="16"/>
      <c r="U520" s="16"/>
      <c r="V520" s="16"/>
      <c r="W520" s="16"/>
      <c r="X520" s="16"/>
      <c r="Y520" s="16"/>
      <c r="Z520" s="16"/>
      <c r="AA520" s="16"/>
      <c r="AB520" s="16"/>
      <c r="AC520" s="16"/>
      <c r="AD520" s="16"/>
      <c r="AE520" s="16"/>
      <c r="AF520" s="16" t="str">
        <f>IFERROR(__xludf.DUMMYFUNCTION("""COMPUTED_VALUE"""),"++Grants Immunity to Light. +5 to Charisma. +-Can only equip one +-Cannot be duplicated")</f>
        <v>++Grants Immunity to Light. +5 to Charisma. +-Can only equip one +-Cannot be duplicated</v>
      </c>
      <c r="AG520" s="16" t="str">
        <f>IFERROR(__xludf.DUMMYFUNCTION("""COMPUTED_VALUE"""),"Land of Spira")</f>
        <v>Land of Spira</v>
      </c>
      <c r="AH520" s="16" t="b">
        <f>IFERROR(__xludf.DUMMYFUNCTION("""COMPUTED_VALUE"""),FALSE)</f>
        <v>0</v>
      </c>
    </row>
    <row r="521">
      <c r="A521" s="16" t="str">
        <f>IFERROR(__xludf.DUMMYFUNCTION("""COMPUTED_VALUE"""),"Ring o' Spite and Blood")</f>
        <v>Ring o' Spite and Blood</v>
      </c>
      <c r="B521" s="16" t="str">
        <f>IFERROR(__xludf.DUMMYFUNCTION("""COMPUTED_VALUE"""),"Ring")</f>
        <v>Ring</v>
      </c>
      <c r="C521" s="16"/>
      <c r="D521" s="16"/>
      <c r="E521" s="16">
        <f>IFERROR(__xludf.DUMMYFUNCTION("""COMPUTED_VALUE"""),1.0)</f>
        <v>1</v>
      </c>
      <c r="F521" s="108">
        <f>IFERROR(__xludf.DUMMYFUNCTION("""COMPUTED_VALUE"""),0.0)</f>
        <v>0</v>
      </c>
      <c r="G521" s="16"/>
      <c r="H521" s="16"/>
      <c r="I521" s="16"/>
      <c r="J521" s="16"/>
      <c r="K521" s="16"/>
      <c r="L521" s="16"/>
      <c r="M521" s="16"/>
      <c r="N521" s="16"/>
      <c r="O521" s="16"/>
      <c r="P521" s="16"/>
      <c r="Q521" s="16"/>
      <c r="R521" s="16"/>
      <c r="S521" s="16"/>
      <c r="T521" s="16"/>
      <c r="U521" s="16"/>
      <c r="V521" s="16"/>
      <c r="W521" s="16"/>
      <c r="X521" s="16"/>
      <c r="Y521" s="16"/>
      <c r="Z521" s="16"/>
      <c r="AA521" s="16"/>
      <c r="AB521" s="16"/>
      <c r="AC521" s="16"/>
      <c r="AD521" s="16"/>
      <c r="AE521" s="16"/>
      <c r="AF521" s="16" t="str">
        <f>IFERROR(__xludf.DUMMYFUNCTION("""COMPUTED_VALUE"""),"++Grants Immunity to Blood. ++X4 Blood damage, ++Deal X4 damage to any enemy who attempted to attack you. +-Can only equip one +-Cannot be duplicated")</f>
        <v>++Grants Immunity to Blood. ++X4 Blood damage, ++Deal X4 damage to any enemy who attempted to attack you. +-Can only equip one +-Cannot be duplicated</v>
      </c>
      <c r="AG521" s="16" t="str">
        <f>IFERROR(__xludf.DUMMYFUNCTION("""COMPUTED_VALUE"""),"Land of Spira")</f>
        <v>Land of Spira</v>
      </c>
      <c r="AH521" s="16" t="b">
        <f>IFERROR(__xludf.DUMMYFUNCTION("""COMPUTED_VALUE"""),FALSE)</f>
        <v>0</v>
      </c>
    </row>
    <row r="522">
      <c r="A522" s="16" t="str">
        <f>IFERROR(__xludf.DUMMYFUNCTION("""COMPUTED_VALUE"""),"Ring o' Neurodivergence and Spirit")</f>
        <v>Ring o' Neurodivergence and Spirit</v>
      </c>
      <c r="B522" s="16" t="str">
        <f>IFERROR(__xludf.DUMMYFUNCTION("""COMPUTED_VALUE"""),"Ring")</f>
        <v>Ring</v>
      </c>
      <c r="C522" s="16"/>
      <c r="D522" s="16"/>
      <c r="E522" s="16">
        <f>IFERROR(__xludf.DUMMYFUNCTION("""COMPUTED_VALUE"""),1.0)</f>
        <v>1</v>
      </c>
      <c r="F522" s="108">
        <f>IFERROR(__xludf.DUMMYFUNCTION("""COMPUTED_VALUE"""),0.0)</f>
        <v>0</v>
      </c>
      <c r="G522" s="16"/>
      <c r="H522" s="16"/>
      <c r="I522" s="16"/>
      <c r="J522" s="16"/>
      <c r="K522" s="16"/>
      <c r="L522" s="16"/>
      <c r="M522" s="16"/>
      <c r="N522" s="16"/>
      <c r="O522" s="16"/>
      <c r="P522" s="16"/>
      <c r="Q522" s="16"/>
      <c r="R522" s="16"/>
      <c r="S522" s="16"/>
      <c r="T522" s="16"/>
      <c r="U522" s="16"/>
      <c r="V522" s="16"/>
      <c r="W522" s="16"/>
      <c r="X522" s="16"/>
      <c r="Y522" s="16"/>
      <c r="Z522" s="16"/>
      <c r="AA522" s="16"/>
      <c r="AB522" s="16"/>
      <c r="AC522" s="16"/>
      <c r="AD522" s="16"/>
      <c r="AE522" s="16"/>
      <c r="AF522" s="16" t="str">
        <f>IFERROR(__xludf.DUMMYFUNCTION("""COMPUTED_VALUE"""),"++Grants Immunity to Spirit. ++As an action you can Create a clone of yourself who has the same stats as yourself once per battle, 200 sp. +-Can only equip one +-Cannot be duplicated")</f>
        <v>++Grants Immunity to Spirit. ++As an action you can Create a clone of yourself who has the same stats as yourself once per battle, 200 sp. +-Can only equip one +-Cannot be duplicated</v>
      </c>
      <c r="AG522" s="16" t="str">
        <f>IFERROR(__xludf.DUMMYFUNCTION("""COMPUTED_VALUE"""),"Land of Spira")</f>
        <v>Land of Spira</v>
      </c>
      <c r="AH522" s="16" t="b">
        <f>IFERROR(__xludf.DUMMYFUNCTION("""COMPUTED_VALUE"""),FALSE)</f>
        <v>0</v>
      </c>
    </row>
    <row r="523">
      <c r="A523" s="16" t="str">
        <f>IFERROR(__xludf.DUMMYFUNCTION("""COMPUTED_VALUE"""),"Ring o' Impassivity and Storm")</f>
        <v>Ring o' Impassivity and Storm</v>
      </c>
      <c r="B523" s="16" t="str">
        <f>IFERROR(__xludf.DUMMYFUNCTION("""COMPUTED_VALUE"""),"Ring")</f>
        <v>Ring</v>
      </c>
      <c r="C523" s="16"/>
      <c r="D523" s="16"/>
      <c r="E523" s="16">
        <f>IFERROR(__xludf.DUMMYFUNCTION("""COMPUTED_VALUE"""),1.0)</f>
        <v>1</v>
      </c>
      <c r="F523" s="108">
        <f>IFERROR(__xludf.DUMMYFUNCTION("""COMPUTED_VALUE"""),0.0)</f>
        <v>0</v>
      </c>
      <c r="G523" s="16"/>
      <c r="H523" s="16"/>
      <c r="I523" s="16"/>
      <c r="J523" s="16"/>
      <c r="K523" s="16"/>
      <c r="L523" s="16"/>
      <c r="M523" s="16"/>
      <c r="N523" s="16"/>
      <c r="O523" s="16"/>
      <c r="P523" s="16"/>
      <c r="Q523" s="16"/>
      <c r="R523" s="16"/>
      <c r="S523" s="16"/>
      <c r="T523" s="16"/>
      <c r="U523" s="16"/>
      <c r="V523" s="16"/>
      <c r="W523" s="16"/>
      <c r="X523" s="16"/>
      <c r="Y523" s="16"/>
      <c r="Z523" s="16"/>
      <c r="AA523" s="16"/>
      <c r="AB523" s="16"/>
      <c r="AC523" s="16"/>
      <c r="AD523" s="16"/>
      <c r="AE523" s="16"/>
      <c r="AF523" s="16" t="str">
        <f>IFERROR(__xludf.DUMMYFUNCTION("""COMPUTED_VALUE"""),"++Grants Immunity to Storm. ++20% chance to be unaffected by magic that affects you including your own. +-Can only equip one +-Cannot be duplicated")</f>
        <v>++Grants Immunity to Storm. ++20% chance to be unaffected by magic that affects you including your own. +-Can only equip one +-Cannot be duplicated</v>
      </c>
      <c r="AG523" s="16" t="str">
        <f>IFERROR(__xludf.DUMMYFUNCTION("""COMPUTED_VALUE"""),"Land of Spira")</f>
        <v>Land of Spira</v>
      </c>
      <c r="AH523" s="16" t="b">
        <f>IFERROR(__xludf.DUMMYFUNCTION("""COMPUTED_VALUE"""),FALSE)</f>
        <v>0</v>
      </c>
    </row>
    <row r="524">
      <c r="A524" s="16" t="str">
        <f>IFERROR(__xludf.DUMMYFUNCTION("""COMPUTED_VALUE"""),"Ring o' Rigidity and Stasis")</f>
        <v>Ring o' Rigidity and Stasis</v>
      </c>
      <c r="B524" s="16" t="str">
        <f>IFERROR(__xludf.DUMMYFUNCTION("""COMPUTED_VALUE"""),"Ring")</f>
        <v>Ring</v>
      </c>
      <c r="C524" s="16"/>
      <c r="D524" s="16"/>
      <c r="E524" s="16">
        <f>IFERROR(__xludf.DUMMYFUNCTION("""COMPUTED_VALUE"""),1.0)</f>
        <v>1</v>
      </c>
      <c r="F524" s="108">
        <f>IFERROR(__xludf.DUMMYFUNCTION("""COMPUTED_VALUE"""),0.0)</f>
        <v>0</v>
      </c>
      <c r="G524" s="16"/>
      <c r="H524" s="16"/>
      <c r="I524" s="16"/>
      <c r="J524" s="16"/>
      <c r="K524" s="16"/>
      <c r="L524" s="16"/>
      <c r="M524" s="16"/>
      <c r="N524" s="16"/>
      <c r="O524" s="16"/>
      <c r="P524" s="16"/>
      <c r="Q524" s="16"/>
      <c r="R524" s="16"/>
      <c r="S524" s="16"/>
      <c r="T524" s="16"/>
      <c r="U524" s="16"/>
      <c r="V524" s="16"/>
      <c r="W524" s="16"/>
      <c r="X524" s="16"/>
      <c r="Y524" s="16"/>
      <c r="Z524" s="16"/>
      <c r="AA524" s="16"/>
      <c r="AB524" s="16"/>
      <c r="AC524" s="16"/>
      <c r="AD524" s="16"/>
      <c r="AE524" s="16"/>
      <c r="AF524" s="16" t="str">
        <f>IFERROR(__xludf.DUMMYFUNCTION("""COMPUTED_VALUE"""),"++You take half Damage from both Chaos and Light. ++Grants a 30% chance to be unaffected by status affects. +-Can only equip one +-Cannot be duplicated")</f>
        <v>++You take half Damage from both Chaos and Light. ++Grants a 30% chance to be unaffected by status affects. +-Can only equip one +-Cannot be duplicated</v>
      </c>
      <c r="AG524" s="16" t="str">
        <f>IFERROR(__xludf.DUMMYFUNCTION("""COMPUTED_VALUE"""),"Land of Spira")</f>
        <v>Land of Spira</v>
      </c>
      <c r="AH524" s="16" t="b">
        <f>IFERROR(__xludf.DUMMYFUNCTION("""COMPUTED_VALUE"""),FALSE)</f>
        <v>0</v>
      </c>
    </row>
    <row r="525">
      <c r="A525" s="16" t="str">
        <f>IFERROR(__xludf.DUMMYFUNCTION("""COMPUTED_VALUE"""),"Ring o' Loyalty and Celestial")</f>
        <v>Ring o' Loyalty and Celestial</v>
      </c>
      <c r="B525" s="16" t="str">
        <f>IFERROR(__xludf.DUMMYFUNCTION("""COMPUTED_VALUE"""),"Ring")</f>
        <v>Ring</v>
      </c>
      <c r="C525" s="16"/>
      <c r="D525" s="16"/>
      <c r="E525" s="16">
        <f>IFERROR(__xludf.DUMMYFUNCTION("""COMPUTED_VALUE"""),1.0)</f>
        <v>1</v>
      </c>
      <c r="F525" s="108">
        <f>IFERROR(__xludf.DUMMYFUNCTION("""COMPUTED_VALUE"""),0.0)</f>
        <v>0</v>
      </c>
      <c r="G525" s="16"/>
      <c r="H525" s="16"/>
      <c r="I525" s="16"/>
      <c r="J525" s="16"/>
      <c r="K525" s="16"/>
      <c r="L525" s="16"/>
      <c r="M525" s="16"/>
      <c r="N525" s="16"/>
      <c r="O525" s="16"/>
      <c r="P525" s="16"/>
      <c r="Q525" s="16"/>
      <c r="R525" s="16"/>
      <c r="S525" s="16"/>
      <c r="T525" s="16"/>
      <c r="U525" s="16"/>
      <c r="V525" s="16"/>
      <c r="W525" s="16"/>
      <c r="X525" s="16"/>
      <c r="Y525" s="16"/>
      <c r="Z525" s="16"/>
      <c r="AA525" s="16"/>
      <c r="AB525" s="16"/>
      <c r="AC525" s="16"/>
      <c r="AD525" s="16"/>
      <c r="AE525" s="16"/>
      <c r="AF525" s="16" t="str">
        <f>IFERROR(__xludf.DUMMYFUNCTION("""COMPUTED_VALUE"""),"++Grants X6 Celestial damage. Take half damage from celestial. +-Can only equip one +-Cannot be duplicated")</f>
        <v>++Grants X6 Celestial damage. Take half damage from celestial. +-Can only equip one +-Cannot be duplicated</v>
      </c>
      <c r="AG525" s="16" t="str">
        <f>IFERROR(__xludf.DUMMYFUNCTION("""COMPUTED_VALUE"""),"Land of Spira")</f>
        <v>Land of Spira</v>
      </c>
      <c r="AH525" s="16" t="b">
        <f>IFERROR(__xludf.DUMMYFUNCTION("""COMPUTED_VALUE"""),FALSE)</f>
        <v>0</v>
      </c>
    </row>
    <row r="526">
      <c r="A526" s="16" t="str">
        <f>IFERROR(__xludf.DUMMYFUNCTION("""COMPUTED_VALUE"""),"Ring o' Arrogance and Twilight")</f>
        <v>Ring o' Arrogance and Twilight</v>
      </c>
      <c r="B526" s="16" t="str">
        <f>IFERROR(__xludf.DUMMYFUNCTION("""COMPUTED_VALUE"""),"Ring")</f>
        <v>Ring</v>
      </c>
      <c r="C526" s="16"/>
      <c r="D526" s="16"/>
      <c r="E526" s="16">
        <f>IFERROR(__xludf.DUMMYFUNCTION("""COMPUTED_VALUE"""),1.0)</f>
        <v>1</v>
      </c>
      <c r="F526" s="108">
        <f>IFERROR(__xludf.DUMMYFUNCTION("""COMPUTED_VALUE"""),0.0)</f>
        <v>0</v>
      </c>
      <c r="G526" s="16"/>
      <c r="H526" s="16"/>
      <c r="I526" s="16"/>
      <c r="J526" s="16"/>
      <c r="K526" s="16"/>
      <c r="L526" s="16"/>
      <c r="M526" s="16"/>
      <c r="N526" s="16"/>
      <c r="O526" s="16"/>
      <c r="P526" s="16"/>
      <c r="Q526" s="16"/>
      <c r="R526" s="16"/>
      <c r="S526" s="16"/>
      <c r="T526" s="16"/>
      <c r="U526" s="16"/>
      <c r="V526" s="16"/>
      <c r="W526" s="16"/>
      <c r="X526" s="16"/>
      <c r="Y526" s="16"/>
      <c r="Z526" s="16"/>
      <c r="AA526" s="16"/>
      <c r="AB526" s="16"/>
      <c r="AC526" s="16"/>
      <c r="AD526" s="16"/>
      <c r="AE526" s="16"/>
      <c r="AF526" s="16" t="str">
        <f>IFERROR(__xludf.DUMMYFUNCTION("""COMPUTED_VALUE"""),"++You take Half Damage from both Light and Dark. Grants immunity to Instant Death. +-Can only equip one +-Cannot be duplicated")</f>
        <v>++You take Half Damage from both Light and Dark. Grants immunity to Instant Death. +-Can only equip one +-Cannot be duplicated</v>
      </c>
      <c r="AG526" s="16" t="str">
        <f>IFERROR(__xludf.DUMMYFUNCTION("""COMPUTED_VALUE"""),"Land of Spira")</f>
        <v>Land of Spira</v>
      </c>
      <c r="AH526" s="16" t="b">
        <f>IFERROR(__xludf.DUMMYFUNCTION("""COMPUTED_VALUE"""),FALSE)</f>
        <v>0</v>
      </c>
    </row>
    <row r="527">
      <c r="A527" s="16" t="str">
        <f>IFERROR(__xludf.DUMMYFUNCTION("""COMPUTED_VALUE"""),"Ring o' Grace and Astral")</f>
        <v>Ring o' Grace and Astral</v>
      </c>
      <c r="B527" s="16" t="str">
        <f>IFERROR(__xludf.DUMMYFUNCTION("""COMPUTED_VALUE"""),"Ring")</f>
        <v>Ring</v>
      </c>
      <c r="C527" s="16"/>
      <c r="D527" s="16"/>
      <c r="E527" s="16">
        <f>IFERROR(__xludf.DUMMYFUNCTION("""COMPUTED_VALUE"""),1.0)</f>
        <v>1</v>
      </c>
      <c r="F527" s="108">
        <f>IFERROR(__xludf.DUMMYFUNCTION("""COMPUTED_VALUE"""),0.0)</f>
        <v>0</v>
      </c>
      <c r="G527" s="16"/>
      <c r="H527" s="16"/>
      <c r="I527" s="16"/>
      <c r="J527" s="16"/>
      <c r="K527" s="16"/>
      <c r="L527" s="16"/>
      <c r="M527" s="16"/>
      <c r="N527" s="16"/>
      <c r="O527" s="16"/>
      <c r="P527" s="16"/>
      <c r="Q527" s="16"/>
      <c r="R527" s="16"/>
      <c r="S527" s="16"/>
      <c r="T527" s="16"/>
      <c r="U527" s="16"/>
      <c r="V527" s="16"/>
      <c r="W527" s="16"/>
      <c r="X527" s="16"/>
      <c r="Y527" s="16"/>
      <c r="Z527" s="16"/>
      <c r="AA527" s="16"/>
      <c r="AB527" s="16"/>
      <c r="AC527" s="16"/>
      <c r="AD527" s="16"/>
      <c r="AE527" s="16"/>
      <c r="AF527" s="16" t="str">
        <f>IFERROR(__xludf.DUMMYFUNCTION("""COMPUTED_VALUE"""),"++Grants Immunity to Astral. ++You roll twice when rolling to evade and take the higher result. +-Can only equip one +-Cannot be duplicated")</f>
        <v>++Grants Immunity to Astral. ++You roll twice when rolling to evade and take the higher result. +-Can only equip one +-Cannot be duplicated</v>
      </c>
      <c r="AG527" s="16" t="str">
        <f>IFERROR(__xludf.DUMMYFUNCTION("""COMPUTED_VALUE"""),"Land of Spira")</f>
        <v>Land of Spira</v>
      </c>
      <c r="AH527" s="16" t="b">
        <f>IFERROR(__xludf.DUMMYFUNCTION("""COMPUTED_VALUE"""),FALSE)</f>
        <v>0</v>
      </c>
    </row>
    <row r="528">
      <c r="A528" s="16" t="str">
        <f>IFERROR(__xludf.DUMMYFUNCTION("""COMPUTED_VALUE"""),"Ring o' Villainy and Voodoo")</f>
        <v>Ring o' Villainy and Voodoo</v>
      </c>
      <c r="B528" s="16" t="str">
        <f>IFERROR(__xludf.DUMMYFUNCTION("""COMPUTED_VALUE"""),"Ring")</f>
        <v>Ring</v>
      </c>
      <c r="C528" s="16"/>
      <c r="D528" s="16"/>
      <c r="E528" s="16">
        <f>IFERROR(__xludf.DUMMYFUNCTION("""COMPUTED_VALUE"""),1.0)</f>
        <v>1</v>
      </c>
      <c r="F528" s="108">
        <f>IFERROR(__xludf.DUMMYFUNCTION("""COMPUTED_VALUE"""),0.0)</f>
        <v>0</v>
      </c>
      <c r="G528" s="16"/>
      <c r="H528" s="16"/>
      <c r="I528" s="16"/>
      <c r="J528" s="16"/>
      <c r="K528" s="16"/>
      <c r="L528" s="16"/>
      <c r="M528" s="16"/>
      <c r="N528" s="16"/>
      <c r="O528" s="16"/>
      <c r="P528" s="16"/>
      <c r="Q528" s="16"/>
      <c r="R528" s="16"/>
      <c r="S528" s="16"/>
      <c r="T528" s="16"/>
      <c r="U528" s="16"/>
      <c r="V528" s="16"/>
      <c r="W528" s="16"/>
      <c r="X528" s="16"/>
      <c r="Y528" s="16"/>
      <c r="Z528" s="16"/>
      <c r="AA528" s="16"/>
      <c r="AB528" s="16"/>
      <c r="AC528" s="16"/>
      <c r="AD528" s="16"/>
      <c r="AE528" s="16"/>
      <c r="AF528" s="16" t="str">
        <f>IFERROR(__xludf.DUMMYFUNCTION("""COMPUTED_VALUE"""),"++Grants Immunity to Voodoo. ++You automatically succeed at using confiscate and get a ++2 to any roll related to committing a crime. X4 Voodoo damage. +-Can only equip one +-Cannot be duplicated. +-Cannot become a Spira guard if you wear this.")</f>
        <v>++Grants Immunity to Voodoo. ++You automatically succeed at using confiscate and get a ++2 to any roll related to committing a crime. X4 Voodoo damage. +-Can only equip one +-Cannot be duplicated. +-Cannot become a Spira guard if you wear this.</v>
      </c>
      <c r="AG528" s="16" t="str">
        <f>IFERROR(__xludf.DUMMYFUNCTION("""COMPUTED_VALUE"""),"Land of Spira")</f>
        <v>Land of Spira</v>
      </c>
      <c r="AH528" s="16" t="b">
        <f>IFERROR(__xludf.DUMMYFUNCTION("""COMPUTED_VALUE"""),FALSE)</f>
        <v>0</v>
      </c>
    </row>
    <row r="529">
      <c r="A529" s="16" t="str">
        <f>IFERROR(__xludf.DUMMYFUNCTION("""COMPUTED_VALUE"""),"The Bow of The Verdant Forest")</f>
        <v>The Bow of The Verdant Forest</v>
      </c>
      <c r="B529" s="16" t="str">
        <f>IFERROR(__xludf.DUMMYFUNCTION("""COMPUTED_VALUE"""),"Hand")</f>
        <v>Hand</v>
      </c>
      <c r="C529" s="16" t="str">
        <f>IFERROR(__xludf.DUMMYFUNCTION("""COMPUTED_VALUE"""),"Quest Item")</f>
        <v>Quest Item</v>
      </c>
      <c r="D529" s="16"/>
      <c r="E529" s="16">
        <f>IFERROR(__xludf.DUMMYFUNCTION("""COMPUTED_VALUE"""),200.0)</f>
        <v>200</v>
      </c>
      <c r="F529" s="108">
        <f>IFERROR(__xludf.DUMMYFUNCTION("""COMPUTED_VALUE"""),8.385E7)</f>
        <v>83850000</v>
      </c>
      <c r="G529" s="16" t="str">
        <f>IFERROR(__xludf.DUMMYFUNCTION("""COMPUTED_VALUE"""),"DMG")</f>
        <v>DMG</v>
      </c>
      <c r="H529" s="119">
        <f>IFERROR(__xludf.DUMMYFUNCTION("""COMPUTED_VALUE"""),20000.0)</f>
        <v>20000</v>
      </c>
      <c r="I529" s="16"/>
      <c r="J529" s="16"/>
      <c r="K529" s="16"/>
      <c r="L529" s="16"/>
      <c r="M529" s="16"/>
      <c r="N529" s="16"/>
      <c r="O529" s="16"/>
      <c r="P529" s="16"/>
      <c r="Q529" s="16"/>
      <c r="R529" s="119">
        <f>IFERROR(__xludf.DUMMYFUNCTION("""COMPUTED_VALUE"""),20000.0)</f>
        <v>20000</v>
      </c>
      <c r="S529" s="119">
        <f>IFERROR(__xludf.DUMMYFUNCTION("""COMPUTED_VALUE"""),20000.0)</f>
        <v>20000</v>
      </c>
      <c r="T529" s="16"/>
      <c r="U529" s="16"/>
      <c r="V529" s="16"/>
      <c r="W529" s="16"/>
      <c r="X529" s="16"/>
      <c r="Y529" s="16"/>
      <c r="Z529" s="16"/>
      <c r="AA529" s="16"/>
      <c r="AB529" s="16"/>
      <c r="AC529" s="16">
        <f>IFERROR(__xludf.DUMMYFUNCTION("""COMPUTED_VALUE"""),5000.0)</f>
        <v>5000</v>
      </c>
      <c r="AD529" s="16"/>
      <c r="AE529" s="16"/>
      <c r="AF529" s="16" t="str">
        <f>IFERROR(__xludf.DUMMYFUNCTION("""COMPUTED_VALUE"""),"(Forest Paladin Set) ++X2 Nature damage. ++Verdant Shot: Fire a shot dealing your total defense as Nature damage 1000sp. +-Archer, Hunter, and Paladin of The Forest Class only.")</f>
        <v>(Forest Paladin Set) ++X2 Nature damage. ++Verdant Shot: Fire a shot dealing your total defense as Nature damage 1000sp. +-Archer, Hunter, and Paladin of The Forest Class only.</v>
      </c>
      <c r="AG529" s="16" t="str">
        <f>IFERROR(__xludf.DUMMYFUNCTION("""COMPUTED_VALUE"""),"Land of Spira")</f>
        <v>Land of Spira</v>
      </c>
      <c r="AH529" s="16" t="b">
        <f>IFERROR(__xludf.DUMMYFUNCTION("""COMPUTED_VALUE"""),FALSE)</f>
        <v>0</v>
      </c>
    </row>
    <row r="530">
      <c r="A530" s="16" t="str">
        <f>IFERROR(__xludf.DUMMYFUNCTION("""COMPUTED_VALUE"""),"Enchanted Wooden Buckler of The Verdant Forest")</f>
        <v>Enchanted Wooden Buckler of The Verdant Forest</v>
      </c>
      <c r="B530" s="16" t="str">
        <f>IFERROR(__xludf.DUMMYFUNCTION("""COMPUTED_VALUE"""),"Hand")</f>
        <v>Hand</v>
      </c>
      <c r="C530" s="16" t="str">
        <f>IFERROR(__xludf.DUMMYFUNCTION("""COMPUTED_VALUE"""),"Quest Item")</f>
        <v>Quest Item</v>
      </c>
      <c r="D530" s="16"/>
      <c r="E530" s="16">
        <f>IFERROR(__xludf.DUMMYFUNCTION("""COMPUTED_VALUE"""),200.0)</f>
        <v>200</v>
      </c>
      <c r="F530" s="108">
        <f>IFERROR(__xludf.DUMMYFUNCTION("""COMPUTED_VALUE"""),3.1125E8)</f>
        <v>311250000</v>
      </c>
      <c r="G530" s="16" t="str">
        <f>IFERROR(__xludf.DUMMYFUNCTION("""COMPUTED_VALUE"""),"DEF")</f>
        <v>DEF</v>
      </c>
      <c r="H530" s="119">
        <f>IFERROR(__xludf.DUMMYFUNCTION("""COMPUTED_VALUE"""),50000.0)</f>
        <v>50000</v>
      </c>
      <c r="I530" s="16"/>
      <c r="J530" s="16"/>
      <c r="K530" s="119">
        <f>IFERROR(__xludf.DUMMYFUNCTION("""COMPUTED_VALUE"""),25000.0)</f>
        <v>25000</v>
      </c>
      <c r="L530" s="16"/>
      <c r="M530" s="16"/>
      <c r="N530" s="16"/>
      <c r="O530" s="16"/>
      <c r="P530" s="16"/>
      <c r="Q530" s="119">
        <f>IFERROR(__xludf.DUMMYFUNCTION("""COMPUTED_VALUE"""),25000.0)</f>
        <v>25000</v>
      </c>
      <c r="R530" s="16"/>
      <c r="S530" s="16"/>
      <c r="T530" s="16"/>
      <c r="U530" s="16"/>
      <c r="V530" s="16"/>
      <c r="W530" s="16"/>
      <c r="X530" s="16"/>
      <c r="Y530" s="16"/>
      <c r="Z530" s="16"/>
      <c r="AA530" s="16"/>
      <c r="AB530" s="16"/>
      <c r="AC530" s="119">
        <f>IFERROR(__xludf.DUMMYFUNCTION("""COMPUTED_VALUE"""),25000.0)</f>
        <v>25000</v>
      </c>
      <c r="AD530" s="16"/>
      <c r="AE530" s="16"/>
      <c r="AF530" s="16" t="str">
        <f>IFERROR(__xludf.DUMMYFUNCTION("""COMPUTED_VALUE"""),"(Forest Paladin Set) ++Counted as a weapon for the purpose of the parry ability. ++Nature's Law: When Fighting in a Natural Environment your total defense is doubled. +-Archer, Hunter, and Paladin of The Forest Class only.")</f>
        <v>(Forest Paladin Set) ++Counted as a weapon for the purpose of the parry ability. ++Nature's Law: When Fighting in a Natural Environment your total defense is doubled. +-Archer, Hunter, and Paladin of The Forest Class only.</v>
      </c>
      <c r="AG530" s="16" t="str">
        <f>IFERROR(__xludf.DUMMYFUNCTION("""COMPUTED_VALUE"""),"Land of Spira")</f>
        <v>Land of Spira</v>
      </c>
      <c r="AH530" s="16" t="b">
        <f>IFERROR(__xludf.DUMMYFUNCTION("""COMPUTED_VALUE"""),FALSE)</f>
        <v>0</v>
      </c>
    </row>
    <row r="531">
      <c r="A531" s="16" t="str">
        <f>IFERROR(__xludf.DUMMYFUNCTION("""COMPUTED_VALUE"""),"Cowl of the Eagle's Sight")</f>
        <v>Cowl of the Eagle's Sight</v>
      </c>
      <c r="B531" s="16" t="str">
        <f>IFERROR(__xludf.DUMMYFUNCTION("""COMPUTED_VALUE"""),"Head")</f>
        <v>Head</v>
      </c>
      <c r="C531" s="16" t="str">
        <f>IFERROR(__xludf.DUMMYFUNCTION("""COMPUTED_VALUE"""),"Quest Item")</f>
        <v>Quest Item</v>
      </c>
      <c r="D531" s="16"/>
      <c r="E531" s="16">
        <f>IFERROR(__xludf.DUMMYFUNCTION("""COMPUTED_VALUE"""),200.0)</f>
        <v>200</v>
      </c>
      <c r="F531" s="108">
        <f>IFERROR(__xludf.DUMMYFUNCTION("""COMPUTED_VALUE"""),4.95E7)</f>
        <v>49500000</v>
      </c>
      <c r="G531" s="16" t="str">
        <f>IFERROR(__xludf.DUMMYFUNCTION("""COMPUTED_VALUE"""),"DEF")</f>
        <v>DEF</v>
      </c>
      <c r="H531" s="119">
        <f>IFERROR(__xludf.DUMMYFUNCTION("""COMPUTED_VALUE"""),20000.0)</f>
        <v>20000</v>
      </c>
      <c r="I531" s="16"/>
      <c r="J531" s="16"/>
      <c r="K531" s="119">
        <f>IFERROR(__xludf.DUMMYFUNCTION("""COMPUTED_VALUE"""),10000.0)</f>
        <v>10000</v>
      </c>
      <c r="L531" s="16"/>
      <c r="M531" s="16"/>
      <c r="N531" s="16"/>
      <c r="O531" s="16"/>
      <c r="P531" s="16"/>
      <c r="Q531" s="119">
        <f>IFERROR(__xludf.DUMMYFUNCTION("""COMPUTED_VALUE"""),10000.0)</f>
        <v>10000</v>
      </c>
      <c r="R531" s="16"/>
      <c r="S531" s="16"/>
      <c r="T531" s="16"/>
      <c r="U531" s="16"/>
      <c r="V531" s="16"/>
      <c r="W531" s="16"/>
      <c r="X531" s="16"/>
      <c r="Y531" s="16"/>
      <c r="Z531" s="16"/>
      <c r="AA531" s="16"/>
      <c r="AB531" s="16"/>
      <c r="AC531" s="119">
        <f>IFERROR(__xludf.DUMMYFUNCTION("""COMPUTED_VALUE"""),10000.0)</f>
        <v>10000</v>
      </c>
      <c r="AD531" s="16"/>
      <c r="AE531" s="16"/>
      <c r="AF531" s="16" t="str">
        <f>IFERROR(__xludf.DUMMYFUNCTION("""COMPUTED_VALUE"""),"(Forest Paladin Set) ++Blessing of The Greens I: X2 Nature damage. ++Eagle Eyed: When in a forest you gain Truesight for the first round of battle. +-Archer, Hunter, and Paladin of The Forest Class only.")</f>
        <v>(Forest Paladin Set) ++Blessing of The Greens I: X2 Nature damage. ++Eagle Eyed: When in a forest you gain Truesight for the first round of battle. +-Archer, Hunter, and Paladin of The Forest Class only.</v>
      </c>
      <c r="AG531" s="16" t="str">
        <f>IFERROR(__xludf.DUMMYFUNCTION("""COMPUTED_VALUE"""),"Land of Spira")</f>
        <v>Land of Spira</v>
      </c>
      <c r="AH531" s="16" t="b">
        <f>IFERROR(__xludf.DUMMYFUNCTION("""COMPUTED_VALUE"""),FALSE)</f>
        <v>0</v>
      </c>
    </row>
    <row r="532">
      <c r="A532" s="16" t="str">
        <f>IFERROR(__xludf.DUMMYFUNCTION("""COMPUTED_VALUE"""),"Ailettes of the Forest's Splendor")</f>
        <v>Ailettes of the Forest's Splendor</v>
      </c>
      <c r="B532" s="16" t="str">
        <f>IFERROR(__xludf.DUMMYFUNCTION("""COMPUTED_VALUE"""),"Shoulders")</f>
        <v>Shoulders</v>
      </c>
      <c r="C532" s="16" t="str">
        <f>IFERROR(__xludf.DUMMYFUNCTION("""COMPUTED_VALUE"""),"Quest Item")</f>
        <v>Quest Item</v>
      </c>
      <c r="D532" s="16"/>
      <c r="E532" s="16">
        <f>IFERROR(__xludf.DUMMYFUNCTION("""COMPUTED_VALUE"""),200.0)</f>
        <v>200</v>
      </c>
      <c r="F532" s="108">
        <f>IFERROR(__xludf.DUMMYFUNCTION("""COMPUTED_VALUE"""),4.95E7)</f>
        <v>49500000</v>
      </c>
      <c r="G532" s="16" t="str">
        <f>IFERROR(__xludf.DUMMYFUNCTION("""COMPUTED_VALUE"""),"DEF")</f>
        <v>DEF</v>
      </c>
      <c r="H532" s="119">
        <f>IFERROR(__xludf.DUMMYFUNCTION("""COMPUTED_VALUE"""),20000.0)</f>
        <v>20000</v>
      </c>
      <c r="I532" s="16"/>
      <c r="J532" s="16"/>
      <c r="K532" s="119">
        <f>IFERROR(__xludf.DUMMYFUNCTION("""COMPUTED_VALUE"""),10000.0)</f>
        <v>10000</v>
      </c>
      <c r="L532" s="16"/>
      <c r="M532" s="16"/>
      <c r="N532" s="16"/>
      <c r="O532" s="16"/>
      <c r="P532" s="16"/>
      <c r="Q532" s="119">
        <f>IFERROR(__xludf.DUMMYFUNCTION("""COMPUTED_VALUE"""),10000.0)</f>
        <v>10000</v>
      </c>
      <c r="R532" s="16"/>
      <c r="S532" s="16"/>
      <c r="T532" s="16"/>
      <c r="U532" s="16"/>
      <c r="V532" s="16"/>
      <c r="W532" s="16"/>
      <c r="X532" s="16"/>
      <c r="Y532" s="16"/>
      <c r="Z532" s="16"/>
      <c r="AA532" s="16"/>
      <c r="AB532" s="16"/>
      <c r="AC532" s="119">
        <f>IFERROR(__xludf.DUMMYFUNCTION("""COMPUTED_VALUE"""),10000.0)</f>
        <v>10000</v>
      </c>
      <c r="AD532" s="16"/>
      <c r="AE532" s="16"/>
      <c r="AF532" s="16" t="str">
        <f>IFERROR(__xludf.DUMMYFUNCTION("""COMPUTED_VALUE"""),"(Forest Paladin Set) ++Blessing of The Quiver I: X2 Bow damage. +-Archer, Hunter, and Paladin of The Forest Class only.")</f>
        <v>(Forest Paladin Set) ++Blessing of The Quiver I: X2 Bow damage. +-Archer, Hunter, and Paladin of The Forest Class only.</v>
      </c>
      <c r="AG532" s="16" t="str">
        <f>IFERROR(__xludf.DUMMYFUNCTION("""COMPUTED_VALUE"""),"Land of Spira")</f>
        <v>Land of Spira</v>
      </c>
      <c r="AH532" s="16" t="b">
        <f>IFERROR(__xludf.DUMMYFUNCTION("""COMPUTED_VALUE"""),FALSE)</f>
        <v>0</v>
      </c>
    </row>
    <row r="533">
      <c r="A533" s="16" t="str">
        <f>IFERROR(__xludf.DUMMYFUNCTION("""COMPUTED_VALUE"""),"Bracer of Trueshot")</f>
        <v>Bracer of Trueshot</v>
      </c>
      <c r="B533" s="16" t="str">
        <f>IFERROR(__xludf.DUMMYFUNCTION("""COMPUTED_VALUE"""),"Arms")</f>
        <v>Arms</v>
      </c>
      <c r="C533" s="16" t="str">
        <f>IFERROR(__xludf.DUMMYFUNCTION("""COMPUTED_VALUE"""),"Quest Item")</f>
        <v>Quest Item</v>
      </c>
      <c r="D533" s="16"/>
      <c r="E533" s="16">
        <f>IFERROR(__xludf.DUMMYFUNCTION("""COMPUTED_VALUE"""),200.0)</f>
        <v>200</v>
      </c>
      <c r="F533" s="108">
        <f>IFERROR(__xludf.DUMMYFUNCTION("""COMPUTED_VALUE"""),4.95E7)</f>
        <v>49500000</v>
      </c>
      <c r="G533" s="16" t="str">
        <f>IFERROR(__xludf.DUMMYFUNCTION("""COMPUTED_VALUE"""),"DEF")</f>
        <v>DEF</v>
      </c>
      <c r="H533" s="119">
        <f>IFERROR(__xludf.DUMMYFUNCTION("""COMPUTED_VALUE"""),20000.0)</f>
        <v>20000</v>
      </c>
      <c r="I533" s="16"/>
      <c r="J533" s="16"/>
      <c r="K533" s="119">
        <f>IFERROR(__xludf.DUMMYFUNCTION("""COMPUTED_VALUE"""),10000.0)</f>
        <v>10000</v>
      </c>
      <c r="L533" s="16"/>
      <c r="M533" s="16"/>
      <c r="N533" s="16"/>
      <c r="O533" s="16"/>
      <c r="P533" s="16"/>
      <c r="Q533" s="119">
        <f>IFERROR(__xludf.DUMMYFUNCTION("""COMPUTED_VALUE"""),10000.0)</f>
        <v>10000</v>
      </c>
      <c r="R533" s="16"/>
      <c r="S533" s="16"/>
      <c r="T533" s="16"/>
      <c r="U533" s="16"/>
      <c r="V533" s="16"/>
      <c r="W533" s="16"/>
      <c r="X533" s="16"/>
      <c r="Y533" s="16"/>
      <c r="Z533" s="16"/>
      <c r="AA533" s="16"/>
      <c r="AB533" s="16"/>
      <c r="AC533" s="119">
        <f>IFERROR(__xludf.DUMMYFUNCTION("""COMPUTED_VALUE"""),10000.0)</f>
        <v>10000</v>
      </c>
      <c r="AD533" s="16"/>
      <c r="AE533" s="16"/>
      <c r="AF533" s="16" t="str">
        <f>IFERROR(__xludf.DUMMYFUNCTION("""COMPUTED_VALUE"""),"(Forest Paladin Set) ++Blessing of The Forest's Quiver: X2 Nature and Bow damage. ++Deadly Aim: Upon killing an enemy with a bow you double your next attack roll with a bow. +-Archer, Hunter, and Paladin of The Forest Class only.")</f>
        <v>(Forest Paladin Set) ++Blessing of The Forest's Quiver: X2 Nature and Bow damage. ++Deadly Aim: Upon killing an enemy with a bow you double your next attack roll with a bow. +-Archer, Hunter, and Paladin of The Forest Class only.</v>
      </c>
      <c r="AG533" s="16" t="str">
        <f>IFERROR(__xludf.DUMMYFUNCTION("""COMPUTED_VALUE"""),"Land of Spira")</f>
        <v>Land of Spira</v>
      </c>
      <c r="AH533" s="16" t="b">
        <f>IFERROR(__xludf.DUMMYFUNCTION("""COMPUTED_VALUE"""),FALSE)</f>
        <v>0</v>
      </c>
    </row>
    <row r="534">
      <c r="A534" s="16" t="str">
        <f>IFERROR(__xludf.DUMMYFUNCTION("""COMPUTED_VALUE"""),"Leather Cuirass of Barkskin")</f>
        <v>Leather Cuirass of Barkskin</v>
      </c>
      <c r="B534" s="16" t="str">
        <f>IFERROR(__xludf.DUMMYFUNCTION("""COMPUTED_VALUE"""),"Torso")</f>
        <v>Torso</v>
      </c>
      <c r="C534" s="16" t="str">
        <f>IFERROR(__xludf.DUMMYFUNCTION("""COMPUTED_VALUE"""),"Quest Item")</f>
        <v>Quest Item</v>
      </c>
      <c r="D534" s="16"/>
      <c r="E534" s="16">
        <f>IFERROR(__xludf.DUMMYFUNCTION("""COMPUTED_VALUE"""),200.0)</f>
        <v>200</v>
      </c>
      <c r="F534" s="108">
        <f>IFERROR(__xludf.DUMMYFUNCTION("""COMPUTED_VALUE"""),1.1175E8)</f>
        <v>111750000</v>
      </c>
      <c r="G534" s="16" t="str">
        <f>IFERROR(__xludf.DUMMYFUNCTION("""COMPUTED_VALUE"""),"DEF")</f>
        <v>DEF</v>
      </c>
      <c r="H534" s="119">
        <f>IFERROR(__xludf.DUMMYFUNCTION("""COMPUTED_VALUE"""),30000.0)</f>
        <v>30000</v>
      </c>
      <c r="I534" s="16"/>
      <c r="J534" s="16"/>
      <c r="K534" s="119">
        <f>IFERROR(__xludf.DUMMYFUNCTION("""COMPUTED_VALUE"""),15000.0)</f>
        <v>15000</v>
      </c>
      <c r="L534" s="16"/>
      <c r="M534" s="16"/>
      <c r="N534" s="16"/>
      <c r="O534" s="16"/>
      <c r="P534" s="16"/>
      <c r="Q534" s="119">
        <f>IFERROR(__xludf.DUMMYFUNCTION("""COMPUTED_VALUE"""),15000.0)</f>
        <v>15000</v>
      </c>
      <c r="R534" s="16"/>
      <c r="S534" s="16"/>
      <c r="T534" s="16"/>
      <c r="U534" s="16"/>
      <c r="V534" s="16"/>
      <c r="W534" s="16"/>
      <c r="X534" s="16"/>
      <c r="Y534" s="16"/>
      <c r="Z534" s="16"/>
      <c r="AA534" s="16"/>
      <c r="AB534" s="16"/>
      <c r="AC534" s="119">
        <f>IFERROR(__xludf.DUMMYFUNCTION("""COMPUTED_VALUE"""),15000.0)</f>
        <v>15000</v>
      </c>
      <c r="AD534" s="16"/>
      <c r="AE534" s="16"/>
      <c r="AF534" s="16" t="str">
        <f>IFERROR(__xludf.DUMMYFUNCTION("""COMPUTED_VALUE"""),"(Forest Paladin Set) ++Blessing of The Greens I: X2 Nature damage. ++Barkskin: X2 defense for self. 50 sp. +-Archer, Hunter, and Paladin of The Forest Class only.")</f>
        <v>(Forest Paladin Set) ++Blessing of The Greens I: X2 Nature damage. ++Barkskin: X2 defense for self. 50 sp. +-Archer, Hunter, and Paladin of The Forest Class only.</v>
      </c>
      <c r="AG534" s="16" t="str">
        <f>IFERROR(__xludf.DUMMYFUNCTION("""COMPUTED_VALUE"""),"Land of Spira")</f>
        <v>Land of Spira</v>
      </c>
      <c r="AH534" s="16" t="b">
        <f>IFERROR(__xludf.DUMMYFUNCTION("""COMPUTED_VALUE"""),FALSE)</f>
        <v>0</v>
      </c>
    </row>
    <row r="535">
      <c r="A535" s="16" t="str">
        <f>IFERROR(__xludf.DUMMYFUNCTION("""COMPUTED_VALUE"""),"Greaves of The Verdant Forest")</f>
        <v>Greaves of The Verdant Forest</v>
      </c>
      <c r="B535" s="16" t="str">
        <f>IFERROR(__xludf.DUMMYFUNCTION("""COMPUTED_VALUE"""),"Legs")</f>
        <v>Legs</v>
      </c>
      <c r="C535" s="16" t="str">
        <f>IFERROR(__xludf.DUMMYFUNCTION("""COMPUTED_VALUE"""),"Quest Item")</f>
        <v>Quest Item</v>
      </c>
      <c r="D535" s="16"/>
      <c r="E535" s="16">
        <f>IFERROR(__xludf.DUMMYFUNCTION("""COMPUTED_VALUE"""),200.0)</f>
        <v>200</v>
      </c>
      <c r="F535" s="108">
        <f>IFERROR(__xludf.DUMMYFUNCTION("""COMPUTED_VALUE"""),4.95E7)</f>
        <v>49500000</v>
      </c>
      <c r="G535" s="16" t="str">
        <f>IFERROR(__xludf.DUMMYFUNCTION("""COMPUTED_VALUE"""),"DEF")</f>
        <v>DEF</v>
      </c>
      <c r="H535" s="119">
        <f>IFERROR(__xludf.DUMMYFUNCTION("""COMPUTED_VALUE"""),20000.0)</f>
        <v>20000</v>
      </c>
      <c r="I535" s="16"/>
      <c r="J535" s="16"/>
      <c r="K535" s="119">
        <f>IFERROR(__xludf.DUMMYFUNCTION("""COMPUTED_VALUE"""),10000.0)</f>
        <v>10000</v>
      </c>
      <c r="L535" s="16"/>
      <c r="M535" s="16"/>
      <c r="N535" s="16"/>
      <c r="O535" s="16"/>
      <c r="P535" s="16"/>
      <c r="Q535" s="119">
        <f>IFERROR(__xludf.DUMMYFUNCTION("""COMPUTED_VALUE"""),10000.0)</f>
        <v>10000</v>
      </c>
      <c r="R535" s="16"/>
      <c r="S535" s="16"/>
      <c r="T535" s="16"/>
      <c r="U535" s="16"/>
      <c r="V535" s="16"/>
      <c r="W535" s="16"/>
      <c r="X535" s="16"/>
      <c r="Y535" s="16"/>
      <c r="Z535" s="16"/>
      <c r="AA535" s="16"/>
      <c r="AB535" s="16"/>
      <c r="AC535" s="119">
        <f>IFERROR(__xludf.DUMMYFUNCTION("""COMPUTED_VALUE"""),10000.0)</f>
        <v>10000</v>
      </c>
      <c r="AD535" s="16"/>
      <c r="AE535" s="16"/>
      <c r="AF535" s="16" t="str">
        <f>IFERROR(__xludf.DUMMYFUNCTION("""COMPUTED_VALUE"""),"(Forest Paladin Set) ++Blessing of The Quiver I: X2 Bow damage. +-Archer, Hunter, and Paladin of The Forest Class only.")</f>
        <v>(Forest Paladin Set) ++Blessing of The Quiver I: X2 Bow damage. +-Archer, Hunter, and Paladin of The Forest Class only.</v>
      </c>
      <c r="AG535" s="16" t="str">
        <f>IFERROR(__xludf.DUMMYFUNCTION("""COMPUTED_VALUE"""),"Land of Spira")</f>
        <v>Land of Spira</v>
      </c>
      <c r="AH535" s="16" t="b">
        <f>IFERROR(__xludf.DUMMYFUNCTION("""COMPUTED_VALUE"""),FALSE)</f>
        <v>0</v>
      </c>
    </row>
    <row r="536">
      <c r="A536" s="16" t="str">
        <f>IFERROR(__xludf.DUMMYFUNCTION("""COMPUTED_VALUE"""),"Boots of The Verdant Forest")</f>
        <v>Boots of The Verdant Forest</v>
      </c>
      <c r="B536" s="16" t="str">
        <f>IFERROR(__xludf.DUMMYFUNCTION("""COMPUTED_VALUE"""),"Feet")</f>
        <v>Feet</v>
      </c>
      <c r="C536" s="16" t="str">
        <f>IFERROR(__xludf.DUMMYFUNCTION("""COMPUTED_VALUE"""),"Quest Item")</f>
        <v>Quest Item</v>
      </c>
      <c r="D536" s="16"/>
      <c r="E536" s="16">
        <f>IFERROR(__xludf.DUMMYFUNCTION("""COMPUTED_VALUE"""),200.0)</f>
        <v>200</v>
      </c>
      <c r="F536" s="108">
        <f>IFERROR(__xludf.DUMMYFUNCTION("""COMPUTED_VALUE"""),4.95E7)</f>
        <v>49500000</v>
      </c>
      <c r="G536" s="16" t="str">
        <f>IFERROR(__xludf.DUMMYFUNCTION("""COMPUTED_VALUE"""),"DEF")</f>
        <v>DEF</v>
      </c>
      <c r="H536" s="119">
        <f>IFERROR(__xludf.DUMMYFUNCTION("""COMPUTED_VALUE"""),20000.0)</f>
        <v>20000</v>
      </c>
      <c r="I536" s="16"/>
      <c r="J536" s="16"/>
      <c r="K536" s="119">
        <f>IFERROR(__xludf.DUMMYFUNCTION("""COMPUTED_VALUE"""),10000.0)</f>
        <v>10000</v>
      </c>
      <c r="L536" s="16"/>
      <c r="M536" s="16"/>
      <c r="N536" s="16"/>
      <c r="O536" s="16"/>
      <c r="P536" s="16"/>
      <c r="Q536" s="119">
        <f>IFERROR(__xludf.DUMMYFUNCTION("""COMPUTED_VALUE"""),10000.0)</f>
        <v>10000</v>
      </c>
      <c r="R536" s="16"/>
      <c r="S536" s="16"/>
      <c r="T536" s="16"/>
      <c r="U536" s="16"/>
      <c r="V536" s="16"/>
      <c r="W536" s="16"/>
      <c r="X536" s="16"/>
      <c r="Y536" s="16"/>
      <c r="Z536" s="16"/>
      <c r="AA536" s="16"/>
      <c r="AB536" s="16"/>
      <c r="AC536" s="119">
        <f>IFERROR(__xludf.DUMMYFUNCTION("""COMPUTED_VALUE"""),10000.0)</f>
        <v>10000</v>
      </c>
      <c r="AD536" s="16"/>
      <c r="AE536" s="16"/>
      <c r="AF536" s="16" t="str">
        <f>IFERROR(__xludf.DUMMYFUNCTION("""COMPUTED_VALUE"""),"(Forest Paladin Set) Blessing of The Greens I: X2 Nature damage. Deal X4 Nature damage for the first bow attack you make under the effect of haste +-Archer, Hunter, and Paladin of The Forest Class only.")</f>
        <v>(Forest Paladin Set) Blessing of The Greens I: X2 Nature damage. Deal X4 Nature damage for the first bow attack you make under the effect of haste +-Archer, Hunter, and Paladin of The Forest Class only.</v>
      </c>
      <c r="AG536" s="16" t="str">
        <f>IFERROR(__xludf.DUMMYFUNCTION("""COMPUTED_VALUE"""),"Land of Spira")</f>
        <v>Land of Spira</v>
      </c>
      <c r="AH536" s="16" t="b">
        <f>IFERROR(__xludf.DUMMYFUNCTION("""COMPUTED_VALUE"""),FALSE)</f>
        <v>0</v>
      </c>
    </row>
    <row r="537">
      <c r="A537" s="16" t="str">
        <f>IFERROR(__xludf.DUMMYFUNCTION("""COMPUTED_VALUE"""),"Emerald Ring of The Forest")</f>
        <v>Emerald Ring of The Forest</v>
      </c>
      <c r="B537" s="16" t="str">
        <f>IFERROR(__xludf.DUMMYFUNCTION("""COMPUTED_VALUE"""),"Ring")</f>
        <v>Ring</v>
      </c>
      <c r="C537" s="16" t="str">
        <f>IFERROR(__xludf.DUMMYFUNCTION("""COMPUTED_VALUE"""),"Quest Item")</f>
        <v>Quest Item</v>
      </c>
      <c r="D537" s="16"/>
      <c r="E537" s="16">
        <f>IFERROR(__xludf.DUMMYFUNCTION("""COMPUTED_VALUE"""),1.0)</f>
        <v>1</v>
      </c>
      <c r="F537" s="108">
        <f>IFERROR(__xludf.DUMMYFUNCTION("""COMPUTED_VALUE"""),0.0)</f>
        <v>0</v>
      </c>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t="str">
        <f>IFERROR(__xludf.DUMMYFUNCTION("""COMPUTED_VALUE"""),"(Forest Paladin Set) ++Regrowth: Heals target by 5000 and grants them Invigorated 5, 75sp. ++X4 outgoing healing +-Archer, Hunter, and Paladin of The Forest Class only.")</f>
        <v>(Forest Paladin Set) ++Regrowth: Heals target by 5000 and grants them Invigorated 5, 75sp. ++X4 outgoing healing +-Archer, Hunter, and Paladin of The Forest Class only.</v>
      </c>
      <c r="AG537" s="16" t="str">
        <f>IFERROR(__xludf.DUMMYFUNCTION("""COMPUTED_VALUE"""),"Land of Spira")</f>
        <v>Land of Spira</v>
      </c>
      <c r="AH537" s="16" t="b">
        <f>IFERROR(__xludf.DUMMYFUNCTION("""COMPUTED_VALUE"""),FALSE)</f>
        <v>0</v>
      </c>
    </row>
    <row r="538">
      <c r="A538" s="16" t="str">
        <f>IFERROR(__xludf.DUMMYFUNCTION("""COMPUTED_VALUE"""),"Emerald Amulet of The Forest")</f>
        <v>Emerald Amulet of The Forest</v>
      </c>
      <c r="B538" s="16" t="str">
        <f>IFERROR(__xludf.DUMMYFUNCTION("""COMPUTED_VALUE"""),"Neck")</f>
        <v>Neck</v>
      </c>
      <c r="C538" s="16" t="str">
        <f>IFERROR(__xludf.DUMMYFUNCTION("""COMPUTED_VALUE"""),"Quest Item")</f>
        <v>Quest Item</v>
      </c>
      <c r="D538" s="16"/>
      <c r="E538" s="16">
        <f>IFERROR(__xludf.DUMMYFUNCTION("""COMPUTED_VALUE"""),1.0)</f>
        <v>1</v>
      </c>
      <c r="F538" s="108">
        <f>IFERROR(__xludf.DUMMYFUNCTION("""COMPUTED_VALUE"""),0.0)</f>
        <v>0</v>
      </c>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t="str">
        <f>IFERROR(__xludf.DUMMYFUNCTION("""COMPUTED_VALUE"""),"(Forest Paladin Set) ++Artemis' Godly Grace: Grants all allies Invigorated 5, Haste 3, Truesight 3, and 4X defense and Nature Damage, can only be casted once per battle, 500 sp +-Archer, Hunter, and Paladin of The Forest Class only.")</f>
        <v>(Forest Paladin Set) ++Artemis' Godly Grace: Grants all allies Invigorated 5, Haste 3, Truesight 3, and 4X defense and Nature Damage, can only be casted once per battle, 500 sp +-Archer, Hunter, and Paladin of The Forest Class only.</v>
      </c>
      <c r="AG538" s="16" t="str">
        <f>IFERROR(__xludf.DUMMYFUNCTION("""COMPUTED_VALUE"""),"Land of Spira")</f>
        <v>Land of Spira</v>
      </c>
      <c r="AH538" s="16" t="b">
        <f>IFERROR(__xludf.DUMMYFUNCTION("""COMPUTED_VALUE"""),FALSE)</f>
        <v>0</v>
      </c>
    </row>
    <row r="539">
      <c r="A539" s="16" t="str">
        <f>IFERROR(__xludf.DUMMYFUNCTION("""COMPUTED_VALUE"""),"Artemis' Crown of The Forest")</f>
        <v>Artemis' Crown of The Forest</v>
      </c>
      <c r="B539" s="16" t="str">
        <f>IFERROR(__xludf.DUMMYFUNCTION("""COMPUTED_VALUE"""),"Head")</f>
        <v>Head</v>
      </c>
      <c r="C539" s="16" t="str">
        <f>IFERROR(__xludf.DUMMYFUNCTION("""COMPUTED_VALUE"""),"Mob Exclusive. The crown that was gifted to Aranyani upon her ascension to godhood")</f>
        <v>Mob Exclusive. The crown that was gifted to Aranyani upon her ascension to godhood</v>
      </c>
      <c r="D539" s="16"/>
      <c r="E539" s="16">
        <f>IFERROR(__xludf.DUMMYFUNCTION("""COMPUTED_VALUE"""),2000.0)</f>
        <v>2000</v>
      </c>
      <c r="F539" s="108">
        <f>IFERROR(__xludf.DUMMYFUNCTION("""COMPUTED_VALUE"""),1.99E8)</f>
        <v>199000000</v>
      </c>
      <c r="G539" s="16" t="str">
        <f>IFERROR(__xludf.DUMMYFUNCTION("""COMPUTED_VALUE"""),"DEF")</f>
        <v>DEF</v>
      </c>
      <c r="H539" s="119">
        <f>IFERROR(__xludf.DUMMYFUNCTION("""COMPUTED_VALUE"""),50000.0)</f>
        <v>50000</v>
      </c>
      <c r="I539" s="16"/>
      <c r="J539" s="16"/>
      <c r="K539" s="119">
        <f>IFERROR(__xludf.DUMMYFUNCTION("""COMPUTED_VALUE"""),25000.0)</f>
        <v>25000</v>
      </c>
      <c r="L539" s="16"/>
      <c r="M539" s="16"/>
      <c r="N539" s="16"/>
      <c r="O539" s="16"/>
      <c r="P539" s="16"/>
      <c r="Q539" s="119">
        <f>IFERROR(__xludf.DUMMYFUNCTION("""COMPUTED_VALUE"""),25000.0)</f>
        <v>25000</v>
      </c>
      <c r="R539" s="16"/>
      <c r="S539" s="16"/>
      <c r="T539" s="16"/>
      <c r="U539" s="16"/>
      <c r="V539" s="16"/>
      <c r="W539" s="16"/>
      <c r="X539" s="16"/>
      <c r="Y539" s="16"/>
      <c r="Z539" s="16"/>
      <c r="AA539" s="16"/>
      <c r="AB539" s="16"/>
      <c r="AC539" s="16"/>
      <c r="AD539" s="16"/>
      <c r="AE539" s="16"/>
      <c r="AF539" s="16" t="str">
        <f>IFERROR(__xludf.DUMMYFUNCTION("""COMPUTED_VALUE"""),"++Blessing of the Forest's Quiver II: X4 Nature and Bow damage. ++Eagle Eyed: When in a forest you gain Truesight for the first round of battle. ++Goddess's Cold Stare: 15% chance to Freeze all enemies (not affected by modifiers) 1000SP. +-can only be equ"&amp;"ipped by Artemis.")</f>
        <v>++Blessing of the Forest's Quiver II: X4 Nature and Bow damage. ++Eagle Eyed: When in a forest you gain Truesight for the first round of battle. ++Goddess's Cold Stare: 15% chance to Freeze all enemies (not affected by modifiers) 1000SP. +-can only be equipped by Artemis.</v>
      </c>
      <c r="AG539" s="16" t="str">
        <f>IFERROR(__xludf.DUMMYFUNCTION("""COMPUTED_VALUE"""),"Land of Spira")</f>
        <v>Land of Spira</v>
      </c>
      <c r="AH539" s="16" t="b">
        <f>IFERROR(__xludf.DUMMYFUNCTION("""COMPUTED_VALUE"""),FALSE)</f>
        <v>0</v>
      </c>
    </row>
    <row r="540">
      <c r="A540" s="16" t="str">
        <f>IFERROR(__xludf.DUMMYFUNCTION("""COMPUTED_VALUE"""),"Artemis' Bow of Divine Wrath")</f>
        <v>Artemis' Bow of Divine Wrath</v>
      </c>
      <c r="B540" s="16" t="str">
        <f>IFERROR(__xludf.DUMMYFUNCTION("""COMPUTED_VALUE"""),"Hand")</f>
        <v>Hand</v>
      </c>
      <c r="C540" s="16" t="str">
        <f>IFERROR(__xludf.DUMMYFUNCTION("""COMPUTED_VALUE"""),"Mob Exclusive.")</f>
        <v>Mob Exclusive.</v>
      </c>
      <c r="D540" s="16" t="str">
        <f>IFERROR(__xludf.DUMMYFUNCTION("""COMPUTED_VALUE"""),"Bow")</f>
        <v>Bow</v>
      </c>
      <c r="E540" s="16">
        <f>IFERROR(__xludf.DUMMYFUNCTION("""COMPUTED_VALUE"""),12000.0)</f>
        <v>12000</v>
      </c>
      <c r="F540" s="108">
        <f>IFERROR(__xludf.DUMMYFUNCTION("""COMPUTED_VALUE"""),7.194E9)</f>
        <v>7194000000</v>
      </c>
      <c r="G540" s="16" t="str">
        <f>IFERROR(__xludf.DUMMYFUNCTION("""COMPUTED_VALUE"""),"DMG")</f>
        <v>DMG</v>
      </c>
      <c r="H540" s="119">
        <f>IFERROR(__xludf.DUMMYFUNCTION("""COMPUTED_VALUE"""),200000.0)</f>
        <v>200000</v>
      </c>
      <c r="I540" s="16"/>
      <c r="J540" s="16"/>
      <c r="K540" s="16"/>
      <c r="L540" s="16"/>
      <c r="M540" s="16"/>
      <c r="N540" s="16"/>
      <c r="O540" s="16"/>
      <c r="P540" s="16"/>
      <c r="Q540" s="16"/>
      <c r="R540" s="119">
        <f>IFERROR(__xludf.DUMMYFUNCTION("""COMPUTED_VALUE"""),200000.0)</f>
        <v>200000</v>
      </c>
      <c r="S540" s="119">
        <f>IFERROR(__xludf.DUMMYFUNCTION("""COMPUTED_VALUE"""),200000.0)</f>
        <v>200000</v>
      </c>
      <c r="T540" s="16"/>
      <c r="U540" s="16"/>
      <c r="V540" s="16"/>
      <c r="W540" s="16"/>
      <c r="X540" s="16"/>
      <c r="Y540" s="16"/>
      <c r="Z540" s="16"/>
      <c r="AA540" s="16"/>
      <c r="AB540" s="16"/>
      <c r="AC540" s="16"/>
      <c r="AD540" s="16"/>
      <c r="AE540" s="16"/>
      <c r="AF540" s="16" t="str">
        <f>IFERROR(__xludf.DUMMYFUNCTION("""COMPUTED_VALUE"""),"++Marked: When affected by Truesight you can mark a single target as per the effect ""Marked"" for 1 round. 20 sp. ++The target cannot resist or be immune to this weapon attack  +-can only be equipped by Artemis")</f>
        <v>++Marked: When affected by Truesight you can mark a single target as per the effect "Marked" for 1 round. 20 sp. ++The target cannot resist or be immune to this weapon attack  +-can only be equipped by Artemis</v>
      </c>
      <c r="AG540" s="16" t="str">
        <f>IFERROR(__xludf.DUMMYFUNCTION("""COMPUTED_VALUE"""),"Land of Spira")</f>
        <v>Land of Spira</v>
      </c>
      <c r="AH540" s="16" t="b">
        <f>IFERROR(__xludf.DUMMYFUNCTION("""COMPUTED_VALUE"""),FALSE)</f>
        <v>0</v>
      </c>
    </row>
    <row r="541">
      <c r="A541" s="16" t="str">
        <f>IFERROR(__xludf.DUMMYFUNCTION("""COMPUTED_VALUE"""),"Artemis' Shield of Divine Grace")</f>
        <v>Artemis' Shield of Divine Grace</v>
      </c>
      <c r="B541" s="16" t="str">
        <f>IFERROR(__xludf.DUMMYFUNCTION("""COMPUTED_VALUE"""),"Hand")</f>
        <v>Hand</v>
      </c>
      <c r="C541" s="16" t="str">
        <f>IFERROR(__xludf.DUMMYFUNCTION("""COMPUTED_VALUE"""),"Mob Exclusive")</f>
        <v>Mob Exclusive</v>
      </c>
      <c r="D541" s="16" t="str">
        <f>IFERROR(__xludf.DUMMYFUNCTION("""COMPUTED_VALUE"""),"Buckler")</f>
        <v>Buckler</v>
      </c>
      <c r="E541" s="16">
        <f>IFERROR(__xludf.DUMMYFUNCTION("""COMPUTED_VALUE"""),6000.0)</f>
        <v>6000</v>
      </c>
      <c r="F541" s="108">
        <f>IFERROR(__xludf.DUMMYFUNCTION("""COMPUTED_VALUE"""),1.797E9)</f>
        <v>1797000000</v>
      </c>
      <c r="G541" s="16" t="str">
        <f>IFERROR(__xludf.DUMMYFUNCTION("""COMPUTED_VALUE"""),"DEF")</f>
        <v>DEF</v>
      </c>
      <c r="H541" s="119">
        <f>IFERROR(__xludf.DUMMYFUNCTION("""COMPUTED_VALUE"""),150000.0)</f>
        <v>150000</v>
      </c>
      <c r="I541" s="16"/>
      <c r="J541" s="16"/>
      <c r="K541" s="119">
        <f>IFERROR(__xludf.DUMMYFUNCTION("""COMPUTED_VALUE"""),75000.0)</f>
        <v>75000</v>
      </c>
      <c r="L541" s="16"/>
      <c r="M541" s="16"/>
      <c r="N541" s="16"/>
      <c r="O541" s="16"/>
      <c r="P541" s="16"/>
      <c r="Q541" s="119">
        <f>IFERROR(__xludf.DUMMYFUNCTION("""COMPUTED_VALUE"""),75000.0)</f>
        <v>75000</v>
      </c>
      <c r="R541" s="16"/>
      <c r="S541" s="16"/>
      <c r="T541" s="16"/>
      <c r="U541" s="16"/>
      <c r="V541" s="16"/>
      <c r="W541" s="16"/>
      <c r="X541" s="16"/>
      <c r="Y541" s="16"/>
      <c r="Z541" s="16"/>
      <c r="AA541" s="16"/>
      <c r="AB541" s="16"/>
      <c r="AC541" s="16"/>
      <c r="AD541" s="16"/>
      <c r="AE541" s="16"/>
      <c r="AF541" s="16" t="str">
        <f>IFERROR(__xludf.DUMMYFUNCTION("""COMPUTED_VALUE"""),"++Living Shield: When hit by a weapon attack 50% chance to inflict slowness 3 and disarm 3, +-can only be equipped by Artemis.")</f>
        <v>++Living Shield: When hit by a weapon attack 50% chance to inflict slowness 3 and disarm 3, +-can only be equipped by Artemis.</v>
      </c>
      <c r="AG541" s="16" t="str">
        <f>IFERROR(__xludf.DUMMYFUNCTION("""COMPUTED_VALUE"""),"Land of Spira")</f>
        <v>Land of Spira</v>
      </c>
      <c r="AH541" s="16" t="b">
        <f>IFERROR(__xludf.DUMMYFUNCTION("""COMPUTED_VALUE"""),FALSE)</f>
        <v>0</v>
      </c>
    </row>
    <row r="542">
      <c r="A542" s="16" t="str">
        <f>IFERROR(__xludf.DUMMYFUNCTION("""COMPUTED_VALUE"""),"Artemis' Divine Quiver")</f>
        <v>Artemis' Divine Quiver</v>
      </c>
      <c r="B542" s="16" t="str">
        <f>IFERROR(__xludf.DUMMYFUNCTION("""COMPUTED_VALUE"""),"Shoulders")</f>
        <v>Shoulders</v>
      </c>
      <c r="C542" s="16" t="str">
        <f>IFERROR(__xludf.DUMMYFUNCTION("""COMPUTED_VALUE"""),"Mob Exclusive")</f>
        <v>Mob Exclusive</v>
      </c>
      <c r="D542" s="16"/>
      <c r="E542" s="16">
        <f>IFERROR(__xludf.DUMMYFUNCTION("""COMPUTED_VALUE"""),1.0)</f>
        <v>1</v>
      </c>
      <c r="F542" s="108">
        <f>IFERROR(__xludf.DUMMYFUNCTION("""COMPUTED_VALUE"""),0.0)</f>
        <v>0</v>
      </c>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t="str">
        <f>IFERROR(__xludf.DUMMYFUNCTION("""COMPUTED_VALUE"""),"++Blessing of the Forest's Quiver II: X4 Nature and Bow damage. ++Godspeed: Wearer Gets 2 actions every round. ++Quick Shot: Attack twice with your bow 10000 sp. +-can only be equipped by Artemis.")</f>
        <v>++Blessing of the Forest's Quiver II: X4 Nature and Bow damage. ++Godspeed: Wearer Gets 2 actions every round. ++Quick Shot: Attack twice with your bow 10000 sp. +-can only be equipped by Artemis.</v>
      </c>
      <c r="AG542" s="16" t="str">
        <f>IFERROR(__xludf.DUMMYFUNCTION("""COMPUTED_VALUE"""),"Land of Spira")</f>
        <v>Land of Spira</v>
      </c>
      <c r="AH542" s="16" t="b">
        <f>IFERROR(__xludf.DUMMYFUNCTION("""COMPUTED_VALUE"""),FALSE)</f>
        <v>0</v>
      </c>
    </row>
    <row r="543">
      <c r="A543" s="16" t="str">
        <f>IFERROR(__xludf.DUMMYFUNCTION("""COMPUTED_VALUE"""),"Artemis' Toga of Divine Beauty")</f>
        <v>Artemis' Toga of Divine Beauty</v>
      </c>
      <c r="B543" s="16" t="str">
        <f>IFERROR(__xludf.DUMMYFUNCTION("""COMPUTED_VALUE"""),"Torso")</f>
        <v>Torso</v>
      </c>
      <c r="C543" s="16" t="str">
        <f>IFERROR(__xludf.DUMMYFUNCTION("""COMPUTED_VALUE"""),"Mob Exclusive")</f>
        <v>Mob Exclusive</v>
      </c>
      <c r="D543" s="16"/>
      <c r="E543" s="16">
        <f>IFERROR(__xludf.DUMMYFUNCTION("""COMPUTED_VALUE"""),4000.0)</f>
        <v>4000</v>
      </c>
      <c r="F543" s="108">
        <f>IFERROR(__xludf.DUMMYFUNCTION("""COMPUTED_VALUE"""),7.98E8)</f>
        <v>798000000</v>
      </c>
      <c r="G543" s="16" t="str">
        <f>IFERROR(__xludf.DUMMYFUNCTION("""COMPUTED_VALUE"""),"DEF")</f>
        <v>DEF</v>
      </c>
      <c r="H543" s="119">
        <f>IFERROR(__xludf.DUMMYFUNCTION("""COMPUTED_VALUE"""),100000.0)</f>
        <v>100000</v>
      </c>
      <c r="I543" s="16"/>
      <c r="J543" s="16"/>
      <c r="K543" s="119">
        <f>IFERROR(__xludf.DUMMYFUNCTION("""COMPUTED_VALUE"""),50000.0)</f>
        <v>50000</v>
      </c>
      <c r="L543" s="16"/>
      <c r="M543" s="16"/>
      <c r="N543" s="16"/>
      <c r="O543" s="16"/>
      <c r="P543" s="16"/>
      <c r="Q543" s="119">
        <f>IFERROR(__xludf.DUMMYFUNCTION("""COMPUTED_VALUE"""),50000.0)</f>
        <v>50000</v>
      </c>
      <c r="R543" s="16"/>
      <c r="S543" s="16"/>
      <c r="T543" s="16"/>
      <c r="U543" s="16"/>
      <c r="V543" s="16"/>
      <c r="W543" s="16"/>
      <c r="X543" s="16"/>
      <c r="Y543" s="16"/>
      <c r="Z543" s="16"/>
      <c r="AA543" s="16"/>
      <c r="AB543" s="16"/>
      <c r="AC543" s="16"/>
      <c r="AD543" s="16"/>
      <c r="AE543" s="16"/>
      <c r="AF543" s="16" t="str">
        <f>IFERROR(__xludf.DUMMYFUNCTION("""COMPUTED_VALUE"""),"++Blessing of the Forest's Quiver II: X4 Nature and Bow damage. ++Godly Charm: 10% chance at the start of battle to force an enemy to fight for you +-can only be equipped by Artemis.")</f>
        <v>++Blessing of the Forest's Quiver II: X4 Nature and Bow damage. ++Godly Charm: 10% chance at the start of battle to force an enemy to fight for you +-can only be equipped by Artemis.</v>
      </c>
      <c r="AG543" s="16" t="str">
        <f>IFERROR(__xludf.DUMMYFUNCTION("""COMPUTED_VALUE"""),"Land of Spira")</f>
        <v>Land of Spira</v>
      </c>
      <c r="AH543" s="16" t="b">
        <f>IFERROR(__xludf.DUMMYFUNCTION("""COMPUTED_VALUE"""),FALSE)</f>
        <v>0</v>
      </c>
    </row>
    <row r="544">
      <c r="A544" s="16" t="str">
        <f>IFERROR(__xludf.DUMMYFUNCTION("""COMPUTED_VALUE"""),"Artemis' Bracer of The Archer Goddess")</f>
        <v>Artemis' Bracer of The Archer Goddess</v>
      </c>
      <c r="B544" s="16" t="str">
        <f>IFERROR(__xludf.DUMMYFUNCTION("""COMPUTED_VALUE"""),"Arms")</f>
        <v>Arms</v>
      </c>
      <c r="C544" s="16" t="str">
        <f>IFERROR(__xludf.DUMMYFUNCTION("""COMPUTED_VALUE"""),"Mob Exclusive")</f>
        <v>Mob Exclusive</v>
      </c>
      <c r="D544" s="16"/>
      <c r="E544" s="16">
        <f>IFERROR(__xludf.DUMMYFUNCTION("""COMPUTED_VALUE"""),2000.0)</f>
        <v>2000</v>
      </c>
      <c r="F544" s="108">
        <f>IFERROR(__xludf.DUMMYFUNCTION("""COMPUTED_VALUE"""),1.99E8)</f>
        <v>199000000</v>
      </c>
      <c r="G544" s="16" t="str">
        <f>IFERROR(__xludf.DUMMYFUNCTION("""COMPUTED_VALUE"""),"DEF")</f>
        <v>DEF</v>
      </c>
      <c r="H544" s="119">
        <f>IFERROR(__xludf.DUMMYFUNCTION("""COMPUTED_VALUE"""),50000.0)</f>
        <v>50000</v>
      </c>
      <c r="I544" s="16"/>
      <c r="J544" s="16"/>
      <c r="K544" s="119">
        <f>IFERROR(__xludf.DUMMYFUNCTION("""COMPUTED_VALUE"""),25000.0)</f>
        <v>25000</v>
      </c>
      <c r="L544" s="16"/>
      <c r="M544" s="16"/>
      <c r="N544" s="16"/>
      <c r="O544" s="16"/>
      <c r="P544" s="16"/>
      <c r="Q544" s="119">
        <f>IFERROR(__xludf.DUMMYFUNCTION("""COMPUTED_VALUE"""),25000.0)</f>
        <v>25000</v>
      </c>
      <c r="R544" s="16"/>
      <c r="S544" s="16"/>
      <c r="T544" s="16"/>
      <c r="U544" s="16"/>
      <c r="V544" s="16"/>
      <c r="W544" s="16"/>
      <c r="X544" s="16"/>
      <c r="Y544" s="16"/>
      <c r="Z544" s="16"/>
      <c r="AA544" s="16"/>
      <c r="AB544" s="16"/>
      <c r="AC544" s="16"/>
      <c r="AD544" s="16"/>
      <c r="AE544" s="16"/>
      <c r="AF544" s="16" t="str">
        <f>IFERROR(__xludf.DUMMYFUNCTION("""COMPUTED_VALUE"""),"++Blessing of the Forest's Quiver II: X4 Nature and Bow damage. ++Godly Archery: When you hit an enemy with your bow you gain the effects of Haste +-can only be equipped by Artemis.")</f>
        <v>++Blessing of the Forest's Quiver II: X4 Nature and Bow damage. ++Godly Archery: When you hit an enemy with your bow you gain the effects of Haste +-can only be equipped by Artemis.</v>
      </c>
      <c r="AG544" s="16" t="str">
        <f>IFERROR(__xludf.DUMMYFUNCTION("""COMPUTED_VALUE"""),"Land of Spira")</f>
        <v>Land of Spira</v>
      </c>
      <c r="AH544" s="16" t="b">
        <f>IFERROR(__xludf.DUMMYFUNCTION("""COMPUTED_VALUE"""),FALSE)</f>
        <v>0</v>
      </c>
    </row>
    <row r="545">
      <c r="A545" s="16" t="str">
        <f>IFERROR(__xludf.DUMMYFUNCTION("""COMPUTED_VALUE"""),"Artemis' Leggings of Divine Agility")</f>
        <v>Artemis' Leggings of Divine Agility</v>
      </c>
      <c r="B545" s="16" t="str">
        <f>IFERROR(__xludf.DUMMYFUNCTION("""COMPUTED_VALUE"""),"Legs")</f>
        <v>Legs</v>
      </c>
      <c r="C545" s="16" t="str">
        <f>IFERROR(__xludf.DUMMYFUNCTION("""COMPUTED_VALUE"""),"Mob Exclusive")</f>
        <v>Mob Exclusive</v>
      </c>
      <c r="D545" s="16"/>
      <c r="E545" s="16">
        <f>IFERROR(__xludf.DUMMYFUNCTION("""COMPUTED_VALUE"""),2000.0)</f>
        <v>2000</v>
      </c>
      <c r="F545" s="108">
        <f>IFERROR(__xludf.DUMMYFUNCTION("""COMPUTED_VALUE"""),1.99E8)</f>
        <v>199000000</v>
      </c>
      <c r="G545" s="16" t="str">
        <f>IFERROR(__xludf.DUMMYFUNCTION("""COMPUTED_VALUE"""),"DEF")</f>
        <v>DEF</v>
      </c>
      <c r="H545" s="119">
        <f>IFERROR(__xludf.DUMMYFUNCTION("""COMPUTED_VALUE"""),50000.0)</f>
        <v>50000</v>
      </c>
      <c r="I545" s="16"/>
      <c r="J545" s="16"/>
      <c r="K545" s="119">
        <f>IFERROR(__xludf.DUMMYFUNCTION("""COMPUTED_VALUE"""),25000.0)</f>
        <v>25000</v>
      </c>
      <c r="L545" s="16"/>
      <c r="M545" s="16"/>
      <c r="N545" s="16"/>
      <c r="O545" s="16"/>
      <c r="P545" s="16"/>
      <c r="Q545" s="119">
        <f>IFERROR(__xludf.DUMMYFUNCTION("""COMPUTED_VALUE"""),25000.0)</f>
        <v>25000</v>
      </c>
      <c r="R545" s="16"/>
      <c r="S545" s="16"/>
      <c r="T545" s="16"/>
      <c r="U545" s="16"/>
      <c r="V545" s="16"/>
      <c r="W545" s="16"/>
      <c r="X545" s="16"/>
      <c r="Y545" s="16"/>
      <c r="Z545" s="16"/>
      <c r="AA545" s="16"/>
      <c r="AB545" s="16"/>
      <c r="AC545" s="16"/>
      <c r="AD545" s="16"/>
      <c r="AE545" s="16"/>
      <c r="AF545" s="16" t="str">
        <f>IFERROR(__xludf.DUMMYFUNCTION("""COMPUTED_VALUE"""),"++Blessing of The Greens II: X4 Nature Damage +-can only be equipped by Artemis")</f>
        <v>++Blessing of The Greens II: X4 Nature Damage +-can only be equipped by Artemis</v>
      </c>
      <c r="AG545" s="16" t="str">
        <f>IFERROR(__xludf.DUMMYFUNCTION("""COMPUTED_VALUE"""),"Land of Spira")</f>
        <v>Land of Spira</v>
      </c>
      <c r="AH545" s="16" t="b">
        <f>IFERROR(__xludf.DUMMYFUNCTION("""COMPUTED_VALUE"""),FALSE)</f>
        <v>0</v>
      </c>
    </row>
    <row r="546">
      <c r="A546" s="16" t="str">
        <f>IFERROR(__xludf.DUMMYFUNCTION("""COMPUTED_VALUE"""),"Artemis' Sandals of Divine Speed")</f>
        <v>Artemis' Sandals of Divine Speed</v>
      </c>
      <c r="B546" s="16" t="str">
        <f>IFERROR(__xludf.DUMMYFUNCTION("""COMPUTED_VALUE"""),"Feet")</f>
        <v>Feet</v>
      </c>
      <c r="C546" s="16" t="str">
        <f>IFERROR(__xludf.DUMMYFUNCTION("""COMPUTED_VALUE"""),"Mob Exclusive")</f>
        <v>Mob Exclusive</v>
      </c>
      <c r="D546" s="16"/>
      <c r="E546" s="16">
        <f>IFERROR(__xludf.DUMMYFUNCTION("""COMPUTED_VALUE"""),2000.0)</f>
        <v>2000</v>
      </c>
      <c r="F546" s="108">
        <f>IFERROR(__xludf.DUMMYFUNCTION("""COMPUTED_VALUE"""),1.99E8)</f>
        <v>199000000</v>
      </c>
      <c r="G546" s="16" t="str">
        <f>IFERROR(__xludf.DUMMYFUNCTION("""COMPUTED_VALUE"""),"DEF")</f>
        <v>DEF</v>
      </c>
      <c r="H546" s="119">
        <f>IFERROR(__xludf.DUMMYFUNCTION("""COMPUTED_VALUE"""),50000.0)</f>
        <v>50000</v>
      </c>
      <c r="I546" s="16"/>
      <c r="J546" s="16"/>
      <c r="K546" s="119">
        <f>IFERROR(__xludf.DUMMYFUNCTION("""COMPUTED_VALUE"""),25000.0)</f>
        <v>25000</v>
      </c>
      <c r="L546" s="16"/>
      <c r="M546" s="16"/>
      <c r="N546" s="16"/>
      <c r="O546" s="16"/>
      <c r="P546" s="16"/>
      <c r="Q546" s="119">
        <f>IFERROR(__xludf.DUMMYFUNCTION("""COMPUTED_VALUE"""),25000.0)</f>
        <v>25000</v>
      </c>
      <c r="R546" s="16"/>
      <c r="S546" s="16"/>
      <c r="T546" s="16"/>
      <c r="U546" s="16"/>
      <c r="V546" s="16"/>
      <c r="W546" s="16"/>
      <c r="X546" s="16"/>
      <c r="Y546" s="16"/>
      <c r="Z546" s="16"/>
      <c r="AA546" s="16"/>
      <c r="AB546" s="16"/>
      <c r="AC546" s="16"/>
      <c r="AD546" s="16"/>
      <c r="AE546" s="16"/>
      <c r="AF546" s="16" t="str">
        <f>IFERROR(__xludf.DUMMYFUNCTION("""COMPUTED_VALUE"""),"++Blessing of Speed: when affected by haste you gain an extra action. +-can only be equipped by Artemis.")</f>
        <v>++Blessing of Speed: when affected by haste you gain an extra action. +-can only be equipped by Artemis.</v>
      </c>
      <c r="AG546" s="16" t="str">
        <f>IFERROR(__xludf.DUMMYFUNCTION("""COMPUTED_VALUE"""),"Land of Spira")</f>
        <v>Land of Spira</v>
      </c>
      <c r="AH546" s="16" t="b">
        <f>IFERROR(__xludf.DUMMYFUNCTION("""COMPUTED_VALUE"""),FALSE)</f>
        <v>0</v>
      </c>
    </row>
    <row r="547">
      <c r="A547" s="16" t="str">
        <f>IFERROR(__xludf.DUMMYFUNCTION("""COMPUTED_VALUE"""),"Artemis' Ring")</f>
        <v>Artemis' Ring</v>
      </c>
      <c r="B547" s="16" t="str">
        <f>IFERROR(__xludf.DUMMYFUNCTION("""COMPUTED_VALUE"""),"Ring")</f>
        <v>Ring</v>
      </c>
      <c r="C547" s="16" t="str">
        <f>IFERROR(__xludf.DUMMYFUNCTION("""COMPUTED_VALUE"""),"Mob Exclusive")</f>
        <v>Mob Exclusive</v>
      </c>
      <c r="D547" s="16"/>
      <c r="E547" s="16">
        <f>IFERROR(__xludf.DUMMYFUNCTION("""COMPUTED_VALUE"""),1.0)</f>
        <v>1</v>
      </c>
      <c r="F547" s="108">
        <f>IFERROR(__xludf.DUMMYFUNCTION("""COMPUTED_VALUE"""),0.0)</f>
        <v>0</v>
      </c>
      <c r="G547" s="16"/>
      <c r="H547" s="16"/>
      <c r="I547" s="16"/>
      <c r="J547" s="16"/>
      <c r="K547" s="16"/>
      <c r="L547" s="16"/>
      <c r="M547" s="16"/>
      <c r="N547" s="16"/>
      <c r="O547" s="16"/>
      <c r="P547" s="16"/>
      <c r="Q547" s="16"/>
      <c r="R547" s="16"/>
      <c r="S547" s="16"/>
      <c r="T547" s="16"/>
      <c r="U547" s="16"/>
      <c r="V547" s="16"/>
      <c r="W547" s="16"/>
      <c r="X547" s="16"/>
      <c r="Y547" s="16"/>
      <c r="Z547" s="16"/>
      <c r="AA547" s="16"/>
      <c r="AB547" s="16"/>
      <c r="AC547" s="16"/>
      <c r="AD547" s="16"/>
      <c r="AE547" s="16"/>
      <c r="AF547" s="16" t="str">
        <f>IFERROR(__xludf.DUMMYFUNCTION("""COMPUTED_VALUE"""),"++10% chance to revive after dying once. +-can only be equipped by Artemis.")</f>
        <v>++10% chance to revive after dying once. +-can only be equipped by Artemis.</v>
      </c>
      <c r="AG547" s="16" t="str">
        <f>IFERROR(__xludf.DUMMYFUNCTION("""COMPUTED_VALUE"""),"Land of Spira")</f>
        <v>Land of Spira</v>
      </c>
      <c r="AH547" s="16" t="b">
        <f>IFERROR(__xludf.DUMMYFUNCTION("""COMPUTED_VALUE"""),FALSE)</f>
        <v>0</v>
      </c>
    </row>
    <row r="548">
      <c r="A548" s="16" t="str">
        <f>IFERROR(__xludf.DUMMYFUNCTION("""COMPUTED_VALUE"""),"Artemis' Fang Necklace")</f>
        <v>Artemis' Fang Necklace</v>
      </c>
      <c r="B548" s="16" t="str">
        <f>IFERROR(__xludf.DUMMYFUNCTION("""COMPUTED_VALUE"""),"Neck")</f>
        <v>Neck</v>
      </c>
      <c r="C548" s="16" t="str">
        <f>IFERROR(__xludf.DUMMYFUNCTION("""COMPUTED_VALUE"""),"Mob Exclusive")</f>
        <v>Mob Exclusive</v>
      </c>
      <c r="D548" s="16"/>
      <c r="E548" s="16">
        <f>IFERROR(__xludf.DUMMYFUNCTION("""COMPUTED_VALUE"""),1.0)</f>
        <v>1</v>
      </c>
      <c r="F548" s="108">
        <f>IFERROR(__xludf.DUMMYFUNCTION("""COMPUTED_VALUE"""),0.0)</f>
        <v>0</v>
      </c>
      <c r="G548" s="16"/>
      <c r="H548" s="16"/>
      <c r="I548" s="16"/>
      <c r="J548" s="16"/>
      <c r="K548" s="16"/>
      <c r="L548" s="16"/>
      <c r="M548" s="16"/>
      <c r="N548" s="16"/>
      <c r="O548" s="16"/>
      <c r="P548" s="16"/>
      <c r="Q548" s="16"/>
      <c r="R548" s="16"/>
      <c r="S548" s="16"/>
      <c r="T548" s="16"/>
      <c r="U548" s="16"/>
      <c r="V548" s="16"/>
      <c r="W548" s="16"/>
      <c r="X548" s="16"/>
      <c r="Y548" s="16"/>
      <c r="Z548" s="16"/>
      <c r="AA548" s="16"/>
      <c r="AB548" s="16"/>
      <c r="AC548" s="16"/>
      <c r="AD548" s="16"/>
      <c r="AE548" s="16"/>
      <c r="AF548" s="16" t="str">
        <f>IFERROR(__xludf.DUMMYFUNCTION("""COMPUTED_VALUE"""),"Upon killing an enemy you emit a sharp aura with a 10% chance of instant death to all enemies. +-can only be equipped by Artemis.")</f>
        <v>Upon killing an enemy you emit a sharp aura with a 10% chance of instant death to all enemies. +-can only be equipped by Artemis.</v>
      </c>
      <c r="AG548" s="16" t="str">
        <f>IFERROR(__xludf.DUMMYFUNCTION("""COMPUTED_VALUE"""),"Land of Spira")</f>
        <v>Land of Spira</v>
      </c>
      <c r="AH548" s="16" t="b">
        <f>IFERROR(__xludf.DUMMYFUNCTION("""COMPUTED_VALUE"""),FALSE)</f>
        <v>0</v>
      </c>
    </row>
    <row r="549">
      <c r="A549" s="16" t="str">
        <f>IFERROR(__xludf.DUMMYFUNCTION("""COMPUTED_VALUE"""),"Forged Paladin's Helm")</f>
        <v>Forged Paladin's Helm</v>
      </c>
      <c r="B549" s="16" t="str">
        <f>IFERROR(__xludf.DUMMYFUNCTION("""COMPUTED_VALUE"""),"Head")</f>
        <v>Head</v>
      </c>
      <c r="C549" s="16" t="str">
        <f>IFERROR(__xludf.DUMMYFUNCTION("""COMPUTED_VALUE"""),"Quest Item")</f>
        <v>Quest Item</v>
      </c>
      <c r="D549" s="16"/>
      <c r="E549" s="16">
        <f>IFERROR(__xludf.DUMMYFUNCTION("""COMPUTED_VALUE"""),200.0)</f>
        <v>200</v>
      </c>
      <c r="F549" s="108">
        <f>IFERROR(__xludf.DUMMYFUNCTION("""COMPUTED_VALUE"""),1.1175E8)</f>
        <v>111750000</v>
      </c>
      <c r="G549" s="16" t="str">
        <f>IFERROR(__xludf.DUMMYFUNCTION("""COMPUTED_VALUE"""),"DEF")</f>
        <v>DEF</v>
      </c>
      <c r="H549" s="119">
        <f>IFERROR(__xludf.DUMMYFUNCTION("""COMPUTED_VALUE"""),25000.0)</f>
        <v>25000</v>
      </c>
      <c r="I549" s="119">
        <f>IFERROR(__xludf.DUMMYFUNCTION("""COMPUTED_VALUE"""),10000.0)</f>
        <v>10000</v>
      </c>
      <c r="J549" s="16"/>
      <c r="K549" s="119">
        <f>IFERROR(__xludf.DUMMYFUNCTION("""COMPUTED_VALUE"""),5000.0)</f>
        <v>5000</v>
      </c>
      <c r="L549" s="16"/>
      <c r="M549" s="16"/>
      <c r="N549" s="16"/>
      <c r="O549" s="16"/>
      <c r="P549" s="16"/>
      <c r="Q549" s="16"/>
      <c r="R549" s="16"/>
      <c r="S549" s="119">
        <f>IFERROR(__xludf.DUMMYFUNCTION("""COMPUTED_VALUE"""),25000.0)</f>
        <v>25000</v>
      </c>
      <c r="T549" s="16"/>
      <c r="U549" s="16"/>
      <c r="V549" s="16"/>
      <c r="W549" s="16"/>
      <c r="X549" s="16"/>
      <c r="Y549" s="16"/>
      <c r="Z549" s="16"/>
      <c r="AA549" s="16"/>
      <c r="AB549" s="16"/>
      <c r="AC549" s="119">
        <f>IFERROR(__xludf.DUMMYFUNCTION("""COMPUTED_VALUE"""),10000.0)</f>
        <v>10000</v>
      </c>
      <c r="AD549" s="16"/>
      <c r="AE549" s="16"/>
      <c r="AF549" s="16" t="str">
        <f>IFERROR(__xludf.DUMMYFUNCTION("""COMPUTED_VALUE"""),"++X2 Firearm damage. ++Weakness Detection: When attacking an enemy with fire vulnerability roll twice and take the higher roll for all attacks against that enemy. +-Forged Paladin Class Only.")</f>
        <v>++X2 Firearm damage. ++Weakness Detection: When attacking an enemy with fire vulnerability roll twice and take the higher roll for all attacks against that enemy. +-Forged Paladin Class Only.</v>
      </c>
      <c r="AG549" s="16" t="str">
        <f>IFERROR(__xludf.DUMMYFUNCTION("""COMPUTED_VALUE"""),"Land of Spira")</f>
        <v>Land of Spira</v>
      </c>
      <c r="AH549" s="16" t="b">
        <f>IFERROR(__xludf.DUMMYFUNCTION("""COMPUTED_VALUE"""),FALSE)</f>
        <v>0</v>
      </c>
    </row>
    <row r="550">
      <c r="A550" s="16" t="str">
        <f>IFERROR(__xludf.DUMMYFUNCTION("""COMPUTED_VALUE"""),"Forged Paladin's Pauldrons")</f>
        <v>Forged Paladin's Pauldrons</v>
      </c>
      <c r="B550" s="16" t="str">
        <f>IFERROR(__xludf.DUMMYFUNCTION("""COMPUTED_VALUE"""),"Shoulders")</f>
        <v>Shoulders</v>
      </c>
      <c r="C550" s="16" t="str">
        <f>IFERROR(__xludf.DUMMYFUNCTION("""COMPUTED_VALUE"""),"Quest Item")</f>
        <v>Quest Item</v>
      </c>
      <c r="D550" s="16"/>
      <c r="E550" s="16">
        <f>IFERROR(__xludf.DUMMYFUNCTION("""COMPUTED_VALUE"""),200.0)</f>
        <v>200</v>
      </c>
      <c r="F550" s="108">
        <f>IFERROR(__xludf.DUMMYFUNCTION("""COMPUTED_VALUE"""),1.1175E8)</f>
        <v>111750000</v>
      </c>
      <c r="G550" s="16" t="str">
        <f>IFERROR(__xludf.DUMMYFUNCTION("""COMPUTED_VALUE"""),"DEF")</f>
        <v>DEF</v>
      </c>
      <c r="H550" s="119">
        <f>IFERROR(__xludf.DUMMYFUNCTION("""COMPUTED_VALUE"""),25000.0)</f>
        <v>25000</v>
      </c>
      <c r="I550" s="119">
        <f>IFERROR(__xludf.DUMMYFUNCTION("""COMPUTED_VALUE"""),10000.0)</f>
        <v>10000</v>
      </c>
      <c r="J550" s="16"/>
      <c r="K550" s="119">
        <f>IFERROR(__xludf.DUMMYFUNCTION("""COMPUTED_VALUE"""),5000.0)</f>
        <v>5000</v>
      </c>
      <c r="L550" s="16"/>
      <c r="M550" s="16"/>
      <c r="N550" s="16"/>
      <c r="O550" s="16"/>
      <c r="P550" s="16"/>
      <c r="Q550" s="16"/>
      <c r="R550" s="16"/>
      <c r="S550" s="119">
        <f>IFERROR(__xludf.DUMMYFUNCTION("""COMPUTED_VALUE"""),25000.0)</f>
        <v>25000</v>
      </c>
      <c r="T550" s="16"/>
      <c r="U550" s="16"/>
      <c r="V550" s="16"/>
      <c r="W550" s="16"/>
      <c r="X550" s="16"/>
      <c r="Y550" s="16"/>
      <c r="Z550" s="16"/>
      <c r="AA550" s="16"/>
      <c r="AB550" s="16"/>
      <c r="AC550" s="119">
        <f>IFERROR(__xludf.DUMMYFUNCTION("""COMPUTED_VALUE"""),10000.0)</f>
        <v>10000</v>
      </c>
      <c r="AD550" s="16"/>
      <c r="AE550" s="16"/>
      <c r="AF550" s="16" t="str">
        <f>IFERROR(__xludf.DUMMYFUNCTION("""COMPUTED_VALUE"""),"++When hit with a non-natural attack inflict the attacker with Burn 1000 for 3 rounds +-Forged Paladin Class Only.")</f>
        <v>++When hit with a non-natural attack inflict the attacker with Burn 1000 for 3 rounds +-Forged Paladin Class Only.</v>
      </c>
      <c r="AG550" s="16" t="str">
        <f>IFERROR(__xludf.DUMMYFUNCTION("""COMPUTED_VALUE"""),"Land of Spira")</f>
        <v>Land of Spira</v>
      </c>
      <c r="AH550" s="16" t="b">
        <f>IFERROR(__xludf.DUMMYFUNCTION("""COMPUTED_VALUE"""),FALSE)</f>
        <v>0</v>
      </c>
    </row>
    <row r="551">
      <c r="A551" s="16" t="str">
        <f>IFERROR(__xludf.DUMMYFUNCTION("""COMPUTED_VALUE"""),"Forged Paladin's Plate")</f>
        <v>Forged Paladin's Plate</v>
      </c>
      <c r="B551" s="16" t="str">
        <f>IFERROR(__xludf.DUMMYFUNCTION("""COMPUTED_VALUE"""),"Torso")</f>
        <v>Torso</v>
      </c>
      <c r="C551" s="16" t="str">
        <f>IFERROR(__xludf.DUMMYFUNCTION("""COMPUTED_VALUE"""),"Quest Item")</f>
        <v>Quest Item</v>
      </c>
      <c r="D551" s="16"/>
      <c r="E551" s="16">
        <f>IFERROR(__xludf.DUMMYFUNCTION("""COMPUTED_VALUE"""),200.0)</f>
        <v>200</v>
      </c>
      <c r="F551" s="108">
        <f>IFERROR(__xludf.DUMMYFUNCTION("""COMPUTED_VALUE"""),1.99E8)</f>
        <v>199000000</v>
      </c>
      <c r="G551" s="16" t="str">
        <f>IFERROR(__xludf.DUMMYFUNCTION("""COMPUTED_VALUE"""),"DEF")</f>
        <v>DEF</v>
      </c>
      <c r="H551" s="119">
        <f>IFERROR(__xludf.DUMMYFUNCTION("""COMPUTED_VALUE"""),35000.0)</f>
        <v>35000</v>
      </c>
      <c r="I551" s="119">
        <f>IFERROR(__xludf.DUMMYFUNCTION("""COMPUTED_VALUE"""),15000.0)</f>
        <v>15000</v>
      </c>
      <c r="J551" s="16"/>
      <c r="K551" s="119">
        <f>IFERROR(__xludf.DUMMYFUNCTION("""COMPUTED_VALUE"""),5000.0)</f>
        <v>5000</v>
      </c>
      <c r="L551" s="16"/>
      <c r="M551" s="16"/>
      <c r="N551" s="16"/>
      <c r="O551" s="16"/>
      <c r="P551" s="16"/>
      <c r="Q551" s="16"/>
      <c r="R551" s="16"/>
      <c r="S551" s="119">
        <f>IFERROR(__xludf.DUMMYFUNCTION("""COMPUTED_VALUE"""),30000.0)</f>
        <v>30000</v>
      </c>
      <c r="T551" s="16"/>
      <c r="U551" s="16"/>
      <c r="V551" s="16"/>
      <c r="W551" s="16"/>
      <c r="X551" s="16"/>
      <c r="Y551" s="16"/>
      <c r="Z551" s="16"/>
      <c r="AA551" s="16"/>
      <c r="AB551" s="16"/>
      <c r="AC551" s="119">
        <f>IFERROR(__xludf.DUMMYFUNCTION("""COMPUTED_VALUE"""),15000.0)</f>
        <v>15000</v>
      </c>
      <c r="AD551" s="16"/>
      <c r="AE551" s="16"/>
      <c r="AF551" s="16" t="str">
        <f>IFERROR(__xludf.DUMMYFUNCTION("""COMPUTED_VALUE"""),"++X4 Fire damage. ++fire immunity +-Forged Paladin Class Only.")</f>
        <v>++X4 Fire damage. ++fire immunity +-Forged Paladin Class Only.</v>
      </c>
      <c r="AG551" s="16" t="str">
        <f>IFERROR(__xludf.DUMMYFUNCTION("""COMPUTED_VALUE"""),"Land of Spira")</f>
        <v>Land of Spira</v>
      </c>
      <c r="AH551" s="16" t="b">
        <f>IFERROR(__xludf.DUMMYFUNCTION("""COMPUTED_VALUE"""),FALSE)</f>
        <v>0</v>
      </c>
    </row>
    <row r="552">
      <c r="A552" s="16" t="str">
        <f>IFERROR(__xludf.DUMMYFUNCTION("""COMPUTED_VALUE"""),"Forged Paladin's Vambraces")</f>
        <v>Forged Paladin's Vambraces</v>
      </c>
      <c r="B552" s="16" t="str">
        <f>IFERROR(__xludf.DUMMYFUNCTION("""COMPUTED_VALUE"""),"Arms")</f>
        <v>Arms</v>
      </c>
      <c r="C552" s="16" t="str">
        <f>IFERROR(__xludf.DUMMYFUNCTION("""COMPUTED_VALUE"""),"Quest Item")</f>
        <v>Quest Item</v>
      </c>
      <c r="D552" s="16"/>
      <c r="E552" s="16">
        <f>IFERROR(__xludf.DUMMYFUNCTION("""COMPUTED_VALUE"""),200.0)</f>
        <v>200</v>
      </c>
      <c r="F552" s="108">
        <f>IFERROR(__xludf.DUMMYFUNCTION("""COMPUTED_VALUE"""),1.1175E8)</f>
        <v>111750000</v>
      </c>
      <c r="G552" s="16" t="str">
        <f>IFERROR(__xludf.DUMMYFUNCTION("""COMPUTED_VALUE"""),"DEF")</f>
        <v>DEF</v>
      </c>
      <c r="H552" s="119">
        <f>IFERROR(__xludf.DUMMYFUNCTION("""COMPUTED_VALUE"""),25000.0)</f>
        <v>25000</v>
      </c>
      <c r="I552" s="119">
        <f>IFERROR(__xludf.DUMMYFUNCTION("""COMPUTED_VALUE"""),10000.0)</f>
        <v>10000</v>
      </c>
      <c r="J552" s="16"/>
      <c r="K552" s="119">
        <f>IFERROR(__xludf.DUMMYFUNCTION("""COMPUTED_VALUE"""),5000.0)</f>
        <v>5000</v>
      </c>
      <c r="L552" s="16"/>
      <c r="M552" s="16"/>
      <c r="N552" s="16"/>
      <c r="O552" s="16"/>
      <c r="P552" s="16"/>
      <c r="Q552" s="16"/>
      <c r="R552" s="16"/>
      <c r="S552" s="119">
        <f>IFERROR(__xludf.DUMMYFUNCTION("""COMPUTED_VALUE"""),25000.0)</f>
        <v>25000</v>
      </c>
      <c r="T552" s="16"/>
      <c r="U552" s="16"/>
      <c r="V552" s="16"/>
      <c r="W552" s="16"/>
      <c r="X552" s="16"/>
      <c r="Y552" s="16"/>
      <c r="Z552" s="16"/>
      <c r="AA552" s="16"/>
      <c r="AB552" s="16"/>
      <c r="AC552" s="119">
        <f>IFERROR(__xludf.DUMMYFUNCTION("""COMPUTED_VALUE"""),10000.0)</f>
        <v>10000</v>
      </c>
      <c r="AD552" s="16"/>
      <c r="AE552" s="16"/>
      <c r="AF552" s="16" t="str">
        <f>IFERROR(__xludf.DUMMYFUNCTION("""COMPUTED_VALUE"""),"++When attacking with a firearm deal X4 damage. ++The target cannot resist or be immune to fire damage dealt by firearms. +-Forged Paladin Class Only.")</f>
        <v>++When attacking with a firearm deal X4 damage. ++The target cannot resist or be immune to fire damage dealt by firearms. +-Forged Paladin Class Only.</v>
      </c>
      <c r="AG552" s="16" t="str">
        <f>IFERROR(__xludf.DUMMYFUNCTION("""COMPUTED_VALUE"""),"Land of Spira")</f>
        <v>Land of Spira</v>
      </c>
      <c r="AH552" s="16" t="b">
        <f>IFERROR(__xludf.DUMMYFUNCTION("""COMPUTED_VALUE"""),FALSE)</f>
        <v>0</v>
      </c>
    </row>
    <row r="553">
      <c r="A553" s="16" t="str">
        <f>IFERROR(__xludf.DUMMYFUNCTION("""COMPUTED_VALUE"""),"Forged Firearm")</f>
        <v>Forged Firearm</v>
      </c>
      <c r="B553" s="16" t="str">
        <f>IFERROR(__xludf.DUMMYFUNCTION("""COMPUTED_VALUE"""),"Hand")</f>
        <v>Hand</v>
      </c>
      <c r="C553" s="16" t="str">
        <f>IFERROR(__xludf.DUMMYFUNCTION("""COMPUTED_VALUE"""),"Quest Item")</f>
        <v>Quest Item</v>
      </c>
      <c r="D553" s="16" t="str">
        <f>IFERROR(__xludf.DUMMYFUNCTION("""COMPUTED_VALUE"""),"Firearm")</f>
        <v>Firearm</v>
      </c>
      <c r="E553" s="16">
        <f>IFERROR(__xludf.DUMMYFUNCTION("""COMPUTED_VALUE"""),200.0)</f>
        <v>200</v>
      </c>
      <c r="F553" s="108">
        <f>IFERROR(__xludf.DUMMYFUNCTION("""COMPUTED_VALUE"""),1.99E8)</f>
        <v>199000000</v>
      </c>
      <c r="G553" s="16" t="str">
        <f>IFERROR(__xludf.DUMMYFUNCTION("""COMPUTED_VALUE"""),"DMG")</f>
        <v>DMG</v>
      </c>
      <c r="H553" s="119">
        <f>IFERROR(__xludf.DUMMYFUNCTION("""COMPUTED_VALUE"""),50000.0)</f>
        <v>50000</v>
      </c>
      <c r="I553" s="119">
        <f>IFERROR(__xludf.DUMMYFUNCTION("""COMPUTED_VALUE"""),25000.0)</f>
        <v>25000</v>
      </c>
      <c r="J553" s="16"/>
      <c r="K553" s="16"/>
      <c r="L553" s="16"/>
      <c r="M553" s="16"/>
      <c r="N553" s="16"/>
      <c r="O553" s="16"/>
      <c r="P553" s="16"/>
      <c r="Q553" s="16"/>
      <c r="R553" s="16"/>
      <c r="S553" s="16"/>
      <c r="T553" s="16"/>
      <c r="U553" s="16"/>
      <c r="V553" s="16"/>
      <c r="W553" s="16"/>
      <c r="X553" s="16"/>
      <c r="Y553" s="16"/>
      <c r="Z553" s="16"/>
      <c r="AA553" s="16"/>
      <c r="AB553" s="16"/>
      <c r="AC553" s="119">
        <f>IFERROR(__xludf.DUMMYFUNCTION("""COMPUTED_VALUE"""),25000.0)</f>
        <v>25000</v>
      </c>
      <c r="AD553" s="16"/>
      <c r="AE553" s="16"/>
      <c r="AF553" s="16" t="str">
        <f>IFERROR(__xludf.DUMMYFUNCTION("""COMPUTED_VALUE"""),"++X2 Firearm Damage. ++When equipped with the rest of the Forged Paladin gear deal X6 damage with this weapon. +-Forged Paladin Class Only.")</f>
        <v>++X2 Firearm Damage. ++When equipped with the rest of the Forged Paladin gear deal X6 damage with this weapon. +-Forged Paladin Class Only.</v>
      </c>
      <c r="AG553" s="16" t="str">
        <f>IFERROR(__xludf.DUMMYFUNCTION("""COMPUTED_VALUE"""),"Land of Spira")</f>
        <v>Land of Spira</v>
      </c>
      <c r="AH553" s="16" t="b">
        <f>IFERROR(__xludf.DUMMYFUNCTION("""COMPUTED_VALUE"""),FALSE)</f>
        <v>0</v>
      </c>
    </row>
    <row r="554">
      <c r="A554" s="16" t="str">
        <f>IFERROR(__xludf.DUMMYFUNCTION("""COMPUTED_VALUE"""),"Forged Towershield")</f>
        <v>Forged Towershield</v>
      </c>
      <c r="B554" s="16" t="str">
        <f>IFERROR(__xludf.DUMMYFUNCTION("""COMPUTED_VALUE"""),"Hand")</f>
        <v>Hand</v>
      </c>
      <c r="C554" s="16" t="str">
        <f>IFERROR(__xludf.DUMMYFUNCTION("""COMPUTED_VALUE"""),"Quest Item")</f>
        <v>Quest Item</v>
      </c>
      <c r="D554" s="16" t="str">
        <f>IFERROR(__xludf.DUMMYFUNCTION("""COMPUTED_VALUE"""),"Towershield")</f>
        <v>Towershield</v>
      </c>
      <c r="E554" s="16">
        <f>IFERROR(__xludf.DUMMYFUNCTION("""COMPUTED_VALUE"""),200.0)</f>
        <v>200</v>
      </c>
      <c r="F554" s="108">
        <f>IFERROR(__xludf.DUMMYFUNCTION("""COMPUTED_VALUE"""),5.4285E8)</f>
        <v>542850000</v>
      </c>
      <c r="G554" s="16" t="str">
        <f>IFERROR(__xludf.DUMMYFUNCTION("""COMPUTED_VALUE"""),"DEF")</f>
        <v>DEF</v>
      </c>
      <c r="H554" s="119">
        <f>IFERROR(__xludf.DUMMYFUNCTION("""COMPUTED_VALUE"""),50000.0)</f>
        <v>50000</v>
      </c>
      <c r="I554" s="119">
        <f>IFERROR(__xludf.DUMMYFUNCTION("""COMPUTED_VALUE"""),25000.0)</f>
        <v>25000</v>
      </c>
      <c r="J554" s="16"/>
      <c r="K554" s="119">
        <f>IFERROR(__xludf.DUMMYFUNCTION("""COMPUTED_VALUE"""),15000.0)</f>
        <v>15000</v>
      </c>
      <c r="L554" s="16"/>
      <c r="M554" s="16"/>
      <c r="N554" s="16"/>
      <c r="O554" s="16"/>
      <c r="P554" s="16"/>
      <c r="Q554" s="16"/>
      <c r="R554" s="16"/>
      <c r="S554" s="119">
        <f>IFERROR(__xludf.DUMMYFUNCTION("""COMPUTED_VALUE"""),50000.0)</f>
        <v>50000</v>
      </c>
      <c r="T554" s="16"/>
      <c r="U554" s="16"/>
      <c r="V554" s="16"/>
      <c r="W554" s="16"/>
      <c r="X554" s="16"/>
      <c r="Y554" s="16"/>
      <c r="Z554" s="16"/>
      <c r="AA554" s="16"/>
      <c r="AB554" s="16"/>
      <c r="AC554" s="119">
        <f>IFERROR(__xludf.DUMMYFUNCTION("""COMPUTED_VALUE"""),25000.0)</f>
        <v>25000</v>
      </c>
      <c r="AD554" s="16"/>
      <c r="AE554" s="16"/>
      <c r="AF554" s="16" t="str">
        <f>IFERROR(__xludf.DUMMYFUNCTION("""COMPUTED_VALUE"""),"++X2 defense. ++When equipped with the rest of the Forged Paladin gear gain X6 defense. +-Forged Paladin Class Only.")</f>
        <v>++X2 defense. ++When equipped with the rest of the Forged Paladin gear gain X6 defense. +-Forged Paladin Class Only.</v>
      </c>
      <c r="AG554" s="16" t="str">
        <f>IFERROR(__xludf.DUMMYFUNCTION("""COMPUTED_VALUE"""),"Land of Spira")</f>
        <v>Land of Spira</v>
      </c>
      <c r="AH554" s="16" t="b">
        <f>IFERROR(__xludf.DUMMYFUNCTION("""COMPUTED_VALUE"""),FALSE)</f>
        <v>0</v>
      </c>
    </row>
    <row r="555">
      <c r="A555" s="16" t="str">
        <f>IFERROR(__xludf.DUMMYFUNCTION("""COMPUTED_VALUE"""),"Forged Leg guard")</f>
        <v>Forged Leg guard</v>
      </c>
      <c r="B555" s="16" t="str">
        <f>IFERROR(__xludf.DUMMYFUNCTION("""COMPUTED_VALUE"""),"Legs")</f>
        <v>Legs</v>
      </c>
      <c r="C555" s="16" t="str">
        <f>IFERROR(__xludf.DUMMYFUNCTION("""COMPUTED_VALUE"""),"Quest Item")</f>
        <v>Quest Item</v>
      </c>
      <c r="D555" s="16"/>
      <c r="E555" s="16">
        <f>IFERROR(__xludf.DUMMYFUNCTION("""COMPUTED_VALUE"""),200.0)</f>
        <v>200</v>
      </c>
      <c r="F555" s="108">
        <f>IFERROR(__xludf.DUMMYFUNCTION("""COMPUTED_VALUE"""),1.1175E8)</f>
        <v>111750000</v>
      </c>
      <c r="G555" s="16" t="str">
        <f>IFERROR(__xludf.DUMMYFUNCTION("""COMPUTED_VALUE"""),"DEF")</f>
        <v>DEF</v>
      </c>
      <c r="H555" s="119">
        <f>IFERROR(__xludf.DUMMYFUNCTION("""COMPUTED_VALUE"""),25000.0)</f>
        <v>25000</v>
      </c>
      <c r="I555" s="119">
        <f>IFERROR(__xludf.DUMMYFUNCTION("""COMPUTED_VALUE"""),10000.0)</f>
        <v>10000</v>
      </c>
      <c r="J555" s="16"/>
      <c r="K555" s="119">
        <f>IFERROR(__xludf.DUMMYFUNCTION("""COMPUTED_VALUE"""),5000.0)</f>
        <v>5000</v>
      </c>
      <c r="L555" s="16"/>
      <c r="M555" s="16"/>
      <c r="N555" s="16"/>
      <c r="O555" s="16"/>
      <c r="P555" s="16"/>
      <c r="Q555" s="16"/>
      <c r="R555" s="16"/>
      <c r="S555" s="119">
        <f>IFERROR(__xludf.DUMMYFUNCTION("""COMPUTED_VALUE"""),25000.0)</f>
        <v>25000</v>
      </c>
      <c r="T555" s="16"/>
      <c r="U555" s="16"/>
      <c r="V555" s="16"/>
      <c r="W555" s="16"/>
      <c r="X555" s="16"/>
      <c r="Y555" s="16"/>
      <c r="Z555" s="16"/>
      <c r="AA555" s="16"/>
      <c r="AB555" s="16"/>
      <c r="AC555" s="119">
        <f>IFERROR(__xludf.DUMMYFUNCTION("""COMPUTED_VALUE"""),10000.0)</f>
        <v>10000</v>
      </c>
      <c r="AD555" s="16"/>
      <c r="AE555" s="16"/>
      <c r="AF555" s="16" t="str">
        <f>IFERROR(__xludf.DUMMYFUNCTION("""COMPUTED_VALUE"""),"++When affected by Burn, Heal by the damage instead. +-Forged Paladin Class Only.")</f>
        <v>++When affected by Burn, Heal by the damage instead. +-Forged Paladin Class Only.</v>
      </c>
      <c r="AG555" s="16" t="str">
        <f>IFERROR(__xludf.DUMMYFUNCTION("""COMPUTED_VALUE"""),"Land of Spira")</f>
        <v>Land of Spira</v>
      </c>
      <c r="AH555" s="16" t="b">
        <f>IFERROR(__xludf.DUMMYFUNCTION("""COMPUTED_VALUE"""),FALSE)</f>
        <v>0</v>
      </c>
    </row>
    <row r="556">
      <c r="A556" s="16" t="str">
        <f>IFERROR(__xludf.DUMMYFUNCTION("""COMPUTED_VALUE"""),"Forged Sabatons")</f>
        <v>Forged Sabatons</v>
      </c>
      <c r="B556" s="16" t="str">
        <f>IFERROR(__xludf.DUMMYFUNCTION("""COMPUTED_VALUE"""),"Feet")</f>
        <v>Feet</v>
      </c>
      <c r="C556" s="16" t="str">
        <f>IFERROR(__xludf.DUMMYFUNCTION("""COMPUTED_VALUE"""),"Quest Item")</f>
        <v>Quest Item</v>
      </c>
      <c r="D556" s="16"/>
      <c r="E556" s="16">
        <f>IFERROR(__xludf.DUMMYFUNCTION("""COMPUTED_VALUE"""),200.0)</f>
        <v>200</v>
      </c>
      <c r="F556" s="108">
        <f>IFERROR(__xludf.DUMMYFUNCTION("""COMPUTED_VALUE"""),1.1175E8)</f>
        <v>111750000</v>
      </c>
      <c r="G556" s="16" t="str">
        <f>IFERROR(__xludf.DUMMYFUNCTION("""COMPUTED_VALUE"""),"DEF")</f>
        <v>DEF</v>
      </c>
      <c r="H556" s="119">
        <f>IFERROR(__xludf.DUMMYFUNCTION("""COMPUTED_VALUE"""),25000.0)</f>
        <v>25000</v>
      </c>
      <c r="I556" s="119">
        <f>IFERROR(__xludf.DUMMYFUNCTION("""COMPUTED_VALUE"""),10000.0)</f>
        <v>10000</v>
      </c>
      <c r="J556" s="16"/>
      <c r="K556" s="119">
        <f>IFERROR(__xludf.DUMMYFUNCTION("""COMPUTED_VALUE"""),5000.0)</f>
        <v>5000</v>
      </c>
      <c r="L556" s="16"/>
      <c r="M556" s="16"/>
      <c r="N556" s="16"/>
      <c r="O556" s="16"/>
      <c r="P556" s="16"/>
      <c r="Q556" s="16"/>
      <c r="R556" s="16"/>
      <c r="S556" s="119">
        <f>IFERROR(__xludf.DUMMYFUNCTION("""COMPUTED_VALUE"""),25000.0)</f>
        <v>25000</v>
      </c>
      <c r="T556" s="16"/>
      <c r="U556" s="16"/>
      <c r="V556" s="16"/>
      <c r="W556" s="16"/>
      <c r="X556" s="16"/>
      <c r="Y556" s="16"/>
      <c r="Z556" s="16"/>
      <c r="AA556" s="16"/>
      <c r="AB556" s="16"/>
      <c r="AC556" s="119">
        <f>IFERROR(__xludf.DUMMYFUNCTION("""COMPUTED_VALUE"""),10000.0)</f>
        <v>10000</v>
      </c>
      <c r="AD556" s="16"/>
      <c r="AE556" s="16"/>
      <c r="AF556" s="16" t="str">
        <f>IFERROR(__xludf.DUMMYFUNCTION("""COMPUTED_VALUE"""),"++When attacking with a fire spell add ++5 to roll. +-Forged Paladin Class Only.")</f>
        <v>++When attacking with a fire spell add ++5 to roll. +-Forged Paladin Class Only.</v>
      </c>
      <c r="AG556" s="16" t="str">
        <f>IFERROR(__xludf.DUMMYFUNCTION("""COMPUTED_VALUE"""),"Land of Spira")</f>
        <v>Land of Spira</v>
      </c>
      <c r="AH556" s="16" t="b">
        <f>IFERROR(__xludf.DUMMYFUNCTION("""COMPUTED_VALUE"""),FALSE)</f>
        <v>0</v>
      </c>
    </row>
    <row r="557">
      <c r="A557" s="16" t="str">
        <f>IFERROR(__xludf.DUMMYFUNCTION("""COMPUTED_VALUE"""),"Scrap Ring")</f>
        <v>Scrap Ring</v>
      </c>
      <c r="B557" s="16" t="str">
        <f>IFERROR(__xludf.DUMMYFUNCTION("""COMPUTED_VALUE"""),"Ring")</f>
        <v>Ring</v>
      </c>
      <c r="C557" s="16" t="str">
        <f>IFERROR(__xludf.DUMMYFUNCTION("""COMPUTED_VALUE"""),"Quest Item")</f>
        <v>Quest Item</v>
      </c>
      <c r="D557" s="16"/>
      <c r="E557" s="16">
        <f>IFERROR(__xludf.DUMMYFUNCTION("""COMPUTED_VALUE"""),1.0)</f>
        <v>1</v>
      </c>
      <c r="F557" s="108">
        <f>IFERROR(__xludf.DUMMYFUNCTION("""COMPUTED_VALUE"""),0.0)</f>
        <v>0</v>
      </c>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t="str">
        <f>IFERROR(__xludf.DUMMYFUNCTION("""COMPUTED_VALUE"""),"++When you attack an enemy with a firearm, inflict Marked 3. +-Forged Paladin Class Only.")</f>
        <v>++When you attack an enemy with a firearm, inflict Marked 3. +-Forged Paladin Class Only.</v>
      </c>
      <c r="AG557" s="16" t="str">
        <f>IFERROR(__xludf.DUMMYFUNCTION("""COMPUTED_VALUE"""),"Land of Spira")</f>
        <v>Land of Spira</v>
      </c>
      <c r="AH557" s="16" t="b">
        <f>IFERROR(__xludf.DUMMYFUNCTION("""COMPUTED_VALUE"""),FALSE)</f>
        <v>0</v>
      </c>
    </row>
    <row r="558">
      <c r="A558" s="16" t="str">
        <f>IFERROR(__xludf.DUMMYFUNCTION("""COMPUTED_VALUE"""),"Scrap Gorget")</f>
        <v>Scrap Gorget</v>
      </c>
      <c r="B558" s="16" t="str">
        <f>IFERROR(__xludf.DUMMYFUNCTION("""COMPUTED_VALUE"""),"Neck")</f>
        <v>Neck</v>
      </c>
      <c r="C558" s="16" t="str">
        <f>IFERROR(__xludf.DUMMYFUNCTION("""COMPUTED_VALUE"""),"Quest Item")</f>
        <v>Quest Item</v>
      </c>
      <c r="D558" s="16"/>
      <c r="E558" s="16">
        <f>IFERROR(__xludf.DUMMYFUNCTION("""COMPUTED_VALUE"""),1.0)</f>
        <v>1</v>
      </c>
      <c r="F558" s="108">
        <f>IFERROR(__xludf.DUMMYFUNCTION("""COMPUTED_VALUE"""),0.0)</f>
        <v>0</v>
      </c>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t="str">
        <f>IFERROR(__xludf.DUMMYFUNCTION("""COMPUTED_VALUE"""),"++When being attacked with any form of firearm deal half damage back to the enemy that attacked you. +-Forged Paladin Class Only.")</f>
        <v>++When being attacked with any form of firearm deal half damage back to the enemy that attacked you. +-Forged Paladin Class Only.</v>
      </c>
      <c r="AG558" s="16" t="str">
        <f>IFERROR(__xludf.DUMMYFUNCTION("""COMPUTED_VALUE"""),"Land of Spira")</f>
        <v>Land of Spira</v>
      </c>
      <c r="AH558" s="16" t="b">
        <f>IFERROR(__xludf.DUMMYFUNCTION("""COMPUTED_VALUE"""),FALSE)</f>
        <v>0</v>
      </c>
    </row>
    <row r="559">
      <c r="A559" s="16" t="str">
        <f>IFERROR(__xludf.DUMMYFUNCTION("""COMPUTED_VALUE"""),"Minstrel's Cap")</f>
        <v>Minstrel's Cap</v>
      </c>
      <c r="B559" s="16" t="str">
        <f>IFERROR(__xludf.DUMMYFUNCTION("""COMPUTED_VALUE"""),"Head")</f>
        <v>Head</v>
      </c>
      <c r="C559" s="16" t="str">
        <f>IFERROR(__xludf.DUMMYFUNCTION("""COMPUTED_VALUE"""),"Quest Item")</f>
        <v>Quest Item</v>
      </c>
      <c r="D559" s="16"/>
      <c r="E559" s="16">
        <f>IFERROR(__xludf.DUMMYFUNCTION("""COMPUTED_VALUE"""),400.0)</f>
        <v>400</v>
      </c>
      <c r="F559" s="108">
        <f>IFERROR(__xludf.DUMMYFUNCTION("""COMPUTED_VALUE"""),7800000.0)</f>
        <v>7800000</v>
      </c>
      <c r="G559" s="16" t="str">
        <f>IFERROR(__xludf.DUMMYFUNCTION("""COMPUTED_VALUE"""),"DEF")</f>
        <v>DEF</v>
      </c>
      <c r="H559" s="119">
        <f>IFERROR(__xludf.DUMMYFUNCTION("""COMPUTED_VALUE"""),20000.0)</f>
        <v>20000</v>
      </c>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t="str">
        <f>IFERROR(__xludf.DUMMYFUNCTION("""COMPUTED_VALUE"""),"++20,000 ACC and ATK. ++Upon reaching 5 stacks of Disoriented inflict Marked 3 on all enemies. +-Paladin of The Party and Bard Class only.")</f>
        <v>++20,000 ACC and ATK. ++Upon reaching 5 stacks of Disoriented inflict Marked 3 on all enemies. +-Paladin of The Party and Bard Class only.</v>
      </c>
      <c r="AG559" s="16" t="str">
        <f>IFERROR(__xludf.DUMMYFUNCTION("""COMPUTED_VALUE"""),"Solreach")</f>
        <v>Solreach</v>
      </c>
      <c r="AH559" s="16" t="b">
        <f>IFERROR(__xludf.DUMMYFUNCTION("""COMPUTED_VALUE"""),TRUE)</f>
        <v>1</v>
      </c>
    </row>
    <row r="560">
      <c r="A560" s="16" t="str">
        <f>IFERROR(__xludf.DUMMYFUNCTION("""COMPUTED_VALUE"""),"Minstrel's Cape")</f>
        <v>Minstrel's Cape</v>
      </c>
      <c r="B560" s="16" t="str">
        <f>IFERROR(__xludf.DUMMYFUNCTION("""COMPUTED_VALUE"""),"Shoulders")</f>
        <v>Shoulders</v>
      </c>
      <c r="C560" s="16" t="str">
        <f>IFERROR(__xludf.DUMMYFUNCTION("""COMPUTED_VALUE"""),"Quest Item")</f>
        <v>Quest Item</v>
      </c>
      <c r="D560" s="16"/>
      <c r="E560" s="16">
        <f>IFERROR(__xludf.DUMMYFUNCTION("""COMPUTED_VALUE"""),400.0)</f>
        <v>400</v>
      </c>
      <c r="F560" s="108">
        <f>IFERROR(__xludf.DUMMYFUNCTION("""COMPUTED_VALUE"""),7800000.0)</f>
        <v>7800000</v>
      </c>
      <c r="G560" s="16" t="str">
        <f>IFERROR(__xludf.DUMMYFUNCTION("""COMPUTED_VALUE"""),"DEF")</f>
        <v>DEF</v>
      </c>
      <c r="H560" s="119">
        <f>IFERROR(__xludf.DUMMYFUNCTION("""COMPUTED_VALUE"""),20000.0)</f>
        <v>20000</v>
      </c>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t="str">
        <f>IFERROR(__xludf.DUMMYFUNCTION("""COMPUTED_VALUE"""),"++ 20,000 ACC and ATK. ++When casting any form of buffing spell, double the effects for the rest of the round. +-Paladin of The Party and Bard Class only.")</f>
        <v>++ 20,000 ACC and ATK. ++When casting any form of buffing spell, double the effects for the rest of the round. +-Paladin of The Party and Bard Class only.</v>
      </c>
      <c r="AG560" s="16" t="str">
        <f>IFERROR(__xludf.DUMMYFUNCTION("""COMPUTED_VALUE"""),"Solreach")</f>
        <v>Solreach</v>
      </c>
      <c r="AH560" s="16" t="b">
        <f>IFERROR(__xludf.DUMMYFUNCTION("""COMPUTED_VALUE"""),TRUE)</f>
        <v>1</v>
      </c>
    </row>
    <row r="561">
      <c r="A561" s="16" t="str">
        <f>IFERROR(__xludf.DUMMYFUNCTION("""COMPUTED_VALUE"""),"Minstrel's Doublet")</f>
        <v>Minstrel's Doublet</v>
      </c>
      <c r="B561" s="16" t="str">
        <f>IFERROR(__xludf.DUMMYFUNCTION("""COMPUTED_VALUE"""),"Torso")</f>
        <v>Torso</v>
      </c>
      <c r="C561" s="16" t="str">
        <f>IFERROR(__xludf.DUMMYFUNCTION("""COMPUTED_VALUE"""),"Quest Item")</f>
        <v>Quest Item</v>
      </c>
      <c r="D561" s="16"/>
      <c r="E561" s="16">
        <f>IFERROR(__xludf.DUMMYFUNCTION("""COMPUTED_VALUE"""),800.0)</f>
        <v>800</v>
      </c>
      <c r="F561" s="108">
        <f>IFERROR(__xludf.DUMMYFUNCTION("""COMPUTED_VALUE"""),3.16E7)</f>
        <v>31600000</v>
      </c>
      <c r="G561" s="16" t="str">
        <f>IFERROR(__xludf.DUMMYFUNCTION("""COMPUTED_VALUE"""),"DEF")</f>
        <v>DEF</v>
      </c>
      <c r="H561" s="119">
        <f>IFERROR(__xludf.DUMMYFUNCTION("""COMPUTED_VALUE"""),40000.0)</f>
        <v>40000</v>
      </c>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t="str">
        <f>IFERROR(__xludf.DUMMYFUNCTION("""COMPUTED_VALUE"""),"++20,000 ACC and ATK. ++Upon surpassing 3 stacks of Disoriented you gain Invigorated until you drop below 3 stacks of Disoriented. +-Paladin of The Party and Bard Class only.")</f>
        <v>++20,000 ACC and ATK. ++Upon surpassing 3 stacks of Disoriented you gain Invigorated until you drop below 3 stacks of Disoriented. +-Paladin of The Party and Bard Class only.</v>
      </c>
      <c r="AG561" s="16" t="str">
        <f>IFERROR(__xludf.DUMMYFUNCTION("""COMPUTED_VALUE"""),"Solreach")</f>
        <v>Solreach</v>
      </c>
      <c r="AH561" s="16" t="b">
        <f>IFERROR(__xludf.DUMMYFUNCTION("""COMPUTED_VALUE"""),TRUE)</f>
        <v>1</v>
      </c>
    </row>
    <row r="562">
      <c r="A562" s="16" t="str">
        <f>IFERROR(__xludf.DUMMYFUNCTION("""COMPUTED_VALUE"""),"Minstrel's Cuffs")</f>
        <v>Minstrel's Cuffs</v>
      </c>
      <c r="B562" s="16" t="str">
        <f>IFERROR(__xludf.DUMMYFUNCTION("""COMPUTED_VALUE"""),"Arms")</f>
        <v>Arms</v>
      </c>
      <c r="C562" s="16" t="str">
        <f>IFERROR(__xludf.DUMMYFUNCTION("""COMPUTED_VALUE"""),"Quest Item")</f>
        <v>Quest Item</v>
      </c>
      <c r="D562" s="16"/>
      <c r="E562" s="16">
        <f>IFERROR(__xludf.DUMMYFUNCTION("""COMPUTED_VALUE"""),400.0)</f>
        <v>400</v>
      </c>
      <c r="F562" s="108">
        <f>IFERROR(__xludf.DUMMYFUNCTION("""COMPUTED_VALUE"""),7800000.0)</f>
        <v>7800000</v>
      </c>
      <c r="G562" s="16" t="str">
        <f>IFERROR(__xludf.DUMMYFUNCTION("""COMPUTED_VALUE"""),"DEF")</f>
        <v>DEF</v>
      </c>
      <c r="H562" s="119">
        <f>IFERROR(__xludf.DUMMYFUNCTION("""COMPUTED_VALUE"""),20000.0)</f>
        <v>20000</v>
      </c>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t="str">
        <f>IFERROR(__xludf.DUMMYFUNCTION("""COMPUTED_VALUE"""),"++20,000 ACC and ATK. ++When using the entire Minstrel set you Double the DEF, ACC, and ATK of all allies. +-Paladin of The Party and Bard Class only.")</f>
        <v>++20,000 ACC and ATK. ++When using the entire Minstrel set you Double the DEF, ACC, and ATK of all allies. +-Paladin of The Party and Bard Class only.</v>
      </c>
      <c r="AG562" s="16" t="str">
        <f>IFERROR(__xludf.DUMMYFUNCTION("""COMPUTED_VALUE"""),"Solreach")</f>
        <v>Solreach</v>
      </c>
      <c r="AH562" s="16" t="b">
        <f>IFERROR(__xludf.DUMMYFUNCTION("""COMPUTED_VALUE"""),TRUE)</f>
        <v>1</v>
      </c>
    </row>
    <row r="563">
      <c r="A563" s="16" t="str">
        <f>IFERROR(__xludf.DUMMYFUNCTION("""COMPUTED_VALUE"""),"Heavenly Lute")</f>
        <v>Heavenly Lute</v>
      </c>
      <c r="B563" s="16" t="str">
        <f>IFERROR(__xludf.DUMMYFUNCTION("""COMPUTED_VALUE"""),"Hand")</f>
        <v>Hand</v>
      </c>
      <c r="C563" s="16" t="str">
        <f>IFERROR(__xludf.DUMMYFUNCTION("""COMPUTED_VALUE"""),"Quest Item")</f>
        <v>Quest Item</v>
      </c>
      <c r="D563" s="16" t="str">
        <f>IFERROR(__xludf.DUMMYFUNCTION("""COMPUTED_VALUE"""),"Instrument")</f>
        <v>Instrument</v>
      </c>
      <c r="E563" s="16">
        <f>IFERROR(__xludf.DUMMYFUNCTION("""COMPUTED_VALUE"""),900.0)</f>
        <v>900</v>
      </c>
      <c r="F563" s="108">
        <f>IFERROR(__xludf.DUMMYFUNCTION("""COMPUTED_VALUE"""),4.005E7)</f>
        <v>40050000</v>
      </c>
      <c r="G563" s="16" t="str">
        <f>IFERROR(__xludf.DUMMYFUNCTION("""COMPUTED_VALUE"""),"DMG")</f>
        <v>DMG</v>
      </c>
      <c r="H563" s="119">
        <f>IFERROR(__xludf.DUMMYFUNCTION("""COMPUTED_VALUE"""),20000.0)</f>
        <v>20000</v>
      </c>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19">
        <f>IFERROR(__xludf.DUMMYFUNCTION("""COMPUTED_VALUE"""),25000.0)</f>
        <v>25000</v>
      </c>
      <c r="AF563" s="16" t="str">
        <f>IFERROR(__xludf.DUMMYFUNCTION("""COMPUTED_VALUE"""),"++When attacking an enemy with this weapon gain 1 stack of Disoriented. ++May The Show Go On!: Expend all stacks of Disoriented dealing X*15000 Acoustic Damage for every stack of Disoriented expended,100 sp. +-Paladin of The Party and Bard Class only.")</f>
        <v>++When attacking an enemy with this weapon gain 1 stack of Disoriented. ++May The Show Go On!: Expend all stacks of Disoriented dealing X*15000 Acoustic Damage for every stack of Disoriented expended,100 sp. +-Paladin of The Party and Bard Class only.</v>
      </c>
      <c r="AG563" s="16" t="str">
        <f>IFERROR(__xludf.DUMMYFUNCTION("""COMPUTED_VALUE"""),"Solreach")</f>
        <v>Solreach</v>
      </c>
      <c r="AH563" s="16" t="b">
        <f>IFERROR(__xludf.DUMMYFUNCTION("""COMPUTED_VALUE"""),TRUE)</f>
        <v>1</v>
      </c>
    </row>
    <row r="564">
      <c r="A564" s="16" t="str">
        <f>IFERROR(__xludf.DUMMYFUNCTION("""COMPUTED_VALUE"""),"Wine Stained Buckler With Portable Alcoholism")</f>
        <v>Wine Stained Buckler With Portable Alcoholism</v>
      </c>
      <c r="B564" s="16" t="str">
        <f>IFERROR(__xludf.DUMMYFUNCTION("""COMPUTED_VALUE"""),"Hand")</f>
        <v>Hand</v>
      </c>
      <c r="C564" s="16" t="str">
        <f>IFERROR(__xludf.DUMMYFUNCTION("""COMPUTED_VALUE"""),"Quest Item")</f>
        <v>Quest Item</v>
      </c>
      <c r="D564" s="16" t="str">
        <f>IFERROR(__xludf.DUMMYFUNCTION("""COMPUTED_VALUE"""),"Buckler")</f>
        <v>Buckler</v>
      </c>
      <c r="E564" s="16">
        <f>IFERROR(__xludf.DUMMYFUNCTION("""COMPUTED_VALUE"""),1500.0)</f>
        <v>1500</v>
      </c>
      <c r="F564" s="108">
        <f>IFERROR(__xludf.DUMMYFUNCTION("""COMPUTED_VALUE"""),1.1175E8)</f>
        <v>111750000</v>
      </c>
      <c r="G564" s="16" t="str">
        <f>IFERROR(__xludf.DUMMYFUNCTION("""COMPUTED_VALUE"""),"DEF")</f>
        <v>DEF</v>
      </c>
      <c r="H564" s="119">
        <f>IFERROR(__xludf.DUMMYFUNCTION("""COMPUTED_VALUE"""),50000.0)</f>
        <v>50000</v>
      </c>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19">
        <f>IFERROR(__xludf.DUMMYFUNCTION("""COMPUTED_VALUE"""),25000.0)</f>
        <v>25000</v>
      </c>
      <c r="AF564" s="16" t="str">
        <f>IFERROR(__xludf.DUMMYFUNCTION("""COMPUTED_VALUE"""),"++Free Wine for All!: When hitting an enemy with this Buckler inflict 3 stacks of Disoriented on that enemy. +-That all you got?: When hit by any attack take 2 stacks of Disoriented. +-Paladin of The Party and Bard Class only.")</f>
        <v>++Free Wine for All!: When hitting an enemy with this Buckler inflict 3 stacks of Disoriented on that enemy. +-That all you got?: When hit by any attack take 2 stacks of Disoriented. +-Paladin of The Party and Bard Class only.</v>
      </c>
      <c r="AG564" s="16" t="str">
        <f>IFERROR(__xludf.DUMMYFUNCTION("""COMPUTED_VALUE"""),"Solreach")</f>
        <v>Solreach</v>
      </c>
      <c r="AH564" s="16" t="b">
        <f>IFERROR(__xludf.DUMMYFUNCTION("""COMPUTED_VALUE"""),TRUE)</f>
        <v>1</v>
      </c>
    </row>
    <row r="565">
      <c r="A565" s="16" t="str">
        <f>IFERROR(__xludf.DUMMYFUNCTION("""COMPUTED_VALUE"""),"Minstrel's Tights")</f>
        <v>Minstrel's Tights</v>
      </c>
      <c r="B565" s="16" t="str">
        <f>IFERROR(__xludf.DUMMYFUNCTION("""COMPUTED_VALUE"""),"Legs")</f>
        <v>Legs</v>
      </c>
      <c r="C565" s="16" t="str">
        <f>IFERROR(__xludf.DUMMYFUNCTION("""COMPUTED_VALUE"""),"Quest Item")</f>
        <v>Quest Item</v>
      </c>
      <c r="D565" s="16"/>
      <c r="E565" s="16">
        <f>IFERROR(__xludf.DUMMYFUNCTION("""COMPUTED_VALUE"""),400.0)</f>
        <v>400</v>
      </c>
      <c r="F565" s="108">
        <f>IFERROR(__xludf.DUMMYFUNCTION("""COMPUTED_VALUE"""),7800000.0)</f>
        <v>7800000</v>
      </c>
      <c r="G565" s="16" t="str">
        <f>IFERROR(__xludf.DUMMYFUNCTION("""COMPUTED_VALUE"""),"DEF")</f>
        <v>DEF</v>
      </c>
      <c r="H565" s="119">
        <f>IFERROR(__xludf.DUMMYFUNCTION("""COMPUTED_VALUE"""),20000.0)</f>
        <v>20000</v>
      </c>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t="str">
        <f>IFERROR(__xludf.DUMMYFUNCTION("""COMPUTED_VALUE"""),"++20,000 ACC and ATK. ++X2 Acoustic Damage +-Paladin of The Party and Bard Class only.")</f>
        <v>++20,000 ACC and ATK. ++X2 Acoustic Damage +-Paladin of The Party and Bard Class only.</v>
      </c>
      <c r="AG565" s="16" t="str">
        <f>IFERROR(__xludf.DUMMYFUNCTION("""COMPUTED_VALUE"""),"Solreach")</f>
        <v>Solreach</v>
      </c>
      <c r="AH565" s="16" t="b">
        <f>IFERROR(__xludf.DUMMYFUNCTION("""COMPUTED_VALUE"""),TRUE)</f>
        <v>1</v>
      </c>
    </row>
    <row r="566">
      <c r="A566" s="16" t="str">
        <f>IFERROR(__xludf.DUMMYFUNCTION("""COMPUTED_VALUE"""),"Minstrel's Boots")</f>
        <v>Minstrel's Boots</v>
      </c>
      <c r="B566" s="16" t="str">
        <f>IFERROR(__xludf.DUMMYFUNCTION("""COMPUTED_VALUE"""),"Feet")</f>
        <v>Feet</v>
      </c>
      <c r="C566" s="16" t="str">
        <f>IFERROR(__xludf.DUMMYFUNCTION("""COMPUTED_VALUE"""),"Quest Item")</f>
        <v>Quest Item</v>
      </c>
      <c r="D566" s="16"/>
      <c r="E566" s="16">
        <f>IFERROR(__xludf.DUMMYFUNCTION("""COMPUTED_VALUE"""),400.0)</f>
        <v>400</v>
      </c>
      <c r="F566" s="108">
        <f>IFERROR(__xludf.DUMMYFUNCTION("""COMPUTED_VALUE"""),7800000.0)</f>
        <v>7800000</v>
      </c>
      <c r="G566" s="16" t="str">
        <f>IFERROR(__xludf.DUMMYFUNCTION("""COMPUTED_VALUE"""),"DEF")</f>
        <v>DEF</v>
      </c>
      <c r="H566" s="119">
        <f>IFERROR(__xludf.DUMMYFUNCTION("""COMPUTED_VALUE"""),20000.0)</f>
        <v>20000</v>
      </c>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t="str">
        <f>IFERROR(__xludf.DUMMYFUNCTION("""COMPUTED_VALUE"""),"++20,000 ACC and ATK. ++Never Ending Dance of The Divine: Upon reaching 5 stacks of Disoriented inflict Haste 3 to all allies +-Paladin of The Party and Bard Class only.")</f>
        <v>++20,000 ACC and ATK. ++Never Ending Dance of The Divine: Upon reaching 5 stacks of Disoriented inflict Haste 3 to all allies +-Paladin of The Party and Bard Class only.</v>
      </c>
      <c r="AG566" s="16" t="str">
        <f>IFERROR(__xludf.DUMMYFUNCTION("""COMPUTED_VALUE"""),"Solreach")</f>
        <v>Solreach</v>
      </c>
      <c r="AH566" s="16" t="b">
        <f>IFERROR(__xludf.DUMMYFUNCTION("""COMPUTED_VALUE"""),TRUE)</f>
        <v>1</v>
      </c>
    </row>
    <row r="567">
      <c r="A567" s="16" t="str">
        <f>IFERROR(__xludf.DUMMYFUNCTION("""COMPUTED_VALUE"""),"Brass Ring of Blackout Drunkenness")</f>
        <v>Brass Ring of Blackout Drunkenness</v>
      </c>
      <c r="B567" s="16" t="str">
        <f>IFERROR(__xludf.DUMMYFUNCTION("""COMPUTED_VALUE"""),"Ring")</f>
        <v>Ring</v>
      </c>
      <c r="C567" s="16" t="str">
        <f>IFERROR(__xludf.DUMMYFUNCTION("""COMPUTED_VALUE"""),"Quest Item")</f>
        <v>Quest Item</v>
      </c>
      <c r="D567" s="16"/>
      <c r="E567" s="16">
        <f>IFERROR(__xludf.DUMMYFUNCTION("""COMPUTED_VALUE"""),1.0)</f>
        <v>1</v>
      </c>
      <c r="F567" s="108">
        <f>IFERROR(__xludf.DUMMYFUNCTION("""COMPUTED_VALUE"""),0.0)</f>
        <v>0</v>
      </c>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t="str">
        <f>IFERROR(__xludf.DUMMYFUNCTION("""COMPUTED_VALUE"""),"++Upon Reaching 10 stacks of Disoriented remove a random enemy from battle whilst also being removed from battle yourself. +-Paladin of The Party and Bard Class only.")</f>
        <v>++Upon Reaching 10 stacks of Disoriented remove a random enemy from battle whilst also being removed from battle yourself. +-Paladin of The Party and Bard Class only.</v>
      </c>
      <c r="AG567" s="16" t="str">
        <f>IFERROR(__xludf.DUMMYFUNCTION("""COMPUTED_VALUE"""),"Solreach")</f>
        <v>Solreach</v>
      </c>
      <c r="AH567" s="16" t="b">
        <f>IFERROR(__xludf.DUMMYFUNCTION("""COMPUTED_VALUE"""),FALSE)</f>
        <v>0</v>
      </c>
    </row>
    <row r="568">
      <c r="A568" s="16" t="str">
        <f>IFERROR(__xludf.DUMMYFUNCTION("""COMPUTED_VALUE"""),"Wreath of The Party's Fervor")</f>
        <v>Wreath of The Party's Fervor</v>
      </c>
      <c r="B568" s="16" t="str">
        <f>IFERROR(__xludf.DUMMYFUNCTION("""COMPUTED_VALUE"""),"Neck")</f>
        <v>Neck</v>
      </c>
      <c r="C568" s="16" t="str">
        <f>IFERROR(__xludf.DUMMYFUNCTION("""COMPUTED_VALUE"""),"Quest Item")</f>
        <v>Quest Item</v>
      </c>
      <c r="D568" s="16"/>
      <c r="E568" s="16">
        <f>IFERROR(__xludf.DUMMYFUNCTION("""COMPUTED_VALUE"""),1.0)</f>
        <v>1</v>
      </c>
      <c r="F568" s="108">
        <f>IFERROR(__xludf.DUMMYFUNCTION("""COMPUTED_VALUE"""),0.0)</f>
        <v>0</v>
      </c>
      <c r="G568" s="16"/>
      <c r="H568" s="16"/>
      <c r="I568" s="16"/>
      <c r="J568" s="16"/>
      <c r="K568" s="16"/>
      <c r="L568" s="16"/>
      <c r="M568" s="16"/>
      <c r="N568" s="16"/>
      <c r="O568" s="16"/>
      <c r="P568" s="16"/>
      <c r="Q568" s="16"/>
      <c r="R568" s="16"/>
      <c r="S568" s="16"/>
      <c r="T568" s="16"/>
      <c r="U568" s="16"/>
      <c r="V568" s="16"/>
      <c r="W568" s="16"/>
      <c r="X568" s="16"/>
      <c r="Y568" s="16"/>
      <c r="Z568" s="16"/>
      <c r="AA568" s="16"/>
      <c r="AB568" s="16"/>
      <c r="AC568" s="16"/>
      <c r="AD568" s="16"/>
      <c r="AE568" s="16"/>
      <c r="AF568" s="16" t="str">
        <f>IFERROR(__xludf.DUMMYFUNCTION("""COMPUTED_VALUE"""),"++When dealing Acoustic damage to any enemy there is a 5% chance for that enemy to be pacified for 3 rounds +-Paladin of The Party and Bard Class only.")</f>
        <v>++When dealing Acoustic damage to any enemy there is a 5% chance for that enemy to be pacified for 3 rounds +-Paladin of The Party and Bard Class only.</v>
      </c>
      <c r="AG568" s="16" t="str">
        <f>IFERROR(__xludf.DUMMYFUNCTION("""COMPUTED_VALUE"""),"Solreach")</f>
        <v>Solreach</v>
      </c>
      <c r="AH568" s="16" t="b">
        <f>IFERROR(__xludf.DUMMYFUNCTION("""COMPUTED_VALUE"""),FALSE)</f>
        <v>0</v>
      </c>
    </row>
    <row r="569">
      <c r="A569" s="16" t="str">
        <f>IFERROR(__xludf.DUMMYFUNCTION("""COMPUTED_VALUE"""),"Pauldrons of Tritonoch")</f>
        <v>Pauldrons of Tritonoch</v>
      </c>
      <c r="B569" s="16" t="str">
        <f>IFERROR(__xludf.DUMMYFUNCTION("""COMPUTED_VALUE"""),"Shoulders")</f>
        <v>Shoulders</v>
      </c>
      <c r="C569" s="16"/>
      <c r="D569" s="16"/>
      <c r="E569" s="16">
        <f>IFERROR(__xludf.DUMMYFUNCTION("""COMPUTED_VALUE"""),800.0)</f>
        <v>800</v>
      </c>
      <c r="F569" s="108">
        <f>IFERROR(__xludf.DUMMYFUNCTION("""COMPUTED_VALUE"""),3.16E7)</f>
        <v>31600000</v>
      </c>
      <c r="G569" s="16" t="str">
        <f>IFERROR(__xludf.DUMMYFUNCTION("""COMPUTED_VALUE"""),"DEF")</f>
        <v>DEF</v>
      </c>
      <c r="H569" s="119">
        <f>IFERROR(__xludf.DUMMYFUNCTION("""COMPUTED_VALUE"""),20000.0)</f>
        <v>20000</v>
      </c>
      <c r="I569" s="16"/>
      <c r="J569" s="16"/>
      <c r="K569" s="16">
        <f>IFERROR(__xludf.DUMMYFUNCTION("""COMPUTED_VALUE"""),20000.0)</f>
        <v>20000</v>
      </c>
      <c r="L569" s="16"/>
      <c r="M569" s="16"/>
      <c r="N569" s="16"/>
      <c r="O569" s="16"/>
      <c r="P569" s="16"/>
      <c r="Q569" s="16"/>
      <c r="R569" s="16"/>
      <c r="S569" s="16"/>
      <c r="T569" s="16"/>
      <c r="U569" s="16"/>
      <c r="V569" s="16"/>
      <c r="W569" s="16"/>
      <c r="X569" s="16"/>
      <c r="Y569" s="16"/>
      <c r="Z569" s="16"/>
      <c r="AA569" s="16"/>
      <c r="AB569" s="16"/>
      <c r="AC569" s="16"/>
      <c r="AD569" s="16"/>
      <c r="AE569" s="16"/>
      <c r="AF569" s="16" t="str">
        <f>IFERROR(__xludf.DUMMYFUNCTION("""COMPUTED_VALUE"""),"++Waves of Entitlement - x5 additional Water damage")</f>
        <v>++Waves of Entitlement - x5 additional Water damage</v>
      </c>
      <c r="AG569" s="16" t="str">
        <f>IFERROR(__xludf.DUMMYFUNCTION("""COMPUTED_VALUE"""),"Land of Spira")</f>
        <v>Land of Spira</v>
      </c>
      <c r="AH569" s="16" t="b">
        <f>IFERROR(__xludf.DUMMYFUNCTION("""COMPUTED_VALUE"""),FALSE)</f>
        <v>0</v>
      </c>
    </row>
    <row r="570">
      <c r="A570" s="16" t="str">
        <f>IFERROR(__xludf.DUMMYFUNCTION("""COMPUTED_VALUE"""),"Chestplate of Tritonoch")</f>
        <v>Chestplate of Tritonoch</v>
      </c>
      <c r="B570" s="16" t="str">
        <f>IFERROR(__xludf.DUMMYFUNCTION("""COMPUTED_VALUE"""),"Torso")</f>
        <v>Torso</v>
      </c>
      <c r="C570" s="16"/>
      <c r="D570" s="16"/>
      <c r="E570" s="16">
        <f>IFERROR(__xludf.DUMMYFUNCTION("""COMPUTED_VALUE"""),800.0)</f>
        <v>800</v>
      </c>
      <c r="F570" s="108">
        <f>IFERROR(__xludf.DUMMYFUNCTION("""COMPUTED_VALUE"""),3.16E7)</f>
        <v>31600000</v>
      </c>
      <c r="G570" s="16" t="str">
        <f>IFERROR(__xludf.DUMMYFUNCTION("""COMPUTED_VALUE"""),"DEF")</f>
        <v>DEF</v>
      </c>
      <c r="H570" s="119">
        <f>IFERROR(__xludf.DUMMYFUNCTION("""COMPUTED_VALUE"""),20000.0)</f>
        <v>20000</v>
      </c>
      <c r="I570" s="16"/>
      <c r="J570" s="16"/>
      <c r="K570" s="16">
        <f>IFERROR(__xludf.DUMMYFUNCTION("""COMPUTED_VALUE"""),20000.0)</f>
        <v>20000</v>
      </c>
      <c r="L570" s="16"/>
      <c r="M570" s="16"/>
      <c r="N570" s="16"/>
      <c r="O570" s="16"/>
      <c r="P570" s="16"/>
      <c r="Q570" s="16"/>
      <c r="R570" s="16"/>
      <c r="S570" s="16"/>
      <c r="T570" s="16"/>
      <c r="U570" s="16"/>
      <c r="V570" s="16"/>
      <c r="W570" s="16"/>
      <c r="X570" s="16"/>
      <c r="Y570" s="16"/>
      <c r="Z570" s="16"/>
      <c r="AA570" s="16"/>
      <c r="AB570" s="16"/>
      <c r="AC570" s="16"/>
      <c r="AD570" s="16"/>
      <c r="AE570" s="16"/>
      <c r="AF570" s="16" t="str">
        <f>IFERROR(__xludf.DUMMYFUNCTION("""COMPUTED_VALUE"""),"++Waves of Entitlement - x5 additional Water damage")</f>
        <v>++Waves of Entitlement - x5 additional Water damage</v>
      </c>
      <c r="AG570" s="16" t="str">
        <f>IFERROR(__xludf.DUMMYFUNCTION("""COMPUTED_VALUE"""),"Land of Spira")</f>
        <v>Land of Spira</v>
      </c>
      <c r="AH570" s="16" t="b">
        <f>IFERROR(__xludf.DUMMYFUNCTION("""COMPUTED_VALUE"""),FALSE)</f>
        <v>0</v>
      </c>
    </row>
    <row r="571">
      <c r="A571" s="16" t="str">
        <f>IFERROR(__xludf.DUMMYFUNCTION("""COMPUTED_VALUE"""),"Vambraces of Tritonoch")</f>
        <v>Vambraces of Tritonoch</v>
      </c>
      <c r="B571" s="16" t="str">
        <f>IFERROR(__xludf.DUMMYFUNCTION("""COMPUTED_VALUE"""),"Arms")</f>
        <v>Arms</v>
      </c>
      <c r="C571" s="16"/>
      <c r="D571" s="16"/>
      <c r="E571" s="16">
        <f>IFERROR(__xludf.DUMMYFUNCTION("""COMPUTED_VALUE"""),800.0)</f>
        <v>800</v>
      </c>
      <c r="F571" s="108">
        <f>IFERROR(__xludf.DUMMYFUNCTION("""COMPUTED_VALUE"""),3.16E7)</f>
        <v>31600000</v>
      </c>
      <c r="G571" s="16" t="str">
        <f>IFERROR(__xludf.DUMMYFUNCTION("""COMPUTED_VALUE"""),"DEF")</f>
        <v>DEF</v>
      </c>
      <c r="H571" s="119">
        <f>IFERROR(__xludf.DUMMYFUNCTION("""COMPUTED_VALUE"""),20000.0)</f>
        <v>20000</v>
      </c>
      <c r="I571" s="16"/>
      <c r="J571" s="16"/>
      <c r="K571" s="16">
        <f>IFERROR(__xludf.DUMMYFUNCTION("""COMPUTED_VALUE"""),20000.0)</f>
        <v>20000</v>
      </c>
      <c r="L571" s="16"/>
      <c r="M571" s="16"/>
      <c r="N571" s="16"/>
      <c r="O571" s="16"/>
      <c r="P571" s="16"/>
      <c r="Q571" s="16"/>
      <c r="R571" s="16"/>
      <c r="S571" s="16"/>
      <c r="T571" s="16"/>
      <c r="U571" s="16"/>
      <c r="V571" s="16"/>
      <c r="W571" s="16"/>
      <c r="X571" s="16"/>
      <c r="Y571" s="16"/>
      <c r="Z571" s="16"/>
      <c r="AA571" s="16"/>
      <c r="AB571" s="16"/>
      <c r="AC571" s="16"/>
      <c r="AD571" s="16"/>
      <c r="AE571" s="16"/>
      <c r="AF571" s="16" t="str">
        <f>IFERROR(__xludf.DUMMYFUNCTION("""COMPUTED_VALUE"""),"++Waves of Entitlement - x5 additional Water damage")</f>
        <v>++Waves of Entitlement - x5 additional Water damage</v>
      </c>
      <c r="AG571" s="16" t="str">
        <f>IFERROR(__xludf.DUMMYFUNCTION("""COMPUTED_VALUE"""),"Land of Spira")</f>
        <v>Land of Spira</v>
      </c>
      <c r="AH571" s="16" t="b">
        <f>IFERROR(__xludf.DUMMYFUNCTION("""COMPUTED_VALUE"""),FALSE)</f>
        <v>0</v>
      </c>
    </row>
    <row r="572">
      <c r="A572" s="16" t="str">
        <f>IFERROR(__xludf.DUMMYFUNCTION("""COMPUTED_VALUE"""),"Trident of Tritonoch")</f>
        <v>Trident of Tritonoch</v>
      </c>
      <c r="B572" s="16" t="str">
        <f>IFERROR(__xludf.DUMMYFUNCTION("""COMPUTED_VALUE"""),"Hand")</f>
        <v>Hand</v>
      </c>
      <c r="C572" s="16"/>
      <c r="D572" s="16" t="str">
        <f>IFERROR(__xludf.DUMMYFUNCTION("""COMPUTED_VALUE"""),"Spear")</f>
        <v>Spear</v>
      </c>
      <c r="E572" s="16">
        <f>IFERROR(__xludf.DUMMYFUNCTION("""COMPUTED_VALUE"""),200.0)</f>
        <v>200</v>
      </c>
      <c r="F572" s="108">
        <f>IFERROR(__xludf.DUMMYFUNCTION("""COMPUTED_VALUE"""),7.14E7)</f>
        <v>71400000</v>
      </c>
      <c r="G572" s="16" t="str">
        <f>IFERROR(__xludf.DUMMYFUNCTION("""COMPUTED_VALUE"""),"DMG")</f>
        <v>DMG</v>
      </c>
      <c r="H572" s="119">
        <f>IFERROR(__xludf.DUMMYFUNCTION("""COMPUTED_VALUE"""),20000.0)</f>
        <v>20000</v>
      </c>
      <c r="I572" s="16"/>
      <c r="J572" s="16"/>
      <c r="K572" s="16">
        <f>IFERROR(__xludf.DUMMYFUNCTION("""COMPUTED_VALUE"""),20000.0)</f>
        <v>20000</v>
      </c>
      <c r="L572" s="16"/>
      <c r="M572" s="16"/>
      <c r="N572" s="16"/>
      <c r="O572" s="16"/>
      <c r="P572" s="16"/>
      <c r="Q572" s="16"/>
      <c r="R572" s="16"/>
      <c r="S572" s="16"/>
      <c r="T572" s="16"/>
      <c r="U572" s="16"/>
      <c r="V572" s="16"/>
      <c r="W572" s="16"/>
      <c r="X572" s="16"/>
      <c r="Y572" s="16"/>
      <c r="Z572" s="16"/>
      <c r="AA572" s="16"/>
      <c r="AB572" s="16"/>
      <c r="AC572" s="16">
        <f>IFERROR(__xludf.DUMMYFUNCTION("""COMPUTED_VALUE"""),20000.0)</f>
        <v>20000</v>
      </c>
      <c r="AD572" s="16"/>
      <c r="AE572" s="16"/>
      <c r="AF572" s="16" t="str">
        <f>IFERROR(__xludf.DUMMYFUNCTION("""COMPUTED_VALUE"""),"++Waves of Entitlement II - x10 additional Water damage. 20% chance of Slowness 3 to the target. +-Cannot be duplicated")</f>
        <v>++Waves of Entitlement II - x10 additional Water damage. 20% chance of Slowness 3 to the target. +-Cannot be duplicated</v>
      </c>
      <c r="AG572" s="16" t="str">
        <f>IFERROR(__xludf.DUMMYFUNCTION("""COMPUTED_VALUE"""),"Land of Spira")</f>
        <v>Land of Spira</v>
      </c>
      <c r="AH572" s="16" t="b">
        <f>IFERROR(__xludf.DUMMYFUNCTION("""COMPUTED_VALUE"""),FALSE)</f>
        <v>0</v>
      </c>
    </row>
    <row r="573">
      <c r="A573" s="16" t="str">
        <f>IFERROR(__xludf.DUMMYFUNCTION("""COMPUTED_VALUE"""),"Boots of Tritonoch")</f>
        <v>Boots of Tritonoch</v>
      </c>
      <c r="B573" s="16" t="str">
        <f>IFERROR(__xludf.DUMMYFUNCTION("""COMPUTED_VALUE"""),"Feet")</f>
        <v>Feet</v>
      </c>
      <c r="C573" s="16"/>
      <c r="D573" s="16"/>
      <c r="E573" s="16">
        <f>IFERROR(__xludf.DUMMYFUNCTION("""COMPUTED_VALUE"""),800.0)</f>
        <v>800</v>
      </c>
      <c r="F573" s="108">
        <f>IFERROR(__xludf.DUMMYFUNCTION("""COMPUTED_VALUE"""),3.16E7)</f>
        <v>31600000</v>
      </c>
      <c r="G573" s="16" t="str">
        <f>IFERROR(__xludf.DUMMYFUNCTION("""COMPUTED_VALUE"""),"DEF")</f>
        <v>DEF</v>
      </c>
      <c r="H573" s="119">
        <f>IFERROR(__xludf.DUMMYFUNCTION("""COMPUTED_VALUE"""),20000.0)</f>
        <v>20000</v>
      </c>
      <c r="I573" s="16"/>
      <c r="J573" s="16"/>
      <c r="K573" s="16">
        <f>IFERROR(__xludf.DUMMYFUNCTION("""COMPUTED_VALUE"""),20000.0)</f>
        <v>20000</v>
      </c>
      <c r="L573" s="16"/>
      <c r="M573" s="16"/>
      <c r="N573" s="16"/>
      <c r="O573" s="16"/>
      <c r="P573" s="16"/>
      <c r="Q573" s="16"/>
      <c r="R573" s="16"/>
      <c r="S573" s="16"/>
      <c r="T573" s="16"/>
      <c r="U573" s="16"/>
      <c r="V573" s="16"/>
      <c r="W573" s="16"/>
      <c r="X573" s="16"/>
      <c r="Y573" s="16"/>
      <c r="Z573" s="16"/>
      <c r="AA573" s="16"/>
      <c r="AB573" s="16"/>
      <c r="AC573" s="16"/>
      <c r="AD573" s="16"/>
      <c r="AE573" s="16"/>
      <c r="AF573" s="16" t="str">
        <f>IFERROR(__xludf.DUMMYFUNCTION("""COMPUTED_VALUE"""),"++Waves of Entitlement - x5 additional Water damage")</f>
        <v>++Waves of Entitlement - x5 additional Water damage</v>
      </c>
      <c r="AG573" s="16" t="str">
        <f>IFERROR(__xludf.DUMMYFUNCTION("""COMPUTED_VALUE"""),"Land of Spira")</f>
        <v>Land of Spira</v>
      </c>
      <c r="AH573" s="16" t="b">
        <f>IFERROR(__xludf.DUMMYFUNCTION("""COMPUTED_VALUE"""),FALSE)</f>
        <v>0</v>
      </c>
    </row>
    <row r="574">
      <c r="A574" s="16" t="str">
        <f>IFERROR(__xludf.DUMMYFUNCTION("""COMPUTED_VALUE"""),"Steel Bandit Dagger")</f>
        <v>Steel Bandit Dagger</v>
      </c>
      <c r="B574" s="16" t="str">
        <f>IFERROR(__xludf.DUMMYFUNCTION("""COMPUTED_VALUE"""),"Hand")</f>
        <v>Hand</v>
      </c>
      <c r="C574" s="16"/>
      <c r="D574" s="16" t="str">
        <f>IFERROR(__xludf.DUMMYFUNCTION("""COMPUTED_VALUE"""),"Knife")</f>
        <v>Knife</v>
      </c>
      <c r="E574" s="16">
        <f>IFERROR(__xludf.DUMMYFUNCTION("""COMPUTED_VALUE"""),1000.0)</f>
        <v>1000</v>
      </c>
      <c r="F574" s="108">
        <f>IFERROR(__xludf.DUMMYFUNCTION("""COMPUTED_VALUE"""),4.95E7)</f>
        <v>49500000</v>
      </c>
      <c r="G574" s="16" t="str">
        <f>IFERROR(__xludf.DUMMYFUNCTION("""COMPUTED_VALUE"""),"DMG")</f>
        <v>DMG</v>
      </c>
      <c r="H574" s="119">
        <f>IFERROR(__xludf.DUMMYFUNCTION("""COMPUTED_VALUE"""),50000.0)</f>
        <v>50000</v>
      </c>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F574" s="16" t="str">
        <f>IFERROR(__xludf.DUMMYFUNCTION("""COMPUTED_VALUE"""),"++10% chance to steal gilders upon hitting an enemy guilders stolen are equivalent to 1,000*d20")</f>
        <v>++10% chance to steal gilders upon hitting an enemy guilders stolen are equivalent to 1,000*d20</v>
      </c>
      <c r="AG574" s="16" t="str">
        <f>IFERROR(__xludf.DUMMYFUNCTION("""COMPUTED_VALUE"""),"Land of Spira")</f>
        <v>Land of Spira</v>
      </c>
      <c r="AH574" s="16" t="b">
        <f>IFERROR(__xludf.DUMMYFUNCTION("""COMPUTED_VALUE"""),FALSE)</f>
        <v>0</v>
      </c>
    </row>
    <row r="575">
      <c r="A575" s="16" t="str">
        <f>IFERROR(__xludf.DUMMYFUNCTION("""COMPUTED_VALUE"""),"Bandit Hide Helm")</f>
        <v>Bandit Hide Helm</v>
      </c>
      <c r="B575" s="16" t="str">
        <f>IFERROR(__xludf.DUMMYFUNCTION("""COMPUTED_VALUE"""),"Head")</f>
        <v>Head</v>
      </c>
      <c r="C575" s="16"/>
      <c r="D575" s="16"/>
      <c r="E575" s="16">
        <f>IFERROR(__xludf.DUMMYFUNCTION("""COMPUTED_VALUE"""),1000.0)</f>
        <v>1000</v>
      </c>
      <c r="F575" s="108">
        <f>IFERROR(__xludf.DUMMYFUNCTION("""COMPUTED_VALUE"""),4.95E7)</f>
        <v>49500000</v>
      </c>
      <c r="G575" s="16" t="str">
        <f>IFERROR(__xludf.DUMMYFUNCTION("""COMPUTED_VALUE"""),"DEF")</f>
        <v>DEF</v>
      </c>
      <c r="H575" s="119">
        <f>IFERROR(__xludf.DUMMYFUNCTION("""COMPUTED_VALUE"""),50000.0)</f>
        <v>50000</v>
      </c>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F575" s="16"/>
      <c r="AG575" s="16" t="str">
        <f>IFERROR(__xludf.DUMMYFUNCTION("""COMPUTED_VALUE"""),"Land of Spira")</f>
        <v>Land of Spira</v>
      </c>
      <c r="AH575" s="16" t="b">
        <f>IFERROR(__xludf.DUMMYFUNCTION("""COMPUTED_VALUE"""),FALSE)</f>
        <v>0</v>
      </c>
    </row>
    <row r="576">
      <c r="A576" s="16" t="str">
        <f>IFERROR(__xludf.DUMMYFUNCTION("""COMPUTED_VALUE"""),"Bandit Hide Padding")</f>
        <v>Bandit Hide Padding</v>
      </c>
      <c r="B576" s="16" t="str">
        <f>IFERROR(__xludf.DUMMYFUNCTION("""COMPUTED_VALUE"""),"Shoulders")</f>
        <v>Shoulders</v>
      </c>
      <c r="C576" s="16"/>
      <c r="D576" s="16"/>
      <c r="E576" s="16">
        <f>IFERROR(__xludf.DUMMYFUNCTION("""COMPUTED_VALUE"""),1000.0)</f>
        <v>1000</v>
      </c>
      <c r="F576" s="108">
        <f>IFERROR(__xludf.DUMMYFUNCTION("""COMPUTED_VALUE"""),4.95E7)</f>
        <v>49500000</v>
      </c>
      <c r="G576" s="16" t="str">
        <f>IFERROR(__xludf.DUMMYFUNCTION("""COMPUTED_VALUE"""),"DEF")</f>
        <v>DEF</v>
      </c>
      <c r="H576" s="119">
        <f>IFERROR(__xludf.DUMMYFUNCTION("""COMPUTED_VALUE"""),50000.0)</f>
        <v>50000</v>
      </c>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F576" s="16"/>
      <c r="AG576" s="16" t="str">
        <f>IFERROR(__xludf.DUMMYFUNCTION("""COMPUTED_VALUE"""),"Land of Spira")</f>
        <v>Land of Spira</v>
      </c>
      <c r="AH576" s="16" t="b">
        <f>IFERROR(__xludf.DUMMYFUNCTION("""COMPUTED_VALUE"""),FALSE)</f>
        <v>0</v>
      </c>
    </row>
    <row r="577">
      <c r="A577" s="16" t="str">
        <f>IFERROR(__xludf.DUMMYFUNCTION("""COMPUTED_VALUE"""),"Bandit Hide Chestplate")</f>
        <v>Bandit Hide Chestplate</v>
      </c>
      <c r="B577" s="16" t="str">
        <f>IFERROR(__xludf.DUMMYFUNCTION("""COMPUTED_VALUE"""),"Torso")</f>
        <v>Torso</v>
      </c>
      <c r="C577" s="16"/>
      <c r="D577" s="16"/>
      <c r="E577" s="16">
        <f>IFERROR(__xludf.DUMMYFUNCTION("""COMPUTED_VALUE"""),1000.0)</f>
        <v>1000</v>
      </c>
      <c r="F577" s="108">
        <f>IFERROR(__xludf.DUMMYFUNCTION("""COMPUTED_VALUE"""),4.95E7)</f>
        <v>49500000</v>
      </c>
      <c r="G577" s="16" t="str">
        <f>IFERROR(__xludf.DUMMYFUNCTION("""COMPUTED_VALUE"""),"DEF")</f>
        <v>DEF</v>
      </c>
      <c r="H577" s="119">
        <f>IFERROR(__xludf.DUMMYFUNCTION("""COMPUTED_VALUE"""),50000.0)</f>
        <v>50000</v>
      </c>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F577" s="16" t="str">
        <f>IFERROR(__xludf.DUMMYFUNCTION("""COMPUTED_VALUE"""),"++X2 damage with Knives")</f>
        <v>++X2 damage with Knives</v>
      </c>
      <c r="AG577" s="16" t="str">
        <f>IFERROR(__xludf.DUMMYFUNCTION("""COMPUTED_VALUE"""),"Land of Spira")</f>
        <v>Land of Spira</v>
      </c>
      <c r="AH577" s="16" t="b">
        <f>IFERROR(__xludf.DUMMYFUNCTION("""COMPUTED_VALUE"""),FALSE)</f>
        <v>0</v>
      </c>
    </row>
    <row r="578">
      <c r="A578" s="16" t="str">
        <f>IFERROR(__xludf.DUMMYFUNCTION("""COMPUTED_VALUE"""),"Bandit Hide Vambraces")</f>
        <v>Bandit Hide Vambraces</v>
      </c>
      <c r="B578" s="16" t="str">
        <f>IFERROR(__xludf.DUMMYFUNCTION("""COMPUTED_VALUE"""),"Arms")</f>
        <v>Arms</v>
      </c>
      <c r="C578" s="16"/>
      <c r="D578" s="16"/>
      <c r="E578" s="16">
        <f>IFERROR(__xludf.DUMMYFUNCTION("""COMPUTED_VALUE"""),1000.0)</f>
        <v>1000</v>
      </c>
      <c r="F578" s="108">
        <f>IFERROR(__xludf.DUMMYFUNCTION("""COMPUTED_VALUE"""),4.95E7)</f>
        <v>49500000</v>
      </c>
      <c r="G578" s="16" t="str">
        <f>IFERROR(__xludf.DUMMYFUNCTION("""COMPUTED_VALUE"""),"DEF")</f>
        <v>DEF</v>
      </c>
      <c r="H578" s="119">
        <f>IFERROR(__xludf.DUMMYFUNCTION("""COMPUTED_VALUE"""),50000.0)</f>
        <v>50000</v>
      </c>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F578" s="16"/>
      <c r="AG578" s="16" t="str">
        <f>IFERROR(__xludf.DUMMYFUNCTION("""COMPUTED_VALUE"""),"Land of Spira")</f>
        <v>Land of Spira</v>
      </c>
      <c r="AH578" s="16" t="b">
        <f>IFERROR(__xludf.DUMMYFUNCTION("""COMPUTED_VALUE"""),FALSE)</f>
        <v>0</v>
      </c>
    </row>
    <row r="579">
      <c r="A579" s="16" t="str">
        <f>IFERROR(__xludf.DUMMYFUNCTION("""COMPUTED_VALUE"""),"Bandit Hide Greaves")</f>
        <v>Bandit Hide Greaves</v>
      </c>
      <c r="B579" s="16" t="str">
        <f>IFERROR(__xludf.DUMMYFUNCTION("""COMPUTED_VALUE"""),"Legs")</f>
        <v>Legs</v>
      </c>
      <c r="C579" s="16"/>
      <c r="D579" s="16"/>
      <c r="E579" s="16">
        <f>IFERROR(__xludf.DUMMYFUNCTION("""COMPUTED_VALUE"""),1000.0)</f>
        <v>1000</v>
      </c>
      <c r="F579" s="108">
        <f>IFERROR(__xludf.DUMMYFUNCTION("""COMPUTED_VALUE"""),4.95E7)</f>
        <v>49500000</v>
      </c>
      <c r="G579" s="16" t="str">
        <f>IFERROR(__xludf.DUMMYFUNCTION("""COMPUTED_VALUE"""),"DEF")</f>
        <v>DEF</v>
      </c>
      <c r="H579" s="119">
        <f>IFERROR(__xludf.DUMMYFUNCTION("""COMPUTED_VALUE"""),50000.0)</f>
        <v>50000</v>
      </c>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F579" s="16"/>
      <c r="AG579" s="16" t="str">
        <f>IFERROR(__xludf.DUMMYFUNCTION("""COMPUTED_VALUE"""),"Land of Spira")</f>
        <v>Land of Spira</v>
      </c>
      <c r="AH579" s="16" t="b">
        <f>IFERROR(__xludf.DUMMYFUNCTION("""COMPUTED_VALUE"""),FALSE)</f>
        <v>0</v>
      </c>
    </row>
    <row r="580">
      <c r="A580" s="16" t="str">
        <f>IFERROR(__xludf.DUMMYFUNCTION("""COMPUTED_VALUE"""),"Bandit Hide Boots")</f>
        <v>Bandit Hide Boots</v>
      </c>
      <c r="B580" s="16" t="str">
        <f>IFERROR(__xludf.DUMMYFUNCTION("""COMPUTED_VALUE"""),"Feet")</f>
        <v>Feet</v>
      </c>
      <c r="C580" s="16"/>
      <c r="D580" s="16"/>
      <c r="E580" s="16">
        <f>IFERROR(__xludf.DUMMYFUNCTION("""COMPUTED_VALUE"""),1000.0)</f>
        <v>1000</v>
      </c>
      <c r="F580" s="108">
        <f>IFERROR(__xludf.DUMMYFUNCTION("""COMPUTED_VALUE"""),4.95E7)</f>
        <v>49500000</v>
      </c>
      <c r="G580" s="16" t="str">
        <f>IFERROR(__xludf.DUMMYFUNCTION("""COMPUTED_VALUE"""),"DEF")</f>
        <v>DEF</v>
      </c>
      <c r="H580" s="119">
        <f>IFERROR(__xludf.DUMMYFUNCTION("""COMPUTED_VALUE"""),50000.0)</f>
        <v>50000</v>
      </c>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F580" s="16" t="str">
        <f>IFERROR(__xludf.DUMMYFUNCTION("""COMPUTED_VALUE""")," ++5 to all confiscate, pickpocket, or take rolls")</f>
        <v> ++5 to all confiscate, pickpocket, or take rolls</v>
      </c>
      <c r="AG580" s="16" t="str">
        <f>IFERROR(__xludf.DUMMYFUNCTION("""COMPUTED_VALUE"""),"Land of Spira")</f>
        <v>Land of Spira</v>
      </c>
      <c r="AH580" s="16" t="b">
        <f>IFERROR(__xludf.DUMMYFUNCTION("""COMPUTED_VALUE"""),FALSE)</f>
        <v>0</v>
      </c>
    </row>
    <row r="581">
      <c r="A581" s="16" t="str">
        <f>IFERROR(__xludf.DUMMYFUNCTION("""COMPUTED_VALUE"""),"Nunchucks")</f>
        <v>Nunchucks</v>
      </c>
      <c r="B581" s="16" t="str">
        <f>IFERROR(__xludf.DUMMYFUNCTION("""COMPUTED_VALUE"""),"Hand")</f>
        <v>Hand</v>
      </c>
      <c r="C581" s="16"/>
      <c r="D581" s="16" t="str">
        <f>IFERROR(__xludf.DUMMYFUNCTION("""COMPUTED_VALUE"""),"Club")</f>
        <v>Club</v>
      </c>
      <c r="E581" s="16">
        <f>IFERROR(__xludf.DUMMYFUNCTION("""COMPUTED_VALUE"""),3000.0)</f>
        <v>3000</v>
      </c>
      <c r="F581" s="108">
        <f>IFERROR(__xludf.DUMMYFUNCTION("""COMPUTED_VALUE"""),4.485E8)</f>
        <v>448500000</v>
      </c>
      <c r="G581" s="16" t="str">
        <f>IFERROR(__xludf.DUMMYFUNCTION("""COMPUTED_VALUE"""),"DMG")</f>
        <v>DMG</v>
      </c>
      <c r="H581" s="119">
        <f>IFERROR(__xludf.DUMMYFUNCTION("""COMPUTED_VALUE"""),150000.0)</f>
        <v>150000</v>
      </c>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F581" s="16" t="str">
        <f>IFERROR(__xludf.DUMMYFUNCTION("""COMPUTED_VALUE"""),"++10% chance to disarm your enemy when hitting them")</f>
        <v>++10% chance to disarm your enemy when hitting them</v>
      </c>
      <c r="AG581" s="16" t="str">
        <f>IFERROR(__xludf.DUMMYFUNCTION("""COMPUTED_VALUE"""),"Dragonscale Island")</f>
        <v>Dragonscale Island</v>
      </c>
      <c r="AH581" s="16" t="b">
        <f>IFERROR(__xludf.DUMMYFUNCTION("""COMPUTED_VALUE"""),FALSE)</f>
        <v>0</v>
      </c>
    </row>
    <row r="582">
      <c r="A582" s="16" t="str">
        <f>IFERROR(__xludf.DUMMYFUNCTION("""COMPUTED_VALUE"""),"Shuriken (Enhanced)")</f>
        <v>Shuriken (Enhanced)</v>
      </c>
      <c r="B582" s="16" t="str">
        <f>IFERROR(__xludf.DUMMYFUNCTION("""COMPUTED_VALUE"""),"Hand")</f>
        <v>Hand</v>
      </c>
      <c r="C582" s="16" t="str">
        <f>IFERROR(__xludf.DUMMYFUNCTION("""COMPUTED_VALUE"""),"the tantamount Ninja weapon, requires a level of dexterity you probably don't possess")</f>
        <v>the tantamount Ninja weapon, requires a level of dexterity you probably don't possess</v>
      </c>
      <c r="D582" s="16" t="str">
        <f>IFERROR(__xludf.DUMMYFUNCTION("""COMPUTED_VALUE"""),"Boomerang")</f>
        <v>Boomerang</v>
      </c>
      <c r="E582" s="16">
        <f>IFERROR(__xludf.DUMMYFUNCTION("""COMPUTED_VALUE"""),1500.0)</f>
        <v>1500</v>
      </c>
      <c r="F582" s="108">
        <f>IFERROR(__xludf.DUMMYFUNCTION("""COMPUTED_VALUE"""),1.1175E8)</f>
        <v>111750000</v>
      </c>
      <c r="G582" s="16" t="str">
        <f>IFERROR(__xludf.DUMMYFUNCTION("""COMPUTED_VALUE"""),"DMG")</f>
        <v>DMG</v>
      </c>
      <c r="H582" s="119">
        <f>IFERROR(__xludf.DUMMYFUNCTION("""COMPUTED_VALUE"""),50000.0)</f>
        <v>50000</v>
      </c>
      <c r="I582" s="16"/>
      <c r="J582" s="16"/>
      <c r="K582" s="16"/>
      <c r="L582" s="16"/>
      <c r="M582" s="16"/>
      <c r="N582" s="16"/>
      <c r="O582" s="16"/>
      <c r="P582" s="16"/>
      <c r="Q582" s="16"/>
      <c r="R582" s="16"/>
      <c r="S582" s="16"/>
      <c r="T582" s="16"/>
      <c r="U582" s="16"/>
      <c r="V582" s="16"/>
      <c r="W582" s="16"/>
      <c r="X582" s="16"/>
      <c r="Y582" s="16">
        <f>IFERROR(__xludf.DUMMYFUNCTION("""COMPUTED_VALUE"""),25000.0)</f>
        <v>25000</v>
      </c>
      <c r="Z582" s="16"/>
      <c r="AA582" s="16"/>
      <c r="AB582" s="16"/>
      <c r="AC582" s="16"/>
      <c r="AD582" s="16"/>
      <c r="AE582" s="16"/>
      <c r="AF582" s="16" t="str">
        <f>IFERROR(__xludf.DUMMYFUNCTION("""COMPUTED_VALUE"""),"++Returns when thrown, can throw up to 4 in one attack (roll 1d4 to determine)")</f>
        <v>++Returns when thrown, can throw up to 4 in one attack (roll 1d4 to determine)</v>
      </c>
      <c r="AG582" s="16" t="str">
        <f>IFERROR(__xludf.DUMMYFUNCTION("""COMPUTED_VALUE"""),"Dragonscale Island")</f>
        <v>Dragonscale Island</v>
      </c>
      <c r="AH582" s="16" t="b">
        <f>IFERROR(__xludf.DUMMYFUNCTION("""COMPUTED_VALUE"""),FALSE)</f>
        <v>0</v>
      </c>
    </row>
    <row r="583">
      <c r="A583" s="16" t="str">
        <f>IFERROR(__xludf.DUMMYFUNCTION("""COMPUTED_VALUE"""),"Poison Dart Gun")</f>
        <v>Poison Dart Gun</v>
      </c>
      <c r="B583" s="16" t="str">
        <f>IFERROR(__xludf.DUMMYFUNCTION("""COMPUTED_VALUE"""),"Hand")</f>
        <v>Hand</v>
      </c>
      <c r="C583" s="16" t="str">
        <f>IFERROR(__xludf.DUMMYFUNCTION("""COMPUTED_VALUE"""),"Poisoners first, and most trusty weapon. Nearly as old as the poison masters themselves these weapons have been part of the ")</f>
        <v>Poisoners first, and most trusty weapon. Nearly as old as the poison masters themselves these weapons have been part of the </v>
      </c>
      <c r="D583" s="16" t="str">
        <f>IFERROR(__xludf.DUMMYFUNCTION("""COMPUTED_VALUE"""),"Firearm")</f>
        <v>Firearm</v>
      </c>
      <c r="E583" s="16">
        <f>IFERROR(__xludf.DUMMYFUNCTION("""COMPUTED_VALUE"""),2000.0)</f>
        <v>2000</v>
      </c>
      <c r="F583" s="108">
        <f>IFERROR(__xludf.DUMMYFUNCTION("""COMPUTED_VALUE"""),1.99E8)</f>
        <v>199000000</v>
      </c>
      <c r="G583" s="16" t="str">
        <f>IFERROR(__xludf.DUMMYFUNCTION("""COMPUTED_VALUE"""),"DMG")</f>
        <v>DMG</v>
      </c>
      <c r="H583" s="119">
        <f>IFERROR(__xludf.DUMMYFUNCTION("""COMPUTED_VALUE"""),75000.0)</f>
        <v>75000</v>
      </c>
      <c r="I583" s="16"/>
      <c r="J583" s="16"/>
      <c r="K583" s="16"/>
      <c r="L583" s="16"/>
      <c r="M583" s="16"/>
      <c r="N583" s="16"/>
      <c r="O583" s="16"/>
      <c r="P583" s="16"/>
      <c r="Q583" s="16"/>
      <c r="R583" s="16"/>
      <c r="S583" s="16"/>
      <c r="T583" s="16"/>
      <c r="U583" s="16"/>
      <c r="V583" s="16"/>
      <c r="W583" s="16"/>
      <c r="X583" s="119">
        <f>IFERROR(__xludf.DUMMYFUNCTION("""COMPUTED_VALUE"""),25000.0)</f>
        <v>25000</v>
      </c>
      <c r="Y583" s="16"/>
      <c r="Z583" s="16"/>
      <c r="AA583" s="16"/>
      <c r="AB583" s="16"/>
      <c r="AC583" s="16"/>
      <c r="AD583" s="16"/>
      <c r="AE583" s="16"/>
      <c r="AF583" s="16" t="str">
        <f>IFERROR(__xludf.DUMMYFUNCTION("""COMPUTED_VALUE"""),"++Inflicts Poison 2500 for 2 rounds. ++Uses darts as ammo")</f>
        <v>++Inflicts Poison 2500 for 2 rounds. ++Uses darts as ammo</v>
      </c>
      <c r="AG583" s="16" t="str">
        <f>IFERROR(__xludf.DUMMYFUNCTION("""COMPUTED_VALUE"""),"Dragonscale Island")</f>
        <v>Dragonscale Island</v>
      </c>
      <c r="AH583" s="16" t="b">
        <f>IFERROR(__xludf.DUMMYFUNCTION("""COMPUTED_VALUE"""),FALSE)</f>
        <v>0</v>
      </c>
    </row>
    <row r="584">
      <c r="A584" s="16" t="str">
        <f>IFERROR(__xludf.DUMMYFUNCTION("""COMPUTED_VALUE"""),"Poison Tipped Needle")</f>
        <v>Poison Tipped Needle</v>
      </c>
      <c r="B584" s="16" t="str">
        <f>IFERROR(__xludf.DUMMYFUNCTION("""COMPUTED_VALUE"""),"Hand")</f>
        <v>Hand</v>
      </c>
      <c r="C584" s="16" t="str">
        <f>IFERROR(__xludf.DUMMYFUNCTION("""COMPUTED_VALUE"""),"A needle dipped in master Wushang's thousand poisons or some other Wuxia novel esque bullshit")</f>
        <v>A needle dipped in master Wushang's thousand poisons or some other Wuxia novel esque bullshit</v>
      </c>
      <c r="D584" s="16" t="str">
        <f>IFERROR(__xludf.DUMMYFUNCTION("""COMPUTED_VALUE"""),"Knife")</f>
        <v>Knife</v>
      </c>
      <c r="E584" s="16">
        <f>IFERROR(__xludf.DUMMYFUNCTION("""COMPUTED_VALUE"""),2000.0)</f>
        <v>2000</v>
      </c>
      <c r="F584" s="108">
        <f>IFERROR(__xludf.DUMMYFUNCTION("""COMPUTED_VALUE"""),1.99E8)</f>
        <v>199000000</v>
      </c>
      <c r="G584" s="16" t="str">
        <f>IFERROR(__xludf.DUMMYFUNCTION("""COMPUTED_VALUE"""),"DMG")</f>
        <v>DMG</v>
      </c>
      <c r="H584" s="119">
        <f>IFERROR(__xludf.DUMMYFUNCTION("""COMPUTED_VALUE"""),75000.0)</f>
        <v>75000</v>
      </c>
      <c r="I584" s="16"/>
      <c r="J584" s="16"/>
      <c r="K584" s="16"/>
      <c r="L584" s="16"/>
      <c r="M584" s="16"/>
      <c r="N584" s="16"/>
      <c r="O584" s="16"/>
      <c r="P584" s="16"/>
      <c r="Q584" s="16"/>
      <c r="R584" s="16"/>
      <c r="S584" s="16"/>
      <c r="T584" s="16"/>
      <c r="U584" s="16"/>
      <c r="V584" s="16"/>
      <c r="W584" s="16"/>
      <c r="X584" s="119">
        <f>IFERROR(__xludf.DUMMYFUNCTION("""COMPUTED_VALUE"""),25000.0)</f>
        <v>25000</v>
      </c>
      <c r="Y584" s="16"/>
      <c r="Z584" s="16"/>
      <c r="AA584" s="16"/>
      <c r="AB584" s="16"/>
      <c r="AC584" s="16"/>
      <c r="AD584" s="16"/>
      <c r="AE584" s="16"/>
      <c r="AF584" s="16" t="str">
        <f>IFERROR(__xludf.DUMMYFUNCTION("""COMPUTED_VALUE"""),"++When rolling a Natural 19 or 20 deals X3 Damage. ++Inflicts Poison 100")</f>
        <v>++When rolling a Natural 19 or 20 deals X3 Damage. ++Inflicts Poison 100</v>
      </c>
      <c r="AG584" s="16" t="str">
        <f>IFERROR(__xludf.DUMMYFUNCTION("""COMPUTED_VALUE"""),"Dragonscale Island")</f>
        <v>Dragonscale Island</v>
      </c>
      <c r="AH584" s="16" t="b">
        <f>IFERROR(__xludf.DUMMYFUNCTION("""COMPUTED_VALUE"""),FALSE)</f>
        <v>0</v>
      </c>
    </row>
    <row r="585">
      <c r="A585" s="16" t="str">
        <f>IFERROR(__xludf.DUMMYFUNCTION("""COMPUTED_VALUE"""),"Katana (Enhanced)")</f>
        <v>Katana (Enhanced)</v>
      </c>
      <c r="B585" s="16" t="str">
        <f>IFERROR(__xludf.DUMMYFUNCTION("""COMPUTED_VALUE"""),"Hand")</f>
        <v>Hand</v>
      </c>
      <c r="C585" s="16" t="str">
        <f>IFERROR(__xludf.DUMMYFUNCTION("""COMPUTED_VALUE"""),"The sword of weebs and actual samurai alike, surprisingly yes, weebs do exist in Spira")</f>
        <v>The sword of weebs and actual samurai alike, surprisingly yes, weebs do exist in Spira</v>
      </c>
      <c r="D585" s="16" t="str">
        <f>IFERROR(__xludf.DUMMYFUNCTION("""COMPUTED_VALUE"""),"Sword")</f>
        <v>Sword</v>
      </c>
      <c r="E585" s="16">
        <f>IFERROR(__xludf.DUMMYFUNCTION("""COMPUTED_VALUE"""),2500.0)</f>
        <v>2500</v>
      </c>
      <c r="F585" s="108">
        <f>IFERROR(__xludf.DUMMYFUNCTION("""COMPUTED_VALUE"""),3.1125E8)</f>
        <v>311250000</v>
      </c>
      <c r="G585" s="16" t="str">
        <f>IFERROR(__xludf.DUMMYFUNCTION("""COMPUTED_VALUE"""),"DMG")</f>
        <v>DMG</v>
      </c>
      <c r="H585" s="119">
        <f>IFERROR(__xludf.DUMMYFUNCTION("""COMPUTED_VALUE"""),125000.0)</f>
        <v>125000</v>
      </c>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t="str">
        <f>IFERROR(__xludf.DUMMYFUNCTION("""COMPUTED_VALUE"""),"++Triples the chance for the sword ability to activate, +-Cannot be Forged")</f>
        <v>++Triples the chance for the sword ability to activate, +-Cannot be Forged</v>
      </c>
      <c r="AG585" s="16" t="str">
        <f>IFERROR(__xludf.DUMMYFUNCTION("""COMPUTED_VALUE"""),"Dragonscale Island")</f>
        <v>Dragonscale Island</v>
      </c>
      <c r="AH585" s="16" t="b">
        <f>IFERROR(__xludf.DUMMYFUNCTION("""COMPUTED_VALUE"""),FALSE)</f>
        <v>0</v>
      </c>
    </row>
    <row r="586">
      <c r="A586" s="16" t="str">
        <f>IFERROR(__xludf.DUMMYFUNCTION("""COMPUTED_VALUE"""),"Ninja Initiate's Cowl")</f>
        <v>Ninja Initiate's Cowl</v>
      </c>
      <c r="B586" s="16" t="str">
        <f>IFERROR(__xludf.DUMMYFUNCTION("""COMPUTED_VALUE"""),"Head")</f>
        <v>Head</v>
      </c>
      <c r="C586" s="16" t="str">
        <f>IFERROR(__xludf.DUMMYFUNCTION("""COMPUTED_VALUE"""),"Armor given to newbie Ninja's who have yet to choose a master")</f>
        <v>Armor given to newbie Ninja's who have yet to choose a master</v>
      </c>
      <c r="D586" s="16"/>
      <c r="E586" s="16">
        <f>IFERROR(__xludf.DUMMYFUNCTION("""COMPUTED_VALUE"""),2500.0)</f>
        <v>2500</v>
      </c>
      <c r="F586" s="108">
        <f>IFERROR(__xludf.DUMMYFUNCTION("""COMPUTED_VALUE"""),3.1125E8)</f>
        <v>311250000</v>
      </c>
      <c r="G586" s="16" t="str">
        <f>IFERROR(__xludf.DUMMYFUNCTION("""COMPUTED_VALUE"""),"DEF")</f>
        <v>DEF</v>
      </c>
      <c r="H586" s="119">
        <f>IFERROR(__xludf.DUMMYFUNCTION("""COMPUTED_VALUE"""),125000.0)</f>
        <v>125000</v>
      </c>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t="str">
        <f>IFERROR(__xludf.DUMMYFUNCTION("""COMPUTED_VALUE"""),"++X2 damage with Knives")</f>
        <v>++X2 damage with Knives</v>
      </c>
      <c r="AG586" s="16" t="str">
        <f>IFERROR(__xludf.DUMMYFUNCTION("""COMPUTED_VALUE"""),"Dragonscale Island")</f>
        <v>Dragonscale Island</v>
      </c>
      <c r="AH586" s="16" t="b">
        <f>IFERROR(__xludf.DUMMYFUNCTION("""COMPUTED_VALUE"""),FALSE)</f>
        <v>0</v>
      </c>
    </row>
    <row r="587">
      <c r="A587" s="16" t="str">
        <f>IFERROR(__xludf.DUMMYFUNCTION("""COMPUTED_VALUE"""),"Ninja Initiate's Cape")</f>
        <v>Ninja Initiate's Cape</v>
      </c>
      <c r="B587" s="16" t="str">
        <f>IFERROR(__xludf.DUMMYFUNCTION("""COMPUTED_VALUE"""),"Shoulders")</f>
        <v>Shoulders</v>
      </c>
      <c r="C587" s="16" t="str">
        <f>IFERROR(__xludf.DUMMYFUNCTION("""COMPUTED_VALUE"""),"Armor given to newbie Ninja's who have yet to choose a master")</f>
        <v>Armor given to newbie Ninja's who have yet to choose a master</v>
      </c>
      <c r="D587" s="16"/>
      <c r="E587" s="16">
        <f>IFERROR(__xludf.DUMMYFUNCTION("""COMPUTED_VALUE"""),2500.0)</f>
        <v>2500</v>
      </c>
      <c r="F587" s="108">
        <f>IFERROR(__xludf.DUMMYFUNCTION("""COMPUTED_VALUE"""),3.1125E8)</f>
        <v>311250000</v>
      </c>
      <c r="G587" s="16" t="str">
        <f>IFERROR(__xludf.DUMMYFUNCTION("""COMPUTED_VALUE"""),"DEF")</f>
        <v>DEF</v>
      </c>
      <c r="H587" s="119">
        <f>IFERROR(__xludf.DUMMYFUNCTION("""COMPUTED_VALUE"""),125000.0)</f>
        <v>125000</v>
      </c>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t="str">
        <f>IFERROR(__xludf.DUMMYFUNCTION("""COMPUTED_VALUE"""),"++X2 damage with Knives")</f>
        <v>++X2 damage with Knives</v>
      </c>
      <c r="AG587" s="16" t="str">
        <f>IFERROR(__xludf.DUMMYFUNCTION("""COMPUTED_VALUE"""),"Dragonscale Island")</f>
        <v>Dragonscale Island</v>
      </c>
      <c r="AH587" s="16" t="b">
        <f>IFERROR(__xludf.DUMMYFUNCTION("""COMPUTED_VALUE"""),FALSE)</f>
        <v>0</v>
      </c>
    </row>
    <row r="588">
      <c r="A588" s="16" t="str">
        <f>IFERROR(__xludf.DUMMYFUNCTION("""COMPUTED_VALUE"""),"Ninja Initiate's Vest")</f>
        <v>Ninja Initiate's Vest</v>
      </c>
      <c r="B588" s="16" t="str">
        <f>IFERROR(__xludf.DUMMYFUNCTION("""COMPUTED_VALUE"""),"Torso")</f>
        <v>Torso</v>
      </c>
      <c r="C588" s="16" t="str">
        <f>IFERROR(__xludf.DUMMYFUNCTION("""COMPUTED_VALUE"""),"Armor given to newbie Ninja's who have yet to choose a master")</f>
        <v>Armor given to newbie Ninja's who have yet to choose a master</v>
      </c>
      <c r="D588" s="16"/>
      <c r="E588" s="16">
        <f>IFERROR(__xludf.DUMMYFUNCTION("""COMPUTED_VALUE"""),2500.0)</f>
        <v>2500</v>
      </c>
      <c r="F588" s="108">
        <f>IFERROR(__xludf.DUMMYFUNCTION("""COMPUTED_VALUE"""),3.1125E8)</f>
        <v>311250000</v>
      </c>
      <c r="G588" s="16" t="str">
        <f>IFERROR(__xludf.DUMMYFUNCTION("""COMPUTED_VALUE"""),"DEF")</f>
        <v>DEF</v>
      </c>
      <c r="H588" s="119">
        <f>IFERROR(__xludf.DUMMYFUNCTION("""COMPUTED_VALUE"""),125000.0)</f>
        <v>125000</v>
      </c>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t="str">
        <f>IFERROR(__xludf.DUMMYFUNCTION("""COMPUTED_VALUE"""),"++X2 damage with Knives")</f>
        <v>++X2 damage with Knives</v>
      </c>
      <c r="AG588" s="16" t="str">
        <f>IFERROR(__xludf.DUMMYFUNCTION("""COMPUTED_VALUE"""),"Dragonscale Island")</f>
        <v>Dragonscale Island</v>
      </c>
      <c r="AH588" s="16" t="b">
        <f>IFERROR(__xludf.DUMMYFUNCTION("""COMPUTED_VALUE"""),FALSE)</f>
        <v>0</v>
      </c>
    </row>
    <row r="589">
      <c r="A589" s="16" t="str">
        <f>IFERROR(__xludf.DUMMYFUNCTION("""COMPUTED_VALUE"""),"Ninja Initiate's Gloves")</f>
        <v>Ninja Initiate's Gloves</v>
      </c>
      <c r="B589" s="16" t="str">
        <f>IFERROR(__xludf.DUMMYFUNCTION("""COMPUTED_VALUE"""),"Arms")</f>
        <v>Arms</v>
      </c>
      <c r="C589" s="16" t="str">
        <f>IFERROR(__xludf.DUMMYFUNCTION("""COMPUTED_VALUE"""),"Armor given to newbie Ninja's who have yet to choose a master")</f>
        <v>Armor given to newbie Ninja's who have yet to choose a master</v>
      </c>
      <c r="D589" s="16"/>
      <c r="E589" s="16">
        <f>IFERROR(__xludf.DUMMYFUNCTION("""COMPUTED_VALUE"""),2500.0)</f>
        <v>2500</v>
      </c>
      <c r="F589" s="108">
        <f>IFERROR(__xludf.DUMMYFUNCTION("""COMPUTED_VALUE"""),3.1125E8)</f>
        <v>311250000</v>
      </c>
      <c r="G589" s="16" t="str">
        <f>IFERROR(__xludf.DUMMYFUNCTION("""COMPUTED_VALUE"""),"DEF")</f>
        <v>DEF</v>
      </c>
      <c r="H589" s="119">
        <f>IFERROR(__xludf.DUMMYFUNCTION("""COMPUTED_VALUE"""),125000.0)</f>
        <v>125000</v>
      </c>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t="str">
        <f>IFERROR(__xludf.DUMMYFUNCTION("""COMPUTED_VALUE"""),"++X2 damage with Knives")</f>
        <v>++X2 damage with Knives</v>
      </c>
      <c r="AG589" s="16" t="str">
        <f>IFERROR(__xludf.DUMMYFUNCTION("""COMPUTED_VALUE"""),"Dragonscale Island")</f>
        <v>Dragonscale Island</v>
      </c>
      <c r="AH589" s="16" t="b">
        <f>IFERROR(__xludf.DUMMYFUNCTION("""COMPUTED_VALUE"""),FALSE)</f>
        <v>0</v>
      </c>
    </row>
    <row r="590">
      <c r="A590" s="16" t="str">
        <f>IFERROR(__xludf.DUMMYFUNCTION("""COMPUTED_VALUE"""),"Ninja Initiate's Sarouel")</f>
        <v>Ninja Initiate's Sarouel</v>
      </c>
      <c r="B590" s="16" t="str">
        <f>IFERROR(__xludf.DUMMYFUNCTION("""COMPUTED_VALUE"""),"Legs")</f>
        <v>Legs</v>
      </c>
      <c r="C590" s="16" t="str">
        <f>IFERROR(__xludf.DUMMYFUNCTION("""COMPUTED_VALUE"""),"Armor given to newbie Ninja's who have yet to choose a master")</f>
        <v>Armor given to newbie Ninja's who have yet to choose a master</v>
      </c>
      <c r="D590" s="16"/>
      <c r="E590" s="16">
        <f>IFERROR(__xludf.DUMMYFUNCTION("""COMPUTED_VALUE"""),2500.0)</f>
        <v>2500</v>
      </c>
      <c r="F590" s="108">
        <f>IFERROR(__xludf.DUMMYFUNCTION("""COMPUTED_VALUE"""),3.1125E8)</f>
        <v>311250000</v>
      </c>
      <c r="G590" s="16" t="str">
        <f>IFERROR(__xludf.DUMMYFUNCTION("""COMPUTED_VALUE"""),"DEF")</f>
        <v>DEF</v>
      </c>
      <c r="H590" s="119">
        <f>IFERROR(__xludf.DUMMYFUNCTION("""COMPUTED_VALUE"""),125000.0)</f>
        <v>125000</v>
      </c>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t="str">
        <f>IFERROR(__xludf.DUMMYFUNCTION("""COMPUTED_VALUE"""),"++X2 damage with Knives")</f>
        <v>++X2 damage with Knives</v>
      </c>
      <c r="AG590" s="16" t="str">
        <f>IFERROR(__xludf.DUMMYFUNCTION("""COMPUTED_VALUE"""),"Dragonscale Island")</f>
        <v>Dragonscale Island</v>
      </c>
      <c r="AH590" s="16" t="b">
        <f>IFERROR(__xludf.DUMMYFUNCTION("""COMPUTED_VALUE"""),FALSE)</f>
        <v>0</v>
      </c>
    </row>
    <row r="591">
      <c r="A591" s="16" t="str">
        <f>IFERROR(__xludf.DUMMYFUNCTION("""COMPUTED_VALUE"""),"Ninja Initiate's Sandals")</f>
        <v>Ninja Initiate's Sandals</v>
      </c>
      <c r="B591" s="16" t="str">
        <f>IFERROR(__xludf.DUMMYFUNCTION("""COMPUTED_VALUE"""),"Feet")</f>
        <v>Feet</v>
      </c>
      <c r="C591" s="16" t="str">
        <f>IFERROR(__xludf.DUMMYFUNCTION("""COMPUTED_VALUE"""),"Armor given to newbie Ninja's who have yet to choose a master")</f>
        <v>Armor given to newbie Ninja's who have yet to choose a master</v>
      </c>
      <c r="D591" s="16"/>
      <c r="E591" s="16">
        <f>IFERROR(__xludf.DUMMYFUNCTION("""COMPUTED_VALUE"""),2500.0)</f>
        <v>2500</v>
      </c>
      <c r="F591" s="108">
        <f>IFERROR(__xludf.DUMMYFUNCTION("""COMPUTED_VALUE"""),3.1125E8)</f>
        <v>311250000</v>
      </c>
      <c r="G591" s="16" t="str">
        <f>IFERROR(__xludf.DUMMYFUNCTION("""COMPUTED_VALUE"""),"DEF")</f>
        <v>DEF</v>
      </c>
      <c r="H591" s="119">
        <f>IFERROR(__xludf.DUMMYFUNCTION("""COMPUTED_VALUE"""),125000.0)</f>
        <v>125000</v>
      </c>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t="str">
        <f>IFERROR(__xludf.DUMMYFUNCTION("""COMPUTED_VALUE"""),"++X2 damage with Knives")</f>
        <v>++X2 damage with Knives</v>
      </c>
      <c r="AG591" s="16" t="str">
        <f>IFERROR(__xludf.DUMMYFUNCTION("""COMPUTED_VALUE"""),"Dragonscale Island")</f>
        <v>Dragonscale Island</v>
      </c>
      <c r="AH591" s="16" t="b">
        <f>IFERROR(__xludf.DUMMYFUNCTION("""COMPUTED_VALUE"""),FALSE)</f>
        <v>0</v>
      </c>
    </row>
    <row r="592">
      <c r="A592" s="16" t="str">
        <f>IFERROR(__xludf.DUMMYFUNCTION("""COMPUTED_VALUE"""),"Sai")</f>
        <v>Sai</v>
      </c>
      <c r="B592" s="16" t="str">
        <f>IFERROR(__xludf.DUMMYFUNCTION("""COMPUTED_VALUE"""),"Hand")</f>
        <v>Hand</v>
      </c>
      <c r="C592" s="16" t="str">
        <f>IFERROR(__xludf.DUMMYFUNCTION("""COMPUTED_VALUE"""),"A weapon designed for redirecting an enemies blade and then striking for their vitals")</f>
        <v>A weapon designed for redirecting an enemies blade and then striking for their vitals</v>
      </c>
      <c r="D592" s="16" t="str">
        <f>IFERROR(__xludf.DUMMYFUNCTION("""COMPUTED_VALUE"""),"Knife")</f>
        <v>Knife</v>
      </c>
      <c r="E592" s="16">
        <f>IFERROR(__xludf.DUMMYFUNCTION("""COMPUTED_VALUE"""),2500.0)</f>
        <v>2500</v>
      </c>
      <c r="F592" s="108">
        <f>IFERROR(__xludf.DUMMYFUNCTION("""COMPUTED_VALUE"""),3.1125E8)</f>
        <v>311250000</v>
      </c>
      <c r="G592" s="16" t="str">
        <f>IFERROR(__xludf.DUMMYFUNCTION("""COMPUTED_VALUE"""),"DEF")</f>
        <v>DEF</v>
      </c>
      <c r="H592" s="119">
        <f>IFERROR(__xludf.DUMMYFUNCTION("""COMPUTED_VALUE"""),125000.0)</f>
        <v>125000</v>
      </c>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t="str">
        <f>IFERROR(__xludf.DUMMYFUNCTION("""COMPUTED_VALUE"""),"++Defensive Fighting: This weapon uses it's DEF as damage for attacks made with the weapon. ++Dastardly Deflection: 25% chance to parry any weapon attacks targeting the user.")</f>
        <v>++Defensive Fighting: This weapon uses it's DEF as damage for attacks made with the weapon. ++Dastardly Deflection: 25% chance to parry any weapon attacks targeting the user.</v>
      </c>
      <c r="AG592" s="16" t="str">
        <f>IFERROR(__xludf.DUMMYFUNCTION("""COMPUTED_VALUE"""),"Dragonscale Island")</f>
        <v>Dragonscale Island</v>
      </c>
      <c r="AH592" s="16" t="b">
        <f>IFERROR(__xludf.DUMMYFUNCTION("""COMPUTED_VALUE"""),FALSE)</f>
        <v>0</v>
      </c>
    </row>
    <row r="593">
      <c r="A593" s="16" t="str">
        <f>IFERROR(__xludf.DUMMYFUNCTION("""COMPUTED_VALUE"""),"Poison Master's Mask")</f>
        <v>Poison Master's Mask</v>
      </c>
      <c r="B593" s="16" t="str">
        <f>IFERROR(__xludf.DUMMYFUNCTION("""COMPUTED_VALUE"""),"Head")</f>
        <v>Head</v>
      </c>
      <c r="C593"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3" s="16"/>
      <c r="E593" s="16">
        <f>IFERROR(__xludf.DUMMYFUNCTION("""COMPUTED_VALUE"""),2500.0)</f>
        <v>2500</v>
      </c>
      <c r="F593" s="108">
        <f>IFERROR(__xludf.DUMMYFUNCTION("""COMPUTED_VALUE"""),3.1125E8)</f>
        <v>311250000</v>
      </c>
      <c r="G593" s="16" t="str">
        <f>IFERROR(__xludf.DUMMYFUNCTION("""COMPUTED_VALUE"""),"DEF")</f>
        <v>DEF</v>
      </c>
      <c r="H593" s="119">
        <f>IFERROR(__xludf.DUMMYFUNCTION("""COMPUTED_VALUE"""),125000.0)</f>
        <v>125000</v>
      </c>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t="str">
        <f>IFERROR(__xludf.DUMMYFUNCTION("""COMPUTED_VALUE"""),"++X2 Poison damage")</f>
        <v>++X2 Poison damage</v>
      </c>
      <c r="AG593" s="16" t="str">
        <f>IFERROR(__xludf.DUMMYFUNCTION("""COMPUTED_VALUE"""),"Dragonscale Island")</f>
        <v>Dragonscale Island</v>
      </c>
      <c r="AH593" s="16" t="b">
        <f>IFERROR(__xludf.DUMMYFUNCTION("""COMPUTED_VALUE"""),FALSE)</f>
        <v>0</v>
      </c>
    </row>
    <row r="594">
      <c r="A594" s="16" t="str">
        <f>IFERROR(__xludf.DUMMYFUNCTION("""COMPUTED_VALUE"""),"Poison Master's Cape")</f>
        <v>Poison Master's Cape</v>
      </c>
      <c r="B594" s="16" t="str">
        <f>IFERROR(__xludf.DUMMYFUNCTION("""COMPUTED_VALUE"""),"Shoulders")</f>
        <v>Shoulders</v>
      </c>
      <c r="C594"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4" s="16"/>
      <c r="E594" s="16">
        <f>IFERROR(__xludf.DUMMYFUNCTION("""COMPUTED_VALUE"""),2500.0)</f>
        <v>2500</v>
      </c>
      <c r="F594" s="108">
        <f>IFERROR(__xludf.DUMMYFUNCTION("""COMPUTED_VALUE"""),3.1125E8)</f>
        <v>311250000</v>
      </c>
      <c r="G594" s="16" t="str">
        <f>IFERROR(__xludf.DUMMYFUNCTION("""COMPUTED_VALUE"""),"DEF")</f>
        <v>DEF</v>
      </c>
      <c r="H594" s="119">
        <f>IFERROR(__xludf.DUMMYFUNCTION("""COMPUTED_VALUE"""),125000.0)</f>
        <v>125000</v>
      </c>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F594" s="16" t="str">
        <f>IFERROR(__xludf.DUMMYFUNCTION("""COMPUTED_VALUE"""),"++X2 Poison damage")</f>
        <v>++X2 Poison damage</v>
      </c>
      <c r="AG594" s="16" t="str">
        <f>IFERROR(__xludf.DUMMYFUNCTION("""COMPUTED_VALUE"""),"Dragonscale Island")</f>
        <v>Dragonscale Island</v>
      </c>
      <c r="AH594" s="16" t="b">
        <f>IFERROR(__xludf.DUMMYFUNCTION("""COMPUTED_VALUE"""),FALSE)</f>
        <v>0</v>
      </c>
    </row>
    <row r="595">
      <c r="A595" s="16" t="str">
        <f>IFERROR(__xludf.DUMMYFUNCTION("""COMPUTED_VALUE"""),"Poison Master's Robe")</f>
        <v>Poison Master's Robe</v>
      </c>
      <c r="B595" s="16" t="str">
        <f>IFERROR(__xludf.DUMMYFUNCTION("""COMPUTED_VALUE"""),"Torso")</f>
        <v>Torso</v>
      </c>
      <c r="C595"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5" s="16"/>
      <c r="E595" s="16">
        <f>IFERROR(__xludf.DUMMYFUNCTION("""COMPUTED_VALUE"""),2500.0)</f>
        <v>2500</v>
      </c>
      <c r="F595" s="108">
        <f>IFERROR(__xludf.DUMMYFUNCTION("""COMPUTED_VALUE"""),3.1125E8)</f>
        <v>311250000</v>
      </c>
      <c r="G595" s="16" t="str">
        <f>IFERROR(__xludf.DUMMYFUNCTION("""COMPUTED_VALUE"""),"DEF")</f>
        <v>DEF</v>
      </c>
      <c r="H595" s="119">
        <f>IFERROR(__xludf.DUMMYFUNCTION("""COMPUTED_VALUE"""),125000.0)</f>
        <v>125000</v>
      </c>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F595" s="16"/>
      <c r="AG595" s="16" t="str">
        <f>IFERROR(__xludf.DUMMYFUNCTION("""COMPUTED_VALUE"""),"Dragonscale Island")</f>
        <v>Dragonscale Island</v>
      </c>
      <c r="AH595" s="16" t="b">
        <f>IFERROR(__xludf.DUMMYFUNCTION("""COMPUTED_VALUE"""),FALSE)</f>
        <v>0</v>
      </c>
    </row>
    <row r="596">
      <c r="A596" s="16" t="str">
        <f>IFERROR(__xludf.DUMMYFUNCTION("""COMPUTED_VALUE"""),"Poison Master's Heavy Duty Gloves")</f>
        <v>Poison Master's Heavy Duty Gloves</v>
      </c>
      <c r="B596" s="16" t="str">
        <f>IFERROR(__xludf.DUMMYFUNCTION("""COMPUTED_VALUE"""),"Arms")</f>
        <v>Arms</v>
      </c>
      <c r="C596"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6" s="16"/>
      <c r="E596" s="16">
        <f>IFERROR(__xludf.DUMMYFUNCTION("""COMPUTED_VALUE"""),2500.0)</f>
        <v>2500</v>
      </c>
      <c r="F596" s="108">
        <f>IFERROR(__xludf.DUMMYFUNCTION("""COMPUTED_VALUE"""),3.1125E8)</f>
        <v>311250000</v>
      </c>
      <c r="G596" s="16" t="str">
        <f>IFERROR(__xludf.DUMMYFUNCTION("""COMPUTED_VALUE"""),"DEF")</f>
        <v>DEF</v>
      </c>
      <c r="H596" s="119">
        <f>IFERROR(__xludf.DUMMYFUNCTION("""COMPUTED_VALUE"""),125000.0)</f>
        <v>125000</v>
      </c>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F596" s="16" t="str">
        <f>IFERROR(__xludf.DUMMYFUNCTION("""COMPUTED_VALUE"""),"++Poison Immunity")</f>
        <v>++Poison Immunity</v>
      </c>
      <c r="AG596" s="16" t="str">
        <f>IFERROR(__xludf.DUMMYFUNCTION("""COMPUTED_VALUE"""),"Dragonscale Island")</f>
        <v>Dragonscale Island</v>
      </c>
      <c r="AH596" s="16" t="b">
        <f>IFERROR(__xludf.DUMMYFUNCTION("""COMPUTED_VALUE"""),FALSE)</f>
        <v>0</v>
      </c>
    </row>
    <row r="597">
      <c r="A597" s="16" t="str">
        <f>IFERROR(__xludf.DUMMYFUNCTION("""COMPUTED_VALUE"""),"Poison Master's Sarouel")</f>
        <v>Poison Master's Sarouel</v>
      </c>
      <c r="B597" s="16" t="str">
        <f>IFERROR(__xludf.DUMMYFUNCTION("""COMPUTED_VALUE"""),"Legs")</f>
        <v>Legs</v>
      </c>
      <c r="C597"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7" s="16"/>
      <c r="E597" s="16">
        <f>IFERROR(__xludf.DUMMYFUNCTION("""COMPUTED_VALUE"""),2500.0)</f>
        <v>2500</v>
      </c>
      <c r="F597" s="108">
        <f>IFERROR(__xludf.DUMMYFUNCTION("""COMPUTED_VALUE"""),3.1125E8)</f>
        <v>311250000</v>
      </c>
      <c r="G597" s="16" t="str">
        <f>IFERROR(__xludf.DUMMYFUNCTION("""COMPUTED_VALUE"""),"DEF")</f>
        <v>DEF</v>
      </c>
      <c r="H597" s="119">
        <f>IFERROR(__xludf.DUMMYFUNCTION("""COMPUTED_VALUE"""),125000.0)</f>
        <v>125000</v>
      </c>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F597" s="16"/>
      <c r="AG597" s="16" t="str">
        <f>IFERROR(__xludf.DUMMYFUNCTION("""COMPUTED_VALUE"""),"Dragonscale Island")</f>
        <v>Dragonscale Island</v>
      </c>
      <c r="AH597" s="16" t="b">
        <f>IFERROR(__xludf.DUMMYFUNCTION("""COMPUTED_VALUE"""),FALSE)</f>
        <v>0</v>
      </c>
    </row>
    <row r="598">
      <c r="A598" s="16" t="str">
        <f>IFERROR(__xludf.DUMMYFUNCTION("""COMPUTED_VALUE"""),"Poison Master's Boots")</f>
        <v>Poison Master's Boots</v>
      </c>
      <c r="B598" s="16" t="str">
        <f>IFERROR(__xludf.DUMMYFUNCTION("""COMPUTED_VALUE"""),"Feet")</f>
        <v>Feet</v>
      </c>
      <c r="C598"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D598" s="16"/>
      <c r="E598" s="16">
        <f>IFERROR(__xludf.DUMMYFUNCTION("""COMPUTED_VALUE"""),2500.0)</f>
        <v>2500</v>
      </c>
      <c r="F598" s="108">
        <f>IFERROR(__xludf.DUMMYFUNCTION("""COMPUTED_VALUE"""),3.1125E8)</f>
        <v>311250000</v>
      </c>
      <c r="G598" s="16" t="str">
        <f>IFERROR(__xludf.DUMMYFUNCTION("""COMPUTED_VALUE"""),"DEF")</f>
        <v>DEF</v>
      </c>
      <c r="H598" s="119">
        <f>IFERROR(__xludf.DUMMYFUNCTION("""COMPUTED_VALUE"""),125000.0)</f>
        <v>125000</v>
      </c>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F598" s="16" t="str">
        <f>IFERROR(__xludf.DUMMYFUNCTION("""COMPUTED_VALUE"""),"++When an enemy is Poisoned gain Haste 3")</f>
        <v>++When an enemy is Poisoned gain Haste 3</v>
      </c>
      <c r="AG598" s="16" t="str">
        <f>IFERROR(__xludf.DUMMYFUNCTION("""COMPUTED_VALUE"""),"Dragonscale Island")</f>
        <v>Dragonscale Island</v>
      </c>
      <c r="AH598" s="16" t="b">
        <f>IFERROR(__xludf.DUMMYFUNCTION("""COMPUTED_VALUE"""),FALSE)</f>
        <v>0</v>
      </c>
    </row>
    <row r="599">
      <c r="A599" s="16" t="str">
        <f>IFERROR(__xludf.DUMMYFUNCTION("""COMPUTED_VALUE"""),"Ambusher's Cowl")</f>
        <v>Ambusher's Cowl</v>
      </c>
      <c r="B599" s="16" t="str">
        <f>IFERROR(__xludf.DUMMYFUNCTION("""COMPUTED_VALUE"""),"Head")</f>
        <v>Head</v>
      </c>
      <c r="C599" s="16" t="str">
        <f>IFERROR(__xludf.DUMMYFUNCTION("""COMPUTED_VALUE"""),"The armor of intermediate ninja's who have decided to pursue the art of the ambush to the extreme")</f>
        <v>The armor of intermediate ninja's who have decided to pursue the art of the ambush to the extreme</v>
      </c>
      <c r="D599" s="16"/>
      <c r="E599" s="16">
        <f>IFERROR(__xludf.DUMMYFUNCTION("""COMPUTED_VALUE"""),2500.0)</f>
        <v>2500</v>
      </c>
      <c r="F599" s="108">
        <f>IFERROR(__xludf.DUMMYFUNCTION("""COMPUTED_VALUE"""),3.1125E8)</f>
        <v>311250000</v>
      </c>
      <c r="G599" s="16" t="str">
        <f>IFERROR(__xludf.DUMMYFUNCTION("""COMPUTED_VALUE"""),"DEF")</f>
        <v>DEF</v>
      </c>
      <c r="H599" s="119">
        <f>IFERROR(__xludf.DUMMYFUNCTION("""COMPUTED_VALUE"""),125000.0)</f>
        <v>125000</v>
      </c>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F599" s="16" t="str">
        <f>IFERROR(__xludf.DUMMYFUNCTION("""COMPUTED_VALUE"""),"++Conceal is Guaranteed to cast if the last action you took was a weapon attack")</f>
        <v>++Conceal is Guaranteed to cast if the last action you took was a weapon attack</v>
      </c>
      <c r="AG599" s="16" t="str">
        <f>IFERROR(__xludf.DUMMYFUNCTION("""COMPUTED_VALUE"""),"Dragonscale Island")</f>
        <v>Dragonscale Island</v>
      </c>
      <c r="AH599" s="16" t="b">
        <f>IFERROR(__xludf.DUMMYFUNCTION("""COMPUTED_VALUE"""),FALSE)</f>
        <v>0</v>
      </c>
    </row>
    <row r="600">
      <c r="A600" s="16" t="str">
        <f>IFERROR(__xludf.DUMMYFUNCTION("""COMPUTED_VALUE"""),"Ambusher's Cape")</f>
        <v>Ambusher's Cape</v>
      </c>
      <c r="B600" s="16" t="str">
        <f>IFERROR(__xludf.DUMMYFUNCTION("""COMPUTED_VALUE"""),"Shoulders")</f>
        <v>Shoulders</v>
      </c>
      <c r="C600" s="16" t="str">
        <f>IFERROR(__xludf.DUMMYFUNCTION("""COMPUTED_VALUE"""),"The armor of intermediate ninja's who have decided to pursue the art of the ambush to the extreme")</f>
        <v>The armor of intermediate ninja's who have decided to pursue the art of the ambush to the extreme</v>
      </c>
      <c r="D600" s="16"/>
      <c r="E600" s="16">
        <f>IFERROR(__xludf.DUMMYFUNCTION("""COMPUTED_VALUE"""),2500.0)</f>
        <v>2500</v>
      </c>
      <c r="F600" s="108">
        <f>IFERROR(__xludf.DUMMYFUNCTION("""COMPUTED_VALUE"""),3.1125E8)</f>
        <v>311250000</v>
      </c>
      <c r="G600" s="16" t="str">
        <f>IFERROR(__xludf.DUMMYFUNCTION("""COMPUTED_VALUE"""),"DEF")</f>
        <v>DEF</v>
      </c>
      <c r="H600" s="119">
        <f>IFERROR(__xludf.DUMMYFUNCTION("""COMPUTED_VALUE"""),125000.0)</f>
        <v>125000</v>
      </c>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F600" s="16" t="str">
        <f>IFERROR(__xludf.DUMMYFUNCTION("""COMPUTED_VALUE"""),"++Conceal: upon entering combat you are invulnerable for 1 round or until you attack")</f>
        <v>++Conceal: upon entering combat you are invulnerable for 1 round or until you attack</v>
      </c>
      <c r="AG600" s="16" t="str">
        <f>IFERROR(__xludf.DUMMYFUNCTION("""COMPUTED_VALUE"""),"Dragonscale Island")</f>
        <v>Dragonscale Island</v>
      </c>
      <c r="AH600" s="16" t="b">
        <f>IFERROR(__xludf.DUMMYFUNCTION("""COMPUTED_VALUE"""),FALSE)</f>
        <v>0</v>
      </c>
    </row>
    <row r="601">
      <c r="A601" s="16" t="str">
        <f>IFERROR(__xludf.DUMMYFUNCTION("""COMPUTED_VALUE"""),"Ambusher's Vest")</f>
        <v>Ambusher's Vest</v>
      </c>
      <c r="B601" s="16" t="str">
        <f>IFERROR(__xludf.DUMMYFUNCTION("""COMPUTED_VALUE"""),"Torso")</f>
        <v>Torso</v>
      </c>
      <c r="C601" s="16" t="str">
        <f>IFERROR(__xludf.DUMMYFUNCTION("""COMPUTED_VALUE"""),"The armor of intermediate ninja's who have decided to pursue the art of the ambush to the extreme")</f>
        <v>The armor of intermediate ninja's who have decided to pursue the art of the ambush to the extreme</v>
      </c>
      <c r="D601" s="16"/>
      <c r="E601" s="16">
        <f>IFERROR(__xludf.DUMMYFUNCTION("""COMPUTED_VALUE"""),2500.0)</f>
        <v>2500</v>
      </c>
      <c r="F601" s="108">
        <f>IFERROR(__xludf.DUMMYFUNCTION("""COMPUTED_VALUE"""),3.1125E8)</f>
        <v>311250000</v>
      </c>
      <c r="G601" s="16" t="str">
        <f>IFERROR(__xludf.DUMMYFUNCTION("""COMPUTED_VALUE"""),"DEF")</f>
        <v>DEF</v>
      </c>
      <c r="H601" s="119">
        <f>IFERROR(__xludf.DUMMYFUNCTION("""COMPUTED_VALUE"""),125000.0)</f>
        <v>125000</v>
      </c>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F601" s="16" t="str">
        <f>IFERROR(__xludf.DUMMYFUNCTION("""COMPUTED_VALUE"""),"++When breaking concealment deal X2 damage")</f>
        <v>++When breaking concealment deal X2 damage</v>
      </c>
      <c r="AG601" s="16" t="str">
        <f>IFERROR(__xludf.DUMMYFUNCTION("""COMPUTED_VALUE"""),"Dragonscale Island")</f>
        <v>Dragonscale Island</v>
      </c>
      <c r="AH601" s="16" t="b">
        <f>IFERROR(__xludf.DUMMYFUNCTION("""COMPUTED_VALUE"""),FALSE)</f>
        <v>0</v>
      </c>
    </row>
    <row r="602">
      <c r="A602" s="16" t="str">
        <f>IFERROR(__xludf.DUMMYFUNCTION("""COMPUTED_VALUE"""),"Ambusher's Gloves")</f>
        <v>Ambusher's Gloves</v>
      </c>
      <c r="B602" s="16" t="str">
        <f>IFERROR(__xludf.DUMMYFUNCTION("""COMPUTED_VALUE"""),"Arms")</f>
        <v>Arms</v>
      </c>
      <c r="C602" s="16" t="str">
        <f>IFERROR(__xludf.DUMMYFUNCTION("""COMPUTED_VALUE"""),"The armor of intermediate ninja's who have decided to pursue the art of the ambush to the extreme")</f>
        <v>The armor of intermediate ninja's who have decided to pursue the art of the ambush to the extreme</v>
      </c>
      <c r="D602" s="16"/>
      <c r="E602" s="16">
        <f>IFERROR(__xludf.DUMMYFUNCTION("""COMPUTED_VALUE"""),2500.0)</f>
        <v>2500</v>
      </c>
      <c r="F602" s="108">
        <f>IFERROR(__xludf.DUMMYFUNCTION("""COMPUTED_VALUE"""),3.1125E8)</f>
        <v>311250000</v>
      </c>
      <c r="G602" s="16" t="str">
        <f>IFERROR(__xludf.DUMMYFUNCTION("""COMPUTED_VALUE"""),"DEF")</f>
        <v>DEF</v>
      </c>
      <c r="H602" s="119">
        <f>IFERROR(__xludf.DUMMYFUNCTION("""COMPUTED_VALUE"""),125000.0)</f>
        <v>125000</v>
      </c>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F602" s="16" t="str">
        <f>IFERROR(__xludf.DUMMYFUNCTION("""COMPUTED_VALUE"""),"++X2 damage with knives, ++Knife ability is 3 times as likely to activate. +-Cannot be forged +-Cannot be duplicated")</f>
        <v>++X2 damage with knives, ++Knife ability is 3 times as likely to activate. +-Cannot be forged +-Cannot be duplicated</v>
      </c>
      <c r="AG602" s="16" t="str">
        <f>IFERROR(__xludf.DUMMYFUNCTION("""COMPUTED_VALUE"""),"Dragonscale Island")</f>
        <v>Dragonscale Island</v>
      </c>
      <c r="AH602" s="16" t="b">
        <f>IFERROR(__xludf.DUMMYFUNCTION("""COMPUTED_VALUE"""),FALSE)</f>
        <v>0</v>
      </c>
    </row>
    <row r="603">
      <c r="A603" s="16" t="str">
        <f>IFERROR(__xludf.DUMMYFUNCTION("""COMPUTED_VALUE"""),"Ambusher's Sarouel")</f>
        <v>Ambusher's Sarouel</v>
      </c>
      <c r="B603" s="16" t="str">
        <f>IFERROR(__xludf.DUMMYFUNCTION("""COMPUTED_VALUE"""),"Legs")</f>
        <v>Legs</v>
      </c>
      <c r="C603" s="16" t="str">
        <f>IFERROR(__xludf.DUMMYFUNCTION("""COMPUTED_VALUE"""),"The armor of intermediate ninja's who have decided to pursue the art of the ambush to the extreme")</f>
        <v>The armor of intermediate ninja's who have decided to pursue the art of the ambush to the extreme</v>
      </c>
      <c r="D603" s="16"/>
      <c r="E603" s="16">
        <f>IFERROR(__xludf.DUMMYFUNCTION("""COMPUTED_VALUE"""),2500.0)</f>
        <v>2500</v>
      </c>
      <c r="F603" s="108">
        <f>IFERROR(__xludf.DUMMYFUNCTION("""COMPUTED_VALUE"""),3.1125E8)</f>
        <v>311250000</v>
      </c>
      <c r="G603" s="16" t="str">
        <f>IFERROR(__xludf.DUMMYFUNCTION("""COMPUTED_VALUE"""),"DEF")</f>
        <v>DEF</v>
      </c>
      <c r="H603" s="119">
        <f>IFERROR(__xludf.DUMMYFUNCTION("""COMPUTED_VALUE"""),125000.0)</f>
        <v>125000</v>
      </c>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F603" s="16" t="str">
        <f>IFERROR(__xludf.DUMMYFUNCTION("""COMPUTED_VALUE"""),"++X2 damage with knives")</f>
        <v>++X2 damage with knives</v>
      </c>
      <c r="AG603" s="16" t="str">
        <f>IFERROR(__xludf.DUMMYFUNCTION("""COMPUTED_VALUE"""),"Dragonscale Island")</f>
        <v>Dragonscale Island</v>
      </c>
      <c r="AH603" s="16" t="b">
        <f>IFERROR(__xludf.DUMMYFUNCTION("""COMPUTED_VALUE"""),FALSE)</f>
        <v>0</v>
      </c>
    </row>
    <row r="604">
      <c r="A604" s="16" t="str">
        <f>IFERROR(__xludf.DUMMYFUNCTION("""COMPUTED_VALUE"""),"Ambusher's Sandals")</f>
        <v>Ambusher's Sandals</v>
      </c>
      <c r="B604" s="16" t="str">
        <f>IFERROR(__xludf.DUMMYFUNCTION("""COMPUTED_VALUE"""),"Feet")</f>
        <v>Feet</v>
      </c>
      <c r="C604" s="16" t="str">
        <f>IFERROR(__xludf.DUMMYFUNCTION("""COMPUTED_VALUE"""),"The armor of intermediate ninja's who have decided to pursue the art of the ambush to the extreme")</f>
        <v>The armor of intermediate ninja's who have decided to pursue the art of the ambush to the extreme</v>
      </c>
      <c r="D604" s="16"/>
      <c r="E604" s="16">
        <f>IFERROR(__xludf.DUMMYFUNCTION("""COMPUTED_VALUE"""),2500.0)</f>
        <v>2500</v>
      </c>
      <c r="F604" s="108">
        <f>IFERROR(__xludf.DUMMYFUNCTION("""COMPUTED_VALUE"""),3.1125E8)</f>
        <v>311250000</v>
      </c>
      <c r="G604" s="16" t="str">
        <f>IFERROR(__xludf.DUMMYFUNCTION("""COMPUTED_VALUE"""),"DEF")</f>
        <v>DEF</v>
      </c>
      <c r="H604" s="119">
        <f>IFERROR(__xludf.DUMMYFUNCTION("""COMPUTED_VALUE"""),125000.0)</f>
        <v>125000</v>
      </c>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F604" s="16" t="str">
        <f>IFERROR(__xludf.DUMMYFUNCTION("""COMPUTED_VALUE"""),"++When breaking concealment gain invigorate 5")</f>
        <v>++When breaking concealment gain invigorate 5</v>
      </c>
      <c r="AG604" s="16" t="str">
        <f>IFERROR(__xludf.DUMMYFUNCTION("""COMPUTED_VALUE"""),"Dragonscale Island")</f>
        <v>Dragonscale Island</v>
      </c>
      <c r="AH604" s="16" t="b">
        <f>IFERROR(__xludf.DUMMYFUNCTION("""COMPUTED_VALUE"""),FALSE)</f>
        <v>0</v>
      </c>
    </row>
    <row r="605">
      <c r="A605" s="16" t="str">
        <f>IFERROR(__xludf.DUMMYFUNCTION("""COMPUTED_VALUE"""),"Blade of Ancestral Blood")</f>
        <v>Blade of Ancestral Blood</v>
      </c>
      <c r="B605" s="16" t="str">
        <f>IFERROR(__xludf.DUMMYFUNCTION("""COMPUTED_VALUE"""),"Hand")</f>
        <v>Hand</v>
      </c>
      <c r="C605" s="16" t="str">
        <f>IFERROR(__xludf.DUMMYFUNCTION("""COMPUTED_VALUE"""),"(Quest Item) This knife holds all the grief of Inugima, the man who turned his back on his clan and lived in grief for his decision until the day he died. The blade is stained red with the blood of Inugima's family and now is stained with his as well. It "&amp;"still seems to hold some special power and you guess it's story probably isn't over yet.")</f>
        <v>(Quest Item) This knife holds all the grief of Inugima, the man who turned his back on his clan and lived in grief for his decision until the day he died. The blade is stained red with the blood of Inugima's family and now is stained with his as well. It still seems to hold some special power and you guess it's story probably isn't over yet.</v>
      </c>
      <c r="D605" s="16" t="str">
        <f>IFERROR(__xludf.DUMMYFUNCTION("""COMPUTED_VALUE"""),"Knife")</f>
        <v>Knife</v>
      </c>
      <c r="E605" s="16">
        <f>IFERROR(__xludf.DUMMYFUNCTION("""COMPUTED_VALUE"""),200.0)</f>
        <v>200</v>
      </c>
      <c r="F605" s="108">
        <f>IFERROR(__xludf.DUMMYFUNCTION("""COMPUTED_VALUE"""),1.797E9)</f>
        <v>1797000000</v>
      </c>
      <c r="G605" s="16" t="str">
        <f>IFERROR(__xludf.DUMMYFUNCTION("""COMPUTED_VALUE"""),"DMG")</f>
        <v>DMG</v>
      </c>
      <c r="H605" s="16">
        <f>IFERROR(__xludf.DUMMYFUNCTION("""COMPUTED_VALUE"""),50000.0)</f>
        <v>50000</v>
      </c>
      <c r="I605" s="16"/>
      <c r="J605" s="16"/>
      <c r="K605" s="16"/>
      <c r="L605" s="16"/>
      <c r="M605" s="16"/>
      <c r="N605" s="16"/>
      <c r="O605" s="16"/>
      <c r="P605" s="16"/>
      <c r="Q605" s="16"/>
      <c r="R605" s="16">
        <f>IFERROR(__xludf.DUMMYFUNCTION("""COMPUTED_VALUE"""),50000.0)</f>
        <v>50000</v>
      </c>
      <c r="S605" s="16"/>
      <c r="T605" s="16"/>
      <c r="U605" s="16"/>
      <c r="V605" s="16"/>
      <c r="W605" s="16"/>
      <c r="X605" s="16">
        <f>IFERROR(__xludf.DUMMYFUNCTION("""COMPUTED_VALUE"""),50000.0)</f>
        <v>50000</v>
      </c>
      <c r="Y605" s="16">
        <f>IFERROR(__xludf.DUMMYFUNCTION("""COMPUTED_VALUE"""),100000.0)</f>
        <v>100000</v>
      </c>
      <c r="Z605" s="16"/>
      <c r="AA605" s="16"/>
      <c r="AB605" s="16"/>
      <c r="AC605" s="16">
        <f>IFERROR(__xludf.DUMMYFUNCTION("""COMPUTED_VALUE"""),50000.0)</f>
        <v>50000</v>
      </c>
      <c r="AD605" s="16"/>
      <c r="AE605" s="16"/>
      <c r="AF605" s="16" t="str">
        <f>IFERROR(__xludf.DUMMYFUNCTION("""COMPUTED_VALUE"""),"(Knife) ++The Cursed Knife Forged in Blood: X4 blood damage. ++The Blood of the Backstabbed: When hitting an enemy from concealment you gain a further X4 blood damage for the rest of battle and Invigorated 3. ++Repentance: Stab yourself and use your blood"&amp;" to attack you enemy dealing 100000 blood damage and 1000 bleed on hit 5000 hp +-Cannot be Duplicated")</f>
        <v>(Knife) ++The Cursed Knife Forged in Blood: X4 blood damage. ++The Blood of the Backstabbed: When hitting an enemy from concealment you gain a further X4 blood damage for the rest of battle and Invigorated 3. ++Repentance: Stab yourself and use your blood to attack you enemy dealing 100000 blood damage and 1000 bleed on hit 5000 hp +-Cannot be Duplicated</v>
      </c>
      <c r="AG605" s="16" t="str">
        <f>IFERROR(__xludf.DUMMYFUNCTION("""COMPUTED_VALUE"""),"Dragonscale Island")</f>
        <v>Dragonscale Island</v>
      </c>
      <c r="AH605" s="16" t="b">
        <f>IFERROR(__xludf.DUMMYFUNCTION("""COMPUTED_VALUE"""),FALSE)</f>
        <v>0</v>
      </c>
    </row>
    <row r="606">
      <c r="A606" s="16" t="str">
        <f>IFERROR(__xludf.DUMMYFUNCTION("""COMPUTED_VALUE"""),"Lunaris, Sword of The Moon")</f>
        <v>Lunaris, Sword of The Moon</v>
      </c>
      <c r="B606" s="16" t="str">
        <f>IFERROR(__xludf.DUMMYFUNCTION("""COMPUTED_VALUE"""),"Hand")</f>
        <v>Hand</v>
      </c>
      <c r="C606" s="16" t="str">
        <f>IFERROR(__xludf.DUMMYFUNCTION("""COMPUTED_VALUE"""),"(Quest Item) This blade, Bathed in the light of the fallen moon Goddess holds the power of the moon itself within, it was brought into being when a blade forged in the blood of those betrayed and broken by one they loved was brought to the once beautiful "&amp;"shrine of the betrayed Goddess where it was reformed with the power of the goddess's will and holds within it her wish to protect those around her.")</f>
        <v>(Quest Item) This blade, Bathed in the light of the fallen moon Goddess holds the power of the moon itself within, it was brought into being when a blade forged in the blood of those betrayed and broken by one they loved was brought to the once beautiful shrine of the betrayed Goddess where it was reformed with the power of the goddess's will and holds within it her wish to protect those around her.</v>
      </c>
      <c r="D606" s="16" t="str">
        <f>IFERROR(__xludf.DUMMYFUNCTION("""COMPUTED_VALUE"""),"Sword")</f>
        <v>Sword</v>
      </c>
      <c r="E606" s="16">
        <f>IFERROR(__xludf.DUMMYFUNCTION("""COMPUTED_VALUE"""),200.0)</f>
        <v>200</v>
      </c>
      <c r="F606" s="108">
        <f>IFERROR(__xludf.DUMMYFUNCTION("""COMPUTED_VALUE"""),7.194E9)</f>
        <v>7194000000</v>
      </c>
      <c r="G606" s="16" t="str">
        <f>IFERROR(__xludf.DUMMYFUNCTION("""COMPUTED_VALUE"""),"DEF")</f>
        <v>DEF</v>
      </c>
      <c r="H606" s="119">
        <f>IFERROR(__xludf.DUMMYFUNCTION("""COMPUTED_VALUE"""),200000.0)</f>
        <v>200000</v>
      </c>
      <c r="I606" s="16"/>
      <c r="J606" s="16"/>
      <c r="K606" s="16"/>
      <c r="L606" s="16"/>
      <c r="M606" s="16"/>
      <c r="N606" s="119">
        <f>IFERROR(__xludf.DUMMYFUNCTION("""COMPUTED_VALUE"""),100000.0)</f>
        <v>100000</v>
      </c>
      <c r="O606" s="16"/>
      <c r="P606" s="16"/>
      <c r="Q606" s="16"/>
      <c r="R606" s="16"/>
      <c r="S606" s="16"/>
      <c r="T606" s="16"/>
      <c r="U606" s="16"/>
      <c r="V606" s="16"/>
      <c r="W606" s="16"/>
      <c r="X606" s="16"/>
      <c r="Y606" s="16"/>
      <c r="Z606" s="16"/>
      <c r="AA606" s="16"/>
      <c r="AB606" s="119">
        <f>IFERROR(__xludf.DUMMYFUNCTION("""COMPUTED_VALUE"""),200000.0)</f>
        <v>200000</v>
      </c>
      <c r="AC606" s="119">
        <f>IFERROR(__xludf.DUMMYFUNCTION("""COMPUTED_VALUE"""),100000.0)</f>
        <v>100000</v>
      </c>
      <c r="AD606" s="16"/>
      <c r="AE606" s="16"/>
      <c r="AF606" s="16" t="str">
        <f>IFERROR(__xludf.DUMMYFUNCTION("""COMPUTED_VALUE"""),"(Sword) ++The Blade Blessed By The Stars Above: X6 Astral Damage and this blade uses it's defense as damage. ++To Protect Those You Love: When fighting with at least 2 allies deal X6 further damage with this weapon. ++Forgiveness: Raise your sword into th"&amp;"e sky drowning the battlefield in the light of the moon no matter what time it is or where you are. This moonlight protects you and your allies granting you all X2 Defense and Nullifies all Dark and Chaos spells cast on the battlefield regardless of who c"&amp;"asts them. +-Cannot be Duplicated")</f>
        <v>(Sword) ++The Blade Blessed By The Stars Above: X6 Astral Damage and this blade uses it's defense as damage. ++To Protect Those You Love: When fighting with at least 2 allies deal X6 further damage with this weapon. ++Forgiveness: Raise your sword into the sky drowning the battlefield in the light of the moon no matter what time it is or where you are. This moonlight protects you and your allies granting you all X2 Defense and Nullifies all Dark and Chaos spells cast on the battlefield regardless of who casts them. +-Cannot be Duplicated</v>
      </c>
      <c r="AG606" s="16" t="str">
        <f>IFERROR(__xludf.DUMMYFUNCTION("""COMPUTED_VALUE"""),"Abstara")</f>
        <v>Abstara</v>
      </c>
      <c r="AH606" s="16" t="b">
        <f>IFERROR(__xludf.DUMMYFUNCTION("""COMPUTED_VALUE"""),FALSE)</f>
        <v>0</v>
      </c>
    </row>
    <row r="607">
      <c r="A607" s="16" t="str">
        <f>IFERROR(__xludf.DUMMYFUNCTION("""COMPUTED_VALUE"""),"Master Inugima's Cowl")</f>
        <v>Master Inugima's Cowl</v>
      </c>
      <c r="B607" s="16" t="str">
        <f>IFERROR(__xludf.DUMMYFUNCTION("""COMPUTED_VALUE"""),"Head")</f>
        <v>Head</v>
      </c>
      <c r="C607" s="16" t="str">
        <f>IFERROR(__xludf.DUMMYFUNCTION("""COMPUTED_VALUE"""),"Mob Exclusive")</f>
        <v>Mob Exclusive</v>
      </c>
      <c r="D607" s="16"/>
      <c r="E607" s="16">
        <f>IFERROR(__xludf.DUMMYFUNCTION("""COMPUTED_VALUE"""),1.0)</f>
        <v>1</v>
      </c>
      <c r="F607" s="108">
        <f>IFERROR(__xludf.DUMMYFUNCTION("""COMPUTED_VALUE"""),0.0)</f>
        <v>0</v>
      </c>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F607" s="16"/>
      <c r="AG607" s="16" t="str">
        <f>IFERROR(__xludf.DUMMYFUNCTION("""COMPUTED_VALUE"""),"Dragonscale Island")</f>
        <v>Dragonscale Island</v>
      </c>
      <c r="AH607" s="16" t="b">
        <f>IFERROR(__xludf.DUMMYFUNCTION("""COMPUTED_VALUE"""),TRUE)</f>
        <v>1</v>
      </c>
    </row>
    <row r="608">
      <c r="A608" s="16" t="str">
        <f>IFERROR(__xludf.DUMMYFUNCTION("""COMPUTED_VALUE"""),"Master Inugima's Cape")</f>
        <v>Master Inugima's Cape</v>
      </c>
      <c r="B608" s="16" t="str">
        <f>IFERROR(__xludf.DUMMYFUNCTION("""COMPUTED_VALUE"""),"Shoulders")</f>
        <v>Shoulders</v>
      </c>
      <c r="C608" s="16" t="str">
        <f>IFERROR(__xludf.DUMMYFUNCTION("""COMPUTED_VALUE"""),"Mob Exclusive")</f>
        <v>Mob Exclusive</v>
      </c>
      <c r="D608" s="16"/>
      <c r="E608" s="16">
        <f>IFERROR(__xludf.DUMMYFUNCTION("""COMPUTED_VALUE"""),1.0)</f>
        <v>1</v>
      </c>
      <c r="F608" s="108">
        <f>IFERROR(__xludf.DUMMYFUNCTION("""COMPUTED_VALUE"""),0.0)</f>
        <v>0</v>
      </c>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F608" s="16"/>
      <c r="AG608" s="16" t="str">
        <f>IFERROR(__xludf.DUMMYFUNCTION("""COMPUTED_VALUE"""),"Dragonscale Island")</f>
        <v>Dragonscale Island</v>
      </c>
      <c r="AH608" s="16" t="b">
        <f>IFERROR(__xludf.DUMMYFUNCTION("""COMPUTED_VALUE"""),TRUE)</f>
        <v>1</v>
      </c>
    </row>
    <row r="609">
      <c r="A609" s="16" t="str">
        <f>IFERROR(__xludf.DUMMYFUNCTION("""COMPUTED_VALUE"""),"Master Inugima's Cloak")</f>
        <v>Master Inugima's Cloak</v>
      </c>
      <c r="B609" s="16" t="str">
        <f>IFERROR(__xludf.DUMMYFUNCTION("""COMPUTED_VALUE"""),"Torso")</f>
        <v>Torso</v>
      </c>
      <c r="C609" s="16" t="str">
        <f>IFERROR(__xludf.DUMMYFUNCTION("""COMPUTED_VALUE"""),"Mob Exclusive")</f>
        <v>Mob Exclusive</v>
      </c>
      <c r="D609" s="16"/>
      <c r="E609" s="16">
        <f>IFERROR(__xludf.DUMMYFUNCTION("""COMPUTED_VALUE"""),1.0)</f>
        <v>1</v>
      </c>
      <c r="F609" s="108">
        <f>IFERROR(__xludf.DUMMYFUNCTION("""COMPUTED_VALUE"""),0.0)</f>
        <v>0</v>
      </c>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F609" s="16"/>
      <c r="AG609" s="16" t="str">
        <f>IFERROR(__xludf.DUMMYFUNCTION("""COMPUTED_VALUE"""),"Dragonscale Island")</f>
        <v>Dragonscale Island</v>
      </c>
      <c r="AH609" s="16" t="b">
        <f>IFERROR(__xludf.DUMMYFUNCTION("""COMPUTED_VALUE"""),TRUE)</f>
        <v>1</v>
      </c>
    </row>
    <row r="610">
      <c r="A610" s="16" t="str">
        <f>IFERROR(__xludf.DUMMYFUNCTION("""COMPUTED_VALUE"""),"Master Inugima's Gloves")</f>
        <v>Master Inugima's Gloves</v>
      </c>
      <c r="B610" s="16" t="str">
        <f>IFERROR(__xludf.DUMMYFUNCTION("""COMPUTED_VALUE"""),"Arms")</f>
        <v>Arms</v>
      </c>
      <c r="C610" s="16" t="str">
        <f>IFERROR(__xludf.DUMMYFUNCTION("""COMPUTED_VALUE"""),"Mob Exclusive")</f>
        <v>Mob Exclusive</v>
      </c>
      <c r="D610" s="16"/>
      <c r="E610" s="16">
        <f>IFERROR(__xludf.DUMMYFUNCTION("""COMPUTED_VALUE"""),1.0)</f>
        <v>1</v>
      </c>
      <c r="F610" s="108">
        <f>IFERROR(__xludf.DUMMYFUNCTION("""COMPUTED_VALUE"""),0.0)</f>
        <v>0</v>
      </c>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F610" s="16"/>
      <c r="AG610" s="16" t="str">
        <f>IFERROR(__xludf.DUMMYFUNCTION("""COMPUTED_VALUE"""),"Dragonscale Island")</f>
        <v>Dragonscale Island</v>
      </c>
      <c r="AH610" s="16" t="b">
        <f>IFERROR(__xludf.DUMMYFUNCTION("""COMPUTED_VALUE"""),TRUE)</f>
        <v>1</v>
      </c>
    </row>
    <row r="611">
      <c r="A611" s="16" t="str">
        <f>IFERROR(__xludf.DUMMYFUNCTION("""COMPUTED_VALUE"""),"Master Inugima's Sarouel")</f>
        <v>Master Inugima's Sarouel</v>
      </c>
      <c r="B611" s="16" t="str">
        <f>IFERROR(__xludf.DUMMYFUNCTION("""COMPUTED_VALUE"""),"Legs")</f>
        <v>Legs</v>
      </c>
      <c r="C611" s="16" t="str">
        <f>IFERROR(__xludf.DUMMYFUNCTION("""COMPUTED_VALUE"""),"Mob Exclusive")</f>
        <v>Mob Exclusive</v>
      </c>
      <c r="D611" s="16"/>
      <c r="E611" s="16">
        <f>IFERROR(__xludf.DUMMYFUNCTION("""COMPUTED_VALUE"""),1.0)</f>
        <v>1</v>
      </c>
      <c r="F611" s="108">
        <f>IFERROR(__xludf.DUMMYFUNCTION("""COMPUTED_VALUE"""),0.0)</f>
        <v>0</v>
      </c>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F611" s="16"/>
      <c r="AG611" s="16" t="str">
        <f>IFERROR(__xludf.DUMMYFUNCTION("""COMPUTED_VALUE"""),"Dragonscale Island")</f>
        <v>Dragonscale Island</v>
      </c>
      <c r="AH611" s="16" t="b">
        <f>IFERROR(__xludf.DUMMYFUNCTION("""COMPUTED_VALUE"""),TRUE)</f>
        <v>1</v>
      </c>
    </row>
    <row r="612">
      <c r="A612" s="16" t="str">
        <f>IFERROR(__xludf.DUMMYFUNCTION("""COMPUTED_VALUE"""),"Master Inugima's Boots")</f>
        <v>Master Inugima's Boots</v>
      </c>
      <c r="B612" s="16" t="str">
        <f>IFERROR(__xludf.DUMMYFUNCTION("""COMPUTED_VALUE"""),"Feet")</f>
        <v>Feet</v>
      </c>
      <c r="C612" s="16" t="str">
        <f>IFERROR(__xludf.DUMMYFUNCTION("""COMPUTED_VALUE"""),"Mob Exclusive")</f>
        <v>Mob Exclusive</v>
      </c>
      <c r="D612" s="16"/>
      <c r="E612" s="16">
        <f>IFERROR(__xludf.DUMMYFUNCTION("""COMPUTED_VALUE"""),1.0)</f>
        <v>1</v>
      </c>
      <c r="F612" s="108">
        <f>IFERROR(__xludf.DUMMYFUNCTION("""COMPUTED_VALUE"""),0.0)</f>
        <v>0</v>
      </c>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F612" s="16"/>
      <c r="AG612" s="16" t="str">
        <f>IFERROR(__xludf.DUMMYFUNCTION("""COMPUTED_VALUE"""),"Dragonscale Island")</f>
        <v>Dragonscale Island</v>
      </c>
      <c r="AH612" s="16" t="b">
        <f>IFERROR(__xludf.DUMMYFUNCTION("""COMPUTED_VALUE"""),TRUE)</f>
        <v>1</v>
      </c>
    </row>
    <row r="613">
      <c r="A613" s="16" t="str">
        <f>IFERROR(__xludf.DUMMYFUNCTION("""COMPUTED_VALUE"""),"Master Inugima's Ring")</f>
        <v>Master Inugima's Ring</v>
      </c>
      <c r="B613" s="16" t="str">
        <f>IFERROR(__xludf.DUMMYFUNCTION("""COMPUTED_VALUE"""),"Finger")</f>
        <v>Finger</v>
      </c>
      <c r="C613" s="16" t="str">
        <f>IFERROR(__xludf.DUMMYFUNCTION("""COMPUTED_VALUE"""),"Mob Exclusive")</f>
        <v>Mob Exclusive</v>
      </c>
      <c r="D613" s="16"/>
      <c r="E613" s="16">
        <f>IFERROR(__xludf.DUMMYFUNCTION("""COMPUTED_VALUE"""),1.0)</f>
        <v>1</v>
      </c>
      <c r="F613" s="108">
        <f>IFERROR(__xludf.DUMMYFUNCTION("""COMPUTED_VALUE"""),0.0)</f>
        <v>0</v>
      </c>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F613" s="16" t="str">
        <f>IFERROR(__xludf.DUMMYFUNCTION("""COMPUTED_VALUE"""),"++Grants Immunity being unable to act from any sources including sleep, stun, frozen, etc. +-Can only be equipped by Master Inugima Equipping this ring will devour the soul of he who equips it killing them permanently")</f>
        <v>++Grants Immunity being unable to act from any sources including sleep, stun, frozen, etc. +-Can only be equipped by Master Inugima Equipping this ring will devour the soul of he who equips it killing them permanently</v>
      </c>
      <c r="AG613" s="16" t="str">
        <f>IFERROR(__xludf.DUMMYFUNCTION("""COMPUTED_VALUE"""),"Dragonscale Island")</f>
        <v>Dragonscale Island</v>
      </c>
      <c r="AH613" s="16" t="b">
        <f>IFERROR(__xludf.DUMMYFUNCTION("""COMPUTED_VALUE"""),TRUE)</f>
        <v>1</v>
      </c>
    </row>
    <row r="614">
      <c r="A614" s="16" t="str">
        <f>IFERROR(__xludf.DUMMYFUNCTION("""COMPUTED_VALUE"""),"Master Inugima's Pendant")</f>
        <v>Master Inugima's Pendant</v>
      </c>
      <c r="B614" s="16" t="str">
        <f>IFERROR(__xludf.DUMMYFUNCTION("""COMPUTED_VALUE"""),"Neck")</f>
        <v>Neck</v>
      </c>
      <c r="C614" s="16" t="str">
        <f>IFERROR(__xludf.DUMMYFUNCTION("""COMPUTED_VALUE"""),"Mob Exclusive")</f>
        <v>Mob Exclusive</v>
      </c>
      <c r="D614" s="16"/>
      <c r="E614" s="16">
        <f>IFERROR(__xludf.DUMMYFUNCTION("""COMPUTED_VALUE"""),1.0)</f>
        <v>1</v>
      </c>
      <c r="F614" s="108">
        <f>IFERROR(__xludf.DUMMYFUNCTION("""COMPUTED_VALUE"""),0.0)</f>
        <v>0</v>
      </c>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F614" s="16"/>
      <c r="AG614" s="16" t="str">
        <f>IFERROR(__xludf.DUMMYFUNCTION("""COMPUTED_VALUE"""),"Dragonscale Island")</f>
        <v>Dragonscale Island</v>
      </c>
      <c r="AH614" s="16" t="b">
        <f>IFERROR(__xludf.DUMMYFUNCTION("""COMPUTED_VALUE"""),TRUE)</f>
        <v>1</v>
      </c>
    </row>
    <row r="615">
      <c r="A615" s="16" t="str">
        <f>IFERROR(__xludf.DUMMYFUNCTION("""COMPUTED_VALUE"""),"Amulet of Giving")</f>
        <v>Amulet of Giving</v>
      </c>
      <c r="B615" s="16" t="str">
        <f>IFERROR(__xludf.DUMMYFUNCTION("""COMPUTED_VALUE"""),"Neck")</f>
        <v>Neck</v>
      </c>
      <c r="C615" s="16" t="str">
        <f>IFERROR(__xludf.DUMMYFUNCTION("""COMPUTED_VALUE"""),"Thanksgiving Event Item")</f>
        <v>Thanksgiving Event Item</v>
      </c>
      <c r="D615" s="16"/>
      <c r="E615" s="16">
        <f>IFERROR(__xludf.DUMMYFUNCTION("""COMPUTED_VALUE"""),1.0)</f>
        <v>1</v>
      </c>
      <c r="F615" s="108">
        <f>IFERROR(__xludf.DUMMYFUNCTION("""COMPUTED_VALUE"""),0.0)</f>
        <v>0</v>
      </c>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c r="AF615" s="16" t="str">
        <f>IFERROR(__xludf.DUMMYFUNCTION("""COMPUTED_VALUE"""),"++Allows you to give up your next turn turn to give a party member a second turn. +-one use per battle +-Cannot be duplicated.")</f>
        <v>++Allows you to give up your next turn turn to give a party member a second turn. +-one use per battle +-Cannot be duplicated.</v>
      </c>
      <c r="AG615" s="16" t="str">
        <f>IFERROR(__xludf.DUMMYFUNCTION("""COMPUTED_VALUE"""),"Land of Spira")</f>
        <v>Land of Spira</v>
      </c>
      <c r="AH615" s="16" t="b">
        <f>IFERROR(__xludf.DUMMYFUNCTION("""COMPUTED_VALUE"""),FALSE)</f>
        <v>0</v>
      </c>
    </row>
    <row r="616">
      <c r="A616" s="16" t="str">
        <f>IFERROR(__xludf.DUMMYFUNCTION("""COMPUTED_VALUE"""),"Pilgrim's Hat")</f>
        <v>Pilgrim's Hat</v>
      </c>
      <c r="B616" s="16" t="str">
        <f>IFERROR(__xludf.DUMMYFUNCTION("""COMPUTED_VALUE"""),"Head")</f>
        <v>Head</v>
      </c>
      <c r="C616" s="16" t="str">
        <f>IFERROR(__xludf.DUMMYFUNCTION("""COMPUTED_VALUE"""),"Thanksgiving Event Item")</f>
        <v>Thanksgiving Event Item</v>
      </c>
      <c r="D616" s="16"/>
      <c r="E616" s="16">
        <f>IFERROR(__xludf.DUMMYFUNCTION("""COMPUTED_VALUE"""),1.0)</f>
        <v>1</v>
      </c>
      <c r="F616" s="108">
        <f>IFERROR(__xludf.DUMMYFUNCTION("""COMPUTED_VALUE"""),0.0)</f>
        <v>0</v>
      </c>
      <c r="G616" s="16" t="str">
        <f>IFERROR(__xludf.DUMMYFUNCTION("""COMPUTED_VALUE"""),"DEF")</f>
        <v>DEF</v>
      </c>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c r="AF616" s="16" t="str">
        <f>IFERROR(__xludf.DUMMYFUNCTION("""COMPUTED_VALUE"""),"++Double the hunger, thirst, and energy you receive when consuming a consumable. +-Cannot be duplicated.")</f>
        <v>++Double the hunger, thirst, and energy you receive when consuming a consumable. +-Cannot be duplicated.</v>
      </c>
      <c r="AG616" s="16" t="str">
        <f>IFERROR(__xludf.DUMMYFUNCTION("""COMPUTED_VALUE"""),"Land of Spira")</f>
        <v>Land of Spira</v>
      </c>
      <c r="AH616" s="16" t="b">
        <f>IFERROR(__xludf.DUMMYFUNCTION("""COMPUTED_VALUE"""),FALSE)</f>
        <v>0</v>
      </c>
    </row>
    <row r="617">
      <c r="A617" s="16" t="str">
        <f>IFERROR(__xludf.DUMMYFUNCTION("""COMPUTED_VALUE"""),"Dragon Flute")</f>
        <v>Dragon Flute</v>
      </c>
      <c r="B617" s="16" t="str">
        <f>IFERROR(__xludf.DUMMYFUNCTION("""COMPUTED_VALUE"""),"Hand")</f>
        <v>Hand</v>
      </c>
      <c r="C617" s="16" t="str">
        <f>IFERROR(__xludf.DUMMYFUNCTION("""COMPUTED_VALUE"""),"A flute carved from dragon bone that exudes an enchanting aura when played. It is said that this flute was given as a gift to the dragonoids to signal peace between them and the dragons.")</f>
        <v>A flute carved from dragon bone that exudes an enchanting aura when played. It is said that this flute was given as a gift to the dragonoids to signal peace between them and the dragons.</v>
      </c>
      <c r="D617" s="16" t="str">
        <f>IFERROR(__xludf.DUMMYFUNCTION("""COMPUTED_VALUE"""),"Instrument")</f>
        <v>Instrument</v>
      </c>
      <c r="E617" s="16">
        <f>IFERROR(__xludf.DUMMYFUNCTION("""COMPUTED_VALUE"""),100.0)</f>
        <v>100</v>
      </c>
      <c r="F617" s="108">
        <f>IFERROR(__xludf.DUMMYFUNCTION("""COMPUTED_VALUE"""),450000.0)</f>
        <v>450000</v>
      </c>
      <c r="G617" s="16" t="str">
        <f>IFERROR(__xludf.DUMMYFUNCTION("""COMPUTED_VALUE"""),"DMG")</f>
        <v>DMG</v>
      </c>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f>IFERROR(__xludf.DUMMYFUNCTION("""COMPUTED_VALUE"""),5000.0)</f>
        <v>5000</v>
      </c>
      <c r="AF617" s="16" t="str">
        <f>IFERROR(__xludf.DUMMYFUNCTION("""COMPUTED_VALUE"""),"++Summons 1 of the following dragons with a d4 roll: Fire Dragon, Poison Dragon, Storm Dragon, Ancient Water Dragon, Level determined by dm/gm. +-one use per battle")</f>
        <v>++Summons 1 of the following dragons with a d4 roll: Fire Dragon, Poison Dragon, Storm Dragon, Ancient Water Dragon, Level determined by dm/gm. +-one use per battle</v>
      </c>
      <c r="AG617" s="16" t="str">
        <f>IFERROR(__xludf.DUMMYFUNCTION("""COMPUTED_VALUE"""),"Dragonscale Island")</f>
        <v>Dragonscale Island</v>
      </c>
      <c r="AH617" s="16" t="b">
        <f>IFERROR(__xludf.DUMMYFUNCTION("""COMPUTED_VALUE"""),FALSE)</f>
        <v>0</v>
      </c>
    </row>
    <row r="618">
      <c r="A618" s="16" t="str">
        <f>IFERROR(__xludf.DUMMYFUNCTION("""COMPUTED_VALUE"""),"Harbingers' Helm of the Unrestrained (Spira)")</f>
        <v>Harbingers' Helm of the Unrestrained (Spira)</v>
      </c>
      <c r="B618" s="16" t="str">
        <f>IFERROR(__xludf.DUMMYFUNCTION("""COMPUTED_VALUE"""),"Head")</f>
        <v>Head</v>
      </c>
      <c r="C618" s="16" t="str">
        <f>IFERROR(__xludf.DUMMYFUNCTION("""COMPUTED_VALUE"""),"The helmet is made of a dark steel which invades the weares mind, originally takes the appearance of a hood but becomes covers more of the wearers face and becomes more bestial looking as the wearer gives in to their insanity more and more.")</f>
        <v>The helmet is made of a dark steel which invades the weares mind, originally takes the appearance of a hood but becomes covers more of the wearers face and becomes more bestial looking as the wearer gives in to their insanity more and more.</v>
      </c>
      <c r="D618" s="16"/>
      <c r="E618" s="16">
        <f>IFERROR(__xludf.DUMMYFUNCTION("""COMPUTED_VALUE"""),200.0)</f>
        <v>200</v>
      </c>
      <c r="F618" s="108">
        <f>IFERROR(__xludf.DUMMYFUNCTION("""COMPUTED_VALUE"""),7.98E8)</f>
        <v>798000000</v>
      </c>
      <c r="G618" s="16" t="str">
        <f>IFERROR(__xludf.DUMMYFUNCTION("""COMPUTED_VALUE"""),"DEF")</f>
        <v>DEF</v>
      </c>
      <c r="H618" s="119">
        <f>IFERROR(__xludf.DUMMYFUNCTION("""COMPUTED_VALUE"""),50000.0)</f>
        <v>50000</v>
      </c>
      <c r="I618" s="16">
        <f>IFERROR(__xludf.DUMMYFUNCTION("""COMPUTED_VALUE"""),10000.0)</f>
        <v>10000</v>
      </c>
      <c r="J618" s="16"/>
      <c r="K618" s="16">
        <f>IFERROR(__xludf.DUMMYFUNCTION("""COMPUTED_VALUE"""),10000.0)</f>
        <v>10000</v>
      </c>
      <c r="L618" s="16">
        <f>IFERROR(__xludf.DUMMYFUNCTION("""COMPUTED_VALUE"""),10000.0)</f>
        <v>10000</v>
      </c>
      <c r="M618" s="16">
        <f>IFERROR(__xludf.DUMMYFUNCTION("""COMPUTED_VALUE"""),10000.0)</f>
        <v>10000</v>
      </c>
      <c r="N618" s="16">
        <f>IFERROR(__xludf.DUMMYFUNCTION("""COMPUTED_VALUE"""),10000.0)</f>
        <v>10000</v>
      </c>
      <c r="O618" s="16">
        <f>IFERROR(__xludf.DUMMYFUNCTION("""COMPUTED_VALUE"""),10000.0)</f>
        <v>10000</v>
      </c>
      <c r="P618" s="16">
        <f>IFERROR(__xludf.DUMMYFUNCTION("""COMPUTED_VALUE"""),10000.0)</f>
        <v>10000</v>
      </c>
      <c r="Q618" s="16">
        <f>IFERROR(__xludf.DUMMYFUNCTION("""COMPUTED_VALUE"""),10000.0)</f>
        <v>10000</v>
      </c>
      <c r="R618" s="16">
        <f>IFERROR(__xludf.DUMMYFUNCTION("""COMPUTED_VALUE"""),10000.0)</f>
        <v>10000</v>
      </c>
      <c r="S618" s="16">
        <f>IFERROR(__xludf.DUMMYFUNCTION("""COMPUTED_VALUE"""),10000.0)</f>
        <v>10000</v>
      </c>
      <c r="T618" s="16"/>
      <c r="U618" s="16"/>
      <c r="V618" s="16"/>
      <c r="W618" s="16"/>
      <c r="X618" s="16">
        <f>IFERROR(__xludf.DUMMYFUNCTION("""COMPUTED_VALUE"""),10000.0)</f>
        <v>10000</v>
      </c>
      <c r="Y618" s="16">
        <f>IFERROR(__xludf.DUMMYFUNCTION("""COMPUTED_VALUE"""),10000.0)</f>
        <v>10000</v>
      </c>
      <c r="Z618" s="16"/>
      <c r="AA618" s="16">
        <f>IFERROR(__xludf.DUMMYFUNCTION("""COMPUTED_VALUE"""),10000.0)</f>
        <v>10000</v>
      </c>
      <c r="AB618" s="16">
        <f>IFERROR(__xludf.DUMMYFUNCTION("""COMPUTED_VALUE"""),10000.0)</f>
        <v>10000</v>
      </c>
      <c r="AC618" s="16">
        <f>IFERROR(__xludf.DUMMYFUNCTION("""COMPUTED_VALUE"""),10000.0)</f>
        <v>10000</v>
      </c>
      <c r="AD618" s="16"/>
      <c r="AE618" s="16"/>
      <c r="AF618" s="16" t="str">
        <f>IFERROR(__xludf.DUMMYFUNCTION("""COMPUTED_VALUE"""),"++Unbroken will - You become immune to all effects that would prevent you from taking your turn.")</f>
        <v>++Unbroken will - You become immune to all effects that would prevent you from taking your turn.</v>
      </c>
      <c r="AG618" s="16" t="str">
        <f>IFERROR(__xludf.DUMMYFUNCTION("""COMPUTED_VALUE"""),"Land of Spira")</f>
        <v>Land of Spira</v>
      </c>
      <c r="AH618" s="16" t="b">
        <f>IFERROR(__xludf.DUMMYFUNCTION("""COMPUTED_VALUE"""),FALSE)</f>
        <v>0</v>
      </c>
    </row>
    <row r="619">
      <c r="A619" s="16" t="str">
        <f>IFERROR(__xludf.DUMMYFUNCTION("""COMPUTED_VALUE"""),"Harbingers' Shifting Pauldrons (Spira)")</f>
        <v>Harbingers' Shifting Pauldrons (Spira)</v>
      </c>
      <c r="B619" s="16" t="str">
        <f>IFERROR(__xludf.DUMMYFUNCTION("""COMPUTED_VALUE"""),"Shoulders")</f>
        <v>Shoulders</v>
      </c>
      <c r="C619" s="16" t="str">
        <f>IFERROR(__xludf.DUMMYFUNCTION("""COMPUTED_VALUE"""),"(Quest Item) This knife holds all the grief of Inugima, the man who turned his back on his clan and lived in grief for his descision until the day he died. The blade is stained red with the blood of Inugima's family and now is stained with his as well. It"&amp;" still seems to hold some special power and you guess it's story probably isn't over yet.")</f>
        <v>(Quest Item) This knife holds all the grief of Inugima, the man who turned his back on his clan and lived in grief for his descision until the day he died. The blade is stained red with the blood of Inugima's family and now is stained with his as well. It still seems to hold some special power and you guess it's story probably isn't over yet.</v>
      </c>
      <c r="D619" s="16"/>
      <c r="E619" s="16">
        <f>IFERROR(__xludf.DUMMYFUNCTION("""COMPUTED_VALUE"""),200.0)</f>
        <v>200</v>
      </c>
      <c r="F619" s="108">
        <f>IFERROR(__xludf.DUMMYFUNCTION("""COMPUTED_VALUE"""),7.98E8)</f>
        <v>798000000</v>
      </c>
      <c r="G619" s="16" t="str">
        <f>IFERROR(__xludf.DUMMYFUNCTION("""COMPUTED_VALUE"""),"DEF")</f>
        <v>DEF</v>
      </c>
      <c r="H619" s="119">
        <f>IFERROR(__xludf.DUMMYFUNCTION("""COMPUTED_VALUE"""),50000.0)</f>
        <v>50000</v>
      </c>
      <c r="I619" s="16">
        <f>IFERROR(__xludf.DUMMYFUNCTION("""COMPUTED_VALUE"""),10000.0)</f>
        <v>10000</v>
      </c>
      <c r="J619" s="16"/>
      <c r="K619" s="16">
        <f>IFERROR(__xludf.DUMMYFUNCTION("""COMPUTED_VALUE"""),10000.0)</f>
        <v>10000</v>
      </c>
      <c r="L619" s="16">
        <f>IFERROR(__xludf.DUMMYFUNCTION("""COMPUTED_VALUE"""),10000.0)</f>
        <v>10000</v>
      </c>
      <c r="M619" s="16">
        <f>IFERROR(__xludf.DUMMYFUNCTION("""COMPUTED_VALUE"""),10000.0)</f>
        <v>10000</v>
      </c>
      <c r="N619" s="16">
        <f>IFERROR(__xludf.DUMMYFUNCTION("""COMPUTED_VALUE"""),10000.0)</f>
        <v>10000</v>
      </c>
      <c r="O619" s="16">
        <f>IFERROR(__xludf.DUMMYFUNCTION("""COMPUTED_VALUE"""),10000.0)</f>
        <v>10000</v>
      </c>
      <c r="P619" s="16">
        <f>IFERROR(__xludf.DUMMYFUNCTION("""COMPUTED_VALUE"""),10000.0)</f>
        <v>10000</v>
      </c>
      <c r="Q619" s="16">
        <f>IFERROR(__xludf.DUMMYFUNCTION("""COMPUTED_VALUE"""),10000.0)</f>
        <v>10000</v>
      </c>
      <c r="R619" s="16">
        <f>IFERROR(__xludf.DUMMYFUNCTION("""COMPUTED_VALUE"""),10000.0)</f>
        <v>10000</v>
      </c>
      <c r="S619" s="16">
        <f>IFERROR(__xludf.DUMMYFUNCTION("""COMPUTED_VALUE"""),10000.0)</f>
        <v>10000</v>
      </c>
      <c r="T619" s="16"/>
      <c r="U619" s="16"/>
      <c r="V619" s="16"/>
      <c r="W619" s="16"/>
      <c r="X619" s="16">
        <f>IFERROR(__xludf.DUMMYFUNCTION("""COMPUTED_VALUE"""),10000.0)</f>
        <v>10000</v>
      </c>
      <c r="Y619" s="16">
        <f>IFERROR(__xludf.DUMMYFUNCTION("""COMPUTED_VALUE"""),10000.0)</f>
        <v>10000</v>
      </c>
      <c r="Z619" s="16"/>
      <c r="AA619" s="16">
        <f>IFERROR(__xludf.DUMMYFUNCTION("""COMPUTED_VALUE"""),10000.0)</f>
        <v>10000</v>
      </c>
      <c r="AB619" s="16">
        <f>IFERROR(__xludf.DUMMYFUNCTION("""COMPUTED_VALUE"""),10000.0)</f>
        <v>10000</v>
      </c>
      <c r="AC619" s="16">
        <f>IFERROR(__xludf.DUMMYFUNCTION("""COMPUTED_VALUE"""),10000.0)</f>
        <v>10000</v>
      </c>
      <c r="AD619" s="16"/>
      <c r="AE619" s="16"/>
      <c r="AF619" s="16" t="str">
        <f>IFERROR(__xludf.DUMMYFUNCTION("""COMPUTED_VALUE"""),"++Adrenaline - Upon being hit with any attack gain 1 stack of Insanity.")</f>
        <v>++Adrenaline - Upon being hit with any attack gain 1 stack of Insanity.</v>
      </c>
      <c r="AG619" s="16" t="str">
        <f>IFERROR(__xludf.DUMMYFUNCTION("""COMPUTED_VALUE"""),"Land of Spira")</f>
        <v>Land of Spira</v>
      </c>
      <c r="AH619" s="16" t="b">
        <f>IFERROR(__xludf.DUMMYFUNCTION("""COMPUTED_VALUE"""),FALSE)</f>
        <v>0</v>
      </c>
    </row>
    <row r="620">
      <c r="A620" s="16" t="str">
        <f>IFERROR(__xludf.DUMMYFUNCTION("""COMPUTED_VALUE"""),"Harbingers' Emblazoned Chest of The Encroaching Void (Spira)")</f>
        <v>Harbingers' Emblazoned Chest of The Encroaching Void (Spira)</v>
      </c>
      <c r="B620" s="16" t="str">
        <f>IFERROR(__xludf.DUMMYFUNCTION("""COMPUTED_VALUE"""),"Torso")</f>
        <v>Torso</v>
      </c>
      <c r="C620" s="16" t="str">
        <f>IFERROR(__xludf.DUMMYFUNCTION("""COMPUTED_VALUE"""),"The Harbinger's armor is made of a dark steel which drives its wearer progressively further whilst in combat. The armor takes the rage of its wearer and multiplies it tenfold whilst breaking off the subconscious limiters on a wearers strength.")</f>
        <v>The Harbinger's armor is made of a dark steel which drives its wearer progressively further whilst in combat. The armor takes the rage of its wearer and multiplies it tenfold whilst breaking off the subconscious limiters on a wearers strength.</v>
      </c>
      <c r="D620" s="16"/>
      <c r="E620" s="16">
        <f>IFERROR(__xludf.DUMMYFUNCTION("""COMPUTED_VALUE"""),200.0)</f>
        <v>200</v>
      </c>
      <c r="F620" s="108">
        <f>IFERROR(__xludf.DUMMYFUNCTION("""COMPUTED_VALUE"""),7.98E8)</f>
        <v>798000000</v>
      </c>
      <c r="G620" s="16" t="str">
        <f>IFERROR(__xludf.DUMMYFUNCTION("""COMPUTED_VALUE"""),"DEF")</f>
        <v>DEF</v>
      </c>
      <c r="H620" s="119">
        <f>IFERROR(__xludf.DUMMYFUNCTION("""COMPUTED_VALUE"""),50000.0)</f>
        <v>50000</v>
      </c>
      <c r="I620" s="16">
        <f>IFERROR(__xludf.DUMMYFUNCTION("""COMPUTED_VALUE"""),10000.0)</f>
        <v>10000</v>
      </c>
      <c r="J620" s="16"/>
      <c r="K620" s="16">
        <f>IFERROR(__xludf.DUMMYFUNCTION("""COMPUTED_VALUE"""),10000.0)</f>
        <v>10000</v>
      </c>
      <c r="L620" s="16">
        <f>IFERROR(__xludf.DUMMYFUNCTION("""COMPUTED_VALUE"""),10000.0)</f>
        <v>10000</v>
      </c>
      <c r="M620" s="16">
        <f>IFERROR(__xludf.DUMMYFUNCTION("""COMPUTED_VALUE"""),10000.0)</f>
        <v>10000</v>
      </c>
      <c r="N620" s="16">
        <f>IFERROR(__xludf.DUMMYFUNCTION("""COMPUTED_VALUE"""),10000.0)</f>
        <v>10000</v>
      </c>
      <c r="O620" s="16">
        <f>IFERROR(__xludf.DUMMYFUNCTION("""COMPUTED_VALUE"""),10000.0)</f>
        <v>10000</v>
      </c>
      <c r="P620" s="16">
        <f>IFERROR(__xludf.DUMMYFUNCTION("""COMPUTED_VALUE"""),10000.0)</f>
        <v>10000</v>
      </c>
      <c r="Q620" s="16">
        <f>IFERROR(__xludf.DUMMYFUNCTION("""COMPUTED_VALUE"""),10000.0)</f>
        <v>10000</v>
      </c>
      <c r="R620" s="16">
        <f>IFERROR(__xludf.DUMMYFUNCTION("""COMPUTED_VALUE"""),10000.0)</f>
        <v>10000</v>
      </c>
      <c r="S620" s="16">
        <f>IFERROR(__xludf.DUMMYFUNCTION("""COMPUTED_VALUE"""),10000.0)</f>
        <v>10000</v>
      </c>
      <c r="T620" s="16"/>
      <c r="U620" s="16"/>
      <c r="V620" s="16"/>
      <c r="W620" s="16"/>
      <c r="X620" s="16">
        <f>IFERROR(__xludf.DUMMYFUNCTION("""COMPUTED_VALUE"""),10000.0)</f>
        <v>10000</v>
      </c>
      <c r="Y620" s="16">
        <f>IFERROR(__xludf.DUMMYFUNCTION("""COMPUTED_VALUE"""),10000.0)</f>
        <v>10000</v>
      </c>
      <c r="Z620" s="16"/>
      <c r="AA620" s="16">
        <f>IFERROR(__xludf.DUMMYFUNCTION("""COMPUTED_VALUE"""),10000.0)</f>
        <v>10000</v>
      </c>
      <c r="AB620" s="16">
        <f>IFERROR(__xludf.DUMMYFUNCTION("""COMPUTED_VALUE"""),10000.0)</f>
        <v>10000</v>
      </c>
      <c r="AC620" s="16">
        <f>IFERROR(__xludf.DUMMYFUNCTION("""COMPUTED_VALUE"""),10000.0)</f>
        <v>10000</v>
      </c>
      <c r="AD620" s="16"/>
      <c r="AE620" s="16"/>
      <c r="AF620" s="16" t="str">
        <f>IFERROR(__xludf.DUMMYFUNCTION("""COMPUTED_VALUE"""),"++Bloodlust - Upon targeting any enemy with an attack gain 2 stacks of insanity")</f>
        <v>++Bloodlust - Upon targeting any enemy with an attack gain 2 stacks of insanity</v>
      </c>
      <c r="AG620" s="16" t="str">
        <f>IFERROR(__xludf.DUMMYFUNCTION("""COMPUTED_VALUE"""),"Land of Spira")</f>
        <v>Land of Spira</v>
      </c>
      <c r="AH620" s="16" t="b">
        <f>IFERROR(__xludf.DUMMYFUNCTION("""COMPUTED_VALUE"""),FALSE)</f>
        <v>0</v>
      </c>
    </row>
    <row r="621">
      <c r="A621" s="16" t="str">
        <f>IFERROR(__xludf.DUMMYFUNCTION("""COMPUTED_VALUE"""),"Harbingers' Broken Fettering (Spira)")</f>
        <v>Harbingers' Broken Fettering (Spira)</v>
      </c>
      <c r="B621" s="16" t="str">
        <f>IFERROR(__xludf.DUMMYFUNCTION("""COMPUTED_VALUE"""),"Arms")</f>
        <v>Arms</v>
      </c>
      <c r="C621" s="16" t="str">
        <f>IFERROR(__xludf.DUMMYFUNCTION("""COMPUTED_VALUE"""),"Some have witnessed how the wearers of this mythical armor seem completely unreactive to the pain and it is speculated that the armor itself temporarily cuts off all feelings of pain to keep the wearer fighting.")</f>
        <v>Some have witnessed how the wearers of this mythical armor seem completely unreactive to the pain and it is speculated that the armor itself temporarily cuts off all feelings of pain to keep the wearer fighting.</v>
      </c>
      <c r="D621" s="16"/>
      <c r="E621" s="16">
        <f>IFERROR(__xludf.DUMMYFUNCTION("""COMPUTED_VALUE"""),200.0)</f>
        <v>200</v>
      </c>
      <c r="F621" s="108">
        <f>IFERROR(__xludf.DUMMYFUNCTION("""COMPUTED_VALUE"""),7.98E8)</f>
        <v>798000000</v>
      </c>
      <c r="G621" s="16" t="str">
        <f>IFERROR(__xludf.DUMMYFUNCTION("""COMPUTED_VALUE"""),"DEF")</f>
        <v>DEF</v>
      </c>
      <c r="H621" s="119">
        <f>IFERROR(__xludf.DUMMYFUNCTION("""COMPUTED_VALUE"""),50000.0)</f>
        <v>50000</v>
      </c>
      <c r="I621" s="16">
        <f>IFERROR(__xludf.DUMMYFUNCTION("""COMPUTED_VALUE"""),10000.0)</f>
        <v>10000</v>
      </c>
      <c r="J621" s="16"/>
      <c r="K621" s="16">
        <f>IFERROR(__xludf.DUMMYFUNCTION("""COMPUTED_VALUE"""),10000.0)</f>
        <v>10000</v>
      </c>
      <c r="L621" s="16">
        <f>IFERROR(__xludf.DUMMYFUNCTION("""COMPUTED_VALUE"""),10000.0)</f>
        <v>10000</v>
      </c>
      <c r="M621" s="16">
        <f>IFERROR(__xludf.DUMMYFUNCTION("""COMPUTED_VALUE"""),10000.0)</f>
        <v>10000</v>
      </c>
      <c r="N621" s="16">
        <f>IFERROR(__xludf.DUMMYFUNCTION("""COMPUTED_VALUE"""),10000.0)</f>
        <v>10000</v>
      </c>
      <c r="O621" s="16">
        <f>IFERROR(__xludf.DUMMYFUNCTION("""COMPUTED_VALUE"""),10000.0)</f>
        <v>10000</v>
      </c>
      <c r="P621" s="16">
        <f>IFERROR(__xludf.DUMMYFUNCTION("""COMPUTED_VALUE"""),10000.0)</f>
        <v>10000</v>
      </c>
      <c r="Q621" s="16">
        <f>IFERROR(__xludf.DUMMYFUNCTION("""COMPUTED_VALUE"""),10000.0)</f>
        <v>10000</v>
      </c>
      <c r="R621" s="16">
        <f>IFERROR(__xludf.DUMMYFUNCTION("""COMPUTED_VALUE"""),10000.0)</f>
        <v>10000</v>
      </c>
      <c r="S621" s="16">
        <f>IFERROR(__xludf.DUMMYFUNCTION("""COMPUTED_VALUE"""),10000.0)</f>
        <v>10000</v>
      </c>
      <c r="T621" s="16"/>
      <c r="U621" s="16"/>
      <c r="V621" s="16"/>
      <c r="W621" s="16"/>
      <c r="X621" s="16">
        <f>IFERROR(__xludf.DUMMYFUNCTION("""COMPUTED_VALUE"""),10000.0)</f>
        <v>10000</v>
      </c>
      <c r="Y621" s="16">
        <f>IFERROR(__xludf.DUMMYFUNCTION("""COMPUTED_VALUE"""),10000.0)</f>
        <v>10000</v>
      </c>
      <c r="Z621" s="16"/>
      <c r="AA621" s="16">
        <f>IFERROR(__xludf.DUMMYFUNCTION("""COMPUTED_VALUE"""),10000.0)</f>
        <v>10000</v>
      </c>
      <c r="AB621" s="16">
        <f>IFERROR(__xludf.DUMMYFUNCTION("""COMPUTED_VALUE"""),10000.0)</f>
        <v>10000</v>
      </c>
      <c r="AC621" s="16">
        <f>IFERROR(__xludf.DUMMYFUNCTION("""COMPUTED_VALUE"""),10000.0)</f>
        <v>10000</v>
      </c>
      <c r="AD621" s="16"/>
      <c r="AE621" s="16"/>
      <c r="AF621" s="16" t="str">
        <f>IFERROR(__xludf.DUMMYFUNCTION("""COMPUTED_VALUE"""),"++To Break From Your Shackles - You lash out cleaving your way through reality creating a small distortion dealing 500,000 delta damage to all enemies and allies and inflict Shuttering 5, requiring everyone to roll a fail or succeed roll to bind themselve"&amp;"s to this plane or have a party member who succeeded use an action to help them, or if they fail 5 times they will be lost to the void forever, consumes 10 stacks of insanity to cast (Permadeath)(considered an instant death effect for purposes of immunity"&amp;")")</f>
        <v>++To Break From Your Shackles - You lash out cleaving your way through reality creating a small distortion dealing 500,000 delta damage to all enemies and allies and inflict Shuttering 5, requiring everyone to roll a fail or succeed roll to bind themselves to this plane or have a party member who succeeded use an action to help them, or if they fail 5 times they will be lost to the void forever, consumes 10 stacks of insanity to cast (Permadeath)(considered an instant death effect for purposes of immunity)</v>
      </c>
      <c r="AG621" s="16" t="str">
        <f>IFERROR(__xludf.DUMMYFUNCTION("""COMPUTED_VALUE"""),"Land of Spira")</f>
        <v>Land of Spira</v>
      </c>
      <c r="AH621" s="16" t="b">
        <f>IFERROR(__xludf.DUMMYFUNCTION("""COMPUTED_VALUE"""),FALSE)</f>
        <v>0</v>
      </c>
    </row>
    <row r="622">
      <c r="A622" s="16" t="str">
        <f>IFERROR(__xludf.DUMMYFUNCTION("""COMPUTED_VALUE"""),"Harbingers' Ethereal Chausses (Spira)")</f>
        <v>Harbingers' Ethereal Chausses (Spira)</v>
      </c>
      <c r="B622" s="16" t="str">
        <f>IFERROR(__xludf.DUMMYFUNCTION("""COMPUTED_VALUE"""),"Legs")</f>
        <v>Legs</v>
      </c>
      <c r="C622" s="16" t="str">
        <f>IFERROR(__xludf.DUMMYFUNCTION("""COMPUTED_VALUE"""),"Even with broken bones the armor will not allow the wearer to stop fighting, spikes will form from the armor piercing into the damaged limbs and letting the wearer continue controller these destroyed limbs via the armor itself.")</f>
        <v>Even with broken bones the armor will not allow the wearer to stop fighting, spikes will form from the armor piercing into the damaged limbs and letting the wearer continue controller these destroyed limbs via the armor itself.</v>
      </c>
      <c r="D622" s="16"/>
      <c r="E622" s="16">
        <f>IFERROR(__xludf.DUMMYFUNCTION("""COMPUTED_VALUE"""),200.0)</f>
        <v>200</v>
      </c>
      <c r="F622" s="108">
        <f>IFERROR(__xludf.DUMMYFUNCTION("""COMPUTED_VALUE"""),7.98E8)</f>
        <v>798000000</v>
      </c>
      <c r="G622" s="16" t="str">
        <f>IFERROR(__xludf.DUMMYFUNCTION("""COMPUTED_VALUE"""),"DEF")</f>
        <v>DEF</v>
      </c>
      <c r="H622" s="119">
        <f>IFERROR(__xludf.DUMMYFUNCTION("""COMPUTED_VALUE"""),50000.0)</f>
        <v>50000</v>
      </c>
      <c r="I622" s="16">
        <f>IFERROR(__xludf.DUMMYFUNCTION("""COMPUTED_VALUE"""),10000.0)</f>
        <v>10000</v>
      </c>
      <c r="J622" s="16"/>
      <c r="K622" s="16">
        <f>IFERROR(__xludf.DUMMYFUNCTION("""COMPUTED_VALUE"""),10000.0)</f>
        <v>10000</v>
      </c>
      <c r="L622" s="16">
        <f>IFERROR(__xludf.DUMMYFUNCTION("""COMPUTED_VALUE"""),10000.0)</f>
        <v>10000</v>
      </c>
      <c r="M622" s="16">
        <f>IFERROR(__xludf.DUMMYFUNCTION("""COMPUTED_VALUE"""),10000.0)</f>
        <v>10000</v>
      </c>
      <c r="N622" s="16">
        <f>IFERROR(__xludf.DUMMYFUNCTION("""COMPUTED_VALUE"""),10000.0)</f>
        <v>10000</v>
      </c>
      <c r="O622" s="16">
        <f>IFERROR(__xludf.DUMMYFUNCTION("""COMPUTED_VALUE"""),10000.0)</f>
        <v>10000</v>
      </c>
      <c r="P622" s="16">
        <f>IFERROR(__xludf.DUMMYFUNCTION("""COMPUTED_VALUE"""),10000.0)</f>
        <v>10000</v>
      </c>
      <c r="Q622" s="16">
        <f>IFERROR(__xludf.DUMMYFUNCTION("""COMPUTED_VALUE"""),10000.0)</f>
        <v>10000</v>
      </c>
      <c r="R622" s="16">
        <f>IFERROR(__xludf.DUMMYFUNCTION("""COMPUTED_VALUE"""),10000.0)</f>
        <v>10000</v>
      </c>
      <c r="S622" s="16">
        <f>IFERROR(__xludf.DUMMYFUNCTION("""COMPUTED_VALUE"""),10000.0)</f>
        <v>10000</v>
      </c>
      <c r="T622" s="16"/>
      <c r="U622" s="16"/>
      <c r="V622" s="16"/>
      <c r="W622" s="16"/>
      <c r="X622" s="16">
        <f>IFERROR(__xludf.DUMMYFUNCTION("""COMPUTED_VALUE"""),10000.0)</f>
        <v>10000</v>
      </c>
      <c r="Y622" s="16">
        <f>IFERROR(__xludf.DUMMYFUNCTION("""COMPUTED_VALUE"""),10000.0)</f>
        <v>10000</v>
      </c>
      <c r="Z622" s="16"/>
      <c r="AA622" s="16">
        <f>IFERROR(__xludf.DUMMYFUNCTION("""COMPUTED_VALUE"""),10000.0)</f>
        <v>10000</v>
      </c>
      <c r="AB622" s="16">
        <f>IFERROR(__xludf.DUMMYFUNCTION("""COMPUTED_VALUE"""),10000.0)</f>
        <v>10000</v>
      </c>
      <c r="AC622" s="16">
        <f>IFERROR(__xludf.DUMMYFUNCTION("""COMPUTED_VALUE"""),10000.0)</f>
        <v>10000</v>
      </c>
      <c r="AD622" s="16"/>
      <c r="AE622" s="16"/>
      <c r="AF622" s="16" t="str">
        <f>IFERROR(__xludf.DUMMYFUNCTION("""COMPUTED_VALUE"""),"++Voidal Instinct - 50% chance to avoid all delta attacks and instant death effects
++To the Last Drop of Blood - Grants immunity to slowness.")</f>
        <v>++Voidal Instinct - 50% chance to avoid all delta attacks and instant death effects
++To the Last Drop of Blood - Grants immunity to slowness.</v>
      </c>
      <c r="AG622" s="16" t="str">
        <f>IFERROR(__xludf.DUMMYFUNCTION("""COMPUTED_VALUE"""),"Land of Spira")</f>
        <v>Land of Spira</v>
      </c>
      <c r="AH622" s="16" t="b">
        <f>IFERROR(__xludf.DUMMYFUNCTION("""COMPUTED_VALUE"""),FALSE)</f>
        <v>0</v>
      </c>
    </row>
    <row r="623">
      <c r="A623" s="16" t="str">
        <f>IFERROR(__xludf.DUMMYFUNCTION("""COMPUTED_VALUE"""),"Harbingers' Spiked Sabatons (Spira)")</f>
        <v>Harbingers' Spiked Sabatons (Spira)</v>
      </c>
      <c r="B623" s="16" t="str">
        <f>IFERROR(__xludf.DUMMYFUNCTION("""COMPUTED_VALUE"""),"Feet")</f>
        <v>Feet</v>
      </c>
      <c r="C623" s="16"/>
      <c r="D623" s="16"/>
      <c r="E623" s="16">
        <f>IFERROR(__xludf.DUMMYFUNCTION("""COMPUTED_VALUE"""),200.0)</f>
        <v>200</v>
      </c>
      <c r="F623" s="108">
        <f>IFERROR(__xludf.DUMMYFUNCTION("""COMPUTED_VALUE"""),7.98E8)</f>
        <v>798000000</v>
      </c>
      <c r="G623" s="16" t="str">
        <f>IFERROR(__xludf.DUMMYFUNCTION("""COMPUTED_VALUE"""),"DEF")</f>
        <v>DEF</v>
      </c>
      <c r="H623" s="119">
        <f>IFERROR(__xludf.DUMMYFUNCTION("""COMPUTED_VALUE"""),50000.0)</f>
        <v>50000</v>
      </c>
      <c r="I623" s="16">
        <f>IFERROR(__xludf.DUMMYFUNCTION("""COMPUTED_VALUE"""),10000.0)</f>
        <v>10000</v>
      </c>
      <c r="J623" s="16"/>
      <c r="K623" s="16">
        <f>IFERROR(__xludf.DUMMYFUNCTION("""COMPUTED_VALUE"""),10000.0)</f>
        <v>10000</v>
      </c>
      <c r="L623" s="16">
        <f>IFERROR(__xludf.DUMMYFUNCTION("""COMPUTED_VALUE"""),10000.0)</f>
        <v>10000</v>
      </c>
      <c r="M623" s="16">
        <f>IFERROR(__xludf.DUMMYFUNCTION("""COMPUTED_VALUE"""),10000.0)</f>
        <v>10000</v>
      </c>
      <c r="N623" s="16">
        <f>IFERROR(__xludf.DUMMYFUNCTION("""COMPUTED_VALUE"""),10000.0)</f>
        <v>10000</v>
      </c>
      <c r="O623" s="16">
        <f>IFERROR(__xludf.DUMMYFUNCTION("""COMPUTED_VALUE"""),10000.0)</f>
        <v>10000</v>
      </c>
      <c r="P623" s="16">
        <f>IFERROR(__xludf.DUMMYFUNCTION("""COMPUTED_VALUE"""),10000.0)</f>
        <v>10000</v>
      </c>
      <c r="Q623" s="16">
        <f>IFERROR(__xludf.DUMMYFUNCTION("""COMPUTED_VALUE"""),10000.0)</f>
        <v>10000</v>
      </c>
      <c r="R623" s="16">
        <f>IFERROR(__xludf.DUMMYFUNCTION("""COMPUTED_VALUE"""),10000.0)</f>
        <v>10000</v>
      </c>
      <c r="S623" s="16">
        <f>IFERROR(__xludf.DUMMYFUNCTION("""COMPUTED_VALUE"""),10000.0)</f>
        <v>10000</v>
      </c>
      <c r="T623" s="16"/>
      <c r="U623" s="16"/>
      <c r="V623" s="16"/>
      <c r="W623" s="16"/>
      <c r="X623" s="16">
        <f>IFERROR(__xludf.DUMMYFUNCTION("""COMPUTED_VALUE"""),10000.0)</f>
        <v>10000</v>
      </c>
      <c r="Y623" s="16">
        <f>IFERROR(__xludf.DUMMYFUNCTION("""COMPUTED_VALUE"""),10000.0)</f>
        <v>10000</v>
      </c>
      <c r="Z623" s="16"/>
      <c r="AA623" s="16">
        <f>IFERROR(__xludf.DUMMYFUNCTION("""COMPUTED_VALUE"""),10000.0)</f>
        <v>10000</v>
      </c>
      <c r="AB623" s="16">
        <f>IFERROR(__xludf.DUMMYFUNCTION("""COMPUTED_VALUE"""),10000.0)</f>
        <v>10000</v>
      </c>
      <c r="AC623" s="16">
        <f>IFERROR(__xludf.DUMMYFUNCTION("""COMPUTED_VALUE"""),10000.0)</f>
        <v>10000</v>
      </c>
      <c r="AD623" s="16"/>
      <c r="AE623" s="16"/>
      <c r="AF623" s="16" t="str">
        <f>IFERROR(__xludf.DUMMYFUNCTION("""COMPUTED_VALUE"""),"++Leg Sweep - Strike at an opponent's legs making a hit or miss attack (adding mobility) on hit you knock the opponent to the ground inflicting them with slowness 3")</f>
        <v>++Leg Sweep - Strike at an opponent's legs making a hit or miss attack (adding mobility) on hit you knock the opponent to the ground inflicting them with slowness 3</v>
      </c>
      <c r="AG623" s="16" t="str">
        <f>IFERROR(__xludf.DUMMYFUNCTION("""COMPUTED_VALUE"""),"Land of Spira")</f>
        <v>Land of Spira</v>
      </c>
      <c r="AH623" s="16" t="b">
        <f>IFERROR(__xludf.DUMMYFUNCTION("""COMPUTED_VALUE"""),FALSE)</f>
        <v>0</v>
      </c>
    </row>
    <row r="624">
      <c r="A624" s="16" t="str">
        <f>IFERROR(__xludf.DUMMYFUNCTION("""COMPUTED_VALUE"""),"Harbingers' Vow (Spira)")</f>
        <v>Harbingers' Vow (Spira)</v>
      </c>
      <c r="B624" s="16" t="str">
        <f>IFERROR(__xludf.DUMMYFUNCTION("""COMPUTED_VALUE"""),"Finger")</f>
        <v>Finger</v>
      </c>
      <c r="C624" s="16"/>
      <c r="D624" s="16"/>
      <c r="E624" s="16">
        <f>IFERROR(__xludf.DUMMYFUNCTION("""COMPUTED_VALUE"""),1.0)</f>
        <v>1</v>
      </c>
      <c r="F624" s="108">
        <f>IFERROR(__xludf.DUMMYFUNCTION("""COMPUTED_VALUE"""),0.0)</f>
        <v>0</v>
      </c>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t="str">
        <f>IFERROR(__xludf.DUMMYFUNCTION("""COMPUTED_VALUE"""),"++Pervading Madness - at the start of each of your turns flip a coin with heads being 1 and tails being 2 or roll a d2, gain that many stacks of insanity")</f>
        <v>++Pervading Madness - at the start of each of your turns flip a coin with heads being 1 and tails being 2 or roll a d2, gain that many stacks of insanity</v>
      </c>
      <c r="AG624" s="16" t="str">
        <f>IFERROR(__xludf.DUMMYFUNCTION("""COMPUTED_VALUE"""),"Land of Spira")</f>
        <v>Land of Spira</v>
      </c>
      <c r="AH624" s="16" t="b">
        <f>IFERROR(__xludf.DUMMYFUNCTION("""COMPUTED_VALUE"""),FALSE)</f>
        <v>0</v>
      </c>
    </row>
    <row r="625">
      <c r="A625" s="16" t="str">
        <f>IFERROR(__xludf.DUMMYFUNCTION("""COMPUTED_VALUE"""),"Harbingers' Resolve (Spira)")</f>
        <v>Harbingers' Resolve (Spira)</v>
      </c>
      <c r="B625" s="16" t="str">
        <f>IFERROR(__xludf.DUMMYFUNCTION("""COMPUTED_VALUE"""),"Neck")</f>
        <v>Neck</v>
      </c>
      <c r="C625" s="16"/>
      <c r="D625" s="16"/>
      <c r="E625" s="16">
        <f>IFERROR(__xludf.DUMMYFUNCTION("""COMPUTED_VALUE"""),1.0)</f>
        <v>1</v>
      </c>
      <c r="F625" s="108">
        <f>IFERROR(__xludf.DUMMYFUNCTION("""COMPUTED_VALUE"""),0.0)</f>
        <v>0</v>
      </c>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t="str">
        <f>IFERROR(__xludf.DUMMYFUNCTION("""COMPUTED_VALUE"""),"++To the Death! - Upon taking lethal damage resist it with 1 hp and gain 10 stacks of insanity (once per battle)")</f>
        <v>++To the Death! - Upon taking lethal damage resist it with 1 hp and gain 10 stacks of insanity (once per battle)</v>
      </c>
      <c r="AG625" s="16" t="str">
        <f>IFERROR(__xludf.DUMMYFUNCTION("""COMPUTED_VALUE"""),"Land of Spira")</f>
        <v>Land of Spira</v>
      </c>
      <c r="AH625" s="16" t="b">
        <f>IFERROR(__xludf.DUMMYFUNCTION("""COMPUTED_VALUE"""),FALSE)</f>
        <v>0</v>
      </c>
    </row>
    <row r="626">
      <c r="A626" s="16" t="str">
        <f>IFERROR(__xludf.DUMMYFUNCTION("""COMPUTED_VALUE"""),"Harbingers' Fist of Iron (Spira)")</f>
        <v>Harbingers' Fist of Iron (Spira)</v>
      </c>
      <c r="B626" s="16" t="str">
        <f>IFERROR(__xludf.DUMMYFUNCTION("""COMPUTED_VALUE"""),"Hand")</f>
        <v>Hand</v>
      </c>
      <c r="C626" s="16"/>
      <c r="D626" s="16" t="str">
        <f>IFERROR(__xludf.DUMMYFUNCTION("""COMPUTED_VALUE"""),"Gauntlet")</f>
        <v>Gauntlet</v>
      </c>
      <c r="E626" s="16">
        <f>IFERROR(__xludf.DUMMYFUNCTION("""COMPUTED_VALUE"""),200.0)</f>
        <v>200</v>
      </c>
      <c r="F626" s="108">
        <f>IFERROR(__xludf.DUMMYFUNCTION("""COMPUTED_VALUE"""),1.99E8)</f>
        <v>199000000</v>
      </c>
      <c r="G626" s="16" t="str">
        <f>IFERROR(__xludf.DUMMYFUNCTION("""COMPUTED_VALUE"""),"DEF")</f>
        <v>DEF</v>
      </c>
      <c r="H626" s="119">
        <f>IFERROR(__xludf.DUMMYFUNCTION("""COMPUTED_VALUE"""),50000.0)</f>
        <v>50000</v>
      </c>
      <c r="I626" s="16"/>
      <c r="J626" s="16"/>
      <c r="K626" s="16"/>
      <c r="L626" s="16"/>
      <c r="M626" s="16"/>
      <c r="N626" s="16"/>
      <c r="O626" s="16"/>
      <c r="P626" s="16"/>
      <c r="Q626" s="16"/>
      <c r="R626" s="16"/>
      <c r="S626" s="16"/>
      <c r="T626" s="16"/>
      <c r="U626" s="16"/>
      <c r="V626" s="16"/>
      <c r="W626" s="16"/>
      <c r="X626" s="16"/>
      <c r="Y626" s="16"/>
      <c r="Z626" s="16"/>
      <c r="AA626" s="16"/>
      <c r="AB626" s="16"/>
      <c r="AC626" s="119">
        <f>IFERROR(__xludf.DUMMYFUNCTION("""COMPUTED_VALUE"""),50000.0)</f>
        <v>50000</v>
      </c>
      <c r="AD626" s="16"/>
      <c r="AE626" s="16"/>
      <c r="AF626" s="16" t="str">
        <f>IFERROR(__xludf.DUMMYFUNCTION("""COMPUTED_VALUE"""),"++One fist of Iron -  When attacking with this weapon you can choose to attack with the Harbingers' Claw of Steel in the same action. ++Throat Grab - make a hit or miss attack to prevent an enemy from acting on their turn as long as they remain grappled. "&amp;"To break free from the grapple the enemy must roll evasion to attempt to break free from your grasp at the end of each of your turns. ++20% chance to remove enemy from battle")</f>
        <v>++One fist of Iron -  When attacking with this weapon you can choose to attack with the Harbingers' Claw of Steel in the same action. ++Throat Grab - make a hit or miss attack to prevent an enemy from acting on their turn as long as they remain grappled. To break free from the grapple the enemy must roll evasion to attempt to break free from your grasp at the end of each of your turns. ++20% chance to remove enemy from battle</v>
      </c>
      <c r="AG626" s="16" t="str">
        <f>IFERROR(__xludf.DUMMYFUNCTION("""COMPUTED_VALUE"""),"Land of Spira")</f>
        <v>Land of Spira</v>
      </c>
      <c r="AH626" s="16" t="b">
        <f>IFERROR(__xludf.DUMMYFUNCTION("""COMPUTED_VALUE"""),FALSE)</f>
        <v>0</v>
      </c>
    </row>
    <row r="627">
      <c r="A627" s="16" t="str">
        <f>IFERROR(__xludf.DUMMYFUNCTION("""COMPUTED_VALUE"""),"Harbingers' Claw of Steel (Spira)")</f>
        <v>Harbingers' Claw of Steel (Spira)</v>
      </c>
      <c r="B627" s="16" t="str">
        <f>IFERROR(__xludf.DUMMYFUNCTION("""COMPUTED_VALUE"""),"Hand")</f>
        <v>Hand</v>
      </c>
      <c r="C627" s="16"/>
      <c r="D627" s="16" t="str">
        <f>IFERROR(__xludf.DUMMYFUNCTION("""COMPUTED_VALUE"""),"Claw")</f>
        <v>Claw</v>
      </c>
      <c r="E627" s="16">
        <f>IFERROR(__xludf.DUMMYFUNCTION("""COMPUTED_VALUE"""),200.0)</f>
        <v>200</v>
      </c>
      <c r="F627" s="108">
        <f>IFERROR(__xludf.DUMMYFUNCTION("""COMPUTED_VALUE"""),1.99E8)</f>
        <v>199000000</v>
      </c>
      <c r="G627" s="16" t="str">
        <f>IFERROR(__xludf.DUMMYFUNCTION("""COMPUTED_VALUE"""),"DMG")</f>
        <v>DMG</v>
      </c>
      <c r="H627" s="119">
        <f>IFERROR(__xludf.DUMMYFUNCTION("""COMPUTED_VALUE"""),50000.0)</f>
        <v>50000</v>
      </c>
      <c r="I627" s="16"/>
      <c r="J627" s="16"/>
      <c r="K627" s="16"/>
      <c r="L627" s="16"/>
      <c r="M627" s="16"/>
      <c r="N627" s="16"/>
      <c r="O627" s="16"/>
      <c r="P627" s="16"/>
      <c r="Q627" s="16"/>
      <c r="R627" s="16"/>
      <c r="S627" s="16"/>
      <c r="T627" s="16"/>
      <c r="U627" s="16"/>
      <c r="V627" s="16"/>
      <c r="W627" s="16"/>
      <c r="X627" s="16"/>
      <c r="Y627" s="16"/>
      <c r="Z627" s="16">
        <f>IFERROR(__xludf.DUMMYFUNCTION("""COMPUTED_VALUE"""),25000.0)</f>
        <v>25000</v>
      </c>
      <c r="AA627" s="16"/>
      <c r="AB627" s="16"/>
      <c r="AC627" s="119">
        <f>IFERROR(__xludf.DUMMYFUNCTION("""COMPUTED_VALUE"""),25000.0)</f>
        <v>25000</v>
      </c>
      <c r="AD627" s="16"/>
      <c r="AE627" s="16"/>
      <c r="AF627" s="16" t="str">
        <f>IFERROR(__xludf.DUMMYFUNCTION("""COMPUTED_VALUE"""),"++And Another of Steel - When attacking with this weapon you can choose to attack with the Harbingers' Fist of Iron in the same action. ++Elemental Rend - inflicts 1000 damage per round of each element (Excluding Acoustic, Zen, Time, Physical, Melee, and "&amp;"Ranged) when attacking an enemy ++Maddening Blows - targeting an enemy with this weapon inflicts you with 1 stack of insanity")</f>
        <v>++And Another of Steel - When attacking with this weapon you can choose to attack with the Harbingers' Fist of Iron in the same action. ++Elemental Rend - inflicts 1000 damage per round of each element (Excluding Acoustic, Zen, Time, Physical, Melee, and Ranged) when attacking an enemy ++Maddening Blows - targeting an enemy with this weapon inflicts you with 1 stack of insanity</v>
      </c>
      <c r="AG627" s="16" t="str">
        <f>IFERROR(__xludf.DUMMYFUNCTION("""COMPUTED_VALUE"""),"Land of Spira")</f>
        <v>Land of Spira</v>
      </c>
      <c r="AH627" s="16" t="b">
        <f>IFERROR(__xludf.DUMMYFUNCTION("""COMPUTED_VALUE"""),FALSE)</f>
        <v>0</v>
      </c>
    </row>
    <row r="628">
      <c r="A628" s="16" t="str">
        <f>IFERROR(__xludf.DUMMYFUNCTION("""COMPUTED_VALUE"""),"Eagles Claw")</f>
        <v>Eagles Claw</v>
      </c>
      <c r="B628" s="16" t="str">
        <f>IFERROR(__xludf.DUMMYFUNCTION("""COMPUTED_VALUE"""),"Hand")</f>
        <v>Hand</v>
      </c>
      <c r="C628" s="16"/>
      <c r="D628" s="16" t="str">
        <f>IFERROR(__xludf.DUMMYFUNCTION("""COMPUTED_VALUE"""),"Claw")</f>
        <v>Claw</v>
      </c>
      <c r="E628" s="16">
        <f>IFERROR(__xludf.DUMMYFUNCTION("""COMPUTED_VALUE"""),200.0)</f>
        <v>200</v>
      </c>
      <c r="F628" s="108">
        <f>IFERROR(__xludf.DUMMYFUNCTION("""COMPUTED_VALUE"""),1900000.0)</f>
        <v>1900000</v>
      </c>
      <c r="G628" s="16" t="str">
        <f>IFERROR(__xludf.DUMMYFUNCTION("""COMPUTED_VALUE"""),"DMG")</f>
        <v>DMG</v>
      </c>
      <c r="H628" s="119">
        <f>IFERROR(__xludf.DUMMYFUNCTION("""COMPUTED_VALUE"""),10000.0)</f>
        <v>10000</v>
      </c>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c r="AF628" s="16" t="str">
        <f>IFERROR(__xludf.DUMMYFUNCTION("""COMPUTED_VALUE"""),"++Eagles Removal - 20% Chance to remove the target from battle. ")</f>
        <v>++Eagles Removal - 20% Chance to remove the target from battle. </v>
      </c>
      <c r="AG628" s="16" t="str">
        <f>IFERROR(__xludf.DUMMYFUNCTION("""COMPUTED_VALUE"""),"Land of Spira")</f>
        <v>Land of Spira</v>
      </c>
      <c r="AH628" s="16" t="b">
        <f>IFERROR(__xludf.DUMMYFUNCTION("""COMPUTED_VALUE"""),FALSE)</f>
        <v>0</v>
      </c>
    </row>
    <row r="629">
      <c r="A629" s="16" t="str">
        <f>IFERROR(__xludf.DUMMYFUNCTION("""COMPUTED_VALUE"""),"Golden Gauntlet")</f>
        <v>Golden Gauntlet</v>
      </c>
      <c r="B629" s="16" t="str">
        <f>IFERROR(__xludf.DUMMYFUNCTION("""COMPUTED_VALUE"""),"Hand")</f>
        <v>Hand</v>
      </c>
      <c r="C629" s="16"/>
      <c r="D629" s="16" t="str">
        <f>IFERROR(__xludf.DUMMYFUNCTION("""COMPUTED_VALUE"""),"Gauntlet")</f>
        <v>Gauntlet</v>
      </c>
      <c r="E629" s="16">
        <f>IFERROR(__xludf.DUMMYFUNCTION("""COMPUTED_VALUE"""),200.0)</f>
        <v>200</v>
      </c>
      <c r="F629" s="108">
        <f>IFERROR(__xludf.DUMMYFUNCTION("""COMPUTED_VALUE"""),1900000.0)</f>
        <v>1900000</v>
      </c>
      <c r="G629" s="16" t="str">
        <f>IFERROR(__xludf.DUMMYFUNCTION("""COMPUTED_VALUE"""),"DMG")</f>
        <v>DMG</v>
      </c>
      <c r="H629" s="119">
        <f>IFERROR(__xludf.DUMMYFUNCTION("""COMPUTED_VALUE"""),5000.0)</f>
        <v>5000</v>
      </c>
      <c r="I629" s="16"/>
      <c r="J629" s="16"/>
      <c r="K629" s="16"/>
      <c r="L629" s="16"/>
      <c r="M629" s="16"/>
      <c r="N629" s="119">
        <f>IFERROR(__xludf.DUMMYFUNCTION("""COMPUTED_VALUE"""),2500.0)</f>
        <v>2500</v>
      </c>
      <c r="O629" s="16"/>
      <c r="P629" s="16"/>
      <c r="Q629" s="119">
        <f>IFERROR(__xludf.DUMMYFUNCTION("""COMPUTED_VALUE"""),2500.0)</f>
        <v>2500</v>
      </c>
      <c r="R629" s="16"/>
      <c r="S629" s="16"/>
      <c r="T629" s="16"/>
      <c r="U629" s="16"/>
      <c r="V629" s="16"/>
      <c r="W629" s="16"/>
      <c r="X629" s="16"/>
      <c r="Y629" s="16"/>
      <c r="Z629" s="16"/>
      <c r="AA629" s="16"/>
      <c r="AB629" s="16"/>
      <c r="AC629" s="16"/>
      <c r="AD629" s="16"/>
      <c r="AE629" s="16"/>
      <c r="AF629" s="16"/>
      <c r="AG629" s="16" t="str">
        <f>IFERROR(__xludf.DUMMYFUNCTION("""COMPUTED_VALUE"""),"Land of Spira")</f>
        <v>Land of Spira</v>
      </c>
      <c r="AH629" s="16" t="b">
        <f>IFERROR(__xludf.DUMMYFUNCTION("""COMPUTED_VALUE"""),FALSE)</f>
        <v>0</v>
      </c>
    </row>
    <row r="630">
      <c r="A630" s="16" t="str">
        <f>IFERROR(__xludf.DUMMYFUNCTION("""COMPUTED_VALUE"""),"Hand Crossbow")</f>
        <v>Hand Crossbow</v>
      </c>
      <c r="B630" s="16" t="str">
        <f>IFERROR(__xludf.DUMMYFUNCTION("""COMPUTED_VALUE"""),"Hand")</f>
        <v>Hand</v>
      </c>
      <c r="C630" s="16"/>
      <c r="D630" s="16" t="str">
        <f>IFERROR(__xludf.DUMMYFUNCTION("""COMPUTED_VALUE"""),"Bow")</f>
        <v>Bow</v>
      </c>
      <c r="E630" s="16">
        <f>IFERROR(__xludf.DUMMYFUNCTION("""COMPUTED_VALUE"""),200.0)</f>
        <v>200</v>
      </c>
      <c r="F630" s="108">
        <f>IFERROR(__xludf.DUMMYFUNCTION("""COMPUTED_VALUE"""),1900000.0)</f>
        <v>1900000</v>
      </c>
      <c r="G630" s="16" t="str">
        <f>IFERROR(__xludf.DUMMYFUNCTION("""COMPUTED_VALUE"""),"DMG")</f>
        <v>DMG</v>
      </c>
      <c r="H630" s="119">
        <f>IFERROR(__xludf.DUMMYFUNCTION("""COMPUTED_VALUE"""),10000.0)</f>
        <v>10000</v>
      </c>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c r="AF630" s="16"/>
      <c r="AG630" s="16" t="str">
        <f>IFERROR(__xludf.DUMMYFUNCTION("""COMPUTED_VALUE"""),"Land of Spira")</f>
        <v>Land of Spira</v>
      </c>
      <c r="AH630" s="16" t="b">
        <f>IFERROR(__xludf.DUMMYFUNCTION("""COMPUTED_VALUE"""),FALSE)</f>
        <v>0</v>
      </c>
    </row>
    <row r="631">
      <c r="A631" s="16" t="str">
        <f>IFERROR(__xludf.DUMMYFUNCTION("""COMPUTED_VALUE"""),"Flintlock Pistol")</f>
        <v>Flintlock Pistol</v>
      </c>
      <c r="B631" s="16" t="str">
        <f>IFERROR(__xludf.DUMMYFUNCTION("""COMPUTED_VALUE"""),"Hand")</f>
        <v>Hand</v>
      </c>
      <c r="C631" s="16"/>
      <c r="D631" s="16" t="str">
        <f>IFERROR(__xludf.DUMMYFUNCTION("""COMPUTED_VALUE"""),"Firearm")</f>
        <v>Firearm</v>
      </c>
      <c r="E631" s="16">
        <f>IFERROR(__xludf.DUMMYFUNCTION("""COMPUTED_VALUE"""),200.0)</f>
        <v>200</v>
      </c>
      <c r="F631" s="108">
        <f>IFERROR(__xludf.DUMMYFUNCTION("""COMPUTED_VALUE"""),1900000.0)</f>
        <v>1900000</v>
      </c>
      <c r="G631" s="16" t="str">
        <f>IFERROR(__xludf.DUMMYFUNCTION("""COMPUTED_VALUE"""),"DMG")</f>
        <v>DMG</v>
      </c>
      <c r="H631" s="16">
        <f>IFERROR(__xludf.DUMMYFUNCTION("""COMPUTED_VALUE"""),10000.0)</f>
        <v>10000</v>
      </c>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c r="AF631" s="16"/>
      <c r="AG631" s="16" t="str">
        <f>IFERROR(__xludf.DUMMYFUNCTION("""COMPUTED_VALUE"""),"Land of Spira")</f>
        <v>Land of Spira</v>
      </c>
      <c r="AH631" s="16" t="b">
        <f>IFERROR(__xludf.DUMMYFUNCTION("""COMPUTED_VALUE"""),FALSE)</f>
        <v>0</v>
      </c>
    </row>
    <row r="632">
      <c r="A632" s="16" t="str">
        <f>IFERROR(__xludf.DUMMYFUNCTION("""COMPUTED_VALUE"""),"Head of Gévaudan")</f>
        <v>Head of Gévaudan</v>
      </c>
      <c r="B632" s="16" t="str">
        <f>IFERROR(__xludf.DUMMYFUNCTION("""COMPUTED_VALUE"""),"Head")</f>
        <v>Head</v>
      </c>
      <c r="C632" s="16"/>
      <c r="D632" s="16"/>
      <c r="E632" s="16">
        <f>IFERROR(__xludf.DUMMYFUNCTION("""COMPUTED_VALUE"""),200.0)</f>
        <v>200</v>
      </c>
      <c r="F632" s="108">
        <f>IFERROR(__xludf.DUMMYFUNCTION("""COMPUTED_VALUE"""),1900000.0)</f>
        <v>1900000</v>
      </c>
      <c r="G632" s="16" t="str">
        <f>IFERROR(__xludf.DUMMYFUNCTION("""COMPUTED_VALUE"""),"DEF")</f>
        <v>DEF</v>
      </c>
      <c r="H632" s="16">
        <f>IFERROR(__xludf.DUMMYFUNCTION("""COMPUTED_VALUE"""),10000.0)</f>
        <v>10000</v>
      </c>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c r="AF632" s="16" t="str">
        <f>IFERROR(__xludf.DUMMYFUNCTION("""COMPUTED_VALUE"""),"++ +5 to intimidation, ++Soul Shake: Allows to cast ""Shaken Soul""")</f>
        <v>++ +5 to intimidation, ++Soul Shake: Allows to cast "Shaken Soul"</v>
      </c>
      <c r="AG632" s="16" t="str">
        <f>IFERROR(__xludf.DUMMYFUNCTION("""COMPUTED_VALUE"""),"Land of Spira")</f>
        <v>Land of Spira</v>
      </c>
      <c r="AH632" s="16" t="b">
        <f>IFERROR(__xludf.DUMMYFUNCTION("""COMPUTED_VALUE"""),FALSE)</f>
        <v>0</v>
      </c>
    </row>
    <row r="633">
      <c r="A633" s="16" t="str">
        <f>IFERROR(__xludf.DUMMYFUNCTION("""COMPUTED_VALUE"""),"Phantasmal Scythe")</f>
        <v>Phantasmal Scythe</v>
      </c>
      <c r="B633" s="16" t="str">
        <f>IFERROR(__xludf.DUMMYFUNCTION("""COMPUTED_VALUE"""),"Hand")</f>
        <v>Hand</v>
      </c>
      <c r="C633" s="16"/>
      <c r="D633" s="16" t="str">
        <f>IFERROR(__xludf.DUMMYFUNCTION("""COMPUTED_VALUE"""),"Scythe")</f>
        <v>Scythe</v>
      </c>
      <c r="E633" s="16">
        <f>IFERROR(__xludf.DUMMYFUNCTION("""COMPUTED_VALUE"""),1000.0)</f>
        <v>1000</v>
      </c>
      <c r="F633" s="108">
        <f>IFERROR(__xludf.DUMMYFUNCTION("""COMPUTED_VALUE"""),4.95E7)</f>
        <v>49500000</v>
      </c>
      <c r="G633" s="16" t="str">
        <f>IFERROR(__xludf.DUMMYFUNCTION("""COMPUTED_VALUE"""),"DMG")</f>
        <v>DMG</v>
      </c>
      <c r="H633" s="16"/>
      <c r="I633" s="16"/>
      <c r="J633" s="16"/>
      <c r="K633" s="16"/>
      <c r="L633" s="16"/>
      <c r="M633" s="16"/>
      <c r="N633" s="16"/>
      <c r="O633" s="16"/>
      <c r="P633" s="16">
        <f>IFERROR(__xludf.DUMMYFUNCTION("""COMPUTED_VALUE"""),50000.0)</f>
        <v>50000</v>
      </c>
      <c r="Q633" s="16"/>
      <c r="R633" s="16"/>
      <c r="S633" s="16"/>
      <c r="T633" s="16"/>
      <c r="U633" s="16"/>
      <c r="V633" s="16"/>
      <c r="W633" s="16"/>
      <c r="X633" s="16"/>
      <c r="Y633" s="16"/>
      <c r="Z633" s="16"/>
      <c r="AA633" s="16"/>
      <c r="AB633" s="16"/>
      <c r="AC633" s="16"/>
      <c r="AD633" s="16"/>
      <c r="AE633" s="16"/>
      <c r="AF633" s="16"/>
      <c r="AG633" s="16" t="str">
        <f>IFERROR(__xludf.DUMMYFUNCTION("""COMPUTED_VALUE"""),"Land of Spira")</f>
        <v>Land of Spira</v>
      </c>
      <c r="AH633" s="16" t="b">
        <f>IFERROR(__xludf.DUMMYFUNCTION("""COMPUTED_VALUE"""),FALSE)</f>
        <v>0</v>
      </c>
    </row>
    <row r="634">
      <c r="A634" s="16" t="str">
        <f>IFERROR(__xludf.DUMMYFUNCTION("""COMPUTED_VALUE"""),"Piranha Tooth Dagger")</f>
        <v>Piranha Tooth Dagger</v>
      </c>
      <c r="B634" s="16" t="str">
        <f>IFERROR(__xludf.DUMMYFUNCTION("""COMPUTED_VALUE"""),"Hand")</f>
        <v>Hand</v>
      </c>
      <c r="C634" s="16"/>
      <c r="D634" s="16" t="str">
        <f>IFERROR(__xludf.DUMMYFUNCTION("""COMPUTED_VALUE"""),"Knife")</f>
        <v>Knife</v>
      </c>
      <c r="E634" s="16">
        <f>IFERROR(__xludf.DUMMYFUNCTION("""COMPUTED_VALUE"""),10.0)</f>
        <v>10</v>
      </c>
      <c r="F634" s="108">
        <f>IFERROR(__xludf.DUMMYFUNCTION("""COMPUTED_VALUE"""),1000.0)</f>
        <v>1000</v>
      </c>
      <c r="G634" s="16" t="str">
        <f>IFERROR(__xludf.DUMMYFUNCTION("""COMPUTED_VALUE"""),"DMG")</f>
        <v>DMG</v>
      </c>
      <c r="H634" s="16">
        <f>IFERROR(__xludf.DUMMYFUNCTION("""COMPUTED_VALUE"""),500.0)</f>
        <v>500</v>
      </c>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c r="AF634" s="16" t="str">
        <f>IFERROR(__xludf.DUMMYFUNCTION("""COMPUTED_VALUE"""),"++Increases damage by X2 for every time you hit an enemy with this weapon during a single battle (Goes back to normal damage after battle)")</f>
        <v>++Increases damage by X2 for every time you hit an enemy with this weapon during a single battle (Goes back to normal damage after battle)</v>
      </c>
      <c r="AG634" s="16" t="str">
        <f>IFERROR(__xludf.DUMMYFUNCTION("""COMPUTED_VALUE"""),"Land of Spira")</f>
        <v>Land of Spira</v>
      </c>
      <c r="AH634" s="16" t="b">
        <f>IFERROR(__xludf.DUMMYFUNCTION("""COMPUTED_VALUE"""),FALSE)</f>
        <v>0</v>
      </c>
    </row>
    <row r="635">
      <c r="A635" s="16" t="str">
        <f>IFERROR(__xludf.DUMMYFUNCTION("""COMPUTED_VALUE"""),"Rhino Horn Spear")</f>
        <v>Rhino Horn Spear</v>
      </c>
      <c r="B635" s="16" t="str">
        <f>IFERROR(__xludf.DUMMYFUNCTION("""COMPUTED_VALUE"""),"Hand")</f>
        <v>Hand</v>
      </c>
      <c r="C635" s="16"/>
      <c r="D635" s="16" t="str">
        <f>IFERROR(__xludf.DUMMYFUNCTION("""COMPUTED_VALUE"""),"Spear")</f>
        <v>Spear</v>
      </c>
      <c r="E635" s="16">
        <f>IFERROR(__xludf.DUMMYFUNCTION("""COMPUTED_VALUE"""),200.0)</f>
        <v>200</v>
      </c>
      <c r="F635" s="108">
        <f>IFERROR(__xludf.DUMMYFUNCTION("""COMPUTED_VALUE"""),1900000.0)</f>
        <v>1900000</v>
      </c>
      <c r="G635" s="16" t="str">
        <f>IFERROR(__xludf.DUMMYFUNCTION("""COMPUTED_VALUE"""),"DMG")</f>
        <v>DMG</v>
      </c>
      <c r="H635" s="16">
        <f>IFERROR(__xludf.DUMMYFUNCTION("""COMPUTED_VALUE"""),10000.0)</f>
        <v>10000</v>
      </c>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c r="AF635" s="16" t="str">
        <f>IFERROR(__xludf.DUMMYFUNCTION("""COMPUTED_VALUE"""),"++Charge - The first attack made with this weapon deals X2 damage")</f>
        <v>++Charge - The first attack made with this weapon deals X2 damage</v>
      </c>
      <c r="AG635" s="16" t="str">
        <f>IFERROR(__xludf.DUMMYFUNCTION("""COMPUTED_VALUE"""),"Land of Spira")</f>
        <v>Land of Spira</v>
      </c>
      <c r="AH635" s="16" t="b">
        <f>IFERROR(__xludf.DUMMYFUNCTION("""COMPUTED_VALUE"""),FALSE)</f>
        <v>0</v>
      </c>
    </row>
    <row r="636">
      <c r="A636" s="16" t="str">
        <f>IFERROR(__xludf.DUMMYFUNCTION("""COMPUTED_VALUE"""),"Rock Axe")</f>
        <v>Rock Axe</v>
      </c>
      <c r="B636" s="16" t="str">
        <f>IFERROR(__xludf.DUMMYFUNCTION("""COMPUTED_VALUE"""),"Hand")</f>
        <v>Hand</v>
      </c>
      <c r="C636" s="16"/>
      <c r="D636" s="16" t="str">
        <f>IFERROR(__xludf.DUMMYFUNCTION("""COMPUTED_VALUE"""),"Axe")</f>
        <v>Axe</v>
      </c>
      <c r="E636" s="16">
        <f>IFERROR(__xludf.DUMMYFUNCTION("""COMPUTED_VALUE"""),40.0)</f>
        <v>40</v>
      </c>
      <c r="F636" s="108">
        <f>IFERROR(__xludf.DUMMYFUNCTION("""COMPUTED_VALUE"""),60000.0)</f>
        <v>60000</v>
      </c>
      <c r="G636" s="16" t="str">
        <f>IFERROR(__xludf.DUMMYFUNCTION("""COMPUTED_VALUE"""),"DMG")</f>
        <v>DMG</v>
      </c>
      <c r="H636" s="16">
        <f>IFERROR(__xludf.DUMMYFUNCTION("""COMPUTED_VALUE"""),1000.0)</f>
        <v>1000</v>
      </c>
      <c r="I636" s="16"/>
      <c r="J636" s="16"/>
      <c r="K636" s="16"/>
      <c r="L636" s="16"/>
      <c r="M636" s="16">
        <f>IFERROR(__xludf.DUMMYFUNCTION("""COMPUTED_VALUE"""),1000.0)</f>
        <v>1000</v>
      </c>
      <c r="N636" s="16"/>
      <c r="O636" s="16"/>
      <c r="P636" s="16"/>
      <c r="Q636" s="16"/>
      <c r="R636" s="16"/>
      <c r="S636" s="16"/>
      <c r="T636" s="16"/>
      <c r="U636" s="16"/>
      <c r="V636" s="16"/>
      <c r="W636" s="16"/>
      <c r="X636" s="16"/>
      <c r="Y636" s="16"/>
      <c r="Z636" s="16"/>
      <c r="AA636" s="16"/>
      <c r="AB636" s="16"/>
      <c r="AC636" s="16"/>
      <c r="AD636" s="16"/>
      <c r="AE636" s="16"/>
      <c r="AF636" s="16"/>
      <c r="AG636" s="16" t="str">
        <f>IFERROR(__xludf.DUMMYFUNCTION("""COMPUTED_VALUE"""),"Land of Spira")</f>
        <v>Land of Spira</v>
      </c>
      <c r="AH636" s="16" t="b">
        <f>IFERROR(__xludf.DUMMYFUNCTION("""COMPUTED_VALUE"""),FALSE)</f>
        <v>0</v>
      </c>
    </row>
    <row r="637">
      <c r="A637" s="16" t="str">
        <f>IFERROR(__xludf.DUMMYFUNCTION("""COMPUTED_VALUE"""),"Saber Tooth")</f>
        <v>Saber Tooth</v>
      </c>
      <c r="B637" s="16" t="str">
        <f>IFERROR(__xludf.DUMMYFUNCTION("""COMPUTED_VALUE"""),"Hand")</f>
        <v>Hand</v>
      </c>
      <c r="C637" s="16"/>
      <c r="D637" s="16" t="str">
        <f>IFERROR(__xludf.DUMMYFUNCTION("""COMPUTED_VALUE"""),"Knife")</f>
        <v>Knife</v>
      </c>
      <c r="E637" s="16">
        <f>IFERROR(__xludf.DUMMYFUNCTION("""COMPUTED_VALUE"""),200.0)</f>
        <v>200</v>
      </c>
      <c r="F637" s="108">
        <f>IFERROR(__xludf.DUMMYFUNCTION("""COMPUTED_VALUE"""),1900000.0)</f>
        <v>1900000</v>
      </c>
      <c r="G637" s="16" t="str">
        <f>IFERROR(__xludf.DUMMYFUNCTION("""COMPUTED_VALUE"""),"DMG")</f>
        <v>DMG</v>
      </c>
      <c r="H637" s="119">
        <f>IFERROR(__xludf.DUMMYFUNCTION("""COMPUTED_VALUE"""),10000.0)</f>
        <v>10000</v>
      </c>
      <c r="I637" s="16"/>
      <c r="J637" s="16"/>
      <c r="K637" s="16"/>
      <c r="L637" s="16"/>
      <c r="M637" s="16"/>
      <c r="N637" s="16"/>
      <c r="O637" s="16"/>
      <c r="P637" s="16"/>
      <c r="Q637" s="16"/>
      <c r="R637" s="16"/>
      <c r="S637" s="16"/>
      <c r="T637" s="16"/>
      <c r="U637" s="16"/>
      <c r="V637" s="16"/>
      <c r="W637" s="16"/>
      <c r="X637" s="16"/>
      <c r="Y637" s="16"/>
      <c r="Z637" s="16"/>
      <c r="AA637" s="16"/>
      <c r="AB637" s="16"/>
      <c r="AC637" s="16"/>
      <c r="AD637" s="16"/>
      <c r="AE637" s="16"/>
      <c r="AF637" s="16"/>
      <c r="AG637" s="16" t="str">
        <f>IFERROR(__xludf.DUMMYFUNCTION("""COMPUTED_VALUE"""),"Land of Spira")</f>
        <v>Land of Spira</v>
      </c>
      <c r="AH637" s="16" t="b">
        <f>IFERROR(__xludf.DUMMYFUNCTION("""COMPUTED_VALUE"""),FALSE)</f>
        <v>0</v>
      </c>
    </row>
    <row r="638">
      <c r="A638" s="16" t="str">
        <f>IFERROR(__xludf.DUMMYFUNCTION("""COMPUTED_VALUE"""),"Worm Tooth Chainsaw")</f>
        <v>Worm Tooth Chainsaw</v>
      </c>
      <c r="B638" s="16" t="str">
        <f>IFERROR(__xludf.DUMMYFUNCTION("""COMPUTED_VALUE"""),"Hand")</f>
        <v>Hand</v>
      </c>
      <c r="C638" s="16"/>
      <c r="D638" s="16" t="str">
        <f>IFERROR(__xludf.DUMMYFUNCTION("""COMPUTED_VALUE"""),"Axe")</f>
        <v>Axe</v>
      </c>
      <c r="E638" s="16">
        <f>IFERROR(__xludf.DUMMYFUNCTION("""COMPUTED_VALUE"""),1200.0)</f>
        <v>1200</v>
      </c>
      <c r="F638" s="108">
        <f>IFERROR(__xludf.DUMMYFUNCTION("""COMPUTED_VALUE"""),7.14E7)</f>
        <v>71400000</v>
      </c>
      <c r="G638" s="16" t="str">
        <f>IFERROR(__xludf.DUMMYFUNCTION("""COMPUTED_VALUE"""),"DMG")</f>
        <v>DMG</v>
      </c>
      <c r="H638" s="119">
        <f>IFERROR(__xludf.DUMMYFUNCTION("""COMPUTED_VALUE"""),50000.0)</f>
        <v>50000</v>
      </c>
      <c r="I638" s="16"/>
      <c r="J638" s="16"/>
      <c r="K638" s="16"/>
      <c r="L638" s="16"/>
      <c r="M638" s="16"/>
      <c r="N638" s="16"/>
      <c r="O638" s="16"/>
      <c r="P638" s="16"/>
      <c r="Q638" s="16"/>
      <c r="R638" s="16"/>
      <c r="S638" s="16"/>
      <c r="T638" s="16"/>
      <c r="U638" s="16"/>
      <c r="V638" s="16"/>
      <c r="W638" s="16"/>
      <c r="X638" s="16"/>
      <c r="Y638" s="119">
        <f>IFERROR(__xludf.DUMMYFUNCTION("""COMPUTED_VALUE"""),10000.0)</f>
        <v>10000</v>
      </c>
      <c r="Z638" s="16"/>
      <c r="AA638" s="16"/>
      <c r="AB638" s="16"/>
      <c r="AC638" s="16"/>
      <c r="AD638" s="16"/>
      <c r="AE638" s="16"/>
      <c r="AF638" s="16" t="str">
        <f>IFERROR(__xludf.DUMMYFUNCTION("""COMPUTED_VALUE"""),"++Spinning Chain - Make a hit or miss attack (Adding Mobility) on hit set an enemies defense to 0 for 1 round 500 sp")</f>
        <v>++Spinning Chain - Make a hit or miss attack (Adding Mobility) on hit set an enemies defense to 0 for 1 round 500 sp</v>
      </c>
      <c r="AG638" s="16" t="str">
        <f>IFERROR(__xludf.DUMMYFUNCTION("""COMPUTED_VALUE"""),"Land of Spira")</f>
        <v>Land of Spira</v>
      </c>
      <c r="AH638" s="16" t="b">
        <f>IFERROR(__xludf.DUMMYFUNCTION("""COMPUTED_VALUE"""),FALSE)</f>
        <v>0</v>
      </c>
    </row>
    <row r="639">
      <c r="A639" s="16" t="str">
        <f>IFERROR(__xludf.DUMMYFUNCTION("""COMPUTED_VALUE"""),"Shark Tooth Greatclub")</f>
        <v>Shark Tooth Greatclub</v>
      </c>
      <c r="B639" s="16" t="str">
        <f>IFERROR(__xludf.DUMMYFUNCTION("""COMPUTED_VALUE"""),"Hand")</f>
        <v>Hand</v>
      </c>
      <c r="C639" s="16"/>
      <c r="D639" s="16" t="str">
        <f>IFERROR(__xludf.DUMMYFUNCTION("""COMPUTED_VALUE"""),"Club")</f>
        <v>Club</v>
      </c>
      <c r="E639" s="16">
        <f>IFERROR(__xludf.DUMMYFUNCTION("""COMPUTED_VALUE"""),500.0)</f>
        <v>500</v>
      </c>
      <c r="F639" s="108">
        <f>IFERROR(__xludf.DUMMYFUNCTION("""COMPUTED_VALUE"""),1.225E7)</f>
        <v>12250000</v>
      </c>
      <c r="G639" s="16" t="str">
        <f>IFERROR(__xludf.DUMMYFUNCTION("""COMPUTED_VALUE"""),"DMG")</f>
        <v>DMG</v>
      </c>
      <c r="H639" s="119">
        <f>IFERROR(__xludf.DUMMYFUNCTION("""COMPUTED_VALUE"""),25000.0)</f>
        <v>25000</v>
      </c>
      <c r="I639" s="16"/>
      <c r="J639" s="16"/>
      <c r="K639" s="16"/>
      <c r="L639" s="16"/>
      <c r="M639" s="16"/>
      <c r="N639" s="16"/>
      <c r="O639" s="16"/>
      <c r="P639" s="16"/>
      <c r="Q639" s="16"/>
      <c r="R639" s="16"/>
      <c r="S639" s="16"/>
      <c r="T639" s="16"/>
      <c r="U639" s="16"/>
      <c r="V639" s="16"/>
      <c r="W639" s="16"/>
      <c r="X639" s="16"/>
      <c r="Y639" s="16"/>
      <c r="Z639" s="16"/>
      <c r="AA639" s="16"/>
      <c r="AB639" s="16"/>
      <c r="AC639" s="16"/>
      <c r="AD639" s="16"/>
      <c r="AE639" s="16"/>
      <c r="AF639" s="16" t="str">
        <f>IFERROR(__xludf.DUMMYFUNCTION("""COMPUTED_VALUE"""),"++Abrasive Blow - hitting an enemy with this weapon causes them to be Injured graveky inflicting them with slowness until healed by any means.")</f>
        <v>++Abrasive Blow - hitting an enemy with this weapon causes them to be Injured graveky inflicting them with slowness until healed by any means.</v>
      </c>
      <c r="AG639" s="16" t="str">
        <f>IFERROR(__xludf.DUMMYFUNCTION("""COMPUTED_VALUE"""),"Land of Spira")</f>
        <v>Land of Spira</v>
      </c>
      <c r="AH639" s="16" t="b">
        <f>IFERROR(__xludf.DUMMYFUNCTION("""COMPUTED_VALUE"""),FALSE)</f>
        <v>0</v>
      </c>
    </row>
    <row r="640">
      <c r="A640" s="16" t="str">
        <f>IFERROR(__xludf.DUMMYFUNCTION("""COMPUTED_VALUE"""),"Sticky Slime Guantlets")</f>
        <v>Sticky Slime Guantlets</v>
      </c>
      <c r="B640" s="16" t="str">
        <f>IFERROR(__xludf.DUMMYFUNCTION("""COMPUTED_VALUE"""),"Hand")</f>
        <v>Hand</v>
      </c>
      <c r="C640" s="16"/>
      <c r="D640" s="16" t="str">
        <f>IFERROR(__xludf.DUMMYFUNCTION("""COMPUTED_VALUE"""),"Gauntlet")</f>
        <v>Gauntlet</v>
      </c>
      <c r="E640" s="16">
        <f>IFERROR(__xludf.DUMMYFUNCTION("""COMPUTED_VALUE"""),400.0)</f>
        <v>400</v>
      </c>
      <c r="F640" s="108">
        <f>IFERROR(__xludf.DUMMYFUNCTION("""COMPUTED_VALUE"""),7800000.0)</f>
        <v>7800000</v>
      </c>
      <c r="G640" s="16" t="str">
        <f>IFERROR(__xludf.DUMMYFUNCTION("""COMPUTED_VALUE"""),"DEF")</f>
        <v>DEF</v>
      </c>
      <c r="H640" s="119">
        <f>IFERROR(__xludf.DUMMYFUNCTION("""COMPUTED_VALUE"""),20000.0)</f>
        <v>20000</v>
      </c>
      <c r="I640" s="16"/>
      <c r="J640" s="16"/>
      <c r="K640" s="16"/>
      <c r="L640" s="16"/>
      <c r="M640" s="16"/>
      <c r="N640" s="16"/>
      <c r="O640" s="16"/>
      <c r="P640" s="16"/>
      <c r="Q640" s="16"/>
      <c r="R640" s="16"/>
      <c r="S640" s="16"/>
      <c r="T640" s="16"/>
      <c r="U640" s="16"/>
      <c r="V640" s="16"/>
      <c r="W640" s="16"/>
      <c r="X640" s="16"/>
      <c r="Y640" s="16"/>
      <c r="Z640" s="16"/>
      <c r="AA640" s="16"/>
      <c r="AB640" s="16"/>
      <c r="AC640" s="16"/>
      <c r="AD640" s="16"/>
      <c r="AE640" s="16"/>
      <c r="AF640" s="16" t="str">
        <f>IFERROR(__xludf.DUMMYFUNCTION("""COMPUTED_VALUE"""),"++Slimey Grasp - When these gloves are equipped the natural power ""take"" Is guaranteed to succeed.")</f>
        <v>++Slimey Grasp - When these gloves are equipped the natural power "take" Is guaranteed to succeed.</v>
      </c>
      <c r="AG640" s="16" t="str">
        <f>IFERROR(__xludf.DUMMYFUNCTION("""COMPUTED_VALUE"""),"Land of Spira")</f>
        <v>Land of Spira</v>
      </c>
      <c r="AH640" s="16" t="b">
        <f>IFERROR(__xludf.DUMMYFUNCTION("""COMPUTED_VALUE"""),FALSE)</f>
        <v>0</v>
      </c>
    </row>
    <row r="641">
      <c r="A641" s="16" t="str">
        <f>IFERROR(__xludf.DUMMYFUNCTION("""COMPUTED_VALUE"""),"Draconic Scythe")</f>
        <v>Draconic Scythe</v>
      </c>
      <c r="B641" s="16" t="str">
        <f>IFERROR(__xludf.DUMMYFUNCTION("""COMPUTED_VALUE"""),"Hand")</f>
        <v>Hand</v>
      </c>
      <c r="C641" s="16"/>
      <c r="D641" s="16" t="str">
        <f>IFERROR(__xludf.DUMMYFUNCTION("""COMPUTED_VALUE"""),"Scythe")</f>
        <v>Scythe</v>
      </c>
      <c r="E641" s="16">
        <f>IFERROR(__xludf.DUMMYFUNCTION("""COMPUTED_VALUE"""),2000.0)</f>
        <v>2000</v>
      </c>
      <c r="F641" s="108">
        <f>IFERROR(__xludf.DUMMYFUNCTION("""COMPUTED_VALUE"""),1.99E8)</f>
        <v>199000000</v>
      </c>
      <c r="G641" s="16" t="str">
        <f>IFERROR(__xludf.DUMMYFUNCTION("""COMPUTED_VALUE"""),"DMG")</f>
        <v>DMG</v>
      </c>
      <c r="H641" s="16"/>
      <c r="I641" s="16"/>
      <c r="J641" s="16"/>
      <c r="K641" s="16"/>
      <c r="L641" s="16"/>
      <c r="M641" s="16"/>
      <c r="N641" s="16"/>
      <c r="O641" s="16"/>
      <c r="P641" s="119">
        <f>IFERROR(__xludf.DUMMYFUNCTION("""COMPUTED_VALUE"""),100000.0)</f>
        <v>100000</v>
      </c>
      <c r="Q641" s="16"/>
      <c r="R641" s="16"/>
      <c r="S641" s="16"/>
      <c r="T641" s="16"/>
      <c r="U641" s="16"/>
      <c r="V641" s="16"/>
      <c r="W641" s="16"/>
      <c r="X641" s="16"/>
      <c r="Y641" s="16"/>
      <c r="Z641" s="16"/>
      <c r="AA641" s="16"/>
      <c r="AB641" s="16"/>
      <c r="AC641" s="16"/>
      <c r="AD641" s="16"/>
      <c r="AE641" s="16"/>
      <c r="AF641" s="16" t="str">
        <f>IFERROR(__xludf.DUMMYFUNCTION("""COMPUTED_VALUE"""),"++Draconic Soul - When Fighting alongside any draconic allies (including Dragon companions or Dragonians) or if the wielder itself is draconic this weapon deals an additional X5 damage")</f>
        <v>++Draconic Soul - When Fighting alongside any draconic allies (including Dragon companions or Dragonians) or if the wielder itself is draconic this weapon deals an additional X5 damage</v>
      </c>
      <c r="AG641" s="16" t="str">
        <f>IFERROR(__xludf.DUMMYFUNCTION("""COMPUTED_VALUE"""),"Land of Spira")</f>
        <v>Land of Spira</v>
      </c>
      <c r="AH641" s="16" t="b">
        <f>IFERROR(__xludf.DUMMYFUNCTION("""COMPUTED_VALUE"""),FALSE)</f>
        <v>0</v>
      </c>
    </row>
    <row r="642">
      <c r="A642" s="16" t="str">
        <f>IFERROR(__xludf.DUMMYFUNCTION("""COMPUTED_VALUE"""),"Elemental Scythe")</f>
        <v>Elemental Scythe</v>
      </c>
      <c r="B642" s="16" t="str">
        <f>IFERROR(__xludf.DUMMYFUNCTION("""COMPUTED_VALUE"""),"Hand")</f>
        <v>Hand</v>
      </c>
      <c r="C642" s="16"/>
      <c r="D642" s="16" t="str">
        <f>IFERROR(__xludf.DUMMYFUNCTION("""COMPUTED_VALUE"""),"Scythe")</f>
        <v>Scythe</v>
      </c>
      <c r="E642" s="16">
        <f>IFERROR(__xludf.DUMMYFUNCTION("""COMPUTED_VALUE"""),2000.0)</f>
        <v>2000</v>
      </c>
      <c r="F642" s="108">
        <f>IFERROR(__xludf.DUMMYFUNCTION("""COMPUTED_VALUE"""),1.99E8)</f>
        <v>199000000</v>
      </c>
      <c r="G642" s="16" t="str">
        <f>IFERROR(__xludf.DUMMYFUNCTION("""COMPUTED_VALUE"""),"DMG")</f>
        <v>DMG</v>
      </c>
      <c r="H642" s="16"/>
      <c r="I642" s="119">
        <f>IFERROR(__xludf.DUMMYFUNCTION("""COMPUTED_VALUE"""),20000.0)</f>
        <v>20000</v>
      </c>
      <c r="J642" s="119">
        <f>IFERROR(__xludf.DUMMYFUNCTION("""COMPUTED_VALUE"""),20000.0)</f>
        <v>20000</v>
      </c>
      <c r="K642" s="119">
        <f>IFERROR(__xludf.DUMMYFUNCTION("""COMPUTED_VALUE"""),20000.0)</f>
        <v>20000</v>
      </c>
      <c r="L642" s="119">
        <f>IFERROR(__xludf.DUMMYFUNCTION("""COMPUTED_VALUE"""),20000.0)</f>
        <v>20000</v>
      </c>
      <c r="M642" s="119">
        <f>IFERROR(__xludf.DUMMYFUNCTION("""COMPUTED_VALUE"""),20000.0)</f>
        <v>20000</v>
      </c>
      <c r="N642" s="16"/>
      <c r="O642" s="16"/>
      <c r="P642" s="16"/>
      <c r="Q642" s="16"/>
      <c r="R642" s="16"/>
      <c r="S642" s="16"/>
      <c r="T642" s="16"/>
      <c r="U642" s="16"/>
      <c r="V642" s="16"/>
      <c r="W642" s="16"/>
      <c r="X642" s="16"/>
      <c r="Y642" s="16"/>
      <c r="Z642" s="16"/>
      <c r="AA642" s="16"/>
      <c r="AB642" s="16"/>
      <c r="AC642" s="16"/>
      <c r="AD642" s="16"/>
      <c r="AE642" s="16"/>
      <c r="AF642" s="16" t="str">
        <f>IFERROR(__xludf.DUMMYFUNCTION("""COMPUTED_VALUE"""),"++This scythe is unnaffected by Immunities to fire, earth, nature, water, or storm.")</f>
        <v>++This scythe is unnaffected by Immunities to fire, earth, nature, water, or storm.</v>
      </c>
      <c r="AG642" s="16" t="str">
        <f>IFERROR(__xludf.DUMMYFUNCTION("""COMPUTED_VALUE"""),"Land of Spira")</f>
        <v>Land of Spira</v>
      </c>
      <c r="AH642" s="16" t="b">
        <f>IFERROR(__xludf.DUMMYFUNCTION("""COMPUTED_VALUE"""),FALSE)</f>
        <v>0</v>
      </c>
    </row>
    <row r="643">
      <c r="A643" s="16" t="str">
        <f>IFERROR(__xludf.DUMMYFUNCTION("""COMPUTED_VALUE"""),"Staff of the Elemental King of Water")</f>
        <v>Staff of the Elemental King of Water</v>
      </c>
      <c r="B643" s="16" t="str">
        <f>IFERROR(__xludf.DUMMYFUNCTION("""COMPUTED_VALUE"""),"Hand")</f>
        <v>Hand</v>
      </c>
      <c r="C643" s="16"/>
      <c r="D643" s="16" t="str">
        <f>IFERROR(__xludf.DUMMYFUNCTION("""COMPUTED_VALUE"""),"Staff")</f>
        <v>Staff</v>
      </c>
      <c r="E643" s="16">
        <f>IFERROR(__xludf.DUMMYFUNCTION("""COMPUTED_VALUE"""),1000.0)</f>
        <v>1000</v>
      </c>
      <c r="F643" s="108">
        <f>IFERROR(__xludf.DUMMYFUNCTION("""COMPUTED_VALUE"""),4.95E7)</f>
        <v>49500000</v>
      </c>
      <c r="G643" s="16" t="str">
        <f>IFERROR(__xludf.DUMMYFUNCTION("""COMPUTED_VALUE"""),"DMG")</f>
        <v>DMG</v>
      </c>
      <c r="H643" s="16"/>
      <c r="I643" s="16"/>
      <c r="J643" s="16"/>
      <c r="K643" s="119">
        <f>IFERROR(__xludf.DUMMYFUNCTION("""COMPUTED_VALUE"""),50000.0)</f>
        <v>50000</v>
      </c>
      <c r="L643" s="16"/>
      <c r="M643" s="16"/>
      <c r="N643" s="16"/>
      <c r="O643" s="16"/>
      <c r="P643" s="16"/>
      <c r="Q643" s="16"/>
      <c r="R643" s="16"/>
      <c r="S643" s="16"/>
      <c r="T643" s="16"/>
      <c r="U643" s="16"/>
      <c r="V643" s="16"/>
      <c r="W643" s="16"/>
      <c r="X643" s="16"/>
      <c r="Y643" s="16"/>
      <c r="Z643" s="16"/>
      <c r="AA643" s="16"/>
      <c r="AB643" s="16"/>
      <c r="AC643" s="16"/>
      <c r="AD643" s="16"/>
      <c r="AE643" s="16"/>
      <c r="AF643" s="16" t="str">
        <f>IFERROR(__xludf.DUMMYFUNCTION("""COMPUTED_VALUE"""),"++Summoned Water Elementals deal 5X water damage")</f>
        <v>++Summoned Water Elementals deal 5X water damage</v>
      </c>
      <c r="AG643" s="16" t="str">
        <f>IFERROR(__xludf.DUMMYFUNCTION("""COMPUTED_VALUE"""),"Land of Spira")</f>
        <v>Land of Spira</v>
      </c>
      <c r="AH643" s="16" t="b">
        <f>IFERROR(__xludf.DUMMYFUNCTION("""COMPUTED_VALUE"""),FALSE)</f>
        <v>0</v>
      </c>
    </row>
    <row r="644">
      <c r="A644" s="16" t="str">
        <f>IFERROR(__xludf.DUMMYFUNCTION("""COMPUTED_VALUE"""),"Bashe's Tail")</f>
        <v>Bashe's Tail</v>
      </c>
      <c r="B644" s="16" t="str">
        <f>IFERROR(__xludf.DUMMYFUNCTION("""COMPUTED_VALUE"""),"Legs")</f>
        <v>Legs</v>
      </c>
      <c r="C644" s="16"/>
      <c r="D644" s="16"/>
      <c r="E644" s="16">
        <f>IFERROR(__xludf.DUMMYFUNCTION("""COMPUTED_VALUE"""),800.0)</f>
        <v>800</v>
      </c>
      <c r="F644" s="108">
        <f>IFERROR(__xludf.DUMMYFUNCTION("""COMPUTED_VALUE"""),3.16E7)</f>
        <v>31600000</v>
      </c>
      <c r="G644" s="16" t="str">
        <f>IFERROR(__xludf.DUMMYFUNCTION("""COMPUTED_VALUE"""),"DEF")</f>
        <v>DEF</v>
      </c>
      <c r="H644" s="119">
        <f>IFERROR(__xludf.DUMMYFUNCTION("""COMPUTED_VALUE"""),40000.0)</f>
        <v>40000</v>
      </c>
      <c r="I644" s="16"/>
      <c r="J644" s="16"/>
      <c r="K644" s="16"/>
      <c r="L644" s="16"/>
      <c r="M644" s="16"/>
      <c r="N644" s="16"/>
      <c r="O644" s="16"/>
      <c r="P644" s="16"/>
      <c r="Q644" s="16"/>
      <c r="R644" s="16"/>
      <c r="S644" s="16"/>
      <c r="T644" s="16"/>
      <c r="U644" s="16"/>
      <c r="V644" s="16"/>
      <c r="W644" s="16"/>
      <c r="X644" s="16"/>
      <c r="Y644" s="16"/>
      <c r="Z644" s="16"/>
      <c r="AA644" s="16"/>
      <c r="AB644" s="16"/>
      <c r="AC644" s="16"/>
      <c r="AD644" s="16"/>
      <c r="AE644" s="16"/>
      <c r="AF644" s="16" t="str">
        <f>IFERROR(__xludf.DUMMYFUNCTION("""COMPUTED_VALUE"""),"++Smash - Allows you to attack with the tail as if it were a club weapon")</f>
        <v>++Smash - Allows you to attack with the tail as if it were a club weapon</v>
      </c>
      <c r="AG644" s="16" t="str">
        <f>IFERROR(__xludf.DUMMYFUNCTION("""COMPUTED_VALUE"""),"Land of Spira")</f>
        <v>Land of Spira</v>
      </c>
      <c r="AH644" s="16" t="b">
        <f>IFERROR(__xludf.DUMMYFUNCTION("""COMPUTED_VALUE"""),FALSE)</f>
        <v>0</v>
      </c>
    </row>
    <row r="645">
      <c r="A645" s="16" t="str">
        <f>IFERROR(__xludf.DUMMYFUNCTION("""COMPUTED_VALUE"""),"Bashe's Flute")</f>
        <v>Bashe's Flute</v>
      </c>
      <c r="B645" s="16" t="str">
        <f>IFERROR(__xludf.DUMMYFUNCTION("""COMPUTED_VALUE"""),"Hand")</f>
        <v>Hand</v>
      </c>
      <c r="C645" s="16"/>
      <c r="D645" s="16" t="str">
        <f>IFERROR(__xludf.DUMMYFUNCTION("""COMPUTED_VALUE"""),"Instrument")</f>
        <v>Instrument</v>
      </c>
      <c r="E645" s="16">
        <f>IFERROR(__xludf.DUMMYFUNCTION("""COMPUTED_VALUE"""),1000.0)</f>
        <v>1000</v>
      </c>
      <c r="F645" s="108">
        <f>IFERROR(__xludf.DUMMYFUNCTION("""COMPUTED_VALUE"""),4.95E7)</f>
        <v>49500000</v>
      </c>
      <c r="G645" s="16" t="str">
        <f>IFERROR(__xludf.DUMMYFUNCTION("""COMPUTED_VALUE"""),"DMG")</f>
        <v>DMG</v>
      </c>
      <c r="H645" s="16"/>
      <c r="I645" s="16"/>
      <c r="J645" s="16"/>
      <c r="K645" s="16"/>
      <c r="L645" s="16"/>
      <c r="M645" s="16"/>
      <c r="N645" s="16"/>
      <c r="O645" s="16"/>
      <c r="P645" s="16"/>
      <c r="Q645" s="16"/>
      <c r="R645" s="16"/>
      <c r="S645" s="16"/>
      <c r="T645" s="16"/>
      <c r="U645" s="16"/>
      <c r="V645" s="16"/>
      <c r="W645" s="16"/>
      <c r="X645" s="16"/>
      <c r="Y645" s="16"/>
      <c r="Z645" s="16"/>
      <c r="AA645" s="16"/>
      <c r="AB645" s="16"/>
      <c r="AC645" s="16"/>
      <c r="AD645" s="16"/>
      <c r="AE645" s="119">
        <f>IFERROR(__xludf.DUMMYFUNCTION("""COMPUTED_VALUE"""),50000.0)</f>
        <v>50000</v>
      </c>
      <c r="AF645" s="16" t="str">
        <f>IFERROR(__xludf.DUMMYFUNCTION("""COMPUTED_VALUE"""),"++When Equipped with Bashe's Tail Deal 5X damage and cast 2 acoustic powers in an action instead of one for your first turn")</f>
        <v>++When Equipped with Bashe's Tail Deal 5X damage and cast 2 acoustic powers in an action instead of one for your first turn</v>
      </c>
      <c r="AG645" s="16" t="str">
        <f>IFERROR(__xludf.DUMMYFUNCTION("""COMPUTED_VALUE"""),"Land of Spira")</f>
        <v>Land of Spira</v>
      </c>
      <c r="AH645" s="16" t="b">
        <f>IFERROR(__xludf.DUMMYFUNCTION("""COMPUTED_VALUE"""),FALSE)</f>
        <v>0</v>
      </c>
    </row>
    <row r="646">
      <c r="A646" s="16" t="str">
        <f>IFERROR(__xludf.DUMMYFUNCTION("""COMPUTED_VALUE"""),"Grash's Favorite Length Of Iron")</f>
        <v>Grash's Favorite Length Of Iron</v>
      </c>
      <c r="B646" s="16" t="str">
        <f>IFERROR(__xludf.DUMMYFUNCTION("""COMPUTED_VALUE"""),"Hand")</f>
        <v>Hand</v>
      </c>
      <c r="C646" s="16"/>
      <c r="D646" s="16" t="str">
        <f>IFERROR(__xludf.DUMMYFUNCTION("""COMPUTED_VALUE"""),"Club")</f>
        <v>Club</v>
      </c>
      <c r="E646" s="16">
        <f>IFERROR(__xludf.DUMMYFUNCTION("""COMPUTED_VALUE"""),2000.0)</f>
        <v>2000</v>
      </c>
      <c r="F646" s="108">
        <f>IFERROR(__xludf.DUMMYFUNCTION("""COMPUTED_VALUE"""),1.99E8)</f>
        <v>199000000</v>
      </c>
      <c r="G646" s="16" t="str">
        <f>IFERROR(__xludf.DUMMYFUNCTION("""COMPUTED_VALUE"""),"DMG")</f>
        <v>DMG</v>
      </c>
      <c r="H646" s="16">
        <f>IFERROR(__xludf.DUMMYFUNCTION("""COMPUTED_VALUE"""),100000.0)</f>
        <v>100000</v>
      </c>
      <c r="I646" s="16"/>
      <c r="J646" s="16"/>
      <c r="K646" s="16"/>
      <c r="L646" s="16"/>
      <c r="M646" s="16"/>
      <c r="N646" s="16"/>
      <c r="O646" s="16"/>
      <c r="P646" s="16"/>
      <c r="Q646" s="16"/>
      <c r="R646" s="16"/>
      <c r="S646" s="16"/>
      <c r="T646" s="16"/>
      <c r="U646" s="16"/>
      <c r="V646" s="16"/>
      <c r="W646" s="16"/>
      <c r="X646" s="16"/>
      <c r="Y646" s="16"/>
      <c r="Z646" s="16"/>
      <c r="AA646" s="16"/>
      <c r="AB646" s="16"/>
      <c r="AC646" s="16"/>
      <c r="AD646" s="16"/>
      <c r="AE646" s="16"/>
      <c r="AF646" s="16" t="str">
        <f>IFERROR(__xludf.DUMMYFUNCTION("""COMPUTED_VALUE"""),"++When a Samurai Wields this weapon they get access to the ""Grash's Smashing Success"" Natural Power")</f>
        <v>++When a Samurai Wields this weapon they get access to the "Grash's Smashing Success" Natural Power</v>
      </c>
      <c r="AG646" s="16" t="str">
        <f>IFERROR(__xludf.DUMMYFUNCTION("""COMPUTED_VALUE"""),"Land of Spira")</f>
        <v>Land of Spira</v>
      </c>
      <c r="AH646" s="16" t="b">
        <f>IFERROR(__xludf.DUMMYFUNCTION("""COMPUTED_VALUE"""),FALSE)</f>
        <v>0</v>
      </c>
    </row>
    <row r="647">
      <c r="A647" s="16" t="str">
        <f>IFERROR(__xludf.DUMMYFUNCTION("""COMPUTED_VALUE"""),"Wolf Tooth Neclace")</f>
        <v>Wolf Tooth Neclace</v>
      </c>
      <c r="B647" s="16" t="str">
        <f>IFERROR(__xludf.DUMMYFUNCTION("""COMPUTED_VALUE"""),"Neck")</f>
        <v>Neck</v>
      </c>
      <c r="C647" s="16"/>
      <c r="D647" s="16"/>
      <c r="E647" s="16">
        <f>IFERROR(__xludf.DUMMYFUNCTION("""COMPUTED_VALUE"""),1.0)</f>
        <v>1</v>
      </c>
      <c r="F647" s="108">
        <f>IFERROR(__xludf.DUMMYFUNCTION("""COMPUTED_VALUE"""),0.0)</f>
        <v>0</v>
      </c>
      <c r="G647" s="16"/>
      <c r="H647" s="16"/>
      <c r="I647" s="16"/>
      <c r="J647" s="16"/>
      <c r="K647" s="16"/>
      <c r="L647" s="16"/>
      <c r="M647" s="16"/>
      <c r="N647" s="16"/>
      <c r="O647" s="16"/>
      <c r="P647" s="16"/>
      <c r="Q647" s="16"/>
      <c r="R647" s="16"/>
      <c r="S647" s="16"/>
      <c r="T647" s="16"/>
      <c r="U647" s="16"/>
      <c r="V647" s="16"/>
      <c r="W647" s="16"/>
      <c r="X647" s="16"/>
      <c r="Y647" s="16"/>
      <c r="Z647" s="16"/>
      <c r="AA647" s="16"/>
      <c r="AB647" s="16"/>
      <c r="AC647" s="16"/>
      <c r="AD647" s="16"/>
      <c r="AE647" s="16"/>
      <c r="AF647" s="16" t="str">
        <f>IFERROR(__xludf.DUMMYFUNCTION("""COMPUTED_VALUE"""),"++When fighting alongside a Beast Companion you get +5 to all weapon attacks (Wearing multiple does not cause this effect to stack)")</f>
        <v>++When fighting alongside a Beast Companion you get +5 to all weapon attacks (Wearing multiple does not cause this effect to stack)</v>
      </c>
      <c r="AG647" s="16" t="str">
        <f>IFERROR(__xludf.DUMMYFUNCTION("""COMPUTED_VALUE"""),"Land of Spira")</f>
        <v>Land of Spira</v>
      </c>
      <c r="AH647" s="16" t="b">
        <f>IFERROR(__xludf.DUMMYFUNCTION("""COMPUTED_VALUE"""),FALSE)</f>
        <v>0</v>
      </c>
    </row>
    <row r="648">
      <c r="A648" s="16" t="str">
        <f>IFERROR(__xludf.DUMMYFUNCTION("""COMPUTED_VALUE"""),"Dragon Scale Necklace")</f>
        <v>Dragon Scale Necklace</v>
      </c>
      <c r="B648" s="16" t="str">
        <f>IFERROR(__xludf.DUMMYFUNCTION("""COMPUTED_VALUE"""),"Neck")</f>
        <v>Neck</v>
      </c>
      <c r="C648" s="16"/>
      <c r="D648" s="16"/>
      <c r="E648" s="16">
        <f>IFERROR(__xludf.DUMMYFUNCTION("""COMPUTED_VALUE"""),1.0)</f>
        <v>1</v>
      </c>
      <c r="F648" s="108">
        <f>IFERROR(__xludf.DUMMYFUNCTION("""COMPUTED_VALUE"""),0.0)</f>
        <v>0</v>
      </c>
      <c r="G648" s="16"/>
      <c r="H648" s="16"/>
      <c r="I648" s="16"/>
      <c r="J648" s="16"/>
      <c r="K648" s="16"/>
      <c r="L648" s="16"/>
      <c r="M648" s="16"/>
      <c r="N648" s="16"/>
      <c r="O648" s="16"/>
      <c r="P648" s="16"/>
      <c r="Q648" s="16"/>
      <c r="R648" s="16"/>
      <c r="S648" s="16"/>
      <c r="T648" s="16"/>
      <c r="U648" s="16"/>
      <c r="V648" s="16"/>
      <c r="W648" s="16"/>
      <c r="X648" s="16"/>
      <c r="Y648" s="16"/>
      <c r="Z648" s="16"/>
      <c r="AA648" s="16"/>
      <c r="AB648" s="16"/>
      <c r="AC648" s="16"/>
      <c r="AD648" s="16"/>
      <c r="AE648" s="16"/>
      <c r="AF648" s="16" t="str">
        <f>IFERROR(__xludf.DUMMYFUNCTION("""COMPUTED_VALUE"""),"++When fighting alongside a Draconic Companion you get +5 to all weapon attacks (Wearing multiple does not cause this effect to stack)")</f>
        <v>++When fighting alongside a Draconic Companion you get +5 to all weapon attacks (Wearing multiple does not cause this effect to stack)</v>
      </c>
      <c r="AG648" s="16" t="str">
        <f>IFERROR(__xludf.DUMMYFUNCTION("""COMPUTED_VALUE"""),"Land of Spira")</f>
        <v>Land of Spira</v>
      </c>
      <c r="AH648" s="16" t="b">
        <f>IFERROR(__xludf.DUMMYFUNCTION("""COMPUTED_VALUE"""),FALSE)</f>
        <v>0</v>
      </c>
    </row>
    <row r="649">
      <c r="A649" s="16" t="str">
        <f>IFERROR(__xludf.DUMMYFUNCTION("""COMPUTED_VALUE"""),"Heavenly Necklace")</f>
        <v>Heavenly Necklace</v>
      </c>
      <c r="B649" s="16" t="str">
        <f>IFERROR(__xludf.DUMMYFUNCTION("""COMPUTED_VALUE"""),"Neck")</f>
        <v>Neck</v>
      </c>
      <c r="C649" s="16"/>
      <c r="D649" s="16"/>
      <c r="E649" s="16">
        <f>IFERROR(__xludf.DUMMYFUNCTION("""COMPUTED_VALUE"""),1.0)</f>
        <v>1</v>
      </c>
      <c r="F649" s="108">
        <f>IFERROR(__xludf.DUMMYFUNCTION("""COMPUTED_VALUE"""),0.0)</f>
        <v>0</v>
      </c>
      <c r="G649" s="16"/>
      <c r="H649" s="16"/>
      <c r="I649" s="16"/>
      <c r="J649" s="16"/>
      <c r="K649" s="16"/>
      <c r="L649" s="16"/>
      <c r="M649" s="16"/>
      <c r="N649" s="16"/>
      <c r="O649" s="16"/>
      <c r="P649" s="16"/>
      <c r="Q649" s="16"/>
      <c r="R649" s="16"/>
      <c r="S649" s="16"/>
      <c r="T649" s="16"/>
      <c r="U649" s="16"/>
      <c r="V649" s="16"/>
      <c r="W649" s="16"/>
      <c r="X649" s="16"/>
      <c r="Y649" s="16"/>
      <c r="Z649" s="16"/>
      <c r="AA649" s="16"/>
      <c r="AB649" s="16"/>
      <c r="AC649" s="16"/>
      <c r="AD649" s="16"/>
      <c r="AE649" s="16"/>
      <c r="AF649" s="16" t="str">
        <f>IFERROR(__xludf.DUMMYFUNCTION("""COMPUTED_VALUE"""),"++When fighting alongside a Heavenly Companion you get +5 to all weapon attacks (Wearing multiple does not cause this effect to stack)")</f>
        <v>++When fighting alongside a Heavenly Companion you get +5 to all weapon attacks (Wearing multiple does not cause this effect to stack)</v>
      </c>
      <c r="AG649" s="16" t="str">
        <f>IFERROR(__xludf.DUMMYFUNCTION("""COMPUTED_VALUE"""),"Land of Spira")</f>
        <v>Land of Spira</v>
      </c>
      <c r="AH649" s="16" t="b">
        <f>IFERROR(__xludf.DUMMYFUNCTION("""COMPUTED_VALUE"""),FALSE)</f>
        <v>0</v>
      </c>
    </row>
    <row r="650">
      <c r="A650" s="16" t="str">
        <f>IFERROR(__xludf.DUMMYFUNCTION("""COMPUTED_VALUE"""),"Demonic Necklace")</f>
        <v>Demonic Necklace</v>
      </c>
      <c r="B650" s="16" t="str">
        <f>IFERROR(__xludf.DUMMYFUNCTION("""COMPUTED_VALUE"""),"Neck")</f>
        <v>Neck</v>
      </c>
      <c r="C650" s="16"/>
      <c r="D650" s="16"/>
      <c r="E650" s="16">
        <f>IFERROR(__xludf.DUMMYFUNCTION("""COMPUTED_VALUE"""),1.0)</f>
        <v>1</v>
      </c>
      <c r="F650" s="108">
        <f>IFERROR(__xludf.DUMMYFUNCTION("""COMPUTED_VALUE"""),0.0)</f>
        <v>0</v>
      </c>
      <c r="G650" s="16"/>
      <c r="H650" s="16"/>
      <c r="I650" s="16"/>
      <c r="J650" s="16"/>
      <c r="K650" s="16"/>
      <c r="L650" s="16"/>
      <c r="M650" s="16"/>
      <c r="N650" s="16"/>
      <c r="O650" s="16"/>
      <c r="P650" s="16"/>
      <c r="Q650" s="16"/>
      <c r="R650" s="16"/>
      <c r="S650" s="16"/>
      <c r="T650" s="16"/>
      <c r="U650" s="16"/>
      <c r="V650" s="16"/>
      <c r="W650" s="16"/>
      <c r="X650" s="16"/>
      <c r="Y650" s="16"/>
      <c r="Z650" s="16"/>
      <c r="AA650" s="16"/>
      <c r="AB650" s="16"/>
      <c r="AC650" s="16"/>
      <c r="AD650" s="16"/>
      <c r="AE650" s="16"/>
      <c r="AF650" s="16" t="str">
        <f>IFERROR(__xludf.DUMMYFUNCTION("""COMPUTED_VALUE"""),"++When fighting alongside a Demonic Companion you get +5 to all weapon attacks (Wearing multiple does not cause this effect to stack)")</f>
        <v>++When fighting alongside a Demonic Companion you get +5 to all weapon attacks (Wearing multiple does not cause this effect to stack)</v>
      </c>
      <c r="AG650" s="16" t="str">
        <f>IFERROR(__xludf.DUMMYFUNCTION("""COMPUTED_VALUE"""),"Land of Spira")</f>
        <v>Land of Spira</v>
      </c>
      <c r="AH650" s="16" t="b">
        <f>IFERROR(__xludf.DUMMYFUNCTION("""COMPUTED_VALUE"""),FALSE)</f>
        <v>0</v>
      </c>
    </row>
    <row r="651">
      <c r="A651" s="16" t="str">
        <f>IFERROR(__xludf.DUMMYFUNCTION("""COMPUTED_VALUE"""),"The Cloak of Gévaudan")</f>
        <v>The Cloak of Gévaudan</v>
      </c>
      <c r="B651" s="16" t="str">
        <f>IFERROR(__xludf.DUMMYFUNCTION("""COMPUTED_VALUE"""),"Shoulders")</f>
        <v>Shoulders</v>
      </c>
      <c r="C651" s="16"/>
      <c r="D651" s="16"/>
      <c r="E651" s="16">
        <f>IFERROR(__xludf.DUMMYFUNCTION("""COMPUTED_VALUE"""),800.0)</f>
        <v>800</v>
      </c>
      <c r="F651" s="108">
        <f>IFERROR(__xludf.DUMMYFUNCTION("""COMPUTED_VALUE"""),3.16E7)</f>
        <v>31600000</v>
      </c>
      <c r="G651" s="16" t="str">
        <f>IFERROR(__xludf.DUMMYFUNCTION("""COMPUTED_VALUE"""),"DEF")</f>
        <v>DEF</v>
      </c>
      <c r="H651" s="16">
        <f>IFERROR(__xludf.DUMMYFUNCTION("""COMPUTED_VALUE"""),25000.0)</f>
        <v>25000</v>
      </c>
      <c r="I651" s="16">
        <f>IFERROR(__xludf.DUMMYFUNCTION("""COMPUTED_VALUE"""),15000.0)</f>
        <v>15000</v>
      </c>
      <c r="J651" s="16"/>
      <c r="K651" s="16"/>
      <c r="L651" s="16"/>
      <c r="M651" s="16"/>
      <c r="N651" s="16"/>
      <c r="O651" s="16"/>
      <c r="P651" s="16"/>
      <c r="Q651" s="16"/>
      <c r="R651" s="16"/>
      <c r="S651" s="16"/>
      <c r="T651" s="16"/>
      <c r="U651" s="16"/>
      <c r="V651" s="16"/>
      <c r="W651" s="16"/>
      <c r="X651" s="16"/>
      <c r="Y651" s="16"/>
      <c r="Z651" s="16"/>
      <c r="AA651" s="16"/>
      <c r="AB651" s="16"/>
      <c r="AC651" s="16"/>
      <c r="AD651" s="16"/>
      <c r="AE651" s="16"/>
      <c r="AF651" s="16" t="str">
        <f>IFERROR(__xludf.DUMMYFUNCTION("""COMPUTED_VALUE"""),"++The warm coat grants you immunity to freezing.")</f>
        <v>++The warm coat grants you immunity to freezing.</v>
      </c>
      <c r="AG651" s="16" t="str">
        <f>IFERROR(__xludf.DUMMYFUNCTION("""COMPUTED_VALUE"""),"Land of Spira")</f>
        <v>Land of Spira</v>
      </c>
      <c r="AH651" s="16" t="b">
        <f>IFERROR(__xludf.DUMMYFUNCTION("""COMPUTED_VALUE"""),FALSE)</f>
        <v>0</v>
      </c>
    </row>
    <row r="652">
      <c r="A652" s="16" t="str">
        <f>IFERROR(__xludf.DUMMYFUNCTION("""COMPUTED_VALUE"""),"Spirit Glyph")</f>
        <v>Spirit Glyph</v>
      </c>
      <c r="B652" s="16" t="str">
        <f>IFERROR(__xludf.DUMMYFUNCTION("""COMPUTED_VALUE"""),"Ring")</f>
        <v>Ring</v>
      </c>
      <c r="C652" s="16"/>
      <c r="D652" s="16"/>
      <c r="E652" s="16">
        <f>IFERROR(__xludf.DUMMYFUNCTION("""COMPUTED_VALUE"""),1.0)</f>
        <v>1</v>
      </c>
      <c r="F652" s="108">
        <f>IFERROR(__xludf.DUMMYFUNCTION("""COMPUTED_VALUE"""),0.0)</f>
        <v>0</v>
      </c>
      <c r="G652" s="16"/>
      <c r="H652" s="16"/>
      <c r="I652" s="16"/>
      <c r="J652" s="16"/>
      <c r="K652" s="16"/>
      <c r="L652" s="16"/>
      <c r="M652" s="16"/>
      <c r="N652" s="16"/>
      <c r="O652" s="16"/>
      <c r="P652" s="16"/>
      <c r="Q652" s="16"/>
      <c r="R652" s="16"/>
      <c r="S652" s="16"/>
      <c r="T652" s="16"/>
      <c r="U652" s="16"/>
      <c r="V652" s="16"/>
      <c r="W652" s="16"/>
      <c r="X652" s="16"/>
      <c r="Y652" s="16"/>
      <c r="Z652" s="16"/>
      <c r="AA652" s="16"/>
      <c r="AB652" s="16"/>
      <c r="AC652" s="16"/>
      <c r="AD652" s="16"/>
      <c r="AE652" s="16"/>
      <c r="AF652" s="16" t="str">
        <f>IFERROR(__xludf.DUMMYFUNCTION("""COMPUTED_VALUE"""),"++When Fighting alongside a spirit companion you get ++5 to all weapon attacks. ++You get access to the ""Spiritual Meld"" Spell (Wearing multiple does not cause this effect to stack)")</f>
        <v>++When Fighting alongside a spirit companion you get ++5 to all weapon attacks. ++You get access to the "Spiritual Meld" Spell (Wearing multiple does not cause this effect to stack)</v>
      </c>
      <c r="AG652" s="16" t="str">
        <f>IFERROR(__xludf.DUMMYFUNCTION("""COMPUTED_VALUE"""),"Land of Spira")</f>
        <v>Land of Spira</v>
      </c>
      <c r="AH652" s="16" t="b">
        <f>IFERROR(__xludf.DUMMYFUNCTION("""COMPUTED_VALUE"""),FALSE)</f>
        <v>0</v>
      </c>
    </row>
    <row r="653">
      <c r="A653" s="16" t="str">
        <f>IFERROR(__xludf.DUMMYFUNCTION("""COMPUTED_VALUE"""),"Necromantic Sigil")</f>
        <v>Necromantic Sigil</v>
      </c>
      <c r="B653" s="16" t="str">
        <f>IFERROR(__xludf.DUMMYFUNCTION("""COMPUTED_VALUE"""),"Ring")</f>
        <v>Ring</v>
      </c>
      <c r="C653" s="16"/>
      <c r="D653" s="16"/>
      <c r="E653" s="16">
        <f>IFERROR(__xludf.DUMMYFUNCTION("""COMPUTED_VALUE"""),1.0)</f>
        <v>1</v>
      </c>
      <c r="F653" s="108">
        <f>IFERROR(__xludf.DUMMYFUNCTION("""COMPUTED_VALUE"""),0.0)</f>
        <v>0</v>
      </c>
      <c r="G653" s="16"/>
      <c r="H653" s="16"/>
      <c r="I653" s="16"/>
      <c r="J653" s="16"/>
      <c r="K653" s="16"/>
      <c r="L653" s="16"/>
      <c r="M653" s="16"/>
      <c r="N653" s="16"/>
      <c r="O653" s="16"/>
      <c r="P653" s="16"/>
      <c r="Q653" s="16"/>
      <c r="R653" s="16"/>
      <c r="S653" s="16"/>
      <c r="T653" s="16"/>
      <c r="U653" s="16"/>
      <c r="V653" s="16"/>
      <c r="W653" s="16"/>
      <c r="X653" s="16"/>
      <c r="Y653" s="16"/>
      <c r="Z653" s="16"/>
      <c r="AA653" s="16"/>
      <c r="AB653" s="16"/>
      <c r="AC653" s="16"/>
      <c r="AD653" s="16"/>
      <c r="AE653" s="16"/>
      <c r="AF653" s="16" t="str">
        <f>IFERROR(__xludf.DUMMYFUNCTION("""COMPUTED_VALUE"""),"++When Fighting alongside an undead companion you get +5 to all weapon attacks (Wearing multiple does not cause this effect to stack)")</f>
        <v>++When Fighting alongside an undead companion you get +5 to all weapon attacks (Wearing multiple does not cause this effect to stack)</v>
      </c>
      <c r="AG653" s="16" t="str">
        <f>IFERROR(__xludf.DUMMYFUNCTION("""COMPUTED_VALUE"""),"Land of Spira")</f>
        <v>Land of Spira</v>
      </c>
      <c r="AH653" s="16" t="b">
        <f>IFERROR(__xludf.DUMMYFUNCTION("""COMPUTED_VALUE"""),FALSE)</f>
        <v>0</v>
      </c>
    </row>
    <row r="654">
      <c r="A654" s="16" t="str">
        <f>IFERROR(__xludf.DUMMYFUNCTION("""COMPUTED_VALUE"""),"Dragonslayer")</f>
        <v>Dragonslayer</v>
      </c>
      <c r="B654" s="16" t="str">
        <f>IFERROR(__xludf.DUMMYFUNCTION("""COMPUTED_VALUE"""),"Hand")</f>
        <v>Hand</v>
      </c>
      <c r="C654" s="16" t="str">
        <f>IFERROR(__xludf.DUMMYFUNCTION("""COMPUTED_VALUE"""),"It was too big to be called a sword. Massive, thick, heavy, and far too rough. Indeed, it was a heap of raw iron.")</f>
        <v>It was too big to be called a sword. Massive, thick, heavy, and far too rough. Indeed, it was a heap of raw iron.</v>
      </c>
      <c r="D654" s="16" t="str">
        <f>IFERROR(__xludf.DUMMYFUNCTION("""COMPUTED_VALUE"""),"Sword")</f>
        <v>Sword</v>
      </c>
      <c r="E654" s="16">
        <f>IFERROR(__xludf.DUMMYFUNCTION("""COMPUTED_VALUE"""),2000.0)</f>
        <v>2000</v>
      </c>
      <c r="F654" s="108">
        <f>IFERROR(__xludf.DUMMYFUNCTION("""COMPUTED_VALUE"""),1.99E8)</f>
        <v>199000000</v>
      </c>
      <c r="G654" s="16" t="str">
        <f>IFERROR(__xludf.DUMMYFUNCTION("""COMPUTED_VALUE"""),"DMG")</f>
        <v>DMG</v>
      </c>
      <c r="H654" s="16">
        <f>IFERROR(__xludf.DUMMYFUNCTION("""COMPUTED_VALUE"""),100000.0)</f>
        <v>100000</v>
      </c>
      <c r="I654" s="16"/>
      <c r="J654" s="16"/>
      <c r="K654" s="16"/>
      <c r="L654" s="16"/>
      <c r="M654" s="16"/>
      <c r="N654" s="16"/>
      <c r="O654" s="16"/>
      <c r="P654" s="16"/>
      <c r="Q654" s="16"/>
      <c r="R654" s="16"/>
      <c r="S654" s="16"/>
      <c r="T654" s="16"/>
      <c r="U654" s="16"/>
      <c r="V654" s="16"/>
      <c r="W654" s="16"/>
      <c r="X654" s="16"/>
      <c r="Y654" s="16"/>
      <c r="Z654" s="16"/>
      <c r="AA654" s="16"/>
      <c r="AB654" s="16"/>
      <c r="AC654" s="16"/>
      <c r="AD654" s="16"/>
      <c r="AE654" s="16"/>
      <c r="AF654" s="16" t="str">
        <f>IFERROR(__xludf.DUMMYFUNCTION("""COMPUTED_VALUE"""),"++Deals X10 damage when fighting a Dragon or Monstrosity")</f>
        <v>++Deals X10 damage when fighting a Dragon or Monstrosity</v>
      </c>
      <c r="AG654" s="16" t="str">
        <f>IFERROR(__xludf.DUMMYFUNCTION("""COMPUTED_VALUE"""),"Land of Spira")</f>
        <v>Land of Spira</v>
      </c>
      <c r="AH654" s="16" t="b">
        <f>IFERROR(__xludf.DUMMYFUNCTION("""COMPUTED_VALUE"""),FALSE)</f>
        <v>0</v>
      </c>
    </row>
    <row r="655">
      <c r="A655" s="16" t="str">
        <f>IFERROR(__xludf.DUMMYFUNCTION("""COMPUTED_VALUE"""),"Rusted Halberd")</f>
        <v>Rusted Halberd</v>
      </c>
      <c r="B655" s="16" t="str">
        <f>IFERROR(__xludf.DUMMYFUNCTION("""COMPUTED_VALUE"""),"Hand")</f>
        <v>Hand</v>
      </c>
      <c r="C655" s="16"/>
      <c r="D655" s="16" t="str">
        <f>IFERROR(__xludf.DUMMYFUNCTION("""COMPUTED_VALUE"""),"Spear")</f>
        <v>Spear</v>
      </c>
      <c r="E655" s="16">
        <f>IFERROR(__xludf.DUMMYFUNCTION("""COMPUTED_VALUE"""),100.0)</f>
        <v>100</v>
      </c>
      <c r="F655" s="108">
        <f>IFERROR(__xludf.DUMMYFUNCTION("""COMPUTED_VALUE"""),450000.0)</f>
        <v>450000</v>
      </c>
      <c r="G655" s="16" t="str">
        <f>IFERROR(__xludf.DUMMYFUNCTION("""COMPUTED_VALUE"""),"DMG")</f>
        <v>DMG</v>
      </c>
      <c r="H655" s="16">
        <f>IFERROR(__xludf.DUMMYFUNCTION("""COMPUTED_VALUE"""),5000.0)</f>
        <v>5000</v>
      </c>
      <c r="I655" s="16"/>
      <c r="J655" s="16"/>
      <c r="K655" s="16"/>
      <c r="L655" s="16"/>
      <c r="M655" s="16"/>
      <c r="N655" s="16"/>
      <c r="O655" s="16"/>
      <c r="P655" s="16"/>
      <c r="Q655" s="16"/>
      <c r="R655" s="16"/>
      <c r="S655" s="16"/>
      <c r="T655" s="16"/>
      <c r="U655" s="16"/>
      <c r="V655" s="16"/>
      <c r="W655" s="16"/>
      <c r="X655" s="16"/>
      <c r="Y655" s="16"/>
      <c r="Z655" s="16"/>
      <c r="AA655" s="16"/>
      <c r="AB655" s="16"/>
      <c r="AC655" s="16"/>
      <c r="AD655" s="16"/>
      <c r="AE655" s="16"/>
      <c r="AF655" s="16"/>
      <c r="AG655" s="16" t="str">
        <f>IFERROR(__xludf.DUMMYFUNCTION("""COMPUTED_VALUE"""),"Land of Spira")</f>
        <v>Land of Spira</v>
      </c>
      <c r="AH655" s="16" t="b">
        <f>IFERROR(__xludf.DUMMYFUNCTION("""COMPUTED_VALUE"""),FALSE)</f>
        <v>0</v>
      </c>
    </row>
    <row r="656">
      <c r="A656" s="16" t="str">
        <f>IFERROR(__xludf.DUMMYFUNCTION("""COMPUTED_VALUE"""),"Diseased Rapier")</f>
        <v>Diseased Rapier</v>
      </c>
      <c r="B656" s="16" t="str">
        <f>IFERROR(__xludf.DUMMYFUNCTION("""COMPUTED_VALUE"""),"Hand")</f>
        <v>Hand</v>
      </c>
      <c r="C656" s="16"/>
      <c r="D656" s="16" t="str">
        <f>IFERROR(__xludf.DUMMYFUNCTION("""COMPUTED_VALUE"""),"Sword")</f>
        <v>Sword</v>
      </c>
      <c r="E656" s="16">
        <f>IFERROR(__xludf.DUMMYFUNCTION("""COMPUTED_VALUE"""),50.0)</f>
        <v>50</v>
      </c>
      <c r="F656" s="108">
        <f>IFERROR(__xludf.DUMMYFUNCTION("""COMPUTED_VALUE"""),100000.0)</f>
        <v>100000</v>
      </c>
      <c r="G656" s="16" t="str">
        <f>IFERROR(__xludf.DUMMYFUNCTION("""COMPUTED_VALUE"""),"DMG")</f>
        <v>DMG</v>
      </c>
      <c r="H656" s="16">
        <f>IFERROR(__xludf.DUMMYFUNCTION("""COMPUTED_VALUE"""),2500.0)</f>
        <v>2500</v>
      </c>
      <c r="I656" s="16"/>
      <c r="J656" s="16"/>
      <c r="K656" s="16"/>
      <c r="L656" s="16"/>
      <c r="M656" s="16"/>
      <c r="N656" s="16"/>
      <c r="O656" s="16"/>
      <c r="P656" s="16"/>
      <c r="Q656" s="16"/>
      <c r="R656" s="16"/>
      <c r="S656" s="16"/>
      <c r="T656" s="16"/>
      <c r="U656" s="16"/>
      <c r="V656" s="16"/>
      <c r="W656" s="16"/>
      <c r="X656" s="16"/>
      <c r="Y656" s="16"/>
      <c r="Z656" s="16"/>
      <c r="AA656" s="16"/>
      <c r="AB656" s="16"/>
      <c r="AC656" s="16"/>
      <c r="AD656" s="16"/>
      <c r="AE656" s="16"/>
      <c r="AF656" s="16" t="str">
        <f>IFERROR(__xludf.DUMMYFUNCTION("""COMPUTED_VALUE"""),"++15% chance to inflict the target with a random non-pemanent disease")</f>
        <v>++15% chance to inflict the target with a random non-pemanent disease</v>
      </c>
      <c r="AG656" s="16" t="str">
        <f>IFERROR(__xludf.DUMMYFUNCTION("""COMPUTED_VALUE"""),"Land of Spira")</f>
        <v>Land of Spira</v>
      </c>
      <c r="AH656" s="16" t="b">
        <f>IFERROR(__xludf.DUMMYFUNCTION("""COMPUTED_VALUE"""),FALSE)</f>
        <v>0</v>
      </c>
    </row>
    <row r="657">
      <c r="A657" s="16" t="str">
        <f>IFERROR(__xludf.DUMMYFUNCTION("""COMPUTED_VALUE"""),"Symbol of Greed")</f>
        <v>Symbol of Greed</v>
      </c>
      <c r="B657" s="16" t="str">
        <f>IFERROR(__xludf.DUMMYFUNCTION("""COMPUTED_VALUE"""),"Finger")</f>
        <v>Finger</v>
      </c>
      <c r="C657" s="16"/>
      <c r="D657" s="16"/>
      <c r="E657" s="16">
        <f>IFERROR(__xludf.DUMMYFUNCTION("""COMPUTED_VALUE"""),1.0)</f>
        <v>1</v>
      </c>
      <c r="F657" s="108">
        <f>IFERROR(__xludf.DUMMYFUNCTION("""COMPUTED_VALUE"""),0.0)</f>
        <v>0</v>
      </c>
      <c r="G657" s="16"/>
      <c r="H657" s="16"/>
      <c r="I657" s="16"/>
      <c r="J657" s="16"/>
      <c r="K657" s="16"/>
      <c r="L657" s="16"/>
      <c r="M657" s="16"/>
      <c r="N657" s="16"/>
      <c r="O657" s="16"/>
      <c r="P657" s="16"/>
      <c r="Q657" s="16"/>
      <c r="R657" s="16"/>
      <c r="S657" s="16"/>
      <c r="T657" s="16"/>
      <c r="U657" s="16"/>
      <c r="V657" s="16"/>
      <c r="W657" s="16"/>
      <c r="X657" s="16"/>
      <c r="Y657" s="16"/>
      <c r="Z657" s="16"/>
      <c r="AA657" s="16"/>
      <c r="AB657" s="16"/>
      <c r="AC657" s="16"/>
      <c r="AD657" s="16"/>
      <c r="AE657" s="16"/>
      <c r="AF657" s="16" t="str">
        <f>IFERROR(__xludf.DUMMYFUNCTION("""COMPUTED_VALUE"""),"++Great Deal - When determining the difficulty to haggle with a shopkeeper, the shopkeeper rolls the difficulty twice and takes the lower number +-(merchant class only)")</f>
        <v>++Great Deal - When determining the difficulty to haggle with a shopkeeper, the shopkeeper rolls the difficulty twice and takes the lower number +-(merchant class only)</v>
      </c>
      <c r="AG657" s="16" t="str">
        <f>IFERROR(__xludf.DUMMYFUNCTION("""COMPUTED_VALUE"""),"Land of Spira")</f>
        <v>Land of Spira</v>
      </c>
      <c r="AH657" s="16" t="b">
        <f>IFERROR(__xludf.DUMMYFUNCTION("""COMPUTED_VALUE"""),FALSE)</f>
        <v>0</v>
      </c>
    </row>
    <row r="658">
      <c r="A658" s="16" t="str">
        <f>IFERROR(__xludf.DUMMYFUNCTION("""COMPUTED_VALUE"""),"Enchanted Quiver")</f>
        <v>Enchanted Quiver</v>
      </c>
      <c r="B658" s="16" t="str">
        <f>IFERROR(__xludf.DUMMYFUNCTION("""COMPUTED_VALUE"""),"Shoulders")</f>
        <v>Shoulders</v>
      </c>
      <c r="C658" s="16"/>
      <c r="D658" s="16"/>
      <c r="E658" s="16">
        <f>IFERROR(__xludf.DUMMYFUNCTION("""COMPUTED_VALUE"""),1.0)</f>
        <v>1</v>
      </c>
      <c r="F658" s="108">
        <f>IFERROR(__xludf.DUMMYFUNCTION("""COMPUTED_VALUE"""),0.0)</f>
        <v>0</v>
      </c>
      <c r="G658" s="16"/>
      <c r="H658" s="16"/>
      <c r="I658" s="16"/>
      <c r="J658" s="16"/>
      <c r="K658" s="16"/>
      <c r="L658" s="16"/>
      <c r="M658" s="16"/>
      <c r="N658" s="16"/>
      <c r="O658" s="16"/>
      <c r="P658" s="16"/>
      <c r="Q658" s="16"/>
      <c r="R658" s="16"/>
      <c r="S658" s="16"/>
      <c r="T658" s="16"/>
      <c r="U658" s="16"/>
      <c r="V658" s="16"/>
      <c r="W658" s="16"/>
      <c r="X658" s="16"/>
      <c r="Y658" s="16"/>
      <c r="Z658" s="16"/>
      <c r="AA658" s="16"/>
      <c r="AB658" s="16"/>
      <c r="AC658" s="16"/>
      <c r="AD658" s="16"/>
      <c r="AE658" s="16"/>
      <c r="AF658" s="16" t="str">
        <f>IFERROR(__xludf.DUMMYFUNCTION("""COMPUTED_VALUE"""),"++Magic Arrow - ++5 to all attack rolls with a bow +-(Archer Class Only)")</f>
        <v>++Magic Arrow - ++5 to all attack rolls with a bow +-(Archer Class Only)</v>
      </c>
      <c r="AG658" s="16" t="str">
        <f>IFERROR(__xludf.DUMMYFUNCTION("""COMPUTED_VALUE"""),"Land of Spira")</f>
        <v>Land of Spira</v>
      </c>
      <c r="AH658" s="16" t="b">
        <f>IFERROR(__xludf.DUMMYFUNCTION("""COMPUTED_VALUE"""),FALSE)</f>
        <v>0</v>
      </c>
    </row>
    <row r="659">
      <c r="A659" s="16" t="str">
        <f>IFERROR(__xludf.DUMMYFUNCTION("""COMPUTED_VALUE"""),"Ring of the Siren")</f>
        <v>Ring of the Siren</v>
      </c>
      <c r="B659" s="16" t="str">
        <f>IFERROR(__xludf.DUMMYFUNCTION("""COMPUTED_VALUE"""),"Finger")</f>
        <v>Finger</v>
      </c>
      <c r="C659" s="16"/>
      <c r="D659" s="16"/>
      <c r="E659" s="16">
        <f>IFERROR(__xludf.DUMMYFUNCTION("""COMPUTED_VALUE"""),1.0)</f>
        <v>1</v>
      </c>
      <c r="F659" s="108">
        <f>IFERROR(__xludf.DUMMYFUNCTION("""COMPUTED_VALUE"""),0.0)</f>
        <v>0</v>
      </c>
      <c r="G659" s="16"/>
      <c r="H659" s="16"/>
      <c r="I659" s="16"/>
      <c r="J659" s="16"/>
      <c r="K659" s="16"/>
      <c r="L659" s="16"/>
      <c r="M659" s="16"/>
      <c r="N659" s="16"/>
      <c r="O659" s="16"/>
      <c r="P659" s="16"/>
      <c r="Q659" s="16"/>
      <c r="R659" s="16"/>
      <c r="S659" s="16"/>
      <c r="T659" s="16"/>
      <c r="U659" s="16"/>
      <c r="V659" s="16"/>
      <c r="W659" s="16"/>
      <c r="X659" s="16"/>
      <c r="Y659" s="16"/>
      <c r="Z659" s="16"/>
      <c r="AA659" s="16"/>
      <c r="AB659" s="16"/>
      <c r="AC659" s="16"/>
      <c r="AD659" s="16"/>
      <c r="AE659" s="16"/>
      <c r="AF659" s="16" t="str">
        <f>IFERROR(__xludf.DUMMYFUNCTION("""COMPUTED_VALUE"""),"++X2 acoustic damage ++Song of the Siren - At the start of battle you may roll a fail or Succeed roll to enchant an enemy, causing them to join your side, (for the sake of immunities this counts as possession) +-(Bard Class Only)")</f>
        <v>++X2 acoustic damage ++Song of the Siren - At the start of battle you may roll a fail or Succeed roll to enchant an enemy, causing them to join your side, (for the sake of immunities this counts as possession) +-(Bard Class Only)</v>
      </c>
      <c r="AG659" s="16" t="str">
        <f>IFERROR(__xludf.DUMMYFUNCTION("""COMPUTED_VALUE"""),"Land of Spira")</f>
        <v>Land of Spira</v>
      </c>
      <c r="AH659" s="16" t="b">
        <f>IFERROR(__xludf.DUMMYFUNCTION("""COMPUTED_VALUE"""),FALSE)</f>
        <v>0</v>
      </c>
    </row>
    <row r="660">
      <c r="A660" s="16" t="str">
        <f>IFERROR(__xludf.DUMMYFUNCTION("""COMPUTED_VALUE"""),"Amulet of The Berserker")</f>
        <v>Amulet of The Berserker</v>
      </c>
      <c r="B660" s="16" t="str">
        <f>IFERROR(__xludf.DUMMYFUNCTION("""COMPUTED_VALUE"""),"Neck")</f>
        <v>Neck</v>
      </c>
      <c r="C660" s="16"/>
      <c r="D660" s="16"/>
      <c r="E660" s="16">
        <f>IFERROR(__xludf.DUMMYFUNCTION("""COMPUTED_VALUE"""),1.0)</f>
        <v>1</v>
      </c>
      <c r="F660" s="108">
        <f>IFERROR(__xludf.DUMMYFUNCTION("""COMPUTED_VALUE"""),0.0)</f>
        <v>0</v>
      </c>
      <c r="G660" s="16"/>
      <c r="H660" s="16"/>
      <c r="I660" s="16"/>
      <c r="J660" s="16"/>
      <c r="K660" s="16"/>
      <c r="L660" s="16"/>
      <c r="M660" s="16"/>
      <c r="N660" s="16"/>
      <c r="O660" s="16"/>
      <c r="P660" s="16"/>
      <c r="Q660" s="16"/>
      <c r="R660" s="16"/>
      <c r="S660" s="16"/>
      <c r="T660" s="16"/>
      <c r="U660" s="16"/>
      <c r="V660" s="16"/>
      <c r="W660" s="16"/>
      <c r="X660" s="16"/>
      <c r="Y660" s="16"/>
      <c r="Z660" s="16"/>
      <c r="AA660" s="16"/>
      <c r="AB660" s="16"/>
      <c r="AC660" s="16"/>
      <c r="AD660" s="16"/>
      <c r="AE660" s="16"/>
      <c r="AF660" s="16" t="str">
        <f>IFERROR(__xludf.DUMMYFUNCTION("""COMPUTED_VALUE"""),"++Berserk - When attacking or being attacked gain 1 stack of Insanity +-(Brawler Class Only)")</f>
        <v>++Berserk - When attacking or being attacked gain 1 stack of Insanity +-(Brawler Class Only)</v>
      </c>
      <c r="AG660" s="16" t="str">
        <f>IFERROR(__xludf.DUMMYFUNCTION("""COMPUTED_VALUE"""),"Land of Spira")</f>
        <v>Land of Spira</v>
      </c>
      <c r="AH660" s="16" t="b">
        <f>IFERROR(__xludf.DUMMYFUNCTION("""COMPUTED_VALUE"""),FALSE)</f>
        <v>0</v>
      </c>
    </row>
    <row r="661">
      <c r="A661" s="16" t="str">
        <f>IFERROR(__xludf.DUMMYFUNCTION("""COMPUTED_VALUE"""),"Mask of the Cultist")</f>
        <v>Mask of the Cultist</v>
      </c>
      <c r="B661" s="16" t="str">
        <f>IFERROR(__xludf.DUMMYFUNCTION("""COMPUTED_VALUE"""),"Head")</f>
        <v>Head</v>
      </c>
      <c r="C661" s="16"/>
      <c r="D661" s="16"/>
      <c r="E661" s="16">
        <f>IFERROR(__xludf.DUMMYFUNCTION("""COMPUTED_VALUE"""),1.0)</f>
        <v>1</v>
      </c>
      <c r="F661" s="108">
        <f>IFERROR(__xludf.DUMMYFUNCTION("""COMPUTED_VALUE"""),0.0)</f>
        <v>0</v>
      </c>
      <c r="G661" s="16"/>
      <c r="H661" s="16"/>
      <c r="I661" s="16"/>
      <c r="J661" s="16"/>
      <c r="K661" s="16"/>
      <c r="L661" s="16"/>
      <c r="M661" s="16"/>
      <c r="N661" s="16"/>
      <c r="O661" s="16"/>
      <c r="P661" s="16"/>
      <c r="Q661" s="16"/>
      <c r="R661" s="16"/>
      <c r="S661" s="16"/>
      <c r="T661" s="16"/>
      <c r="U661" s="16"/>
      <c r="V661" s="16"/>
      <c r="W661" s="16"/>
      <c r="X661" s="16"/>
      <c r="Y661" s="16"/>
      <c r="Z661" s="16"/>
      <c r="AA661" s="16"/>
      <c r="AB661" s="16"/>
      <c r="AC661" s="16"/>
      <c r="AD661" s="16"/>
      <c r="AE661" s="16"/>
      <c r="AF661" s="16" t="str">
        <f>IFERROR(__xludf.DUMMYFUNCTION("""COMPUTED_VALUE"""),"++One of Us - when fighting alongside another party member with an evil alignment you gain +5 to your attack rolls. +-(Cultist Class Only)")</f>
        <v>++One of Us - when fighting alongside another party member with an evil alignment you gain +5 to your attack rolls. +-(Cultist Class Only)</v>
      </c>
      <c r="AG661" s="16" t="str">
        <f>IFERROR(__xludf.DUMMYFUNCTION("""COMPUTED_VALUE"""),"Land of Spira")</f>
        <v>Land of Spira</v>
      </c>
      <c r="AH661" s="16" t="b">
        <f>IFERROR(__xludf.DUMMYFUNCTION("""COMPUTED_VALUE"""),FALSE)</f>
        <v>0</v>
      </c>
    </row>
    <row r="662">
      <c r="A662" s="16" t="str">
        <f>IFERROR(__xludf.DUMMYFUNCTION("""COMPUTED_VALUE"""),"""Natural"" Cologne")</f>
        <v>"Natural" Cologne</v>
      </c>
      <c r="B662" s="16" t="str">
        <f>IFERROR(__xludf.DUMMYFUNCTION("""COMPUTED_VALUE"""),"Neck")</f>
        <v>Neck</v>
      </c>
      <c r="C662" s="16"/>
      <c r="D662" s="16"/>
      <c r="E662" s="16">
        <f>IFERROR(__xludf.DUMMYFUNCTION("""COMPUTED_VALUE"""),1.0)</f>
        <v>1</v>
      </c>
      <c r="F662" s="108">
        <f>IFERROR(__xludf.DUMMYFUNCTION("""COMPUTED_VALUE"""),0.0)</f>
        <v>0</v>
      </c>
      <c r="G662" s="16"/>
      <c r="H662" s="16"/>
      <c r="I662" s="16"/>
      <c r="J662" s="16"/>
      <c r="K662" s="16"/>
      <c r="L662" s="16"/>
      <c r="M662" s="16"/>
      <c r="N662" s="16"/>
      <c r="O662" s="16"/>
      <c r="P662" s="16"/>
      <c r="Q662" s="16"/>
      <c r="R662" s="16"/>
      <c r="S662" s="16"/>
      <c r="T662" s="16"/>
      <c r="U662" s="16"/>
      <c r="V662" s="16"/>
      <c r="W662" s="16"/>
      <c r="X662" s="16"/>
      <c r="Y662" s="16"/>
      <c r="Z662" s="16"/>
      <c r="AA662" s="16"/>
      <c r="AB662" s="16"/>
      <c r="AC662" s="16"/>
      <c r="AD662" s="16"/>
      <c r="AE662" s="16"/>
      <c r="AF662" s="16" t="str">
        <f>IFERROR(__xludf.DUMMYFUNCTION("""COMPUTED_VALUE"""),"++Animal Friend - When trying to tame a creature you only have to succeed on a charisma roll twice instead of thrice +-(Druid Class Only)")</f>
        <v>++Animal Friend - When trying to tame a creature you only have to succeed on a charisma roll twice instead of thrice +-(Druid Class Only)</v>
      </c>
      <c r="AG662" s="16" t="str">
        <f>IFERROR(__xludf.DUMMYFUNCTION("""COMPUTED_VALUE"""),"Land of Spira")</f>
        <v>Land of Spira</v>
      </c>
      <c r="AH662" s="16" t="b">
        <f>IFERROR(__xludf.DUMMYFUNCTION("""COMPUTED_VALUE"""),FALSE)</f>
        <v>0</v>
      </c>
    </row>
    <row r="663">
      <c r="A663" s="16" t="str">
        <f>IFERROR(__xludf.DUMMYFUNCTION("""COMPUTED_VALUE"""),"Bonded Ring")</f>
        <v>Bonded Ring</v>
      </c>
      <c r="B663" s="16" t="str">
        <f>IFERROR(__xludf.DUMMYFUNCTION("""COMPUTED_VALUE"""),"Finger")</f>
        <v>Finger</v>
      </c>
      <c r="C663" s="16"/>
      <c r="D663" s="16"/>
      <c r="E663" s="16">
        <f>IFERROR(__xludf.DUMMYFUNCTION("""COMPUTED_VALUE"""),1.0)</f>
        <v>1</v>
      </c>
      <c r="F663" s="108">
        <f>IFERROR(__xludf.DUMMYFUNCTION("""COMPUTED_VALUE"""),0.0)</f>
        <v>0</v>
      </c>
      <c r="G663" s="16"/>
      <c r="H663" s="16"/>
      <c r="I663" s="16"/>
      <c r="J663" s="16"/>
      <c r="K663" s="16"/>
      <c r="L663" s="16"/>
      <c r="M663" s="16"/>
      <c r="N663" s="16"/>
      <c r="O663" s="16"/>
      <c r="P663" s="16"/>
      <c r="Q663" s="16"/>
      <c r="R663" s="16"/>
      <c r="S663" s="16"/>
      <c r="T663" s="16"/>
      <c r="U663" s="16"/>
      <c r="V663" s="16"/>
      <c r="W663" s="16"/>
      <c r="X663" s="16"/>
      <c r="Y663" s="16"/>
      <c r="Z663" s="16"/>
      <c r="AA663" s="16"/>
      <c r="AB663" s="16"/>
      <c r="AC663" s="16"/>
      <c r="AD663" s="16"/>
      <c r="AE663" s="16"/>
      <c r="AF663" s="16" t="str">
        <f>IFERROR(__xludf.DUMMYFUNCTION("""COMPUTED_VALUE"""),"++A Bond Stronger Than Iron - When with a hatched companion you gain a 10% chance to be unnaffected by an attack +-one use per battle +-(Cavalier Class Only)")</f>
        <v>++A Bond Stronger Than Iron - When with a hatched companion you gain a 10% chance to be unnaffected by an attack +-one use per battle +-(Cavalier Class Only)</v>
      </c>
      <c r="AG663" s="16" t="str">
        <f>IFERROR(__xludf.DUMMYFUNCTION("""COMPUTED_VALUE"""),"Land of Spira")</f>
        <v>Land of Spira</v>
      </c>
      <c r="AH663" s="16" t="b">
        <f>IFERROR(__xludf.DUMMYFUNCTION("""COMPUTED_VALUE"""),FALSE)</f>
        <v>0</v>
      </c>
    </row>
    <row r="664">
      <c r="A664" s="16" t="str">
        <f>IFERROR(__xludf.DUMMYFUNCTION("""COMPUTED_VALUE"""),"Deadeye Brooch")</f>
        <v>Deadeye Brooch</v>
      </c>
      <c r="B664" s="16" t="str">
        <f>IFERROR(__xludf.DUMMYFUNCTION("""COMPUTED_VALUE"""),"Neck")</f>
        <v>Neck</v>
      </c>
      <c r="C664" s="16"/>
      <c r="D664" s="16"/>
      <c r="E664" s="16">
        <f>IFERROR(__xludf.DUMMYFUNCTION("""COMPUTED_VALUE"""),1.0)</f>
        <v>1</v>
      </c>
      <c r="F664" s="108">
        <f>IFERROR(__xludf.DUMMYFUNCTION("""COMPUTED_VALUE"""),0.0)</f>
        <v>0</v>
      </c>
      <c r="G664" s="16"/>
      <c r="H664" s="16"/>
      <c r="I664" s="16"/>
      <c r="J664" s="16"/>
      <c r="K664" s="16"/>
      <c r="L664" s="16"/>
      <c r="M664" s="16"/>
      <c r="N664" s="16"/>
      <c r="O664" s="16"/>
      <c r="P664" s="16"/>
      <c r="Q664" s="16"/>
      <c r="R664" s="16"/>
      <c r="S664" s="16"/>
      <c r="T664" s="16"/>
      <c r="U664" s="16"/>
      <c r="V664" s="16"/>
      <c r="W664" s="16"/>
      <c r="X664" s="16"/>
      <c r="Y664" s="16"/>
      <c r="Z664" s="16"/>
      <c r="AA664" s="16"/>
      <c r="AB664" s="16"/>
      <c r="AC664" s="16"/>
      <c r="AD664" s="16"/>
      <c r="AE664" s="16"/>
      <c r="AF664" s="16" t="str">
        <f>IFERROR(__xludf.DUMMYFUNCTION("""COMPUTED_VALUE"""),"++One Shot, One Kill - If you kill an enemy with one shot using a firearm you can attack again with the firearm +-(Gunslinger Class Only)")</f>
        <v>++One Shot, One Kill - If you kill an enemy with one shot using a firearm you can attack again with the firearm +-(Gunslinger Class Only)</v>
      </c>
      <c r="AG664" s="16" t="str">
        <f>IFERROR(__xludf.DUMMYFUNCTION("""COMPUTED_VALUE"""),"Land of Spira")</f>
        <v>Land of Spira</v>
      </c>
      <c r="AH664" s="16" t="b">
        <f>IFERROR(__xludf.DUMMYFUNCTION("""COMPUTED_VALUE"""),FALSE)</f>
        <v>0</v>
      </c>
    </row>
    <row r="665">
      <c r="A665" s="16" t="str">
        <f>IFERROR(__xludf.DUMMYFUNCTION("""COMPUTED_VALUE"""),"Tool Kit")</f>
        <v>Tool Kit</v>
      </c>
      <c r="B665" s="16" t="str">
        <f>IFERROR(__xludf.DUMMYFUNCTION("""COMPUTED_VALUE"""),"Ring")</f>
        <v>Ring</v>
      </c>
      <c r="C665" s="16"/>
      <c r="D665" s="16"/>
      <c r="E665" s="16">
        <f>IFERROR(__xludf.DUMMYFUNCTION("""COMPUTED_VALUE"""),1.0)</f>
        <v>1</v>
      </c>
      <c r="F665" s="108">
        <f>IFERROR(__xludf.DUMMYFUNCTION("""COMPUTED_VALUE"""),0.0)</f>
        <v>0</v>
      </c>
      <c r="G665" s="16"/>
      <c r="H665" s="16"/>
      <c r="I665" s="16"/>
      <c r="J665" s="16"/>
      <c r="K665" s="16"/>
      <c r="L665" s="16"/>
      <c r="M665" s="16"/>
      <c r="N665" s="16"/>
      <c r="O665" s="16"/>
      <c r="P665" s="16"/>
      <c r="Q665" s="16"/>
      <c r="R665" s="16"/>
      <c r="S665" s="16"/>
      <c r="T665" s="16"/>
      <c r="U665" s="16"/>
      <c r="V665" s="16"/>
      <c r="W665" s="16"/>
      <c r="X665" s="16"/>
      <c r="Y665" s="16"/>
      <c r="Z665" s="16"/>
      <c r="AA665" s="16"/>
      <c r="AB665" s="16"/>
      <c r="AC665" s="16"/>
      <c r="AD665" s="16"/>
      <c r="AE665" s="16"/>
      <c r="AF665" s="16" t="str">
        <f>IFERROR(__xludf.DUMMYFUNCTION("""COMPUTED_VALUE"""),"++The Right Tool For The Job - once per dungeon you are guaranteed to disable a trap +-(Hunter Class Only)")</f>
        <v>++The Right Tool For The Job - once per dungeon you are guaranteed to disable a trap +-(Hunter Class Only)</v>
      </c>
      <c r="AG665" s="16" t="str">
        <f>IFERROR(__xludf.DUMMYFUNCTION("""COMPUTED_VALUE"""),"Land of Spira")</f>
        <v>Land of Spira</v>
      </c>
      <c r="AH665" s="16" t="b">
        <f>IFERROR(__xludf.DUMMYFUNCTION("""COMPUTED_VALUE"""),FALSE)</f>
        <v>0</v>
      </c>
    </row>
    <row r="666">
      <c r="A666" s="16" t="str">
        <f>IFERROR(__xludf.DUMMYFUNCTION("""COMPUTED_VALUE"""),"Basic Bitch Award")</f>
        <v>Basic Bitch Award</v>
      </c>
      <c r="B666" s="16" t="str">
        <f>IFERROR(__xludf.DUMMYFUNCTION("""COMPUTED_VALUE"""),"Ring")</f>
        <v>Ring</v>
      </c>
      <c r="C666" s="16"/>
      <c r="D666" s="16"/>
      <c r="E666" s="16">
        <f>IFERROR(__xludf.DUMMYFUNCTION("""COMPUTED_VALUE"""),1.0)</f>
        <v>1</v>
      </c>
      <c r="F666" s="108">
        <f>IFERROR(__xludf.DUMMYFUNCTION("""COMPUTED_VALUE"""),0.0)</f>
        <v>0</v>
      </c>
      <c r="G666" s="16"/>
      <c r="H666" s="16"/>
      <c r="I666" s="16"/>
      <c r="J666" s="16"/>
      <c r="K666" s="16"/>
      <c r="L666" s="16"/>
      <c r="M666" s="16"/>
      <c r="N666" s="16"/>
      <c r="O666" s="16"/>
      <c r="P666" s="16"/>
      <c r="Q666" s="16"/>
      <c r="R666" s="16"/>
      <c r="S666" s="16"/>
      <c r="T666" s="16"/>
      <c r="U666" s="16"/>
      <c r="V666" s="16"/>
      <c r="W666" s="16"/>
      <c r="X666" s="16"/>
      <c r="Y666" s="16"/>
      <c r="Z666" s="16"/>
      <c r="AA666" s="16"/>
      <c r="AB666" s="16"/>
      <c r="AC666" s="16"/>
      <c r="AD666" s="16"/>
      <c r="AE666" s="16"/>
      <c r="AF666" s="16" t="str">
        <f>IFERROR(__xludf.DUMMYFUNCTION("""COMPUTED_VALUE"""),"++Joe Schmoe - +5 Charisma +-(Knight Class Only)")</f>
        <v>++Joe Schmoe - +5 Charisma +-(Knight Class Only)</v>
      </c>
      <c r="AG666" s="16" t="str">
        <f>IFERROR(__xludf.DUMMYFUNCTION("""COMPUTED_VALUE"""),"Land of Spira")</f>
        <v>Land of Spira</v>
      </c>
      <c r="AH666" s="16" t="b">
        <f>IFERROR(__xludf.DUMMYFUNCTION("""COMPUTED_VALUE"""),FALSE)</f>
        <v>0</v>
      </c>
    </row>
    <row r="667">
      <c r="A667" s="16" t="str">
        <f>IFERROR(__xludf.DUMMYFUNCTION("""COMPUTED_VALUE"""),"Ring of The Frail Scholar")</f>
        <v>Ring of The Frail Scholar</v>
      </c>
      <c r="B667" s="16" t="str">
        <f>IFERROR(__xludf.DUMMYFUNCTION("""COMPUTED_VALUE"""),"Ring")</f>
        <v>Ring</v>
      </c>
      <c r="C667" s="16"/>
      <c r="D667" s="16"/>
      <c r="E667" s="16">
        <f>IFERROR(__xludf.DUMMYFUNCTION("""COMPUTED_VALUE"""),1.0)</f>
        <v>1</v>
      </c>
      <c r="F667" s="108">
        <f>IFERROR(__xludf.DUMMYFUNCTION("""COMPUTED_VALUE"""),0.0)</f>
        <v>0</v>
      </c>
      <c r="G667" s="16"/>
      <c r="H667" s="16"/>
      <c r="I667" s="16"/>
      <c r="J667" s="16"/>
      <c r="K667" s="16"/>
      <c r="L667" s="16"/>
      <c r="M667" s="16"/>
      <c r="N667" s="16"/>
      <c r="O667" s="16"/>
      <c r="P667" s="16"/>
      <c r="Q667" s="16"/>
      <c r="R667" s="16"/>
      <c r="S667" s="16"/>
      <c r="T667" s="16"/>
      <c r="U667" s="16"/>
      <c r="V667" s="16"/>
      <c r="W667" s="16"/>
      <c r="X667" s="16"/>
      <c r="Y667" s="16"/>
      <c r="Z667" s="16"/>
      <c r="AA667" s="16"/>
      <c r="AB667" s="16"/>
      <c r="AC667" s="16"/>
      <c r="AD667" s="16"/>
      <c r="AE667" s="16"/>
      <c r="AF667" s="16" t="str">
        <f>IFERROR(__xludf.DUMMYFUNCTION("""COMPUTED_VALUE"""),"++Frail Scholar - Lowers HP by half but doubles SP +-(Mage, Wizard, and Sorcerer Class Only)")</f>
        <v>++Frail Scholar - Lowers HP by half but doubles SP +-(Mage, Wizard, and Sorcerer Class Only)</v>
      </c>
      <c r="AG667" s="16" t="str">
        <f>IFERROR(__xludf.DUMMYFUNCTION("""COMPUTED_VALUE"""),"Land of Spira")</f>
        <v>Land of Spira</v>
      </c>
      <c r="AH667" s="16" t="b">
        <f>IFERROR(__xludf.DUMMYFUNCTION("""COMPUTED_VALUE"""),FALSE)</f>
        <v>0</v>
      </c>
    </row>
    <row r="668">
      <c r="A668" s="16" t="str">
        <f>IFERROR(__xludf.DUMMYFUNCTION("""COMPUTED_VALUE"""),"Ring of Sticky FIngers")</f>
        <v>Ring of Sticky FIngers</v>
      </c>
      <c r="B668" s="16" t="str">
        <f>IFERROR(__xludf.DUMMYFUNCTION("""COMPUTED_VALUE"""),"Ring")</f>
        <v>Ring</v>
      </c>
      <c r="C668" s="16"/>
      <c r="D668" s="16"/>
      <c r="E668" s="16">
        <f>IFERROR(__xludf.DUMMYFUNCTION("""COMPUTED_VALUE"""),1.0)</f>
        <v>1</v>
      </c>
      <c r="F668" s="108">
        <f>IFERROR(__xludf.DUMMYFUNCTION("""COMPUTED_VALUE"""),0.0)</f>
        <v>0</v>
      </c>
      <c r="G668" s="16"/>
      <c r="H668" s="16"/>
      <c r="I668" s="16"/>
      <c r="J668" s="16"/>
      <c r="K668" s="16"/>
      <c r="L668" s="16"/>
      <c r="M668" s="16"/>
      <c r="N668" s="16"/>
      <c r="O668" s="16"/>
      <c r="P668" s="16"/>
      <c r="Q668" s="16"/>
      <c r="R668" s="16"/>
      <c r="S668" s="16"/>
      <c r="T668" s="16"/>
      <c r="U668" s="16"/>
      <c r="V668" s="16"/>
      <c r="W668" s="16"/>
      <c r="X668" s="16"/>
      <c r="Y668" s="16"/>
      <c r="Z668" s="16"/>
      <c r="AA668" s="16"/>
      <c r="AB668" s="16"/>
      <c r="AC668" s="16"/>
      <c r="AD668" s="16"/>
      <c r="AE668" s="16"/>
      <c r="AF668" s="16" t="str">
        <f>IFERROR(__xludf.DUMMYFUNCTION("""COMPUTED_VALUE"""),"++Sticky FIngers - Allows you to use confiscate, take, and pickpocket skills twice +-(Marauder Class Only)")</f>
        <v>++Sticky FIngers - Allows you to use confiscate, take, and pickpocket skills twice +-(Marauder Class Only)</v>
      </c>
      <c r="AG668" s="16" t="str">
        <f>IFERROR(__xludf.DUMMYFUNCTION("""COMPUTED_VALUE"""),"Land of Spira")</f>
        <v>Land of Spira</v>
      </c>
      <c r="AH668" s="16" t="b">
        <f>IFERROR(__xludf.DUMMYFUNCTION("""COMPUTED_VALUE"""),FALSE)</f>
        <v>0</v>
      </c>
    </row>
    <row r="669">
      <c r="A669" s="16" t="str">
        <f>IFERROR(__xludf.DUMMYFUNCTION("""COMPUTED_VALUE"""),"Spirit Furnace")</f>
        <v>Spirit Furnace</v>
      </c>
      <c r="B669" s="16" t="str">
        <f>IFERROR(__xludf.DUMMYFUNCTION("""COMPUTED_VALUE"""),"Neck")</f>
        <v>Neck</v>
      </c>
      <c r="C669" s="16"/>
      <c r="D669" s="16"/>
      <c r="E669" s="16">
        <f>IFERROR(__xludf.DUMMYFUNCTION("""COMPUTED_VALUE"""),1.0)</f>
        <v>1</v>
      </c>
      <c r="F669" s="108">
        <f>IFERROR(__xludf.DUMMYFUNCTION("""COMPUTED_VALUE"""),0.0)</f>
        <v>0</v>
      </c>
      <c r="G669" s="16"/>
      <c r="H669" s="16"/>
      <c r="I669" s="16"/>
      <c r="J669" s="16"/>
      <c r="K669" s="16"/>
      <c r="L669" s="16"/>
      <c r="M669" s="16"/>
      <c r="N669" s="16"/>
      <c r="O669" s="16"/>
      <c r="P669" s="16"/>
      <c r="Q669" s="16"/>
      <c r="R669" s="16"/>
      <c r="S669" s="16"/>
      <c r="T669" s="16"/>
      <c r="U669" s="16"/>
      <c r="V669" s="16"/>
      <c r="W669" s="16"/>
      <c r="X669" s="16"/>
      <c r="Y669" s="16"/>
      <c r="Z669" s="16"/>
      <c r="AA669" s="16"/>
      <c r="AB669" s="16"/>
      <c r="AC669" s="16"/>
      <c r="AD669" s="16"/>
      <c r="AE669" s="16"/>
      <c r="AF669" s="16" t="str">
        <f>IFERROR(__xludf.DUMMYFUNCTION("""COMPUTED_VALUE"""),"++Cultivation - If you have not yet attacked during the current battle you deal X4 additional damage during your next attack.. +-(Monk Class Only)")</f>
        <v>++Cultivation - If you have not yet attacked during the current battle you deal X4 additional damage during your next attack.. +-(Monk Class Only)</v>
      </c>
      <c r="AG669" s="16" t="str">
        <f>IFERROR(__xludf.DUMMYFUNCTION("""COMPUTED_VALUE"""),"Land of Spira")</f>
        <v>Land of Spira</v>
      </c>
      <c r="AH669" s="16" t="b">
        <f>IFERROR(__xludf.DUMMYFUNCTION("""COMPUTED_VALUE"""),FALSE)</f>
        <v>0</v>
      </c>
    </row>
    <row r="670">
      <c r="A670" s="16" t="str">
        <f>IFERROR(__xludf.DUMMYFUNCTION("""COMPUTED_VALUE"""),"Smokebomb Pouch")</f>
        <v>Smokebomb Pouch</v>
      </c>
      <c r="B670" s="16" t="str">
        <f>IFERROR(__xludf.DUMMYFUNCTION("""COMPUTED_VALUE"""),"Legs")</f>
        <v>Legs</v>
      </c>
      <c r="C670" s="16"/>
      <c r="D670" s="16"/>
      <c r="E670" s="16">
        <f>IFERROR(__xludf.DUMMYFUNCTION("""COMPUTED_VALUE"""),1.0)</f>
        <v>1</v>
      </c>
      <c r="F670" s="108">
        <f>IFERROR(__xludf.DUMMYFUNCTION("""COMPUTED_VALUE"""),0.0)</f>
        <v>0</v>
      </c>
      <c r="G670" s="16"/>
      <c r="H670" s="16"/>
      <c r="I670" s="16"/>
      <c r="J670" s="16"/>
      <c r="K670" s="16"/>
      <c r="L670" s="16"/>
      <c r="M670" s="16"/>
      <c r="N670" s="16"/>
      <c r="O670" s="16"/>
      <c r="P670" s="16"/>
      <c r="Q670" s="16"/>
      <c r="R670" s="16"/>
      <c r="S670" s="16"/>
      <c r="T670" s="16"/>
      <c r="U670" s="16"/>
      <c r="V670" s="16"/>
      <c r="W670" s="16"/>
      <c r="X670" s="16"/>
      <c r="Y670" s="16"/>
      <c r="Z670" s="16"/>
      <c r="AA670" s="16"/>
      <c r="AB670" s="16"/>
      <c r="AC670" s="16"/>
      <c r="AD670" s="16"/>
      <c r="AE670" s="16"/>
      <c r="AF670" s="16" t="str">
        <f>IFERROR(__xludf.DUMMYFUNCTION("""COMPUTED_VALUE"""),"++Smoke Bomb - Conceal abilities are guaranteed to succeed +-(Ninja Class Only)")</f>
        <v>++Smoke Bomb - Conceal abilities are guaranteed to succeed +-(Ninja Class Only)</v>
      </c>
      <c r="AG670" s="16" t="str">
        <f>IFERROR(__xludf.DUMMYFUNCTION("""COMPUTED_VALUE"""),"Land of Spira")</f>
        <v>Land of Spira</v>
      </c>
      <c r="AH670" s="16" t="b">
        <f>IFERROR(__xludf.DUMMYFUNCTION("""COMPUTED_VALUE"""),FALSE)</f>
        <v>0</v>
      </c>
    </row>
    <row r="671">
      <c r="A671" s="16" t="str">
        <f>IFERROR(__xludf.DUMMYFUNCTION("""COMPUTED_VALUE"""),"Certificate of Shield Bashing School")</f>
        <v>Certificate of Shield Bashing School</v>
      </c>
      <c r="B671" s="16" t="str">
        <f>IFERROR(__xludf.DUMMYFUNCTION("""COMPUTED_VALUE"""),"Neck")</f>
        <v>Neck</v>
      </c>
      <c r="C671" s="16"/>
      <c r="D671" s="16"/>
      <c r="E671" s="16">
        <f>IFERROR(__xludf.DUMMYFUNCTION("""COMPUTED_VALUE"""),1.0)</f>
        <v>1</v>
      </c>
      <c r="F671" s="108">
        <f>IFERROR(__xludf.DUMMYFUNCTION("""COMPUTED_VALUE"""),0.0)</f>
        <v>0</v>
      </c>
      <c r="G671" s="16"/>
      <c r="H671" s="16"/>
      <c r="I671" s="16"/>
      <c r="J671" s="16"/>
      <c r="K671" s="16"/>
      <c r="L671" s="16"/>
      <c r="M671" s="16"/>
      <c r="N671" s="16"/>
      <c r="O671" s="16"/>
      <c r="P671" s="16"/>
      <c r="Q671" s="16"/>
      <c r="R671" s="16"/>
      <c r="S671" s="16"/>
      <c r="T671" s="16"/>
      <c r="U671" s="16"/>
      <c r="V671" s="16"/>
      <c r="W671" s="16"/>
      <c r="X671" s="16"/>
      <c r="Y671" s="16"/>
      <c r="Z671" s="16"/>
      <c r="AA671" s="16"/>
      <c r="AB671" s="16"/>
      <c r="AC671" s="16"/>
      <c r="AD671" s="16"/>
      <c r="AE671" s="16"/>
      <c r="AF671" s="16" t="str">
        <f>IFERROR(__xludf.DUMMYFUNCTION("""COMPUTED_VALUE"""),"++Shield Bash Extraordinaire - When attacking with a shield you may add your mobility bonus to the attack roll +-(Paladin Class Only)")</f>
        <v>++Shield Bash Extraordinaire - When attacking with a shield you may add your mobility bonus to the attack roll +-(Paladin Class Only)</v>
      </c>
      <c r="AG671" s="16" t="str">
        <f>IFERROR(__xludf.DUMMYFUNCTION("""COMPUTED_VALUE"""),"Land of Spira")</f>
        <v>Land of Spira</v>
      </c>
      <c r="AH671" s="16" t="b">
        <f>IFERROR(__xludf.DUMMYFUNCTION("""COMPUTED_VALUE"""),FALSE)</f>
        <v>0</v>
      </c>
    </row>
    <row r="672">
      <c r="A672" s="16" t="str">
        <f>IFERROR(__xludf.DUMMYFUNCTION("""COMPUTED_VALUE"""),"Goblet of Greed")</f>
        <v>Goblet of Greed</v>
      </c>
      <c r="B672" s="16" t="str">
        <f>IFERROR(__xludf.DUMMYFUNCTION("""COMPUTED_VALUE"""),"Neck")</f>
        <v>Neck</v>
      </c>
      <c r="C672" s="16"/>
      <c r="D672" s="16"/>
      <c r="E672" s="16">
        <f>IFERROR(__xludf.DUMMYFUNCTION("""COMPUTED_VALUE"""),1.0)</f>
        <v>1</v>
      </c>
      <c r="F672" s="108">
        <f>IFERROR(__xludf.DUMMYFUNCTION("""COMPUTED_VALUE"""),0.0)</f>
        <v>0</v>
      </c>
      <c r="G672" s="16"/>
      <c r="H672" s="16"/>
      <c r="I672" s="16"/>
      <c r="J672" s="16"/>
      <c r="K672" s="16"/>
      <c r="L672" s="16"/>
      <c r="M672" s="16"/>
      <c r="N672" s="16"/>
      <c r="O672" s="16"/>
      <c r="P672" s="16"/>
      <c r="Q672" s="16"/>
      <c r="R672" s="16"/>
      <c r="S672" s="16"/>
      <c r="T672" s="16"/>
      <c r="U672" s="16"/>
      <c r="V672" s="16"/>
      <c r="W672" s="16"/>
      <c r="X672" s="16"/>
      <c r="Y672" s="16"/>
      <c r="Z672" s="16"/>
      <c r="AA672" s="16"/>
      <c r="AB672" s="16"/>
      <c r="AC672" s="16"/>
      <c r="AD672" s="16"/>
      <c r="AE672" s="16"/>
      <c r="AF672" s="16" t="str">
        <f>IFERROR(__xludf.DUMMYFUNCTION("""COMPUTED_VALUE"""),"++MORE!!! MOOOORE!!!!! - multiply your damage by X*2 until the end of battle where X is equal to the amount of times you stole from someone during battle. +-(Pirate Class Only)")</f>
        <v>++MORE!!! MOOOORE!!!!! - multiply your damage by X*2 until the end of battle where X is equal to the amount of times you stole from someone during battle. +-(Pirate Class Only)</v>
      </c>
      <c r="AG672" s="16" t="str">
        <f>IFERROR(__xludf.DUMMYFUNCTION("""COMPUTED_VALUE"""),"Land of Spira")</f>
        <v>Land of Spira</v>
      </c>
      <c r="AH672" s="16" t="b">
        <f>IFERROR(__xludf.DUMMYFUNCTION("""COMPUTED_VALUE"""),FALSE)</f>
        <v>0</v>
      </c>
    </row>
    <row r="673">
      <c r="A673" s="16" t="str">
        <f>IFERROR(__xludf.DUMMYFUNCTION("""COMPUTED_VALUE"""),"Holy Symbol")</f>
        <v>Holy Symbol</v>
      </c>
      <c r="B673" s="16" t="str">
        <f>IFERROR(__xludf.DUMMYFUNCTION("""COMPUTED_VALUE"""),"Neck")</f>
        <v>Neck</v>
      </c>
      <c r="C673" s="16"/>
      <c r="D673" s="16"/>
      <c r="E673" s="16">
        <f>IFERROR(__xludf.DUMMYFUNCTION("""COMPUTED_VALUE"""),1.0)</f>
        <v>1</v>
      </c>
      <c r="F673" s="108">
        <f>IFERROR(__xludf.DUMMYFUNCTION("""COMPUTED_VALUE"""),0.0)</f>
        <v>0</v>
      </c>
      <c r="G673" s="16"/>
      <c r="H673" s="16"/>
      <c r="I673" s="16"/>
      <c r="J673" s="16"/>
      <c r="K673" s="16"/>
      <c r="L673" s="16"/>
      <c r="M673" s="16"/>
      <c r="N673" s="16"/>
      <c r="O673" s="16"/>
      <c r="P673" s="16"/>
      <c r="Q673" s="16"/>
      <c r="R673" s="16"/>
      <c r="S673" s="16"/>
      <c r="T673" s="16"/>
      <c r="U673" s="16"/>
      <c r="V673" s="16"/>
      <c r="W673" s="16"/>
      <c r="X673" s="16"/>
      <c r="Y673" s="16"/>
      <c r="Z673" s="16"/>
      <c r="AA673" s="16"/>
      <c r="AB673" s="16"/>
      <c r="AC673" s="16"/>
      <c r="AD673" s="16"/>
      <c r="AE673" s="16"/>
      <c r="AF673" s="16" t="str">
        <f>IFERROR(__xludf.DUMMYFUNCTION("""COMPUTED_VALUE"""),"++Holy Prescence - You can prevent 1 curse, disease, or possesion from affecting a party member once per battle/journey. +-(Priest Class Only)")</f>
        <v>++Holy Prescence - You can prevent 1 curse, disease, or possesion from affecting a party member once per battle/journey. +-(Priest Class Only)</v>
      </c>
      <c r="AG673" s="16" t="str">
        <f>IFERROR(__xludf.DUMMYFUNCTION("""COMPUTED_VALUE"""),"Land of Spira")</f>
        <v>Land of Spira</v>
      </c>
      <c r="AH673" s="16" t="b">
        <f>IFERROR(__xludf.DUMMYFUNCTION("""COMPUTED_VALUE"""),FALSE)</f>
        <v>0</v>
      </c>
    </row>
    <row r="674">
      <c r="A674" s="16" t="str">
        <f>IFERROR(__xludf.DUMMYFUNCTION("""COMPUTED_VALUE"""),"Mysterious Merchant's Scythe")</f>
        <v>Mysterious Merchant's Scythe</v>
      </c>
      <c r="B674" s="16" t="str">
        <f>IFERROR(__xludf.DUMMYFUNCTION("""COMPUTED_VALUE"""),"Hand")</f>
        <v>Hand</v>
      </c>
      <c r="C674" s="16" t="str">
        <f>IFERROR(__xludf.DUMMYFUNCTION("""COMPUTED_VALUE"""),"The scythe of the mysterious merchant himself imbued with a great power")</f>
        <v>The scythe of the mysterious merchant himself imbued with a great power</v>
      </c>
      <c r="D674" s="16" t="str">
        <f>IFERROR(__xludf.DUMMYFUNCTION("""COMPUTED_VALUE"""),"Scythe")</f>
        <v>Scythe</v>
      </c>
      <c r="E674" s="16">
        <f>IFERROR(__xludf.DUMMYFUNCTION("""COMPUTED_VALUE"""),1000.0)</f>
        <v>1000</v>
      </c>
      <c r="F674" s="108">
        <f>IFERROR(__xludf.DUMMYFUNCTION("""COMPUTED_VALUE"""),4.95E7)</f>
        <v>49500000</v>
      </c>
      <c r="G674" s="16" t="str">
        <f>IFERROR(__xludf.DUMMYFUNCTION("""COMPUTED_VALUE"""),"DMG")</f>
        <v>DMG</v>
      </c>
      <c r="H674" s="16"/>
      <c r="I674" s="16"/>
      <c r="J674" s="16"/>
      <c r="K674" s="16"/>
      <c r="L674" s="16"/>
      <c r="M674" s="16"/>
      <c r="N674" s="16"/>
      <c r="O674" s="16"/>
      <c r="P674" s="16">
        <f>IFERROR(__xludf.DUMMYFUNCTION("""COMPUTED_VALUE"""),50000.0)</f>
        <v>50000</v>
      </c>
      <c r="Q674" s="16"/>
      <c r="R674" s="16"/>
      <c r="S674" s="16"/>
      <c r="T674" s="16"/>
      <c r="U674" s="16"/>
      <c r="V674" s="16"/>
      <c r="W674" s="16"/>
      <c r="X674" s="16"/>
      <c r="Y674" s="16"/>
      <c r="Z674" s="16"/>
      <c r="AA674" s="16"/>
      <c r="AB674" s="16"/>
      <c r="AC674" s="16"/>
      <c r="AD674" s="16"/>
      <c r="AE674" s="16"/>
      <c r="AF674" s="16" t="str">
        <f>IFERROR(__xludf.DUMMYFUNCTION("""COMPUTED_VALUE"""),"++Burning Souls - This weapon can devour up to 100 souls to increase it's damage by X*1000 with X representing the souls imbued. When at maximum souls Imbued you can unleash an attack dealing 500,000 Spirit damage to all enemies but stunning you until the"&amp;" end of battle. +-(Reaper Class Only). ++(0/100 Souls imbued)")</f>
        <v>++Burning Souls - This weapon can devour up to 100 souls to increase it's damage by X*1000 with X representing the souls imbued. When at maximum souls Imbued you can unleash an attack dealing 500,000 Spirit damage to all enemies but stunning you until the end of battle. +-(Reaper Class Only). ++(0/100 Souls imbued)</v>
      </c>
      <c r="AG674" s="16" t="str">
        <f>IFERROR(__xludf.DUMMYFUNCTION("""COMPUTED_VALUE"""),"Land of Spira")</f>
        <v>Land of Spira</v>
      </c>
      <c r="AH674" s="16" t="b">
        <f>IFERROR(__xludf.DUMMYFUNCTION("""COMPUTED_VALUE"""),FALSE)</f>
        <v>0</v>
      </c>
    </row>
    <row r="675">
      <c r="A675" s="16" t="str">
        <f>IFERROR(__xludf.DUMMYFUNCTION("""COMPUTED_VALUE"""),"Cursed Saya")</f>
        <v>Cursed Saya</v>
      </c>
      <c r="B675" s="16" t="str">
        <f>IFERROR(__xludf.DUMMYFUNCTION("""COMPUTED_VALUE"""),"Legs")</f>
        <v>Legs</v>
      </c>
      <c r="C675" s="16" t="str">
        <f>IFERROR(__xludf.DUMMYFUNCTION("""COMPUTED_VALUE"""),"A saya unearthed in an ancient temple, those wearing this saya feel an unbeleivable surge of joy and power seeing their opponents in a weakend state.")</f>
        <v>A saya unearthed in an ancient temple, those wearing this saya feel an unbeleivable surge of joy and power seeing their opponents in a weakend state.</v>
      </c>
      <c r="D675" s="16"/>
      <c r="E675" s="16">
        <f>IFERROR(__xludf.DUMMYFUNCTION("""COMPUTED_VALUE"""),1.0)</f>
        <v>1</v>
      </c>
      <c r="F675" s="108">
        <f>IFERROR(__xludf.DUMMYFUNCTION("""COMPUTED_VALUE"""),0.0)</f>
        <v>0</v>
      </c>
      <c r="G675" s="16"/>
      <c r="H675" s="16"/>
      <c r="I675" s="16"/>
      <c r="J675" s="16"/>
      <c r="K675" s="16"/>
      <c r="L675" s="16"/>
      <c r="M675" s="16"/>
      <c r="N675" s="16"/>
      <c r="O675" s="16"/>
      <c r="P675" s="16"/>
      <c r="Q675" s="16"/>
      <c r="R675" s="16"/>
      <c r="S675" s="16"/>
      <c r="T675" s="16"/>
      <c r="U675" s="16"/>
      <c r="V675" s="16"/>
      <c r="W675" s="16"/>
      <c r="X675" s="16"/>
      <c r="Y675" s="16"/>
      <c r="Z675" s="16"/>
      <c r="AA675" s="16"/>
      <c r="AB675" s="16"/>
      <c r="AC675" s="16"/>
      <c r="AD675" s="16"/>
      <c r="AE675" s="16"/>
      <c r="AF675" s="16" t="str">
        <f>IFERROR(__xludf.DUMMYFUNCTION("""COMPUTED_VALUE"""),"++Debilitating Strike - When attacking an enemy with your weapon deal X2 damage for every negative effect inflicted on that enemy +-(Samurai Class Only)")</f>
        <v>++Debilitating Strike - When attacking an enemy with your weapon deal X2 damage for every negative effect inflicted on that enemy +-(Samurai Class Only)</v>
      </c>
      <c r="AG675" s="16" t="str">
        <f>IFERROR(__xludf.DUMMYFUNCTION("""COMPUTED_VALUE"""),"Land of Spira")</f>
        <v>Land of Spira</v>
      </c>
      <c r="AH675" s="16" t="b">
        <f>IFERROR(__xludf.DUMMYFUNCTION("""COMPUTED_VALUE"""),FALSE)</f>
        <v>0</v>
      </c>
    </row>
    <row r="676">
      <c r="A676" s="16" t="str">
        <f>IFERROR(__xludf.DUMMYFUNCTION("""COMPUTED_VALUE"""),"Shamanic Staff")</f>
        <v>Shamanic Staff</v>
      </c>
      <c r="B676" s="16" t="str">
        <f>IFERROR(__xludf.DUMMYFUNCTION("""COMPUTED_VALUE"""),"Hand")</f>
        <v>Hand</v>
      </c>
      <c r="C676" s="16" t="str">
        <f>IFERROR(__xludf.DUMMYFUNCTION("""COMPUTED_VALUE"""),"A long staff made with elder wood, the magic focus of this weapon is a piece of Hanged Man's Jasper, a rare gemstone with a high affinity for spirit magic.")</f>
        <v>A long staff made with elder wood, the magic focus of this weapon is a piece of Hanged Man's Jasper, a rare gemstone with a high affinity for spirit magic.</v>
      </c>
      <c r="D676" s="16" t="str">
        <f>IFERROR(__xludf.DUMMYFUNCTION("""COMPUTED_VALUE"""),"Staff")</f>
        <v>Staff</v>
      </c>
      <c r="E676" s="16">
        <f>IFERROR(__xludf.DUMMYFUNCTION("""COMPUTED_VALUE"""),1500.0)</f>
        <v>1500</v>
      </c>
      <c r="F676" s="108">
        <f>IFERROR(__xludf.DUMMYFUNCTION("""COMPUTED_VALUE"""),1.1175E8)</f>
        <v>111750000</v>
      </c>
      <c r="G676" s="16" t="str">
        <f>IFERROR(__xludf.DUMMYFUNCTION("""COMPUTED_VALUE"""),"DMG")</f>
        <v>DMG</v>
      </c>
      <c r="H676" s="16"/>
      <c r="I676" s="16">
        <f>IFERROR(__xludf.DUMMYFUNCTION("""COMPUTED_VALUE"""),25000.0)</f>
        <v>25000</v>
      </c>
      <c r="J676" s="16"/>
      <c r="K676" s="16"/>
      <c r="L676" s="16"/>
      <c r="M676" s="16"/>
      <c r="N676" s="16"/>
      <c r="O676" s="16"/>
      <c r="P676" s="16">
        <f>IFERROR(__xludf.DUMMYFUNCTION("""COMPUTED_VALUE"""),25000.0)</f>
        <v>25000</v>
      </c>
      <c r="Q676" s="16"/>
      <c r="R676" s="16"/>
      <c r="S676" s="16"/>
      <c r="T676" s="16"/>
      <c r="U676" s="16"/>
      <c r="V676" s="16"/>
      <c r="W676" s="16"/>
      <c r="X676" s="16">
        <f>IFERROR(__xludf.DUMMYFUNCTION("""COMPUTED_VALUE"""),25000.0)</f>
        <v>25000</v>
      </c>
      <c r="Y676" s="16"/>
      <c r="Z676" s="16"/>
      <c r="AA676" s="16"/>
      <c r="AB676" s="16"/>
      <c r="AC676" s="16"/>
      <c r="AD676" s="16"/>
      <c r="AE676" s="16"/>
      <c r="AF676" s="16" t="str">
        <f>IFERROR(__xludf.DUMMYFUNCTION("""COMPUTED_VALUE"""),"++In Tandem - When attacking any enemy that your spirit has previously targetted you gain a +5 to attack rolls against that enemy. Cost: 500 sp")</f>
        <v>++In Tandem - When attacking any enemy that your spirit has previously targetted you gain a +5 to attack rolls against that enemy. Cost: 500 sp</v>
      </c>
      <c r="AG676" s="16" t="str">
        <f>IFERROR(__xludf.DUMMYFUNCTION("""COMPUTED_VALUE"""),"Land of Spira")</f>
        <v>Land of Spira</v>
      </c>
      <c r="AH676" s="16" t="b">
        <f>IFERROR(__xludf.DUMMYFUNCTION("""COMPUTED_VALUE"""),FALSE)</f>
        <v>0</v>
      </c>
    </row>
    <row r="677">
      <c r="A677" s="16" t="str">
        <f>IFERROR(__xludf.DUMMYFUNCTION("""COMPUTED_VALUE"""),"Rune Necklace")</f>
        <v>Rune Necklace</v>
      </c>
      <c r="B677" s="16" t="str">
        <f>IFERROR(__xludf.DUMMYFUNCTION("""COMPUTED_VALUE"""),"Neck")</f>
        <v>Neck</v>
      </c>
      <c r="C677" s="16" t="str">
        <f>IFERROR(__xludf.DUMMYFUNCTION("""COMPUTED_VALUE"""),"A necklace given to Shaman's upon completeing their rite, to be a High shaman, the spirits recognize this as a sign of power and bow to those wearing this necklace.")</f>
        <v>A necklace given to Shaman's upon completeing their rite, to be a High shaman, the spirits recognize this as a sign of power and bow to those wearing this necklace.</v>
      </c>
      <c r="D677" s="16"/>
      <c r="E677" s="16">
        <f>IFERROR(__xludf.DUMMYFUNCTION("""COMPUTED_VALUE"""),1.0)</f>
        <v>1</v>
      </c>
      <c r="F677" s="108">
        <f>IFERROR(__xludf.DUMMYFUNCTION("""COMPUTED_VALUE"""),0.0)</f>
        <v>0</v>
      </c>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t="str">
        <f>IFERROR(__xludf.DUMMYFUNCTION("""COMPUTED_VALUE"""),"++Spirit's Friend - Any summoned Spirit gains +5 to all perks and X2 base stats +-(Shaman Class Only)")</f>
        <v>++Spirit's Friend - Any summoned Spirit gains +5 to all perks and X2 base stats +-(Shaman Class Only)</v>
      </c>
      <c r="AG677" s="16" t="str">
        <f>IFERROR(__xludf.DUMMYFUNCTION("""COMPUTED_VALUE"""),"Land of Spira")</f>
        <v>Land of Spira</v>
      </c>
      <c r="AH677" s="16" t="b">
        <f>IFERROR(__xludf.DUMMYFUNCTION("""COMPUTED_VALUE"""),FALSE)</f>
        <v>0</v>
      </c>
    </row>
    <row r="678">
      <c r="A678" s="16" t="str">
        <f>IFERROR(__xludf.DUMMYFUNCTION("""COMPUTED_VALUE"""),"Spell Sponge")</f>
        <v>Spell Sponge</v>
      </c>
      <c r="B678" s="16" t="str">
        <f>IFERROR(__xludf.DUMMYFUNCTION("""COMPUTED_VALUE"""),"Neck")</f>
        <v>Neck</v>
      </c>
      <c r="C678" s="16" t="str">
        <f>IFERROR(__xludf.DUMMYFUNCTION("""COMPUTED_VALUE"""),"A mushroom found rarely in an unknown cave within Spira it has high magic absorption powers and those with magical bloodlines can weild these to great effect to reverse their enemies back upon them.")</f>
        <v>A mushroom found rarely in an unknown cave within Spira it has high magic absorption powers and those with magical bloodlines can weild these to great effect to reverse their enemies back upon them.</v>
      </c>
      <c r="D678" s="16"/>
      <c r="E678" s="16">
        <f>IFERROR(__xludf.DUMMYFUNCTION("""COMPUTED_VALUE"""),1.0)</f>
        <v>1</v>
      </c>
      <c r="F678" s="108">
        <f>IFERROR(__xludf.DUMMYFUNCTION("""COMPUTED_VALUE"""),0.0)</f>
        <v>0</v>
      </c>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t="str">
        <f>IFERROR(__xludf.DUMMYFUNCTION("""COMPUTED_VALUE"""),"++Spell Sponge - If you are unaffected by a spell casted by an enemy you can choose to immediately cast the same spell back at them even if you don't have the spell equipped or don't know the spell +-(Mage, Wizard, and Sorcerer Class Only)")</f>
        <v>++Spell Sponge - If you are unaffected by a spell casted by an enemy you can choose to immediately cast the same spell back at them even if you don't have the spell equipped or don't know the spell +-(Mage, Wizard, and Sorcerer Class Only)</v>
      </c>
      <c r="AG678" s="16" t="str">
        <f>IFERROR(__xludf.DUMMYFUNCTION("""COMPUTED_VALUE"""),"Land of Spira")</f>
        <v>Land of Spira</v>
      </c>
      <c r="AH678" s="16" t="b">
        <f>IFERROR(__xludf.DUMMYFUNCTION("""COMPUTED_VALUE"""),FALSE)</f>
        <v>0</v>
      </c>
    </row>
    <row r="679">
      <c r="A679" s="16" t="str">
        <f>IFERROR(__xludf.DUMMYFUNCTION("""COMPUTED_VALUE"""),"Viking's Warpaint")</f>
        <v>Viking's Warpaint</v>
      </c>
      <c r="B679" s="16" t="str">
        <f>IFERROR(__xludf.DUMMYFUNCTION("""COMPUTED_VALUE"""),"Head")</f>
        <v>Head</v>
      </c>
      <c r="C679" s="16" t="str">
        <f>IFERROR(__xludf.DUMMYFUNCTION("""COMPUTED_VALUE"""),"A set of primitive paint imported from Knappadalr, for some reason these paints fill you with rage.")</f>
        <v>A set of primitive paint imported from Knappadalr, for some reason these paints fill you with rage.</v>
      </c>
      <c r="D679" s="16"/>
      <c r="E679" s="16">
        <f>IFERROR(__xludf.DUMMYFUNCTION("""COMPUTED_VALUE"""),1.0)</f>
        <v>1</v>
      </c>
      <c r="F679" s="108">
        <f>IFERROR(__xludf.DUMMYFUNCTION("""COMPUTED_VALUE"""),0.0)</f>
        <v>0</v>
      </c>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t="str">
        <f>IFERROR(__xludf.DUMMYFUNCTION("""COMPUTED_VALUE"""),"++Rage - When you either parry or are unaffected by a weapon attack your next attack deals X4 damage +-(Viking Class Only)")</f>
        <v>++Rage - When you either parry or are unaffected by a weapon attack your next attack deals X4 damage +-(Viking Class Only)</v>
      </c>
      <c r="AG679" s="16" t="str">
        <f>IFERROR(__xludf.DUMMYFUNCTION("""COMPUTED_VALUE"""),"Land of Spira")</f>
        <v>Land of Spira</v>
      </c>
      <c r="AH679" s="16" t="b">
        <f>IFERROR(__xludf.DUMMYFUNCTION("""COMPUTED_VALUE"""),FALSE)</f>
        <v>0</v>
      </c>
    </row>
    <row r="680">
      <c r="A680" s="16" t="str">
        <f>IFERROR(__xludf.DUMMYFUNCTION("""COMPUTED_VALUE"""),"Speed Shoes")</f>
        <v>Speed Shoes</v>
      </c>
      <c r="B680" s="16" t="str">
        <f>IFERROR(__xludf.DUMMYFUNCTION("""COMPUTED_VALUE"""),"Feet")</f>
        <v>Feet</v>
      </c>
      <c r="C680" s="16" t="str">
        <f>IFERROR(__xludf.DUMMYFUNCTION("""COMPUTED_VALUE"""),"A pair of red shoes that make you feel like dancing.")</f>
        <v>A pair of red shoes that make you feel like dancing.</v>
      </c>
      <c r="D680" s="16"/>
      <c r="E680" s="16">
        <f>IFERROR(__xludf.DUMMYFUNCTION("""COMPUTED_VALUE"""),1.0)</f>
        <v>1</v>
      </c>
      <c r="F680" s="108">
        <f>IFERROR(__xludf.DUMMYFUNCTION("""COMPUTED_VALUE"""),0.0)</f>
        <v>0</v>
      </c>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t="str">
        <f>IFERROR(__xludf.DUMMYFUNCTION("""COMPUTED_VALUE"""),"++Can't Touch This - When you successfully dodge an attack you can immediate attack with a weapon attack +-(Warrior Class Only)")</f>
        <v>++Can't Touch This - When you successfully dodge an attack you can immediate attack with a weapon attack +-(Warrior Class Only)</v>
      </c>
      <c r="AG680" s="16" t="str">
        <f>IFERROR(__xludf.DUMMYFUNCTION("""COMPUTED_VALUE"""),"Land of Spira")</f>
        <v>Land of Spira</v>
      </c>
      <c r="AH680" s="16" t="b">
        <f>IFERROR(__xludf.DUMMYFUNCTION("""COMPUTED_VALUE"""),FALSE)</f>
        <v>0</v>
      </c>
    </row>
    <row r="681">
      <c r="A681" s="16" t="str">
        <f>IFERROR(__xludf.DUMMYFUNCTION("""COMPUTED_VALUE"""),"Book of Hexes")</f>
        <v>Book of Hexes</v>
      </c>
      <c r="B681" s="16" t="str">
        <f>IFERROR(__xludf.DUMMYFUNCTION("""COMPUTED_VALUE"""),"Legs")</f>
        <v>Legs</v>
      </c>
      <c r="C681" s="16" t="str">
        <f>IFERROR(__xludf.DUMMYFUNCTION("""COMPUTED_VALUE"""),"The staple item for a witch.")</f>
        <v>The staple item for a witch.</v>
      </c>
      <c r="D681" s="16"/>
      <c r="E681" s="16">
        <f>IFERROR(__xludf.DUMMYFUNCTION("""COMPUTED_VALUE"""),1.0)</f>
        <v>1</v>
      </c>
      <c r="F681" s="108">
        <f>IFERROR(__xludf.DUMMYFUNCTION("""COMPUTED_VALUE"""),0.0)</f>
        <v>0</v>
      </c>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t="str">
        <f>IFERROR(__xludf.DUMMYFUNCTION("""COMPUTED_VALUE"""),"++Hex - Any enemy you inflict with a debuff takes X2 additional damage from the self and all allies. +-(Witch Class Only)")</f>
        <v>++Hex - Any enemy you inflict with a debuff takes X2 additional damage from the self and all allies. +-(Witch Class Only)</v>
      </c>
      <c r="AG681" s="16" t="str">
        <f>IFERROR(__xludf.DUMMYFUNCTION("""COMPUTED_VALUE"""),"Land of Spira")</f>
        <v>Land of Spira</v>
      </c>
      <c r="AH681" s="16" t="b">
        <f>IFERROR(__xludf.DUMMYFUNCTION("""COMPUTED_VALUE"""),FALSE)</f>
        <v>0</v>
      </c>
    </row>
    <row r="682">
      <c r="A682" s="16" t="str">
        <f>IFERROR(__xludf.DUMMYFUNCTION("""COMPUTED_VALUE"""),"Ring of Boring")</f>
        <v>Ring of Boring</v>
      </c>
      <c r="B682" s="16" t="str">
        <f>IFERROR(__xludf.DUMMYFUNCTION("""COMPUTED_VALUE"""),"Finger")</f>
        <v>Finger</v>
      </c>
      <c r="C682" s="16" t="str">
        <f>IFERROR(__xludf.DUMMYFUNCTION("""COMPUTED_VALUE"""),"The item for people who made a character but decided they were ""too good"" for it's abilities.")</f>
        <v>The item for people who made a character but decided they were "too good" for it's abilities.</v>
      </c>
      <c r="D682" s="16"/>
      <c r="E682" s="16">
        <f>IFERROR(__xludf.DUMMYFUNCTION("""COMPUTED_VALUE"""),1.0)</f>
        <v>1</v>
      </c>
      <c r="F682" s="108">
        <f>IFERROR(__xludf.DUMMYFUNCTION("""COMPUTED_VALUE"""),0.0)</f>
        <v>0</v>
      </c>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t="str">
        <f>IFERROR(__xludf.DUMMYFUNCTION("""COMPUTED_VALUE"""),"++Why are you so boring? - X2 additional damage.")</f>
        <v>++Why are you so boring? - X2 additional damage.</v>
      </c>
      <c r="AG682" s="16" t="str">
        <f>IFERROR(__xludf.DUMMYFUNCTION("""COMPUTED_VALUE"""),"Land of Spira")</f>
        <v>Land of Spira</v>
      </c>
      <c r="AH682" s="16" t="b">
        <f>IFERROR(__xludf.DUMMYFUNCTION("""COMPUTED_VALUE"""),FALSE)</f>
        <v>0</v>
      </c>
    </row>
    <row r="683">
      <c r="A683" s="16" t="str">
        <f>IFERROR(__xludf.DUMMYFUNCTION("""COMPUTED_VALUE"""),"Frozen Spearman's High-Low Dress")</f>
        <v>Frozen Spearman's High-Low Dress</v>
      </c>
      <c r="B683" s="16" t="str">
        <f>IFERROR(__xludf.DUMMYFUNCTION("""COMPUTED_VALUE"""),"Torso")</f>
        <v>Torso</v>
      </c>
      <c r="C683" s="16"/>
      <c r="D683" s="16"/>
      <c r="E683" s="16">
        <f>IFERROR(__xludf.DUMMYFUNCTION("""COMPUTED_VALUE"""),200.0)</f>
        <v>200</v>
      </c>
      <c r="F683" s="108">
        <f>IFERROR(__xludf.DUMMYFUNCTION("""COMPUTED_VALUE"""),1.99E8)</f>
        <v>199000000</v>
      </c>
      <c r="G683" s="16" t="str">
        <f>IFERROR(__xludf.DUMMYFUNCTION("""COMPUTED_VALUE"""),"DEF")</f>
        <v>DEF</v>
      </c>
      <c r="H683" s="16">
        <f>IFERROR(__xludf.DUMMYFUNCTION("""COMPUTED_VALUE"""),25000.0)</f>
        <v>25000</v>
      </c>
      <c r="I683" s="16"/>
      <c r="J683" s="16"/>
      <c r="K683" s="16"/>
      <c r="L683" s="16"/>
      <c r="M683" s="16">
        <f>IFERROR(__xludf.DUMMYFUNCTION("""COMPUTED_VALUE"""),25000.0)</f>
        <v>25000</v>
      </c>
      <c r="N683" s="16"/>
      <c r="O683" s="16"/>
      <c r="P683" s="16"/>
      <c r="Q683" s="16"/>
      <c r="R683" s="16"/>
      <c r="S683" s="16">
        <f>IFERROR(__xludf.DUMMYFUNCTION("""COMPUTED_VALUE"""),25000.0)</f>
        <v>25000</v>
      </c>
      <c r="T683" s="16"/>
      <c r="U683" s="16"/>
      <c r="V683" s="16"/>
      <c r="W683" s="16"/>
      <c r="X683" s="16"/>
      <c r="Y683" s="16"/>
      <c r="Z683" s="16"/>
      <c r="AA683" s="16"/>
      <c r="AB683" s="16"/>
      <c r="AC683" s="16">
        <f>IFERROR(__xludf.DUMMYFUNCTION("""COMPUTED_VALUE"""),25000.0)</f>
        <v>25000</v>
      </c>
      <c r="AD683" s="16"/>
      <c r="AE683" s="16"/>
      <c r="AF683" s="16" t="str">
        <f>IFERROR(__xludf.DUMMYFUNCTION("""COMPUTED_VALUE"""),"++Regal Authority - At the start of battle there's a 25% chance of recruiting one enemy to join you (100% if they are a player with a starting town in any tundra region) This counts as possession for the purposes of immunity")</f>
        <v>++Regal Authority - At the start of battle there's a 25% chance of recruiting one enemy to join you (100% if they are a player with a starting town in any tundra region) This counts as possession for the purposes of immunity</v>
      </c>
      <c r="AG683" s="16" t="str">
        <f>IFERROR(__xludf.DUMMYFUNCTION("""COMPUTED_VALUE"""),"Land of Spira")</f>
        <v>Land of Spira</v>
      </c>
      <c r="AH683" s="16" t="b">
        <f>IFERROR(__xludf.DUMMYFUNCTION("""COMPUTED_VALUE"""),FALSE)</f>
        <v>0</v>
      </c>
    </row>
    <row r="684">
      <c r="A684" s="16" t="str">
        <f>IFERROR(__xludf.DUMMYFUNCTION("""COMPUTED_VALUE"""),"Frozen Spearman's Jhodpur's")</f>
        <v>Frozen Spearman's Jhodpur's</v>
      </c>
      <c r="B684" s="16" t="str">
        <f>IFERROR(__xludf.DUMMYFUNCTION("""COMPUTED_VALUE"""),"Legs")</f>
        <v>Legs</v>
      </c>
      <c r="C684" s="16"/>
      <c r="D684" s="16"/>
      <c r="E684" s="16">
        <f>IFERROR(__xludf.DUMMYFUNCTION("""COMPUTED_VALUE"""),200.0)</f>
        <v>200</v>
      </c>
      <c r="F684" s="108">
        <f>IFERROR(__xludf.DUMMYFUNCTION("""COMPUTED_VALUE"""),1.99E8)</f>
        <v>199000000</v>
      </c>
      <c r="G684" s="16" t="str">
        <f>IFERROR(__xludf.DUMMYFUNCTION("""COMPUTED_VALUE"""),"DEF")</f>
        <v>DEF</v>
      </c>
      <c r="H684" s="16">
        <f>IFERROR(__xludf.DUMMYFUNCTION("""COMPUTED_VALUE"""),25000.0)</f>
        <v>25000</v>
      </c>
      <c r="I684" s="16"/>
      <c r="J684" s="16"/>
      <c r="K684" s="16"/>
      <c r="L684" s="16"/>
      <c r="M684" s="16">
        <f>IFERROR(__xludf.DUMMYFUNCTION("""COMPUTED_VALUE"""),25000.0)</f>
        <v>25000</v>
      </c>
      <c r="N684" s="16"/>
      <c r="O684" s="16"/>
      <c r="P684" s="16"/>
      <c r="Q684" s="16"/>
      <c r="R684" s="16"/>
      <c r="S684" s="16">
        <f>IFERROR(__xludf.DUMMYFUNCTION("""COMPUTED_VALUE"""),25000.0)</f>
        <v>25000</v>
      </c>
      <c r="T684" s="16"/>
      <c r="U684" s="16"/>
      <c r="V684" s="16"/>
      <c r="W684" s="16"/>
      <c r="X684" s="16"/>
      <c r="Y684" s="16"/>
      <c r="Z684" s="16"/>
      <c r="AA684" s="16"/>
      <c r="AB684" s="16"/>
      <c r="AC684" s="16">
        <f>IFERROR(__xludf.DUMMYFUNCTION("""COMPUTED_VALUE"""),25000.0)</f>
        <v>25000</v>
      </c>
      <c r="AD684" s="16"/>
      <c r="AE684" s="16"/>
      <c r="AF684" s="16" t="str">
        <f>IFERROR(__xludf.DUMMYFUNCTION("""COMPUTED_VALUE"""),"++Cavalry Charge - Summon a frosty steed to run down your enemies dealing 50,000 unavoidable Storm damage with a 15% chance of freeing all enemies - 500 sp")</f>
        <v>++Cavalry Charge - Summon a frosty steed to run down your enemies dealing 50,000 unavoidable Storm damage with a 15% chance of freeing all enemies - 500 sp</v>
      </c>
      <c r="AG684" s="16" t="str">
        <f>IFERROR(__xludf.DUMMYFUNCTION("""COMPUTED_VALUE"""),"Land of Spira")</f>
        <v>Land of Spira</v>
      </c>
      <c r="AH684" s="16" t="b">
        <f>IFERROR(__xludf.DUMMYFUNCTION("""COMPUTED_VALUE"""),FALSE)</f>
        <v>0</v>
      </c>
    </row>
    <row r="685">
      <c r="A685" s="16" t="str">
        <f>IFERROR(__xludf.DUMMYFUNCTION("""COMPUTED_VALUE"""),"Frozen Spearman's Fur Boots")</f>
        <v>Frozen Spearman's Fur Boots</v>
      </c>
      <c r="B685" s="16" t="str">
        <f>IFERROR(__xludf.DUMMYFUNCTION("""COMPUTED_VALUE"""),"Feet")</f>
        <v>Feet</v>
      </c>
      <c r="C685" s="16"/>
      <c r="D685" s="16"/>
      <c r="E685" s="16">
        <f>IFERROR(__xludf.DUMMYFUNCTION("""COMPUTED_VALUE"""),200.0)</f>
        <v>200</v>
      </c>
      <c r="F685" s="108">
        <f>IFERROR(__xludf.DUMMYFUNCTION("""COMPUTED_VALUE"""),1.99E8)</f>
        <v>199000000</v>
      </c>
      <c r="G685" s="16" t="str">
        <f>IFERROR(__xludf.DUMMYFUNCTION("""COMPUTED_VALUE"""),"DEF")</f>
        <v>DEF</v>
      </c>
      <c r="H685" s="16">
        <f>IFERROR(__xludf.DUMMYFUNCTION("""COMPUTED_VALUE"""),25000.0)</f>
        <v>25000</v>
      </c>
      <c r="I685" s="16"/>
      <c r="J685" s="16"/>
      <c r="K685" s="16"/>
      <c r="L685" s="16"/>
      <c r="M685" s="16">
        <f>IFERROR(__xludf.DUMMYFUNCTION("""COMPUTED_VALUE"""),25000.0)</f>
        <v>25000</v>
      </c>
      <c r="N685" s="16"/>
      <c r="O685" s="16"/>
      <c r="P685" s="16"/>
      <c r="Q685" s="16"/>
      <c r="R685" s="16"/>
      <c r="S685" s="16">
        <f>IFERROR(__xludf.DUMMYFUNCTION("""COMPUTED_VALUE"""),25000.0)</f>
        <v>25000</v>
      </c>
      <c r="T685" s="16"/>
      <c r="U685" s="16"/>
      <c r="V685" s="16"/>
      <c r="W685" s="16"/>
      <c r="X685" s="16"/>
      <c r="Y685" s="16"/>
      <c r="Z685" s="16"/>
      <c r="AA685" s="16"/>
      <c r="AB685" s="16"/>
      <c r="AC685" s="16">
        <f>IFERROR(__xludf.DUMMYFUNCTION("""COMPUTED_VALUE"""),25000.0)</f>
        <v>25000</v>
      </c>
      <c r="AD685" s="16"/>
      <c r="AE685" s="16"/>
      <c r="AF685" s="16" t="str">
        <f>IFERROR(__xludf.DUMMYFUNCTION("""COMPUTED_VALUE"""),"++Frosty Footwork - Upon successfully hitting an enemy you can make a second attack")</f>
        <v>++Frosty Footwork - Upon successfully hitting an enemy you can make a second attack</v>
      </c>
      <c r="AG685" s="16" t="str">
        <f>IFERROR(__xludf.DUMMYFUNCTION("""COMPUTED_VALUE"""),"Land of Spira")</f>
        <v>Land of Spira</v>
      </c>
      <c r="AH685" s="16" t="b">
        <f>IFERROR(__xludf.DUMMYFUNCTION("""COMPUTED_VALUE"""),FALSE)</f>
        <v>0</v>
      </c>
    </row>
    <row r="686">
      <c r="A686" s="16" t="str">
        <f>IFERROR(__xludf.DUMMYFUNCTION("""COMPUTED_VALUE"""),"Frozen Spearman's Bracers")</f>
        <v>Frozen Spearman's Bracers</v>
      </c>
      <c r="B686" s="16" t="str">
        <f>IFERROR(__xludf.DUMMYFUNCTION("""COMPUTED_VALUE"""),"Arms")</f>
        <v>Arms</v>
      </c>
      <c r="C686" s="16"/>
      <c r="D686" s="16"/>
      <c r="E686" s="16">
        <f>IFERROR(__xludf.DUMMYFUNCTION("""COMPUTED_VALUE"""),200.0)</f>
        <v>200</v>
      </c>
      <c r="F686" s="108">
        <f>IFERROR(__xludf.DUMMYFUNCTION("""COMPUTED_VALUE"""),1.99E8)</f>
        <v>199000000</v>
      </c>
      <c r="G686" s="16" t="str">
        <f>IFERROR(__xludf.DUMMYFUNCTION("""COMPUTED_VALUE"""),"DEF")</f>
        <v>DEF</v>
      </c>
      <c r="H686" s="16">
        <f>IFERROR(__xludf.DUMMYFUNCTION("""COMPUTED_VALUE"""),25000.0)</f>
        <v>25000</v>
      </c>
      <c r="I686" s="16"/>
      <c r="J686" s="16"/>
      <c r="K686" s="16"/>
      <c r="L686" s="16"/>
      <c r="M686" s="16">
        <f>IFERROR(__xludf.DUMMYFUNCTION("""COMPUTED_VALUE"""),25000.0)</f>
        <v>25000</v>
      </c>
      <c r="N686" s="16"/>
      <c r="O686" s="16"/>
      <c r="P686" s="16"/>
      <c r="Q686" s="16"/>
      <c r="R686" s="16"/>
      <c r="S686" s="16">
        <f>IFERROR(__xludf.DUMMYFUNCTION("""COMPUTED_VALUE"""),25000.0)</f>
        <v>25000</v>
      </c>
      <c r="T686" s="16"/>
      <c r="U686" s="16"/>
      <c r="V686" s="16"/>
      <c r="W686" s="16"/>
      <c r="X686" s="16"/>
      <c r="Y686" s="16"/>
      <c r="Z686" s="16"/>
      <c r="AA686" s="16"/>
      <c r="AB686" s="16"/>
      <c r="AC686" s="16">
        <f>IFERROR(__xludf.DUMMYFUNCTION("""COMPUTED_VALUE"""),25000.0)</f>
        <v>25000</v>
      </c>
      <c r="AD686" s="16"/>
      <c r="AE686" s="16"/>
      <c r="AF686" s="16" t="str">
        <f>IFERROR(__xludf.DUMMYFUNCTION("""COMPUTED_VALUE"""),"++Queen's Counter - Upon successfully evading an attack you can Immediately attack the person who attacked you.")</f>
        <v>++Queen's Counter - Upon successfully evading an attack you can Immediately attack the person who attacked you.</v>
      </c>
      <c r="AG686" s="16" t="str">
        <f>IFERROR(__xludf.DUMMYFUNCTION("""COMPUTED_VALUE"""),"Land of Spira")</f>
        <v>Land of Spira</v>
      </c>
      <c r="AH686" s="16" t="b">
        <f>IFERROR(__xludf.DUMMYFUNCTION("""COMPUTED_VALUE"""),FALSE)</f>
        <v>0</v>
      </c>
    </row>
    <row r="687">
      <c r="A687" s="16" t="str">
        <f>IFERROR(__xludf.DUMMYFUNCTION("""COMPUTED_VALUE"""),"Frozen Spearman's Fur Cloak")</f>
        <v>Frozen Spearman's Fur Cloak</v>
      </c>
      <c r="B687" s="16" t="str">
        <f>IFERROR(__xludf.DUMMYFUNCTION("""COMPUTED_VALUE"""),"Pauldrons")</f>
        <v>Pauldrons</v>
      </c>
      <c r="C687" s="16"/>
      <c r="D687" s="16"/>
      <c r="E687" s="16">
        <f>IFERROR(__xludf.DUMMYFUNCTION("""COMPUTED_VALUE"""),200.0)</f>
        <v>200</v>
      </c>
      <c r="F687" s="108">
        <f>IFERROR(__xludf.DUMMYFUNCTION("""COMPUTED_VALUE"""),1.99E8)</f>
        <v>199000000</v>
      </c>
      <c r="G687" s="16" t="str">
        <f>IFERROR(__xludf.DUMMYFUNCTION("""COMPUTED_VALUE"""),"DEF")</f>
        <v>DEF</v>
      </c>
      <c r="H687" s="16">
        <f>IFERROR(__xludf.DUMMYFUNCTION("""COMPUTED_VALUE"""),25000.0)</f>
        <v>25000</v>
      </c>
      <c r="I687" s="16"/>
      <c r="J687" s="16"/>
      <c r="K687" s="16"/>
      <c r="L687" s="16"/>
      <c r="M687" s="16">
        <f>IFERROR(__xludf.DUMMYFUNCTION("""COMPUTED_VALUE"""),25000.0)</f>
        <v>25000</v>
      </c>
      <c r="N687" s="16"/>
      <c r="O687" s="16"/>
      <c r="P687" s="16"/>
      <c r="Q687" s="16"/>
      <c r="R687" s="16"/>
      <c r="S687" s="16">
        <f>IFERROR(__xludf.DUMMYFUNCTION("""COMPUTED_VALUE"""),25000.0)</f>
        <v>25000</v>
      </c>
      <c r="T687" s="16"/>
      <c r="U687" s="16"/>
      <c r="V687" s="16"/>
      <c r="W687" s="16"/>
      <c r="X687" s="16"/>
      <c r="Y687" s="16"/>
      <c r="Z687" s="16"/>
      <c r="AA687" s="16"/>
      <c r="AB687" s="16"/>
      <c r="AC687" s="16">
        <f>IFERROR(__xludf.DUMMYFUNCTION("""COMPUTED_VALUE"""),25000.0)</f>
        <v>25000</v>
      </c>
      <c r="AD687" s="16"/>
      <c r="AE687" s="16"/>
      <c r="AF687" s="16" t="str">
        <f>IFERROR(__xludf.DUMMYFUNCTION("""COMPUTED_VALUE"""),"++A Land of Ice and Snow - X4 Storm and Water damage")</f>
        <v>++A Land of Ice and Snow - X4 Storm and Water damage</v>
      </c>
      <c r="AG687" s="16" t="str">
        <f>IFERROR(__xludf.DUMMYFUNCTION("""COMPUTED_VALUE"""),"Land of Spira")</f>
        <v>Land of Spira</v>
      </c>
      <c r="AH687" s="16" t="b">
        <f>IFERROR(__xludf.DUMMYFUNCTION("""COMPUTED_VALUE"""),FALSE)</f>
        <v>0</v>
      </c>
    </row>
    <row r="688">
      <c r="A688" s="16" t="str">
        <f>IFERROR(__xludf.DUMMYFUNCTION("""COMPUTED_VALUE"""),"Frost Mage's Cloak")</f>
        <v>Frost Mage's Cloak</v>
      </c>
      <c r="B688" s="16" t="str">
        <f>IFERROR(__xludf.DUMMYFUNCTION("""COMPUTED_VALUE"""),"Torso")</f>
        <v>Torso</v>
      </c>
      <c r="C688" s="16"/>
      <c r="D688" s="16"/>
      <c r="E688" s="16">
        <f>IFERROR(__xludf.DUMMYFUNCTION("""COMPUTED_VALUE"""),200.0)</f>
        <v>200</v>
      </c>
      <c r="F688" s="108">
        <f>IFERROR(__xludf.DUMMYFUNCTION("""COMPUTED_VALUE"""),4350000.0)</f>
        <v>4350000</v>
      </c>
      <c r="G688" s="16" t="str">
        <f>IFERROR(__xludf.DUMMYFUNCTION("""COMPUTED_VALUE"""),"DEF")</f>
        <v>DEF</v>
      </c>
      <c r="H688" s="16"/>
      <c r="I688" s="16"/>
      <c r="J688" s="16"/>
      <c r="K688" s="16">
        <f>IFERROR(__xludf.DUMMYFUNCTION("""COMPUTED_VALUE"""),5000.0)</f>
        <v>5000</v>
      </c>
      <c r="L688" s="16">
        <f>IFERROR(__xludf.DUMMYFUNCTION("""COMPUTED_VALUE"""),5000.0)</f>
        <v>5000</v>
      </c>
      <c r="M688" s="16"/>
      <c r="N688" s="16"/>
      <c r="O688" s="16"/>
      <c r="P688" s="16"/>
      <c r="Q688" s="16"/>
      <c r="R688" s="16"/>
      <c r="S688" s="16"/>
      <c r="T688" s="16"/>
      <c r="U688" s="16"/>
      <c r="V688" s="16"/>
      <c r="W688" s="16"/>
      <c r="X688" s="16"/>
      <c r="Y688" s="16"/>
      <c r="Z688" s="16"/>
      <c r="AA688" s="16"/>
      <c r="AB688" s="16"/>
      <c r="AC688" s="16">
        <f>IFERROR(__xludf.DUMMYFUNCTION("""COMPUTED_VALUE"""),5000.0)</f>
        <v>5000</v>
      </c>
      <c r="AD688" s="16"/>
      <c r="AE688" s="16"/>
      <c r="AF688" s="16" t="str">
        <f>IFERROR(__xludf.DUMMYFUNCTION("""COMPUTED_VALUE"""),"++500HP, ++500SP, ++X4 Water and Storm Damage, ++Immunity to Freezing, +-Cannot be Duplicated.")</f>
        <v>++500HP, ++500SP, ++X4 Water and Storm Damage, ++Immunity to Freezing, +-Cannot be Duplicated.</v>
      </c>
      <c r="AG688" s="16" t="str">
        <f>IFERROR(__xludf.DUMMYFUNCTION("""COMPUTED_VALUE"""),"Land of Spira")</f>
        <v>Land of Spira</v>
      </c>
      <c r="AH688" s="16" t="b">
        <f>IFERROR(__xludf.DUMMYFUNCTION("""COMPUTED_VALUE"""),FALSE)</f>
        <v>0</v>
      </c>
    </row>
    <row r="689">
      <c r="A689" s="16" t="str">
        <f>IFERROR(__xludf.DUMMYFUNCTION("""COMPUTED_VALUE"""),"Frost Mage's Boots")</f>
        <v>Frost Mage's Boots</v>
      </c>
      <c r="B689" s="16" t="str">
        <f>IFERROR(__xludf.DUMMYFUNCTION("""COMPUTED_VALUE"""),"Feet")</f>
        <v>Feet</v>
      </c>
      <c r="C689" s="16"/>
      <c r="D689" s="16"/>
      <c r="E689" s="16">
        <f>IFERROR(__xludf.DUMMYFUNCTION("""COMPUTED_VALUE"""),200.0)</f>
        <v>200</v>
      </c>
      <c r="F689" s="108">
        <f>IFERROR(__xludf.DUMMYFUNCTION("""COMPUTED_VALUE"""),4350000.0)</f>
        <v>4350000</v>
      </c>
      <c r="G689" s="16" t="str">
        <f>IFERROR(__xludf.DUMMYFUNCTION("""COMPUTED_VALUE"""),"DEF")</f>
        <v>DEF</v>
      </c>
      <c r="H689" s="16"/>
      <c r="I689" s="16"/>
      <c r="J689" s="16"/>
      <c r="K689" s="16">
        <f>IFERROR(__xludf.DUMMYFUNCTION("""COMPUTED_VALUE"""),5000.0)</f>
        <v>5000</v>
      </c>
      <c r="L689" s="16">
        <f>IFERROR(__xludf.DUMMYFUNCTION("""COMPUTED_VALUE"""),5000.0)</f>
        <v>5000</v>
      </c>
      <c r="M689" s="16"/>
      <c r="N689" s="16"/>
      <c r="O689" s="16"/>
      <c r="P689" s="16"/>
      <c r="Q689" s="16"/>
      <c r="R689" s="16"/>
      <c r="S689" s="16"/>
      <c r="T689" s="16"/>
      <c r="U689" s="16"/>
      <c r="V689" s="16"/>
      <c r="W689" s="16"/>
      <c r="X689" s="16"/>
      <c r="Y689" s="16"/>
      <c r="Z689" s="16"/>
      <c r="AA689" s="16"/>
      <c r="AB689" s="16"/>
      <c r="AC689" s="16">
        <f>IFERROR(__xludf.DUMMYFUNCTION("""COMPUTED_VALUE"""),5000.0)</f>
        <v>5000</v>
      </c>
      <c r="AD689" s="16"/>
      <c r="AE689" s="16"/>
      <c r="AF689" s="16" t="str">
        <f>IFERROR(__xludf.DUMMYFUNCTION("""COMPUTED_VALUE"""),"++500HP, ++500SP, ++X4 Water and Storm Damage, ++Immunity to Freezing, +-Cannot be Duplicated.")</f>
        <v>++500HP, ++500SP, ++X4 Water and Storm Damage, ++Immunity to Freezing, +-Cannot be Duplicated.</v>
      </c>
      <c r="AG689" s="16" t="str">
        <f>IFERROR(__xludf.DUMMYFUNCTION("""COMPUTED_VALUE"""),"Land of Spira")</f>
        <v>Land of Spira</v>
      </c>
      <c r="AH689" s="16" t="b">
        <f>IFERROR(__xludf.DUMMYFUNCTION("""COMPUTED_VALUE"""),FALSE)</f>
        <v>0</v>
      </c>
    </row>
    <row r="690">
      <c r="A690" s="16" t="str">
        <f>IFERROR(__xludf.DUMMYFUNCTION("""COMPUTED_VALUE"""),"Frost Mage's Hood")</f>
        <v>Frost Mage's Hood</v>
      </c>
      <c r="B690" s="16" t="str">
        <f>IFERROR(__xludf.DUMMYFUNCTION("""COMPUTED_VALUE"""),"Head")</f>
        <v>Head</v>
      </c>
      <c r="C690" s="16"/>
      <c r="D690" s="16"/>
      <c r="E690" s="16">
        <f>IFERROR(__xludf.DUMMYFUNCTION("""COMPUTED_VALUE"""),200.0)</f>
        <v>200</v>
      </c>
      <c r="F690" s="108">
        <f>IFERROR(__xludf.DUMMYFUNCTION("""COMPUTED_VALUE"""),4350000.0)</f>
        <v>4350000</v>
      </c>
      <c r="G690" s="16" t="str">
        <f>IFERROR(__xludf.DUMMYFUNCTION("""COMPUTED_VALUE"""),"DEF")</f>
        <v>DEF</v>
      </c>
      <c r="H690" s="16"/>
      <c r="I690" s="16"/>
      <c r="J690" s="16"/>
      <c r="K690" s="16">
        <f>IFERROR(__xludf.DUMMYFUNCTION("""COMPUTED_VALUE"""),5000.0)</f>
        <v>5000</v>
      </c>
      <c r="L690" s="16">
        <f>IFERROR(__xludf.DUMMYFUNCTION("""COMPUTED_VALUE"""),5000.0)</f>
        <v>5000</v>
      </c>
      <c r="M690" s="16"/>
      <c r="N690" s="16"/>
      <c r="O690" s="16"/>
      <c r="P690" s="16"/>
      <c r="Q690" s="16"/>
      <c r="R690" s="16"/>
      <c r="S690" s="16"/>
      <c r="T690" s="16"/>
      <c r="U690" s="16"/>
      <c r="V690" s="16"/>
      <c r="W690" s="16"/>
      <c r="X690" s="16"/>
      <c r="Y690" s="16"/>
      <c r="Z690" s="16"/>
      <c r="AA690" s="16"/>
      <c r="AB690" s="16"/>
      <c r="AC690" s="16">
        <f>IFERROR(__xludf.DUMMYFUNCTION("""COMPUTED_VALUE"""),5000.0)</f>
        <v>5000</v>
      </c>
      <c r="AD690" s="16"/>
      <c r="AE690" s="16"/>
      <c r="AF690" s="16" t="str">
        <f>IFERROR(__xludf.DUMMYFUNCTION("""COMPUTED_VALUE"""),"++500HP, ++500SP, ++X4 Water and Storm Damage, ++Immunity to Freezing, +-Cannot be Duplicated.")</f>
        <v>++500HP, ++500SP, ++X4 Water and Storm Damage, ++Immunity to Freezing, +-Cannot be Duplicated.</v>
      </c>
      <c r="AG690" s="16" t="str">
        <f>IFERROR(__xludf.DUMMYFUNCTION("""COMPUTED_VALUE"""),"Land of Spira")</f>
        <v>Land of Spira</v>
      </c>
      <c r="AH690" s="16" t="b">
        <f>IFERROR(__xludf.DUMMYFUNCTION("""COMPUTED_VALUE"""),FALSE)</f>
        <v>0</v>
      </c>
    </row>
    <row r="691">
      <c r="A691" s="16" t="str">
        <f>IFERROR(__xludf.DUMMYFUNCTION("""COMPUTED_VALUE"""),"Crown of Frozen Swords")</f>
        <v>Crown of Frozen Swords</v>
      </c>
      <c r="B691" s="16" t="str">
        <f>IFERROR(__xludf.DUMMYFUNCTION("""COMPUTED_VALUE"""),"Head")</f>
        <v>Head</v>
      </c>
      <c r="C691" s="16"/>
      <c r="D691" s="16"/>
      <c r="E691" s="16">
        <f>IFERROR(__xludf.DUMMYFUNCTION("""COMPUTED_VALUE"""),200.0)</f>
        <v>200</v>
      </c>
      <c r="F691" s="108">
        <f>IFERROR(__xludf.DUMMYFUNCTION("""COMPUTED_VALUE"""),7.98E8)</f>
        <v>798000000</v>
      </c>
      <c r="G691" s="16" t="str">
        <f>IFERROR(__xludf.DUMMYFUNCTION("""COMPUTED_VALUE"""),"DEF")</f>
        <v>DEF</v>
      </c>
      <c r="H691" s="16">
        <f>IFERROR(__xludf.DUMMYFUNCTION("""COMPUTED_VALUE"""),50000.0)</f>
        <v>50000</v>
      </c>
      <c r="I691" s="16"/>
      <c r="J691" s="16"/>
      <c r="K691" s="16"/>
      <c r="L691" s="16"/>
      <c r="M691" s="16">
        <f>IFERROR(__xludf.DUMMYFUNCTION("""COMPUTED_VALUE"""),50000.0)</f>
        <v>50000</v>
      </c>
      <c r="N691" s="16"/>
      <c r="O691" s="16"/>
      <c r="P691" s="16"/>
      <c r="Q691" s="16"/>
      <c r="R691" s="16"/>
      <c r="S691" s="16">
        <f>IFERROR(__xludf.DUMMYFUNCTION("""COMPUTED_VALUE"""),50000.0)</f>
        <v>50000</v>
      </c>
      <c r="T691" s="16"/>
      <c r="U691" s="16"/>
      <c r="V691" s="16"/>
      <c r="W691" s="16"/>
      <c r="X691" s="16"/>
      <c r="Y691" s="16"/>
      <c r="Z691" s="16"/>
      <c r="AA691" s="16"/>
      <c r="AB691" s="16"/>
      <c r="AC691" s="16">
        <f>IFERROR(__xludf.DUMMYFUNCTION("""COMPUTED_VALUE"""),50000.0)</f>
        <v>50000</v>
      </c>
      <c r="AD691" s="16"/>
      <c r="AE691" s="16"/>
      <c r="AF691" s="16" t="str">
        <f>IFERROR(__xludf.DUMMYFUNCTION("""COMPUTED_VALUE"""),"++King of The Frozen Wastes - X2 Storm damage ++15% chance to hit all enemies with a weapon attack")</f>
        <v>++King of The Frozen Wastes - X2 Storm damage ++15% chance to hit all enemies with a weapon attack</v>
      </c>
      <c r="AG691" s="16" t="str">
        <f>IFERROR(__xludf.DUMMYFUNCTION("""COMPUTED_VALUE"""),"Land of Spira")</f>
        <v>Land of Spira</v>
      </c>
      <c r="AH691" s="16" t="b">
        <f>IFERROR(__xludf.DUMMYFUNCTION("""COMPUTED_VALUE"""),FALSE)</f>
        <v>0</v>
      </c>
    </row>
    <row r="692">
      <c r="A692" s="16" t="str">
        <f>IFERROR(__xludf.DUMMYFUNCTION("""COMPUTED_VALUE"""),"Frost-bitten Cape")</f>
        <v>Frost-bitten Cape</v>
      </c>
      <c r="B692" s="16" t="str">
        <f>IFERROR(__xludf.DUMMYFUNCTION("""COMPUTED_VALUE"""),"Shoulders")</f>
        <v>Shoulders</v>
      </c>
      <c r="C692" s="16"/>
      <c r="D692" s="16"/>
      <c r="E692" s="16">
        <f>IFERROR(__xludf.DUMMYFUNCTION("""COMPUTED_VALUE"""),200.0)</f>
        <v>200</v>
      </c>
      <c r="F692" s="108">
        <f>IFERROR(__xludf.DUMMYFUNCTION("""COMPUTED_VALUE"""),7.98E8)</f>
        <v>798000000</v>
      </c>
      <c r="G692" s="16" t="str">
        <f>IFERROR(__xludf.DUMMYFUNCTION("""COMPUTED_VALUE"""),"DEF")</f>
        <v>DEF</v>
      </c>
      <c r="H692" s="16">
        <f>IFERROR(__xludf.DUMMYFUNCTION("""COMPUTED_VALUE"""),50000.0)</f>
        <v>50000</v>
      </c>
      <c r="I692" s="16"/>
      <c r="J692" s="16"/>
      <c r="K692" s="16"/>
      <c r="L692" s="16"/>
      <c r="M692" s="16">
        <f>IFERROR(__xludf.DUMMYFUNCTION("""COMPUTED_VALUE"""),50000.0)</f>
        <v>50000</v>
      </c>
      <c r="N692" s="16"/>
      <c r="O692" s="16"/>
      <c r="P692" s="16"/>
      <c r="Q692" s="16"/>
      <c r="R692" s="16"/>
      <c r="S692" s="16">
        <f>IFERROR(__xludf.DUMMYFUNCTION("""COMPUTED_VALUE"""),50000.0)</f>
        <v>50000</v>
      </c>
      <c r="T692" s="16"/>
      <c r="U692" s="16"/>
      <c r="V692" s="16"/>
      <c r="W692" s="16"/>
      <c r="X692" s="16"/>
      <c r="Y692" s="16"/>
      <c r="Z692" s="16"/>
      <c r="AA692" s="16"/>
      <c r="AB692" s="16"/>
      <c r="AC692" s="16">
        <f>IFERROR(__xludf.DUMMYFUNCTION("""COMPUTED_VALUE"""),50000.0)</f>
        <v>50000</v>
      </c>
      <c r="AD692" s="16"/>
      <c r="AE692" s="16"/>
      <c r="AF692" s="16" t="str">
        <f>IFERROR(__xludf.DUMMYFUNCTION("""COMPUTED_VALUE"""),"++Frostbite - Enemies hit with a weapon attack take 5000 Storm damage per round for 3 rounds")</f>
        <v>++Frostbite - Enemies hit with a weapon attack take 5000 Storm damage per round for 3 rounds</v>
      </c>
      <c r="AG692" s="16" t="str">
        <f>IFERROR(__xludf.DUMMYFUNCTION("""COMPUTED_VALUE"""),"Land of Spira")</f>
        <v>Land of Spira</v>
      </c>
      <c r="AH692" s="16" t="b">
        <f>IFERROR(__xludf.DUMMYFUNCTION("""COMPUTED_VALUE"""),FALSE)</f>
        <v>0</v>
      </c>
    </row>
    <row r="693">
      <c r="A693" s="16" t="str">
        <f>IFERROR(__xludf.DUMMYFUNCTION("""COMPUTED_VALUE"""),"Ice-steel Pauldrons")</f>
        <v>Ice-steel Pauldrons</v>
      </c>
      <c r="B693" s="16" t="str">
        <f>IFERROR(__xludf.DUMMYFUNCTION("""COMPUTED_VALUE"""),"Shoulders")</f>
        <v>Shoulders</v>
      </c>
      <c r="C693" s="16"/>
      <c r="D693" s="16"/>
      <c r="E693" s="16">
        <f>IFERROR(__xludf.DUMMYFUNCTION("""COMPUTED_VALUE"""),200.0)</f>
        <v>200</v>
      </c>
      <c r="F693" s="108">
        <f>IFERROR(__xludf.DUMMYFUNCTION("""COMPUTED_VALUE"""),7.98E8)</f>
        <v>798000000</v>
      </c>
      <c r="G693" s="16" t="str">
        <f>IFERROR(__xludf.DUMMYFUNCTION("""COMPUTED_VALUE"""),"DEF")</f>
        <v>DEF</v>
      </c>
      <c r="H693" s="16">
        <f>IFERROR(__xludf.DUMMYFUNCTION("""COMPUTED_VALUE"""),50000.0)</f>
        <v>50000</v>
      </c>
      <c r="I693" s="16"/>
      <c r="J693" s="16"/>
      <c r="K693" s="16"/>
      <c r="L693" s="16"/>
      <c r="M693" s="16">
        <f>IFERROR(__xludf.DUMMYFUNCTION("""COMPUTED_VALUE"""),50000.0)</f>
        <v>50000</v>
      </c>
      <c r="N693" s="16"/>
      <c r="O693" s="16"/>
      <c r="P693" s="16"/>
      <c r="Q693" s="16"/>
      <c r="R693" s="16"/>
      <c r="S693" s="16">
        <f>IFERROR(__xludf.DUMMYFUNCTION("""COMPUTED_VALUE"""),50000.0)</f>
        <v>50000</v>
      </c>
      <c r="T693" s="16"/>
      <c r="U693" s="16"/>
      <c r="V693" s="16"/>
      <c r="W693" s="16"/>
      <c r="X693" s="16"/>
      <c r="Y693" s="16"/>
      <c r="Z693" s="16"/>
      <c r="AA693" s="16"/>
      <c r="AB693" s="16"/>
      <c r="AC693" s="16">
        <f>IFERROR(__xludf.DUMMYFUNCTION("""COMPUTED_VALUE"""),50000.0)</f>
        <v>50000</v>
      </c>
      <c r="AD693" s="16"/>
      <c r="AE693" s="16"/>
      <c r="AF693" s="16" t="str">
        <f>IFERROR(__xludf.DUMMYFUNCTION("""COMPUTED_VALUE"""),"++Cold Shoulder - Immunity to freeze")</f>
        <v>++Cold Shoulder - Immunity to freeze</v>
      </c>
      <c r="AG693" s="16" t="str">
        <f>IFERROR(__xludf.DUMMYFUNCTION("""COMPUTED_VALUE"""),"Land of Spira")</f>
        <v>Land of Spira</v>
      </c>
      <c r="AH693" s="16" t="b">
        <f>IFERROR(__xludf.DUMMYFUNCTION("""COMPUTED_VALUE"""),FALSE)</f>
        <v>0</v>
      </c>
    </row>
    <row r="694">
      <c r="A694" s="16" t="str">
        <f>IFERROR(__xludf.DUMMYFUNCTION("""COMPUTED_VALUE"""),"Ice-steel Bracers")</f>
        <v>Ice-steel Bracers</v>
      </c>
      <c r="B694" s="16" t="str">
        <f>IFERROR(__xludf.DUMMYFUNCTION("""COMPUTED_VALUE"""),"Arms")</f>
        <v>Arms</v>
      </c>
      <c r="C694" s="16"/>
      <c r="D694" s="16"/>
      <c r="E694" s="16">
        <f>IFERROR(__xludf.DUMMYFUNCTION("""COMPUTED_VALUE"""),200.0)</f>
        <v>200</v>
      </c>
      <c r="F694" s="108">
        <f>IFERROR(__xludf.DUMMYFUNCTION("""COMPUTED_VALUE"""),7.98E8)</f>
        <v>798000000</v>
      </c>
      <c r="G694" s="16" t="str">
        <f>IFERROR(__xludf.DUMMYFUNCTION("""COMPUTED_VALUE"""),"DEF")</f>
        <v>DEF</v>
      </c>
      <c r="H694" s="16">
        <f>IFERROR(__xludf.DUMMYFUNCTION("""COMPUTED_VALUE"""),50000.0)</f>
        <v>50000</v>
      </c>
      <c r="I694" s="16"/>
      <c r="J694" s="16"/>
      <c r="K694" s="16"/>
      <c r="L694" s="16"/>
      <c r="M694" s="16">
        <f>IFERROR(__xludf.DUMMYFUNCTION("""COMPUTED_VALUE"""),50000.0)</f>
        <v>50000</v>
      </c>
      <c r="N694" s="16"/>
      <c r="O694" s="16"/>
      <c r="P694" s="16"/>
      <c r="Q694" s="16"/>
      <c r="R694" s="16"/>
      <c r="S694" s="16">
        <f>IFERROR(__xludf.DUMMYFUNCTION("""COMPUTED_VALUE"""),50000.0)</f>
        <v>50000</v>
      </c>
      <c r="T694" s="16"/>
      <c r="U694" s="16"/>
      <c r="V694" s="16"/>
      <c r="W694" s="16"/>
      <c r="X694" s="16"/>
      <c r="Y694" s="16"/>
      <c r="Z694" s="16"/>
      <c r="AA694" s="16"/>
      <c r="AB694" s="16"/>
      <c r="AC694" s="16">
        <f>IFERROR(__xludf.DUMMYFUNCTION("""COMPUTED_VALUE"""),50000.0)</f>
        <v>50000</v>
      </c>
      <c r="AD694" s="16"/>
      <c r="AE694" s="16"/>
      <c r="AF694" s="16" t="str">
        <f>IFERROR(__xludf.DUMMYFUNCTION("""COMPUTED_VALUE"""),"++A Moment of Weakness - (Can only target frozen enemies) Strike the enemy with your weapon dealing X3 Weapon damage and Giving the enemy disoriented 3 - 500 sp")</f>
        <v>++A Moment of Weakness - (Can only target frozen enemies) Strike the enemy with your weapon dealing X3 Weapon damage and Giving the enemy disoriented 3 - 500 sp</v>
      </c>
      <c r="AG694" s="16" t="str">
        <f>IFERROR(__xludf.DUMMYFUNCTION("""COMPUTED_VALUE"""),"Land of Spira")</f>
        <v>Land of Spira</v>
      </c>
      <c r="AH694" s="16" t="b">
        <f>IFERROR(__xludf.DUMMYFUNCTION("""COMPUTED_VALUE"""),FALSE)</f>
        <v>0</v>
      </c>
    </row>
    <row r="695">
      <c r="A695" s="16" t="str">
        <f>IFERROR(__xludf.DUMMYFUNCTION("""COMPUTED_VALUE"""),"Ice-steel Chausses")</f>
        <v>Ice-steel Chausses</v>
      </c>
      <c r="B695" s="16" t="str">
        <f>IFERROR(__xludf.DUMMYFUNCTION("""COMPUTED_VALUE"""),"Legs")</f>
        <v>Legs</v>
      </c>
      <c r="C695" s="16" t="str">
        <f>IFERROR(__xludf.DUMMYFUNCTION("""COMPUTED_VALUE"""),"The chinks in the armor suggest a lack of care over the past years.")</f>
        <v>The chinks in the armor suggest a lack of care over the past years.</v>
      </c>
      <c r="D695" s="16"/>
      <c r="E695" s="16">
        <f>IFERROR(__xludf.DUMMYFUNCTION("""COMPUTED_VALUE"""),200.0)</f>
        <v>200</v>
      </c>
      <c r="F695" s="108">
        <f>IFERROR(__xludf.DUMMYFUNCTION("""COMPUTED_VALUE"""),7.98E8)</f>
        <v>798000000</v>
      </c>
      <c r="G695" s="16" t="str">
        <f>IFERROR(__xludf.DUMMYFUNCTION("""COMPUTED_VALUE"""),"DEF")</f>
        <v>DEF</v>
      </c>
      <c r="H695" s="16">
        <f>IFERROR(__xludf.DUMMYFUNCTION("""COMPUTED_VALUE"""),50000.0)</f>
        <v>50000</v>
      </c>
      <c r="I695" s="16"/>
      <c r="J695" s="16"/>
      <c r="K695" s="16"/>
      <c r="L695" s="16"/>
      <c r="M695" s="16">
        <f>IFERROR(__xludf.DUMMYFUNCTION("""COMPUTED_VALUE"""),50000.0)</f>
        <v>50000</v>
      </c>
      <c r="N695" s="16"/>
      <c r="O695" s="16"/>
      <c r="P695" s="16"/>
      <c r="Q695" s="16"/>
      <c r="R695" s="16"/>
      <c r="S695" s="16">
        <f>IFERROR(__xludf.DUMMYFUNCTION("""COMPUTED_VALUE"""),50000.0)</f>
        <v>50000</v>
      </c>
      <c r="T695" s="16"/>
      <c r="U695" s="16"/>
      <c r="V695" s="16"/>
      <c r="W695" s="16"/>
      <c r="X695" s="16"/>
      <c r="Y695" s="16"/>
      <c r="Z695" s="16"/>
      <c r="AA695" s="16"/>
      <c r="AB695" s="16"/>
      <c r="AC695" s="16">
        <f>IFERROR(__xludf.DUMMYFUNCTION("""COMPUTED_VALUE"""),50000.0)</f>
        <v>50000</v>
      </c>
      <c r="AD695" s="16"/>
      <c r="AE695" s="16"/>
      <c r="AF695" s="16" t="str">
        <f>IFERROR(__xludf.DUMMYFUNCTION("""COMPUTED_VALUE"""),"++X2 Weapon Damage")</f>
        <v>++X2 Weapon Damage</v>
      </c>
      <c r="AG695" s="16" t="str">
        <f>IFERROR(__xludf.DUMMYFUNCTION("""COMPUTED_VALUE"""),"Land of Spira")</f>
        <v>Land of Spira</v>
      </c>
      <c r="AH695" s="16" t="b">
        <f>IFERROR(__xludf.DUMMYFUNCTION("""COMPUTED_VALUE"""),FALSE)</f>
        <v>0</v>
      </c>
    </row>
    <row r="696">
      <c r="A696" s="16" t="str">
        <f>IFERROR(__xludf.DUMMYFUNCTION("""COMPUTED_VALUE"""),"Frost Stompers")</f>
        <v>Frost Stompers</v>
      </c>
      <c r="B696" s="16" t="str">
        <f>IFERROR(__xludf.DUMMYFUNCTION("""COMPUTED_VALUE"""),"Feet")</f>
        <v>Feet</v>
      </c>
      <c r="C696" s="16" t="str">
        <f>IFERROR(__xludf.DUMMYFUNCTION("""COMPUTED_VALUE"""),"These frozen iron boots are covered in a layer of permafrost, it seems as though they'll never thaw.")</f>
        <v>These frozen iron boots are covered in a layer of permafrost, it seems as though they'll never thaw.</v>
      </c>
      <c r="D696" s="16"/>
      <c r="E696" s="16">
        <f>IFERROR(__xludf.DUMMYFUNCTION("""COMPUTED_VALUE"""),200.0)</f>
        <v>200</v>
      </c>
      <c r="F696" s="108">
        <f>IFERROR(__xludf.DUMMYFUNCTION("""COMPUTED_VALUE"""),7.98E8)</f>
        <v>798000000</v>
      </c>
      <c r="G696" s="16" t="str">
        <f>IFERROR(__xludf.DUMMYFUNCTION("""COMPUTED_VALUE"""),"DEF")</f>
        <v>DEF</v>
      </c>
      <c r="H696" s="16">
        <f>IFERROR(__xludf.DUMMYFUNCTION("""COMPUTED_VALUE"""),50000.0)</f>
        <v>50000</v>
      </c>
      <c r="I696" s="16"/>
      <c r="J696" s="16"/>
      <c r="K696" s="16"/>
      <c r="L696" s="16"/>
      <c r="M696" s="16">
        <f>IFERROR(__xludf.DUMMYFUNCTION("""COMPUTED_VALUE"""),50000.0)</f>
        <v>50000</v>
      </c>
      <c r="N696" s="16"/>
      <c r="O696" s="16"/>
      <c r="P696" s="16"/>
      <c r="Q696" s="16"/>
      <c r="R696" s="16"/>
      <c r="S696" s="16">
        <f>IFERROR(__xludf.DUMMYFUNCTION("""COMPUTED_VALUE"""),50000.0)</f>
        <v>50000</v>
      </c>
      <c r="T696" s="16"/>
      <c r="U696" s="16"/>
      <c r="V696" s="16"/>
      <c r="W696" s="16"/>
      <c r="X696" s="16"/>
      <c r="Y696" s="16"/>
      <c r="Z696" s="16"/>
      <c r="AA696" s="16"/>
      <c r="AB696" s="16"/>
      <c r="AC696" s="16">
        <f>IFERROR(__xludf.DUMMYFUNCTION("""COMPUTED_VALUE"""),50000.0)</f>
        <v>50000</v>
      </c>
      <c r="AD696" s="16"/>
      <c r="AE696" s="16"/>
      <c r="AF696" s="16" t="str">
        <f>IFERROR(__xludf.DUMMYFUNCTION("""COMPUTED_VALUE"""),"++X2 Storm Damage")</f>
        <v>++X2 Storm Damage</v>
      </c>
      <c r="AG696" s="16" t="str">
        <f>IFERROR(__xludf.DUMMYFUNCTION("""COMPUTED_VALUE"""),"Land of Spira")</f>
        <v>Land of Spira</v>
      </c>
      <c r="AH696" s="16" t="b">
        <f>IFERROR(__xludf.DUMMYFUNCTION("""COMPUTED_VALUE"""),FALSE)</f>
        <v>0</v>
      </c>
    </row>
    <row r="697">
      <c r="A697" s="16" t="str">
        <f>IFERROR(__xludf.DUMMYFUNCTION("""COMPUTED_VALUE"""),"Plate of the Frozen Sun")</f>
        <v>Plate of the Frozen Sun</v>
      </c>
      <c r="B697" s="16" t="str">
        <f>IFERROR(__xludf.DUMMYFUNCTION("""COMPUTED_VALUE"""),"Torso")</f>
        <v>Torso</v>
      </c>
      <c r="C697" s="16" t="str">
        <f>IFERROR(__xludf.DUMMYFUNCTION("""COMPUTED_VALUE"""),"""The king was not always as he is now, but the yearly curse of the ice mage has him colder than usual"" ~old man")</f>
        <v>"The king was not always as he is now, but the yearly curse of the ice mage has him colder than usual" ~old man</v>
      </c>
      <c r="D697" s="16"/>
      <c r="E697" s="16">
        <f>IFERROR(__xludf.DUMMYFUNCTION("""COMPUTED_VALUE"""),200.0)</f>
        <v>200</v>
      </c>
      <c r="F697" s="108">
        <f>IFERROR(__xludf.DUMMYFUNCTION("""COMPUTED_VALUE"""),7.98E8)</f>
        <v>798000000</v>
      </c>
      <c r="G697" s="16" t="str">
        <f>IFERROR(__xludf.DUMMYFUNCTION("""COMPUTED_VALUE"""),"DEF")</f>
        <v>DEF</v>
      </c>
      <c r="H697" s="16">
        <f>IFERROR(__xludf.DUMMYFUNCTION("""COMPUTED_VALUE"""),50000.0)</f>
        <v>50000</v>
      </c>
      <c r="I697" s="16"/>
      <c r="J697" s="16"/>
      <c r="K697" s="16"/>
      <c r="L697" s="16"/>
      <c r="M697" s="16">
        <f>IFERROR(__xludf.DUMMYFUNCTION("""COMPUTED_VALUE"""),50000.0)</f>
        <v>50000</v>
      </c>
      <c r="N697" s="16"/>
      <c r="O697" s="16"/>
      <c r="P697" s="16"/>
      <c r="Q697" s="16"/>
      <c r="R697" s="16"/>
      <c r="S697" s="16">
        <f>IFERROR(__xludf.DUMMYFUNCTION("""COMPUTED_VALUE"""),50000.0)</f>
        <v>50000</v>
      </c>
      <c r="T697" s="16"/>
      <c r="U697" s="16"/>
      <c r="V697" s="16"/>
      <c r="W697" s="16"/>
      <c r="X697" s="16"/>
      <c r="Y697" s="16"/>
      <c r="Z697" s="16"/>
      <c r="AA697" s="16"/>
      <c r="AB697" s="16"/>
      <c r="AC697" s="16">
        <f>IFERROR(__xludf.DUMMYFUNCTION("""COMPUTED_VALUE"""),50000.0)</f>
        <v>50000</v>
      </c>
      <c r="AD697" s="16"/>
      <c r="AE697" s="16"/>
      <c r="AF697" s="16" t="str">
        <f>IFERROR(__xludf.DUMMYFUNCTION("""COMPUTED_VALUE"""),"++Freezing Absorption - Can absorb one summoned creature adding their stats on top of your for 3 rounds but giving you a 50% chance of attacking a random ally instead of an enemy - 500 sp")</f>
        <v>++Freezing Absorption - Can absorb one summoned creature adding their stats on top of your for 3 rounds but giving you a 50% chance of attacking a random ally instead of an enemy - 500 sp</v>
      </c>
      <c r="AG697" s="16" t="str">
        <f>IFERROR(__xludf.DUMMYFUNCTION("""COMPUTED_VALUE"""),"Land of Spira")</f>
        <v>Land of Spira</v>
      </c>
      <c r="AH697" s="16" t="b">
        <f>IFERROR(__xludf.DUMMYFUNCTION("""COMPUTED_VALUE"""),FALSE)</f>
        <v>0</v>
      </c>
    </row>
    <row r="698">
      <c r="A698" s="16" t="str">
        <f>IFERROR(__xludf.DUMMYFUNCTION("""COMPUTED_VALUE"""),"Frost Mage's Staff")</f>
        <v>Frost Mage's Staff</v>
      </c>
      <c r="B698" s="16" t="str">
        <f>IFERROR(__xludf.DUMMYFUNCTION("""COMPUTED_VALUE"""),"Hand")</f>
        <v>Hand</v>
      </c>
      <c r="C698" s="16" t="str">
        <f>IFERROR(__xludf.DUMMYFUNCTION("""COMPUTED_VALUE"""),"""FREEZE"" ~Frost mage")</f>
        <v>"FREEZE" ~Frost mage</v>
      </c>
      <c r="D698" s="16" t="str">
        <f>IFERROR(__xludf.DUMMYFUNCTION("""COMPUTED_VALUE"""),"Staff")</f>
        <v>Staff</v>
      </c>
      <c r="E698" s="16">
        <f>IFERROR(__xludf.DUMMYFUNCTION("""COMPUTED_VALUE"""),200.0)</f>
        <v>200</v>
      </c>
      <c r="F698" s="108">
        <f>IFERROR(__xludf.DUMMYFUNCTION("""COMPUTED_VALUE"""),4.485E8)</f>
        <v>448500000</v>
      </c>
      <c r="G698" s="16" t="str">
        <f>IFERROR(__xludf.DUMMYFUNCTION("""COMPUTED_VALUE"""),"DMG")</f>
        <v>DMG</v>
      </c>
      <c r="H698" s="16"/>
      <c r="I698" s="16"/>
      <c r="J698" s="16"/>
      <c r="K698" s="119">
        <f>IFERROR(__xludf.DUMMYFUNCTION("""COMPUTED_VALUE"""),50000.0)</f>
        <v>50000</v>
      </c>
      <c r="L698" s="119">
        <f>IFERROR(__xludf.DUMMYFUNCTION("""COMPUTED_VALUE"""),50000.0)</f>
        <v>50000</v>
      </c>
      <c r="M698" s="16"/>
      <c r="N698" s="16"/>
      <c r="O698" s="16"/>
      <c r="P698" s="16"/>
      <c r="Q698" s="16"/>
      <c r="R698" s="16"/>
      <c r="S698" s="16"/>
      <c r="T698" s="16"/>
      <c r="U698" s="16"/>
      <c r="V698" s="16"/>
      <c r="W698" s="16"/>
      <c r="X698" s="16"/>
      <c r="Y698" s="16"/>
      <c r="Z698" s="16"/>
      <c r="AA698" s="16"/>
      <c r="AB698" s="16"/>
      <c r="AC698" s="119">
        <f>IFERROR(__xludf.DUMMYFUNCTION("""COMPUTED_VALUE"""),50000.0)</f>
        <v>50000</v>
      </c>
      <c r="AD698" s="16"/>
      <c r="AE698" s="16"/>
      <c r="AF698" s="16" t="str">
        <f>IFERROR(__xludf.DUMMYFUNCTION("""COMPUTED_VALUE"""),"++Damages all enemies, ++Cannot Avoid ++ +500SP ++X4 Water and Storm Damage ++25% chance to freeze the enemies +-Cannot be forged +-Cannot be duplicated")</f>
        <v>++Damages all enemies, ++Cannot Avoid ++ +500SP ++X4 Water and Storm Damage ++25% chance to freeze the enemies +-Cannot be forged +-Cannot be duplicated</v>
      </c>
      <c r="AG698" s="16" t="str">
        <f>IFERROR(__xludf.DUMMYFUNCTION("""COMPUTED_VALUE"""),"Land of Spira")</f>
        <v>Land of Spira</v>
      </c>
      <c r="AH698" s="16" t="b">
        <f>IFERROR(__xludf.DUMMYFUNCTION("""COMPUTED_VALUE"""),FALSE)</f>
        <v>0</v>
      </c>
    </row>
    <row r="699">
      <c r="A699" s="16" t="str">
        <f>IFERROR(__xludf.DUMMYFUNCTION("""COMPUTED_VALUE"""),"Snowball")</f>
        <v>Snowball</v>
      </c>
      <c r="B699" s="16" t="str">
        <f>IFERROR(__xludf.DUMMYFUNCTION("""COMPUTED_VALUE"""),"Hand")</f>
        <v>Hand</v>
      </c>
      <c r="C699" s="16" t="str">
        <f>IFERROR(__xludf.DUMMYFUNCTION("""COMPUTED_VALUE"""),"""If you even think about hitting me with that I'll fill one with lead and bash your skull with it"" ~Gwennivir")</f>
        <v>"If you even think about hitting me with that I'll fill one with lead and bash your skull with it" ~Gwennivir</v>
      </c>
      <c r="D699" s="16" t="str">
        <f>IFERROR(__xludf.DUMMYFUNCTION("""COMPUTED_VALUE"""),"Boomerang")</f>
        <v>Boomerang</v>
      </c>
      <c r="E699" s="16">
        <f>IFERROR(__xludf.DUMMYFUNCTION("""COMPUTED_VALUE"""),200.0)</f>
        <v>200</v>
      </c>
      <c r="F699" s="108">
        <f>IFERROR(__xludf.DUMMYFUNCTION("""COMPUTED_VALUE"""),1900000.0)</f>
        <v>1900000</v>
      </c>
      <c r="G699" s="16" t="str">
        <f>IFERROR(__xludf.DUMMYFUNCTION("""COMPUTED_VALUE"""),"DMG")</f>
        <v>DMG</v>
      </c>
      <c r="H699" s="16"/>
      <c r="I699" s="16"/>
      <c r="J699" s="16"/>
      <c r="K699" s="119">
        <f>IFERROR(__xludf.DUMMYFUNCTION("""COMPUTED_VALUE"""),10000.0)</f>
        <v>10000</v>
      </c>
      <c r="L699" s="16"/>
      <c r="M699" s="16"/>
      <c r="N699" s="16"/>
      <c r="O699" s="16"/>
      <c r="P699" s="16"/>
      <c r="Q699" s="16"/>
      <c r="R699" s="16"/>
      <c r="S699" s="16"/>
      <c r="T699" s="16"/>
      <c r="U699" s="16"/>
      <c r="V699" s="16"/>
      <c r="W699" s="16"/>
      <c r="X699" s="16"/>
      <c r="Y699" s="16"/>
      <c r="Z699" s="16"/>
      <c r="AA699" s="16"/>
      <c r="AB699" s="16"/>
      <c r="AC699" s="16"/>
      <c r="AD699" s="16"/>
      <c r="AE699" s="16"/>
      <c r="AF699" s="16" t="str">
        <f>IFERROR(__xludf.DUMMYFUNCTION("""COMPUTED_VALUE"""),"++25% Chance to freeze the target, ++25% chance to turn the target into a Demon Snowman and recruit them to the users side for 2 rounds (this counts as a possession).")</f>
        <v>++25% Chance to freeze the target, ++25% chance to turn the target into a Demon Snowman and recruit them to the users side for 2 rounds (this counts as a possession).</v>
      </c>
      <c r="AG699" s="16" t="str">
        <f>IFERROR(__xludf.DUMMYFUNCTION("""COMPUTED_VALUE"""),"Land of Spira")</f>
        <v>Land of Spira</v>
      </c>
      <c r="AH699" s="16" t="b">
        <f>IFERROR(__xludf.DUMMYFUNCTION("""COMPUTED_VALUE"""),FALSE)</f>
        <v>0</v>
      </c>
    </row>
    <row r="700">
      <c r="A700" s="16" t="str">
        <f>IFERROR(__xludf.DUMMYFUNCTION("""COMPUTED_VALUE"""),"Corvid Cloak")</f>
        <v>Corvid Cloak</v>
      </c>
      <c r="B700" s="16" t="str">
        <f>IFERROR(__xludf.DUMMYFUNCTION("""COMPUTED_VALUE"""),"Shoulders")</f>
        <v>Shoulders</v>
      </c>
      <c r="C700" s="16" t="str">
        <f>IFERROR(__xludf.DUMMYFUNCTION("""COMPUTED_VALUE"""),"Formed from the feathers of many crows and ravens, this cloak has an imposing presence.")</f>
        <v>Formed from the feathers of many crows and ravens, this cloak has an imposing presence.</v>
      </c>
      <c r="D700" s="16"/>
      <c r="E700" s="16">
        <f>IFERROR(__xludf.DUMMYFUNCTION("""COMPUTED_VALUE"""),1.0)</f>
        <v>1</v>
      </c>
      <c r="F700" s="108">
        <f>IFERROR(__xludf.DUMMYFUNCTION("""COMPUTED_VALUE"""),0.0)</f>
        <v>0</v>
      </c>
      <c r="G700" s="16" t="str">
        <f>IFERROR(__xludf.DUMMYFUNCTION("""COMPUTED_VALUE"""),"DEF")</f>
        <v>DEF</v>
      </c>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F700" s="16" t="str">
        <f>IFERROR(__xludf.DUMMYFUNCTION("""COMPUTED_VALUE"""),"++On WIngs of Death: When an enemy or ally dies of poison all Base stats are doubled for 3 rounds and +5 to all perks +-Cannot be Duplicated")</f>
        <v>++On WIngs of Death: When an enemy or ally dies of poison all Base stats are doubled for 3 rounds and +5 to all perks +-Cannot be Duplicated</v>
      </c>
      <c r="AG700" s="16" t="str">
        <f>IFERROR(__xludf.DUMMYFUNCTION("""COMPUTED_VALUE"""),"Land of Spira")</f>
        <v>Land of Spira</v>
      </c>
      <c r="AH700" s="16" t="b">
        <f>IFERROR(__xludf.DUMMYFUNCTION("""COMPUTED_VALUE"""),FALSE)</f>
        <v>0</v>
      </c>
    </row>
    <row r="701">
      <c r="A701" s="16" t="str">
        <f>IFERROR(__xludf.DUMMYFUNCTION("""COMPUTED_VALUE"""),"Plague Doctor's Mask")</f>
        <v>Plague Doctor's Mask</v>
      </c>
      <c r="B701" s="16" t="str">
        <f>IFERROR(__xludf.DUMMYFUNCTION("""COMPUTED_VALUE"""),"Head")</f>
        <v>Head</v>
      </c>
      <c r="C701" s="16" t="str">
        <f>IFERROR(__xludf.DUMMYFUNCTION("""COMPUTED_VALUE"""),"""The eyes of the plague doctors can see all the impurities of not just one's body, but one's soul, it is our goal- nay, our purpose, to cure these impurities"" ~Kaillon, The Last WItch Doctor")</f>
        <v>"The eyes of the plague doctors can see all the impurities of not just one's body, but one's soul, it is our goal- nay, our purpose, to cure these impurities" ~Kaillon, The Last WItch Doctor</v>
      </c>
      <c r="D701" s="16"/>
      <c r="E701" s="16">
        <f>IFERROR(__xludf.DUMMYFUNCTION("""COMPUTED_VALUE"""),1.0)</f>
        <v>1</v>
      </c>
      <c r="F701" s="108">
        <f>IFERROR(__xludf.DUMMYFUNCTION("""COMPUTED_VALUE"""),0.0)</f>
        <v>0</v>
      </c>
      <c r="G701" s="16" t="str">
        <f>IFERROR(__xludf.DUMMYFUNCTION("""COMPUTED_VALUE"""),"DEF")</f>
        <v>DEF</v>
      </c>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F701" s="16" t="str">
        <f>IFERROR(__xludf.DUMMYFUNCTION("""COMPUTED_VALUE"""),"++Plague Doctor: 25% chance to be unaffected by a disease +-Cannot be Duplicated")</f>
        <v>++Plague Doctor: 25% chance to be unaffected by a disease +-Cannot be Duplicated</v>
      </c>
      <c r="AG701" s="16" t="str">
        <f>IFERROR(__xludf.DUMMYFUNCTION("""COMPUTED_VALUE"""),"Land of Spira")</f>
        <v>Land of Spira</v>
      </c>
      <c r="AH701" s="16" t="b">
        <f>IFERROR(__xludf.DUMMYFUNCTION("""COMPUTED_VALUE"""),FALSE)</f>
        <v>0</v>
      </c>
    </row>
    <row r="702">
      <c r="A702" s="16" t="str">
        <f>IFERROR(__xludf.DUMMYFUNCTION("""COMPUTED_VALUE"""),"""The Only Cure""")</f>
        <v>"The Only Cure"</v>
      </c>
      <c r="B702" s="16" t="str">
        <f>IFERROR(__xludf.DUMMYFUNCTION("""COMPUTED_VALUE"""),"Neck")</f>
        <v>Neck</v>
      </c>
      <c r="C702" s="16" t="str">
        <f>IFERROR(__xludf.DUMMYFUNCTION("""COMPUTED_VALUE"""),"""Sometimes, there is no cure for one's disease,
in those times it is our job to be merciful,
Truly, the only cure is death"" ~Kaillon, The Last Witch Doctor")</f>
        <v>"Sometimes, there is no cure for one's disease,
in those times it is our job to be merciful,
Truly, the only cure is death" ~Kaillon, The Last Witch Doctor</v>
      </c>
      <c r="D702" s="16"/>
      <c r="E702" s="16">
        <f>IFERROR(__xludf.DUMMYFUNCTION("""COMPUTED_VALUE"""),1.0)</f>
        <v>1</v>
      </c>
      <c r="F702" s="108">
        <f>IFERROR(__xludf.DUMMYFUNCTION("""COMPUTED_VALUE"""),0.0)</f>
        <v>0</v>
      </c>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F702" s="16" t="str">
        <f>IFERROR(__xludf.DUMMYFUNCTION("""COMPUTED_VALUE"""),"++""Is Death"": The first time a single ally dies in a battle they survive on 1 hp with halved defense, atack, and accuracy for 3 rounds. +-Cannot be Duplicated")</f>
        <v>++"Is Death": The first time a single ally dies in a battle they survive on 1 hp with halved defense, atack, and accuracy for 3 rounds. +-Cannot be Duplicated</v>
      </c>
      <c r="AG702" s="16" t="str">
        <f>IFERROR(__xludf.DUMMYFUNCTION("""COMPUTED_VALUE"""),"Land of Spira")</f>
        <v>Land of Spira</v>
      </c>
      <c r="AH702" s="16" t="b">
        <f>IFERROR(__xludf.DUMMYFUNCTION("""COMPUTED_VALUE"""),FALSE)</f>
        <v>0</v>
      </c>
    </row>
    <row r="703">
      <c r="A703" s="16" t="str">
        <f>IFERROR(__xludf.DUMMYFUNCTION("""COMPUTED_VALUE"""),"Plague Doctor's Gloves")</f>
        <v>Plague Doctor's Gloves</v>
      </c>
      <c r="B703" s="16" t="str">
        <f>IFERROR(__xludf.DUMMYFUNCTION("""COMPUTED_VALUE"""),"Arms")</f>
        <v>Arms</v>
      </c>
      <c r="C703" s="16" t="str">
        <f>IFERROR(__xludf.DUMMYFUNCTION("""COMPUTED_VALUE"""),"These gloves have been stained with blood and potions over the years.")</f>
        <v>These gloves have been stained with blood and potions over the years.</v>
      </c>
      <c r="D703" s="16"/>
      <c r="E703" s="16">
        <f>IFERROR(__xludf.DUMMYFUNCTION("""COMPUTED_VALUE"""),1.0)</f>
        <v>1</v>
      </c>
      <c r="F703" s="108">
        <f>IFERROR(__xludf.DUMMYFUNCTION("""COMPUTED_VALUE"""),0.0)</f>
        <v>0</v>
      </c>
      <c r="G703" s="16" t="str">
        <f>IFERROR(__xludf.DUMMYFUNCTION("""COMPUTED_VALUE"""),"DEF")</f>
        <v>DEF</v>
      </c>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F703" s="16" t="str">
        <f>IFERROR(__xludf.DUMMYFUNCTION("""COMPUTED_VALUE"""),"++Poisoner I:X2 damage +-Cannot be Duplicated")</f>
        <v>++Poisoner I:X2 damage +-Cannot be Duplicated</v>
      </c>
      <c r="AG703" s="16" t="str">
        <f>IFERROR(__xludf.DUMMYFUNCTION("""COMPUTED_VALUE"""),"Land of Spira")</f>
        <v>Land of Spira</v>
      </c>
      <c r="AH703" s="16" t="b">
        <f>IFERROR(__xludf.DUMMYFUNCTION("""COMPUTED_VALUE"""),FALSE)</f>
        <v>0</v>
      </c>
    </row>
    <row r="704">
      <c r="A704" s="16" t="str">
        <f>IFERROR(__xludf.DUMMYFUNCTION("""COMPUTED_VALUE"""),"Plague Doctor's Sarouel")</f>
        <v>Plague Doctor's Sarouel</v>
      </c>
      <c r="B704" s="16" t="str">
        <f>IFERROR(__xludf.DUMMYFUNCTION("""COMPUTED_VALUE"""),"Legs")</f>
        <v>Legs</v>
      </c>
      <c r="C704" s="16" t="str">
        <f>IFERROR(__xludf.DUMMYFUNCTION("""COMPUTED_VALUE"""),"These pants serve no real purpose within the foul night swamp, but they are the traditional wear of the plague doctors.")</f>
        <v>These pants serve no real purpose within the foul night swamp, but they are the traditional wear of the plague doctors.</v>
      </c>
      <c r="D704" s="16"/>
      <c r="E704" s="16">
        <f>IFERROR(__xludf.DUMMYFUNCTION("""COMPUTED_VALUE"""),1.0)</f>
        <v>1</v>
      </c>
      <c r="F704" s="108">
        <f>IFERROR(__xludf.DUMMYFUNCTION("""COMPUTED_VALUE"""),0.0)</f>
        <v>0</v>
      </c>
      <c r="G704" s="16" t="str">
        <f>IFERROR(__xludf.DUMMYFUNCTION("""COMPUTED_VALUE"""),"DEF")</f>
        <v>DEF</v>
      </c>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F704" s="16" t="str">
        <f>IFERROR(__xludf.DUMMYFUNCTION("""COMPUTED_VALUE"""),"++Poisoner I:X2 damage +-Cannot be Duplicated")</f>
        <v>++Poisoner I:X2 damage +-Cannot be Duplicated</v>
      </c>
      <c r="AG704" s="16" t="str">
        <f>IFERROR(__xludf.DUMMYFUNCTION("""COMPUTED_VALUE"""),"Land of Spira")</f>
        <v>Land of Spira</v>
      </c>
      <c r="AH704" s="16" t="b">
        <f>IFERROR(__xludf.DUMMYFUNCTION("""COMPUTED_VALUE"""),FALSE)</f>
        <v>0</v>
      </c>
    </row>
    <row r="705">
      <c r="A705" s="16" t="str">
        <f>IFERROR(__xludf.DUMMYFUNCTION("""COMPUTED_VALUE"""),"Plague Doctor's Boots")</f>
        <v>Plague Doctor's Boots</v>
      </c>
      <c r="B705" s="16" t="str">
        <f>IFERROR(__xludf.DUMMYFUNCTION("""COMPUTED_VALUE"""),"Feet")</f>
        <v>Feet</v>
      </c>
      <c r="C705" s="16" t="str">
        <f>IFERROR(__xludf.DUMMYFUNCTION("""COMPUTED_VALUE"""),"These boots have been designed for optimal movement through all kinds of hazards.")</f>
        <v>These boots have been designed for optimal movement through all kinds of hazards.</v>
      </c>
      <c r="D705" s="16"/>
      <c r="E705" s="16">
        <f>IFERROR(__xludf.DUMMYFUNCTION("""COMPUTED_VALUE"""),1.0)</f>
        <v>1</v>
      </c>
      <c r="F705" s="108">
        <f>IFERROR(__xludf.DUMMYFUNCTION("""COMPUTED_VALUE"""),0.0)</f>
        <v>0</v>
      </c>
      <c r="G705" s="16" t="str">
        <f>IFERROR(__xludf.DUMMYFUNCTION("""COMPUTED_VALUE"""),"DEF")</f>
        <v>DEF</v>
      </c>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F705" s="16" t="str">
        <f>IFERROR(__xludf.DUMMYFUNCTION("""COMPUTED_VALUE"""),"++Swamp Stompers: You take only half the effect of environmental hazards +-Cannot be Duplicated")</f>
        <v>++Swamp Stompers: You take only half the effect of environmental hazards +-Cannot be Duplicated</v>
      </c>
      <c r="AG705" s="16" t="str">
        <f>IFERROR(__xludf.DUMMYFUNCTION("""COMPUTED_VALUE"""),"Land of Spira")</f>
        <v>Land of Spira</v>
      </c>
      <c r="AH705" s="16" t="b">
        <f>IFERROR(__xludf.DUMMYFUNCTION("""COMPUTED_VALUE"""),FALSE)</f>
        <v>0</v>
      </c>
    </row>
    <row r="706">
      <c r="A706" s="16" t="str">
        <f>IFERROR(__xludf.DUMMYFUNCTION("""COMPUTED_VALUE"""),"Plague Doctor's Apron")</f>
        <v>Plague Doctor's Apron</v>
      </c>
      <c r="B706" s="16" t="str">
        <f>IFERROR(__xludf.DUMMYFUNCTION("""COMPUTED_VALUE"""),"Torso")</f>
        <v>Torso</v>
      </c>
      <c r="C706" s="16" t="str">
        <f>IFERROR(__xludf.DUMMYFUNCTION("""COMPUTED_VALUE"""),"The thick leather of this apron ensures that accidents with poison are minimalized.")</f>
        <v>The thick leather of this apron ensures that accidents with poison are minimalized.</v>
      </c>
      <c r="D706" s="16"/>
      <c r="E706" s="16">
        <f>IFERROR(__xludf.DUMMYFUNCTION("""COMPUTED_VALUE"""),1.0)</f>
        <v>1</v>
      </c>
      <c r="F706" s="108">
        <f>IFERROR(__xludf.DUMMYFUNCTION("""COMPUTED_VALUE"""),0.0)</f>
        <v>0</v>
      </c>
      <c r="G706" s="16" t="str">
        <f>IFERROR(__xludf.DUMMYFUNCTION("""COMPUTED_VALUE"""),"DEF")</f>
        <v>DEF</v>
      </c>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F706" s="16" t="str">
        <f>IFERROR(__xludf.DUMMYFUNCTION("""COMPUTED_VALUE"""),"++Spllatter Proof: Immune to poison +-Cannot be Duplicated")</f>
        <v>++Spllatter Proof: Immune to poison +-Cannot be Duplicated</v>
      </c>
      <c r="AG706" s="16" t="str">
        <f>IFERROR(__xludf.DUMMYFUNCTION("""COMPUTED_VALUE"""),"Land of Spira")</f>
        <v>Land of Spira</v>
      </c>
      <c r="AH706" s="16" t="b">
        <f>IFERROR(__xludf.DUMMYFUNCTION("""COMPUTED_VALUE"""),FALSE)</f>
        <v>0</v>
      </c>
    </row>
    <row r="707">
      <c r="A707" s="16" t="str">
        <f>IFERROR(__xludf.DUMMYFUNCTION("""COMPUTED_VALUE"""),"Poisonous Hand Crossbow")</f>
        <v>Poisonous Hand Crossbow</v>
      </c>
      <c r="B707" s="16" t="str">
        <f>IFERROR(__xludf.DUMMYFUNCTION("""COMPUTED_VALUE"""),"Hand")</f>
        <v>Hand</v>
      </c>
      <c r="C707" s="16" t="str">
        <f>IFERROR(__xludf.DUMMYFUNCTION("""COMPUTED_VALUE"""),"""Because sometimes the only viable tactic, is a dirty one"" ~Gwennivir")</f>
        <v>"Because sometimes the only viable tactic, is a dirty one" ~Gwennivir</v>
      </c>
      <c r="D707" s="16" t="str">
        <f>IFERROR(__xludf.DUMMYFUNCTION("""COMPUTED_VALUE"""),"Bow")</f>
        <v>Bow</v>
      </c>
      <c r="E707" s="16">
        <f>IFERROR(__xludf.DUMMYFUNCTION("""COMPUTED_VALUE"""),1000.0)</f>
        <v>1000</v>
      </c>
      <c r="F707" s="108">
        <f>IFERROR(__xludf.DUMMYFUNCTION("""COMPUTED_VALUE"""),4.95E7)</f>
        <v>49500000</v>
      </c>
      <c r="G707" s="16" t="str">
        <f>IFERROR(__xludf.DUMMYFUNCTION("""COMPUTED_VALUE"""),"DMG")</f>
        <v>DMG</v>
      </c>
      <c r="H707" s="119">
        <f>IFERROR(__xludf.DUMMYFUNCTION("""COMPUTED_VALUE"""),50000.0)</f>
        <v>50000</v>
      </c>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F707" s="16" t="str">
        <f>IFERROR(__xludf.DUMMYFUNCTION("""COMPUTED_VALUE"""),"++Poisoned I: Hitting an enemy with this weapon inflicts 500 poison")</f>
        <v>++Poisoned I: Hitting an enemy with this weapon inflicts 500 poison</v>
      </c>
      <c r="AG707" s="16" t="str">
        <f>IFERROR(__xludf.DUMMYFUNCTION("""COMPUTED_VALUE"""),"Land of Spira")</f>
        <v>Land of Spira</v>
      </c>
      <c r="AH707" s="16" t="b">
        <f>IFERROR(__xludf.DUMMYFUNCTION("""COMPUTED_VALUE"""),FALSE)</f>
        <v>0</v>
      </c>
    </row>
    <row r="708">
      <c r="A708" s="16" t="str">
        <f>IFERROR(__xludf.DUMMYFUNCTION("""COMPUTED_VALUE"""),"Poison Tipped Knife")</f>
        <v>Poison Tipped Knife</v>
      </c>
      <c r="B708" s="16" t="str">
        <f>IFERROR(__xludf.DUMMYFUNCTION("""COMPUTED_VALUE"""),"Hand")</f>
        <v>Hand</v>
      </c>
      <c r="C708" s="16" t="str">
        <f>IFERROR(__xludf.DUMMYFUNCTION("""COMPUTED_VALUE"""),"""It isn't the most graceful end, and it isn't quick by any means... What, you thought I'd defend it?"" ~Gwennivir")</f>
        <v>"It isn't the most graceful end, and it isn't quick by any means... What, you thought I'd defend it?" ~Gwennivir</v>
      </c>
      <c r="D708" s="16" t="str">
        <f>IFERROR(__xludf.DUMMYFUNCTION("""COMPUTED_VALUE"""),"Knife")</f>
        <v>Knife</v>
      </c>
      <c r="E708" s="16">
        <f>IFERROR(__xludf.DUMMYFUNCTION("""COMPUTED_VALUE"""),1000.0)</f>
        <v>1000</v>
      </c>
      <c r="F708" s="108">
        <f>IFERROR(__xludf.DUMMYFUNCTION("""COMPUTED_VALUE"""),4.95E7)</f>
        <v>49500000</v>
      </c>
      <c r="G708" s="16" t="str">
        <f>IFERROR(__xludf.DUMMYFUNCTION("""COMPUTED_VALUE"""),"DMG")</f>
        <v>DMG</v>
      </c>
      <c r="H708" s="119">
        <f>IFERROR(__xludf.DUMMYFUNCTION("""COMPUTED_VALUE"""),50000.0)</f>
        <v>50000</v>
      </c>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F708" s="16" t="str">
        <f>IFERROR(__xludf.DUMMYFUNCTION("""COMPUTED_VALUE"""),"++Poisoned I: Hitting an enemy with this weapon inflicts 500 poison")</f>
        <v>++Poisoned I: Hitting an enemy with this weapon inflicts 500 poison</v>
      </c>
      <c r="AG708" s="16" t="str">
        <f>IFERROR(__xludf.DUMMYFUNCTION("""COMPUTED_VALUE"""),"Land of Spira")</f>
        <v>Land of Spira</v>
      </c>
      <c r="AH708" s="16" t="b">
        <f>IFERROR(__xludf.DUMMYFUNCTION("""COMPUTED_VALUE"""),FALSE)</f>
        <v>0</v>
      </c>
    </row>
    <row r="709">
      <c r="A709" s="16" t="str">
        <f>IFERROR(__xludf.DUMMYFUNCTION("""COMPUTED_VALUE"""),"Frozen Head-Splitter")</f>
        <v>Frozen Head-Splitter</v>
      </c>
      <c r="B709" s="16" t="str">
        <f>IFERROR(__xludf.DUMMYFUNCTION("""COMPUTED_VALUE"""),"Hand")</f>
        <v>Hand</v>
      </c>
      <c r="C709" s="16" t="str">
        <f>IFERROR(__xludf.DUMMYFUNCTION("""COMPUTED_VALUE"""),"""Those trolls in the northern territories, who do you think taught them how to use those clubs they always carry around? It's as if they simply learned it overnight one day."" ~Mysterious Merchant")</f>
        <v>"Those trolls in the northern territories, who do you think taught them how to use those clubs they always carry around? It's as if they simply learned it overnight one day." ~Mysterious Merchant</v>
      </c>
      <c r="D709" s="16" t="str">
        <f>IFERROR(__xludf.DUMMYFUNCTION("""COMPUTED_VALUE"""),"Club")</f>
        <v>Club</v>
      </c>
      <c r="E709" s="16">
        <f>IFERROR(__xludf.DUMMYFUNCTION("""COMPUTED_VALUE"""),1200.0)</f>
        <v>1200</v>
      </c>
      <c r="F709" s="108">
        <f>IFERROR(__xludf.DUMMYFUNCTION("""COMPUTED_VALUE"""),7.14E7)</f>
        <v>71400000</v>
      </c>
      <c r="G709" s="16" t="str">
        <f>IFERROR(__xludf.DUMMYFUNCTION("""COMPUTED_VALUE"""),"DMG")</f>
        <v>DMG</v>
      </c>
      <c r="H709" s="119">
        <f>IFERROR(__xludf.DUMMYFUNCTION("""COMPUTED_VALUE"""),50000.0)</f>
        <v>50000</v>
      </c>
      <c r="I709" s="16"/>
      <c r="J709" s="16"/>
      <c r="K709" s="16"/>
      <c r="L709" s="119">
        <f>IFERROR(__xludf.DUMMYFUNCTION("""COMPUTED_VALUE"""),10000.0)</f>
        <v>10000</v>
      </c>
      <c r="M709" s="16"/>
      <c r="N709" s="16"/>
      <c r="O709" s="16"/>
      <c r="P709" s="16"/>
      <c r="Q709" s="16"/>
      <c r="R709" s="16"/>
      <c r="S709" s="16"/>
      <c r="T709" s="16"/>
      <c r="U709" s="16"/>
      <c r="V709" s="16"/>
      <c r="W709" s="16"/>
      <c r="X709" s="16"/>
      <c r="Y709" s="16"/>
      <c r="Z709" s="16"/>
      <c r="AA709" s="16"/>
      <c r="AB709" s="16"/>
      <c r="AC709" s="16"/>
      <c r="AD709" s="16"/>
      <c r="AE709" s="16"/>
      <c r="AF709" s="16" t="str">
        <f>IFERROR(__xludf.DUMMYFUNCTION("""COMPUTED_VALUE"""),"++Big Bashin' Stick - 25% chance to stun an enemy upon hitting them for 2 rounds(percent stacks with weapon ability), ++Big Freezin' Stick - 15% chance to freeze an enemy upon hitting them")</f>
        <v>++Big Bashin' Stick - 25% chance to stun an enemy upon hitting them for 2 rounds(percent stacks with weapon ability), ++Big Freezin' Stick - 15% chance to freeze an enemy upon hitting them</v>
      </c>
      <c r="AG709" s="16" t="str">
        <f>IFERROR(__xludf.DUMMYFUNCTION("""COMPUTED_VALUE"""),"Land of Spira")</f>
        <v>Land of Spira</v>
      </c>
      <c r="AH709" s="16" t="b">
        <f>IFERROR(__xludf.DUMMYFUNCTION("""COMPUTED_VALUE"""),FALSE)</f>
        <v>0</v>
      </c>
    </row>
    <row r="710">
      <c r="A710" s="16" t="str">
        <f>IFERROR(__xludf.DUMMYFUNCTION("""COMPUTED_VALUE"""),"Fireball Cannon")</f>
        <v>Fireball Cannon</v>
      </c>
      <c r="B710" s="16" t="str">
        <f>IFERROR(__xludf.DUMMYFUNCTION("""COMPUTED_VALUE"""),"BoatGun")</f>
        <v>BoatGun</v>
      </c>
      <c r="C710" s="16" t="str">
        <f>IFERROR(__xludf.DUMMYFUNCTION("""COMPUTED_VALUE"""),"""Sometimes fire is the only answer to the question,"" ~Gwennivir")</f>
        <v>"Sometimes fire is the only answer to the question," ~Gwennivir</v>
      </c>
      <c r="D710" s="16" t="str">
        <f>IFERROR(__xludf.DUMMYFUNCTION("""COMPUTED_VALUE"""),"Firearm")</f>
        <v>Firearm</v>
      </c>
      <c r="E710" s="16">
        <f>IFERROR(__xludf.DUMMYFUNCTION("""COMPUTED_VALUE"""),1000.0)</f>
        <v>1000</v>
      </c>
      <c r="F710" s="108">
        <f>IFERROR(__xludf.DUMMYFUNCTION("""COMPUTED_VALUE"""),4.95E7)</f>
        <v>49500000</v>
      </c>
      <c r="G710" s="119" t="str">
        <f>IFERROR(__xludf.DUMMYFUNCTION("""COMPUTED_VALUE"""),"DMG")</f>
        <v>DMG</v>
      </c>
      <c r="H710" s="119">
        <f>IFERROR(__xludf.DUMMYFUNCTION("""COMPUTED_VALUE"""),30000.0)</f>
        <v>30000</v>
      </c>
      <c r="I710" s="119">
        <f>IFERROR(__xludf.DUMMYFUNCTION("""COMPUTED_VALUE"""),20000.0)</f>
        <v>20000</v>
      </c>
      <c r="J710" s="16"/>
      <c r="K710" s="16"/>
      <c r="L710" s="16"/>
      <c r="M710" s="16"/>
      <c r="N710" s="16"/>
      <c r="O710" s="16"/>
      <c r="P710" s="16"/>
      <c r="Q710" s="16"/>
      <c r="R710" s="16"/>
      <c r="S710" s="16"/>
      <c r="T710" s="16"/>
      <c r="U710" s="16"/>
      <c r="V710" s="16"/>
      <c r="W710" s="16"/>
      <c r="X710" s="16"/>
      <c r="Y710" s="16"/>
      <c r="Z710" s="16"/>
      <c r="AA710" s="16"/>
      <c r="AB710" s="16"/>
      <c r="AC710" s="16"/>
      <c r="AD710" s="16"/>
      <c r="AE710" s="16"/>
      <c r="AF710" s="16" t="str">
        <f>IFERROR(__xludf.DUMMYFUNCTION("""COMPUTED_VALUE"""),"++Burn 10,000. ++Requires Fire Cannon Balls")</f>
        <v>++Burn 10,000. ++Requires Fire Cannon Balls</v>
      </c>
      <c r="AG710" s="16" t="str">
        <f>IFERROR(__xludf.DUMMYFUNCTION("""COMPUTED_VALUE"""),"Land of Spira")</f>
        <v>Land of Spira</v>
      </c>
      <c r="AH710" s="16" t="b">
        <f>IFERROR(__xludf.DUMMYFUNCTION("""COMPUTED_VALUE"""),FALSE)</f>
        <v>0</v>
      </c>
    </row>
    <row r="711">
      <c r="A711" s="16" t="str">
        <f>IFERROR(__xludf.DUMMYFUNCTION("""COMPUTED_VALUE"""),"Harpoon Gun")</f>
        <v>Harpoon Gun</v>
      </c>
      <c r="B711" s="16" t="str">
        <f>IFERROR(__xludf.DUMMYFUNCTION("""COMPUTED_VALUE"""),"BoatGun")</f>
        <v>BoatGun</v>
      </c>
      <c r="C711" s="16" t="str">
        <f>IFERROR(__xludf.DUMMYFUNCTION("""COMPUTED_VALUE"""),"""You could use this for whaling and shark hunting, or you could use it to catch a few pirates, I don't judge,"" ~Gwennivir")</f>
        <v>"You could use this for whaling and shark hunting, or you could use it to catch a few pirates, I don't judge," ~Gwennivir</v>
      </c>
      <c r="D711" s="16" t="str">
        <f>IFERROR(__xludf.DUMMYFUNCTION("""COMPUTED_VALUE"""),"Spear")</f>
        <v>Spear</v>
      </c>
      <c r="E711" s="16">
        <f>IFERROR(__xludf.DUMMYFUNCTION("""COMPUTED_VALUE"""),400.0)</f>
        <v>400</v>
      </c>
      <c r="F711" s="108">
        <f>IFERROR(__xludf.DUMMYFUNCTION("""COMPUTED_VALUE"""),7800000.0)</f>
        <v>7800000</v>
      </c>
      <c r="G711" s="16" t="str">
        <f>IFERROR(__xludf.DUMMYFUNCTION("""COMPUTED_VALUE"""),"DMG")</f>
        <v>DMG</v>
      </c>
      <c r="H711" s="119">
        <f>IFERROR(__xludf.DUMMYFUNCTION("""COMPUTED_VALUE"""),10000.0)</f>
        <v>10000</v>
      </c>
      <c r="I711" s="16"/>
      <c r="J711" s="16"/>
      <c r="K711" s="16"/>
      <c r="L711" s="16"/>
      <c r="M711" s="16"/>
      <c r="N711" s="16"/>
      <c r="O711" s="16"/>
      <c r="P711" s="16"/>
      <c r="Q711" s="16"/>
      <c r="R711" s="16"/>
      <c r="S711" s="16"/>
      <c r="T711" s="16"/>
      <c r="U711" s="16"/>
      <c r="V711" s="16"/>
      <c r="W711" s="16"/>
      <c r="X711" s="16"/>
      <c r="Y711" s="119">
        <f>IFERROR(__xludf.DUMMYFUNCTION("""COMPUTED_VALUE"""),10000.0)</f>
        <v>10000</v>
      </c>
      <c r="Z711" s="16"/>
      <c r="AA711" s="16"/>
      <c r="AB711" s="16"/>
      <c r="AC711" s="16"/>
      <c r="AD711" s="16"/>
      <c r="AE711" s="16"/>
      <c r="AF711" s="16" t="str">
        <f>IFERROR(__xludf.DUMMYFUNCTION("""COMPUTED_VALUE"""),"++Bleed 10,000. ")</f>
        <v>++Bleed 10,000. </v>
      </c>
      <c r="AG711" s="16" t="str">
        <f>IFERROR(__xludf.DUMMYFUNCTION("""COMPUTED_VALUE"""),"Land of Spira")</f>
        <v>Land of Spira</v>
      </c>
      <c r="AH711" s="16" t="b">
        <f>IFERROR(__xludf.DUMMYFUNCTION("""COMPUTED_VALUE"""),FALSE)</f>
        <v>0</v>
      </c>
    </row>
    <row r="712">
      <c r="A712" s="16" t="str">
        <f>IFERROR(__xludf.DUMMYFUNCTION("""COMPUTED_VALUE"""),"Torpedo Launcher")</f>
        <v>Torpedo Launcher</v>
      </c>
      <c r="B712" s="16" t="str">
        <f>IFERROR(__xludf.DUMMYFUNCTION("""COMPUTED_VALUE"""),"BoatGun")</f>
        <v>BoatGun</v>
      </c>
      <c r="C712" s="16" t="str">
        <f>IFERROR(__xludf.DUMMYFUNCTION("""COMPUTED_VALUE"""),"""Sometimes you need a little more bang for your buck, in those times you need a torpedo,"" ~Gwennivir")</f>
        <v>"Sometimes you need a little more bang for your buck, in those times you need a torpedo," ~Gwennivir</v>
      </c>
      <c r="D712" s="16" t="str">
        <f>IFERROR(__xludf.DUMMYFUNCTION("""COMPUTED_VALUE"""),"Firearm")</f>
        <v>Firearm</v>
      </c>
      <c r="E712" s="16">
        <f>IFERROR(__xludf.DUMMYFUNCTION("""COMPUTED_VALUE"""),1000.0)</f>
        <v>1000</v>
      </c>
      <c r="F712" s="108">
        <f>IFERROR(__xludf.DUMMYFUNCTION("""COMPUTED_VALUE"""),4.95E7)</f>
        <v>49500000</v>
      </c>
      <c r="G712" s="16" t="str">
        <f>IFERROR(__xludf.DUMMYFUNCTION("""COMPUTED_VALUE"""),"DMG")</f>
        <v>DMG</v>
      </c>
      <c r="H712" s="119">
        <f>IFERROR(__xludf.DUMMYFUNCTION("""COMPUTED_VALUE"""),50000.0)</f>
        <v>50000</v>
      </c>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F712" s="16" t="str">
        <f>IFERROR(__xludf.DUMMYFUNCTION("""COMPUTED_VALUE"""),"++ Requires Torpedos")</f>
        <v>++ Requires Torpedos</v>
      </c>
      <c r="AG712" s="16" t="str">
        <f>IFERROR(__xludf.DUMMYFUNCTION("""COMPUTED_VALUE"""),"Land of Spira")</f>
        <v>Land of Spira</v>
      </c>
      <c r="AH712" s="16" t="b">
        <f>IFERROR(__xludf.DUMMYFUNCTION("""COMPUTED_VALUE"""),FALSE)</f>
        <v>0</v>
      </c>
    </row>
    <row r="713">
      <c r="A713" s="16" t="str">
        <f>IFERROR(__xludf.DUMMYFUNCTION("""COMPUTED_VALUE"""),"Double Barrel Shotgun")</f>
        <v>Double Barrel Shotgun</v>
      </c>
      <c r="B713" s="16" t="str">
        <f>IFERROR(__xludf.DUMMYFUNCTION("""COMPUTED_VALUE"""),"Hand")</f>
        <v>Hand</v>
      </c>
      <c r="C713" s="16" t="str">
        <f>IFERROR(__xludf.DUMMYFUNCTION("""COMPUTED_VALUE"""),"""Because what's better than one barrel? Two,"" ~Gwennivir")</f>
        <v>"Because what's better than one barrel? Two," ~Gwennivir</v>
      </c>
      <c r="D713" s="16" t="str">
        <f>IFERROR(__xludf.DUMMYFUNCTION("""COMPUTED_VALUE"""),"Firearm")</f>
        <v>Firearm</v>
      </c>
      <c r="E713" s="16">
        <f>IFERROR(__xludf.DUMMYFUNCTION("""COMPUTED_VALUE"""),800.0)</f>
        <v>800</v>
      </c>
      <c r="F713" s="108">
        <f>IFERROR(__xludf.DUMMYFUNCTION("""COMPUTED_VALUE"""),3.16E7)</f>
        <v>31600000</v>
      </c>
      <c r="G713" s="16" t="str">
        <f>IFERROR(__xludf.DUMMYFUNCTION("""COMPUTED_VALUE"""),"DMG")</f>
        <v>DMG</v>
      </c>
      <c r="H713" s="119">
        <f>IFERROR(__xludf.DUMMYFUNCTION("""COMPUTED_VALUE"""),20000.0)</f>
        <v>20000</v>
      </c>
      <c r="I713" s="16"/>
      <c r="J713" s="16"/>
      <c r="K713" s="16"/>
      <c r="L713" s="16"/>
      <c r="M713" s="16"/>
      <c r="N713" s="16"/>
      <c r="O713" s="16"/>
      <c r="P713" s="16"/>
      <c r="Q713" s="16"/>
      <c r="R713" s="16"/>
      <c r="S713" s="16"/>
      <c r="T713" s="16"/>
      <c r="U713" s="16"/>
      <c r="V713" s="16"/>
      <c r="W713" s="16"/>
      <c r="X713" s="16"/>
      <c r="Y713" s="119">
        <f>IFERROR(__xludf.DUMMYFUNCTION("""COMPUTED_VALUE"""),20000.0)</f>
        <v>20000</v>
      </c>
      <c r="Z713" s="16"/>
      <c r="AA713" s="16"/>
      <c r="AB713" s="16"/>
      <c r="AC713" s="16"/>
      <c r="AD713" s="16"/>
      <c r="AE713" s="16"/>
      <c r="AF713" s="16" t="str">
        <f>IFERROR(__xludf.DUMMYFUNCTION("""COMPUTED_VALUE"""),"++You can use this Firearm twice on your turn during battle if you attack with it +-Cannot be forged +-Cannot be duplicated")</f>
        <v>++You can use this Firearm twice on your turn during battle if you attack with it +-Cannot be forged +-Cannot be duplicated</v>
      </c>
      <c r="AG713" s="16" t="str">
        <f>IFERROR(__xludf.DUMMYFUNCTION("""COMPUTED_VALUE"""),"Land of Spira")</f>
        <v>Land of Spira</v>
      </c>
      <c r="AH713" s="16" t="b">
        <f>IFERROR(__xludf.DUMMYFUNCTION("""COMPUTED_VALUE"""),FALSE)</f>
        <v>0</v>
      </c>
    </row>
    <row r="714">
      <c r="A714" s="16" t="str">
        <f>IFERROR(__xludf.DUMMYFUNCTION("""COMPUTED_VALUE"""),"Single Barrel Shotgun")</f>
        <v>Single Barrel Shotgun</v>
      </c>
      <c r="B714" s="16" t="str">
        <f>IFERROR(__xludf.DUMMYFUNCTION("""COMPUTED_VALUE"""),"Hand")</f>
        <v>Hand</v>
      </c>
      <c r="C714" s="16" t="str">
        <f>IFERROR(__xludf.DUMMYFUNCTION("""COMPUTED_VALUE"""),"""For when you want to put more than one hole in your enemies at a time"" ~Gwennivir")</f>
        <v>"For when you want to put more than one hole in your enemies at a time" ~Gwennivir</v>
      </c>
      <c r="D714" s="16" t="str">
        <f>IFERROR(__xludf.DUMMYFUNCTION("""COMPUTED_VALUE"""),"Firearm")</f>
        <v>Firearm</v>
      </c>
      <c r="E714" s="16">
        <f>IFERROR(__xludf.DUMMYFUNCTION("""COMPUTED_VALUE"""),400.0)</f>
        <v>400</v>
      </c>
      <c r="F714" s="108">
        <f>IFERROR(__xludf.DUMMYFUNCTION("""COMPUTED_VALUE"""),7800000.0)</f>
        <v>7800000</v>
      </c>
      <c r="G714" s="16" t="str">
        <f>IFERROR(__xludf.DUMMYFUNCTION("""COMPUTED_VALUE"""),"DMG")</f>
        <v>DMG</v>
      </c>
      <c r="H714" s="119">
        <f>IFERROR(__xludf.DUMMYFUNCTION("""COMPUTED_VALUE"""),10000.0)</f>
        <v>10000</v>
      </c>
      <c r="I714" s="16"/>
      <c r="J714" s="16"/>
      <c r="K714" s="16"/>
      <c r="L714" s="16"/>
      <c r="M714" s="16"/>
      <c r="N714" s="16"/>
      <c r="O714" s="16"/>
      <c r="P714" s="16"/>
      <c r="Q714" s="16"/>
      <c r="R714" s="16"/>
      <c r="S714" s="16"/>
      <c r="T714" s="16"/>
      <c r="U714" s="16"/>
      <c r="V714" s="16"/>
      <c r="W714" s="16"/>
      <c r="X714" s="16"/>
      <c r="Y714" s="119">
        <f>IFERROR(__xludf.DUMMYFUNCTION("""COMPUTED_VALUE"""),10000.0)</f>
        <v>10000</v>
      </c>
      <c r="Z714" s="16"/>
      <c r="AA714" s="16"/>
      <c r="AB714" s="16"/>
      <c r="AC714" s="16"/>
      <c r="AD714" s="16"/>
      <c r="AE714" s="16"/>
      <c r="AF714" s="16"/>
      <c r="AG714" s="16" t="str">
        <f>IFERROR(__xludf.DUMMYFUNCTION("""COMPUTED_VALUE"""),"Land of Spira")</f>
        <v>Land of Spira</v>
      </c>
      <c r="AH714" s="16" t="b">
        <f>IFERROR(__xludf.DUMMYFUNCTION("""COMPUTED_VALUE"""),FALSE)</f>
        <v>0</v>
      </c>
    </row>
    <row r="715">
      <c r="A715" s="16" t="str">
        <f>IFERROR(__xludf.DUMMYFUNCTION("""COMPUTED_VALUE"""),"Poison Staff")</f>
        <v>Poison Staff</v>
      </c>
      <c r="B715" s="16" t="str">
        <f>IFERROR(__xludf.DUMMYFUNCTION("""COMPUTED_VALUE"""),"Hand")</f>
        <v>Hand</v>
      </c>
      <c r="C715" s="16" t="str">
        <f>IFERROR(__xludf.DUMMYFUNCTION("""COMPUTED_VALUE"""),"""Poison is generally looked down upon as a cowardly tactic by all but the poison master, but you must admit to it's efficieny"" ~Poison Master Hun")</f>
        <v>"Poison is generally looked down upon as a cowardly tactic by all but the poison master, but you must admit to it's efficieny" ~Poison Master Hun</v>
      </c>
      <c r="D715" s="16" t="str">
        <f>IFERROR(__xludf.DUMMYFUNCTION("""COMPUTED_VALUE"""),"Staff")</f>
        <v>Staff</v>
      </c>
      <c r="E715" s="16">
        <f>IFERROR(__xludf.DUMMYFUNCTION("""COMPUTED_VALUE"""),2000.0)</f>
        <v>2000</v>
      </c>
      <c r="F715" s="108">
        <f>IFERROR(__xludf.DUMMYFUNCTION("""COMPUTED_VALUE"""),1.99E8)</f>
        <v>199000000</v>
      </c>
      <c r="G715" s="16" t="str">
        <f>IFERROR(__xludf.DUMMYFUNCTION("""COMPUTED_VALUE"""),"DMG")</f>
        <v>DMG</v>
      </c>
      <c r="H715" s="16"/>
      <c r="I715" s="16"/>
      <c r="J715" s="16"/>
      <c r="K715" s="16"/>
      <c r="L715" s="16"/>
      <c r="M715" s="16"/>
      <c r="N715" s="16"/>
      <c r="O715" s="16"/>
      <c r="P715" s="16"/>
      <c r="Q715" s="16"/>
      <c r="R715" s="16"/>
      <c r="S715" s="119">
        <f>IFERROR(__xludf.DUMMYFUNCTION("""COMPUTED_VALUE"""),100000.0)</f>
        <v>100000</v>
      </c>
      <c r="T715" s="16"/>
      <c r="U715" s="16"/>
      <c r="V715" s="16"/>
      <c r="W715" s="16"/>
      <c r="X715" s="16"/>
      <c r="Y715" s="16"/>
      <c r="Z715" s="16"/>
      <c r="AA715" s="16"/>
      <c r="AB715" s="16"/>
      <c r="AC715" s="16"/>
      <c r="AD715" s="16"/>
      <c r="AE715" s="16"/>
      <c r="AF715" s="16" t="str">
        <f>IFERROR(__xludf.DUMMYFUNCTION("""COMPUTED_VALUE"""),"++ Poison 20,000")</f>
        <v>++ Poison 20,000</v>
      </c>
      <c r="AG715" s="16" t="str">
        <f>IFERROR(__xludf.DUMMYFUNCTION("""COMPUTED_VALUE"""),"Dragonscale Island")</f>
        <v>Dragonscale Island</v>
      </c>
      <c r="AH715" s="16" t="b">
        <f>IFERROR(__xludf.DUMMYFUNCTION("""COMPUTED_VALUE"""),FALSE)</f>
        <v>0</v>
      </c>
    </row>
    <row r="716">
      <c r="A716" s="16" t="str">
        <f>IFERROR(__xludf.DUMMYFUNCTION("""COMPUTED_VALUE"""),"Chameldrians Staff of Thriving Blossoms")</f>
        <v>Chameldrians Staff of Thriving Blossoms</v>
      </c>
      <c r="B716" s="16" t="str">
        <f>IFERROR(__xludf.DUMMYFUNCTION("""COMPUTED_VALUE"""),"Hand")</f>
        <v>Hand</v>
      </c>
      <c r="C716" s="16" t="str">
        <f>IFERROR(__xludf.DUMMYFUNCTION("""COMPUTED_VALUE"""),"""Truly a beatiful show of Chameldrian craftsmanship, too bad it's more often than not going to be pointed at you"" ~Poison Master Hun")</f>
        <v>"Truly a beatiful show of Chameldrian craftsmanship, too bad it's more often than not going to be pointed at you" ~Poison Master Hun</v>
      </c>
      <c r="D716" s="16" t="str">
        <f>IFERROR(__xludf.DUMMYFUNCTION("""COMPUTED_VALUE"""),"Staff")</f>
        <v>Staff</v>
      </c>
      <c r="E716" s="16">
        <f>IFERROR(__xludf.DUMMYFUNCTION("""COMPUTED_VALUE"""),2000.0)</f>
        <v>2000</v>
      </c>
      <c r="F716" s="108">
        <f>IFERROR(__xludf.DUMMYFUNCTION("""COMPUTED_VALUE"""),1.99E8)</f>
        <v>199000000</v>
      </c>
      <c r="G716" s="16"/>
      <c r="H716" s="16"/>
      <c r="I716" s="16"/>
      <c r="J716" s="16"/>
      <c r="K716" s="16"/>
      <c r="L716" s="16"/>
      <c r="M716" s="16"/>
      <c r="N716" s="16"/>
      <c r="O716" s="16"/>
      <c r="P716" s="16"/>
      <c r="Q716" s="16"/>
      <c r="R716" s="16"/>
      <c r="S716" s="119">
        <f>IFERROR(__xludf.DUMMYFUNCTION("""COMPUTED_VALUE"""),100000.0)</f>
        <v>100000</v>
      </c>
      <c r="T716" s="16"/>
      <c r="U716" s="16"/>
      <c r="V716" s="16"/>
      <c r="W716" s="16"/>
      <c r="X716" s="16"/>
      <c r="Y716" s="16"/>
      <c r="Z716" s="16"/>
      <c r="AA716" s="16"/>
      <c r="AB716" s="16"/>
      <c r="AC716" s="16"/>
      <c r="AD716" s="16"/>
      <c r="AE716" s="16"/>
      <c r="AF716" s="16" t="str">
        <f>IFERROR(__xludf.DUMMYFUNCTION("""COMPUTED_VALUE"""),"++Natures Shield - If you take damage that would kill you, you will live at 1hp once per battle. +-Cannot be forged. +-Cannot be duplicated.")</f>
        <v>++Natures Shield - If you take damage that would kill you, you will live at 1hp once per battle. +-Cannot be forged. +-Cannot be duplicated.</v>
      </c>
      <c r="AG716" s="16" t="str">
        <f>IFERROR(__xludf.DUMMYFUNCTION("""COMPUTED_VALUE"""),"Dragonscale Island")</f>
        <v>Dragonscale Island</v>
      </c>
      <c r="AH716" s="16" t="b">
        <f>IFERROR(__xludf.DUMMYFUNCTION("""COMPUTED_VALUE"""),FALSE)</f>
        <v>0</v>
      </c>
    </row>
    <row r="717">
      <c r="A717" s="16" t="str">
        <f>IFERROR(__xludf.DUMMYFUNCTION("""COMPUTED_VALUE"""),"Cooper's Memento")</f>
        <v>Cooper's Memento</v>
      </c>
      <c r="B717" s="16" t="str">
        <f>IFERROR(__xludf.DUMMYFUNCTION("""COMPUTED_VALUE"""),"Arms")</f>
        <v>Arms</v>
      </c>
      <c r="C717" s="16" t="str">
        <f>IFERROR(__xludf.DUMMYFUNCTION("""COMPUTED_VALUE"""),"A small stopwatch, the ticking has stopped.")</f>
        <v>A small stopwatch, the ticking has stopped.</v>
      </c>
      <c r="D717" s="16" t="str">
        <f>IFERROR(__xludf.DUMMYFUNCTION("""COMPUTED_VALUE"""),"Item")</f>
        <v>Item</v>
      </c>
      <c r="E717" s="16">
        <f>IFERROR(__xludf.DUMMYFUNCTION("""COMPUTED_VALUE"""),1.0)</f>
        <v>1</v>
      </c>
      <c r="F717" s="108">
        <f>IFERROR(__xludf.DUMMYFUNCTION("""COMPUTED_VALUE"""),0.0)</f>
        <v>0</v>
      </c>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F717" s="16" t="str">
        <f>IFERROR(__xludf.DUMMYFUNCTION("""COMPUTED_VALUE"""),"++15% chance to be unaffected by a curse")</f>
        <v>++15% chance to be unaffected by a curse</v>
      </c>
      <c r="AG717" s="16" t="str">
        <f>IFERROR(__xludf.DUMMYFUNCTION("""COMPUTED_VALUE"""),"Land of Spira")</f>
        <v>Land of Spira</v>
      </c>
      <c r="AH717" s="16" t="b">
        <f>IFERROR(__xludf.DUMMYFUNCTION("""COMPUTED_VALUE"""),FALSE)</f>
        <v>0</v>
      </c>
    </row>
    <row r="718">
      <c r="A718" s="16" t="str">
        <f>IFERROR(__xludf.DUMMYFUNCTION("""COMPUTED_VALUE"""),"Gaian Champion's Shield")</f>
        <v>Gaian Champion's Shield</v>
      </c>
      <c r="B718" s="16" t="str">
        <f>IFERROR(__xludf.DUMMYFUNCTION("""COMPUTED_VALUE"""),"Hand")</f>
        <v>Hand</v>
      </c>
      <c r="C718" s="16" t="str">
        <f>IFERROR(__xludf.DUMMYFUNCTION("""COMPUTED_VALUE"""),"""We are born to be the shield of the people, too many paladins forget this simple fact"" ~Grisaia")</f>
        <v>"We are born to be the shield of the people, too many paladins forget this simple fact" ~Grisaia</v>
      </c>
      <c r="D718" s="16" t="str">
        <f>IFERROR(__xludf.DUMMYFUNCTION("""COMPUTED_VALUE"""),"Towershield")</f>
        <v>Towershield</v>
      </c>
      <c r="E718" s="16">
        <f>IFERROR(__xludf.DUMMYFUNCTION("""COMPUTED_VALUE"""),200.0)</f>
        <v>200</v>
      </c>
      <c r="F718" s="108">
        <f>IFERROR(__xludf.DUMMYFUNCTION("""COMPUTED_VALUE"""),1.2475E9)</f>
        <v>1247500000</v>
      </c>
      <c r="G718" s="16" t="str">
        <f>IFERROR(__xludf.DUMMYFUNCTION("""COMPUTED_VALUE"""),"DEF")</f>
        <v>DEF</v>
      </c>
      <c r="H718" s="119">
        <f>IFERROR(__xludf.DUMMYFUNCTION("""COMPUTED_VALUE"""),50000.0)</f>
        <v>50000</v>
      </c>
      <c r="I718" s="119">
        <f>IFERROR(__xludf.DUMMYFUNCTION("""COMPUTED_VALUE"""),50000.0)</f>
        <v>50000</v>
      </c>
      <c r="J718" s="16"/>
      <c r="K718" s="16"/>
      <c r="L718" s="119">
        <f>IFERROR(__xludf.DUMMYFUNCTION("""COMPUTED_VALUE"""),50000.0)</f>
        <v>50000</v>
      </c>
      <c r="M718" s="119">
        <f>IFERROR(__xludf.DUMMYFUNCTION("""COMPUTED_VALUE"""),50000.0)</f>
        <v>50000</v>
      </c>
      <c r="N718" s="16"/>
      <c r="O718" s="16"/>
      <c r="P718" s="16"/>
      <c r="Q718" s="16"/>
      <c r="R718" s="16"/>
      <c r="S718" s="16"/>
      <c r="T718" s="16"/>
      <c r="U718" s="16"/>
      <c r="V718" s="16"/>
      <c r="W718" s="16"/>
      <c r="X718" s="16"/>
      <c r="Y718" s="16"/>
      <c r="Z718" s="16"/>
      <c r="AA718" s="16"/>
      <c r="AB718" s="16"/>
      <c r="AC718" s="119">
        <f>IFERROR(__xludf.DUMMYFUNCTION("""COMPUTED_VALUE"""),50000.0)</f>
        <v>50000</v>
      </c>
      <c r="AD718" s="16"/>
      <c r="AE718" s="16"/>
      <c r="AF718" s="16" t="str">
        <f>IFERROR(__xludf.DUMMYFUNCTION("""COMPUTED_VALUE"""),"++15% chance to prevent an ally from taking damage when hit by an attack. ++X6 Earth Damage +-Cannot be Duplicated")</f>
        <v>++15% chance to prevent an ally from taking damage when hit by an attack. ++X6 Earth Damage +-Cannot be Duplicated</v>
      </c>
      <c r="AG718" s="16" t="str">
        <f>IFERROR(__xludf.DUMMYFUNCTION("""COMPUTED_VALUE"""),"Land of Spira")</f>
        <v>Land of Spira</v>
      </c>
      <c r="AH718" s="16" t="b">
        <f>IFERROR(__xludf.DUMMYFUNCTION("""COMPUTED_VALUE"""),FALSE)</f>
        <v>0</v>
      </c>
    </row>
    <row r="719">
      <c r="A719" s="16" t="str">
        <f>IFERROR(__xludf.DUMMYFUNCTION("""COMPUTED_VALUE"""),"The Billowing Bludgeon")</f>
        <v>The Billowing Bludgeon</v>
      </c>
      <c r="B719" s="16" t="str">
        <f>IFERROR(__xludf.DUMMYFUNCTION("""COMPUTED_VALUE"""),"Hand")</f>
        <v>Hand</v>
      </c>
      <c r="C719" s="16" t="str">
        <f>IFERROR(__xludf.DUMMYFUNCTION("""COMPUTED_VALUE"""),"""Sure, you could use this as how a staff is supposed to be used, but hitting your enemy on the head with it is more fun"" ~Fire Tiki Mountain Shaman")</f>
        <v>"Sure, you could use this as how a staff is supposed to be used, but hitting your enemy on the head with it is more fun" ~Fire Tiki Mountain Shaman</v>
      </c>
      <c r="D719" s="16" t="str">
        <f>IFERROR(__xludf.DUMMYFUNCTION("""COMPUTED_VALUE"""),"Staff")</f>
        <v>Staff</v>
      </c>
      <c r="E719" s="16">
        <f>IFERROR(__xludf.DUMMYFUNCTION("""COMPUTED_VALUE"""),200.0)</f>
        <v>200</v>
      </c>
      <c r="F719" s="108">
        <f>IFERROR(__xludf.DUMMYFUNCTION("""COMPUTED_VALUE"""),1.797E9)</f>
        <v>1797000000</v>
      </c>
      <c r="G719" s="16" t="str">
        <f>IFERROR(__xludf.DUMMYFUNCTION("""COMPUTED_VALUE"""),"DMG")</f>
        <v>DMG</v>
      </c>
      <c r="H719" s="119">
        <f>IFERROR(__xludf.DUMMYFUNCTION("""COMPUTED_VALUE"""),75000.0)</f>
        <v>75000</v>
      </c>
      <c r="I719" s="119">
        <f>IFERROR(__xludf.DUMMYFUNCTION("""COMPUTED_VALUE"""),75000.0)</f>
        <v>75000</v>
      </c>
      <c r="J719" s="16"/>
      <c r="K719" s="16"/>
      <c r="L719" s="16"/>
      <c r="M719" s="119">
        <f>IFERROR(__xludf.DUMMYFUNCTION("""COMPUTED_VALUE"""),75000.0)</f>
        <v>75000</v>
      </c>
      <c r="N719" s="16"/>
      <c r="O719" s="16"/>
      <c r="P719" s="16"/>
      <c r="Q719" s="16"/>
      <c r="R719" s="16"/>
      <c r="S719" s="16"/>
      <c r="T719" s="16"/>
      <c r="U719" s="16"/>
      <c r="V719" s="16"/>
      <c r="W719" s="16"/>
      <c r="X719" s="16"/>
      <c r="Y719" s="16"/>
      <c r="Z719" s="16"/>
      <c r="AA719" s="16"/>
      <c r="AB719" s="16"/>
      <c r="AC719" s="119">
        <f>IFERROR(__xludf.DUMMYFUNCTION("""COMPUTED_VALUE"""),75000.0)</f>
        <v>75000</v>
      </c>
      <c r="AD719" s="16"/>
      <c r="AE719" s="16"/>
      <c r="AF719" s="16" t="str">
        <f>IFERROR(__xludf.DUMMYFUNCTION("""COMPUTED_VALUE"""),"++X6 Earth and Fire damage. ++Additional X6 Earth and Fire damage if the enemy is Vulerable to either damage type. ++Billowing Smoke - Cover the field in smoke and flames giving enemies Blindness 3 and Burn 5000 for 3 rounds. 1000 sp")</f>
        <v>++X6 Earth and Fire damage. ++Additional X6 Earth and Fire damage if the enemy is Vulerable to either damage type. ++Billowing Smoke - Cover the field in smoke and flames giving enemies Blindness 3 and Burn 5000 for 3 rounds. 1000 sp</v>
      </c>
      <c r="AG719" s="16" t="str">
        <f>IFERROR(__xludf.DUMMYFUNCTION("""COMPUTED_VALUE"""),"Land of Spira")</f>
        <v>Land of Spira</v>
      </c>
      <c r="AH719" s="16" t="b">
        <f>IFERROR(__xludf.DUMMYFUNCTION("""COMPUTED_VALUE"""),FALSE)</f>
        <v>0</v>
      </c>
    </row>
    <row r="720">
      <c r="A720" s="16" t="str">
        <f>IFERROR(__xludf.DUMMYFUNCTION("""COMPUTED_VALUE"""),"Home Run Bat")</f>
        <v>Home Run Bat</v>
      </c>
      <c r="B720" s="16" t="str">
        <f>IFERROR(__xludf.DUMMYFUNCTION("""COMPUTED_VALUE"""),"Hand")</f>
        <v>Hand</v>
      </c>
      <c r="C720" s="16"/>
      <c r="D720" s="16" t="str">
        <f>IFERROR(__xludf.DUMMYFUNCTION("""COMPUTED_VALUE"""),"Club")</f>
        <v>Club</v>
      </c>
      <c r="E720" s="16">
        <f>IFERROR(__xludf.DUMMYFUNCTION("""COMPUTED_VALUE"""),200.0)</f>
        <v>200</v>
      </c>
      <c r="F720" s="108">
        <f>IFERROR(__xludf.DUMMYFUNCTION("""COMPUTED_VALUE"""),7.98E8)</f>
        <v>798000000</v>
      </c>
      <c r="G720" s="16" t="str">
        <f>IFERROR(__xludf.DUMMYFUNCTION("""COMPUTED_VALUE"""),"DMG")</f>
        <v>DMG</v>
      </c>
      <c r="H720" s="119">
        <f>IFERROR(__xludf.DUMMYFUNCTION("""COMPUTED_VALUE"""),100000.0)</f>
        <v>100000</v>
      </c>
      <c r="I720" s="16"/>
      <c r="J720" s="16"/>
      <c r="K720" s="16"/>
      <c r="L720" s="16"/>
      <c r="M720" s="16"/>
      <c r="N720" s="16"/>
      <c r="O720" s="16"/>
      <c r="P720" s="16"/>
      <c r="Q720" s="16"/>
      <c r="R720" s="16"/>
      <c r="S720" s="16"/>
      <c r="T720" s="16"/>
      <c r="U720" s="16"/>
      <c r="V720" s="16"/>
      <c r="W720" s="16"/>
      <c r="X720" s="16"/>
      <c r="Y720" s="16"/>
      <c r="Z720" s="16"/>
      <c r="AA720" s="16"/>
      <c r="AB720" s="16"/>
      <c r="AC720" s="119">
        <f>IFERROR(__xludf.DUMMYFUNCTION("""COMPUTED_VALUE"""),100000.0)</f>
        <v>100000</v>
      </c>
      <c r="AD720" s="16"/>
      <c r="AE720" s="16"/>
      <c r="AF720" s="16" t="str">
        <f>IFERROR(__xludf.DUMMYFUNCTION("""COMPUTED_VALUE"""),"++Batter Up! - Plus 2 to turn order roll. ++Home Run - If you roll a 20 or higher while attacking with this weapon the attack roll becomes double. +-Cannot be forged. +-Cannot be duplicated.")</f>
        <v>++Batter Up! - Plus 2 to turn order roll. ++Home Run - If you roll a 20 or higher while attacking with this weapon the attack roll becomes double. +-Cannot be forged. +-Cannot be duplicated.</v>
      </c>
      <c r="AG720" s="16" t="str">
        <f>IFERROR(__xludf.DUMMYFUNCTION("""COMPUTED_VALUE"""),"Land of Spira")</f>
        <v>Land of Spira</v>
      </c>
      <c r="AH720" s="16" t="b">
        <f>IFERROR(__xludf.DUMMYFUNCTION("""COMPUTED_VALUE"""),FALSE)</f>
        <v>0</v>
      </c>
    </row>
    <row r="721">
      <c r="A721" s="16" t="str">
        <f>IFERROR(__xludf.DUMMYFUNCTION("""COMPUTED_VALUE"""),"Lunar New Year Dragon Head")</f>
        <v>Lunar New Year Dragon Head</v>
      </c>
      <c r="B721" s="16" t="str">
        <f>IFERROR(__xludf.DUMMYFUNCTION("""COMPUTED_VALUE"""),"Head")</f>
        <v>Head</v>
      </c>
      <c r="C721" s="16"/>
      <c r="D721" s="16" t="str">
        <f>IFERROR(__xludf.DUMMYFUNCTION("""COMPUTED_VALUE"""),"Item")</f>
        <v>Item</v>
      </c>
      <c r="E721" s="16">
        <f>IFERROR(__xludf.DUMMYFUNCTION("""COMPUTED_VALUE"""),200.0)</f>
        <v>200</v>
      </c>
      <c r="F721" s="108">
        <f>IFERROR(__xludf.DUMMYFUNCTION("""COMPUTED_VALUE"""),1.1175E8)</f>
        <v>111750000</v>
      </c>
      <c r="G721" s="16" t="str">
        <f>IFERROR(__xludf.DUMMYFUNCTION("""COMPUTED_VALUE"""),"DEF")</f>
        <v>DEF</v>
      </c>
      <c r="H721" s="119">
        <f>IFERROR(__xludf.DUMMYFUNCTION("""COMPUTED_VALUE"""),25000.0)</f>
        <v>25000</v>
      </c>
      <c r="I721" s="119">
        <f>IFERROR(__xludf.DUMMYFUNCTION("""COMPUTED_VALUE"""),25000.0)</f>
        <v>25000</v>
      </c>
      <c r="J721" s="16"/>
      <c r="K721" s="16"/>
      <c r="L721" s="16"/>
      <c r="M721" s="16"/>
      <c r="N721" s="16"/>
      <c r="O721" s="16"/>
      <c r="P721" s="16"/>
      <c r="Q721" s="16"/>
      <c r="R721" s="16"/>
      <c r="S721" s="16"/>
      <c r="T721" s="16"/>
      <c r="U721" s="16"/>
      <c r="V721" s="16"/>
      <c r="W721" s="16"/>
      <c r="X721" s="16"/>
      <c r="Y721" s="16"/>
      <c r="Z721" s="16"/>
      <c r="AA721" s="16"/>
      <c r="AB721" s="16"/>
      <c r="AC721" s="119">
        <f>IFERROR(__xludf.DUMMYFUNCTION("""COMPUTED_VALUE"""),25000.0)</f>
        <v>25000</v>
      </c>
      <c r="AD721" s="16"/>
      <c r="AE721" s="16"/>
      <c r="AF721" s="16" t="str">
        <f>IFERROR(__xludf.DUMMYFUNCTION("""COMPUTED_VALUE"""),"++Gain ""Greater Dragon's Breath"" Power. ++X2 additional Fire Damage.")</f>
        <v>++Gain "Greater Dragon's Breath" Power. ++X2 additional Fire Damage.</v>
      </c>
      <c r="AG721" s="16" t="str">
        <f>IFERROR(__xludf.DUMMYFUNCTION("""COMPUTED_VALUE"""),"Land of Spira")</f>
        <v>Land of Spira</v>
      </c>
      <c r="AH721" s="16" t="b">
        <f>IFERROR(__xludf.DUMMYFUNCTION("""COMPUTED_VALUE"""),FALSE)</f>
        <v>0</v>
      </c>
    </row>
    <row r="722">
      <c r="A722" s="16" t="str">
        <f>IFERROR(__xludf.DUMMYFUNCTION("""COMPUTED_VALUE"""),"Lunar New Year Dragon Shoulders")</f>
        <v>Lunar New Year Dragon Shoulders</v>
      </c>
      <c r="B722" s="16" t="str">
        <f>IFERROR(__xludf.DUMMYFUNCTION("""COMPUTED_VALUE"""),"Shoulders")</f>
        <v>Shoulders</v>
      </c>
      <c r="C722" s="16"/>
      <c r="D722" s="16" t="str">
        <f>IFERROR(__xludf.DUMMYFUNCTION("""COMPUTED_VALUE"""),"Item")</f>
        <v>Item</v>
      </c>
      <c r="E722" s="16">
        <f>IFERROR(__xludf.DUMMYFUNCTION("""COMPUTED_VALUE"""),200.0)</f>
        <v>200</v>
      </c>
      <c r="F722" s="108">
        <f>IFERROR(__xludf.DUMMYFUNCTION("""COMPUTED_VALUE"""),1.1175E8)</f>
        <v>111750000</v>
      </c>
      <c r="G722" s="16" t="str">
        <f>IFERROR(__xludf.DUMMYFUNCTION("""COMPUTED_VALUE"""),"DEF")</f>
        <v>DEF</v>
      </c>
      <c r="H722" s="119">
        <f>IFERROR(__xludf.DUMMYFUNCTION("""COMPUTED_VALUE"""),25000.0)</f>
        <v>25000</v>
      </c>
      <c r="I722" s="119">
        <f>IFERROR(__xludf.DUMMYFUNCTION("""COMPUTED_VALUE"""),25000.0)</f>
        <v>25000</v>
      </c>
      <c r="J722" s="16"/>
      <c r="K722" s="16"/>
      <c r="L722" s="16"/>
      <c r="M722" s="16"/>
      <c r="N722" s="16"/>
      <c r="O722" s="16"/>
      <c r="P722" s="16"/>
      <c r="Q722" s="16"/>
      <c r="R722" s="16"/>
      <c r="S722" s="16"/>
      <c r="T722" s="16"/>
      <c r="U722" s="16"/>
      <c r="V722" s="16"/>
      <c r="W722" s="16"/>
      <c r="X722" s="16"/>
      <c r="Y722" s="16"/>
      <c r="Z722" s="16"/>
      <c r="AA722" s="16"/>
      <c r="AB722" s="16"/>
      <c r="AC722" s="119">
        <f>IFERROR(__xludf.DUMMYFUNCTION("""COMPUTED_VALUE"""),25000.0)</f>
        <v>25000</v>
      </c>
      <c r="AD722" s="16"/>
      <c r="AE722" s="16"/>
      <c r="AF722" s="16" t="str">
        <f>IFERROR(__xludf.DUMMYFUNCTION("""COMPUTED_VALUE"""),"++X2 additional Fire Damage.")</f>
        <v>++X2 additional Fire Damage.</v>
      </c>
      <c r="AG722" s="16" t="str">
        <f>IFERROR(__xludf.DUMMYFUNCTION("""COMPUTED_VALUE"""),"Land of Spira")</f>
        <v>Land of Spira</v>
      </c>
      <c r="AH722" s="16" t="b">
        <f>IFERROR(__xludf.DUMMYFUNCTION("""COMPUTED_VALUE"""),FALSE)</f>
        <v>0</v>
      </c>
    </row>
    <row r="723">
      <c r="A723" s="16" t="str">
        <f>IFERROR(__xludf.DUMMYFUNCTION("""COMPUTED_VALUE"""),"Lunar New Year Dragon Arms")</f>
        <v>Lunar New Year Dragon Arms</v>
      </c>
      <c r="B723" s="16" t="str">
        <f>IFERROR(__xludf.DUMMYFUNCTION("""COMPUTED_VALUE"""),"Arms")</f>
        <v>Arms</v>
      </c>
      <c r="C723" s="16"/>
      <c r="D723" s="16" t="str">
        <f>IFERROR(__xludf.DUMMYFUNCTION("""COMPUTED_VALUE"""),"Item")</f>
        <v>Item</v>
      </c>
      <c r="E723" s="16">
        <f>IFERROR(__xludf.DUMMYFUNCTION("""COMPUTED_VALUE"""),200.0)</f>
        <v>200</v>
      </c>
      <c r="F723" s="108">
        <f>IFERROR(__xludf.DUMMYFUNCTION("""COMPUTED_VALUE"""),1.1175E8)</f>
        <v>111750000</v>
      </c>
      <c r="G723" s="16" t="str">
        <f>IFERROR(__xludf.DUMMYFUNCTION("""COMPUTED_VALUE"""),"DEF")</f>
        <v>DEF</v>
      </c>
      <c r="H723" s="119">
        <f>IFERROR(__xludf.DUMMYFUNCTION("""COMPUTED_VALUE"""),25000.0)</f>
        <v>25000</v>
      </c>
      <c r="I723" s="119">
        <f>IFERROR(__xludf.DUMMYFUNCTION("""COMPUTED_VALUE"""),25000.0)</f>
        <v>25000</v>
      </c>
      <c r="J723" s="16"/>
      <c r="K723" s="16"/>
      <c r="L723" s="16"/>
      <c r="M723" s="16"/>
      <c r="N723" s="16"/>
      <c r="O723" s="16"/>
      <c r="P723" s="16"/>
      <c r="Q723" s="16"/>
      <c r="R723" s="16"/>
      <c r="S723" s="16"/>
      <c r="T723" s="16"/>
      <c r="U723" s="16"/>
      <c r="V723" s="16"/>
      <c r="W723" s="16"/>
      <c r="X723" s="16"/>
      <c r="Y723" s="16"/>
      <c r="Z723" s="16"/>
      <c r="AA723" s="16"/>
      <c r="AB723" s="16"/>
      <c r="AC723" s="119">
        <f>IFERROR(__xludf.DUMMYFUNCTION("""COMPUTED_VALUE"""),25000.0)</f>
        <v>25000</v>
      </c>
      <c r="AD723" s="16"/>
      <c r="AE723" s="16"/>
      <c r="AF723" s="16" t="str">
        <f>IFERROR(__xludf.DUMMYFUNCTION("""COMPUTED_VALUE"""),"++X2 additional Fire Damage.")</f>
        <v>++X2 additional Fire Damage.</v>
      </c>
      <c r="AG723" s="16" t="str">
        <f>IFERROR(__xludf.DUMMYFUNCTION("""COMPUTED_VALUE"""),"Land of Spira")</f>
        <v>Land of Spira</v>
      </c>
      <c r="AH723" s="16" t="b">
        <f>IFERROR(__xludf.DUMMYFUNCTION("""COMPUTED_VALUE"""),FALSE)</f>
        <v>0</v>
      </c>
    </row>
    <row r="724">
      <c r="A724" s="16" t="str">
        <f>IFERROR(__xludf.DUMMYFUNCTION("""COMPUTED_VALUE"""),"Lunar New Year Dragon Torso")</f>
        <v>Lunar New Year Dragon Torso</v>
      </c>
      <c r="B724" s="16" t="str">
        <f>IFERROR(__xludf.DUMMYFUNCTION("""COMPUTED_VALUE"""),"Torso")</f>
        <v>Torso</v>
      </c>
      <c r="C724" s="16"/>
      <c r="D724" s="16" t="str">
        <f>IFERROR(__xludf.DUMMYFUNCTION("""COMPUTED_VALUE"""),"Item")</f>
        <v>Item</v>
      </c>
      <c r="E724" s="16">
        <f>IFERROR(__xludf.DUMMYFUNCTION("""COMPUTED_VALUE"""),200.0)</f>
        <v>200</v>
      </c>
      <c r="F724" s="108">
        <f>IFERROR(__xludf.DUMMYFUNCTION("""COMPUTED_VALUE"""),1.1175E8)</f>
        <v>111750000</v>
      </c>
      <c r="G724" s="16" t="str">
        <f>IFERROR(__xludf.DUMMYFUNCTION("""COMPUTED_VALUE"""),"DEF")</f>
        <v>DEF</v>
      </c>
      <c r="H724" s="119">
        <f>IFERROR(__xludf.DUMMYFUNCTION("""COMPUTED_VALUE"""),25000.0)</f>
        <v>25000</v>
      </c>
      <c r="I724" s="119">
        <f>IFERROR(__xludf.DUMMYFUNCTION("""COMPUTED_VALUE"""),25000.0)</f>
        <v>25000</v>
      </c>
      <c r="J724" s="16"/>
      <c r="K724" s="16"/>
      <c r="L724" s="16"/>
      <c r="M724" s="16"/>
      <c r="N724" s="16"/>
      <c r="O724" s="16"/>
      <c r="P724" s="16"/>
      <c r="Q724" s="16"/>
      <c r="R724" s="16"/>
      <c r="S724" s="16"/>
      <c r="T724" s="16"/>
      <c r="U724" s="16"/>
      <c r="V724" s="16"/>
      <c r="W724" s="16"/>
      <c r="X724" s="16"/>
      <c r="Y724" s="16"/>
      <c r="Z724" s="16"/>
      <c r="AA724" s="16"/>
      <c r="AB724" s="16"/>
      <c r="AC724" s="119">
        <f>IFERROR(__xludf.DUMMYFUNCTION("""COMPUTED_VALUE"""),25000.0)</f>
        <v>25000</v>
      </c>
      <c r="AD724" s="16"/>
      <c r="AE724" s="16"/>
      <c r="AF724" s="16" t="str">
        <f>IFERROR(__xludf.DUMMYFUNCTION("""COMPUTED_VALUE"""),"++X2 additional Fire Damage.")</f>
        <v>++X2 additional Fire Damage.</v>
      </c>
      <c r="AG724" s="16" t="str">
        <f>IFERROR(__xludf.DUMMYFUNCTION("""COMPUTED_VALUE"""),"Land of Spira")</f>
        <v>Land of Spira</v>
      </c>
      <c r="AH724" s="16" t="b">
        <f>IFERROR(__xludf.DUMMYFUNCTION("""COMPUTED_VALUE"""),FALSE)</f>
        <v>0</v>
      </c>
    </row>
    <row r="725">
      <c r="A725" s="16" t="str">
        <f>IFERROR(__xludf.DUMMYFUNCTION("""COMPUTED_VALUE"""),"Lunar New Year Dragon Legs")</f>
        <v>Lunar New Year Dragon Legs</v>
      </c>
      <c r="B725" s="16" t="str">
        <f>IFERROR(__xludf.DUMMYFUNCTION("""COMPUTED_VALUE"""),"Legs")</f>
        <v>Legs</v>
      </c>
      <c r="C725" s="16"/>
      <c r="D725" s="16" t="str">
        <f>IFERROR(__xludf.DUMMYFUNCTION("""COMPUTED_VALUE"""),"Item")</f>
        <v>Item</v>
      </c>
      <c r="E725" s="16">
        <f>IFERROR(__xludf.DUMMYFUNCTION("""COMPUTED_VALUE"""),200.0)</f>
        <v>200</v>
      </c>
      <c r="F725" s="108">
        <f>IFERROR(__xludf.DUMMYFUNCTION("""COMPUTED_VALUE"""),1.1175E8)</f>
        <v>111750000</v>
      </c>
      <c r="G725" s="16" t="str">
        <f>IFERROR(__xludf.DUMMYFUNCTION("""COMPUTED_VALUE"""),"DEF")</f>
        <v>DEF</v>
      </c>
      <c r="H725" s="119">
        <f>IFERROR(__xludf.DUMMYFUNCTION("""COMPUTED_VALUE"""),25000.0)</f>
        <v>25000</v>
      </c>
      <c r="I725" s="119">
        <f>IFERROR(__xludf.DUMMYFUNCTION("""COMPUTED_VALUE"""),25000.0)</f>
        <v>25000</v>
      </c>
      <c r="J725" s="16"/>
      <c r="K725" s="16"/>
      <c r="L725" s="16"/>
      <c r="M725" s="16"/>
      <c r="N725" s="16"/>
      <c r="O725" s="16"/>
      <c r="P725" s="16"/>
      <c r="Q725" s="16"/>
      <c r="R725" s="16"/>
      <c r="S725" s="16"/>
      <c r="T725" s="16"/>
      <c r="U725" s="16"/>
      <c r="V725" s="16"/>
      <c r="W725" s="16"/>
      <c r="X725" s="16"/>
      <c r="Y725" s="16"/>
      <c r="Z725" s="16"/>
      <c r="AA725" s="16"/>
      <c r="AB725" s="16"/>
      <c r="AC725" s="119">
        <f>IFERROR(__xludf.DUMMYFUNCTION("""COMPUTED_VALUE"""),25000.0)</f>
        <v>25000</v>
      </c>
      <c r="AD725" s="16"/>
      <c r="AE725" s="16"/>
      <c r="AF725" s="16" t="str">
        <f>IFERROR(__xludf.DUMMYFUNCTION("""COMPUTED_VALUE"""),"++X2 additional Fire Damage.")</f>
        <v>++X2 additional Fire Damage.</v>
      </c>
      <c r="AG725" s="16" t="str">
        <f>IFERROR(__xludf.DUMMYFUNCTION("""COMPUTED_VALUE"""),"Land of Spira")</f>
        <v>Land of Spira</v>
      </c>
      <c r="AH725" s="16" t="b">
        <f>IFERROR(__xludf.DUMMYFUNCTION("""COMPUTED_VALUE"""),FALSE)</f>
        <v>0</v>
      </c>
    </row>
    <row r="726">
      <c r="A726" s="16" t="str">
        <f>IFERROR(__xludf.DUMMYFUNCTION("""COMPUTED_VALUE"""),"Lunar New Year Dragon Feet")</f>
        <v>Lunar New Year Dragon Feet</v>
      </c>
      <c r="B726" s="16" t="str">
        <f>IFERROR(__xludf.DUMMYFUNCTION("""COMPUTED_VALUE"""),"Feet")</f>
        <v>Feet</v>
      </c>
      <c r="C726" s="16"/>
      <c r="D726" s="16" t="str">
        <f>IFERROR(__xludf.DUMMYFUNCTION("""COMPUTED_VALUE"""),"Item")</f>
        <v>Item</v>
      </c>
      <c r="E726" s="16">
        <f>IFERROR(__xludf.DUMMYFUNCTION("""COMPUTED_VALUE"""),200.0)</f>
        <v>200</v>
      </c>
      <c r="F726" s="108">
        <f>IFERROR(__xludf.DUMMYFUNCTION("""COMPUTED_VALUE"""),1.1175E8)</f>
        <v>111750000</v>
      </c>
      <c r="G726" s="16" t="str">
        <f>IFERROR(__xludf.DUMMYFUNCTION("""COMPUTED_VALUE"""),"DEF")</f>
        <v>DEF</v>
      </c>
      <c r="H726" s="119">
        <f>IFERROR(__xludf.DUMMYFUNCTION("""COMPUTED_VALUE"""),25000.0)</f>
        <v>25000</v>
      </c>
      <c r="I726" s="119">
        <f>IFERROR(__xludf.DUMMYFUNCTION("""COMPUTED_VALUE"""),25000.0)</f>
        <v>25000</v>
      </c>
      <c r="J726" s="16"/>
      <c r="K726" s="16"/>
      <c r="L726" s="16"/>
      <c r="M726" s="16"/>
      <c r="N726" s="16"/>
      <c r="O726" s="16"/>
      <c r="P726" s="16"/>
      <c r="Q726" s="16"/>
      <c r="R726" s="16"/>
      <c r="S726" s="16"/>
      <c r="T726" s="16"/>
      <c r="U726" s="16"/>
      <c r="V726" s="16"/>
      <c r="W726" s="16"/>
      <c r="X726" s="16"/>
      <c r="Y726" s="16"/>
      <c r="Z726" s="16"/>
      <c r="AA726" s="16"/>
      <c r="AB726" s="16"/>
      <c r="AC726" s="119">
        <f>IFERROR(__xludf.DUMMYFUNCTION("""COMPUTED_VALUE"""),25000.0)</f>
        <v>25000</v>
      </c>
      <c r="AD726" s="16"/>
      <c r="AE726" s="16"/>
      <c r="AF726" s="16" t="str">
        <f>IFERROR(__xludf.DUMMYFUNCTION("""COMPUTED_VALUE"""),"++X2 additional Fire Damage.")</f>
        <v>++X2 additional Fire Damage.</v>
      </c>
      <c r="AG726" s="16" t="str">
        <f>IFERROR(__xludf.DUMMYFUNCTION("""COMPUTED_VALUE"""),"Land of Spira")</f>
        <v>Land of Spira</v>
      </c>
      <c r="AH726" s="16" t="b">
        <f>IFERROR(__xludf.DUMMYFUNCTION("""COMPUTED_VALUE"""),FALSE)</f>
        <v>0</v>
      </c>
    </row>
    <row r="727">
      <c r="A727" s="16" t="str">
        <f>IFERROR(__xludf.DUMMYFUNCTION("""COMPUTED_VALUE"""),"Spirit Blade")</f>
        <v>Spirit Blade</v>
      </c>
      <c r="B727" s="16" t="str">
        <f>IFERROR(__xludf.DUMMYFUNCTION("""COMPUTED_VALUE"""),"Hand")</f>
        <v>Hand</v>
      </c>
      <c r="C727" s="16"/>
      <c r="D727" s="16" t="str">
        <f>IFERROR(__xludf.DUMMYFUNCTION("""COMPUTED_VALUE"""),"Sword")</f>
        <v>Sword</v>
      </c>
      <c r="E727" s="16">
        <f>IFERROR(__xludf.DUMMYFUNCTION("""COMPUTED_VALUE"""),600.0)</f>
        <v>600</v>
      </c>
      <c r="F727" s="108">
        <f>IFERROR(__xludf.DUMMYFUNCTION("""COMPUTED_VALUE"""),1.77E7)</f>
        <v>17700000</v>
      </c>
      <c r="G727" s="16" t="str">
        <f>IFERROR(__xludf.DUMMYFUNCTION("""COMPUTED_VALUE"""),"DMG")</f>
        <v>DMG</v>
      </c>
      <c r="H727" s="119">
        <f>IFERROR(__xludf.DUMMYFUNCTION("""COMPUTED_VALUE"""),20000.0)</f>
        <v>20000</v>
      </c>
      <c r="I727" s="16"/>
      <c r="J727" s="16"/>
      <c r="K727" s="16"/>
      <c r="L727" s="16"/>
      <c r="M727" s="16"/>
      <c r="N727" s="119">
        <f>IFERROR(__xludf.DUMMYFUNCTION("""COMPUTED_VALUE"""),10000.0)</f>
        <v>10000</v>
      </c>
      <c r="O727" s="16"/>
      <c r="P727" s="16"/>
      <c r="Q727" s="16"/>
      <c r="R727" s="16"/>
      <c r="S727" s="16"/>
      <c r="T727" s="16"/>
      <c r="U727" s="16"/>
      <c r="V727" s="16"/>
      <c r="W727" s="16"/>
      <c r="X727" s="16"/>
      <c r="Y727" s="16"/>
      <c r="Z727" s="16"/>
      <c r="AA727" s="16"/>
      <c r="AB727" s="16"/>
      <c r="AC727" s="16"/>
      <c r="AD727" s="16"/>
      <c r="AE727" s="16"/>
      <c r="AF727" s="16"/>
      <c r="AG727" s="16" t="str">
        <f>IFERROR(__xludf.DUMMYFUNCTION("""COMPUTED_VALUE"""),"Land of Spira")</f>
        <v>Land of Spira</v>
      </c>
      <c r="AH727" s="16" t="b">
        <f>IFERROR(__xludf.DUMMYFUNCTION("""COMPUTED_VALUE"""),FALSE)</f>
        <v>0</v>
      </c>
    </row>
    <row r="728">
      <c r="A728" s="16" t="str">
        <f>IFERROR(__xludf.DUMMYFUNCTION("""COMPUTED_VALUE"""),"Spirit Shield")</f>
        <v>Spirit Shield</v>
      </c>
      <c r="B728" s="16" t="str">
        <f>IFERROR(__xludf.DUMMYFUNCTION("""COMPUTED_VALUE"""),"Hand")</f>
        <v>Hand</v>
      </c>
      <c r="C728" s="16"/>
      <c r="D728" s="16" t="str">
        <f>IFERROR(__xludf.DUMMYFUNCTION("""COMPUTED_VALUE"""),"Buckler")</f>
        <v>Buckler</v>
      </c>
      <c r="E728" s="16">
        <f>IFERROR(__xludf.DUMMYFUNCTION("""COMPUTED_VALUE"""),600.0)</f>
        <v>600</v>
      </c>
      <c r="F728" s="108">
        <f>IFERROR(__xludf.DUMMYFUNCTION("""COMPUTED_VALUE"""),1.77E7)</f>
        <v>17700000</v>
      </c>
      <c r="G728" s="16" t="str">
        <f>IFERROR(__xludf.DUMMYFUNCTION("""COMPUTED_VALUE"""),"DEF")</f>
        <v>DEF</v>
      </c>
      <c r="H728" s="119">
        <f>IFERROR(__xludf.DUMMYFUNCTION("""COMPUTED_VALUE"""),20000.0)</f>
        <v>20000</v>
      </c>
      <c r="I728" s="16"/>
      <c r="J728" s="16"/>
      <c r="K728" s="16"/>
      <c r="L728" s="16"/>
      <c r="M728" s="16"/>
      <c r="N728" s="119">
        <f>IFERROR(__xludf.DUMMYFUNCTION("""COMPUTED_VALUE"""),10000.0)</f>
        <v>10000</v>
      </c>
      <c r="O728" s="16"/>
      <c r="P728" s="16"/>
      <c r="Q728" s="16"/>
      <c r="R728" s="16"/>
      <c r="S728" s="16"/>
      <c r="T728" s="16"/>
      <c r="U728" s="16"/>
      <c r="V728" s="16"/>
      <c r="W728" s="16"/>
      <c r="X728" s="16"/>
      <c r="Y728" s="16"/>
      <c r="Z728" s="16"/>
      <c r="AA728" s="16"/>
      <c r="AB728" s="16"/>
      <c r="AC728" s="16"/>
      <c r="AD728" s="16"/>
      <c r="AE728" s="16"/>
      <c r="AF728" s="16"/>
      <c r="AG728" s="16" t="str">
        <f>IFERROR(__xludf.DUMMYFUNCTION("""COMPUTED_VALUE"""),"Land of Spira")</f>
        <v>Land of Spira</v>
      </c>
      <c r="AH728" s="16" t="b">
        <f>IFERROR(__xludf.DUMMYFUNCTION("""COMPUTED_VALUE"""),FALSE)</f>
        <v>0</v>
      </c>
    </row>
    <row r="729">
      <c r="A729" s="16" t="str">
        <f>IFERROR(__xludf.DUMMYFUNCTION("""COMPUTED_VALUE"""),"Mage's Hood")</f>
        <v>Mage's Hood</v>
      </c>
      <c r="B729" s="16" t="str">
        <f>IFERROR(__xludf.DUMMYFUNCTION("""COMPUTED_VALUE"""),"Head")</f>
        <v>Head</v>
      </c>
      <c r="C729" s="16"/>
      <c r="D729" s="16" t="str">
        <f>IFERROR(__xludf.DUMMYFUNCTION("""COMPUTED_VALUE"""),"Item")</f>
        <v>Item</v>
      </c>
      <c r="E729" s="16">
        <f>IFERROR(__xludf.DUMMYFUNCTION("""COMPUTED_VALUE"""),1.0)</f>
        <v>1</v>
      </c>
      <c r="F729" s="108">
        <f>IFERROR(__xludf.DUMMYFUNCTION("""COMPUTED_VALUE"""),0.0)</f>
        <v>0</v>
      </c>
      <c r="G729" s="16" t="str">
        <f>IFERROR(__xludf.DUMMYFUNCTION("""COMPUTED_VALUE"""),"DEF")</f>
        <v>DEF</v>
      </c>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t="str">
        <f>IFERROR(__xludf.DUMMYFUNCTION("""COMPUTED_VALUE"""),"++5000 additional HP and SP. ++Plus 2 Wisdom. +-Cannot be forged. +-Cannot be duplicateed.")</f>
        <v>++5000 additional HP and SP. ++Plus 2 Wisdom. +-Cannot be forged. +-Cannot be duplicateed.</v>
      </c>
      <c r="AG729" s="16" t="str">
        <f>IFERROR(__xludf.DUMMYFUNCTION("""COMPUTED_VALUE"""),"Land of Spira")</f>
        <v>Land of Spira</v>
      </c>
      <c r="AH729" s="16" t="b">
        <f>IFERROR(__xludf.DUMMYFUNCTION("""COMPUTED_VALUE"""),FALSE)</f>
        <v>0</v>
      </c>
    </row>
    <row r="730">
      <c r="A730" s="16" t="str">
        <f>IFERROR(__xludf.DUMMYFUNCTION("""COMPUTED_VALUE"""),"Mage's Cloak")</f>
        <v>Mage's Cloak</v>
      </c>
      <c r="B730" s="16" t="str">
        <f>IFERROR(__xludf.DUMMYFUNCTION("""COMPUTED_VALUE"""),"Torso")</f>
        <v>Torso</v>
      </c>
      <c r="C730" s="16"/>
      <c r="D730" s="16" t="str">
        <f>IFERROR(__xludf.DUMMYFUNCTION("""COMPUTED_VALUE"""),"Item")</f>
        <v>Item</v>
      </c>
      <c r="E730" s="16">
        <f>IFERROR(__xludf.DUMMYFUNCTION("""COMPUTED_VALUE"""),1.0)</f>
        <v>1</v>
      </c>
      <c r="F730" s="108">
        <f>IFERROR(__xludf.DUMMYFUNCTION("""COMPUTED_VALUE"""),0.0)</f>
        <v>0</v>
      </c>
      <c r="G730" s="16" t="str">
        <f>IFERROR(__xludf.DUMMYFUNCTION("""COMPUTED_VALUE"""),"DEF")</f>
        <v>DEF</v>
      </c>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t="str">
        <f>IFERROR(__xludf.DUMMYFUNCTION("""COMPUTED_VALUE"""),"++5000 additional HP and SP. ++Plus 2 Wisdom. +-Cannot be forged. +-Cannot be duplicateed.")</f>
        <v>++5000 additional HP and SP. ++Plus 2 Wisdom. +-Cannot be forged. +-Cannot be duplicateed.</v>
      </c>
      <c r="AG730" s="16" t="str">
        <f>IFERROR(__xludf.DUMMYFUNCTION("""COMPUTED_VALUE"""),"Land of Spira")</f>
        <v>Land of Spira</v>
      </c>
      <c r="AH730" s="16" t="b">
        <f>IFERROR(__xludf.DUMMYFUNCTION("""COMPUTED_VALUE"""),FALSE)</f>
        <v>0</v>
      </c>
    </row>
    <row r="731">
      <c r="A731" s="16" t="str">
        <f>IFERROR(__xludf.DUMMYFUNCTION("""COMPUTED_VALUE"""),"Mage's Shoes")</f>
        <v>Mage's Shoes</v>
      </c>
      <c r="B731" s="16" t="str">
        <f>IFERROR(__xludf.DUMMYFUNCTION("""COMPUTED_VALUE"""),"Feet")</f>
        <v>Feet</v>
      </c>
      <c r="C731" s="16"/>
      <c r="D731" s="16" t="str">
        <f>IFERROR(__xludf.DUMMYFUNCTION("""COMPUTED_VALUE"""),"Item")</f>
        <v>Item</v>
      </c>
      <c r="E731" s="16">
        <f>IFERROR(__xludf.DUMMYFUNCTION("""COMPUTED_VALUE"""),1.0)</f>
        <v>1</v>
      </c>
      <c r="F731" s="108">
        <f>IFERROR(__xludf.DUMMYFUNCTION("""COMPUTED_VALUE"""),0.0)</f>
        <v>0</v>
      </c>
      <c r="G731" s="16" t="str">
        <f>IFERROR(__xludf.DUMMYFUNCTION("""COMPUTED_VALUE"""),"DEF")</f>
        <v>DEF</v>
      </c>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t="str">
        <f>IFERROR(__xludf.DUMMYFUNCTION("""COMPUTED_VALUE"""),"++5000 additional HP and SP. ++Plus 1 Wisdom. +-Cannot be forged. +-Cannot be duplicateed.")</f>
        <v>++5000 additional HP and SP. ++Plus 1 Wisdom. +-Cannot be forged. +-Cannot be duplicateed.</v>
      </c>
      <c r="AG731" s="16" t="str">
        <f>IFERROR(__xludf.DUMMYFUNCTION("""COMPUTED_VALUE"""),"Land of Spira")</f>
        <v>Land of Spira</v>
      </c>
      <c r="AH731" s="16" t="b">
        <f>IFERROR(__xludf.DUMMYFUNCTION("""COMPUTED_VALUE"""),FALSE)</f>
        <v>0</v>
      </c>
    </row>
    <row r="732">
      <c r="A732" s="16" t="str">
        <f>IFERROR(__xludf.DUMMYFUNCTION("""COMPUTED_VALUE"""),"Sorcerer's Hood")</f>
        <v>Sorcerer's Hood</v>
      </c>
      <c r="B732" s="16" t="str">
        <f>IFERROR(__xludf.DUMMYFUNCTION("""COMPUTED_VALUE"""),"Head")</f>
        <v>Head</v>
      </c>
      <c r="C732" s="16"/>
      <c r="D732" s="16" t="str">
        <f>IFERROR(__xludf.DUMMYFUNCTION("""COMPUTED_VALUE"""),"Item")</f>
        <v>Item</v>
      </c>
      <c r="E732" s="16">
        <f>IFERROR(__xludf.DUMMYFUNCTION("""COMPUTED_VALUE"""),1.0)</f>
        <v>1</v>
      </c>
      <c r="F732" s="108">
        <f>IFERROR(__xludf.DUMMYFUNCTION("""COMPUTED_VALUE"""),0.0)</f>
        <v>0</v>
      </c>
      <c r="G732" s="16" t="str">
        <f>IFERROR(__xludf.DUMMYFUNCTION("""COMPUTED_VALUE"""),"DEF")</f>
        <v>DEF</v>
      </c>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t="str">
        <f>IFERROR(__xludf.DUMMYFUNCTION("""COMPUTED_VALUE"""),"++2500 additional HP and SP. ++Plus 2 Wisdom. +-Cannot be forged. +-Cannot be duplicateed.")</f>
        <v>++2500 additional HP and SP. ++Plus 2 Wisdom. +-Cannot be forged. +-Cannot be duplicateed.</v>
      </c>
      <c r="AG732" s="16" t="str">
        <f>IFERROR(__xludf.DUMMYFUNCTION("""COMPUTED_VALUE"""),"Land of Spira")</f>
        <v>Land of Spira</v>
      </c>
      <c r="AH732" s="16" t="b">
        <f>IFERROR(__xludf.DUMMYFUNCTION("""COMPUTED_VALUE"""),FALSE)</f>
        <v>0</v>
      </c>
    </row>
    <row r="733">
      <c r="A733" s="16" t="str">
        <f>IFERROR(__xludf.DUMMYFUNCTION("""COMPUTED_VALUE"""),"Sorcerer's Cloak")</f>
        <v>Sorcerer's Cloak</v>
      </c>
      <c r="B733" s="16" t="str">
        <f>IFERROR(__xludf.DUMMYFUNCTION("""COMPUTED_VALUE"""),"Torso")</f>
        <v>Torso</v>
      </c>
      <c r="C733" s="16"/>
      <c r="D733" s="16" t="str">
        <f>IFERROR(__xludf.DUMMYFUNCTION("""COMPUTED_VALUE"""),"Item")</f>
        <v>Item</v>
      </c>
      <c r="E733" s="16">
        <f>IFERROR(__xludf.DUMMYFUNCTION("""COMPUTED_VALUE"""),1.0)</f>
        <v>1</v>
      </c>
      <c r="F733" s="108">
        <f>IFERROR(__xludf.DUMMYFUNCTION("""COMPUTED_VALUE"""),0.0)</f>
        <v>0</v>
      </c>
      <c r="G733" s="16" t="str">
        <f>IFERROR(__xludf.DUMMYFUNCTION("""COMPUTED_VALUE"""),"DEF")</f>
        <v>DEF</v>
      </c>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t="str">
        <f>IFERROR(__xludf.DUMMYFUNCTION("""COMPUTED_VALUE"""),"++2500 additional HP and SP. ++Plus 2 Wisdom. +-Cannot be forged. +-Cannot be duplicateed.")</f>
        <v>++2500 additional HP and SP. ++Plus 2 Wisdom. +-Cannot be forged. +-Cannot be duplicateed.</v>
      </c>
      <c r="AG733" s="16" t="str">
        <f>IFERROR(__xludf.DUMMYFUNCTION("""COMPUTED_VALUE"""),"Land of Spira")</f>
        <v>Land of Spira</v>
      </c>
      <c r="AH733" s="16" t="b">
        <f>IFERROR(__xludf.DUMMYFUNCTION("""COMPUTED_VALUE"""),FALSE)</f>
        <v>0</v>
      </c>
    </row>
    <row r="734">
      <c r="A734" s="16" t="str">
        <f>IFERROR(__xludf.DUMMYFUNCTION("""COMPUTED_VALUE"""),"Sorcerer's Shoes")</f>
        <v>Sorcerer's Shoes</v>
      </c>
      <c r="B734" s="16" t="str">
        <f>IFERROR(__xludf.DUMMYFUNCTION("""COMPUTED_VALUE"""),"Feet")</f>
        <v>Feet</v>
      </c>
      <c r="C734" s="16"/>
      <c r="D734" s="16" t="str">
        <f>IFERROR(__xludf.DUMMYFUNCTION("""COMPUTED_VALUE"""),"Item")</f>
        <v>Item</v>
      </c>
      <c r="E734" s="16">
        <f>IFERROR(__xludf.DUMMYFUNCTION("""COMPUTED_VALUE"""),1.0)</f>
        <v>1</v>
      </c>
      <c r="F734" s="108">
        <f>IFERROR(__xludf.DUMMYFUNCTION("""COMPUTED_VALUE"""),0.0)</f>
        <v>0</v>
      </c>
      <c r="G734" s="16" t="str">
        <f>IFERROR(__xludf.DUMMYFUNCTION("""COMPUTED_VALUE"""),"DEF")</f>
        <v>DEF</v>
      </c>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t="str">
        <f>IFERROR(__xludf.DUMMYFUNCTION("""COMPUTED_VALUE"""),"++2500 additional HP and SP. ++Plus 1 Wisdom. +-Cannot be forged. +-Cannot be duplicateed.")</f>
        <v>++2500 additional HP and SP. ++Plus 1 Wisdom. +-Cannot be forged. +-Cannot be duplicateed.</v>
      </c>
      <c r="AG734" s="16" t="str">
        <f>IFERROR(__xludf.DUMMYFUNCTION("""COMPUTED_VALUE"""),"Land of Spira")</f>
        <v>Land of Spira</v>
      </c>
      <c r="AH734" s="16" t="b">
        <f>IFERROR(__xludf.DUMMYFUNCTION("""COMPUTED_VALUE"""),FALSE)</f>
        <v>0</v>
      </c>
    </row>
    <row r="735">
      <c r="A735" s="16" t="str">
        <f>IFERROR(__xludf.DUMMYFUNCTION("""COMPUTED_VALUE"""),"Wizard's Hood")</f>
        <v>Wizard's Hood</v>
      </c>
      <c r="B735" s="16" t="str">
        <f>IFERROR(__xludf.DUMMYFUNCTION("""COMPUTED_VALUE"""),"Head")</f>
        <v>Head</v>
      </c>
      <c r="C735" s="16"/>
      <c r="D735" s="16" t="str">
        <f>IFERROR(__xludf.DUMMYFUNCTION("""COMPUTED_VALUE"""),"Item")</f>
        <v>Item</v>
      </c>
      <c r="E735" s="16">
        <f>IFERROR(__xludf.DUMMYFUNCTION("""COMPUTED_VALUE"""),1.0)</f>
        <v>1</v>
      </c>
      <c r="F735" s="108">
        <f>IFERROR(__xludf.DUMMYFUNCTION("""COMPUTED_VALUE"""),0.0)</f>
        <v>0</v>
      </c>
      <c r="G735" s="16" t="str">
        <f>IFERROR(__xludf.DUMMYFUNCTION("""COMPUTED_VALUE"""),"DEF")</f>
        <v>DEF</v>
      </c>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t="str">
        <f>IFERROR(__xludf.DUMMYFUNCTION("""COMPUTED_VALUE"""),"++1000 additional HP and SP. ++X2 Spell Damage. +-Cannot be forged. +-Cannot be duplicateed.")</f>
        <v>++1000 additional HP and SP. ++X2 Spell Damage. +-Cannot be forged. +-Cannot be duplicateed.</v>
      </c>
      <c r="AG735" s="16" t="str">
        <f>IFERROR(__xludf.DUMMYFUNCTION("""COMPUTED_VALUE"""),"Land of Spira")</f>
        <v>Land of Spira</v>
      </c>
      <c r="AH735" s="16" t="b">
        <f>IFERROR(__xludf.DUMMYFUNCTION("""COMPUTED_VALUE"""),FALSE)</f>
        <v>0</v>
      </c>
    </row>
    <row r="736">
      <c r="A736" s="16" t="str">
        <f>IFERROR(__xludf.DUMMYFUNCTION("""COMPUTED_VALUE"""),"Wizard's Cloak")</f>
        <v>Wizard's Cloak</v>
      </c>
      <c r="B736" s="16" t="str">
        <f>IFERROR(__xludf.DUMMYFUNCTION("""COMPUTED_VALUE"""),"Torso")</f>
        <v>Torso</v>
      </c>
      <c r="C736" s="16"/>
      <c r="D736" s="16" t="str">
        <f>IFERROR(__xludf.DUMMYFUNCTION("""COMPUTED_VALUE"""),"Item")</f>
        <v>Item</v>
      </c>
      <c r="E736" s="16">
        <f>IFERROR(__xludf.DUMMYFUNCTION("""COMPUTED_VALUE"""),1.0)</f>
        <v>1</v>
      </c>
      <c r="F736" s="108">
        <f>IFERROR(__xludf.DUMMYFUNCTION("""COMPUTED_VALUE"""),0.0)</f>
        <v>0</v>
      </c>
      <c r="G736" s="16" t="str">
        <f>IFERROR(__xludf.DUMMYFUNCTION("""COMPUTED_VALUE"""),"DEF")</f>
        <v>DEF</v>
      </c>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t="str">
        <f>IFERROR(__xludf.DUMMYFUNCTION("""COMPUTED_VALUE"""),"++1000 additional HP and SP. ++X2 Spell Damage. +-Cannot be forged. +-Cannot be duplicateed.")</f>
        <v>++1000 additional HP and SP. ++X2 Spell Damage. +-Cannot be forged. +-Cannot be duplicateed.</v>
      </c>
      <c r="AG736" s="16" t="str">
        <f>IFERROR(__xludf.DUMMYFUNCTION("""COMPUTED_VALUE"""),"Land of Spira")</f>
        <v>Land of Spira</v>
      </c>
      <c r="AH736" s="16" t="b">
        <f>IFERROR(__xludf.DUMMYFUNCTION("""COMPUTED_VALUE"""),FALSE)</f>
        <v>0</v>
      </c>
    </row>
    <row r="737">
      <c r="A737" s="16" t="str">
        <f>IFERROR(__xludf.DUMMYFUNCTION("""COMPUTED_VALUE"""),"Wizard's Shoes")</f>
        <v>Wizard's Shoes</v>
      </c>
      <c r="B737" s="16" t="str">
        <f>IFERROR(__xludf.DUMMYFUNCTION("""COMPUTED_VALUE"""),"Feet")</f>
        <v>Feet</v>
      </c>
      <c r="C737" s="16"/>
      <c r="D737" s="16" t="str">
        <f>IFERROR(__xludf.DUMMYFUNCTION("""COMPUTED_VALUE"""),"Item")</f>
        <v>Item</v>
      </c>
      <c r="E737" s="16">
        <f>IFERROR(__xludf.DUMMYFUNCTION("""COMPUTED_VALUE"""),1.0)</f>
        <v>1</v>
      </c>
      <c r="F737" s="108">
        <f>IFERROR(__xludf.DUMMYFUNCTION("""COMPUTED_VALUE"""),0.0)</f>
        <v>0</v>
      </c>
      <c r="G737" s="16" t="str">
        <f>IFERROR(__xludf.DUMMYFUNCTION("""COMPUTED_VALUE"""),"DEF")</f>
        <v>DEF</v>
      </c>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t="str">
        <f>IFERROR(__xludf.DUMMYFUNCTION("""COMPUTED_VALUE"""),"++1000 additional HP and SP. ++X2 Spell Damage. +-Cannot be forged. +-Cannot be duplicateed.")</f>
        <v>++1000 additional HP and SP. ++X2 Spell Damage. +-Cannot be forged. +-Cannot be duplicateed.</v>
      </c>
      <c r="AG737" s="16" t="str">
        <f>IFERROR(__xludf.DUMMYFUNCTION("""COMPUTED_VALUE"""),"Land of Spira")</f>
        <v>Land of Spira</v>
      </c>
      <c r="AH737" s="16" t="b">
        <f>IFERROR(__xludf.DUMMYFUNCTION("""COMPUTED_VALUE"""),FALSE)</f>
        <v>0</v>
      </c>
    </row>
    <row r="738">
      <c r="A738" s="16" t="str">
        <f>IFERROR(__xludf.DUMMYFUNCTION("""COMPUTED_VALUE"""),"Gunslinger's Cap")</f>
        <v>Gunslinger's Cap</v>
      </c>
      <c r="B738" s="16" t="str">
        <f>IFERROR(__xludf.DUMMYFUNCTION("""COMPUTED_VALUE"""),"Head")</f>
        <v>Head</v>
      </c>
      <c r="C738" s="16"/>
      <c r="D738" s="16" t="str">
        <f>IFERROR(__xludf.DUMMYFUNCTION("""COMPUTED_VALUE"""),"Item")</f>
        <v>Item</v>
      </c>
      <c r="E738" s="16">
        <f>IFERROR(__xludf.DUMMYFUNCTION("""COMPUTED_VALUE"""),1.0)</f>
        <v>1</v>
      </c>
      <c r="F738" s="108">
        <f>IFERROR(__xludf.DUMMYFUNCTION("""COMPUTED_VALUE"""),0.0)</f>
        <v>0</v>
      </c>
      <c r="G738" s="16" t="str">
        <f>IFERROR(__xludf.DUMMYFUNCTION("""COMPUTED_VALUE"""),"DEF")</f>
        <v>DEF</v>
      </c>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t="str">
        <f>IFERROR(__xludf.DUMMYFUNCTION("""COMPUTED_VALUE"""),"++10,000 ACC and ATK. ++2 Mobility +-Cannot be forged or duplicated")</f>
        <v>++10,000 ACC and ATK. ++2 Mobility +-Cannot be forged or duplicated</v>
      </c>
      <c r="AG738" s="16" t="str">
        <f>IFERROR(__xludf.DUMMYFUNCTION("""COMPUTED_VALUE"""),"Land of Spira")</f>
        <v>Land of Spira</v>
      </c>
      <c r="AH738" s="16" t="b">
        <f>IFERROR(__xludf.DUMMYFUNCTION("""COMPUTED_VALUE"""),FALSE)</f>
        <v>0</v>
      </c>
    </row>
    <row r="739">
      <c r="A739" s="16" t="str">
        <f>IFERROR(__xludf.DUMMYFUNCTION("""COMPUTED_VALUE"""),"Gunslinger's Shirt")</f>
        <v>Gunslinger's Shirt</v>
      </c>
      <c r="B739" s="16" t="str">
        <f>IFERROR(__xludf.DUMMYFUNCTION("""COMPUTED_VALUE"""),"Torso")</f>
        <v>Torso</v>
      </c>
      <c r="C739" s="16"/>
      <c r="D739" s="16" t="str">
        <f>IFERROR(__xludf.DUMMYFUNCTION("""COMPUTED_VALUE"""),"Item")</f>
        <v>Item</v>
      </c>
      <c r="E739" s="16">
        <f>IFERROR(__xludf.DUMMYFUNCTION("""COMPUTED_VALUE"""),1.0)</f>
        <v>1</v>
      </c>
      <c r="F739" s="108">
        <f>IFERROR(__xludf.DUMMYFUNCTION("""COMPUTED_VALUE"""),0.0)</f>
        <v>0</v>
      </c>
      <c r="G739" s="16" t="str">
        <f>IFERROR(__xludf.DUMMYFUNCTION("""COMPUTED_VALUE"""),"DEF")</f>
        <v>DEF</v>
      </c>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t="str">
        <f>IFERROR(__xludf.DUMMYFUNCTION("""COMPUTED_VALUE"""),"++10,000 ACC and ATK. ++2 Mobility +-Cannot be forged or duplicated")</f>
        <v>++10,000 ACC and ATK. ++2 Mobility +-Cannot be forged or duplicated</v>
      </c>
      <c r="AG739" s="16" t="str">
        <f>IFERROR(__xludf.DUMMYFUNCTION("""COMPUTED_VALUE"""),"Land of Spira")</f>
        <v>Land of Spira</v>
      </c>
      <c r="AH739" s="16" t="b">
        <f>IFERROR(__xludf.DUMMYFUNCTION("""COMPUTED_VALUE"""),FALSE)</f>
        <v>0</v>
      </c>
    </row>
    <row r="740">
      <c r="A740" s="16" t="str">
        <f>IFERROR(__xludf.DUMMYFUNCTION("""COMPUTED_VALUE"""),"Gunslinger's Boots")</f>
        <v>Gunslinger's Boots</v>
      </c>
      <c r="B740" s="16" t="str">
        <f>IFERROR(__xludf.DUMMYFUNCTION("""COMPUTED_VALUE"""),"Feet")</f>
        <v>Feet</v>
      </c>
      <c r="C740" s="16"/>
      <c r="D740" s="16" t="str">
        <f>IFERROR(__xludf.DUMMYFUNCTION("""COMPUTED_VALUE"""),"Item")</f>
        <v>Item</v>
      </c>
      <c r="E740" s="16">
        <f>IFERROR(__xludf.DUMMYFUNCTION("""COMPUTED_VALUE"""),1.0)</f>
        <v>1</v>
      </c>
      <c r="F740" s="108">
        <f>IFERROR(__xludf.DUMMYFUNCTION("""COMPUTED_VALUE"""),0.0)</f>
        <v>0</v>
      </c>
      <c r="G740" s="16" t="str">
        <f>IFERROR(__xludf.DUMMYFUNCTION("""COMPUTED_VALUE"""),"DEF")</f>
        <v>DEF</v>
      </c>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t="str">
        <f>IFERROR(__xludf.DUMMYFUNCTION("""COMPUTED_VALUE"""),"++10,000 ACC and ATK. ++1 Mobility +-Cannot be forged or duplicated")</f>
        <v>++10,000 ACC and ATK. ++1 Mobility +-Cannot be forged or duplicated</v>
      </c>
      <c r="AG740" s="16" t="str">
        <f>IFERROR(__xludf.DUMMYFUNCTION("""COMPUTED_VALUE"""),"Land of Spira")</f>
        <v>Land of Spira</v>
      </c>
      <c r="AH740" s="16" t="b">
        <f>IFERROR(__xludf.DUMMYFUNCTION("""COMPUTED_VALUE"""),FALSE)</f>
        <v>0</v>
      </c>
    </row>
    <row r="741">
      <c r="A741" s="16" t="str">
        <f>IFERROR(__xludf.DUMMYFUNCTION("""COMPUTED_VALUE"""),"Bard's Coif")</f>
        <v>Bard's Coif</v>
      </c>
      <c r="B741" s="16" t="str">
        <f>IFERROR(__xludf.DUMMYFUNCTION("""COMPUTED_VALUE"""),"Head")</f>
        <v>Head</v>
      </c>
      <c r="C741" s="16"/>
      <c r="D741" s="16" t="str">
        <f>IFERROR(__xludf.DUMMYFUNCTION("""COMPUTED_VALUE"""),"Item")</f>
        <v>Item</v>
      </c>
      <c r="E741" s="16">
        <f>IFERROR(__xludf.DUMMYFUNCTION("""COMPUTED_VALUE"""),1.0)</f>
        <v>1</v>
      </c>
      <c r="F741" s="108">
        <f>IFERROR(__xludf.DUMMYFUNCTION("""COMPUTED_VALUE"""),0.0)</f>
        <v>0</v>
      </c>
      <c r="G741" s="16" t="str">
        <f>IFERROR(__xludf.DUMMYFUNCTION("""COMPUTED_VALUE"""),"DEF")</f>
        <v>DEF</v>
      </c>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t="str">
        <f>IFERROR(__xludf.DUMMYFUNCTION("""COMPUTED_VALUE"""),"++10,000 ACC and ATK. ++2 Charisma +-Cannot be forged or duplicated")</f>
        <v>++10,000 ACC and ATK. ++2 Charisma +-Cannot be forged or duplicated</v>
      </c>
      <c r="AG741" s="16" t="str">
        <f>IFERROR(__xludf.DUMMYFUNCTION("""COMPUTED_VALUE"""),"Land of Spira")</f>
        <v>Land of Spira</v>
      </c>
      <c r="AH741" s="16" t="b">
        <f>IFERROR(__xludf.DUMMYFUNCTION("""COMPUTED_VALUE"""),FALSE)</f>
        <v>0</v>
      </c>
    </row>
    <row r="742">
      <c r="A742" s="16" t="str">
        <f>IFERROR(__xludf.DUMMYFUNCTION("""COMPUTED_VALUE"""),"Bard's Gambeson")</f>
        <v>Bard's Gambeson</v>
      </c>
      <c r="B742" s="16" t="str">
        <f>IFERROR(__xludf.DUMMYFUNCTION("""COMPUTED_VALUE"""),"Torso")</f>
        <v>Torso</v>
      </c>
      <c r="C742" s="16"/>
      <c r="D742" s="16" t="str">
        <f>IFERROR(__xludf.DUMMYFUNCTION("""COMPUTED_VALUE"""),"Item")</f>
        <v>Item</v>
      </c>
      <c r="E742" s="16">
        <f>IFERROR(__xludf.DUMMYFUNCTION("""COMPUTED_VALUE"""),1.0)</f>
        <v>1</v>
      </c>
      <c r="F742" s="108">
        <f>IFERROR(__xludf.DUMMYFUNCTION("""COMPUTED_VALUE"""),0.0)</f>
        <v>0</v>
      </c>
      <c r="G742" s="16" t="str">
        <f>IFERROR(__xludf.DUMMYFUNCTION("""COMPUTED_VALUE"""),"DEF")</f>
        <v>DEF</v>
      </c>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t="str">
        <f>IFERROR(__xludf.DUMMYFUNCTION("""COMPUTED_VALUE"""),"++10,000 ACC and ATK. ++2 Charisma +-Cannot be forged or duplicated")</f>
        <v>++10,000 ACC and ATK. ++2 Charisma +-Cannot be forged or duplicated</v>
      </c>
      <c r="AG742" s="16" t="str">
        <f>IFERROR(__xludf.DUMMYFUNCTION("""COMPUTED_VALUE"""),"Land of Spira")</f>
        <v>Land of Spira</v>
      </c>
      <c r="AH742" s="16" t="b">
        <f>IFERROR(__xludf.DUMMYFUNCTION("""COMPUTED_VALUE"""),FALSE)</f>
        <v>0</v>
      </c>
    </row>
    <row r="743">
      <c r="A743" s="16" t="str">
        <f>IFERROR(__xludf.DUMMYFUNCTION("""COMPUTED_VALUE"""),"Bard's Shoes")</f>
        <v>Bard's Shoes</v>
      </c>
      <c r="B743" s="16" t="str">
        <f>IFERROR(__xludf.DUMMYFUNCTION("""COMPUTED_VALUE"""),"Feet")</f>
        <v>Feet</v>
      </c>
      <c r="C743" s="16"/>
      <c r="D743" s="16" t="str">
        <f>IFERROR(__xludf.DUMMYFUNCTION("""COMPUTED_VALUE"""),"Item")</f>
        <v>Item</v>
      </c>
      <c r="E743" s="16">
        <f>IFERROR(__xludf.DUMMYFUNCTION("""COMPUTED_VALUE"""),1.0)</f>
        <v>1</v>
      </c>
      <c r="F743" s="108">
        <f>IFERROR(__xludf.DUMMYFUNCTION("""COMPUTED_VALUE"""),0.0)</f>
        <v>0</v>
      </c>
      <c r="G743" s="16" t="str">
        <f>IFERROR(__xludf.DUMMYFUNCTION("""COMPUTED_VALUE"""),"DEF")</f>
        <v>DEF</v>
      </c>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t="str">
        <f>IFERROR(__xludf.DUMMYFUNCTION("""COMPUTED_VALUE"""),"++10,000 ACC and ATK. ++1 Charisma +-Cannot be forged or duplicated")</f>
        <v>++10,000 ACC and ATK. ++1 Charisma +-Cannot be forged or duplicated</v>
      </c>
      <c r="AG743" s="16" t="str">
        <f>IFERROR(__xludf.DUMMYFUNCTION("""COMPUTED_VALUE"""),"Land of Spira")</f>
        <v>Land of Spira</v>
      </c>
      <c r="AH743" s="16" t="b">
        <f>IFERROR(__xludf.DUMMYFUNCTION("""COMPUTED_VALUE"""),FALSE)</f>
        <v>0</v>
      </c>
    </row>
    <row r="744">
      <c r="A744" s="16" t="str">
        <f>IFERROR(__xludf.DUMMYFUNCTION("""COMPUTED_VALUE"""),"Dragonscale Skirt")</f>
        <v>Dragonscale Skirt</v>
      </c>
      <c r="B744" s="16" t="str">
        <f>IFERROR(__xludf.DUMMYFUNCTION("""COMPUTED_VALUE"""),"Legs")</f>
        <v>Legs</v>
      </c>
      <c r="C744" s="16"/>
      <c r="D744" s="16" t="str">
        <f>IFERROR(__xludf.DUMMYFUNCTION("""COMPUTED_VALUE"""),"Item")</f>
        <v>Item</v>
      </c>
      <c r="E744" s="16">
        <f>IFERROR(__xludf.DUMMYFUNCTION("""COMPUTED_VALUE"""),1.0)</f>
        <v>1</v>
      </c>
      <c r="F744" s="108">
        <f>IFERROR(__xludf.DUMMYFUNCTION("""COMPUTED_VALUE"""),0.0)</f>
        <v>0</v>
      </c>
      <c r="G744" s="16" t="str">
        <f>IFERROR(__xludf.DUMMYFUNCTION("""COMPUTED_VALUE"""),"DEF")</f>
        <v>DEF</v>
      </c>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t="str">
        <f>IFERROR(__xludf.DUMMYFUNCTION("""COMPUTED_VALUE"""),"++7,000 additional HP and SP, ++2 Mobility +-Cannot be forged or duplicated")</f>
        <v>++7,000 additional HP and SP, ++2 Mobility +-Cannot be forged or duplicated</v>
      </c>
      <c r="AG744" s="16" t="str">
        <f>IFERROR(__xludf.DUMMYFUNCTION("""COMPUTED_VALUE"""),"Dragonscale Island")</f>
        <v>Dragonscale Island</v>
      </c>
      <c r="AH744" s="16" t="b">
        <f>IFERROR(__xludf.DUMMYFUNCTION("""COMPUTED_VALUE"""),FALSE)</f>
        <v>0</v>
      </c>
    </row>
    <row r="745">
      <c r="A745" s="16" t="str">
        <f>IFERROR(__xludf.DUMMYFUNCTION("""COMPUTED_VALUE"""),"Dragonscale Cape")</f>
        <v>Dragonscale Cape</v>
      </c>
      <c r="B745" s="16" t="str">
        <f>IFERROR(__xludf.DUMMYFUNCTION("""COMPUTED_VALUE"""),"Shoulders")</f>
        <v>Shoulders</v>
      </c>
      <c r="C745" s="16"/>
      <c r="D745" s="16" t="str">
        <f>IFERROR(__xludf.DUMMYFUNCTION("""COMPUTED_VALUE"""),"Item")</f>
        <v>Item</v>
      </c>
      <c r="E745" s="16">
        <f>IFERROR(__xludf.DUMMYFUNCTION("""COMPUTED_VALUE"""),1.0)</f>
        <v>1</v>
      </c>
      <c r="F745" s="108">
        <f>IFERROR(__xludf.DUMMYFUNCTION("""COMPUTED_VALUE"""),0.0)</f>
        <v>0</v>
      </c>
      <c r="G745" s="16" t="str">
        <f>IFERROR(__xludf.DUMMYFUNCTION("""COMPUTED_VALUE"""),"DEF")</f>
        <v>DEF</v>
      </c>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t="str">
        <f>IFERROR(__xludf.DUMMYFUNCTION("""COMPUTED_VALUE"""),"++8,300 additional HP and SP, +-Cannot be forged or duplicated")</f>
        <v>++8,300 additional HP and SP, +-Cannot be forged or duplicated</v>
      </c>
      <c r="AG745" s="16" t="str">
        <f>IFERROR(__xludf.DUMMYFUNCTION("""COMPUTED_VALUE"""),"Dragonscale Island")</f>
        <v>Dragonscale Island</v>
      </c>
      <c r="AH745" s="16" t="b">
        <f>IFERROR(__xludf.DUMMYFUNCTION("""COMPUTED_VALUE"""),FALSE)</f>
        <v>0</v>
      </c>
    </row>
    <row r="746">
      <c r="A746" s="16" t="str">
        <f>IFERROR(__xludf.DUMMYFUNCTION("""COMPUTED_VALUE"""),"Broken Dragonscale Mail")</f>
        <v>Broken Dragonscale Mail</v>
      </c>
      <c r="B746" s="16" t="str">
        <f>IFERROR(__xludf.DUMMYFUNCTION("""COMPUTED_VALUE"""),"Torso")</f>
        <v>Torso</v>
      </c>
      <c r="C746" s="16"/>
      <c r="D746" s="16" t="str">
        <f>IFERROR(__xludf.DUMMYFUNCTION("""COMPUTED_VALUE"""),"Item")</f>
        <v>Item</v>
      </c>
      <c r="E746" s="16">
        <f>IFERROR(__xludf.DUMMYFUNCTION("""COMPUTED_VALUE"""),980.0)</f>
        <v>980</v>
      </c>
      <c r="F746" s="108">
        <f>IFERROR(__xludf.DUMMYFUNCTION("""COMPUTED_VALUE"""),4.656E7)</f>
        <v>46560000</v>
      </c>
      <c r="G746" s="16" t="str">
        <f>IFERROR(__xludf.DUMMYFUNCTION("""COMPUTED_VALUE"""),"DEF")</f>
        <v>DEF</v>
      </c>
      <c r="H746" s="119">
        <f>IFERROR(__xludf.DUMMYFUNCTION("""COMPUTED_VALUE"""),48900.0)</f>
        <v>48900</v>
      </c>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t="str">
        <f>IFERROR(__xludf.DUMMYFUNCTION("""COMPUTED_VALUE"""),"+-5% chance of breaking when wearer is attacked")</f>
        <v>+-5% chance of breaking when wearer is attacked</v>
      </c>
      <c r="AG746" s="16" t="str">
        <f>IFERROR(__xludf.DUMMYFUNCTION("""COMPUTED_VALUE"""),"Land of Spira")</f>
        <v>Land of Spira</v>
      </c>
      <c r="AH746" s="16" t="b">
        <f>IFERROR(__xludf.DUMMYFUNCTION("""COMPUTED_VALUE"""),FALSE)</f>
        <v>0</v>
      </c>
    </row>
    <row r="747">
      <c r="A747" s="16" t="str">
        <f>IFERROR(__xludf.DUMMYFUNCTION("""COMPUTED_VALUE"""),"Dragonscale Mail")</f>
        <v>Dragonscale Mail</v>
      </c>
      <c r="B747" s="16" t="str">
        <f>IFERROR(__xludf.DUMMYFUNCTION("""COMPUTED_VALUE"""),"Torso")</f>
        <v>Torso</v>
      </c>
      <c r="C747" s="16"/>
      <c r="D747" s="16" t="str">
        <f>IFERROR(__xludf.DUMMYFUNCTION("""COMPUTED_VALUE"""),"Item")</f>
        <v>Item</v>
      </c>
      <c r="E747" s="16">
        <f>IFERROR(__xludf.DUMMYFUNCTION("""COMPUTED_VALUE"""),3000.0)</f>
        <v>3000</v>
      </c>
      <c r="F747" s="108">
        <f>IFERROR(__xludf.DUMMYFUNCTION("""COMPUTED_VALUE"""),4.485E8)</f>
        <v>448500000</v>
      </c>
      <c r="G747" s="16" t="str">
        <f>IFERROR(__xludf.DUMMYFUNCTION("""COMPUTED_VALUE"""),"DEF")</f>
        <v>DEF</v>
      </c>
      <c r="H747" s="16">
        <f>IFERROR(__xludf.DUMMYFUNCTION("""COMPUTED_VALUE"""),150000.0)</f>
        <v>150000</v>
      </c>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t="str">
        <f>IFERROR(__xludf.DUMMYFUNCTION("""COMPUTED_VALUE"""),"Dragonscale Island")</f>
        <v>Dragonscale Island</v>
      </c>
      <c r="AH747" s="16" t="b">
        <f>IFERROR(__xludf.DUMMYFUNCTION("""COMPUTED_VALUE"""),FALSE)</f>
        <v>0</v>
      </c>
    </row>
    <row r="748">
      <c r="A748" s="16" t="str">
        <f>IFERROR(__xludf.DUMMYFUNCTION("""COMPUTED_VALUE"""),"Dragonscale Charm")</f>
        <v>Dragonscale Charm</v>
      </c>
      <c r="B748" s="16" t="str">
        <f>IFERROR(__xludf.DUMMYFUNCTION("""COMPUTED_VALUE"""),"Neck")</f>
        <v>Neck</v>
      </c>
      <c r="C748" s="16"/>
      <c r="D748" s="16" t="str">
        <f>IFERROR(__xludf.DUMMYFUNCTION("""COMPUTED_VALUE"""),"Item")</f>
        <v>Item</v>
      </c>
      <c r="E748" s="16">
        <f>IFERROR(__xludf.DUMMYFUNCTION("""COMPUTED_VALUE"""),1.0)</f>
        <v>1</v>
      </c>
      <c r="F748" s="108">
        <f>IFERROR(__xludf.DUMMYFUNCTION("""COMPUTED_VALUE"""),0.0)</f>
        <v>0</v>
      </c>
      <c r="G748" s="16" t="str">
        <f>IFERROR(__xludf.DUMMYFUNCTION("""COMPUTED_VALUE"""),"DEF")</f>
        <v>DEF</v>
      </c>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t="str">
        <f>IFERROR(__xludf.DUMMYFUNCTION("""COMPUTED_VALUE"""),"++1000 additional HP and SP for every piece of Dragonscale equipment equipped +-Cannot be forged or duplicated")</f>
        <v>++1000 additional HP and SP for every piece of Dragonscale equipment equipped +-Cannot be forged or duplicated</v>
      </c>
      <c r="AG748" s="16" t="str">
        <f>IFERROR(__xludf.DUMMYFUNCTION("""COMPUTED_VALUE"""),"Dragonscale Island")</f>
        <v>Dragonscale Island</v>
      </c>
      <c r="AH748" s="16" t="b">
        <f>IFERROR(__xludf.DUMMYFUNCTION("""COMPUTED_VALUE"""),FALSE)</f>
        <v>0</v>
      </c>
    </row>
    <row r="749">
      <c r="A749" s="16" t="str">
        <f>IFERROR(__xludf.DUMMYFUNCTION("""COMPUTED_VALUE"""),"Dragonscale Sandals")</f>
        <v>Dragonscale Sandals</v>
      </c>
      <c r="B749" s="16" t="str">
        <f>IFERROR(__xludf.DUMMYFUNCTION("""COMPUTED_VALUE"""),"Feet")</f>
        <v>Feet</v>
      </c>
      <c r="C749" s="16"/>
      <c r="D749" s="16" t="str">
        <f>IFERROR(__xludf.DUMMYFUNCTION("""COMPUTED_VALUE"""),"Item")</f>
        <v>Item</v>
      </c>
      <c r="E749" s="16">
        <f>IFERROR(__xludf.DUMMYFUNCTION("""COMPUTED_VALUE"""),1.0)</f>
        <v>1</v>
      </c>
      <c r="F749" s="108">
        <f>IFERROR(__xludf.DUMMYFUNCTION("""COMPUTED_VALUE"""),0.0)</f>
        <v>0</v>
      </c>
      <c r="G749" s="16" t="str">
        <f>IFERROR(__xludf.DUMMYFUNCTION("""COMPUTED_VALUE"""),"DEF")</f>
        <v>DEF</v>
      </c>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t="str">
        <f>IFERROR(__xludf.DUMMYFUNCTION("""COMPUTED_VALUE"""),"++2 Mobility +-Cannot be forged or duplicated")</f>
        <v>++2 Mobility +-Cannot be forged or duplicated</v>
      </c>
      <c r="AG749" s="16" t="str">
        <f>IFERROR(__xludf.DUMMYFUNCTION("""COMPUTED_VALUE"""),"Dragonscale Island")</f>
        <v>Dragonscale Island</v>
      </c>
      <c r="AH749" s="16" t="b">
        <f>IFERROR(__xludf.DUMMYFUNCTION("""COMPUTED_VALUE"""),FALSE)</f>
        <v>0</v>
      </c>
    </row>
    <row r="750">
      <c r="A750" s="16" t="str">
        <f>IFERROR(__xludf.DUMMYFUNCTION("""COMPUTED_VALUE"""),"Dragonscale Talisman")</f>
        <v>Dragonscale Talisman</v>
      </c>
      <c r="B750" s="16" t="str">
        <f>IFERROR(__xludf.DUMMYFUNCTION("""COMPUTED_VALUE"""),"Neck")</f>
        <v>Neck</v>
      </c>
      <c r="C750" s="16"/>
      <c r="D750" s="16" t="str">
        <f>IFERROR(__xludf.DUMMYFUNCTION("""COMPUTED_VALUE"""),"Item")</f>
        <v>Item</v>
      </c>
      <c r="E750" s="16">
        <f>IFERROR(__xludf.DUMMYFUNCTION("""COMPUTED_VALUE"""),1.0)</f>
        <v>1</v>
      </c>
      <c r="F750" s="108">
        <f>IFERROR(__xludf.DUMMYFUNCTION("""COMPUTED_VALUE"""),0.0)</f>
        <v>0</v>
      </c>
      <c r="G750" s="16" t="str">
        <f>IFERROR(__xludf.DUMMYFUNCTION("""COMPUTED_VALUE"""),"DEF")</f>
        <v>DEF</v>
      </c>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t="str">
        <f>IFERROR(__xludf.DUMMYFUNCTION("""COMPUTED_VALUE"""),"++10000 additional HP and SP, +-Cannot be forged or duplicated")</f>
        <v>++10000 additional HP and SP, +-Cannot be forged or duplicated</v>
      </c>
      <c r="AG750" s="16" t="str">
        <f>IFERROR(__xludf.DUMMYFUNCTION("""COMPUTED_VALUE"""),"Dragonscale Island")</f>
        <v>Dragonscale Island</v>
      </c>
      <c r="AH750" s="16" t="b">
        <f>IFERROR(__xludf.DUMMYFUNCTION("""COMPUTED_VALUE"""),FALSE)</f>
        <v>0</v>
      </c>
    </row>
    <row r="751">
      <c r="A751" s="16" t="str">
        <f>IFERROR(__xludf.DUMMYFUNCTION("""COMPUTED_VALUE"""),"Dragonscale Water Ring")</f>
        <v>Dragonscale Water Ring</v>
      </c>
      <c r="B751" s="16" t="str">
        <f>IFERROR(__xludf.DUMMYFUNCTION("""COMPUTED_VALUE"""),"Finger")</f>
        <v>Finger</v>
      </c>
      <c r="C751" s="16"/>
      <c r="D751" s="16" t="str">
        <f>IFERROR(__xludf.DUMMYFUNCTION("""COMPUTED_VALUE"""),"Item")</f>
        <v>Item</v>
      </c>
      <c r="E751" s="16">
        <f>IFERROR(__xludf.DUMMYFUNCTION("""COMPUTED_VALUE"""),1.0)</f>
        <v>1</v>
      </c>
      <c r="F751" s="108">
        <f>IFERROR(__xludf.DUMMYFUNCTION("""COMPUTED_VALUE"""),0.0)</f>
        <v>0</v>
      </c>
      <c r="G751" s="16" t="str">
        <f>IFERROR(__xludf.DUMMYFUNCTION("""COMPUTED_VALUE"""),"DEF")</f>
        <v>DEF</v>
      </c>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t="str">
        <f>IFERROR(__xludf.DUMMYFUNCTION("""COMPUTED_VALUE"""),"++Converts all Natural damage to Water damage +-Cannot be duplicated")</f>
        <v>++Converts all Natural damage to Water damage +-Cannot be duplicated</v>
      </c>
      <c r="AG751" s="16" t="str">
        <f>IFERROR(__xludf.DUMMYFUNCTION("""COMPUTED_VALUE"""),"Dragonscale Island")</f>
        <v>Dragonscale Island</v>
      </c>
      <c r="AH751" s="16" t="b">
        <f>IFERROR(__xludf.DUMMYFUNCTION("""COMPUTED_VALUE"""),FALSE)</f>
        <v>0</v>
      </c>
    </row>
    <row r="752">
      <c r="A752" s="16" t="str">
        <f>IFERROR(__xludf.DUMMYFUNCTION("""COMPUTED_VALUE"""),"Dragonscale Gauntlets")</f>
        <v>Dragonscale Gauntlets</v>
      </c>
      <c r="B752" s="16" t="str">
        <f>IFERROR(__xludf.DUMMYFUNCTION("""COMPUTED_VALUE"""),"Hand")</f>
        <v>Hand</v>
      </c>
      <c r="C752" s="16"/>
      <c r="D752" s="16" t="str">
        <f>IFERROR(__xludf.DUMMYFUNCTION("""COMPUTED_VALUE"""),"Gauntlet")</f>
        <v>Gauntlet</v>
      </c>
      <c r="E752" s="16">
        <f>IFERROR(__xludf.DUMMYFUNCTION("""COMPUTED_VALUE"""),2000.0)</f>
        <v>2000</v>
      </c>
      <c r="F752" s="108">
        <f>IFERROR(__xludf.DUMMYFUNCTION("""COMPUTED_VALUE"""),1.99E8)</f>
        <v>199000000</v>
      </c>
      <c r="G752" s="16" t="str">
        <f>IFERROR(__xludf.DUMMYFUNCTION("""COMPUTED_VALUE"""),"DEF")</f>
        <v>DEF</v>
      </c>
      <c r="H752" s="16">
        <f>IFERROR(__xludf.DUMMYFUNCTION("""COMPUTED_VALUE"""),100000.0)</f>
        <v>100000</v>
      </c>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t="str">
        <f>IFERROR(__xludf.DUMMYFUNCTION("""COMPUTED_VALUE"""),"Dragonscale Island")</f>
        <v>Dragonscale Island</v>
      </c>
      <c r="AH752" s="16" t="b">
        <f>IFERROR(__xludf.DUMMYFUNCTION("""COMPUTED_VALUE"""),FALSE)</f>
        <v>0</v>
      </c>
    </row>
    <row r="753">
      <c r="A753" s="16" t="str">
        <f>IFERROR(__xludf.DUMMYFUNCTION("""COMPUTED_VALUE"""),"Fire Dragonscale Bow")</f>
        <v>Fire Dragonscale Bow</v>
      </c>
      <c r="B753" s="16" t="str">
        <f>IFERROR(__xludf.DUMMYFUNCTION("""COMPUTED_VALUE"""),"Hand")</f>
        <v>Hand</v>
      </c>
      <c r="C753" s="16"/>
      <c r="D753" s="16" t="str">
        <f>IFERROR(__xludf.DUMMYFUNCTION("""COMPUTED_VALUE"""),"Bow")</f>
        <v>Bow</v>
      </c>
      <c r="E753" s="16">
        <f>IFERROR(__xludf.DUMMYFUNCTION("""COMPUTED_VALUE"""),3000.0)</f>
        <v>3000</v>
      </c>
      <c r="F753" s="108">
        <f>IFERROR(__xludf.DUMMYFUNCTION("""COMPUTED_VALUE"""),4.485E8)</f>
        <v>448500000</v>
      </c>
      <c r="G753" s="16" t="str">
        <f>IFERROR(__xludf.DUMMYFUNCTION("""COMPUTED_VALUE"""),"DMG")</f>
        <v>DMG</v>
      </c>
      <c r="H753" s="16">
        <f>IFERROR(__xludf.DUMMYFUNCTION("""COMPUTED_VALUE"""),20000.0)</f>
        <v>20000</v>
      </c>
      <c r="I753" s="16">
        <f>IFERROR(__xludf.DUMMYFUNCTION("""COMPUTED_VALUE"""),130000.0)</f>
        <v>130000</v>
      </c>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t="str">
        <f>IFERROR(__xludf.DUMMYFUNCTION("""COMPUTED_VALUE"""),"Dragonscale Island")</f>
        <v>Dragonscale Island</v>
      </c>
      <c r="AH753" s="16" t="b">
        <f>IFERROR(__xludf.DUMMYFUNCTION("""COMPUTED_VALUE"""),FALSE)</f>
        <v>0</v>
      </c>
    </row>
    <row r="754">
      <c r="A754" s="16" t="str">
        <f>IFERROR(__xludf.DUMMYFUNCTION("""COMPUTED_VALUE"""),"Storm Dragonscale Flail")</f>
        <v>Storm Dragonscale Flail</v>
      </c>
      <c r="B754" s="16" t="str">
        <f>IFERROR(__xludf.DUMMYFUNCTION("""COMPUTED_VALUE"""),"Hand")</f>
        <v>Hand</v>
      </c>
      <c r="C754" s="16"/>
      <c r="D754" s="16" t="str">
        <f>IFERROR(__xludf.DUMMYFUNCTION("""COMPUTED_VALUE"""),"Club")</f>
        <v>Club</v>
      </c>
      <c r="E754" s="16">
        <f>IFERROR(__xludf.DUMMYFUNCTION("""COMPUTED_VALUE"""),2400.0)</f>
        <v>2400</v>
      </c>
      <c r="F754" s="108">
        <f>IFERROR(__xludf.DUMMYFUNCTION("""COMPUTED_VALUE"""),2.868E8)</f>
        <v>286800000</v>
      </c>
      <c r="G754" s="16" t="str">
        <f>IFERROR(__xludf.DUMMYFUNCTION("""COMPUTED_VALUE"""),"DMG")</f>
        <v>DMG</v>
      </c>
      <c r="H754" s="16">
        <f>IFERROR(__xludf.DUMMYFUNCTION("""COMPUTED_VALUE"""),20000.0)</f>
        <v>20000</v>
      </c>
      <c r="I754" s="16"/>
      <c r="J754" s="16"/>
      <c r="K754" s="16"/>
      <c r="L754" s="16">
        <f>IFERROR(__xludf.DUMMYFUNCTION("""COMPUTED_VALUE"""),100000.0)</f>
        <v>100000</v>
      </c>
      <c r="M754" s="16"/>
      <c r="N754" s="16"/>
      <c r="O754" s="16"/>
      <c r="P754" s="16"/>
      <c r="Q754" s="16"/>
      <c r="R754" s="16"/>
      <c r="S754" s="16"/>
      <c r="T754" s="16"/>
      <c r="U754" s="16"/>
      <c r="V754" s="16"/>
      <c r="W754" s="16"/>
      <c r="X754" s="16"/>
      <c r="Y754" s="16"/>
      <c r="Z754" s="16"/>
      <c r="AA754" s="16"/>
      <c r="AB754" s="16"/>
      <c r="AC754" s="16"/>
      <c r="AD754" s="16"/>
      <c r="AE754" s="16"/>
      <c r="AF754" s="16" t="str">
        <f>IFERROR(__xludf.DUMMYFUNCTION("""COMPUTED_VALUE"""),"++If multiple enemies of the same type are present, attacks hit all enemies of that type. +-Cannot be forged or duplicated")</f>
        <v>++If multiple enemies of the same type are present, attacks hit all enemies of that type. +-Cannot be forged or duplicated</v>
      </c>
      <c r="AG754" s="16" t="str">
        <f>IFERROR(__xludf.DUMMYFUNCTION("""COMPUTED_VALUE"""),"Dragonscale Island")</f>
        <v>Dragonscale Island</v>
      </c>
      <c r="AH754" s="16" t="b">
        <f>IFERROR(__xludf.DUMMYFUNCTION("""COMPUTED_VALUE"""),FALSE)</f>
        <v>0</v>
      </c>
    </row>
    <row r="755">
      <c r="A755" s="16" t="str">
        <f>IFERROR(__xludf.DUMMYFUNCTION("""COMPUTED_VALUE"""),"Dragonscale Spear")</f>
        <v>Dragonscale Spear</v>
      </c>
      <c r="B755" s="16" t="str">
        <f>IFERROR(__xludf.DUMMYFUNCTION("""COMPUTED_VALUE"""),"Hand")</f>
        <v>Hand</v>
      </c>
      <c r="C755" s="16"/>
      <c r="D755" s="16" t="str">
        <f>IFERROR(__xludf.DUMMYFUNCTION("""COMPUTED_VALUE"""),"Spear")</f>
        <v>Spear</v>
      </c>
      <c r="E755" s="16">
        <f>IFERROR(__xludf.DUMMYFUNCTION("""COMPUTED_VALUE"""),2800.0)</f>
        <v>2800</v>
      </c>
      <c r="F755" s="108">
        <f>IFERROR(__xludf.DUMMYFUNCTION("""COMPUTED_VALUE"""),3.906E8)</f>
        <v>390600000</v>
      </c>
      <c r="G755" s="16" t="str">
        <f>IFERROR(__xludf.DUMMYFUNCTION("""COMPUTED_VALUE"""),"DMG")</f>
        <v>DMG</v>
      </c>
      <c r="H755" s="16">
        <f>IFERROR(__xludf.DUMMYFUNCTION("""COMPUTED_VALUE"""),140000.0)</f>
        <v>140000</v>
      </c>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t="str">
        <f>IFERROR(__xludf.DUMMYFUNCTION("""COMPUTED_VALUE"""),"Dragonscale Island")</f>
        <v>Dragonscale Island</v>
      </c>
      <c r="AH755" s="16" t="b">
        <f>IFERROR(__xludf.DUMMYFUNCTION("""COMPUTED_VALUE"""),FALSE)</f>
        <v>0</v>
      </c>
    </row>
    <row r="756">
      <c r="A756" s="16" t="str">
        <f>IFERROR(__xludf.DUMMYFUNCTION("""COMPUTED_VALUE"""),"Dragonscale Scythe")</f>
        <v>Dragonscale Scythe</v>
      </c>
      <c r="B756" s="16" t="str">
        <f>IFERROR(__xludf.DUMMYFUNCTION("""COMPUTED_VALUE"""),"Hand")</f>
        <v>Hand</v>
      </c>
      <c r="C756" s="16"/>
      <c r="D756" s="16" t="str">
        <f>IFERROR(__xludf.DUMMYFUNCTION("""COMPUTED_VALUE"""),"Scythe")</f>
        <v>Scythe</v>
      </c>
      <c r="E756" s="16">
        <f>IFERROR(__xludf.DUMMYFUNCTION("""COMPUTED_VALUE"""),2500.0)</f>
        <v>2500</v>
      </c>
      <c r="F756" s="108">
        <f>IFERROR(__xludf.DUMMYFUNCTION("""COMPUTED_VALUE"""),3.1125E8)</f>
        <v>311250000</v>
      </c>
      <c r="G756" s="16" t="str">
        <f>IFERROR(__xludf.DUMMYFUNCTION("""COMPUTED_VALUE"""),"DMG")</f>
        <v>DMG</v>
      </c>
      <c r="H756" s="16">
        <f>IFERROR(__xludf.DUMMYFUNCTION("""COMPUTED_VALUE"""),125000.0)</f>
        <v>125000</v>
      </c>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t="str">
        <f>IFERROR(__xludf.DUMMYFUNCTION("""COMPUTED_VALUE"""),"++If used to kill a dragon, 100% chance to get its soul. +-Cannot be forged or duplicated")</f>
        <v>++If used to kill a dragon, 100% chance to get its soul. +-Cannot be forged or duplicated</v>
      </c>
      <c r="AG756" s="16" t="str">
        <f>IFERROR(__xludf.DUMMYFUNCTION("""COMPUTED_VALUE"""),"Dragonscale Island")</f>
        <v>Dragonscale Island</v>
      </c>
      <c r="AH756" s="16" t="b">
        <f>IFERROR(__xludf.DUMMYFUNCTION("""COMPUTED_VALUE"""),FALSE)</f>
        <v>0</v>
      </c>
    </row>
    <row r="757">
      <c r="A757" s="16" t="str">
        <f>IFERROR(__xludf.DUMMYFUNCTION("""COMPUTED_VALUE"""),"Dark Dragonscale Claws")</f>
        <v>Dark Dragonscale Claws</v>
      </c>
      <c r="B757" s="16" t="str">
        <f>IFERROR(__xludf.DUMMYFUNCTION("""COMPUTED_VALUE"""),"Hand")</f>
        <v>Hand</v>
      </c>
      <c r="C757" s="16"/>
      <c r="D757" s="16" t="str">
        <f>IFERROR(__xludf.DUMMYFUNCTION("""COMPUTED_VALUE"""),"Claw")</f>
        <v>Claw</v>
      </c>
      <c r="E757" s="16">
        <f>IFERROR(__xludf.DUMMYFUNCTION("""COMPUTED_VALUE"""),2900.0)</f>
        <v>2900</v>
      </c>
      <c r="F757" s="108">
        <f>IFERROR(__xludf.DUMMYFUNCTION("""COMPUTED_VALUE"""),4.1905E8)</f>
        <v>419050000</v>
      </c>
      <c r="G757" s="16" t="str">
        <f>IFERROR(__xludf.DUMMYFUNCTION("""COMPUTED_VALUE"""),"DMG")</f>
        <v>DMG</v>
      </c>
      <c r="H757" s="16"/>
      <c r="I757" s="16"/>
      <c r="J757" s="16"/>
      <c r="K757" s="16"/>
      <c r="L757" s="16"/>
      <c r="M757" s="16"/>
      <c r="N757" s="16"/>
      <c r="O757" s="16">
        <f>IFERROR(__xludf.DUMMYFUNCTION("""COMPUTED_VALUE"""),145000.0)</f>
        <v>145000</v>
      </c>
      <c r="P757" s="16"/>
      <c r="Q757" s="16"/>
      <c r="R757" s="16"/>
      <c r="S757" s="16"/>
      <c r="T757" s="16"/>
      <c r="U757" s="16"/>
      <c r="V757" s="16"/>
      <c r="W757" s="16"/>
      <c r="X757" s="16"/>
      <c r="Y757" s="16"/>
      <c r="Z757" s="16"/>
      <c r="AA757" s="16"/>
      <c r="AB757" s="16"/>
      <c r="AC757" s="16"/>
      <c r="AD757" s="16"/>
      <c r="AE757" s="16"/>
      <c r="AF757" s="16" t="str">
        <f>IFERROR(__xludf.DUMMYFUNCTION("""COMPUTED_VALUE"""),"++ 30% chance to remove enemy from battle")</f>
        <v>++ 30% chance to remove enemy from battle</v>
      </c>
      <c r="AG757" s="16" t="str">
        <f>IFERROR(__xludf.DUMMYFUNCTION("""COMPUTED_VALUE"""),"Dragonscale Island")</f>
        <v>Dragonscale Island</v>
      </c>
      <c r="AH757" s="16" t="b">
        <f>IFERROR(__xludf.DUMMYFUNCTION("""COMPUTED_VALUE"""),FALSE)</f>
        <v>0</v>
      </c>
    </row>
    <row r="758">
      <c r="A758" s="16" t="str">
        <f>IFERROR(__xludf.DUMMYFUNCTION("""COMPUTED_VALUE"""),"Chaotic Dragonscale Claw")</f>
        <v>Chaotic Dragonscale Claw</v>
      </c>
      <c r="B758" s="16" t="str">
        <f>IFERROR(__xludf.DUMMYFUNCTION("""COMPUTED_VALUE"""),"Hand")</f>
        <v>Hand</v>
      </c>
      <c r="C758" s="16"/>
      <c r="D758" s="16" t="str">
        <f>IFERROR(__xludf.DUMMYFUNCTION("""COMPUTED_VALUE"""),"Claw")</f>
        <v>Claw</v>
      </c>
      <c r="E758" s="16">
        <f>IFERROR(__xludf.DUMMYFUNCTION("""COMPUTED_VALUE"""),2350.0)</f>
        <v>2350</v>
      </c>
      <c r="F758" s="108">
        <f>IFERROR(__xludf.DUMMYFUNCTION("""COMPUTED_VALUE"""),2.7261E8)</f>
        <v>272610000</v>
      </c>
      <c r="G758" s="16" t="str">
        <f>IFERROR(__xludf.DUMMYFUNCTION("""COMPUTED_VALUE"""),"DMG")</f>
        <v>DMG</v>
      </c>
      <c r="H758" s="16">
        <f>IFERROR(__xludf.DUMMYFUNCTION("""COMPUTED_VALUE"""),1.0)</f>
        <v>1</v>
      </c>
      <c r="I758" s="16"/>
      <c r="J758" s="16"/>
      <c r="K758" s="16"/>
      <c r="L758" s="16"/>
      <c r="M758" s="16"/>
      <c r="N758" s="16"/>
      <c r="O758" s="16"/>
      <c r="P758" s="16"/>
      <c r="Q758" s="16"/>
      <c r="R758" s="16">
        <f>IFERROR(__xludf.DUMMYFUNCTION("""COMPUTED_VALUE"""),117000.0)</f>
        <v>117000</v>
      </c>
      <c r="S758" s="16"/>
      <c r="T758" s="16"/>
      <c r="U758" s="16"/>
      <c r="V758" s="16"/>
      <c r="W758" s="16"/>
      <c r="X758" s="16"/>
      <c r="Y758" s="16"/>
      <c r="Z758" s="16"/>
      <c r="AA758" s="16"/>
      <c r="AB758" s="16"/>
      <c r="AC758" s="16"/>
      <c r="AD758" s="16"/>
      <c r="AE758" s="16"/>
      <c r="AF758" s="16" t="str">
        <f>IFERROR(__xludf.DUMMYFUNCTION("""COMPUTED_VALUE"""),"+-5% chance of dealing 1 damage when attacking")</f>
        <v>+-5% chance of dealing 1 damage when attacking</v>
      </c>
      <c r="AG758" s="16" t="str">
        <f>IFERROR(__xludf.DUMMYFUNCTION("""COMPUTED_VALUE"""),"Dragonscale Island")</f>
        <v>Dragonscale Island</v>
      </c>
      <c r="AH758" s="16" t="b">
        <f>IFERROR(__xludf.DUMMYFUNCTION("""COMPUTED_VALUE"""),FALSE)</f>
        <v>0</v>
      </c>
    </row>
    <row r="759">
      <c r="A759" s="16" t="str">
        <f>IFERROR(__xludf.DUMMYFUNCTION("""COMPUTED_VALUE"""),"Earthen Dragonscale Boots")</f>
        <v>Earthen Dragonscale Boots</v>
      </c>
      <c r="B759" s="16" t="str">
        <f>IFERROR(__xludf.DUMMYFUNCTION("""COMPUTED_VALUE"""),"Feet")</f>
        <v>Feet</v>
      </c>
      <c r="C759" s="16"/>
      <c r="D759" s="16" t="str">
        <f>IFERROR(__xludf.DUMMYFUNCTION("""COMPUTED_VALUE"""),"Item")</f>
        <v>Item</v>
      </c>
      <c r="E759" s="16">
        <f>IFERROR(__xludf.DUMMYFUNCTION("""COMPUTED_VALUE"""),3000.0)</f>
        <v>3000</v>
      </c>
      <c r="F759" s="108">
        <f>IFERROR(__xludf.DUMMYFUNCTION("""COMPUTED_VALUE"""),4.485E8)</f>
        <v>448500000</v>
      </c>
      <c r="G759" s="16" t="str">
        <f>IFERROR(__xludf.DUMMYFUNCTION("""COMPUTED_VALUE"""),"DEF")</f>
        <v>DEF</v>
      </c>
      <c r="H759" s="16">
        <f>IFERROR(__xludf.DUMMYFUNCTION("""COMPUTED_VALUE"""),60000.0)</f>
        <v>60000</v>
      </c>
      <c r="I759" s="16"/>
      <c r="J759" s="16"/>
      <c r="K759" s="16"/>
      <c r="L759" s="16"/>
      <c r="M759" s="16">
        <f>IFERROR(__xludf.DUMMYFUNCTION("""COMPUTED_VALUE"""),90000.0)</f>
        <v>90000</v>
      </c>
      <c r="N759" s="16"/>
      <c r="O759" s="16"/>
      <c r="P759" s="16"/>
      <c r="Q759" s="16"/>
      <c r="R759" s="16"/>
      <c r="S759" s="16"/>
      <c r="T759" s="16"/>
      <c r="U759" s="16"/>
      <c r="V759" s="16"/>
      <c r="W759" s="16"/>
      <c r="X759" s="16"/>
      <c r="Y759" s="16"/>
      <c r="Z759" s="16"/>
      <c r="AA759" s="16"/>
      <c r="AB759" s="16"/>
      <c r="AC759" s="16"/>
      <c r="AD759" s="16"/>
      <c r="AE759" s="16"/>
      <c r="AF759" s="16" t="str">
        <f>IFERROR(__xludf.DUMMYFUNCTION("""COMPUTED_VALUE"""),"++Immune to Earth spells")</f>
        <v>++Immune to Earth spells</v>
      </c>
      <c r="AG759" s="16" t="str">
        <f>IFERROR(__xludf.DUMMYFUNCTION("""COMPUTED_VALUE"""),"Dragonscale Island")</f>
        <v>Dragonscale Island</v>
      </c>
      <c r="AH759" s="16" t="b">
        <f>IFERROR(__xludf.DUMMYFUNCTION("""COMPUTED_VALUE"""),FALSE)</f>
        <v>0</v>
      </c>
    </row>
    <row r="760">
      <c r="A760" s="16" t="str">
        <f>IFERROR(__xludf.DUMMYFUNCTION("""COMPUTED_VALUE"""),"Dragonscale Harp")</f>
        <v>Dragonscale Harp</v>
      </c>
      <c r="B760" s="16" t="str">
        <f>IFERROR(__xludf.DUMMYFUNCTION("""COMPUTED_VALUE"""),"Hand")</f>
        <v>Hand</v>
      </c>
      <c r="C760" s="16"/>
      <c r="D760" s="16" t="str">
        <f>IFERROR(__xludf.DUMMYFUNCTION("""COMPUTED_VALUE"""),"Instrument")</f>
        <v>Instrument</v>
      </c>
      <c r="E760" s="16">
        <f>IFERROR(__xludf.DUMMYFUNCTION("""COMPUTED_VALUE"""),2620.0)</f>
        <v>2620</v>
      </c>
      <c r="F760" s="108">
        <f>IFERROR(__xludf.DUMMYFUNCTION("""COMPUTED_VALUE"""),3.4191E8)</f>
        <v>341910000</v>
      </c>
      <c r="G760" s="16" t="str">
        <f>IFERROR(__xludf.DUMMYFUNCTION("""COMPUTED_VALUE"""),"DMG")</f>
        <v>DMG</v>
      </c>
      <c r="H760" s="16">
        <f>IFERROR(__xludf.DUMMYFUNCTION("""COMPUTED_VALUE"""),1000.0)</f>
        <v>1000</v>
      </c>
      <c r="I760" s="16"/>
      <c r="J760" s="16"/>
      <c r="K760" s="16"/>
      <c r="L760" s="16"/>
      <c r="M760" s="16"/>
      <c r="N760" s="16"/>
      <c r="O760" s="16"/>
      <c r="P760" s="16"/>
      <c r="Q760" s="16"/>
      <c r="R760" s="16"/>
      <c r="S760" s="16"/>
      <c r="T760" s="16"/>
      <c r="U760" s="16"/>
      <c r="V760" s="16"/>
      <c r="W760" s="16"/>
      <c r="X760" s="16"/>
      <c r="Y760" s="16"/>
      <c r="Z760" s="16"/>
      <c r="AA760" s="16"/>
      <c r="AB760" s="16"/>
      <c r="AC760" s="16"/>
      <c r="AD760" s="16"/>
      <c r="AE760" s="16">
        <f>IFERROR(__xludf.DUMMYFUNCTION("""COMPUTED_VALUE"""),130000.0)</f>
        <v>130000</v>
      </c>
      <c r="AF760" s="16" t="str">
        <f>IFERROR(__xludf.DUMMYFUNCTION("""COMPUTED_VALUE"""),"++Causes any dragon enemies to skip its next turn when attacked.")</f>
        <v>++Causes any dragon enemies to skip its next turn when attacked.</v>
      </c>
      <c r="AG760" s="16" t="str">
        <f>IFERROR(__xludf.DUMMYFUNCTION("""COMPUTED_VALUE"""),"Dragonscale Island")</f>
        <v>Dragonscale Island</v>
      </c>
      <c r="AH760" s="16" t="b">
        <f>IFERROR(__xludf.DUMMYFUNCTION("""COMPUTED_VALUE"""),FALSE)</f>
        <v>0</v>
      </c>
    </row>
    <row r="761">
      <c r="A761" s="16" t="str">
        <f>IFERROR(__xludf.DUMMYFUNCTION("""COMPUTED_VALUE"""),"Dragonscale Bracers")</f>
        <v>Dragonscale Bracers</v>
      </c>
      <c r="B761" s="16" t="str">
        <f>IFERROR(__xludf.DUMMYFUNCTION("""COMPUTED_VALUE"""),"Arms")</f>
        <v>Arms</v>
      </c>
      <c r="C761" s="16"/>
      <c r="D761" s="16" t="str">
        <f>IFERROR(__xludf.DUMMYFUNCTION("""COMPUTED_VALUE"""),"Item")</f>
        <v>Item</v>
      </c>
      <c r="E761" s="16">
        <f>IFERROR(__xludf.DUMMYFUNCTION("""COMPUTED_VALUE"""),2000.0)</f>
        <v>2000</v>
      </c>
      <c r="F761" s="108">
        <f>IFERROR(__xludf.DUMMYFUNCTION("""COMPUTED_VALUE"""),1.99E8)</f>
        <v>199000000</v>
      </c>
      <c r="G761" s="16" t="str">
        <f>IFERROR(__xludf.DUMMYFUNCTION("""COMPUTED_VALUE"""),"DEF")</f>
        <v>DEF</v>
      </c>
      <c r="H761" s="16">
        <f>IFERROR(__xludf.DUMMYFUNCTION("""COMPUTED_VALUE"""),100000.0)</f>
        <v>100000</v>
      </c>
      <c r="I761" s="16"/>
      <c r="J761" s="16"/>
      <c r="K761" s="16"/>
      <c r="L761" s="16"/>
      <c r="M761" s="16"/>
      <c r="N761" s="16"/>
      <c r="O761" s="16"/>
      <c r="P761" s="16"/>
      <c r="Q761" s="16"/>
      <c r="R761" s="16"/>
      <c r="S761" s="16"/>
      <c r="T761" s="16"/>
      <c r="U761" s="16"/>
      <c r="V761" s="16"/>
      <c r="W761" s="16"/>
      <c r="X761" s="16"/>
      <c r="Y761" s="16"/>
      <c r="Z761" s="16"/>
      <c r="AA761" s="16"/>
      <c r="AB761" s="16"/>
      <c r="AC761" s="16"/>
      <c r="AD761" s="16"/>
      <c r="AE761" s="16"/>
      <c r="AF761" s="16" t="str">
        <f>IFERROR(__xludf.DUMMYFUNCTION("""COMPUTED_VALUE"""),"++X2 DEF when fighting a dragon(s).")</f>
        <v>++X2 DEF when fighting a dragon(s).</v>
      </c>
      <c r="AG761" s="16" t="str">
        <f>IFERROR(__xludf.DUMMYFUNCTION("""COMPUTED_VALUE"""),"Dragonscale Island")</f>
        <v>Dragonscale Island</v>
      </c>
      <c r="AH761" s="16" t="b">
        <f>IFERROR(__xludf.DUMMYFUNCTION("""COMPUTED_VALUE"""),FALSE)</f>
        <v>0</v>
      </c>
    </row>
    <row r="762">
      <c r="A762" s="16" t="str">
        <f>IFERROR(__xludf.DUMMYFUNCTION("""COMPUTED_VALUE"""),"Dragonscale Crown")</f>
        <v>Dragonscale Crown</v>
      </c>
      <c r="B762" s="16" t="str">
        <f>IFERROR(__xludf.DUMMYFUNCTION("""COMPUTED_VALUE"""),"Head")</f>
        <v>Head</v>
      </c>
      <c r="C762" s="16"/>
      <c r="D762" s="16" t="str">
        <f>IFERROR(__xludf.DUMMYFUNCTION("""COMPUTED_VALUE"""),"Item")</f>
        <v>Item</v>
      </c>
      <c r="E762" s="16">
        <f>IFERROR(__xludf.DUMMYFUNCTION("""COMPUTED_VALUE"""),1.0)</f>
        <v>1</v>
      </c>
      <c r="F762" s="108">
        <f>IFERROR(__xludf.DUMMYFUNCTION("""COMPUTED_VALUE"""),0.0)</f>
        <v>0</v>
      </c>
      <c r="G762" s="16" t="str">
        <f>IFERROR(__xludf.DUMMYFUNCTION("""COMPUTED_VALUE"""),"DEF")</f>
        <v>DEF</v>
      </c>
      <c r="H762" s="16"/>
      <c r="I762" s="16"/>
      <c r="J762" s="16"/>
      <c r="K762" s="16"/>
      <c r="L762" s="16"/>
      <c r="M762" s="16"/>
      <c r="N762" s="16"/>
      <c r="O762" s="16"/>
      <c r="P762" s="16"/>
      <c r="Q762" s="16"/>
      <c r="R762" s="16"/>
      <c r="S762" s="16"/>
      <c r="T762" s="16"/>
      <c r="U762" s="16"/>
      <c r="V762" s="16"/>
      <c r="W762" s="16"/>
      <c r="X762" s="16"/>
      <c r="Y762" s="16"/>
      <c r="Z762" s="16"/>
      <c r="AA762" s="16"/>
      <c r="AB762" s="16"/>
      <c r="AC762" s="16"/>
      <c r="AD762" s="16"/>
      <c r="AE762" s="16"/>
      <c r="AF762" s="16" t="str">
        <f>IFERROR(__xludf.DUMMYFUNCTION("""COMPUTED_VALUE"""),"++7,500 additional HP and SP, +-Cannot be forged or duplicated")</f>
        <v>++7,500 additional HP and SP, +-Cannot be forged or duplicated</v>
      </c>
      <c r="AG762" s="16" t="str">
        <f>IFERROR(__xludf.DUMMYFUNCTION("""COMPUTED_VALUE"""),"Dragonscale Island")</f>
        <v>Dragonscale Island</v>
      </c>
      <c r="AH762" s="16" t="b">
        <f>IFERROR(__xludf.DUMMYFUNCTION("""COMPUTED_VALUE"""),FALSE)</f>
        <v>0</v>
      </c>
    </row>
    <row r="763">
      <c r="A763" s="16" t="str">
        <f>IFERROR(__xludf.DUMMYFUNCTION("""COMPUTED_VALUE"""),"Dragonscale Helm")</f>
        <v>Dragonscale Helm</v>
      </c>
      <c r="B763" s="16" t="str">
        <f>IFERROR(__xludf.DUMMYFUNCTION("""COMPUTED_VALUE"""),"Head")</f>
        <v>Head</v>
      </c>
      <c r="C763" s="16"/>
      <c r="D763" s="16" t="str">
        <f>IFERROR(__xludf.DUMMYFUNCTION("""COMPUTED_VALUE"""),"Item")</f>
        <v>Item</v>
      </c>
      <c r="E763" s="16">
        <f>IFERROR(__xludf.DUMMYFUNCTION("""COMPUTED_VALUE"""),2600.0)</f>
        <v>2600</v>
      </c>
      <c r="F763" s="108">
        <f>IFERROR(__xludf.DUMMYFUNCTION("""COMPUTED_VALUE"""),3.367E8)</f>
        <v>336700000</v>
      </c>
      <c r="G763" s="16" t="str">
        <f>IFERROR(__xludf.DUMMYFUNCTION("""COMPUTED_VALUE"""),"DEF")</f>
        <v>DEF</v>
      </c>
      <c r="H763" s="16">
        <f>IFERROR(__xludf.DUMMYFUNCTION("""COMPUTED_VALUE"""),130000.0)</f>
        <v>130000</v>
      </c>
      <c r="I763" s="16"/>
      <c r="J763" s="16"/>
      <c r="K763" s="16"/>
      <c r="L763" s="16"/>
      <c r="M763" s="16"/>
      <c r="N763" s="16"/>
      <c r="O763" s="16"/>
      <c r="P763" s="16"/>
      <c r="Q763" s="16"/>
      <c r="R763" s="16"/>
      <c r="S763" s="16"/>
      <c r="T763" s="16"/>
      <c r="U763" s="16"/>
      <c r="V763" s="16"/>
      <c r="W763" s="16"/>
      <c r="X763" s="16"/>
      <c r="Y763" s="16"/>
      <c r="Z763" s="16"/>
      <c r="AA763" s="16"/>
      <c r="AB763" s="16"/>
      <c r="AC763" s="16"/>
      <c r="AD763" s="16"/>
      <c r="AE763" s="16"/>
      <c r="AF763" s="16"/>
      <c r="AG763" s="16" t="str">
        <f>IFERROR(__xludf.DUMMYFUNCTION("""COMPUTED_VALUE"""),"Dragonscale Island")</f>
        <v>Dragonscale Island</v>
      </c>
      <c r="AH763" s="16" t="b">
        <f>IFERROR(__xludf.DUMMYFUNCTION("""COMPUTED_VALUE"""),FALSE)</f>
        <v>0</v>
      </c>
    </row>
    <row r="764">
      <c r="A764" s="16" t="str">
        <f>IFERROR(__xludf.DUMMYFUNCTION("""COMPUTED_VALUE"""),"Dragonscale Rifle")</f>
        <v>Dragonscale Rifle</v>
      </c>
      <c r="B764" s="16" t="str">
        <f>IFERROR(__xludf.DUMMYFUNCTION("""COMPUTED_VALUE"""),"Hand")</f>
        <v>Hand</v>
      </c>
      <c r="C764" s="16"/>
      <c r="D764" s="16" t="str">
        <f>IFERROR(__xludf.DUMMYFUNCTION("""COMPUTED_VALUE"""),"Firearm")</f>
        <v>Firearm</v>
      </c>
      <c r="E764" s="16">
        <f>IFERROR(__xludf.DUMMYFUNCTION("""COMPUTED_VALUE"""),3400.0)</f>
        <v>3400</v>
      </c>
      <c r="F764" s="108">
        <f>IFERROR(__xludf.DUMMYFUNCTION("""COMPUTED_VALUE"""),5.763E8)</f>
        <v>576300000</v>
      </c>
      <c r="G764" s="16" t="str">
        <f>IFERROR(__xludf.DUMMYFUNCTION("""COMPUTED_VALUE"""),"DMG")</f>
        <v>DMG</v>
      </c>
      <c r="H764" s="16">
        <f>IFERROR(__xludf.DUMMYFUNCTION("""COMPUTED_VALUE"""),170000.0)</f>
        <v>170000</v>
      </c>
      <c r="I764" s="16"/>
      <c r="J764" s="16"/>
      <c r="K764" s="16"/>
      <c r="L764" s="16"/>
      <c r="M764" s="16"/>
      <c r="N764" s="16"/>
      <c r="O764" s="16"/>
      <c r="P764" s="16"/>
      <c r="Q764" s="16"/>
      <c r="R764" s="16"/>
      <c r="S764" s="16"/>
      <c r="T764" s="16"/>
      <c r="U764" s="16"/>
      <c r="V764" s="16"/>
      <c r="W764" s="16"/>
      <c r="X764" s="16"/>
      <c r="Y764" s="16"/>
      <c r="Z764" s="16"/>
      <c r="AA764" s="16"/>
      <c r="AB764" s="16"/>
      <c r="AC764" s="16"/>
      <c r="AD764" s="16"/>
      <c r="AE764" s="16"/>
      <c r="AF764" s="16" t="str">
        <f>IFERROR(__xludf.DUMMYFUNCTION("""COMPUTED_VALUE""")," +-Uses bullets")</f>
        <v> +-Uses bullets</v>
      </c>
      <c r="AG764" s="16" t="str">
        <f>IFERROR(__xludf.DUMMYFUNCTION("""COMPUTED_VALUE"""),"Dragonscale Island")</f>
        <v>Dragonscale Island</v>
      </c>
      <c r="AH764" s="16" t="b">
        <f>IFERROR(__xludf.DUMMYFUNCTION("""COMPUTED_VALUE"""),FALSE)</f>
        <v>0</v>
      </c>
    </row>
    <row r="765">
      <c r="A765" s="16" t="str">
        <f>IFERROR(__xludf.DUMMYFUNCTION("""COMPUTED_VALUE"""),"Searing Dragonscale Staff")</f>
        <v>Searing Dragonscale Staff</v>
      </c>
      <c r="B765" s="16" t="str">
        <f>IFERROR(__xludf.DUMMYFUNCTION("""COMPUTED_VALUE"""),"Hand")</f>
        <v>Hand</v>
      </c>
      <c r="C765" s="16"/>
      <c r="D765" s="16" t="str">
        <f>IFERROR(__xludf.DUMMYFUNCTION("""COMPUTED_VALUE"""),"Staff")</f>
        <v>Staff</v>
      </c>
      <c r="E765" s="16">
        <f>IFERROR(__xludf.DUMMYFUNCTION("""COMPUTED_VALUE"""),3000.0)</f>
        <v>3000</v>
      </c>
      <c r="F765" s="108">
        <f>IFERROR(__xludf.DUMMYFUNCTION("""COMPUTED_VALUE"""),4.485E8)</f>
        <v>448500000</v>
      </c>
      <c r="G765" s="16" t="str">
        <f>IFERROR(__xludf.DUMMYFUNCTION("""COMPUTED_VALUE"""),"DMG")</f>
        <v>DMG</v>
      </c>
      <c r="H765" s="16"/>
      <c r="I765" s="16"/>
      <c r="J765" s="16"/>
      <c r="K765" s="16"/>
      <c r="L765" s="16"/>
      <c r="M765" s="16"/>
      <c r="N765" s="16">
        <f>IFERROR(__xludf.DUMMYFUNCTION("""COMPUTED_VALUE"""),150000.0)</f>
        <v>150000</v>
      </c>
      <c r="O765" s="16"/>
      <c r="P765" s="16"/>
      <c r="Q765" s="16"/>
      <c r="R765" s="16"/>
      <c r="S765" s="16"/>
      <c r="T765" s="16"/>
      <c r="U765" s="16"/>
      <c r="V765" s="16"/>
      <c r="W765" s="16"/>
      <c r="X765" s="16"/>
      <c r="Y765" s="16"/>
      <c r="Z765" s="16"/>
      <c r="AA765" s="16"/>
      <c r="AB765" s="16"/>
      <c r="AC765" s="16"/>
      <c r="AD765" s="16"/>
      <c r="AE765" s="16"/>
      <c r="AF765" s="16"/>
      <c r="AG765" s="16" t="str">
        <f>IFERROR(__xludf.DUMMYFUNCTION("""COMPUTED_VALUE"""),"Dragonscale Island")</f>
        <v>Dragonscale Island</v>
      </c>
      <c r="AH765" s="16" t="b">
        <f>IFERROR(__xludf.DUMMYFUNCTION("""COMPUTED_VALUE"""),FALSE)</f>
        <v>0</v>
      </c>
    </row>
    <row r="766">
      <c r="A766" s="16" t="str">
        <f>IFERROR(__xludf.DUMMYFUNCTION("""COMPUTED_VALUE"""),"Forgotten Scythe")</f>
        <v>Forgotten Scythe</v>
      </c>
      <c r="B766" s="16" t="str">
        <f>IFERROR(__xludf.DUMMYFUNCTION("""COMPUTED_VALUE"""),"Hand")</f>
        <v>Hand</v>
      </c>
      <c r="C766" s="16"/>
      <c r="D766" s="16" t="str">
        <f>IFERROR(__xludf.DUMMYFUNCTION("""COMPUTED_VALUE"""),"Scythe")</f>
        <v>Scythe</v>
      </c>
      <c r="E766" s="16">
        <f>IFERROR(__xludf.DUMMYFUNCTION("""COMPUTED_VALUE"""),5800.0)</f>
        <v>5800</v>
      </c>
      <c r="F766" s="108">
        <f>IFERROR(__xludf.DUMMYFUNCTION("""COMPUTED_VALUE"""),1.6791E9)</f>
        <v>1679100000</v>
      </c>
      <c r="G766" s="16" t="str">
        <f>IFERROR(__xludf.DUMMYFUNCTION("""COMPUTED_VALUE"""),"DMG")</f>
        <v>DMG</v>
      </c>
      <c r="H766" s="16"/>
      <c r="I766" s="16"/>
      <c r="J766" s="16"/>
      <c r="K766" s="16"/>
      <c r="L766" s="16"/>
      <c r="M766" s="16"/>
      <c r="N766" s="16"/>
      <c r="O766" s="16"/>
      <c r="P766" s="16"/>
      <c r="Q766" s="16"/>
      <c r="R766" s="16">
        <f>IFERROR(__xludf.DUMMYFUNCTION("""COMPUTED_VALUE"""),290000.0)</f>
        <v>290000</v>
      </c>
      <c r="S766" s="16"/>
      <c r="T766" s="16"/>
      <c r="U766" s="16"/>
      <c r="V766" s="16"/>
      <c r="W766" s="16"/>
      <c r="X766" s="16"/>
      <c r="Y766" s="16"/>
      <c r="Z766" s="16"/>
      <c r="AA766" s="16"/>
      <c r="AB766" s="16"/>
      <c r="AC766" s="16"/>
      <c r="AD766" s="16"/>
      <c r="AE766" s="16"/>
      <c r="AF766" s="16"/>
      <c r="AG766" s="16" t="str">
        <f>IFERROR(__xludf.DUMMYFUNCTION("""COMPUTED_VALUE"""),"Abstara")</f>
        <v>Abstara</v>
      </c>
      <c r="AH766" s="16" t="b">
        <f>IFERROR(__xludf.DUMMYFUNCTION("""COMPUTED_VALUE"""),FALSE)</f>
        <v>0</v>
      </c>
    </row>
    <row r="767">
      <c r="A767" s="16" t="str">
        <f>IFERROR(__xludf.DUMMYFUNCTION("""COMPUTED_VALUE"""),"Forsaken Club")</f>
        <v>Forsaken Club</v>
      </c>
      <c r="B767" s="16" t="str">
        <f>IFERROR(__xludf.DUMMYFUNCTION("""COMPUTED_VALUE"""),"Hand")</f>
        <v>Hand</v>
      </c>
      <c r="C767" s="16"/>
      <c r="D767" s="16" t="str">
        <f>IFERROR(__xludf.DUMMYFUNCTION("""COMPUTED_VALUE"""),"Club")</f>
        <v>Club</v>
      </c>
      <c r="E767" s="16">
        <f>IFERROR(__xludf.DUMMYFUNCTION("""COMPUTED_VALUE"""),5000.0)</f>
        <v>5000</v>
      </c>
      <c r="F767" s="108">
        <f>IFERROR(__xludf.DUMMYFUNCTION("""COMPUTED_VALUE"""),1.2475E9)</f>
        <v>1247500000</v>
      </c>
      <c r="G767" s="16" t="str">
        <f>IFERROR(__xludf.DUMMYFUNCTION("""COMPUTED_VALUE"""),"DMG")</f>
        <v>DMG</v>
      </c>
      <c r="H767" s="16">
        <f>IFERROR(__xludf.DUMMYFUNCTION("""COMPUTED_VALUE"""),250000.0)</f>
        <v>250000</v>
      </c>
      <c r="I767" s="16"/>
      <c r="J767" s="16"/>
      <c r="K767" s="16"/>
      <c r="L767" s="16"/>
      <c r="M767" s="16"/>
      <c r="N767" s="16"/>
      <c r="O767" s="16"/>
      <c r="P767" s="16"/>
      <c r="Q767" s="16"/>
      <c r="R767" s="16"/>
      <c r="S767" s="16"/>
      <c r="T767" s="16"/>
      <c r="U767" s="16"/>
      <c r="V767" s="16"/>
      <c r="W767" s="16"/>
      <c r="X767" s="16"/>
      <c r="Y767" s="16"/>
      <c r="Z767" s="16"/>
      <c r="AA767" s="16"/>
      <c r="AB767" s="16"/>
      <c r="AC767" s="16"/>
      <c r="AD767" s="16"/>
      <c r="AE767" s="16"/>
      <c r="AF767" s="16"/>
      <c r="AG767" s="16" t="str">
        <f>IFERROR(__xludf.DUMMYFUNCTION("""COMPUTED_VALUE"""),"Abstara")</f>
        <v>Abstara</v>
      </c>
      <c r="AH767" s="16" t="b">
        <f>IFERROR(__xludf.DUMMYFUNCTION("""COMPUTED_VALUE"""),FALSE)</f>
        <v>0</v>
      </c>
    </row>
    <row r="768">
      <c r="A768" s="16" t="str">
        <f>IFERROR(__xludf.DUMMYFUNCTION("""COMPUTED_VALUE"""),"Demonic Breastplate")</f>
        <v>Demonic Breastplate</v>
      </c>
      <c r="B768" s="16" t="str">
        <f>IFERROR(__xludf.DUMMYFUNCTION("""COMPUTED_VALUE"""),"Torso")</f>
        <v>Torso</v>
      </c>
      <c r="C768" s="16"/>
      <c r="D768" s="16" t="str">
        <f>IFERROR(__xludf.DUMMYFUNCTION("""COMPUTED_VALUE"""),"Item")</f>
        <v>Item</v>
      </c>
      <c r="E768" s="16">
        <f>IFERROR(__xludf.DUMMYFUNCTION("""COMPUTED_VALUE"""),4000.0)</f>
        <v>4000</v>
      </c>
      <c r="F768" s="108">
        <f>IFERROR(__xludf.DUMMYFUNCTION("""COMPUTED_VALUE"""),7.98E8)</f>
        <v>798000000</v>
      </c>
      <c r="G768" s="16" t="str">
        <f>IFERROR(__xludf.DUMMYFUNCTION("""COMPUTED_VALUE"""),"DEF")</f>
        <v>DEF</v>
      </c>
      <c r="H768" s="16">
        <f>IFERROR(__xludf.DUMMYFUNCTION("""COMPUTED_VALUE"""),50000.0)</f>
        <v>50000</v>
      </c>
      <c r="I768" s="16">
        <f>IFERROR(__xludf.DUMMYFUNCTION("""COMPUTED_VALUE"""),50000.0)</f>
        <v>50000</v>
      </c>
      <c r="J768" s="16"/>
      <c r="K768" s="16"/>
      <c r="L768" s="16"/>
      <c r="M768" s="16"/>
      <c r="N768" s="16"/>
      <c r="O768" s="16">
        <f>IFERROR(__xludf.DUMMYFUNCTION("""COMPUTED_VALUE"""),50000.0)</f>
        <v>50000</v>
      </c>
      <c r="P768" s="16"/>
      <c r="Q768" s="16"/>
      <c r="R768" s="16">
        <f>IFERROR(__xludf.DUMMYFUNCTION("""COMPUTED_VALUE"""),50000.0)</f>
        <v>50000</v>
      </c>
      <c r="S768" s="16"/>
      <c r="T768" s="16"/>
      <c r="U768" s="16"/>
      <c r="V768" s="16"/>
      <c r="W768" s="16"/>
      <c r="X768" s="16"/>
      <c r="Y768" s="16"/>
      <c r="Z768" s="16"/>
      <c r="AA768" s="16"/>
      <c r="AB768" s="16"/>
      <c r="AC768" s="16"/>
      <c r="AD768" s="16"/>
      <c r="AE768" s="16"/>
      <c r="AF768" s="16"/>
      <c r="AG768" s="16" t="str">
        <f>IFERROR(__xludf.DUMMYFUNCTION("""COMPUTED_VALUE"""),"Abstara")</f>
        <v>Abstara</v>
      </c>
      <c r="AH768" s="16" t="b">
        <f>IFERROR(__xludf.DUMMYFUNCTION("""COMPUTED_VALUE"""),FALSE)</f>
        <v>0</v>
      </c>
    </row>
    <row r="769">
      <c r="A769" s="16" t="str">
        <f>IFERROR(__xludf.DUMMYFUNCTION("""COMPUTED_VALUE"""),"Fallen Ruler's Crown")</f>
        <v>Fallen Ruler's Crown</v>
      </c>
      <c r="B769" s="16" t="str">
        <f>IFERROR(__xludf.DUMMYFUNCTION("""COMPUTED_VALUE"""),"Head")</f>
        <v>Head</v>
      </c>
      <c r="C769" s="16"/>
      <c r="D769" s="16" t="str">
        <f>IFERROR(__xludf.DUMMYFUNCTION("""COMPUTED_VALUE"""),"Item")</f>
        <v>Item</v>
      </c>
      <c r="E769" s="16">
        <f>IFERROR(__xludf.DUMMYFUNCTION("""COMPUTED_VALUE"""),1.0)</f>
        <v>1</v>
      </c>
      <c r="F769" s="108">
        <f>IFERROR(__xludf.DUMMYFUNCTION("""COMPUTED_VALUE"""),0.0)</f>
        <v>0</v>
      </c>
      <c r="G769" s="16" t="str">
        <f>IFERROR(__xludf.DUMMYFUNCTION("""COMPUTED_VALUE"""),"DEF")</f>
        <v>DEF</v>
      </c>
      <c r="H769" s="16"/>
      <c r="I769" s="16"/>
      <c r="J769" s="16"/>
      <c r="K769" s="16"/>
      <c r="L769" s="16"/>
      <c r="M769" s="16"/>
      <c r="N769" s="16"/>
      <c r="O769" s="16"/>
      <c r="P769" s="16"/>
      <c r="Q769" s="16"/>
      <c r="R769" s="16"/>
      <c r="S769" s="16"/>
      <c r="T769" s="16"/>
      <c r="U769" s="16"/>
      <c r="V769" s="16"/>
      <c r="W769" s="16"/>
      <c r="X769" s="16"/>
      <c r="Y769" s="16"/>
      <c r="Z769" s="16"/>
      <c r="AA769" s="16"/>
      <c r="AB769" s="16"/>
      <c r="AC769" s="16"/>
      <c r="AD769" s="16"/>
      <c r="AE769" s="16"/>
      <c r="AF769" s="16" t="str">
        <f>IFERROR(__xludf.DUMMYFUNCTION("""COMPUTED_VALUE"""),"++5% chance undead enemies will willingly surrender +-Cannot be forged or duplicated")</f>
        <v>++5% chance undead enemies will willingly surrender +-Cannot be forged or duplicated</v>
      </c>
      <c r="AG769" s="16" t="str">
        <f>IFERROR(__xludf.DUMMYFUNCTION("""COMPUTED_VALUE"""),"Abstara")</f>
        <v>Abstara</v>
      </c>
      <c r="AH769" s="16" t="b">
        <f>IFERROR(__xludf.DUMMYFUNCTION("""COMPUTED_VALUE"""),FALSE)</f>
        <v>0</v>
      </c>
    </row>
    <row r="770">
      <c r="A770" s="16" t="str">
        <f>IFERROR(__xludf.DUMMYFUNCTION("""COMPUTED_VALUE"""),"Old Knife")</f>
        <v>Old Knife</v>
      </c>
      <c r="B770" s="16" t="str">
        <f>IFERROR(__xludf.DUMMYFUNCTION("""COMPUTED_VALUE"""),"Hand")</f>
        <v>Hand</v>
      </c>
      <c r="C770" s="16"/>
      <c r="D770" s="16" t="str">
        <f>IFERROR(__xludf.DUMMYFUNCTION("""COMPUTED_VALUE"""),"Knife")</f>
        <v>Knife</v>
      </c>
      <c r="E770" s="16">
        <f>IFERROR(__xludf.DUMMYFUNCTION("""COMPUTED_VALUE"""),3640.0)</f>
        <v>3640</v>
      </c>
      <c r="F770" s="108">
        <f>IFERROR(__xludf.DUMMYFUNCTION("""COMPUTED_VALUE"""),6.6066E8)</f>
        <v>660660000</v>
      </c>
      <c r="G770" s="16" t="str">
        <f>IFERROR(__xludf.DUMMYFUNCTION("""COMPUTED_VALUE"""),"DMG")</f>
        <v>DMG</v>
      </c>
      <c r="H770" s="16">
        <f>IFERROR(__xludf.DUMMYFUNCTION("""COMPUTED_VALUE"""),12000.0)</f>
        <v>12000</v>
      </c>
      <c r="I770" s="16"/>
      <c r="J770" s="16"/>
      <c r="K770" s="16"/>
      <c r="L770" s="16"/>
      <c r="M770" s="16"/>
      <c r="N770" s="16"/>
      <c r="O770" s="16"/>
      <c r="P770" s="16"/>
      <c r="Q770" s="16"/>
      <c r="R770" s="16"/>
      <c r="S770" s="16"/>
      <c r="T770" s="16"/>
      <c r="U770" s="16"/>
      <c r="V770" s="16"/>
      <c r="W770" s="16"/>
      <c r="X770" s="16"/>
      <c r="Y770" s="16">
        <f>IFERROR(__xludf.DUMMYFUNCTION("""COMPUTED_VALUE"""),170000.0)</f>
        <v>170000</v>
      </c>
      <c r="Z770" s="16"/>
      <c r="AA770" s="16"/>
      <c r="AB770" s="16"/>
      <c r="AC770" s="16"/>
      <c r="AD770" s="16"/>
      <c r="AE770" s="16"/>
      <c r="AF770" s="16"/>
      <c r="AG770" s="16" t="str">
        <f>IFERROR(__xludf.DUMMYFUNCTION("""COMPUTED_VALUE"""),"Abstara")</f>
        <v>Abstara</v>
      </c>
      <c r="AH770" s="16" t="b">
        <f>IFERROR(__xludf.DUMMYFUNCTION("""COMPUTED_VALUE"""),FALSE)</f>
        <v>0</v>
      </c>
    </row>
    <row r="771">
      <c r="A771" s="16" t="str">
        <f>IFERROR(__xludf.DUMMYFUNCTION("""COMPUTED_VALUE"""),"Plunderbuss")</f>
        <v>Plunderbuss</v>
      </c>
      <c r="B771" s="16" t="str">
        <f>IFERROR(__xludf.DUMMYFUNCTION("""COMPUTED_VALUE"""),"Hand")</f>
        <v>Hand</v>
      </c>
      <c r="C771" s="16"/>
      <c r="D771" s="16" t="str">
        <f>IFERROR(__xludf.DUMMYFUNCTION("""COMPUTED_VALUE"""),"Firearm")</f>
        <v>Firearm</v>
      </c>
      <c r="E771" s="16">
        <f>IFERROR(__xludf.DUMMYFUNCTION("""COMPUTED_VALUE"""),3800.0)</f>
        <v>3800</v>
      </c>
      <c r="F771" s="108">
        <f>IFERROR(__xludf.DUMMYFUNCTION("""COMPUTED_VALUE"""),7.201E8)</f>
        <v>720100000</v>
      </c>
      <c r="G771" s="16" t="str">
        <f>IFERROR(__xludf.DUMMYFUNCTION("""COMPUTED_VALUE"""),"DMG")</f>
        <v>DMG</v>
      </c>
      <c r="H771" s="16">
        <f>IFERROR(__xludf.DUMMYFUNCTION("""COMPUTED_VALUE"""),190000.0)</f>
        <v>190000</v>
      </c>
      <c r="I771" s="16"/>
      <c r="J771" s="16"/>
      <c r="K771" s="16"/>
      <c r="L771" s="16"/>
      <c r="M771" s="16"/>
      <c r="N771" s="16"/>
      <c r="O771" s="16"/>
      <c r="P771" s="16"/>
      <c r="Q771" s="16"/>
      <c r="R771" s="16"/>
      <c r="S771" s="16"/>
      <c r="T771" s="16"/>
      <c r="U771" s="16"/>
      <c r="V771" s="16"/>
      <c r="W771" s="16"/>
      <c r="X771" s="16"/>
      <c r="Y771" s="16"/>
      <c r="Z771" s="16"/>
      <c r="AA771" s="16"/>
      <c r="AB771" s="16"/>
      <c r="AC771" s="16"/>
      <c r="AD771" s="16"/>
      <c r="AE771" s="16"/>
      <c r="AF771" s="16" t="str">
        <f>IFERROR(__xludf.DUMMYFUNCTION("""COMPUTED_VALUE"""),"+-Uses bullets, ++Get two of every loot drop you roll. +-Cannot be forged or duplicated")</f>
        <v>+-Uses bullets, ++Get two of every loot drop you roll. +-Cannot be forged or duplicated</v>
      </c>
      <c r="AG771" s="16" t="str">
        <f>IFERROR(__xludf.DUMMYFUNCTION("""COMPUTED_VALUE"""),"Abstara")</f>
        <v>Abstara</v>
      </c>
      <c r="AH771" s="16" t="b">
        <f>IFERROR(__xludf.DUMMYFUNCTION("""COMPUTED_VALUE"""),FALSE)</f>
        <v>0</v>
      </c>
    </row>
    <row r="772">
      <c r="A772" s="16" t="str">
        <f>IFERROR(__xludf.DUMMYFUNCTION("""COMPUTED_VALUE"""),"Dragon Destroyer")</f>
        <v>Dragon Destroyer</v>
      </c>
      <c r="B772" s="16" t="str">
        <f>IFERROR(__xludf.DUMMYFUNCTION("""COMPUTED_VALUE"""),"Hand")</f>
        <v>Hand</v>
      </c>
      <c r="C772" s="16"/>
      <c r="D772" s="16" t="str">
        <f>IFERROR(__xludf.DUMMYFUNCTION("""COMPUTED_VALUE"""),"Axe")</f>
        <v>Axe</v>
      </c>
      <c r="E772" s="16">
        <f>IFERROR(__xludf.DUMMYFUNCTION("""COMPUTED_VALUE"""),6000.0)</f>
        <v>6000</v>
      </c>
      <c r="F772" s="108">
        <f>IFERROR(__xludf.DUMMYFUNCTION("""COMPUTED_VALUE"""),1.797E9)</f>
        <v>1797000000</v>
      </c>
      <c r="G772" s="16" t="str">
        <f>IFERROR(__xludf.DUMMYFUNCTION("""COMPUTED_VALUE"""),"DMG")</f>
        <v>DMG</v>
      </c>
      <c r="H772" s="16">
        <f>IFERROR(__xludf.DUMMYFUNCTION("""COMPUTED_VALUE"""),300000.0)</f>
        <v>300000</v>
      </c>
      <c r="I772" s="16"/>
      <c r="J772" s="16"/>
      <c r="K772" s="16"/>
      <c r="L772" s="16"/>
      <c r="M772" s="16"/>
      <c r="N772" s="16"/>
      <c r="O772" s="16"/>
      <c r="P772" s="16"/>
      <c r="Q772" s="16"/>
      <c r="R772" s="16"/>
      <c r="S772" s="16"/>
      <c r="T772" s="16"/>
      <c r="U772" s="16"/>
      <c r="V772" s="16"/>
      <c r="W772" s="16"/>
      <c r="X772" s="16"/>
      <c r="Y772" s="16"/>
      <c r="Z772" s="16"/>
      <c r="AA772" s="16"/>
      <c r="AB772" s="16"/>
      <c r="AC772" s="16"/>
      <c r="AD772" s="16"/>
      <c r="AE772" s="16"/>
      <c r="AF772" s="16" t="str">
        <f>IFERROR(__xludf.DUMMYFUNCTION("""COMPUTED_VALUE"""),"++deals unblockable damage to dragons +-Cannot be forged or duplicated")</f>
        <v>++deals unblockable damage to dragons +-Cannot be forged or duplicated</v>
      </c>
      <c r="AG772" s="16" t="str">
        <f>IFERROR(__xludf.DUMMYFUNCTION("""COMPUTED_VALUE"""),"Abstara")</f>
        <v>Abstara</v>
      </c>
      <c r="AH772" s="16" t="b">
        <f>IFERROR(__xludf.DUMMYFUNCTION("""COMPUTED_VALUE"""),FALSE)</f>
        <v>0</v>
      </c>
    </row>
    <row r="773">
      <c r="A773" s="16" t="str">
        <f>IFERROR(__xludf.DUMMYFUNCTION("""COMPUTED_VALUE"""),"Dragonscale of Returns")</f>
        <v>Dragonscale of Returns</v>
      </c>
      <c r="B773" s="16" t="str">
        <f>IFERROR(__xludf.DUMMYFUNCTION("""COMPUTED_VALUE"""),"Hand")</f>
        <v>Hand</v>
      </c>
      <c r="C773" s="16"/>
      <c r="D773" s="16" t="str">
        <f>IFERROR(__xludf.DUMMYFUNCTION("""COMPUTED_VALUE"""),"Boomerang")</f>
        <v>Boomerang</v>
      </c>
      <c r="E773" s="16">
        <f>IFERROR(__xludf.DUMMYFUNCTION("""COMPUTED_VALUE"""),1500.0)</f>
        <v>1500</v>
      </c>
      <c r="F773" s="108">
        <f>IFERROR(__xludf.DUMMYFUNCTION("""COMPUTED_VALUE"""),1.1175E8)</f>
        <v>111750000</v>
      </c>
      <c r="G773" s="16" t="str">
        <f>IFERROR(__xludf.DUMMYFUNCTION("""COMPUTED_VALUE"""),"DMG")</f>
        <v>DMG</v>
      </c>
      <c r="H773" s="16">
        <f>IFERROR(__xludf.DUMMYFUNCTION("""COMPUTED_VALUE"""),75000.0)</f>
        <v>75000</v>
      </c>
      <c r="I773" s="16"/>
      <c r="J773" s="16"/>
      <c r="K773" s="16"/>
      <c r="L773" s="16"/>
      <c r="M773" s="16"/>
      <c r="N773" s="16"/>
      <c r="O773" s="16"/>
      <c r="P773" s="16"/>
      <c r="Q773" s="16"/>
      <c r="R773" s="16"/>
      <c r="S773" s="16"/>
      <c r="T773" s="16"/>
      <c r="U773" s="16"/>
      <c r="V773" s="16"/>
      <c r="W773" s="16"/>
      <c r="X773" s="16"/>
      <c r="Y773" s="16"/>
      <c r="Z773" s="16"/>
      <c r="AA773" s="16"/>
      <c r="AB773" s="16"/>
      <c r="AC773" s="16"/>
      <c r="AD773" s="16"/>
      <c r="AE773" s="16"/>
      <c r="AF773" s="16" t="str">
        <f>IFERROR(__xludf.DUMMYFUNCTION("""COMPUTED_VALUE"""),"++Receive a dragon scale when thrown at a dragon, +-Cannot be forged or duplicated")</f>
        <v>++Receive a dragon scale when thrown at a dragon, +-Cannot be forged or duplicated</v>
      </c>
      <c r="AG773" s="16" t="str">
        <f>IFERROR(__xludf.DUMMYFUNCTION("""COMPUTED_VALUE"""),"Dragonscale Island")</f>
        <v>Dragonscale Island</v>
      </c>
      <c r="AH773" s="16" t="b">
        <f>IFERROR(__xludf.DUMMYFUNCTION("""COMPUTED_VALUE"""),FALSE)</f>
        <v>0</v>
      </c>
    </row>
    <row r="774">
      <c r="A774" s="16" t="str">
        <f>IFERROR(__xludf.DUMMYFUNCTION("""COMPUTED_VALUE"""),"Brimstone Staff")</f>
        <v>Brimstone Staff</v>
      </c>
      <c r="B774" s="16" t="str">
        <f>IFERROR(__xludf.DUMMYFUNCTION("""COMPUTED_VALUE"""),"Hand")</f>
        <v>Hand</v>
      </c>
      <c r="C774" s="16"/>
      <c r="D774" s="16" t="str">
        <f>IFERROR(__xludf.DUMMYFUNCTION("""COMPUTED_VALUE"""),"Staff")</f>
        <v>Staff</v>
      </c>
      <c r="E774" s="16">
        <f>IFERROR(__xludf.DUMMYFUNCTION("""COMPUTED_VALUE"""),4600.0)</f>
        <v>4600</v>
      </c>
      <c r="F774" s="108">
        <f>IFERROR(__xludf.DUMMYFUNCTION("""COMPUTED_VALUE"""),1.0557E9)</f>
        <v>1055700000</v>
      </c>
      <c r="G774" s="16" t="str">
        <f>IFERROR(__xludf.DUMMYFUNCTION("""COMPUTED_VALUE"""),"DMG")</f>
        <v>DMG</v>
      </c>
      <c r="H774" s="16"/>
      <c r="I774" s="16">
        <f>IFERROR(__xludf.DUMMYFUNCTION("""COMPUTED_VALUE"""),230000.0)</f>
        <v>230000</v>
      </c>
      <c r="J774" s="16"/>
      <c r="K774" s="16"/>
      <c r="L774" s="16"/>
      <c r="M774" s="16"/>
      <c r="N774" s="16"/>
      <c r="O774" s="16"/>
      <c r="P774" s="16"/>
      <c r="Q774" s="16"/>
      <c r="R774" s="16"/>
      <c r="S774" s="16"/>
      <c r="T774" s="16"/>
      <c r="U774" s="16"/>
      <c r="V774" s="16"/>
      <c r="W774" s="16"/>
      <c r="X774" s="16"/>
      <c r="Y774" s="16"/>
      <c r="Z774" s="16"/>
      <c r="AA774" s="16"/>
      <c r="AB774" s="16"/>
      <c r="AC774" s="16"/>
      <c r="AD774" s="16"/>
      <c r="AE774" s="16"/>
      <c r="AF774" s="16" t="str">
        <f>IFERROR(__xludf.DUMMYFUNCTION("""COMPUTED_VALUE"""),"++Fire spells cost half SP, +-Cannot be forged or duplicated")</f>
        <v>++Fire spells cost half SP, +-Cannot be forged or duplicated</v>
      </c>
      <c r="AG774" s="16" t="str">
        <f>IFERROR(__xludf.DUMMYFUNCTION("""COMPUTED_VALUE"""),"Abstara")</f>
        <v>Abstara</v>
      </c>
      <c r="AH774" s="16" t="b">
        <f>IFERROR(__xludf.DUMMYFUNCTION("""COMPUTED_VALUE"""),FALSE)</f>
        <v>0</v>
      </c>
    </row>
    <row r="775">
      <c r="A775" s="16" t="str">
        <f>IFERROR(__xludf.DUMMYFUNCTION("""COMPUTED_VALUE"""),"Eternal Ember")</f>
        <v>Eternal Ember</v>
      </c>
      <c r="B775" s="16" t="str">
        <f>IFERROR(__xludf.DUMMYFUNCTION("""COMPUTED_VALUE"""),"Neck")</f>
        <v>Neck</v>
      </c>
      <c r="C775" s="16"/>
      <c r="D775" s="16" t="str">
        <f>IFERROR(__xludf.DUMMYFUNCTION("""COMPUTED_VALUE"""),"Item")</f>
        <v>Item</v>
      </c>
      <c r="E775" s="16">
        <f>IFERROR(__xludf.DUMMYFUNCTION("""COMPUTED_VALUE"""),3000.0)</f>
        <v>3000</v>
      </c>
      <c r="F775" s="108">
        <f>IFERROR(__xludf.DUMMYFUNCTION("""COMPUTED_VALUE"""),4.485E8)</f>
        <v>448500000</v>
      </c>
      <c r="G775" s="16" t="str">
        <f>IFERROR(__xludf.DUMMYFUNCTION("""COMPUTED_VALUE"""),"DEF")</f>
        <v>DEF</v>
      </c>
      <c r="H775" s="16"/>
      <c r="I775" s="16">
        <f>IFERROR(__xludf.DUMMYFUNCTION("""COMPUTED_VALUE"""),150000.0)</f>
        <v>150000</v>
      </c>
      <c r="J775" s="16"/>
      <c r="K775" s="16"/>
      <c r="L775" s="16"/>
      <c r="M775" s="16"/>
      <c r="N775" s="16"/>
      <c r="O775" s="16"/>
      <c r="P775" s="16"/>
      <c r="Q775" s="16"/>
      <c r="R775" s="16"/>
      <c r="S775" s="16"/>
      <c r="T775" s="16"/>
      <c r="U775" s="16"/>
      <c r="V775" s="16"/>
      <c r="W775" s="16"/>
      <c r="X775" s="16"/>
      <c r="Y775" s="16"/>
      <c r="Z775" s="16"/>
      <c r="AA775" s="16"/>
      <c r="AB775" s="16"/>
      <c r="AC775" s="16"/>
      <c r="AD775" s="16"/>
      <c r="AE775" s="16"/>
      <c r="AF775" s="16" t="str">
        <f>IFERROR(__xludf.DUMMYFUNCTION("""COMPUTED_VALUE"""),"++If you cast a fire spell you can cast it once more in the same turn during battle for no additional SP, +-Cannot be forged or duplicated")</f>
        <v>++If you cast a fire spell you can cast it once more in the same turn during battle for no additional SP, +-Cannot be forged or duplicated</v>
      </c>
      <c r="AG775" s="16" t="str">
        <f>IFERROR(__xludf.DUMMYFUNCTION("""COMPUTED_VALUE"""),"Abstara")</f>
        <v>Abstara</v>
      </c>
      <c r="AH775" s="16" t="b">
        <f>IFERROR(__xludf.DUMMYFUNCTION("""COMPUTED_VALUE"""),FALSE)</f>
        <v>0</v>
      </c>
    </row>
    <row r="776">
      <c r="A776" s="16" t="str">
        <f>IFERROR(__xludf.DUMMYFUNCTION("""COMPUTED_VALUE"""),"Crystal Blood")</f>
        <v>Crystal Blood</v>
      </c>
      <c r="B776" s="16" t="str">
        <f>IFERROR(__xludf.DUMMYFUNCTION("""COMPUTED_VALUE"""),"Neck")</f>
        <v>Neck</v>
      </c>
      <c r="C776" s="16"/>
      <c r="D776" s="16" t="str">
        <f>IFERROR(__xludf.DUMMYFUNCTION("""COMPUTED_VALUE"""),"Item")</f>
        <v>Item</v>
      </c>
      <c r="E776" s="16">
        <f>IFERROR(__xludf.DUMMYFUNCTION("""COMPUTED_VALUE"""),1.0)</f>
        <v>1</v>
      </c>
      <c r="F776" s="108">
        <f>IFERROR(__xludf.DUMMYFUNCTION("""COMPUTED_VALUE"""),0.0)</f>
        <v>0</v>
      </c>
      <c r="G776" s="16" t="str">
        <f>IFERROR(__xludf.DUMMYFUNCTION("""COMPUTED_VALUE"""),"DEF")</f>
        <v>DEF</v>
      </c>
      <c r="H776" s="16"/>
      <c r="I776" s="16"/>
      <c r="J776" s="16"/>
      <c r="K776" s="16"/>
      <c r="L776" s="16"/>
      <c r="M776" s="16"/>
      <c r="N776" s="16"/>
      <c r="O776" s="16"/>
      <c r="P776" s="16"/>
      <c r="Q776" s="16"/>
      <c r="R776" s="16"/>
      <c r="S776" s="16"/>
      <c r="T776" s="16"/>
      <c r="U776" s="16"/>
      <c r="V776" s="16"/>
      <c r="W776" s="16"/>
      <c r="X776" s="16"/>
      <c r="Y776" s="16"/>
      <c r="Z776" s="16"/>
      <c r="AA776" s="16"/>
      <c r="AB776" s="16"/>
      <c r="AC776" s="16"/>
      <c r="AD776" s="16"/>
      <c r="AE776" s="16"/>
      <c r="AF776" s="16" t="str">
        <f>IFERROR(__xludf.DUMMYFUNCTION("""COMPUTED_VALUE"""),"++Wearer's first non-XHP cost blood spell of the battle has no HP cost , +-Cannot be forged or duplicated")</f>
        <v>++Wearer's first non-XHP cost blood spell of the battle has no HP cost , +-Cannot be forged or duplicated</v>
      </c>
      <c r="AG776" s="16" t="str">
        <f>IFERROR(__xludf.DUMMYFUNCTION("""COMPUTED_VALUE"""),"Abstara")</f>
        <v>Abstara</v>
      </c>
      <c r="AH776" s="16" t="b">
        <f>IFERROR(__xludf.DUMMYFUNCTION("""COMPUTED_VALUE"""),FALSE)</f>
        <v>0</v>
      </c>
    </row>
    <row r="777">
      <c r="A777" s="16" t="str">
        <f>IFERROR(__xludf.DUMMYFUNCTION("""COMPUTED_VALUE"""),"Ultimate Gamble")</f>
        <v>Ultimate Gamble</v>
      </c>
      <c r="B777" s="16" t="str">
        <f>IFERROR(__xludf.DUMMYFUNCTION("""COMPUTED_VALUE"""),"Hand")</f>
        <v>Hand</v>
      </c>
      <c r="C777" s="16"/>
      <c r="D777" s="16" t="str">
        <f>IFERROR(__xludf.DUMMYFUNCTION("""COMPUTED_VALUE"""),"Sword")</f>
        <v>Sword</v>
      </c>
      <c r="E777" s="16">
        <f>IFERROR(__xludf.DUMMYFUNCTION("""COMPUTED_VALUE"""),12000.0)</f>
        <v>12000</v>
      </c>
      <c r="F777" s="108">
        <f>IFERROR(__xludf.DUMMYFUNCTION("""COMPUTED_VALUE"""),7.194E9)</f>
        <v>7194000000</v>
      </c>
      <c r="G777" s="16" t="str">
        <f>IFERROR(__xludf.DUMMYFUNCTION("""COMPUTED_VALUE"""),"DMG")</f>
        <v>DMG</v>
      </c>
      <c r="H777" s="16">
        <f>IFERROR(__xludf.DUMMYFUNCTION("""COMPUTED_VALUE"""),600000.0)</f>
        <v>600000</v>
      </c>
      <c r="I777" s="16"/>
      <c r="J777" s="16"/>
      <c r="K777" s="16"/>
      <c r="L777" s="16"/>
      <c r="M777" s="16"/>
      <c r="N777" s="16"/>
      <c r="O777" s="16"/>
      <c r="P777" s="16"/>
      <c r="Q777" s="16"/>
      <c r="R777" s="16"/>
      <c r="S777" s="16"/>
      <c r="T777" s="16"/>
      <c r="U777" s="16"/>
      <c r="V777" s="16"/>
      <c r="W777" s="16"/>
      <c r="X777" s="16"/>
      <c r="Y777" s="16"/>
      <c r="Z777" s="16"/>
      <c r="AA777" s="16"/>
      <c r="AB777" s="16"/>
      <c r="AC777" s="16"/>
      <c r="AD777" s="16"/>
      <c r="AE777" s="16"/>
      <c r="AF777" s="16" t="str">
        <f>IFERROR(__xludf.DUMMYFUNCTION("""COMPUTED_VALUE"""),"++Make a Fail/Succeed roll while attacking with this weapon, Success = this weapon becomes unblockable this turn, +-Fail = attack yourself with this weapon.")</f>
        <v>++Make a Fail/Succeed roll while attacking with this weapon, Success = this weapon becomes unblockable this turn, +-Fail = attack yourself with this weapon.</v>
      </c>
      <c r="AG777" s="16" t="str">
        <f>IFERROR(__xludf.DUMMYFUNCTION("""COMPUTED_VALUE"""),"Abstara")</f>
        <v>Abstara</v>
      </c>
      <c r="AH777" s="16" t="b">
        <f>IFERROR(__xludf.DUMMYFUNCTION("""COMPUTED_VALUE"""),FALSE)</f>
        <v>0</v>
      </c>
    </row>
    <row r="778">
      <c r="A778" s="16" t="str">
        <f>IFERROR(__xludf.DUMMYFUNCTION("""COMPUTED_VALUE"""),"Awakened Evil")</f>
        <v>Awakened Evil</v>
      </c>
      <c r="B778" s="16" t="str">
        <f>IFERROR(__xludf.DUMMYFUNCTION("""COMPUTED_VALUE"""),"Hand")</f>
        <v>Hand</v>
      </c>
      <c r="C778" s="16"/>
      <c r="D778" s="16" t="str">
        <f>IFERROR(__xludf.DUMMYFUNCTION("""COMPUTED_VALUE"""),"Claw")</f>
        <v>Claw</v>
      </c>
      <c r="E778" s="16">
        <f>IFERROR(__xludf.DUMMYFUNCTION("""COMPUTED_VALUE"""),9000.0)</f>
        <v>9000</v>
      </c>
      <c r="F778" s="108">
        <f>IFERROR(__xludf.DUMMYFUNCTION("""COMPUTED_VALUE"""),4.0455E9)</f>
        <v>4045500000</v>
      </c>
      <c r="G778" s="16" t="str">
        <f>IFERROR(__xludf.DUMMYFUNCTION("""COMPUTED_VALUE"""),"DMG")</f>
        <v>DMG</v>
      </c>
      <c r="H778" s="16">
        <f>IFERROR(__xludf.DUMMYFUNCTION("""COMPUTED_VALUE"""),450000.0)</f>
        <v>450000</v>
      </c>
      <c r="I778" s="16"/>
      <c r="J778" s="16"/>
      <c r="K778" s="16"/>
      <c r="L778" s="16"/>
      <c r="M778" s="16"/>
      <c r="N778" s="16"/>
      <c r="O778" s="16"/>
      <c r="P778" s="16"/>
      <c r="Q778" s="16"/>
      <c r="R778" s="16"/>
      <c r="S778" s="16"/>
      <c r="T778" s="16"/>
      <c r="U778" s="16"/>
      <c r="V778" s="16"/>
      <c r="W778" s="16"/>
      <c r="X778" s="16"/>
      <c r="Y778" s="16"/>
      <c r="Z778" s="16"/>
      <c r="AA778" s="16"/>
      <c r="AB778" s="16"/>
      <c r="AC778" s="16"/>
      <c r="AD778" s="16"/>
      <c r="AE778" s="16"/>
      <c r="AF778" s="16"/>
      <c r="AG778" s="16" t="str">
        <f>IFERROR(__xludf.DUMMYFUNCTION("""COMPUTED_VALUE"""),"Abstara")</f>
        <v>Abstara</v>
      </c>
      <c r="AH778" s="16" t="b">
        <f>IFERROR(__xludf.DUMMYFUNCTION("""COMPUTED_VALUE"""),FALSE)</f>
        <v>0</v>
      </c>
    </row>
    <row r="779">
      <c r="A779" s="16" t="str">
        <f>IFERROR(__xludf.DUMMYFUNCTION("""COMPUTED_VALUE"""),"Soldier's Charge")</f>
        <v>Soldier's Charge</v>
      </c>
      <c r="B779" s="16" t="str">
        <f>IFERROR(__xludf.DUMMYFUNCTION("""COMPUTED_VALUE"""),"Hand")</f>
        <v>Hand</v>
      </c>
      <c r="C779" s="16"/>
      <c r="D779" s="16" t="str">
        <f>IFERROR(__xludf.DUMMYFUNCTION("""COMPUTED_VALUE"""),"Firearm")</f>
        <v>Firearm</v>
      </c>
      <c r="E779" s="16">
        <f>IFERROR(__xludf.DUMMYFUNCTION("""COMPUTED_VALUE"""),4400.0)</f>
        <v>4400</v>
      </c>
      <c r="F779" s="108">
        <f>IFERROR(__xludf.DUMMYFUNCTION("""COMPUTED_VALUE"""),9.658E8)</f>
        <v>965800000</v>
      </c>
      <c r="G779" s="16" t="str">
        <f>IFERROR(__xludf.DUMMYFUNCTION("""COMPUTED_VALUE"""),"DMG")</f>
        <v>DMG</v>
      </c>
      <c r="H779" s="16">
        <f>IFERROR(__xludf.DUMMYFUNCTION("""COMPUTED_VALUE"""),60000.0)</f>
        <v>60000</v>
      </c>
      <c r="I779" s="16">
        <f>IFERROR(__xludf.DUMMYFUNCTION("""COMPUTED_VALUE"""),60000.0)</f>
        <v>60000</v>
      </c>
      <c r="J779" s="16"/>
      <c r="K779" s="16"/>
      <c r="L779" s="16"/>
      <c r="M779" s="16"/>
      <c r="N779" s="16"/>
      <c r="O779" s="16"/>
      <c r="P779" s="16">
        <f>IFERROR(__xludf.DUMMYFUNCTION("""COMPUTED_VALUE"""),100000.0)</f>
        <v>100000</v>
      </c>
      <c r="Q779" s="16"/>
      <c r="R779" s="16"/>
      <c r="S779" s="16"/>
      <c r="T779" s="16"/>
      <c r="U779" s="16"/>
      <c r="V779" s="16"/>
      <c r="W779" s="16"/>
      <c r="X779" s="16"/>
      <c r="Y779" s="16"/>
      <c r="Z779" s="16"/>
      <c r="AA779" s="16"/>
      <c r="AB779" s="16"/>
      <c r="AC779" s="16"/>
      <c r="AD779" s="16"/>
      <c r="AE779" s="16"/>
      <c r="AF779" s="16"/>
      <c r="AG779" s="16" t="str">
        <f>IFERROR(__xludf.DUMMYFUNCTION("""COMPUTED_VALUE"""),"Abstara")</f>
        <v>Abstara</v>
      </c>
      <c r="AH779" s="16" t="b">
        <f>IFERROR(__xludf.DUMMYFUNCTION("""COMPUTED_VALUE"""),FALSE)</f>
        <v>0</v>
      </c>
    </row>
    <row r="780">
      <c r="A780" s="16"/>
      <c r="B780" s="16"/>
      <c r="C780" s="16"/>
      <c r="D780" s="16"/>
      <c r="E780" s="16">
        <f>IFERROR(__xludf.DUMMYFUNCTION("""COMPUTED_VALUE"""),1.0)</f>
        <v>1</v>
      </c>
      <c r="F780" s="108">
        <f>IFERROR(__xludf.DUMMYFUNCTION("""COMPUTED_VALUE"""),0.0)</f>
        <v>0</v>
      </c>
      <c r="G780" s="16" t="str">
        <f>IFERROR(__xludf.DUMMYFUNCTION("""COMPUTED_VALUE"""),"DMG")</f>
        <v>DMG</v>
      </c>
      <c r="H780" s="16"/>
      <c r="I780" s="16"/>
      <c r="J780" s="16"/>
      <c r="K780" s="16"/>
      <c r="L780" s="16"/>
      <c r="M780" s="16"/>
      <c r="N780" s="16"/>
      <c r="O780" s="16"/>
      <c r="P780" s="16"/>
      <c r="Q780" s="16"/>
      <c r="R780" s="16"/>
      <c r="S780" s="16"/>
      <c r="T780" s="16"/>
      <c r="U780" s="16"/>
      <c r="V780" s="16"/>
      <c r="W780" s="16"/>
      <c r="X780" s="16"/>
      <c r="Y780" s="16"/>
      <c r="Z780" s="16"/>
      <c r="AA780" s="16"/>
      <c r="AB780" s="16"/>
      <c r="AC780" s="16"/>
      <c r="AD780" s="16"/>
      <c r="AE780" s="16"/>
      <c r="AF780" s="16"/>
      <c r="AG780" s="16"/>
      <c r="AH780" s="16" t="b">
        <f>IFERROR(__xludf.DUMMYFUNCTION("""COMPUTED_VALUE"""),FALSE)</f>
        <v>0</v>
      </c>
    </row>
    <row r="781">
      <c r="A781" s="16" t="str">
        <f>IFERROR(__xludf.DUMMYFUNCTION("""COMPUTED_VALUE"""),"Weight of Sin")</f>
        <v>Weight of Sin</v>
      </c>
      <c r="B781" s="16" t="str">
        <f>IFERROR(__xludf.DUMMYFUNCTION("""COMPUTED_VALUE"""),"Torso")</f>
        <v>Torso</v>
      </c>
      <c r="C781" s="16"/>
      <c r="D781" s="16" t="str">
        <f>IFERROR(__xludf.DUMMYFUNCTION("""COMPUTED_VALUE"""),"Item")</f>
        <v>Item</v>
      </c>
      <c r="E781" s="16">
        <f>IFERROR(__xludf.DUMMYFUNCTION("""COMPUTED_VALUE"""),11200.0)</f>
        <v>11200</v>
      </c>
      <c r="F781" s="108">
        <f>IFERROR(__xludf.DUMMYFUNCTION("""COMPUTED_VALUE"""),6.2664E9)</f>
        <v>6266400000</v>
      </c>
      <c r="G781" s="16" t="str">
        <f>IFERROR(__xludf.DUMMYFUNCTION("""COMPUTED_VALUE"""),"DEF")</f>
        <v>DEF</v>
      </c>
      <c r="H781" s="16">
        <f>IFERROR(__xludf.DUMMYFUNCTION("""COMPUTED_VALUE"""),560000.0)</f>
        <v>560000</v>
      </c>
      <c r="I781" s="16"/>
      <c r="J781" s="16"/>
      <c r="K781" s="16"/>
      <c r="L781" s="16"/>
      <c r="M781" s="16"/>
      <c r="N781" s="16"/>
      <c r="O781" s="16"/>
      <c r="P781" s="16"/>
      <c r="Q781" s="16"/>
      <c r="R781" s="16"/>
      <c r="S781" s="16"/>
      <c r="T781" s="16"/>
      <c r="U781" s="16"/>
      <c r="V781" s="16"/>
      <c r="W781" s="16"/>
      <c r="X781" s="16"/>
      <c r="Y781" s="16"/>
      <c r="Z781" s="16"/>
      <c r="AA781" s="16"/>
      <c r="AB781" s="16"/>
      <c r="AC781" s="16"/>
      <c r="AD781" s="16"/>
      <c r="AE781" s="16"/>
      <c r="AF781" s="16" t="str">
        <f>IFERROR(__xludf.DUMMYFUNCTION("""COMPUTED_VALUE"""),"+-Always go last in turn order, +-Cannot be removed")</f>
        <v>+-Always go last in turn order, +-Cannot be removed</v>
      </c>
      <c r="AG781" s="16" t="str">
        <f>IFERROR(__xludf.DUMMYFUNCTION("""COMPUTED_VALUE"""),"Abstara")</f>
        <v>Abstara</v>
      </c>
      <c r="AH781" s="16" t="b">
        <f>IFERROR(__xludf.DUMMYFUNCTION("""COMPUTED_VALUE"""),FALSE)</f>
        <v>0</v>
      </c>
    </row>
    <row r="782">
      <c r="A782" s="16" t="str">
        <f>IFERROR(__xludf.DUMMYFUNCTION("""COMPUTED_VALUE"""),"Volcano's Summit")</f>
        <v>Volcano's Summit</v>
      </c>
      <c r="B782" s="16" t="str">
        <f>IFERROR(__xludf.DUMMYFUNCTION("""COMPUTED_VALUE"""),"Head")</f>
        <v>Head</v>
      </c>
      <c r="C782" s="16"/>
      <c r="D782" s="16" t="str">
        <f>IFERROR(__xludf.DUMMYFUNCTION("""COMPUTED_VALUE"""),"Item")</f>
        <v>Item</v>
      </c>
      <c r="E782" s="16">
        <f>IFERROR(__xludf.DUMMYFUNCTION("""COMPUTED_VALUE"""),4000.0)</f>
        <v>4000</v>
      </c>
      <c r="F782" s="108">
        <f>IFERROR(__xludf.DUMMYFUNCTION("""COMPUTED_VALUE"""),7.98E8)</f>
        <v>798000000</v>
      </c>
      <c r="G782" s="16" t="str">
        <f>IFERROR(__xludf.DUMMYFUNCTION("""COMPUTED_VALUE"""),"DEF")</f>
        <v>DEF</v>
      </c>
      <c r="H782" s="16"/>
      <c r="I782" s="16">
        <f>IFERROR(__xludf.DUMMYFUNCTION("""COMPUTED_VALUE"""),200000.0)</f>
        <v>200000</v>
      </c>
      <c r="J782" s="16"/>
      <c r="K782" s="16"/>
      <c r="L782" s="16"/>
      <c r="M782" s="16"/>
      <c r="N782" s="16"/>
      <c r="O782" s="16"/>
      <c r="P782" s="16"/>
      <c r="Q782" s="16"/>
      <c r="R782" s="16"/>
      <c r="S782" s="16"/>
      <c r="T782" s="16"/>
      <c r="U782" s="16"/>
      <c r="V782" s="16"/>
      <c r="W782" s="16"/>
      <c r="X782" s="16"/>
      <c r="Y782" s="16"/>
      <c r="Z782" s="16"/>
      <c r="AA782" s="16"/>
      <c r="AB782" s="16"/>
      <c r="AC782" s="16"/>
      <c r="AD782" s="16"/>
      <c r="AE782" s="16"/>
      <c r="AF782" s="16" t="str">
        <f>IFERROR(__xludf.DUMMYFUNCTION("""COMPUTED_VALUE"""),"++X2 Fire damage")</f>
        <v>++X2 Fire damage</v>
      </c>
      <c r="AG782" s="16" t="str">
        <f>IFERROR(__xludf.DUMMYFUNCTION("""COMPUTED_VALUE"""),"Abstara")</f>
        <v>Abstara</v>
      </c>
      <c r="AH782" s="16" t="b">
        <f>IFERROR(__xludf.DUMMYFUNCTION("""COMPUTED_VALUE"""),FALSE)</f>
        <v>0</v>
      </c>
    </row>
    <row r="783">
      <c r="A783" s="16"/>
      <c r="B783" s="16"/>
      <c r="C783" s="16"/>
      <c r="D783" s="16"/>
      <c r="E783" s="16">
        <f>IFERROR(__xludf.DUMMYFUNCTION("""COMPUTED_VALUE"""),1.0)</f>
        <v>1</v>
      </c>
      <c r="F783" s="108">
        <f>IFERROR(__xludf.DUMMYFUNCTION("""COMPUTED_VALUE"""),0.0)</f>
        <v>0</v>
      </c>
      <c r="G783" s="16"/>
      <c r="H783" s="16"/>
      <c r="I783" s="16"/>
      <c r="J783" s="16"/>
      <c r="K783" s="16"/>
      <c r="L783" s="16"/>
      <c r="M783" s="16"/>
      <c r="N783" s="16"/>
      <c r="O783" s="16"/>
      <c r="P783" s="16"/>
      <c r="Q783" s="16"/>
      <c r="R783" s="16"/>
      <c r="S783" s="16"/>
      <c r="T783" s="16"/>
      <c r="U783" s="16"/>
      <c r="V783" s="16"/>
      <c r="W783" s="16"/>
      <c r="X783" s="16"/>
      <c r="Y783" s="16"/>
      <c r="Z783" s="16"/>
      <c r="AA783" s="16"/>
      <c r="AB783" s="16"/>
      <c r="AC783" s="16"/>
      <c r="AD783" s="16"/>
      <c r="AE783" s="16"/>
      <c r="AF783" s="16"/>
      <c r="AG783" s="16"/>
      <c r="AH783" s="16" t="b">
        <f>IFERROR(__xludf.DUMMYFUNCTION("""COMPUTED_VALUE"""),FALSE)</f>
        <v>0</v>
      </c>
    </row>
    <row r="784">
      <c r="A784" s="16" t="str">
        <f>IFERROR(__xludf.DUMMYFUNCTION("""COMPUTED_VALUE"""),"Long Distance Loveletter")</f>
        <v>Long Distance Loveletter</v>
      </c>
      <c r="B784" s="16" t="str">
        <f>IFERROR(__xludf.DUMMYFUNCTION("""COMPUTED_VALUE"""),"Hand")</f>
        <v>Hand</v>
      </c>
      <c r="C784" s="16"/>
      <c r="D784" s="16" t="str">
        <f>IFERROR(__xludf.DUMMYFUNCTION("""COMPUTED_VALUE"""),"Firearm")</f>
        <v>Firearm</v>
      </c>
      <c r="E784" s="16">
        <f>IFERROR(__xludf.DUMMYFUNCTION("""COMPUTED_VALUE"""),12000.0)</f>
        <v>12000</v>
      </c>
      <c r="F784" s="108">
        <f>IFERROR(__xludf.DUMMYFUNCTION("""COMPUTED_VALUE"""),7.194E9)</f>
        <v>7194000000</v>
      </c>
      <c r="G784" s="16" t="str">
        <f>IFERROR(__xludf.DUMMYFUNCTION("""COMPUTED_VALUE"""),"DMG")</f>
        <v>DMG</v>
      </c>
      <c r="H784" s="16">
        <f>IFERROR(__xludf.DUMMYFUNCTION("""COMPUTED_VALUE"""),600000.0)</f>
        <v>600000</v>
      </c>
      <c r="I784" s="16"/>
      <c r="J784" s="16"/>
      <c r="K784" s="16"/>
      <c r="L784" s="16"/>
      <c r="M784" s="16"/>
      <c r="N784" s="16"/>
      <c r="O784" s="16"/>
      <c r="P784" s="16"/>
      <c r="Q784" s="16"/>
      <c r="R784" s="16"/>
      <c r="S784" s="16"/>
      <c r="T784" s="16"/>
      <c r="U784" s="16"/>
      <c r="V784" s="16"/>
      <c r="W784" s="16"/>
      <c r="X784" s="16"/>
      <c r="Y784" s="16"/>
      <c r="Z784" s="16"/>
      <c r="AA784" s="16"/>
      <c r="AB784" s="16"/>
      <c r="AC784" s="16"/>
      <c r="AD784" s="16"/>
      <c r="AE784" s="16"/>
      <c r="AF784" s="16" t="str">
        <f>IFERROR(__xludf.DUMMYFUNCTION("""COMPUTED_VALUE"""),"++10% chance for 1 enemy to become an ally at the beginning of battle.")</f>
        <v>++10% chance for 1 enemy to become an ally at the beginning of battle.</v>
      </c>
      <c r="AG784" s="16" t="str">
        <f>IFERROR(__xludf.DUMMYFUNCTION("""COMPUTED_VALUE"""),"Abstara")</f>
        <v>Abstara</v>
      </c>
      <c r="AH784" s="16" t="b">
        <f>IFERROR(__xludf.DUMMYFUNCTION("""COMPUTED_VALUE"""),FALSE)</f>
        <v>0</v>
      </c>
    </row>
    <row r="785">
      <c r="A785" s="16" t="str">
        <f>IFERROR(__xludf.DUMMYFUNCTION("""COMPUTED_VALUE"""),"Cursed Child's Hatchet")</f>
        <v>Cursed Child's Hatchet</v>
      </c>
      <c r="B785" s="16" t="str">
        <f>IFERROR(__xludf.DUMMYFUNCTION("""COMPUTED_VALUE"""),"Hand")</f>
        <v>Hand</v>
      </c>
      <c r="C785" s="16"/>
      <c r="D785" s="16" t="str">
        <f>IFERROR(__xludf.DUMMYFUNCTION("""COMPUTED_VALUE"""),"Axe")</f>
        <v>Axe</v>
      </c>
      <c r="E785" s="16">
        <f>IFERROR(__xludf.DUMMYFUNCTION("""COMPUTED_VALUE"""),3000.0)</f>
        <v>3000</v>
      </c>
      <c r="F785" s="108">
        <f>IFERROR(__xludf.DUMMYFUNCTION("""COMPUTED_VALUE"""),4.485E8)</f>
        <v>448500000</v>
      </c>
      <c r="G785" s="16" t="str">
        <f>IFERROR(__xludf.DUMMYFUNCTION("""COMPUTED_VALUE"""),"DMG")</f>
        <v>DMG</v>
      </c>
      <c r="H785" s="16">
        <f>IFERROR(__xludf.DUMMYFUNCTION("""COMPUTED_VALUE"""),150000.0)</f>
        <v>150000</v>
      </c>
      <c r="I785" s="16"/>
      <c r="J785" s="16"/>
      <c r="K785" s="16"/>
      <c r="L785" s="16"/>
      <c r="M785" s="16"/>
      <c r="N785" s="16"/>
      <c r="O785" s="16"/>
      <c r="P785" s="16"/>
      <c r="Q785" s="16"/>
      <c r="R785" s="16"/>
      <c r="S785" s="16"/>
      <c r="T785" s="16"/>
      <c r="U785" s="16"/>
      <c r="V785" s="16"/>
      <c r="W785" s="16"/>
      <c r="X785" s="16"/>
      <c r="Y785" s="16"/>
      <c r="Z785" s="16"/>
      <c r="AA785" s="16"/>
      <c r="AB785" s="16"/>
      <c r="AC785" s="16"/>
      <c r="AD785" s="16"/>
      <c r="AE785" s="16"/>
      <c r="AF785" s="16" t="str">
        <f>IFERROR(__xludf.DUMMYFUNCTION("""COMPUTED_VALUE"""),"+- 15% chance of attacking a random ally")</f>
        <v>+- 15% chance of attacking a random ally</v>
      </c>
      <c r="AG785" s="16" t="str">
        <f>IFERROR(__xludf.DUMMYFUNCTION("""COMPUTED_VALUE"""),"Abstara")</f>
        <v>Abstara</v>
      </c>
      <c r="AH785" s="16" t="b">
        <f>IFERROR(__xludf.DUMMYFUNCTION("""COMPUTED_VALUE"""),FALSE)</f>
        <v>0</v>
      </c>
    </row>
    <row r="786">
      <c r="A786" s="16" t="str">
        <f>IFERROR(__xludf.DUMMYFUNCTION("""COMPUTED_VALUE"""),"Helm of Lost Hope")</f>
        <v>Helm of Lost Hope</v>
      </c>
      <c r="B786" s="16" t="str">
        <f>IFERROR(__xludf.DUMMYFUNCTION("""COMPUTED_VALUE"""),"Head")</f>
        <v>Head</v>
      </c>
      <c r="C786" s="16"/>
      <c r="D786" s="16" t="str">
        <f>IFERROR(__xludf.DUMMYFUNCTION("""COMPUTED_VALUE"""),"Item")</f>
        <v>Item</v>
      </c>
      <c r="E786" s="16">
        <f>IFERROR(__xludf.DUMMYFUNCTION("""COMPUTED_VALUE"""),6800.0)</f>
        <v>6800</v>
      </c>
      <c r="F786" s="108">
        <f>IFERROR(__xludf.DUMMYFUNCTION("""COMPUTED_VALUE"""),2.3086E9)</f>
        <v>2308600000</v>
      </c>
      <c r="G786" s="16" t="str">
        <f>IFERROR(__xludf.DUMMYFUNCTION("""COMPUTED_VALUE"""),"DEF")</f>
        <v>DEF</v>
      </c>
      <c r="H786" s="16">
        <f>IFERROR(__xludf.DUMMYFUNCTION("""COMPUTED_VALUE"""),340000.0)</f>
        <v>340000</v>
      </c>
      <c r="I786" s="16"/>
      <c r="J786" s="16"/>
      <c r="K786" s="16"/>
      <c r="L786" s="16"/>
      <c r="M786" s="16"/>
      <c r="N786" s="16"/>
      <c r="O786" s="16"/>
      <c r="P786" s="16"/>
      <c r="Q786" s="16"/>
      <c r="R786" s="16"/>
      <c r="S786" s="16"/>
      <c r="T786" s="16"/>
      <c r="U786" s="16"/>
      <c r="V786" s="16"/>
      <c r="W786" s="16"/>
      <c r="X786" s="16"/>
      <c r="Y786" s="16"/>
      <c r="Z786" s="16"/>
      <c r="AA786" s="16"/>
      <c r="AB786" s="16"/>
      <c r="AC786" s="16"/>
      <c r="AD786" s="16"/>
      <c r="AE786" s="16"/>
      <c r="AF786" s="16"/>
      <c r="AG786" s="16" t="str">
        <f>IFERROR(__xludf.DUMMYFUNCTION("""COMPUTED_VALUE"""),"Abstara")</f>
        <v>Abstara</v>
      </c>
      <c r="AH786" s="16" t="b">
        <f>IFERROR(__xludf.DUMMYFUNCTION("""COMPUTED_VALUE"""),FALSE)</f>
        <v>0</v>
      </c>
    </row>
    <row r="787">
      <c r="A787" s="16" t="str">
        <f>IFERROR(__xludf.DUMMYFUNCTION("""COMPUTED_VALUE"""),"Cursed Shield")</f>
        <v>Cursed Shield</v>
      </c>
      <c r="B787" s="16" t="str">
        <f>IFERROR(__xludf.DUMMYFUNCTION("""COMPUTED_VALUE"""),"Hand")</f>
        <v>Hand</v>
      </c>
      <c r="C787" s="16"/>
      <c r="D787" s="16" t="str">
        <f>IFERROR(__xludf.DUMMYFUNCTION("""COMPUTED_VALUE"""),"Towershield")</f>
        <v>Towershield</v>
      </c>
      <c r="E787" s="16">
        <f>IFERROR(__xludf.DUMMYFUNCTION("""COMPUTED_VALUE"""),3200.0)</f>
        <v>3200</v>
      </c>
      <c r="F787" s="108">
        <f>IFERROR(__xludf.DUMMYFUNCTION("""COMPUTED_VALUE"""),5.104E8)</f>
        <v>510400000</v>
      </c>
      <c r="G787" s="16" t="str">
        <f>IFERROR(__xludf.DUMMYFUNCTION("""COMPUTED_VALUE"""),"DEF")</f>
        <v>DEF</v>
      </c>
      <c r="H787" s="16">
        <f>IFERROR(__xludf.DUMMYFUNCTION("""COMPUTED_VALUE"""),160000.0)</f>
        <v>160000</v>
      </c>
      <c r="I787" s="16"/>
      <c r="J787" s="16"/>
      <c r="K787" s="16"/>
      <c r="L787" s="16"/>
      <c r="M787" s="16"/>
      <c r="N787" s="16"/>
      <c r="O787" s="16"/>
      <c r="P787" s="16"/>
      <c r="Q787" s="16"/>
      <c r="R787" s="16"/>
      <c r="S787" s="16"/>
      <c r="T787" s="16"/>
      <c r="U787" s="16"/>
      <c r="V787" s="16"/>
      <c r="W787" s="16"/>
      <c r="X787" s="16"/>
      <c r="Y787" s="16"/>
      <c r="Z787" s="16"/>
      <c r="AA787" s="16"/>
      <c r="AB787" s="16"/>
      <c r="AC787" s="16"/>
      <c r="AD787" s="16"/>
      <c r="AE787" s="16"/>
      <c r="AF787" s="16" t="str">
        <f>IFERROR(__xludf.DUMMYFUNCTION("""COMPUTED_VALUE"""),"+-Unequipping destroys the item")</f>
        <v>+-Unequipping destroys the item</v>
      </c>
      <c r="AG787" s="16" t="str">
        <f>IFERROR(__xludf.DUMMYFUNCTION("""COMPUTED_VALUE"""),"Abstara")</f>
        <v>Abstara</v>
      </c>
      <c r="AH787" s="16" t="b">
        <f>IFERROR(__xludf.DUMMYFUNCTION("""COMPUTED_VALUE"""),FALSE)</f>
        <v>0</v>
      </c>
    </row>
    <row r="788">
      <c r="A788" s="16" t="str">
        <f>IFERROR(__xludf.DUMMYFUNCTION("""COMPUTED_VALUE"""),"Dragonscale Buckler")</f>
        <v>Dragonscale Buckler</v>
      </c>
      <c r="B788" s="16" t="str">
        <f>IFERROR(__xludf.DUMMYFUNCTION("""COMPUTED_VALUE"""),"Hand")</f>
        <v>Hand</v>
      </c>
      <c r="C788" s="16"/>
      <c r="D788" s="16" t="str">
        <f>IFERROR(__xludf.DUMMYFUNCTION("""COMPUTED_VALUE"""),"Buckler")</f>
        <v>Buckler</v>
      </c>
      <c r="E788" s="16">
        <f>IFERROR(__xludf.DUMMYFUNCTION("""COMPUTED_VALUE"""),2140.0)</f>
        <v>2140</v>
      </c>
      <c r="F788" s="108">
        <f>IFERROR(__xludf.DUMMYFUNCTION("""COMPUTED_VALUE"""),2.2791E8)</f>
        <v>227910000</v>
      </c>
      <c r="G788" s="16" t="str">
        <f>IFERROR(__xludf.DUMMYFUNCTION("""COMPUTED_VALUE"""),"DEF")</f>
        <v>DEF</v>
      </c>
      <c r="H788" s="16">
        <f>IFERROR(__xludf.DUMMYFUNCTION("""COMPUTED_VALUE"""),107000.0)</f>
        <v>107000</v>
      </c>
      <c r="I788" s="16"/>
      <c r="J788" s="16"/>
      <c r="K788" s="16"/>
      <c r="L788" s="16"/>
      <c r="M788" s="16"/>
      <c r="N788" s="16"/>
      <c r="O788" s="16"/>
      <c r="P788" s="16"/>
      <c r="Q788" s="16"/>
      <c r="R788" s="16"/>
      <c r="S788" s="16"/>
      <c r="T788" s="16"/>
      <c r="U788" s="16"/>
      <c r="V788" s="16"/>
      <c r="W788" s="16"/>
      <c r="X788" s="16"/>
      <c r="Y788" s="16"/>
      <c r="Z788" s="16"/>
      <c r="AA788" s="16"/>
      <c r="AB788" s="16"/>
      <c r="AC788" s="16"/>
      <c r="AD788" s="16"/>
      <c r="AE788" s="16"/>
      <c r="AF788" s="16"/>
      <c r="AG788" s="16" t="str">
        <f>IFERROR(__xludf.DUMMYFUNCTION("""COMPUTED_VALUE"""),"Dragonscale Island")</f>
        <v>Dragonscale Island</v>
      </c>
      <c r="AH788" s="16" t="b">
        <f>IFERROR(__xludf.DUMMYFUNCTION("""COMPUTED_VALUE"""),FALSE)</f>
        <v>0</v>
      </c>
    </row>
    <row r="789">
      <c r="A789" s="16" t="str">
        <f>IFERROR(__xludf.DUMMYFUNCTION("""COMPUTED_VALUE"""),"Magma Trident")</f>
        <v>Magma Trident</v>
      </c>
      <c r="B789" s="16" t="str">
        <f>IFERROR(__xludf.DUMMYFUNCTION("""COMPUTED_VALUE"""),"Hand")</f>
        <v>Hand</v>
      </c>
      <c r="C789" s="16"/>
      <c r="D789" s="16" t="str">
        <f>IFERROR(__xludf.DUMMYFUNCTION("""COMPUTED_VALUE"""),"Spear")</f>
        <v>Spear</v>
      </c>
      <c r="E789" s="16">
        <f>IFERROR(__xludf.DUMMYFUNCTION("""COMPUTED_VALUE"""),4000.0)</f>
        <v>4000</v>
      </c>
      <c r="F789" s="108">
        <f>IFERROR(__xludf.DUMMYFUNCTION("""COMPUTED_VALUE"""),7.98E8)</f>
        <v>798000000</v>
      </c>
      <c r="G789" s="16" t="str">
        <f>IFERROR(__xludf.DUMMYFUNCTION("""COMPUTED_VALUE"""),"DMG")</f>
        <v>DMG</v>
      </c>
      <c r="H789" s="16">
        <f>IFERROR(__xludf.DUMMYFUNCTION("""COMPUTED_VALUE"""),100000.0)</f>
        <v>100000</v>
      </c>
      <c r="I789" s="16">
        <f>IFERROR(__xludf.DUMMYFUNCTION("""COMPUTED_VALUE"""),100000.0)</f>
        <v>100000</v>
      </c>
      <c r="J789" s="16"/>
      <c r="K789" s="16"/>
      <c r="L789" s="16"/>
      <c r="M789" s="16"/>
      <c r="N789" s="16"/>
      <c r="O789" s="16"/>
      <c r="P789" s="16"/>
      <c r="Q789" s="16"/>
      <c r="R789" s="16"/>
      <c r="S789" s="16"/>
      <c r="T789" s="16"/>
      <c r="U789" s="16"/>
      <c r="V789" s="16"/>
      <c r="W789" s="16"/>
      <c r="X789" s="16"/>
      <c r="Y789" s="16"/>
      <c r="Z789" s="16"/>
      <c r="AA789" s="16"/>
      <c r="AB789" s="16"/>
      <c r="AC789" s="16"/>
      <c r="AD789" s="16"/>
      <c r="AE789" s="16"/>
      <c r="AF789" s="16"/>
      <c r="AG789" s="16" t="str">
        <f>IFERROR(__xludf.DUMMYFUNCTION("""COMPUTED_VALUE"""),"Abstara")</f>
        <v>Abstara</v>
      </c>
      <c r="AH789" s="16" t="b">
        <f>IFERROR(__xludf.DUMMYFUNCTION("""COMPUTED_VALUE"""),FALSE)</f>
        <v>0</v>
      </c>
    </row>
    <row r="790">
      <c r="A790" s="16" t="str">
        <f>IFERROR(__xludf.DUMMYFUNCTION("""COMPUTED_VALUE"""),"Bonemerang")</f>
        <v>Bonemerang</v>
      </c>
      <c r="B790" s="16" t="str">
        <f>IFERROR(__xludf.DUMMYFUNCTION("""COMPUTED_VALUE"""),"Hand")</f>
        <v>Hand</v>
      </c>
      <c r="C790" s="16"/>
      <c r="D790" s="16" t="str">
        <f>IFERROR(__xludf.DUMMYFUNCTION("""COMPUTED_VALUE"""),"Boomerang")</f>
        <v>Boomerang</v>
      </c>
      <c r="E790" s="16">
        <f>IFERROR(__xludf.DUMMYFUNCTION("""COMPUTED_VALUE"""),5200.0)</f>
        <v>5200</v>
      </c>
      <c r="F790" s="108">
        <f>IFERROR(__xludf.DUMMYFUNCTION("""COMPUTED_VALUE"""),1.3494E9)</f>
        <v>1349400000</v>
      </c>
      <c r="G790" s="16" t="str">
        <f>IFERROR(__xludf.DUMMYFUNCTION("""COMPUTED_VALUE"""),"DMG")</f>
        <v>DMG</v>
      </c>
      <c r="H790" s="16">
        <f>IFERROR(__xludf.DUMMYFUNCTION("""COMPUTED_VALUE"""),250000.0)</f>
        <v>250000</v>
      </c>
      <c r="I790" s="16"/>
      <c r="J790" s="16"/>
      <c r="K790" s="16"/>
      <c r="L790" s="16"/>
      <c r="M790" s="16"/>
      <c r="N790" s="16"/>
      <c r="O790" s="16"/>
      <c r="P790" s="16"/>
      <c r="Q790" s="16"/>
      <c r="R790" s="16">
        <f>IFERROR(__xludf.DUMMYFUNCTION("""COMPUTED_VALUE"""),10000.0)</f>
        <v>10000</v>
      </c>
      <c r="S790" s="16"/>
      <c r="T790" s="16"/>
      <c r="U790" s="16"/>
      <c r="V790" s="16"/>
      <c r="W790" s="16"/>
      <c r="X790" s="16"/>
      <c r="Y790" s="16"/>
      <c r="Z790" s="16"/>
      <c r="AA790" s="16"/>
      <c r="AB790" s="16"/>
      <c r="AC790" s="16"/>
      <c r="AD790" s="16"/>
      <c r="AE790" s="16"/>
      <c r="AF790" s="16"/>
      <c r="AG790" s="16" t="str">
        <f>IFERROR(__xludf.DUMMYFUNCTION("""COMPUTED_VALUE"""),"Abstara")</f>
        <v>Abstara</v>
      </c>
      <c r="AH790" s="16" t="b">
        <f>IFERROR(__xludf.DUMMYFUNCTION("""COMPUTED_VALUE"""),FALSE)</f>
        <v>0</v>
      </c>
    </row>
    <row r="791">
      <c r="A791" s="16" t="str">
        <f>IFERROR(__xludf.DUMMYFUNCTION("""COMPUTED_VALUE"""),"Blamerang")</f>
        <v>Blamerang</v>
      </c>
      <c r="B791" s="16" t="str">
        <f>IFERROR(__xludf.DUMMYFUNCTION("""COMPUTED_VALUE"""),"Hand")</f>
        <v>Hand</v>
      </c>
      <c r="C791" s="16"/>
      <c r="D791" s="16" t="str">
        <f>IFERROR(__xludf.DUMMYFUNCTION("""COMPUTED_VALUE"""),"Boomerang")</f>
        <v>Boomerang</v>
      </c>
      <c r="E791" s="16">
        <f>IFERROR(__xludf.DUMMYFUNCTION("""COMPUTED_VALUE"""),4400.0)</f>
        <v>4400</v>
      </c>
      <c r="F791" s="108">
        <f>IFERROR(__xludf.DUMMYFUNCTION("""COMPUTED_VALUE"""),9.658E8)</f>
        <v>965800000</v>
      </c>
      <c r="G791" s="16" t="str">
        <f>IFERROR(__xludf.DUMMYFUNCTION("""COMPUTED_VALUE"""),"DMG")</f>
        <v>DMG</v>
      </c>
      <c r="H791" s="16">
        <f>IFERROR(__xludf.DUMMYFUNCTION("""COMPUTED_VALUE"""),20000.0)</f>
        <v>20000</v>
      </c>
      <c r="I791" s="16">
        <f>IFERROR(__xludf.DUMMYFUNCTION("""COMPUTED_VALUE"""),200000.0)</f>
        <v>200000</v>
      </c>
      <c r="J791" s="16"/>
      <c r="K791" s="16"/>
      <c r="L791" s="16"/>
      <c r="M791" s="16"/>
      <c r="N791" s="16"/>
      <c r="O791" s="16"/>
      <c r="P791" s="16"/>
      <c r="Q791" s="16"/>
      <c r="R791" s="16"/>
      <c r="S791" s="16"/>
      <c r="T791" s="16"/>
      <c r="U791" s="16"/>
      <c r="V791" s="16"/>
      <c r="W791" s="16"/>
      <c r="X791" s="16"/>
      <c r="Y791" s="16"/>
      <c r="Z791" s="16"/>
      <c r="AA791" s="16"/>
      <c r="AB791" s="16"/>
      <c r="AC791" s="16"/>
      <c r="AD791" s="16"/>
      <c r="AE791" s="16"/>
      <c r="AF791" s="16" t="str">
        <f>IFERROR(__xludf.DUMMYFUNCTION("""COMPUTED_VALUE"""),"++Explodes when thrown at an enemy, hitting other enemies")</f>
        <v>++Explodes when thrown at an enemy, hitting other enemies</v>
      </c>
      <c r="AG791" s="16" t="str">
        <f>IFERROR(__xludf.DUMMYFUNCTION("""COMPUTED_VALUE"""),"Abstara")</f>
        <v>Abstara</v>
      </c>
      <c r="AH791" s="16" t="b">
        <f>IFERROR(__xludf.DUMMYFUNCTION("""COMPUTED_VALUE"""),FALSE)</f>
        <v>0</v>
      </c>
    </row>
    <row r="792">
      <c r="A792" s="16" t="str">
        <f>IFERROR(__xludf.DUMMYFUNCTION("""COMPUTED_VALUE"""),"Condemned Bow")</f>
        <v>Condemned Bow</v>
      </c>
      <c r="B792" s="16" t="str">
        <f>IFERROR(__xludf.DUMMYFUNCTION("""COMPUTED_VALUE"""),"Hand")</f>
        <v>Hand</v>
      </c>
      <c r="C792" s="16"/>
      <c r="D792" s="16" t="str">
        <f>IFERROR(__xludf.DUMMYFUNCTION("""COMPUTED_VALUE"""),"Bow")</f>
        <v>Bow</v>
      </c>
      <c r="E792" s="16">
        <f>IFERROR(__xludf.DUMMYFUNCTION("""COMPUTED_VALUE"""),6000.0)</f>
        <v>6000</v>
      </c>
      <c r="F792" s="108">
        <f>IFERROR(__xludf.DUMMYFUNCTION("""COMPUTED_VALUE"""),1.797E9)</f>
        <v>1797000000</v>
      </c>
      <c r="G792" s="16" t="str">
        <f>IFERROR(__xludf.DUMMYFUNCTION("""COMPUTED_VALUE"""),"DMG")</f>
        <v>DMG</v>
      </c>
      <c r="H792" s="16">
        <f>IFERROR(__xludf.DUMMYFUNCTION("""COMPUTED_VALUE"""),300000.0)</f>
        <v>300000</v>
      </c>
      <c r="I792" s="16"/>
      <c r="J792" s="16"/>
      <c r="K792" s="16"/>
      <c r="L792" s="16"/>
      <c r="M792" s="16"/>
      <c r="N792" s="16"/>
      <c r="O792" s="16"/>
      <c r="P792" s="16"/>
      <c r="Q792" s="16"/>
      <c r="R792" s="16"/>
      <c r="S792" s="16"/>
      <c r="T792" s="16"/>
      <c r="U792" s="16"/>
      <c r="V792" s="16"/>
      <c r="W792" s="16"/>
      <c r="X792" s="16"/>
      <c r="Y792" s="16"/>
      <c r="Z792" s="16"/>
      <c r="AA792" s="16"/>
      <c r="AB792" s="16"/>
      <c r="AC792" s="16"/>
      <c r="AD792" s="16"/>
      <c r="AE792" s="16"/>
      <c r="AF792" s="16" t="str">
        <f>IFERROR(__xludf.DUMMYFUNCTION("""COMPUTED_VALUE"""),"+-5% chance for the DM to take control of your turn")</f>
        <v>+-5% chance for the DM to take control of your turn</v>
      </c>
      <c r="AG792" s="16" t="str">
        <f>IFERROR(__xludf.DUMMYFUNCTION("""COMPUTED_VALUE"""),"Abstara")</f>
        <v>Abstara</v>
      </c>
      <c r="AH792" s="16" t="b">
        <f>IFERROR(__xludf.DUMMYFUNCTION("""COMPUTED_VALUE"""),FALSE)</f>
        <v>0</v>
      </c>
    </row>
    <row r="793">
      <c r="A793" s="16" t="str">
        <f>IFERROR(__xludf.DUMMYFUNCTION("""COMPUTED_VALUE"""),"Ancient Blacksmith's Soul In A Bottle")</f>
        <v>Ancient Blacksmith's Soul In A Bottle</v>
      </c>
      <c r="B793" s="16" t="str">
        <f>IFERROR(__xludf.DUMMYFUNCTION("""COMPUTED_VALUE"""),"Neck")</f>
        <v>Neck</v>
      </c>
      <c r="C793" s="16"/>
      <c r="D793" s="16" t="str">
        <f>IFERROR(__xludf.DUMMYFUNCTION("""COMPUTED_VALUE"""),"Item")</f>
        <v>Item</v>
      </c>
      <c r="E793" s="16">
        <f>IFERROR(__xludf.DUMMYFUNCTION("""COMPUTED_VALUE"""),1.0)</f>
        <v>1</v>
      </c>
      <c r="F793" s="108">
        <f>IFERROR(__xludf.DUMMYFUNCTION("""COMPUTED_VALUE"""),0.0)</f>
        <v>0</v>
      </c>
      <c r="G793" s="16"/>
      <c r="H793" s="16"/>
      <c r="I793" s="16"/>
      <c r="J793" s="16"/>
      <c r="K793" s="16"/>
      <c r="L793" s="16"/>
      <c r="M793" s="16"/>
      <c r="N793" s="16"/>
      <c r="O793" s="16"/>
      <c r="P793" s="16"/>
      <c r="Q793" s="16"/>
      <c r="R793" s="16"/>
      <c r="S793" s="16"/>
      <c r="T793" s="16"/>
      <c r="U793" s="16"/>
      <c r="V793" s="16"/>
      <c r="W793" s="16"/>
      <c r="X793" s="16"/>
      <c r="Y793" s="16"/>
      <c r="Z793" s="16"/>
      <c r="AA793" s="16"/>
      <c r="AB793" s="16"/>
      <c r="AC793" s="16"/>
      <c r="AD793" s="16"/>
      <c r="AE793" s="16"/>
      <c r="AF793" s="16" t="str">
        <f>IFERROR(__xludf.DUMMYFUNCTION("""COMPUTED_VALUE"""),"++Forged Weapons deal *X damage, where X is equal to a quarter of the forge amount, if the multiplier is not a whole number, round down to the nearest whole number. X20 Max ")</f>
        <v>++Forged Weapons deal *X damage, where X is equal to a quarter of the forge amount, if the multiplier is not a whole number, round down to the nearest whole number. X20 Max </v>
      </c>
      <c r="AG793" s="16" t="str">
        <f>IFERROR(__xludf.DUMMYFUNCTION("""COMPUTED_VALUE"""),"Dragonscale Island")</f>
        <v>Dragonscale Island</v>
      </c>
      <c r="AH793" s="16" t="b">
        <f>IFERROR(__xludf.DUMMYFUNCTION("""COMPUTED_VALUE"""),FALSE)</f>
        <v>0</v>
      </c>
    </row>
    <row r="794">
      <c r="A794" s="16" t="str">
        <f>IFERROR(__xludf.DUMMYFUNCTION("""COMPUTED_VALUE"""),"Ancient Breeder's Soul In A Bottle")</f>
        <v>Ancient Breeder's Soul In A Bottle</v>
      </c>
      <c r="B794" s="16" t="str">
        <f>IFERROR(__xludf.DUMMYFUNCTION("""COMPUTED_VALUE"""),"Neck")</f>
        <v>Neck</v>
      </c>
      <c r="C794" s="16"/>
      <c r="D794" s="16" t="str">
        <f>IFERROR(__xludf.DUMMYFUNCTION("""COMPUTED_VALUE"""),"Item")</f>
        <v>Item</v>
      </c>
      <c r="E794" s="16">
        <f>IFERROR(__xludf.DUMMYFUNCTION("""COMPUTED_VALUE"""),1.0)</f>
        <v>1</v>
      </c>
      <c r="F794" s="108">
        <f>IFERROR(__xludf.DUMMYFUNCTION("""COMPUTED_VALUE"""),0.0)</f>
        <v>0</v>
      </c>
      <c r="G794" s="16"/>
      <c r="H794" s="16"/>
      <c r="I794" s="16"/>
      <c r="J794" s="16"/>
      <c r="K794" s="16"/>
      <c r="L794" s="16"/>
      <c r="M794" s="16"/>
      <c r="N794" s="16"/>
      <c r="O794" s="16"/>
      <c r="P794" s="16"/>
      <c r="Q794" s="16"/>
      <c r="R794" s="16"/>
      <c r="S794" s="16"/>
      <c r="T794" s="16"/>
      <c r="U794" s="16"/>
      <c r="V794" s="16"/>
      <c r="W794" s="16"/>
      <c r="X794" s="16"/>
      <c r="Y794" s="16"/>
      <c r="Z794" s="16"/>
      <c r="AA794" s="16"/>
      <c r="AB794" s="16"/>
      <c r="AC794" s="16"/>
      <c r="AD794" s="16"/>
      <c r="AE794" s="16"/>
      <c r="AF794" s="16" t="str">
        <f>IFERROR(__xludf.DUMMYFUNCTION("""COMPUTED_VALUE"""),"++All creatures hatched from an egg deal X5 damage of all types.")</f>
        <v>++All creatures hatched from an egg deal X5 damage of all types.</v>
      </c>
      <c r="AG794" s="16" t="str">
        <f>IFERROR(__xludf.DUMMYFUNCTION("""COMPUTED_VALUE"""),"Dragonscale Island")</f>
        <v>Dragonscale Island</v>
      </c>
      <c r="AH794" s="16" t="b">
        <f>IFERROR(__xludf.DUMMYFUNCTION("""COMPUTED_VALUE"""),FALSE)</f>
        <v>0</v>
      </c>
    </row>
    <row r="795">
      <c r="A795" s="16" t="str">
        <f>IFERROR(__xludf.DUMMYFUNCTION("""COMPUTED_VALUE"""),"Ancient Crafter's Soul In A Bottle")</f>
        <v>Ancient Crafter's Soul In A Bottle</v>
      </c>
      <c r="B795" s="16" t="str">
        <f>IFERROR(__xludf.DUMMYFUNCTION("""COMPUTED_VALUE"""),"Neck")</f>
        <v>Neck</v>
      </c>
      <c r="C795" s="16"/>
      <c r="D795" s="16" t="str">
        <f>IFERROR(__xludf.DUMMYFUNCTION("""COMPUTED_VALUE"""),"Item")</f>
        <v>Item</v>
      </c>
      <c r="E795" s="16">
        <f>IFERROR(__xludf.DUMMYFUNCTION("""COMPUTED_VALUE"""),1.0)</f>
        <v>1</v>
      </c>
      <c r="F795" s="108">
        <f>IFERROR(__xludf.DUMMYFUNCTION("""COMPUTED_VALUE"""),0.0)</f>
        <v>0</v>
      </c>
      <c r="G795" s="16"/>
      <c r="H795" s="16"/>
      <c r="I795" s="16"/>
      <c r="J795" s="16"/>
      <c r="K795" s="16"/>
      <c r="L795" s="16"/>
      <c r="M795" s="16"/>
      <c r="N795" s="16"/>
      <c r="O795" s="16"/>
      <c r="P795" s="16"/>
      <c r="Q795" s="16"/>
      <c r="R795" s="16"/>
      <c r="S795" s="16"/>
      <c r="T795" s="16"/>
      <c r="U795" s="16"/>
      <c r="V795" s="16"/>
      <c r="W795" s="16"/>
      <c r="X795" s="16"/>
      <c r="Y795" s="16"/>
      <c r="Z795" s="16"/>
      <c r="AA795" s="16"/>
      <c r="AB795" s="16"/>
      <c r="AC795" s="16"/>
      <c r="AD795" s="16"/>
      <c r="AE795" s="16"/>
      <c r="AF795" s="16" t="str">
        <f>IFERROR(__xludf.DUMMYFUNCTION("""COMPUTED_VALUE"""),"++Triples all crafting materials gathered")</f>
        <v>++Triples all crafting materials gathered</v>
      </c>
      <c r="AG795" s="16" t="str">
        <f>IFERROR(__xludf.DUMMYFUNCTION("""COMPUTED_VALUE"""),"Dragonscale Island")</f>
        <v>Dragonscale Island</v>
      </c>
      <c r="AH795" s="16" t="b">
        <f>IFERROR(__xludf.DUMMYFUNCTION("""COMPUTED_VALUE"""),FALSE)</f>
        <v>0</v>
      </c>
    </row>
    <row r="796">
      <c r="A796" s="16" t="str">
        <f>IFERROR(__xludf.DUMMYFUNCTION("""COMPUTED_VALUE"""),"Ancient Alchemist's Soul In A Bottle")</f>
        <v>Ancient Alchemist's Soul In A Bottle</v>
      </c>
      <c r="B796" s="16" t="str">
        <f>IFERROR(__xludf.DUMMYFUNCTION("""COMPUTED_VALUE"""),"Neck")</f>
        <v>Neck</v>
      </c>
      <c r="C796" s="16"/>
      <c r="D796" s="16" t="str">
        <f>IFERROR(__xludf.DUMMYFUNCTION("""COMPUTED_VALUE"""),"Item")</f>
        <v>Item</v>
      </c>
      <c r="E796" s="16">
        <f>IFERROR(__xludf.DUMMYFUNCTION("""COMPUTED_VALUE"""),1.0)</f>
        <v>1</v>
      </c>
      <c r="F796" s="108">
        <f>IFERROR(__xludf.DUMMYFUNCTION("""COMPUTED_VALUE"""),0.0)</f>
        <v>0</v>
      </c>
      <c r="G796" s="16"/>
      <c r="H796" s="16"/>
      <c r="I796" s="16"/>
      <c r="J796" s="16"/>
      <c r="K796" s="16"/>
      <c r="L796" s="16"/>
      <c r="M796" s="16"/>
      <c r="N796" s="16"/>
      <c r="O796" s="16"/>
      <c r="P796" s="16"/>
      <c r="Q796" s="16"/>
      <c r="R796" s="16"/>
      <c r="S796" s="16"/>
      <c r="T796" s="16"/>
      <c r="U796" s="16"/>
      <c r="V796" s="16"/>
      <c r="W796" s="16"/>
      <c r="X796" s="16"/>
      <c r="Y796" s="16"/>
      <c r="Z796" s="16"/>
      <c r="AA796" s="16"/>
      <c r="AB796" s="16"/>
      <c r="AC796" s="16"/>
      <c r="AD796" s="16"/>
      <c r="AE796" s="16"/>
      <c r="AF796" s="16" t="str">
        <f>IFERROR(__xludf.DUMMYFUNCTION("""COMPUTED_VALUE"""),"++Doubles the effect of all herbs and potions")</f>
        <v>++Doubles the effect of all herbs and potions</v>
      </c>
      <c r="AG796" s="16" t="str">
        <f>IFERROR(__xludf.DUMMYFUNCTION("""COMPUTED_VALUE"""),"Dragonscale Island")</f>
        <v>Dragonscale Island</v>
      </c>
      <c r="AH796" s="16" t="b">
        <f>IFERROR(__xludf.DUMMYFUNCTION("""COMPUTED_VALUE"""),FALSE)</f>
        <v>0</v>
      </c>
    </row>
    <row r="797">
      <c r="A797" s="16" t="str">
        <f>IFERROR(__xludf.DUMMYFUNCTION("""COMPUTED_VALUE"""),"Ancient Farmer's Soul In A Bottle")</f>
        <v>Ancient Farmer's Soul In A Bottle</v>
      </c>
      <c r="B797" s="16" t="str">
        <f>IFERROR(__xludf.DUMMYFUNCTION("""COMPUTED_VALUE"""),"Neck")</f>
        <v>Neck</v>
      </c>
      <c r="C797" s="16"/>
      <c r="D797" s="16" t="str">
        <f>IFERROR(__xludf.DUMMYFUNCTION("""COMPUTED_VALUE"""),"Item")</f>
        <v>Item</v>
      </c>
      <c r="E797" s="16">
        <f>IFERROR(__xludf.DUMMYFUNCTION("""COMPUTED_VALUE"""),1.0)</f>
        <v>1</v>
      </c>
      <c r="F797" s="108">
        <f>IFERROR(__xludf.DUMMYFUNCTION("""COMPUTED_VALUE"""),0.0)</f>
        <v>0</v>
      </c>
      <c r="G797" s="16"/>
      <c r="H797" s="16"/>
      <c r="I797" s="16"/>
      <c r="J797" s="16"/>
      <c r="K797" s="16"/>
      <c r="L797" s="16"/>
      <c r="M797" s="16"/>
      <c r="N797" s="16"/>
      <c r="O797" s="16"/>
      <c r="P797" s="16"/>
      <c r="Q797" s="16"/>
      <c r="R797" s="16"/>
      <c r="S797" s="16"/>
      <c r="T797" s="16"/>
      <c r="U797" s="16"/>
      <c r="V797" s="16"/>
      <c r="W797" s="16"/>
      <c r="X797" s="16"/>
      <c r="Y797" s="16"/>
      <c r="Z797" s="16"/>
      <c r="AA797" s="16"/>
      <c r="AB797" s="16"/>
      <c r="AC797" s="16"/>
      <c r="AD797" s="16"/>
      <c r="AE797" s="16"/>
      <c r="AF797" s="16" t="str">
        <f>IFERROR(__xludf.DUMMYFUNCTION("""COMPUTED_VALUE"""),"++Doubles all items harvested from your farms")</f>
        <v>++Doubles all items harvested from your farms</v>
      </c>
      <c r="AG797" s="16" t="str">
        <f>IFERROR(__xludf.DUMMYFUNCTION("""COMPUTED_VALUE"""),"Dragonscale Island")</f>
        <v>Dragonscale Island</v>
      </c>
      <c r="AH797" s="16" t="b">
        <f>IFERROR(__xludf.DUMMYFUNCTION("""COMPUTED_VALUE"""),FALSE)</f>
        <v>0</v>
      </c>
    </row>
    <row r="798">
      <c r="A798" s="16" t="str">
        <f>IFERROR(__xludf.DUMMYFUNCTION("""COMPUTED_VALUE"""),"Ancient Chef's Soul In A Bottle")</f>
        <v>Ancient Chef's Soul In A Bottle</v>
      </c>
      <c r="B798" s="16" t="str">
        <f>IFERROR(__xludf.DUMMYFUNCTION("""COMPUTED_VALUE"""),"Neck")</f>
        <v>Neck</v>
      </c>
      <c r="C798" s="16"/>
      <c r="D798" s="16" t="str">
        <f>IFERROR(__xludf.DUMMYFUNCTION("""COMPUTED_VALUE"""),"Item")</f>
        <v>Item</v>
      </c>
      <c r="E798" s="16">
        <f>IFERROR(__xludf.DUMMYFUNCTION("""COMPUTED_VALUE"""),1.0)</f>
        <v>1</v>
      </c>
      <c r="F798" s="108">
        <f>IFERROR(__xludf.DUMMYFUNCTION("""COMPUTED_VALUE"""),0.0)</f>
        <v>0</v>
      </c>
      <c r="G798" s="16"/>
      <c r="H798" s="16"/>
      <c r="I798" s="16"/>
      <c r="J798" s="16"/>
      <c r="K798" s="16"/>
      <c r="L798" s="16"/>
      <c r="M798" s="16"/>
      <c r="N798" s="16"/>
      <c r="O798" s="16"/>
      <c r="P798" s="16"/>
      <c r="Q798" s="16"/>
      <c r="R798" s="16"/>
      <c r="S798" s="16"/>
      <c r="T798" s="16"/>
      <c r="U798" s="16"/>
      <c r="V798" s="16"/>
      <c r="W798" s="16"/>
      <c r="X798" s="16"/>
      <c r="Y798" s="16"/>
      <c r="Z798" s="16"/>
      <c r="AA798" s="16"/>
      <c r="AB798" s="16"/>
      <c r="AC798" s="16"/>
      <c r="AD798" s="16"/>
      <c r="AE798" s="16"/>
      <c r="AF798" s="16" t="str">
        <f>IFERROR(__xludf.DUMMYFUNCTION("""COMPUTED_VALUE"""),"++Doubles the effect of all food items cooked")</f>
        <v>++Doubles the effect of all food items cooked</v>
      </c>
      <c r="AG798" s="16" t="str">
        <f>IFERROR(__xludf.DUMMYFUNCTION("""COMPUTED_VALUE"""),"Dragonscale Island")</f>
        <v>Dragonscale Island</v>
      </c>
      <c r="AH798" s="16" t="b">
        <f>IFERROR(__xludf.DUMMYFUNCTION("""COMPUTED_VALUE"""),FALSE)</f>
        <v>0</v>
      </c>
    </row>
    <row r="799">
      <c r="A799" s="16" t="str">
        <f>IFERROR(__xludf.DUMMYFUNCTION("""COMPUTED_VALUE"""),"Ancient Miner's Soul In A Bottle")</f>
        <v>Ancient Miner's Soul In A Bottle</v>
      </c>
      <c r="B799" s="16" t="str">
        <f>IFERROR(__xludf.DUMMYFUNCTION("""COMPUTED_VALUE"""),"Neck")</f>
        <v>Neck</v>
      </c>
      <c r="C799" s="16"/>
      <c r="D799" s="16" t="str">
        <f>IFERROR(__xludf.DUMMYFUNCTION("""COMPUTED_VALUE"""),"Item")</f>
        <v>Item</v>
      </c>
      <c r="E799" s="16">
        <f>IFERROR(__xludf.DUMMYFUNCTION("""COMPUTED_VALUE"""),1.0)</f>
        <v>1</v>
      </c>
      <c r="F799" s="108">
        <f>IFERROR(__xludf.DUMMYFUNCTION("""COMPUTED_VALUE"""),0.0)</f>
        <v>0</v>
      </c>
      <c r="G799" s="16"/>
      <c r="H799" s="16"/>
      <c r="I799" s="16"/>
      <c r="J799" s="16"/>
      <c r="K799" s="16"/>
      <c r="L799" s="16"/>
      <c r="M799" s="16"/>
      <c r="N799" s="16"/>
      <c r="O799" s="16"/>
      <c r="P799" s="16"/>
      <c r="Q799" s="16"/>
      <c r="R799" s="16"/>
      <c r="S799" s="16"/>
      <c r="T799" s="16"/>
      <c r="U799" s="16"/>
      <c r="V799" s="16"/>
      <c r="W799" s="16"/>
      <c r="X799" s="16"/>
      <c r="Y799" s="16"/>
      <c r="Z799" s="16"/>
      <c r="AA799" s="16"/>
      <c r="AB799" s="16"/>
      <c r="AC799" s="16"/>
      <c r="AD799" s="16"/>
      <c r="AE799" s="16"/>
      <c r="AF799" s="16" t="str">
        <f>IFERROR(__xludf.DUMMYFUNCTION("""COMPUTED_VALUE"""),"++Doubles all minerals obtained while mining")</f>
        <v>++Doubles all minerals obtained while mining</v>
      </c>
      <c r="AG799" s="16" t="str">
        <f>IFERROR(__xludf.DUMMYFUNCTION("""COMPUTED_VALUE"""),"Dragonscale Island")</f>
        <v>Dragonscale Island</v>
      </c>
      <c r="AH799" s="16" t="b">
        <f>IFERROR(__xludf.DUMMYFUNCTION("""COMPUTED_VALUE"""),FALSE)</f>
        <v>0</v>
      </c>
    </row>
    <row r="800">
      <c r="A800" s="16" t="str">
        <f>IFERROR(__xludf.DUMMYFUNCTION("""COMPUTED_VALUE"""),"Ancient Spira Guard's Soul In A Bottle")</f>
        <v>Ancient Spira Guard's Soul In A Bottle</v>
      </c>
      <c r="B800" s="16" t="str">
        <f>IFERROR(__xludf.DUMMYFUNCTION("""COMPUTED_VALUE"""),"Neck")</f>
        <v>Neck</v>
      </c>
      <c r="C800" s="16"/>
      <c r="D800" s="16" t="str">
        <f>IFERROR(__xludf.DUMMYFUNCTION("""COMPUTED_VALUE"""),"Item")</f>
        <v>Item</v>
      </c>
      <c r="E800" s="16">
        <f>IFERROR(__xludf.DUMMYFUNCTION("""COMPUTED_VALUE"""),1.0)</f>
        <v>1</v>
      </c>
      <c r="F800" s="108">
        <f>IFERROR(__xludf.DUMMYFUNCTION("""COMPUTED_VALUE"""),0.0)</f>
        <v>0</v>
      </c>
      <c r="G800" s="16"/>
      <c r="H800" s="16"/>
      <c r="I800" s="16"/>
      <c r="J800" s="16"/>
      <c r="K800" s="16"/>
      <c r="L800" s="16"/>
      <c r="M800" s="16"/>
      <c r="N800" s="16"/>
      <c r="O800" s="16"/>
      <c r="P800" s="16"/>
      <c r="Q800" s="16"/>
      <c r="R800" s="16"/>
      <c r="S800" s="16"/>
      <c r="T800" s="16"/>
      <c r="U800" s="16"/>
      <c r="V800" s="16"/>
      <c r="W800" s="16"/>
      <c r="X800" s="16"/>
      <c r="Y800" s="16"/>
      <c r="Z800" s="16"/>
      <c r="AA800" s="16"/>
      <c r="AB800" s="16"/>
      <c r="AC800" s="16"/>
      <c r="AD800" s="16"/>
      <c r="AE800" s="16"/>
      <c r="AF800" s="16" t="str">
        <f>IFERROR(__xludf.DUMMYFUNCTION("""COMPUTED_VALUE"""),"++Add +5 to all rolls to arrest")</f>
        <v>++Add +5 to all rolls to arrest</v>
      </c>
      <c r="AG800" s="16" t="str">
        <f>IFERROR(__xludf.DUMMYFUNCTION("""COMPUTED_VALUE"""),"Dragonscale Island")</f>
        <v>Dragonscale Island</v>
      </c>
      <c r="AH800" s="16" t="b">
        <f>IFERROR(__xludf.DUMMYFUNCTION("""COMPUTED_VALUE"""),FALSE)</f>
        <v>0</v>
      </c>
    </row>
    <row r="801">
      <c r="A801" s="16" t="str">
        <f>IFERROR(__xludf.DUMMYFUNCTION("""COMPUTED_VALUE"""),"Ancient Fisherman's Soul In A Bottle")</f>
        <v>Ancient Fisherman's Soul In A Bottle</v>
      </c>
      <c r="B801" s="16" t="str">
        <f>IFERROR(__xludf.DUMMYFUNCTION("""COMPUTED_VALUE"""),"Neck")</f>
        <v>Neck</v>
      </c>
      <c r="C801" s="16"/>
      <c r="D801" s="16" t="str">
        <f>IFERROR(__xludf.DUMMYFUNCTION("""COMPUTED_VALUE"""),"Item")</f>
        <v>Item</v>
      </c>
      <c r="E801" s="16">
        <f>IFERROR(__xludf.DUMMYFUNCTION("""COMPUTED_VALUE"""),1.0)</f>
        <v>1</v>
      </c>
      <c r="F801" s="108">
        <f>IFERROR(__xludf.DUMMYFUNCTION("""COMPUTED_VALUE"""),0.0)</f>
        <v>0</v>
      </c>
      <c r="G801" s="16"/>
      <c r="H801" s="16"/>
      <c r="I801" s="16"/>
      <c r="J801" s="16"/>
      <c r="K801" s="16"/>
      <c r="L801" s="16"/>
      <c r="M801" s="16"/>
      <c r="N801" s="16"/>
      <c r="O801" s="16"/>
      <c r="P801" s="16"/>
      <c r="Q801" s="16"/>
      <c r="R801" s="16"/>
      <c r="S801" s="16"/>
      <c r="T801" s="16"/>
      <c r="U801" s="16"/>
      <c r="V801" s="16"/>
      <c r="W801" s="16"/>
      <c r="X801" s="16"/>
      <c r="Y801" s="16"/>
      <c r="Z801" s="16"/>
      <c r="AA801" s="16"/>
      <c r="AB801" s="16"/>
      <c r="AC801" s="16"/>
      <c r="AD801" s="16"/>
      <c r="AE801" s="16"/>
      <c r="AF801" s="16" t="str">
        <f>IFERROR(__xludf.DUMMYFUNCTION("""COMPUTED_VALUE"""),"++Doubles all fish obtained while fishing")</f>
        <v>++Doubles all fish obtained while fishing</v>
      </c>
      <c r="AG801" s="16" t="str">
        <f>IFERROR(__xludf.DUMMYFUNCTION("""COMPUTED_VALUE"""),"Dragonscale Island")</f>
        <v>Dragonscale Island</v>
      </c>
      <c r="AH801" s="16" t="b">
        <f>IFERROR(__xludf.DUMMYFUNCTION("""COMPUTED_VALUE"""),FALSE)</f>
        <v>0</v>
      </c>
    </row>
    <row r="802">
      <c r="A802" s="16" t="str">
        <f>IFERROR(__xludf.DUMMYFUNCTION("""COMPUTED_VALUE"""),"The Thumper")</f>
        <v>The Thumper</v>
      </c>
      <c r="B802" s="16" t="str">
        <f>IFERROR(__xludf.DUMMYFUNCTION("""COMPUTED_VALUE"""),"Hand")</f>
        <v>Hand</v>
      </c>
      <c r="C802" s="16"/>
      <c r="D802" s="16" t="str">
        <f>IFERROR(__xludf.DUMMYFUNCTION("""COMPUTED_VALUE"""),"Firearm")</f>
        <v>Firearm</v>
      </c>
      <c r="E802" s="16">
        <f>IFERROR(__xludf.DUMMYFUNCTION("""COMPUTED_VALUE"""),200.0)</f>
        <v>200</v>
      </c>
      <c r="F802" s="108">
        <f>IFERROR(__xludf.DUMMYFUNCTION("""COMPUTED_VALUE"""),1900000.0)</f>
        <v>1900000</v>
      </c>
      <c r="G802" s="16" t="str">
        <f>IFERROR(__xludf.DUMMYFUNCTION("""COMPUTED_VALUE"""),"Dmg")</f>
        <v>Dmg</v>
      </c>
      <c r="H802" s="16">
        <f>IFERROR(__xludf.DUMMYFUNCTION("""COMPUTED_VALUE"""),5000.0)</f>
        <v>5000</v>
      </c>
      <c r="I802" s="16"/>
      <c r="J802" s="16">
        <f>IFERROR(__xludf.DUMMYFUNCTION("""COMPUTED_VALUE"""),5000.0)</f>
        <v>5000</v>
      </c>
      <c r="K802" s="16"/>
      <c r="L802" s="16"/>
      <c r="M802" s="16"/>
      <c r="N802" s="16"/>
      <c r="O802" s="16"/>
      <c r="P802" s="16"/>
      <c r="Q802" s="16"/>
      <c r="R802" s="16"/>
      <c r="S802" s="16"/>
      <c r="T802" s="16"/>
      <c r="U802" s="16"/>
      <c r="V802" s="16"/>
      <c r="W802" s="16"/>
      <c r="X802" s="16"/>
      <c r="Y802" s="16"/>
      <c r="Z802" s="16"/>
      <c r="AA802" s="16"/>
      <c r="AB802" s="16"/>
      <c r="AC802" s="16"/>
      <c r="AD802" s="16"/>
      <c r="AE802" s="16"/>
      <c r="AF802" s="16" t="str">
        <f>IFERROR(__xludf.DUMMYFUNCTION("""COMPUTED_VALUE"""),"++Fires 3 Grenades, +-Uses Grenades as Ammo +-Cannot Be Forged or Duplicated")</f>
        <v>++Fires 3 Grenades, +-Uses Grenades as Ammo +-Cannot Be Forged or Duplicated</v>
      </c>
      <c r="AG802" s="16" t="str">
        <f>IFERROR(__xludf.DUMMYFUNCTION("""COMPUTED_VALUE"""),"Land of Spira")</f>
        <v>Land of Spira</v>
      </c>
      <c r="AH802" s="16" t="b">
        <f>IFERROR(__xludf.DUMMYFUNCTION("""COMPUTED_VALUE"""),FALSE)</f>
        <v>0</v>
      </c>
    </row>
    <row r="803">
      <c r="A803" s="16" t="str">
        <f>IFERROR(__xludf.DUMMYFUNCTION("""COMPUTED_VALUE"""),"Undead King's Sword")</f>
        <v>Undead King's Sword</v>
      </c>
      <c r="B803" s="16" t="str">
        <f>IFERROR(__xludf.DUMMYFUNCTION("""COMPUTED_VALUE"""),"Hand")</f>
        <v>Hand</v>
      </c>
      <c r="C803" s="16"/>
      <c r="D803" s="16" t="str">
        <f>IFERROR(__xludf.DUMMYFUNCTION("""COMPUTED_VALUE"""),"Sword")</f>
        <v>Sword</v>
      </c>
      <c r="E803" s="16">
        <f>IFERROR(__xludf.DUMMYFUNCTION("""COMPUTED_VALUE"""),1.0)</f>
        <v>1</v>
      </c>
      <c r="F803" s="108">
        <f>IFERROR(__xludf.DUMMYFUNCTION("""COMPUTED_VALUE"""),0.0)</f>
        <v>0</v>
      </c>
      <c r="G803" s="16"/>
      <c r="H803" s="16"/>
      <c r="I803" s="16"/>
      <c r="J803" s="16"/>
      <c r="K803" s="16"/>
      <c r="L803" s="16"/>
      <c r="M803" s="16"/>
      <c r="N803" s="16"/>
      <c r="O803" s="16"/>
      <c r="P803" s="16"/>
      <c r="Q803" s="16"/>
      <c r="R803" s="16"/>
      <c r="S803" s="16"/>
      <c r="T803" s="16"/>
      <c r="U803" s="16"/>
      <c r="V803" s="16"/>
      <c r="W803" s="16"/>
      <c r="X803" s="16"/>
      <c r="Y803" s="16"/>
      <c r="Z803" s="16"/>
      <c r="AA803" s="16"/>
      <c r="AB803" s="16"/>
      <c r="AC803" s="16"/>
      <c r="AD803" s="16"/>
      <c r="AE803" s="16"/>
      <c r="AF803" s="16"/>
      <c r="AG803" s="16" t="str">
        <f>IFERROR(__xludf.DUMMYFUNCTION("""COMPUTED_VALUE"""),"Land of Spira")</f>
        <v>Land of Spira</v>
      </c>
      <c r="AH803" s="16" t="b">
        <f>IFERROR(__xludf.DUMMYFUNCTION("""COMPUTED_VALUE"""),TRUE)</f>
        <v>1</v>
      </c>
    </row>
    <row r="804">
      <c r="A804" s="16" t="str">
        <f>IFERROR(__xludf.DUMMYFUNCTION("""COMPUTED_VALUE"""),"Trapper's Monocle")</f>
        <v>Trapper's Monocle</v>
      </c>
      <c r="B804" s="16" t="str">
        <f>IFERROR(__xludf.DUMMYFUNCTION("""COMPUTED_VALUE"""),"Head")</f>
        <v>Head</v>
      </c>
      <c r="C804" s="16"/>
      <c r="D804" s="16" t="str">
        <f>IFERROR(__xludf.DUMMYFUNCTION("""COMPUTED_VALUE"""),"Item")</f>
        <v>Item</v>
      </c>
      <c r="E804" s="16">
        <f>IFERROR(__xludf.DUMMYFUNCTION("""COMPUTED_VALUE"""),1.0)</f>
        <v>1</v>
      </c>
      <c r="F804" s="108">
        <f>IFERROR(__xludf.DUMMYFUNCTION("""COMPUTED_VALUE"""),0.0)</f>
        <v>0</v>
      </c>
      <c r="G804" s="16"/>
      <c r="H804" s="16"/>
      <c r="I804" s="16"/>
      <c r="J804" s="16"/>
      <c r="K804" s="16"/>
      <c r="L804" s="16"/>
      <c r="M804" s="16"/>
      <c r="N804" s="16"/>
      <c r="O804" s="16"/>
      <c r="P804" s="16"/>
      <c r="Q804" s="16"/>
      <c r="R804" s="16"/>
      <c r="S804" s="16"/>
      <c r="T804" s="16"/>
      <c r="U804" s="16"/>
      <c r="V804" s="16"/>
      <c r="W804" s="16"/>
      <c r="X804" s="16"/>
      <c r="Y804" s="16"/>
      <c r="Z804" s="16"/>
      <c r="AA804" s="16"/>
      <c r="AB804" s="16"/>
      <c r="AC804" s="16"/>
      <c r="AD804" s="16"/>
      <c r="AE804" s="16"/>
      <c r="AF804" s="16" t="str">
        <f>IFERROR(__xludf.DUMMYFUNCTION("""COMPUTED_VALUE"""),"++5 to any roll to disarm or avoid a trap.")</f>
        <v>++5 to any roll to disarm or avoid a trap.</v>
      </c>
      <c r="AG804" s="16" t="str">
        <f>IFERROR(__xludf.DUMMYFUNCTION("""COMPUTED_VALUE"""),"Dragonscale Island")</f>
        <v>Dragonscale Island</v>
      </c>
      <c r="AH804" s="16" t="b">
        <f>IFERROR(__xludf.DUMMYFUNCTION("""COMPUTED_VALUE"""),FALSE)</f>
        <v>0</v>
      </c>
    </row>
    <row r="805">
      <c r="A805" s="16" t="str">
        <f>IFERROR(__xludf.DUMMYFUNCTION("""COMPUTED_VALUE"""),"Dragon's Dogma")</f>
        <v>Dragon's Dogma</v>
      </c>
      <c r="B805" s="16" t="str">
        <f>IFERROR(__xludf.DUMMYFUNCTION("""COMPUTED_VALUE"""),"Hand")</f>
        <v>Hand</v>
      </c>
      <c r="C805" s="16"/>
      <c r="D805" s="16" t="str">
        <f>IFERROR(__xludf.DUMMYFUNCTION("""COMPUTED_VALUE"""),"Sword")</f>
        <v>Sword</v>
      </c>
      <c r="E805" s="16">
        <f>IFERROR(__xludf.DUMMYFUNCTION("""COMPUTED_VALUE"""),200.0)</f>
        <v>200</v>
      </c>
      <c r="F805" s="108">
        <f>IFERROR(__xludf.DUMMYFUNCTION("""COMPUTED_VALUE"""),1.797E9)</f>
        <v>1797000000</v>
      </c>
      <c r="G805" s="16" t="str">
        <f>IFERROR(__xludf.DUMMYFUNCTION("""COMPUTED_VALUE"""),"DMG")</f>
        <v>DMG</v>
      </c>
      <c r="H805" s="16">
        <f>IFERROR(__xludf.DUMMYFUNCTION("""COMPUTED_VALUE"""),250000.0)</f>
        <v>250000</v>
      </c>
      <c r="I805" s="16"/>
      <c r="J805" s="16"/>
      <c r="K805" s="16"/>
      <c r="L805" s="16"/>
      <c r="M805" s="16"/>
      <c r="N805" s="16"/>
      <c r="O805" s="16"/>
      <c r="P805" s="16"/>
      <c r="Q805" s="16"/>
      <c r="R805" s="16"/>
      <c r="S805" s="16"/>
      <c r="T805" s="16"/>
      <c r="U805" s="16"/>
      <c r="V805" s="16"/>
      <c r="W805" s="16"/>
      <c r="X805" s="16"/>
      <c r="Y805" s="16"/>
      <c r="Z805" s="16"/>
      <c r="AA805" s="16"/>
      <c r="AB805" s="16"/>
      <c r="AC805" s="16">
        <f>IFERROR(__xludf.DUMMYFUNCTION("""COMPUTED_VALUE"""),50000.0)</f>
        <v>50000</v>
      </c>
      <c r="AD805" s="16"/>
      <c r="AE805" s="16"/>
      <c r="AF805" s="16" t="str">
        <f>IFERROR(__xludf.DUMMYFUNCTION("""COMPUTED_VALUE"""),"TBD")</f>
        <v>TBD</v>
      </c>
      <c r="AG805" s="16" t="str">
        <f>IFERROR(__xludf.DUMMYFUNCTION("""COMPUTED_VALUE"""),"Dragonscale Island")</f>
        <v>Dragonscale Island</v>
      </c>
      <c r="AH805" s="16" t="b">
        <f>IFERROR(__xludf.DUMMYFUNCTION("""COMPUTED_VALUE"""),TRUE)</f>
        <v>1</v>
      </c>
    </row>
    <row r="806">
      <c r="A806" s="16" t="str">
        <f>IFERROR(__xludf.DUMMYFUNCTION("""COMPUTED_VALUE"""),"Dragon's Dread")</f>
        <v>Dragon's Dread</v>
      </c>
      <c r="B806" s="16" t="str">
        <f>IFERROR(__xludf.DUMMYFUNCTION("""COMPUTED_VALUE"""),"Hand")</f>
        <v>Hand</v>
      </c>
      <c r="C806" s="16"/>
      <c r="D806" s="16" t="str">
        <f>IFERROR(__xludf.DUMMYFUNCTION("""COMPUTED_VALUE"""),"Bow")</f>
        <v>Bow</v>
      </c>
      <c r="E806" s="16">
        <f>IFERROR(__xludf.DUMMYFUNCTION("""COMPUTED_VALUE"""),200.0)</f>
        <v>200</v>
      </c>
      <c r="F806" s="108">
        <f>IFERROR(__xludf.DUMMYFUNCTION("""COMPUTED_VALUE"""),7.194E9)</f>
        <v>7194000000</v>
      </c>
      <c r="G806" s="16" t="str">
        <f>IFERROR(__xludf.DUMMYFUNCTION("""COMPUTED_VALUE"""),"DMG")</f>
        <v>DMG</v>
      </c>
      <c r="H806" s="16">
        <f>IFERROR(__xludf.DUMMYFUNCTION("""COMPUTED_VALUE"""),50000.0)</f>
        <v>50000</v>
      </c>
      <c r="I806" s="16">
        <f>IFERROR(__xludf.DUMMYFUNCTION("""COMPUTED_VALUE"""),50000.0)</f>
        <v>50000</v>
      </c>
      <c r="J806" s="16"/>
      <c r="K806" s="16">
        <f>IFERROR(__xludf.DUMMYFUNCTION("""COMPUTED_VALUE"""),50000.0)</f>
        <v>50000</v>
      </c>
      <c r="L806" s="16">
        <f>IFERROR(__xludf.DUMMYFUNCTION("""COMPUTED_VALUE"""),50000.0)</f>
        <v>50000</v>
      </c>
      <c r="M806" s="16">
        <f>IFERROR(__xludf.DUMMYFUNCTION("""COMPUTED_VALUE"""),50000.0)</f>
        <v>50000</v>
      </c>
      <c r="N806" s="16">
        <f>IFERROR(__xludf.DUMMYFUNCTION("""COMPUTED_VALUE"""),50000.0)</f>
        <v>50000</v>
      </c>
      <c r="O806" s="16">
        <f>IFERROR(__xludf.DUMMYFUNCTION("""COMPUTED_VALUE"""),50000.0)</f>
        <v>50000</v>
      </c>
      <c r="P806" s="16"/>
      <c r="Q806" s="16">
        <f>IFERROR(__xludf.DUMMYFUNCTION("""COMPUTED_VALUE"""),50000.0)</f>
        <v>50000</v>
      </c>
      <c r="R806" s="16">
        <f>IFERROR(__xludf.DUMMYFUNCTION("""COMPUTED_VALUE"""),50000.0)</f>
        <v>50000</v>
      </c>
      <c r="S806" s="16">
        <f>IFERROR(__xludf.DUMMYFUNCTION("""COMPUTED_VALUE"""),50000.0)</f>
        <v>50000</v>
      </c>
      <c r="T806" s="16"/>
      <c r="U806" s="16"/>
      <c r="V806" s="16"/>
      <c r="W806" s="16"/>
      <c r="X806" s="16"/>
      <c r="Y806" s="16"/>
      <c r="Z806" s="16">
        <f>IFERROR(__xludf.DUMMYFUNCTION("""COMPUTED_VALUE"""),50000.0)</f>
        <v>50000</v>
      </c>
      <c r="AA806" s="16"/>
      <c r="AB806" s="16"/>
      <c r="AC806" s="16">
        <f>IFERROR(__xludf.DUMMYFUNCTION("""COMPUTED_VALUE"""),50000.0)</f>
        <v>50000</v>
      </c>
      <c r="AD806" s="16"/>
      <c r="AE806" s="16"/>
      <c r="AF806" s="16" t="str">
        <f>IFERROR(__xludf.DUMMYFUNCTION("""COMPUTED_VALUE"""),"TBD")</f>
        <v>TBD</v>
      </c>
      <c r="AG806" s="16" t="str">
        <f>IFERROR(__xludf.DUMMYFUNCTION("""COMPUTED_VALUE"""),"Dragonscale Island")</f>
        <v>Dragonscale Island</v>
      </c>
      <c r="AH806" s="16" t="b">
        <f>IFERROR(__xludf.DUMMYFUNCTION("""COMPUTED_VALUE"""),TRUE)</f>
        <v>1</v>
      </c>
    </row>
    <row r="807">
      <c r="A807" s="16" t="str">
        <f>IFERROR(__xludf.DUMMYFUNCTION("""COMPUTED_VALUE"""),"Dragon's Dream Breaker")</f>
        <v>Dragon's Dream Breaker</v>
      </c>
      <c r="B807" s="16" t="str">
        <f>IFERROR(__xludf.DUMMYFUNCTION("""COMPUTED_VALUE"""),"Hand")</f>
        <v>Hand</v>
      </c>
      <c r="C807" s="16"/>
      <c r="D807" s="16" t="str">
        <f>IFERROR(__xludf.DUMMYFUNCTION("""COMPUTED_VALUE"""),"Claw")</f>
        <v>Claw</v>
      </c>
      <c r="E807" s="16">
        <f>IFERROR(__xludf.DUMMYFUNCTION("""COMPUTED_VALUE"""),200.0)</f>
        <v>200</v>
      </c>
      <c r="F807" s="108">
        <f>IFERROR(__xludf.DUMMYFUNCTION("""COMPUTED_VALUE"""),2.8788E10)</f>
        <v>28788000000</v>
      </c>
      <c r="G807" s="16" t="str">
        <f>IFERROR(__xludf.DUMMYFUNCTION("""COMPUTED_VALUE"""),"DMG")</f>
        <v>DMG</v>
      </c>
      <c r="H807" s="16">
        <f>IFERROR(__xludf.DUMMYFUNCTION("""COMPUTED_VALUE"""),600000.0)</f>
        <v>600000</v>
      </c>
      <c r="I807" s="16"/>
      <c r="J807" s="16"/>
      <c r="K807" s="16"/>
      <c r="L807" s="16"/>
      <c r="M807" s="16"/>
      <c r="N807" s="16"/>
      <c r="O807" s="16"/>
      <c r="P807" s="16"/>
      <c r="Q807" s="16"/>
      <c r="R807" s="16"/>
      <c r="S807" s="16"/>
      <c r="T807" s="16"/>
      <c r="U807" s="16"/>
      <c r="V807" s="16"/>
      <c r="W807" s="16"/>
      <c r="X807" s="16"/>
      <c r="Y807" s="16"/>
      <c r="Z807" s="16"/>
      <c r="AA807" s="16"/>
      <c r="AB807" s="16"/>
      <c r="AC807" s="16">
        <f>IFERROR(__xludf.DUMMYFUNCTION("""COMPUTED_VALUE"""),600000.0)</f>
        <v>600000</v>
      </c>
      <c r="AD807" s="16"/>
      <c r="AE807" s="16"/>
      <c r="AF807" s="16" t="str">
        <f>IFERROR(__xludf.DUMMYFUNCTION("""COMPUTED_VALUE"""),"TBD")</f>
        <v>TBD</v>
      </c>
      <c r="AG807" s="16" t="str">
        <f>IFERROR(__xludf.DUMMYFUNCTION("""COMPUTED_VALUE"""),"Dragonscale Island")</f>
        <v>Dragonscale Island</v>
      </c>
      <c r="AH807" s="16" t="b">
        <f>IFERROR(__xludf.DUMMYFUNCTION("""COMPUTED_VALUE"""),TRUE)</f>
        <v>1</v>
      </c>
    </row>
    <row r="808">
      <c r="A808" s="16" t="str">
        <f>IFERROR(__xludf.DUMMYFUNCTION("""COMPUTED_VALUE"""),"Dragon's Draught")</f>
        <v>Dragon's Draught</v>
      </c>
      <c r="B808" s="16" t="str">
        <f>IFERROR(__xludf.DUMMYFUNCTION("""COMPUTED_VALUE"""),"Hand")</f>
        <v>Hand</v>
      </c>
      <c r="C808" s="16"/>
      <c r="D808" s="16" t="str">
        <f>IFERROR(__xludf.DUMMYFUNCTION("""COMPUTED_VALUE"""),"Staff")</f>
        <v>Staff</v>
      </c>
      <c r="E808" s="16">
        <f>IFERROR(__xludf.DUMMYFUNCTION("""COMPUTED_VALUE"""),1.0)</f>
        <v>1</v>
      </c>
      <c r="F808" s="108">
        <f>IFERROR(__xludf.DUMMYFUNCTION("""COMPUTED_VALUE"""),0.0)</f>
        <v>0</v>
      </c>
      <c r="G808" s="16"/>
      <c r="H808" s="16"/>
      <c r="I808" s="16"/>
      <c r="J808" s="16"/>
      <c r="K808" s="16"/>
      <c r="L808" s="16"/>
      <c r="M808" s="16"/>
      <c r="N808" s="16"/>
      <c r="O808" s="16"/>
      <c r="P808" s="16"/>
      <c r="Q808" s="16"/>
      <c r="R808" s="16"/>
      <c r="S808" s="16"/>
      <c r="T808" s="16"/>
      <c r="U808" s="16"/>
      <c r="V808" s="16"/>
      <c r="W808" s="16"/>
      <c r="X808" s="16"/>
      <c r="Y808" s="16"/>
      <c r="Z808" s="16"/>
      <c r="AA808" s="16"/>
      <c r="AB808" s="16"/>
      <c r="AC808" s="16"/>
      <c r="AD808" s="16"/>
      <c r="AE808" s="16"/>
      <c r="AF808" s="16" t="str">
        <f>IFERROR(__xludf.DUMMYFUNCTION("""COMPUTED_VALUE"""),"TBD")</f>
        <v>TBD</v>
      </c>
      <c r="AG808" s="16" t="str">
        <f>IFERROR(__xludf.DUMMYFUNCTION("""COMPUTED_VALUE"""),"Dragonscale Island")</f>
        <v>Dragonscale Island</v>
      </c>
      <c r="AH808" s="16" t="b">
        <f>IFERROR(__xludf.DUMMYFUNCTION("""COMPUTED_VALUE"""),TRUE)</f>
        <v>1</v>
      </c>
    </row>
    <row r="809">
      <c r="A809" s="16" t="str">
        <f>IFERROR(__xludf.DUMMYFUNCTION("""COMPUTED_VALUE"""),"Dragon's Damnation")</f>
        <v>Dragon's Damnation</v>
      </c>
      <c r="B809" s="16" t="str">
        <f>IFERROR(__xludf.DUMMYFUNCTION("""COMPUTED_VALUE"""),"Hand")</f>
        <v>Hand</v>
      </c>
      <c r="C809" s="16"/>
      <c r="D809" s="16" t="str">
        <f>IFERROR(__xludf.DUMMYFUNCTION("""COMPUTED_VALUE"""),"Gauntlet")</f>
        <v>Gauntlet</v>
      </c>
      <c r="E809" s="16">
        <f>IFERROR(__xludf.DUMMYFUNCTION("""COMPUTED_VALUE"""),200.0)</f>
        <v>200</v>
      </c>
      <c r="F809" s="108">
        <f>IFERROR(__xludf.DUMMYFUNCTION("""COMPUTED_VALUE"""),2.8788E10)</f>
        <v>28788000000</v>
      </c>
      <c r="G809" s="16" t="str">
        <f>IFERROR(__xludf.DUMMYFUNCTION("""COMPUTED_VALUE"""),"DEF")</f>
        <v>DEF</v>
      </c>
      <c r="H809" s="16">
        <f>IFERROR(__xludf.DUMMYFUNCTION("""COMPUTED_VALUE"""),100000.0)</f>
        <v>100000</v>
      </c>
      <c r="I809" s="16">
        <f>IFERROR(__xludf.DUMMYFUNCTION("""COMPUTED_VALUE"""),100000.0)</f>
        <v>100000</v>
      </c>
      <c r="J809" s="16"/>
      <c r="K809" s="16">
        <f>IFERROR(__xludf.DUMMYFUNCTION("""COMPUTED_VALUE"""),100000.0)</f>
        <v>100000</v>
      </c>
      <c r="L809" s="16">
        <f>IFERROR(__xludf.DUMMYFUNCTION("""COMPUTED_VALUE"""),100000.0)</f>
        <v>100000</v>
      </c>
      <c r="M809" s="16">
        <f>IFERROR(__xludf.DUMMYFUNCTION("""COMPUTED_VALUE"""),100000.0)</f>
        <v>100000</v>
      </c>
      <c r="N809" s="16">
        <f>IFERROR(__xludf.DUMMYFUNCTION("""COMPUTED_VALUE"""),100000.0)</f>
        <v>100000</v>
      </c>
      <c r="O809" s="16">
        <f>IFERROR(__xludf.DUMMYFUNCTION("""COMPUTED_VALUE"""),100000.0)</f>
        <v>100000</v>
      </c>
      <c r="P809" s="16"/>
      <c r="Q809" s="16">
        <f>IFERROR(__xludf.DUMMYFUNCTION("""COMPUTED_VALUE"""),100000.0)</f>
        <v>100000</v>
      </c>
      <c r="R809" s="16">
        <f>IFERROR(__xludf.DUMMYFUNCTION("""COMPUTED_VALUE"""),100000.0)</f>
        <v>100000</v>
      </c>
      <c r="S809" s="16">
        <f>IFERROR(__xludf.DUMMYFUNCTION("""COMPUTED_VALUE"""),100000.0)</f>
        <v>100000</v>
      </c>
      <c r="T809" s="16"/>
      <c r="U809" s="16"/>
      <c r="V809" s="16"/>
      <c r="W809" s="16"/>
      <c r="X809" s="16"/>
      <c r="Y809" s="16"/>
      <c r="Z809" s="16">
        <f>IFERROR(__xludf.DUMMYFUNCTION("""COMPUTED_VALUE"""),100000.0)</f>
        <v>100000</v>
      </c>
      <c r="AA809" s="16"/>
      <c r="AB809" s="16"/>
      <c r="AC809" s="16">
        <f>IFERROR(__xludf.DUMMYFUNCTION("""COMPUTED_VALUE"""),100000.0)</f>
        <v>100000</v>
      </c>
      <c r="AD809" s="16"/>
      <c r="AE809" s="16"/>
      <c r="AF809" s="16" t="str">
        <f>IFERROR(__xludf.DUMMYFUNCTION("""COMPUTED_VALUE"""),"TBD")</f>
        <v>TBD</v>
      </c>
      <c r="AG809" s="16" t="str">
        <f>IFERROR(__xludf.DUMMYFUNCTION("""COMPUTED_VALUE"""),"Dragonscale Island")</f>
        <v>Dragonscale Island</v>
      </c>
      <c r="AH809" s="16" t="b">
        <f>IFERROR(__xludf.DUMMYFUNCTION("""COMPUTED_VALUE"""),TRUE)</f>
        <v>1</v>
      </c>
    </row>
    <row r="810">
      <c r="A810" s="16" t="str">
        <f>IFERROR(__xludf.DUMMYFUNCTION("""COMPUTED_VALUE"""),"Dragon's Destruction")</f>
        <v>Dragon's Destruction</v>
      </c>
      <c r="B810" s="16" t="str">
        <f>IFERROR(__xludf.DUMMYFUNCTION("""COMPUTED_VALUE"""),"Hand")</f>
        <v>Hand</v>
      </c>
      <c r="C810" s="16"/>
      <c r="D810" s="16" t="str">
        <f>IFERROR(__xludf.DUMMYFUNCTION("""COMPUTED_VALUE"""),"Spear")</f>
        <v>Spear</v>
      </c>
      <c r="E810" s="16">
        <f>IFERROR(__xludf.DUMMYFUNCTION("""COMPUTED_VALUE"""),200.0)</f>
        <v>200</v>
      </c>
      <c r="F810" s="108">
        <f>IFERROR(__xludf.DUMMYFUNCTION("""COMPUTED_VALUE"""),2.8788E10)</f>
        <v>28788000000</v>
      </c>
      <c r="G810" s="16" t="str">
        <f>IFERROR(__xludf.DUMMYFUNCTION("""COMPUTED_VALUE"""),"DMG")</f>
        <v>DMG</v>
      </c>
      <c r="H810" s="16">
        <f>IFERROR(__xludf.DUMMYFUNCTION("""COMPUTED_VALUE"""),400000.0)</f>
        <v>400000</v>
      </c>
      <c r="I810" s="16">
        <f>IFERROR(__xludf.DUMMYFUNCTION("""COMPUTED_VALUE"""),100000.0)</f>
        <v>100000</v>
      </c>
      <c r="J810" s="16"/>
      <c r="K810" s="16">
        <f>IFERROR(__xludf.DUMMYFUNCTION("""COMPUTED_VALUE"""),100000.0)</f>
        <v>100000</v>
      </c>
      <c r="L810" s="16">
        <f>IFERROR(__xludf.DUMMYFUNCTION("""COMPUTED_VALUE"""),100000.0)</f>
        <v>100000</v>
      </c>
      <c r="M810" s="16">
        <f>IFERROR(__xludf.DUMMYFUNCTION("""COMPUTED_VALUE"""),100000.0)</f>
        <v>100000</v>
      </c>
      <c r="N810" s="16">
        <f>IFERROR(__xludf.DUMMYFUNCTION("""COMPUTED_VALUE"""),150000.0)</f>
        <v>150000</v>
      </c>
      <c r="O810" s="16">
        <f>IFERROR(__xludf.DUMMYFUNCTION("""COMPUTED_VALUE"""),150000.0)</f>
        <v>150000</v>
      </c>
      <c r="P810" s="16">
        <f>IFERROR(__xludf.DUMMYFUNCTION("""COMPUTED_VALUE"""),100000.0)</f>
        <v>100000</v>
      </c>
      <c r="Q810" s="16">
        <f>IFERROR(__xludf.DUMMYFUNCTION("""COMPUTED_VALUE"""),150000.0)</f>
        <v>150000</v>
      </c>
      <c r="R810" s="16">
        <f>IFERROR(__xludf.DUMMYFUNCTION("""COMPUTED_VALUE"""),150000.0)</f>
        <v>150000</v>
      </c>
      <c r="S810" s="16">
        <f>IFERROR(__xludf.DUMMYFUNCTION("""COMPUTED_VALUE"""),100000.0)</f>
        <v>100000</v>
      </c>
      <c r="T810" s="16"/>
      <c r="U810" s="16"/>
      <c r="V810" s="16"/>
      <c r="W810" s="16"/>
      <c r="X810" s="16">
        <f>IFERROR(__xludf.DUMMYFUNCTION("""COMPUTED_VALUE"""),100000.0)</f>
        <v>100000</v>
      </c>
      <c r="Y810" s="16">
        <f>IFERROR(__xludf.DUMMYFUNCTION("""COMPUTED_VALUE"""),100000.0)</f>
        <v>100000</v>
      </c>
      <c r="Z810" s="16">
        <f>IFERROR(__xludf.DUMMYFUNCTION("""COMPUTED_VALUE"""),100000.0)</f>
        <v>100000</v>
      </c>
      <c r="AA810" s="16">
        <f>IFERROR(__xludf.DUMMYFUNCTION("""COMPUTED_VALUE"""),100000.0)</f>
        <v>100000</v>
      </c>
      <c r="AB810" s="16">
        <f>IFERROR(__xludf.DUMMYFUNCTION("""COMPUTED_VALUE"""),100000.0)</f>
        <v>100000</v>
      </c>
      <c r="AC810" s="16">
        <f>IFERROR(__xludf.DUMMYFUNCTION("""COMPUTED_VALUE"""),100000.0)</f>
        <v>100000</v>
      </c>
      <c r="AD810" s="16">
        <f>IFERROR(__xludf.DUMMYFUNCTION("""COMPUTED_VALUE"""),100000.0)</f>
        <v>100000</v>
      </c>
      <c r="AE810" s="16">
        <f>IFERROR(__xludf.DUMMYFUNCTION("""COMPUTED_VALUE"""),100000.0)</f>
        <v>100000</v>
      </c>
      <c r="AF810" s="16" t="str">
        <f>IFERROR(__xludf.DUMMYFUNCTION("""COMPUTED_VALUE"""),"TBD")</f>
        <v>TBD</v>
      </c>
      <c r="AG810" s="16" t="str">
        <f>IFERROR(__xludf.DUMMYFUNCTION("""COMPUTED_VALUE"""),"Dragonscale Island")</f>
        <v>Dragonscale Island</v>
      </c>
      <c r="AH810" s="16" t="b">
        <f>IFERROR(__xludf.DUMMYFUNCTION("""COMPUTED_VALUE"""),TRUE)</f>
        <v>1</v>
      </c>
    </row>
    <row r="811">
      <c r="A811" s="16" t="str">
        <f>IFERROR(__xludf.DUMMYFUNCTION("""COMPUTED_VALUE"""),"Confining Collar")</f>
        <v>Confining Collar</v>
      </c>
      <c r="B811" s="16" t="str">
        <f>IFERROR(__xludf.DUMMYFUNCTION("""COMPUTED_VALUE"""),"Neck")</f>
        <v>Neck</v>
      </c>
      <c r="C811" s="16" t="str">
        <f>IFERROR(__xludf.DUMMYFUNCTION("""COMPUTED_VALUE"""),"A cursed collar found around the neck of the Dragonscale dungeon inmates, it slowly stangulates the wearer until they die.")</f>
        <v>A cursed collar found around the neck of the Dragonscale dungeon inmates, it slowly stangulates the wearer until they die.</v>
      </c>
      <c r="D811" s="16" t="str">
        <f>IFERROR(__xludf.DUMMYFUNCTION("""COMPUTED_VALUE"""),"Item")</f>
        <v>Item</v>
      </c>
      <c r="E811" s="16">
        <f>IFERROR(__xludf.DUMMYFUNCTION("""COMPUTED_VALUE"""),100.0)</f>
        <v>100</v>
      </c>
      <c r="F811" s="108">
        <f>IFERROR(__xludf.DUMMYFUNCTION("""COMPUTED_VALUE"""),450000.0)</f>
        <v>450000</v>
      </c>
      <c r="G811" s="16" t="str">
        <f>IFERROR(__xludf.DUMMYFUNCTION("""COMPUTED_VALUE"""),"DEF")</f>
        <v>DEF</v>
      </c>
      <c r="H811" s="16">
        <f>IFERROR(__xludf.DUMMYFUNCTION("""COMPUTED_VALUE"""),5000.0)</f>
        <v>5000</v>
      </c>
      <c r="I811" s="16"/>
      <c r="J811" s="16"/>
      <c r="K811" s="16"/>
      <c r="L811" s="16"/>
      <c r="M811" s="16"/>
      <c r="N811" s="16"/>
      <c r="O811" s="16"/>
      <c r="P811" s="16"/>
      <c r="Q811" s="16"/>
      <c r="R811" s="16"/>
      <c r="S811" s="16"/>
      <c r="T811" s="16"/>
      <c r="U811" s="16"/>
      <c r="V811" s="16"/>
      <c r="W811" s="16"/>
      <c r="X811" s="16"/>
      <c r="Y811" s="16"/>
      <c r="Z811" s="16"/>
      <c r="AA811" s="16"/>
      <c r="AB811" s="16"/>
      <c r="AC811" s="16"/>
      <c r="AD811" s="16"/>
      <c r="AE811" s="16"/>
      <c r="AF811" s="16" t="str">
        <f>IFERROR(__xludf.DUMMYFUNCTION("""COMPUTED_VALUE"""),"+-5 to all rolls, +-Upon being worn can only be removed after 15 days of travel")</f>
        <v>+-5 to all rolls, +-Upon being worn can only be removed after 15 days of travel</v>
      </c>
      <c r="AG811" s="16" t="str">
        <f>IFERROR(__xludf.DUMMYFUNCTION("""COMPUTED_VALUE"""),"Dragonscale Island")</f>
        <v>Dragonscale Island</v>
      </c>
      <c r="AH811" s="16" t="b">
        <f>IFERROR(__xludf.DUMMYFUNCTION("""COMPUTED_VALUE"""),FALSE)</f>
        <v>0</v>
      </c>
    </row>
    <row r="812">
      <c r="A812" s="16" t="str">
        <f>IFERROR(__xludf.DUMMYFUNCTION("""COMPUTED_VALUE"""),"Shiv")</f>
        <v>Shiv</v>
      </c>
      <c r="B812" s="16" t="str">
        <f>IFERROR(__xludf.DUMMYFUNCTION("""COMPUTED_VALUE"""),"Hand")</f>
        <v>Hand</v>
      </c>
      <c r="C812" s="16"/>
      <c r="D812" s="16" t="str">
        <f>IFERROR(__xludf.DUMMYFUNCTION("""COMPUTED_VALUE"""),"Knife")</f>
        <v>Knife</v>
      </c>
      <c r="E812" s="16">
        <f>IFERROR(__xludf.DUMMYFUNCTION("""COMPUTED_VALUE"""),4000.0)</f>
        <v>4000</v>
      </c>
      <c r="F812" s="108">
        <f>IFERROR(__xludf.DUMMYFUNCTION("""COMPUTED_VALUE"""),7.98E8)</f>
        <v>798000000</v>
      </c>
      <c r="G812" s="16" t="str">
        <f>IFERROR(__xludf.DUMMYFUNCTION("""COMPUTED_VALUE"""),"DMG")</f>
        <v>DMG</v>
      </c>
      <c r="H812" s="16">
        <f>IFERROR(__xludf.DUMMYFUNCTION("""COMPUTED_VALUE"""),200000.0)</f>
        <v>200000</v>
      </c>
      <c r="I812" s="16"/>
      <c r="J812" s="16"/>
      <c r="K812" s="16"/>
      <c r="L812" s="16"/>
      <c r="M812" s="16"/>
      <c r="N812" s="16"/>
      <c r="O812" s="16"/>
      <c r="P812" s="16"/>
      <c r="Q812" s="16"/>
      <c r="R812" s="16"/>
      <c r="S812" s="16"/>
      <c r="T812" s="16"/>
      <c r="U812" s="16"/>
      <c r="V812" s="16"/>
      <c r="W812" s="16"/>
      <c r="X812" s="16"/>
      <c r="Y812" s="16"/>
      <c r="Z812" s="16"/>
      <c r="AA812" s="16"/>
      <c r="AB812" s="16"/>
      <c r="AC812" s="16"/>
      <c r="AD812" s="16"/>
      <c r="AE812" s="16"/>
      <c r="AF812" s="16" t="str">
        <f>IFERROR(__xludf.DUMMYFUNCTION("""COMPUTED_VALUE"""),"++has a 5% chance to give a random disease to any creature hit with this weapon.")</f>
        <v>++has a 5% chance to give a random disease to any creature hit with this weapon.</v>
      </c>
      <c r="AG812" s="16" t="str">
        <f>IFERROR(__xludf.DUMMYFUNCTION("""COMPUTED_VALUE"""),"Dragonscale Island")</f>
        <v>Dragonscale Island</v>
      </c>
      <c r="AH812" s="16" t="b">
        <f>IFERROR(__xludf.DUMMYFUNCTION("""COMPUTED_VALUE"""),FALSE)</f>
        <v>0</v>
      </c>
    </row>
    <row r="813">
      <c r="A813" s="16" t="str">
        <f>IFERROR(__xludf.DUMMYFUNCTION("""COMPUTED_VALUE"""),"Inmate's Cap")</f>
        <v>Inmate's Cap</v>
      </c>
      <c r="B813" s="16" t="str">
        <f>IFERROR(__xludf.DUMMYFUNCTION("""COMPUTED_VALUE"""),"Head")</f>
        <v>Head</v>
      </c>
      <c r="C813" s="16"/>
      <c r="D813" s="16" t="str">
        <f>IFERROR(__xludf.DUMMYFUNCTION("""COMPUTED_VALUE"""),"Item")</f>
        <v>Item</v>
      </c>
      <c r="E813" s="16">
        <f>IFERROR(__xludf.DUMMYFUNCTION("""COMPUTED_VALUE"""),2000.0)</f>
        <v>2000</v>
      </c>
      <c r="F813" s="108">
        <f>IFERROR(__xludf.DUMMYFUNCTION("""COMPUTED_VALUE"""),1.99E8)</f>
        <v>199000000</v>
      </c>
      <c r="G813" s="16" t="str">
        <f>IFERROR(__xludf.DUMMYFUNCTION("""COMPUTED_VALUE"""),"DEF")</f>
        <v>DEF</v>
      </c>
      <c r="H813" s="16">
        <f>IFERROR(__xludf.DUMMYFUNCTION("""COMPUTED_VALUE"""),100000.0)</f>
        <v>100000</v>
      </c>
      <c r="I813" s="16"/>
      <c r="J813" s="16"/>
      <c r="K813" s="16"/>
      <c r="L813" s="16"/>
      <c r="M813" s="16"/>
      <c r="N813" s="16"/>
      <c r="O813" s="16"/>
      <c r="P813" s="16"/>
      <c r="Q813" s="16"/>
      <c r="R813" s="16"/>
      <c r="S813" s="16"/>
      <c r="T813" s="16"/>
      <c r="U813" s="16"/>
      <c r="V813" s="16"/>
      <c r="W813" s="16"/>
      <c r="X813" s="16"/>
      <c r="Y813" s="16"/>
      <c r="Z813" s="16"/>
      <c r="AA813" s="16"/>
      <c r="AB813" s="16"/>
      <c r="AC813" s="16"/>
      <c r="AD813" s="16"/>
      <c r="AE813" s="16"/>
      <c r="AF813" s="16" t="str">
        <f>IFERROR(__xludf.DUMMYFUNCTION("""COMPUTED_VALUE"""),"++has a 5% chance to avoid beng arrested without fail.")</f>
        <v>++has a 5% chance to avoid beng arrested without fail.</v>
      </c>
      <c r="AG813" s="16" t="str">
        <f>IFERROR(__xludf.DUMMYFUNCTION("""COMPUTED_VALUE"""),"Dragonscale Island")</f>
        <v>Dragonscale Island</v>
      </c>
      <c r="AH813" s="16" t="b">
        <f>IFERROR(__xludf.DUMMYFUNCTION("""COMPUTED_VALUE"""),FALSE)</f>
        <v>0</v>
      </c>
    </row>
    <row r="814">
      <c r="A814" s="16" t="str">
        <f>IFERROR(__xludf.DUMMYFUNCTION("""COMPUTED_VALUE"""),"Inmate's Shirt")</f>
        <v>Inmate's Shirt</v>
      </c>
      <c r="B814" s="16" t="str">
        <f>IFERROR(__xludf.DUMMYFUNCTION("""COMPUTED_VALUE"""),"Torso")</f>
        <v>Torso</v>
      </c>
      <c r="C814" s="16"/>
      <c r="D814" s="16" t="str">
        <f>IFERROR(__xludf.DUMMYFUNCTION("""COMPUTED_VALUE"""),"Item")</f>
        <v>Item</v>
      </c>
      <c r="E814" s="16">
        <f>IFERROR(__xludf.DUMMYFUNCTION("""COMPUTED_VALUE"""),2000.0)</f>
        <v>2000</v>
      </c>
      <c r="F814" s="108">
        <f>IFERROR(__xludf.DUMMYFUNCTION("""COMPUTED_VALUE"""),1.99E8)</f>
        <v>199000000</v>
      </c>
      <c r="G814" s="16" t="str">
        <f>IFERROR(__xludf.DUMMYFUNCTION("""COMPUTED_VALUE"""),"DEF")</f>
        <v>DEF</v>
      </c>
      <c r="H814" s="16">
        <f>IFERROR(__xludf.DUMMYFUNCTION("""COMPUTED_VALUE"""),100000.0)</f>
        <v>100000</v>
      </c>
      <c r="I814" s="16"/>
      <c r="J814" s="16"/>
      <c r="K814" s="16"/>
      <c r="L814" s="16"/>
      <c r="M814" s="16"/>
      <c r="N814" s="16"/>
      <c r="O814" s="16"/>
      <c r="P814" s="16"/>
      <c r="Q814" s="16"/>
      <c r="R814" s="16"/>
      <c r="S814" s="16"/>
      <c r="T814" s="16"/>
      <c r="U814" s="16"/>
      <c r="V814" s="16"/>
      <c r="W814" s="16"/>
      <c r="X814" s="16"/>
      <c r="Y814" s="16"/>
      <c r="Z814" s="16"/>
      <c r="AA814" s="16"/>
      <c r="AB814" s="16"/>
      <c r="AC814" s="16"/>
      <c r="AD814" s="16"/>
      <c r="AE814" s="16"/>
      <c r="AF814" s="16" t="str">
        <f>IFERROR(__xludf.DUMMYFUNCTION("""COMPUTED_VALUE"""),"++has a 5% chance to avoid beng arrested without fail.")</f>
        <v>++has a 5% chance to avoid beng arrested without fail.</v>
      </c>
      <c r="AG814" s="16" t="str">
        <f>IFERROR(__xludf.DUMMYFUNCTION("""COMPUTED_VALUE"""),"Dragonscale Island")</f>
        <v>Dragonscale Island</v>
      </c>
      <c r="AH814" s="16" t="b">
        <f>IFERROR(__xludf.DUMMYFUNCTION("""COMPUTED_VALUE"""),FALSE)</f>
        <v>0</v>
      </c>
    </row>
    <row r="815">
      <c r="A815" s="16" t="str">
        <f>IFERROR(__xludf.DUMMYFUNCTION("""COMPUTED_VALUE"""),"Inmate's Pants")</f>
        <v>Inmate's Pants</v>
      </c>
      <c r="B815" s="16" t="str">
        <f>IFERROR(__xludf.DUMMYFUNCTION("""COMPUTED_VALUE"""),"Legs")</f>
        <v>Legs</v>
      </c>
      <c r="C815" s="16"/>
      <c r="D815" s="16" t="str">
        <f>IFERROR(__xludf.DUMMYFUNCTION("""COMPUTED_VALUE"""),"Item")</f>
        <v>Item</v>
      </c>
      <c r="E815" s="16">
        <f>IFERROR(__xludf.DUMMYFUNCTION("""COMPUTED_VALUE"""),2000.0)</f>
        <v>2000</v>
      </c>
      <c r="F815" s="108">
        <f>IFERROR(__xludf.DUMMYFUNCTION("""COMPUTED_VALUE"""),1.99E8)</f>
        <v>199000000</v>
      </c>
      <c r="G815" s="16" t="str">
        <f>IFERROR(__xludf.DUMMYFUNCTION("""COMPUTED_VALUE"""),"DEF")</f>
        <v>DEF</v>
      </c>
      <c r="H815" s="16">
        <f>IFERROR(__xludf.DUMMYFUNCTION("""COMPUTED_VALUE"""),100000.0)</f>
        <v>100000</v>
      </c>
      <c r="I815" s="16"/>
      <c r="J815" s="16"/>
      <c r="K815" s="16"/>
      <c r="L815" s="16"/>
      <c r="M815" s="16"/>
      <c r="N815" s="16"/>
      <c r="O815" s="16"/>
      <c r="P815" s="16"/>
      <c r="Q815" s="16"/>
      <c r="R815" s="16"/>
      <c r="S815" s="16"/>
      <c r="T815" s="16"/>
      <c r="U815" s="16"/>
      <c r="V815" s="16"/>
      <c r="W815" s="16"/>
      <c r="X815" s="16"/>
      <c r="Y815" s="16"/>
      <c r="Z815" s="16"/>
      <c r="AA815" s="16"/>
      <c r="AB815" s="16"/>
      <c r="AC815" s="16"/>
      <c r="AD815" s="16"/>
      <c r="AE815" s="16"/>
      <c r="AF815" s="16" t="str">
        <f>IFERROR(__xludf.DUMMYFUNCTION("""COMPUTED_VALUE"""),"++has a 5% chance to avoid beng arrested without fail.")</f>
        <v>++has a 5% chance to avoid beng arrested without fail.</v>
      </c>
      <c r="AG815" s="16" t="str">
        <f>IFERROR(__xludf.DUMMYFUNCTION("""COMPUTED_VALUE"""),"Dragonscale Island")</f>
        <v>Dragonscale Island</v>
      </c>
      <c r="AH815" s="16" t="b">
        <f>IFERROR(__xludf.DUMMYFUNCTION("""COMPUTED_VALUE"""),FALSE)</f>
        <v>0</v>
      </c>
    </row>
    <row r="816">
      <c r="A816" s="16" t="str">
        <f>IFERROR(__xludf.DUMMYFUNCTION("""COMPUTED_VALUE"""),"Warden's Cap")</f>
        <v>Warden's Cap</v>
      </c>
      <c r="B816" s="16" t="str">
        <f>IFERROR(__xludf.DUMMYFUNCTION("""COMPUTED_VALUE"""),"Head")</f>
        <v>Head</v>
      </c>
      <c r="C816" s="16"/>
      <c r="D816" s="16" t="str">
        <f>IFERROR(__xludf.DUMMYFUNCTION("""COMPUTED_VALUE"""),"Item")</f>
        <v>Item</v>
      </c>
      <c r="E816" s="16">
        <f>IFERROR(__xludf.DUMMYFUNCTION("""COMPUTED_VALUE"""),2000.0)</f>
        <v>2000</v>
      </c>
      <c r="F816" s="108">
        <f>IFERROR(__xludf.DUMMYFUNCTION("""COMPUTED_VALUE"""),1.99E8)</f>
        <v>199000000</v>
      </c>
      <c r="G816" s="16" t="str">
        <f>IFERROR(__xludf.DUMMYFUNCTION("""COMPUTED_VALUE"""),"DEF")</f>
        <v>DEF</v>
      </c>
      <c r="H816" s="16">
        <f>IFERROR(__xludf.DUMMYFUNCTION("""COMPUTED_VALUE"""),100000.0)</f>
        <v>100000</v>
      </c>
      <c r="I816" s="16"/>
      <c r="J816" s="16"/>
      <c r="K816" s="16"/>
      <c r="L816" s="16"/>
      <c r="M816" s="16"/>
      <c r="N816" s="16"/>
      <c r="O816" s="16"/>
      <c r="P816" s="16"/>
      <c r="Q816" s="16"/>
      <c r="R816" s="16"/>
      <c r="S816" s="16"/>
      <c r="T816" s="16"/>
      <c r="U816" s="16"/>
      <c r="V816" s="16"/>
      <c r="W816" s="16"/>
      <c r="X816" s="16"/>
      <c r="Y816" s="16"/>
      <c r="Z816" s="16"/>
      <c r="AA816" s="16"/>
      <c r="AB816" s="16"/>
      <c r="AC816" s="16"/>
      <c r="AD816" s="16"/>
      <c r="AE816" s="16"/>
      <c r="AF816" s="16" t="str">
        <f>IFERROR(__xludf.DUMMYFUNCTION("""COMPUTED_VALUE"""),"++X2 Damage with Clubs")</f>
        <v>++X2 Damage with Clubs</v>
      </c>
      <c r="AG816" s="16" t="str">
        <f>IFERROR(__xludf.DUMMYFUNCTION("""COMPUTED_VALUE"""),"Dragonscale Island")</f>
        <v>Dragonscale Island</v>
      </c>
      <c r="AH816" s="16" t="b">
        <f>IFERROR(__xludf.DUMMYFUNCTION("""COMPUTED_VALUE"""),FALSE)</f>
        <v>0</v>
      </c>
    </row>
    <row r="817">
      <c r="A817" s="16" t="str">
        <f>IFERROR(__xludf.DUMMYFUNCTION("""COMPUTED_VALUE"""),"Warden's Shirt")</f>
        <v>Warden's Shirt</v>
      </c>
      <c r="B817" s="16" t="str">
        <f>IFERROR(__xludf.DUMMYFUNCTION("""COMPUTED_VALUE"""),"Torso")</f>
        <v>Torso</v>
      </c>
      <c r="C817" s="16"/>
      <c r="D817" s="16" t="str">
        <f>IFERROR(__xludf.DUMMYFUNCTION("""COMPUTED_VALUE"""),"Item")</f>
        <v>Item</v>
      </c>
      <c r="E817" s="16">
        <f>IFERROR(__xludf.DUMMYFUNCTION("""COMPUTED_VALUE"""),2000.0)</f>
        <v>2000</v>
      </c>
      <c r="F817" s="108">
        <f>IFERROR(__xludf.DUMMYFUNCTION("""COMPUTED_VALUE"""),1.99E8)</f>
        <v>199000000</v>
      </c>
      <c r="G817" s="16" t="str">
        <f>IFERROR(__xludf.DUMMYFUNCTION("""COMPUTED_VALUE"""),"DEF")</f>
        <v>DEF</v>
      </c>
      <c r="H817" s="16">
        <f>IFERROR(__xludf.DUMMYFUNCTION("""COMPUTED_VALUE"""),100000.0)</f>
        <v>100000</v>
      </c>
      <c r="I817" s="16"/>
      <c r="J817" s="16"/>
      <c r="K817" s="16"/>
      <c r="L817" s="16"/>
      <c r="M817" s="16"/>
      <c r="N817" s="16"/>
      <c r="O817" s="16"/>
      <c r="P817" s="16"/>
      <c r="Q817" s="16"/>
      <c r="R817" s="16"/>
      <c r="S817" s="16"/>
      <c r="T817" s="16"/>
      <c r="U817" s="16"/>
      <c r="V817" s="16"/>
      <c r="W817" s="16"/>
      <c r="X817" s="16"/>
      <c r="Y817" s="16"/>
      <c r="Z817" s="16"/>
      <c r="AA817" s="16"/>
      <c r="AB817" s="16"/>
      <c r="AC817" s="16"/>
      <c r="AD817" s="16"/>
      <c r="AE817" s="16"/>
      <c r="AF817" s="16" t="str">
        <f>IFERROR(__xludf.DUMMYFUNCTION("""COMPUTED_VALUE"""),"++X2 Damage with Clubs")</f>
        <v>++X2 Damage with Clubs</v>
      </c>
      <c r="AG817" s="16" t="str">
        <f>IFERROR(__xludf.DUMMYFUNCTION("""COMPUTED_VALUE"""),"Dragonscale Island")</f>
        <v>Dragonscale Island</v>
      </c>
      <c r="AH817" s="16" t="b">
        <f>IFERROR(__xludf.DUMMYFUNCTION("""COMPUTED_VALUE"""),FALSE)</f>
        <v>0</v>
      </c>
    </row>
    <row r="818">
      <c r="A818" s="16" t="str">
        <f>IFERROR(__xludf.DUMMYFUNCTION("""COMPUTED_VALUE"""),"Warden's Pants")</f>
        <v>Warden's Pants</v>
      </c>
      <c r="B818" s="16" t="str">
        <f>IFERROR(__xludf.DUMMYFUNCTION("""COMPUTED_VALUE"""),"Legs")</f>
        <v>Legs</v>
      </c>
      <c r="C818" s="16"/>
      <c r="D818" s="16" t="str">
        <f>IFERROR(__xludf.DUMMYFUNCTION("""COMPUTED_VALUE"""),"Item")</f>
        <v>Item</v>
      </c>
      <c r="E818" s="16">
        <f>IFERROR(__xludf.DUMMYFUNCTION("""COMPUTED_VALUE"""),2000.0)</f>
        <v>2000</v>
      </c>
      <c r="F818" s="108">
        <f>IFERROR(__xludf.DUMMYFUNCTION("""COMPUTED_VALUE"""),1.99E8)</f>
        <v>199000000</v>
      </c>
      <c r="G818" s="16" t="str">
        <f>IFERROR(__xludf.DUMMYFUNCTION("""COMPUTED_VALUE"""),"DEF")</f>
        <v>DEF</v>
      </c>
      <c r="H818" s="16">
        <f>IFERROR(__xludf.DUMMYFUNCTION("""COMPUTED_VALUE"""),100000.0)</f>
        <v>100000</v>
      </c>
      <c r="I818" s="16"/>
      <c r="J818" s="16"/>
      <c r="K818" s="16"/>
      <c r="L818" s="16"/>
      <c r="M818" s="16"/>
      <c r="N818" s="16"/>
      <c r="O818" s="16"/>
      <c r="P818" s="16"/>
      <c r="Q818" s="16"/>
      <c r="R818" s="16"/>
      <c r="S818" s="16"/>
      <c r="T818" s="16"/>
      <c r="U818" s="16"/>
      <c r="V818" s="16"/>
      <c r="W818" s="16"/>
      <c r="X818" s="16"/>
      <c r="Y818" s="16"/>
      <c r="Z818" s="16"/>
      <c r="AA818" s="16"/>
      <c r="AB818" s="16"/>
      <c r="AC818" s="16"/>
      <c r="AD818" s="16"/>
      <c r="AE818" s="16"/>
      <c r="AF818" s="16" t="str">
        <f>IFERROR(__xludf.DUMMYFUNCTION("""COMPUTED_VALUE"""),"++X2 Damage with Clubs")</f>
        <v>++X2 Damage with Clubs</v>
      </c>
      <c r="AG818" s="16" t="str">
        <f>IFERROR(__xludf.DUMMYFUNCTION("""COMPUTED_VALUE"""),"Dragonscale Island")</f>
        <v>Dragonscale Island</v>
      </c>
      <c r="AH818" s="16" t="b">
        <f>IFERROR(__xludf.DUMMYFUNCTION("""COMPUTED_VALUE"""),FALSE)</f>
        <v>0</v>
      </c>
    </row>
    <row r="819">
      <c r="A819" s="16" t="str">
        <f>IFERROR(__xludf.DUMMYFUNCTION("""COMPUTED_VALUE"""),"Warden's Boots")</f>
        <v>Warden's Boots</v>
      </c>
      <c r="B819" s="16" t="str">
        <f>IFERROR(__xludf.DUMMYFUNCTION("""COMPUTED_VALUE"""),"Feet")</f>
        <v>Feet</v>
      </c>
      <c r="C819" s="16"/>
      <c r="D819" s="16" t="str">
        <f>IFERROR(__xludf.DUMMYFUNCTION("""COMPUTED_VALUE"""),"Item")</f>
        <v>Item</v>
      </c>
      <c r="E819" s="16">
        <f>IFERROR(__xludf.DUMMYFUNCTION("""COMPUTED_VALUE"""),2000.0)</f>
        <v>2000</v>
      </c>
      <c r="F819" s="108">
        <f>IFERROR(__xludf.DUMMYFUNCTION("""COMPUTED_VALUE"""),1.99E8)</f>
        <v>199000000</v>
      </c>
      <c r="G819" s="16" t="str">
        <f>IFERROR(__xludf.DUMMYFUNCTION("""COMPUTED_VALUE"""),"DEF")</f>
        <v>DEF</v>
      </c>
      <c r="H819" s="16">
        <f>IFERROR(__xludf.DUMMYFUNCTION("""COMPUTED_VALUE"""),100000.0)</f>
        <v>100000</v>
      </c>
      <c r="I819" s="16"/>
      <c r="J819" s="16"/>
      <c r="K819" s="16"/>
      <c r="L819" s="16"/>
      <c r="M819" s="16"/>
      <c r="N819" s="16"/>
      <c r="O819" s="16"/>
      <c r="P819" s="16"/>
      <c r="Q819" s="16"/>
      <c r="R819" s="16"/>
      <c r="S819" s="16"/>
      <c r="T819" s="16"/>
      <c r="U819" s="16"/>
      <c r="V819" s="16"/>
      <c r="W819" s="16"/>
      <c r="X819" s="16"/>
      <c r="Y819" s="16"/>
      <c r="Z819" s="16"/>
      <c r="AA819" s="16"/>
      <c r="AB819" s="16"/>
      <c r="AC819" s="16"/>
      <c r="AD819" s="16"/>
      <c r="AE819" s="16"/>
      <c r="AF819" s="16" t="str">
        <f>IFERROR(__xludf.DUMMYFUNCTION("""COMPUTED_VALUE"""),"++X2 Damage with Clubs")</f>
        <v>++X2 Damage with Clubs</v>
      </c>
      <c r="AG819" s="16" t="str">
        <f>IFERROR(__xludf.DUMMYFUNCTION("""COMPUTED_VALUE"""),"Dragonscale Island")</f>
        <v>Dragonscale Island</v>
      </c>
      <c r="AH819" s="16" t="b">
        <f>IFERROR(__xludf.DUMMYFUNCTION("""COMPUTED_VALUE"""),FALSE)</f>
        <v>0</v>
      </c>
    </row>
    <row r="820">
      <c r="A820" s="16" t="str">
        <f>IFERROR(__xludf.DUMMYFUNCTION("""COMPUTED_VALUE"""),"Warden's Baton")</f>
        <v>Warden's Baton</v>
      </c>
      <c r="B820" s="16" t="str">
        <f>IFERROR(__xludf.DUMMYFUNCTION("""COMPUTED_VALUE"""),"Hand")</f>
        <v>Hand</v>
      </c>
      <c r="C820" s="16"/>
      <c r="D820" s="16" t="str">
        <f>IFERROR(__xludf.DUMMYFUNCTION("""COMPUTED_VALUE"""),"Club")</f>
        <v>Club</v>
      </c>
      <c r="E820" s="16">
        <f>IFERROR(__xludf.DUMMYFUNCTION("""COMPUTED_VALUE"""),4000.0)</f>
        <v>4000</v>
      </c>
      <c r="F820" s="108">
        <f>IFERROR(__xludf.DUMMYFUNCTION("""COMPUTED_VALUE"""),7.98E8)</f>
        <v>798000000</v>
      </c>
      <c r="G820" s="16" t="str">
        <f>IFERROR(__xludf.DUMMYFUNCTION("""COMPUTED_VALUE"""),"DMG")</f>
        <v>DMG</v>
      </c>
      <c r="H820" s="16">
        <f>IFERROR(__xludf.DUMMYFUNCTION("""COMPUTED_VALUE"""),200000.0)</f>
        <v>200000</v>
      </c>
      <c r="I820" s="16"/>
      <c r="J820" s="16"/>
      <c r="K820" s="16"/>
      <c r="L820" s="16"/>
      <c r="M820" s="16"/>
      <c r="N820" s="16"/>
      <c r="O820" s="16"/>
      <c r="P820" s="16"/>
      <c r="Q820" s="16"/>
      <c r="R820" s="16"/>
      <c r="S820" s="16"/>
      <c r="T820" s="16"/>
      <c r="U820" s="16"/>
      <c r="V820" s="16"/>
      <c r="W820" s="16"/>
      <c r="X820" s="16"/>
      <c r="Y820" s="16"/>
      <c r="Z820" s="16"/>
      <c r="AA820" s="16"/>
      <c r="AB820" s="16"/>
      <c r="AC820" s="16"/>
      <c r="AD820" s="16"/>
      <c r="AE820" s="16"/>
      <c r="AF820" s="16" t="str">
        <f>IFERROR(__xludf.DUMMYFUNCTION("""COMPUTED_VALUE"""),"++X20 damage to any enemy wearing a confining collar.")</f>
        <v>++X20 damage to any enemy wearing a confining collar.</v>
      </c>
      <c r="AG820" s="16" t="str">
        <f>IFERROR(__xludf.DUMMYFUNCTION("""COMPUTED_VALUE"""),"Dragonscale Island")</f>
        <v>Dragonscale Island</v>
      </c>
      <c r="AH820" s="16" t="b">
        <f>IFERROR(__xludf.DUMMYFUNCTION("""COMPUTED_VALUE"""),FALSE)</f>
        <v>0</v>
      </c>
    </row>
    <row r="821">
      <c r="A821" s="16" t="str">
        <f>IFERROR(__xludf.DUMMYFUNCTION("""COMPUTED_VALUE"""),"Gentleman's Club")</f>
        <v>Gentleman's Club</v>
      </c>
      <c r="B821" s="16" t="str">
        <f>IFERROR(__xludf.DUMMYFUNCTION("""COMPUTED_VALUE"""),"Hand")</f>
        <v>Hand</v>
      </c>
      <c r="C821" s="16"/>
      <c r="D821" s="16" t="str">
        <f>IFERROR(__xludf.DUMMYFUNCTION("""COMPUTED_VALUE"""),"Club")</f>
        <v>Club</v>
      </c>
      <c r="E821" s="16">
        <f>IFERROR(__xludf.DUMMYFUNCTION("""COMPUTED_VALUE"""),3000.0)</f>
        <v>3000</v>
      </c>
      <c r="F821" s="108">
        <f>IFERROR(__xludf.DUMMYFUNCTION("""COMPUTED_VALUE"""),4.485E8)</f>
        <v>448500000</v>
      </c>
      <c r="G821" s="16" t="str">
        <f>IFERROR(__xludf.DUMMYFUNCTION("""COMPUTED_VALUE"""),"DMG")</f>
        <v>DMG</v>
      </c>
      <c r="H821" s="16">
        <f>IFERROR(__xludf.DUMMYFUNCTION("""COMPUTED_VALUE"""),150000.0)</f>
        <v>150000</v>
      </c>
      <c r="I821" s="16"/>
      <c r="J821" s="16"/>
      <c r="K821" s="16"/>
      <c r="L821" s="16"/>
      <c r="M821" s="16"/>
      <c r="N821" s="16"/>
      <c r="O821" s="16"/>
      <c r="P821" s="16"/>
      <c r="Q821" s="16"/>
      <c r="R821" s="16"/>
      <c r="S821" s="16"/>
      <c r="T821" s="16"/>
      <c r="U821" s="16"/>
      <c r="V821" s="16"/>
      <c r="W821" s="16"/>
      <c r="X821" s="16"/>
      <c r="Y821" s="16"/>
      <c r="Z821" s="16"/>
      <c r="AA821" s="16"/>
      <c r="AB821" s="16"/>
      <c r="AC821" s="16"/>
      <c r="AD821" s="16"/>
      <c r="AE821" s="16"/>
      <c r="AF821" s="16" t="str">
        <f>IFERROR(__xludf.DUMMYFUNCTION("""COMPUTED_VALUE"""),"++Enemies hit with this weapon cannot cast spells for 2 rounds. +-Cannot be duplicated.")</f>
        <v>++Enemies hit with this weapon cannot cast spells for 2 rounds. +-Cannot be duplicated.</v>
      </c>
      <c r="AG821" s="16" t="str">
        <f>IFERROR(__xludf.DUMMYFUNCTION("""COMPUTED_VALUE"""),"Abstara")</f>
        <v>Abstara</v>
      </c>
      <c r="AH821" s="16" t="b">
        <f>IFERROR(__xludf.DUMMYFUNCTION("""COMPUTED_VALUE"""),FALSE)</f>
        <v>0</v>
      </c>
    </row>
    <row r="822">
      <c r="A822" s="16" t="str">
        <f>IFERROR(__xludf.DUMMYFUNCTION("""COMPUTED_VALUE"""),"Honest Shirt")</f>
        <v>Honest Shirt</v>
      </c>
      <c r="B822" s="16" t="str">
        <f>IFERROR(__xludf.DUMMYFUNCTION("""COMPUTED_VALUE"""),"Torso")</f>
        <v>Torso</v>
      </c>
      <c r="C822" s="16"/>
      <c r="D822" s="16" t="str">
        <f>IFERROR(__xludf.DUMMYFUNCTION("""COMPUTED_VALUE"""),"Item")</f>
        <v>Item</v>
      </c>
      <c r="E822" s="16">
        <f>IFERROR(__xludf.DUMMYFUNCTION("""COMPUTED_VALUE"""),2000.0)</f>
        <v>2000</v>
      </c>
      <c r="F822" s="108">
        <f>IFERROR(__xludf.DUMMYFUNCTION("""COMPUTED_VALUE"""),1.99E8)</f>
        <v>199000000</v>
      </c>
      <c r="G822" s="16" t="str">
        <f>IFERROR(__xludf.DUMMYFUNCTION("""COMPUTED_VALUE"""),"DEF")</f>
        <v>DEF</v>
      </c>
      <c r="H822" s="16">
        <f>IFERROR(__xludf.DUMMYFUNCTION("""COMPUTED_VALUE"""),100000.0)</f>
        <v>100000</v>
      </c>
      <c r="I822" s="16"/>
      <c r="J822" s="16"/>
      <c r="K822" s="16"/>
      <c r="L822" s="16"/>
      <c r="M822" s="16"/>
      <c r="N822" s="16"/>
      <c r="O822" s="16"/>
      <c r="P822" s="16"/>
      <c r="Q822" s="16"/>
      <c r="R822" s="16"/>
      <c r="S822" s="16"/>
      <c r="T822" s="16"/>
      <c r="U822" s="16"/>
      <c r="V822" s="16"/>
      <c r="W822" s="16"/>
      <c r="X822" s="16"/>
      <c r="Y822" s="16"/>
      <c r="Z822" s="16"/>
      <c r="AA822" s="16"/>
      <c r="AB822" s="16"/>
      <c r="AC822" s="16"/>
      <c r="AD822" s="16"/>
      <c r="AE822" s="16"/>
      <c r="AF822" s="16" t="str">
        <f>IFERROR(__xludf.DUMMYFUNCTION("""COMPUTED_VALUE"""),"++25% chance any spell targeting the wearer fails.")</f>
        <v>++25% chance any spell targeting the wearer fails.</v>
      </c>
      <c r="AG822" s="16" t="str">
        <f>IFERROR(__xludf.DUMMYFUNCTION("""COMPUTED_VALUE"""),"Dragonscale Island")</f>
        <v>Dragonscale Island</v>
      </c>
      <c r="AH822" s="16" t="b">
        <f>IFERROR(__xludf.DUMMYFUNCTION("""COMPUTED_VALUE"""),FALSE)</f>
        <v>0</v>
      </c>
    </row>
    <row r="823">
      <c r="A823" s="16" t="str">
        <f>IFERROR(__xludf.DUMMYFUNCTION("""COMPUTED_VALUE"""),"Tinfoil Hat")</f>
        <v>Tinfoil Hat</v>
      </c>
      <c r="B823" s="16" t="str">
        <f>IFERROR(__xludf.DUMMYFUNCTION("""COMPUTED_VALUE"""),"Head")</f>
        <v>Head</v>
      </c>
      <c r="C823" s="16"/>
      <c r="D823" s="16" t="str">
        <f>IFERROR(__xludf.DUMMYFUNCTION("""COMPUTED_VALUE"""),"Item")</f>
        <v>Item</v>
      </c>
      <c r="E823" s="16">
        <f>IFERROR(__xludf.DUMMYFUNCTION("""COMPUTED_VALUE"""),1.0)</f>
        <v>1</v>
      </c>
      <c r="F823" s="108">
        <f>IFERROR(__xludf.DUMMYFUNCTION("""COMPUTED_VALUE"""),0.0)</f>
        <v>0</v>
      </c>
      <c r="G823" s="16"/>
      <c r="H823" s="16"/>
      <c r="I823" s="16"/>
      <c r="J823" s="16"/>
      <c r="K823" s="16"/>
      <c r="L823" s="16"/>
      <c r="M823" s="16"/>
      <c r="N823" s="16"/>
      <c r="O823" s="16"/>
      <c r="P823" s="16"/>
      <c r="Q823" s="16"/>
      <c r="R823" s="16"/>
      <c r="S823" s="16"/>
      <c r="T823" s="16"/>
      <c r="U823" s="16"/>
      <c r="V823" s="16"/>
      <c r="W823" s="16"/>
      <c r="X823" s="16"/>
      <c r="Y823" s="16"/>
      <c r="Z823" s="16"/>
      <c r="AA823" s="16"/>
      <c r="AB823" s="16"/>
      <c r="AC823" s="16"/>
      <c r="AD823" s="16"/>
      <c r="AE823" s="16"/>
      <c r="AF823" s="16" t="str">
        <f>IFERROR(__xludf.DUMMYFUNCTION("""COMPUTED_VALUE"""),"++Immunity to Possession. +-Cannot be duplicated.")</f>
        <v>++Immunity to Possession. +-Cannot be duplicated.</v>
      </c>
      <c r="AG823" s="16" t="str">
        <f>IFERROR(__xludf.DUMMYFUNCTION("""COMPUTED_VALUE"""),"Abstara")</f>
        <v>Abstara</v>
      </c>
      <c r="AH823" s="16" t="b">
        <f>IFERROR(__xludf.DUMMYFUNCTION("""COMPUTED_VALUE"""),FALSE)</f>
        <v>0</v>
      </c>
    </row>
    <row r="824">
      <c r="A824" s="16" t="str">
        <f>IFERROR(__xludf.DUMMYFUNCTION("""COMPUTED_VALUE"""),"Anti-Magic Glasses")</f>
        <v>Anti-Magic Glasses</v>
      </c>
      <c r="B824" s="16" t="str">
        <f>IFERROR(__xludf.DUMMYFUNCTION("""COMPUTED_VALUE"""),"Head")</f>
        <v>Head</v>
      </c>
      <c r="C824" s="16"/>
      <c r="D824" s="16" t="str">
        <f>IFERROR(__xludf.DUMMYFUNCTION("""COMPUTED_VALUE"""),"Item")</f>
        <v>Item</v>
      </c>
      <c r="E824" s="16">
        <f>IFERROR(__xludf.DUMMYFUNCTION("""COMPUTED_VALUE"""),1.0)</f>
        <v>1</v>
      </c>
      <c r="F824" s="108">
        <f>IFERROR(__xludf.DUMMYFUNCTION("""COMPUTED_VALUE"""),0.0)</f>
        <v>0</v>
      </c>
      <c r="G824" s="16"/>
      <c r="H824" s="16"/>
      <c r="I824" s="16"/>
      <c r="J824" s="16"/>
      <c r="K824" s="16"/>
      <c r="L824" s="16"/>
      <c r="M824" s="16"/>
      <c r="N824" s="16"/>
      <c r="O824" s="16"/>
      <c r="P824" s="16"/>
      <c r="Q824" s="16"/>
      <c r="R824" s="16"/>
      <c r="S824" s="16"/>
      <c r="T824" s="16"/>
      <c r="U824" s="16"/>
      <c r="V824" s="16"/>
      <c r="W824" s="16"/>
      <c r="X824" s="16"/>
      <c r="Y824" s="16"/>
      <c r="Z824" s="16"/>
      <c r="AA824" s="16"/>
      <c r="AB824" s="16"/>
      <c r="AC824" s="16"/>
      <c r="AD824" s="16"/>
      <c r="AE824" s="16"/>
      <c r="AF824" s="16" t="str">
        <f>IFERROR(__xludf.DUMMYFUNCTION("""COMPUTED_VALUE"""),"++Immunity to Blindness, Disorient, and Twilight. +-Cannot be duplicated")</f>
        <v>++Immunity to Blindness, Disorient, and Twilight. +-Cannot be duplicated</v>
      </c>
      <c r="AG824" s="16" t="str">
        <f>IFERROR(__xludf.DUMMYFUNCTION("""COMPUTED_VALUE"""),"Abstara")</f>
        <v>Abstara</v>
      </c>
      <c r="AH824" s="16" t="b">
        <f>IFERROR(__xludf.DUMMYFUNCTION("""COMPUTED_VALUE"""),FALSE)</f>
        <v>0</v>
      </c>
    </row>
    <row r="825">
      <c r="A825" s="16" t="str">
        <f>IFERROR(__xludf.DUMMYFUNCTION("""COMPUTED_VALUE"""),"Null Ring")</f>
        <v>Null Ring</v>
      </c>
      <c r="B825" s="16" t="str">
        <f>IFERROR(__xludf.DUMMYFUNCTION("""COMPUTED_VALUE"""),"Finger")</f>
        <v>Finger</v>
      </c>
      <c r="C825" s="16"/>
      <c r="D825" s="16" t="str">
        <f>IFERROR(__xludf.DUMMYFUNCTION("""COMPUTED_VALUE"""),"Item")</f>
        <v>Item</v>
      </c>
      <c r="E825" s="16">
        <f>IFERROR(__xludf.DUMMYFUNCTION("""COMPUTED_VALUE"""),1.0)</f>
        <v>1</v>
      </c>
      <c r="F825" s="108">
        <f>IFERROR(__xludf.DUMMYFUNCTION("""COMPUTED_VALUE"""),0.0)</f>
        <v>0</v>
      </c>
      <c r="G825" s="16"/>
      <c r="H825" s="16"/>
      <c r="I825" s="16"/>
      <c r="J825" s="16"/>
      <c r="K825" s="16"/>
      <c r="L825" s="16"/>
      <c r="M825" s="16"/>
      <c r="N825" s="16"/>
      <c r="O825" s="16"/>
      <c r="P825" s="16"/>
      <c r="Q825" s="16"/>
      <c r="R825" s="16"/>
      <c r="S825" s="16"/>
      <c r="T825" s="16"/>
      <c r="U825" s="16"/>
      <c r="V825" s="16"/>
      <c r="W825" s="16"/>
      <c r="X825" s="16"/>
      <c r="Y825" s="16"/>
      <c r="Z825" s="16"/>
      <c r="AA825" s="16"/>
      <c r="AB825" s="16"/>
      <c r="AC825" s="16"/>
      <c r="AD825" s="16"/>
      <c r="AE825" s="16"/>
      <c r="AF825" s="16" t="str">
        <f>IFERROR(__xludf.DUMMYFUNCTION("""COMPUTED_VALUE"""),"++15% chance at start of battle to become immune to all magic casted by enemies and allies +-Wearer is incapable of casting magic +-Not able to be forged or duplicated")</f>
        <v>++15% chance at start of battle to become immune to all magic casted by enemies and allies +-Wearer is incapable of casting magic +-Not able to be forged or duplicated</v>
      </c>
      <c r="AG825" s="16" t="str">
        <f>IFERROR(__xludf.DUMMYFUNCTION("""COMPUTED_VALUE"""),"Abstara")</f>
        <v>Abstara</v>
      </c>
      <c r="AH825" s="16" t="b">
        <f>IFERROR(__xludf.DUMMYFUNCTION("""COMPUTED_VALUE"""),FALSE)</f>
        <v>0</v>
      </c>
    </row>
    <row r="826">
      <c r="A826" s="16" t="str">
        <f>IFERROR(__xludf.DUMMYFUNCTION("""COMPUTED_VALUE"""),"Quickdraw Bow")</f>
        <v>Quickdraw Bow</v>
      </c>
      <c r="B826" s="16" t="str">
        <f>IFERROR(__xludf.DUMMYFUNCTION("""COMPUTED_VALUE"""),"Hand")</f>
        <v>Hand</v>
      </c>
      <c r="C826" s="16"/>
      <c r="D826" s="16" t="str">
        <f>IFERROR(__xludf.DUMMYFUNCTION("""COMPUTED_VALUE"""),"Bow")</f>
        <v>Bow</v>
      </c>
      <c r="E826" s="16">
        <f>IFERROR(__xludf.DUMMYFUNCTION("""COMPUTED_VALUE"""),2000.0)</f>
        <v>2000</v>
      </c>
      <c r="F826" s="108">
        <f>IFERROR(__xludf.DUMMYFUNCTION("""COMPUTED_VALUE"""),1.99E8)</f>
        <v>199000000</v>
      </c>
      <c r="G826" s="16" t="str">
        <f>IFERROR(__xludf.DUMMYFUNCTION("""COMPUTED_VALUE"""),"DMG")</f>
        <v>DMG</v>
      </c>
      <c r="H826" s="16">
        <f>IFERROR(__xludf.DUMMYFUNCTION("""COMPUTED_VALUE"""),99500.0)</f>
        <v>99500</v>
      </c>
      <c r="I826" s="16"/>
      <c r="J826" s="16"/>
      <c r="K826" s="16"/>
      <c r="L826" s="16"/>
      <c r="M826" s="16"/>
      <c r="N826" s="16"/>
      <c r="O826" s="16"/>
      <c r="P826" s="16">
        <f>IFERROR(__xludf.DUMMYFUNCTION("""COMPUTED_VALUE"""),500.0)</f>
        <v>500</v>
      </c>
      <c r="Q826" s="16"/>
      <c r="R826" s="16"/>
      <c r="S826" s="16"/>
      <c r="T826" s="16"/>
      <c r="U826" s="16"/>
      <c r="V826" s="16"/>
      <c r="W826" s="16"/>
      <c r="X826" s="16"/>
      <c r="Y826" s="16"/>
      <c r="Z826" s="16"/>
      <c r="AA826" s="16"/>
      <c r="AB826" s="16"/>
      <c r="AC826" s="16"/>
      <c r="AD826" s="16"/>
      <c r="AE826" s="16"/>
      <c r="AF826" s="16" t="str">
        <f>IFERROR(__xludf.DUMMYFUNCTION("""COMPUTED_VALUE"""),"++Plus 2 to turn order roll +-Cannot be forged or duplicated")</f>
        <v>++Plus 2 to turn order roll +-Cannot be forged or duplicated</v>
      </c>
      <c r="AG826" s="16" t="str">
        <f>IFERROR(__xludf.DUMMYFUNCTION("""COMPUTED_VALUE"""),"Dragonscale Island")</f>
        <v>Dragonscale Island</v>
      </c>
      <c r="AH826" s="16" t="b">
        <f>IFERROR(__xludf.DUMMYFUNCTION("""COMPUTED_VALUE"""),FALSE)</f>
        <v>0</v>
      </c>
    </row>
    <row r="827">
      <c r="A827" s="16" t="str">
        <f>IFERROR(__xludf.DUMMYFUNCTION("""COMPUTED_VALUE"""),"Chaos Bow")</f>
        <v>Chaos Bow</v>
      </c>
      <c r="B827" s="16" t="str">
        <f>IFERROR(__xludf.DUMMYFUNCTION("""COMPUTED_VALUE"""),"Hand")</f>
        <v>Hand</v>
      </c>
      <c r="C827" s="16"/>
      <c r="D827" s="16" t="str">
        <f>IFERROR(__xludf.DUMMYFUNCTION("""COMPUTED_VALUE"""),"Bow")</f>
        <v>Bow</v>
      </c>
      <c r="E827" s="16">
        <f>IFERROR(__xludf.DUMMYFUNCTION("""COMPUTED_VALUE"""),2600.0)</f>
        <v>2600</v>
      </c>
      <c r="F827" s="108">
        <f>IFERROR(__xludf.DUMMYFUNCTION("""COMPUTED_VALUE"""),3.367E8)</f>
        <v>336700000</v>
      </c>
      <c r="G827" s="16" t="str">
        <f>IFERROR(__xludf.DUMMYFUNCTION("""COMPUTED_VALUE"""),"DMG")</f>
        <v>DMG</v>
      </c>
      <c r="H827" s="16">
        <f>IFERROR(__xludf.DUMMYFUNCTION("""COMPUTED_VALUE"""),50000.0)</f>
        <v>50000</v>
      </c>
      <c r="I827" s="16"/>
      <c r="J827" s="16"/>
      <c r="K827" s="16"/>
      <c r="L827" s="16"/>
      <c r="M827" s="16"/>
      <c r="N827" s="16"/>
      <c r="O827" s="16"/>
      <c r="P827" s="16"/>
      <c r="Q827" s="16"/>
      <c r="R827" s="16">
        <f>IFERROR(__xludf.DUMMYFUNCTION("""COMPUTED_VALUE"""),80000.0)</f>
        <v>80000</v>
      </c>
      <c r="S827" s="16"/>
      <c r="T827" s="16"/>
      <c r="U827" s="16"/>
      <c r="V827" s="16"/>
      <c r="W827" s="16"/>
      <c r="X827" s="16"/>
      <c r="Y827" s="16"/>
      <c r="Z827" s="16"/>
      <c r="AA827" s="16"/>
      <c r="AB827" s="16"/>
      <c r="AC827" s="16"/>
      <c r="AD827" s="16"/>
      <c r="AE827" s="16"/>
      <c r="AF827" s="16" t="str">
        <f>IFERROR(__xludf.DUMMYFUNCTION("""COMPUTED_VALUE"""),"++This bow targets a random enemy.")</f>
        <v>++This bow targets a random enemy.</v>
      </c>
      <c r="AG827" s="16" t="str">
        <f>IFERROR(__xludf.DUMMYFUNCTION("""COMPUTED_VALUE"""),"Dragonscale Island")</f>
        <v>Dragonscale Island</v>
      </c>
      <c r="AH827" s="16" t="b">
        <f>IFERROR(__xludf.DUMMYFUNCTION("""COMPUTED_VALUE"""),FALSE)</f>
        <v>0</v>
      </c>
    </row>
    <row r="828">
      <c r="A828" s="16" t="str">
        <f>IFERROR(__xludf.DUMMYFUNCTION("""COMPUTED_VALUE"""),"Crit Shot Bow")</f>
        <v>Crit Shot Bow</v>
      </c>
      <c r="B828" s="16" t="str">
        <f>IFERROR(__xludf.DUMMYFUNCTION("""COMPUTED_VALUE"""),"Hand")</f>
        <v>Hand</v>
      </c>
      <c r="C828" s="16"/>
      <c r="D828" s="16" t="str">
        <f>IFERROR(__xludf.DUMMYFUNCTION("""COMPUTED_VALUE"""),"Bow")</f>
        <v>Bow</v>
      </c>
      <c r="E828" s="16">
        <f>IFERROR(__xludf.DUMMYFUNCTION("""COMPUTED_VALUE"""),4000.0)</f>
        <v>4000</v>
      </c>
      <c r="F828" s="108">
        <f>IFERROR(__xludf.DUMMYFUNCTION("""COMPUTED_VALUE"""),7.98E8)</f>
        <v>798000000</v>
      </c>
      <c r="G828" s="16" t="str">
        <f>IFERROR(__xludf.DUMMYFUNCTION("""COMPUTED_VALUE"""),"DMG")</f>
        <v>DMG</v>
      </c>
      <c r="H828" s="16">
        <f>IFERROR(__xludf.DUMMYFUNCTION("""COMPUTED_VALUE"""),200000.0)</f>
        <v>200000</v>
      </c>
      <c r="I828" s="16"/>
      <c r="J828" s="16"/>
      <c r="K828" s="16"/>
      <c r="L828" s="16"/>
      <c r="M828" s="16"/>
      <c r="N828" s="16"/>
      <c r="O828" s="16"/>
      <c r="P828" s="16"/>
      <c r="Q828" s="16"/>
      <c r="R828" s="16"/>
      <c r="S828" s="16"/>
      <c r="T828" s="16"/>
      <c r="U828" s="16"/>
      <c r="V828" s="16"/>
      <c r="W828" s="16"/>
      <c r="X828" s="16"/>
      <c r="Y828" s="16"/>
      <c r="Z828" s="16"/>
      <c r="AA828" s="16"/>
      <c r="AB828" s="16"/>
      <c r="AC828" s="16"/>
      <c r="AD828" s="16"/>
      <c r="AE828" s="16"/>
      <c r="AF828" s="16" t="str">
        <f>IFERROR(__xludf.DUMMYFUNCTION("""COMPUTED_VALUE"""),"++Deals 3x damage +-Accuracy halved")</f>
        <v>++Deals 3x damage +-Accuracy halved</v>
      </c>
      <c r="AG828" s="16" t="str">
        <f>IFERROR(__xludf.DUMMYFUNCTION("""COMPUTED_VALUE"""),"Abstara")</f>
        <v>Abstara</v>
      </c>
      <c r="AH828" s="16" t="b">
        <f>IFERROR(__xludf.DUMMYFUNCTION("""COMPUTED_VALUE"""),FALSE)</f>
        <v>0</v>
      </c>
    </row>
    <row r="829">
      <c r="A829" s="16" t="str">
        <f>IFERROR(__xludf.DUMMYFUNCTION("""COMPUTED_VALUE"""),"Incinerating Bow")</f>
        <v>Incinerating Bow</v>
      </c>
      <c r="B829" s="16" t="str">
        <f>IFERROR(__xludf.DUMMYFUNCTION("""COMPUTED_VALUE"""),"Hand")</f>
        <v>Hand</v>
      </c>
      <c r="C829" s="16"/>
      <c r="D829" s="16" t="str">
        <f>IFERROR(__xludf.DUMMYFUNCTION("""COMPUTED_VALUE"""),"Bow")</f>
        <v>Bow</v>
      </c>
      <c r="E829" s="16">
        <f>IFERROR(__xludf.DUMMYFUNCTION("""COMPUTED_VALUE"""),3800.0)</f>
        <v>3800</v>
      </c>
      <c r="F829" s="108">
        <f>IFERROR(__xludf.DUMMYFUNCTION("""COMPUTED_VALUE"""),7.201E8)</f>
        <v>720100000</v>
      </c>
      <c r="G829" s="16" t="str">
        <f>IFERROR(__xludf.DUMMYFUNCTION("""COMPUTED_VALUE"""),"DMG")</f>
        <v>DMG</v>
      </c>
      <c r="H829" s="16">
        <f>IFERROR(__xludf.DUMMYFUNCTION("""COMPUTED_VALUE"""),90000.0)</f>
        <v>90000</v>
      </c>
      <c r="I829" s="16">
        <f>IFERROR(__xludf.DUMMYFUNCTION("""COMPUTED_VALUE"""),100000.0)</f>
        <v>100000</v>
      </c>
      <c r="J829" s="16"/>
      <c r="K829" s="16"/>
      <c r="L829" s="16"/>
      <c r="M829" s="16"/>
      <c r="N829" s="16"/>
      <c r="O829" s="16"/>
      <c r="P829" s="16"/>
      <c r="Q829" s="16"/>
      <c r="R829" s="16"/>
      <c r="S829" s="16"/>
      <c r="T829" s="16"/>
      <c r="U829" s="16"/>
      <c r="V829" s="16"/>
      <c r="W829" s="16"/>
      <c r="X829" s="16"/>
      <c r="Y829" s="16"/>
      <c r="Z829" s="16"/>
      <c r="AA829" s="16"/>
      <c r="AB829" s="16"/>
      <c r="AC829" s="16"/>
      <c r="AD829" s="16"/>
      <c r="AE829" s="16"/>
      <c r="AF829" s="16" t="str">
        <f>IFERROR(__xludf.DUMMYFUNCTION("""COMPUTED_VALUE"""),"++Gain 1 Fire Arrow when any other arrow type is used. ++When using Fire Arrows deal 2x damage with this weapon. +-Cannot be forged or duplicated")</f>
        <v>++Gain 1 Fire Arrow when any other arrow type is used. ++When using Fire Arrows deal 2x damage with this weapon. +-Cannot be forged or duplicated</v>
      </c>
      <c r="AG829" s="16" t="str">
        <f>IFERROR(__xludf.DUMMYFUNCTION("""COMPUTED_VALUE"""),"Abstara")</f>
        <v>Abstara</v>
      </c>
      <c r="AH829" s="16" t="b">
        <f>IFERROR(__xludf.DUMMYFUNCTION("""COMPUTED_VALUE"""),FALSE)</f>
        <v>0</v>
      </c>
    </row>
    <row r="830">
      <c r="A830" s="16" t="str">
        <f>IFERROR(__xludf.DUMMYFUNCTION("""COMPUTED_VALUE"""),"Bone Bow")</f>
        <v>Bone Bow</v>
      </c>
      <c r="B830" s="16" t="str">
        <f>IFERROR(__xludf.DUMMYFUNCTION("""COMPUTED_VALUE"""),"Hand")</f>
        <v>Hand</v>
      </c>
      <c r="C830" s="16"/>
      <c r="D830" s="16" t="str">
        <f>IFERROR(__xludf.DUMMYFUNCTION("""COMPUTED_VALUE"""),"Bow")</f>
        <v>Bow</v>
      </c>
      <c r="E830" s="16">
        <f>IFERROR(__xludf.DUMMYFUNCTION("""COMPUTED_VALUE"""),3400.0)</f>
        <v>3400</v>
      </c>
      <c r="F830" s="108">
        <f>IFERROR(__xludf.DUMMYFUNCTION("""COMPUTED_VALUE"""),5.763E8)</f>
        <v>576300000</v>
      </c>
      <c r="G830" s="16" t="str">
        <f>IFERROR(__xludf.DUMMYFUNCTION("""COMPUTED_VALUE"""),"DMG")</f>
        <v>DMG</v>
      </c>
      <c r="H830" s="16">
        <f>IFERROR(__xludf.DUMMYFUNCTION("""COMPUTED_VALUE"""),10000.0)</f>
        <v>10000</v>
      </c>
      <c r="I830" s="16"/>
      <c r="J830" s="16"/>
      <c r="K830" s="16"/>
      <c r="L830" s="16"/>
      <c r="M830" s="16"/>
      <c r="N830" s="16"/>
      <c r="O830" s="16"/>
      <c r="P830" s="16"/>
      <c r="Q830" s="16"/>
      <c r="R830" s="16"/>
      <c r="S830" s="16"/>
      <c r="T830" s="16"/>
      <c r="U830" s="16"/>
      <c r="V830" s="16"/>
      <c r="W830" s="16"/>
      <c r="X830" s="16"/>
      <c r="Y830" s="16">
        <f>IFERROR(__xludf.DUMMYFUNCTION("""COMPUTED_VALUE"""),160000.0)</f>
        <v>160000</v>
      </c>
      <c r="Z830" s="16"/>
      <c r="AA830" s="16"/>
      <c r="AB830" s="16"/>
      <c r="AC830" s="16"/>
      <c r="AD830" s="16"/>
      <c r="AE830" s="16"/>
      <c r="AF830" s="16" t="str">
        <f>IFERROR(__xludf.DUMMYFUNCTION("""COMPUTED_VALUE"""),"++ 2x damage when user isundead")</f>
        <v>++ 2x damage when user isundead</v>
      </c>
      <c r="AG830" s="16" t="str">
        <f>IFERROR(__xludf.DUMMYFUNCTION("""COMPUTED_VALUE"""),"Abstara")</f>
        <v>Abstara</v>
      </c>
      <c r="AH830" s="16" t="b">
        <f>IFERROR(__xludf.DUMMYFUNCTION("""COMPUTED_VALUE"""),FALSE)</f>
        <v>0</v>
      </c>
    </row>
    <row r="831">
      <c r="A831" s="16" t="str">
        <f>IFERROR(__xludf.DUMMYFUNCTION("""COMPUTED_VALUE"""),"Assassin's Fake Harp")</f>
        <v>Assassin's Fake Harp</v>
      </c>
      <c r="B831" s="16" t="str">
        <f>IFERROR(__xludf.DUMMYFUNCTION("""COMPUTED_VALUE"""),"Hand")</f>
        <v>Hand</v>
      </c>
      <c r="C831" s="16"/>
      <c r="D831" s="16" t="str">
        <f>IFERROR(__xludf.DUMMYFUNCTION("""COMPUTED_VALUE"""),"Bow")</f>
        <v>Bow</v>
      </c>
      <c r="E831" s="16">
        <f>IFERROR(__xludf.DUMMYFUNCTION("""COMPUTED_VALUE"""),3000.0)</f>
        <v>3000</v>
      </c>
      <c r="F831" s="108">
        <f>IFERROR(__xludf.DUMMYFUNCTION("""COMPUTED_VALUE"""),4.485E8)</f>
        <v>448500000</v>
      </c>
      <c r="G831" s="16" t="str">
        <f>IFERROR(__xludf.DUMMYFUNCTION("""COMPUTED_VALUE"""),"DMG")</f>
        <v>DMG</v>
      </c>
      <c r="H831" s="16">
        <f>IFERROR(__xludf.DUMMYFUNCTION("""COMPUTED_VALUE"""),50000.0)</f>
        <v>50000</v>
      </c>
      <c r="I831" s="16"/>
      <c r="J831" s="16"/>
      <c r="K831" s="16"/>
      <c r="L831" s="16"/>
      <c r="M831" s="16"/>
      <c r="N831" s="16"/>
      <c r="O831" s="16"/>
      <c r="P831" s="16"/>
      <c r="Q831" s="16"/>
      <c r="R831" s="16"/>
      <c r="S831" s="16"/>
      <c r="T831" s="16"/>
      <c r="U831" s="16"/>
      <c r="V831" s="16"/>
      <c r="W831" s="16"/>
      <c r="X831" s="16"/>
      <c r="Y831" s="16"/>
      <c r="Z831" s="16"/>
      <c r="AA831" s="16"/>
      <c r="AB831" s="16"/>
      <c r="AC831" s="16"/>
      <c r="AD831" s="16"/>
      <c r="AE831" s="16">
        <f>IFERROR(__xludf.DUMMYFUNCTION("""COMPUTED_VALUE"""),100000.0)</f>
        <v>100000</v>
      </c>
      <c r="AF831" s="16" t="str">
        <f>IFERROR(__xludf.DUMMYFUNCTION("""COMPUTED_VALUE"""),"++Deals X2 additional damage for the first round of battle.")</f>
        <v>++Deals X2 additional damage for the first round of battle.</v>
      </c>
      <c r="AG831" s="16" t="str">
        <f>IFERROR(__xludf.DUMMYFUNCTION("""COMPUTED_VALUE"""),"Dragonscale Island")</f>
        <v>Dragonscale Island</v>
      </c>
      <c r="AH831" s="16" t="b">
        <f>IFERROR(__xludf.DUMMYFUNCTION("""COMPUTED_VALUE"""),FALSE)</f>
        <v>0</v>
      </c>
    </row>
    <row r="832">
      <c r="A832" s="16" t="str">
        <f>IFERROR(__xludf.DUMMYFUNCTION("""COMPUTED_VALUE"""),"Broken Bow")</f>
        <v>Broken Bow</v>
      </c>
      <c r="B832" s="16" t="str">
        <f>IFERROR(__xludf.DUMMYFUNCTION("""COMPUTED_VALUE"""),"Hand")</f>
        <v>Hand</v>
      </c>
      <c r="C832" s="16"/>
      <c r="D832" s="16" t="str">
        <f>IFERROR(__xludf.DUMMYFUNCTION("""COMPUTED_VALUE"""),"Club")</f>
        <v>Club</v>
      </c>
      <c r="E832" s="16">
        <f>IFERROR(__xludf.DUMMYFUNCTION("""COMPUTED_VALUE"""),20.0)</f>
        <v>20</v>
      </c>
      <c r="F832" s="108">
        <f>IFERROR(__xludf.DUMMYFUNCTION("""COMPUTED_VALUE"""),10000.0)</f>
        <v>10000</v>
      </c>
      <c r="G832" s="16" t="str">
        <f>IFERROR(__xludf.DUMMYFUNCTION("""COMPUTED_VALUE"""),"DMG")</f>
        <v>DMG</v>
      </c>
      <c r="H832" s="16">
        <f>IFERROR(__xludf.DUMMYFUNCTION("""COMPUTED_VALUE"""),1000.0)</f>
        <v>1000</v>
      </c>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t="str">
        <f>IFERROR(__xludf.DUMMYFUNCTION("""COMPUTED_VALUE"""),"Land of Spira")</f>
        <v>Land of Spira</v>
      </c>
      <c r="AH832" s="16" t="b">
        <f>IFERROR(__xludf.DUMMYFUNCTION("""COMPUTED_VALUE"""),FALSE)</f>
        <v>0</v>
      </c>
    </row>
    <row r="833">
      <c r="A833" s="16" t="str">
        <f>IFERROR(__xludf.DUMMYFUNCTION("""COMPUTED_VALUE"""),"Lizard Wizard Hat")</f>
        <v>Lizard Wizard Hat</v>
      </c>
      <c r="B833" s="16" t="str">
        <f>IFERROR(__xludf.DUMMYFUNCTION("""COMPUTED_VALUE"""),"Head")</f>
        <v>Head</v>
      </c>
      <c r="C833" s="16"/>
      <c r="D833" s="16" t="str">
        <f>IFERROR(__xludf.DUMMYFUNCTION("""COMPUTED_VALUE"""),"Item")</f>
        <v>Item</v>
      </c>
      <c r="E833" s="16">
        <f>IFERROR(__xludf.DUMMYFUNCTION("""COMPUTED_VALUE"""),200.0)</f>
        <v>200</v>
      </c>
      <c r="F833" s="108">
        <f>IFERROR(__xludf.DUMMYFUNCTION("""COMPUTED_VALUE"""),1900000.0)</f>
        <v>1900000</v>
      </c>
      <c r="G833" s="16" t="str">
        <f>IFERROR(__xludf.DUMMYFUNCTION("""COMPUTED_VALUE"""),"DEF")</f>
        <v>DEF</v>
      </c>
      <c r="H833" s="16">
        <f>IFERROR(__xludf.DUMMYFUNCTION("""COMPUTED_VALUE"""),10000.0)</f>
        <v>10000</v>
      </c>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t="str">
        <f>IFERROR(__xludf.DUMMYFUNCTION("""COMPUTED_VALUE"""),"++7500 hp and sp, X2 poison damage")</f>
        <v>++7500 hp and sp, X2 poison damage</v>
      </c>
      <c r="AG833" s="16" t="str">
        <f>IFERROR(__xludf.DUMMYFUNCTION("""COMPUTED_VALUE"""),"Dragonscale Island")</f>
        <v>Dragonscale Island</v>
      </c>
      <c r="AH833" s="16" t="b">
        <f>IFERROR(__xludf.DUMMYFUNCTION("""COMPUTED_VALUE"""),FALSE)</f>
        <v>0</v>
      </c>
    </row>
    <row r="834">
      <c r="A834" s="16" t="str">
        <f>IFERROR(__xludf.DUMMYFUNCTION("""COMPUTED_VALUE"""),"Lizard Wizard Robes")</f>
        <v>Lizard Wizard Robes</v>
      </c>
      <c r="B834" s="16" t="str">
        <f>IFERROR(__xludf.DUMMYFUNCTION("""COMPUTED_VALUE"""),"Torso")</f>
        <v>Torso</v>
      </c>
      <c r="C834" s="16"/>
      <c r="D834" s="16" t="str">
        <f>IFERROR(__xludf.DUMMYFUNCTION("""COMPUTED_VALUE"""),"Item")</f>
        <v>Item</v>
      </c>
      <c r="E834" s="16">
        <f>IFERROR(__xludf.DUMMYFUNCTION("""COMPUTED_VALUE"""),200.0)</f>
        <v>200</v>
      </c>
      <c r="F834" s="108">
        <f>IFERROR(__xludf.DUMMYFUNCTION("""COMPUTED_VALUE"""),1900000.0)</f>
        <v>1900000</v>
      </c>
      <c r="G834" s="16" t="str">
        <f>IFERROR(__xludf.DUMMYFUNCTION("""COMPUTED_VALUE"""),"DEF")</f>
        <v>DEF</v>
      </c>
      <c r="H834" s="16">
        <f>IFERROR(__xludf.DUMMYFUNCTION("""COMPUTED_VALUE"""),10000.0)</f>
        <v>10000</v>
      </c>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t="str">
        <f>IFERROR(__xludf.DUMMYFUNCTION("""COMPUTED_VALUE"""),"++7500 hp and sp, X2 poison damage")</f>
        <v>++7500 hp and sp, X2 poison damage</v>
      </c>
      <c r="AG834" s="16" t="str">
        <f>IFERROR(__xludf.DUMMYFUNCTION("""COMPUTED_VALUE"""),"Dragonscale Island")</f>
        <v>Dragonscale Island</v>
      </c>
      <c r="AH834" s="16" t="b">
        <f>IFERROR(__xludf.DUMMYFUNCTION("""COMPUTED_VALUE"""),FALSE)</f>
        <v>0</v>
      </c>
    </row>
    <row r="835">
      <c r="A835" s="16" t="str">
        <f>IFERROR(__xludf.DUMMYFUNCTION("""COMPUTED_VALUE"""),"Lizard Wizard Leggings")</f>
        <v>Lizard Wizard Leggings</v>
      </c>
      <c r="B835" s="16" t="str">
        <f>IFERROR(__xludf.DUMMYFUNCTION("""COMPUTED_VALUE"""),"Legs")</f>
        <v>Legs</v>
      </c>
      <c r="C835" s="16"/>
      <c r="D835" s="16" t="str">
        <f>IFERROR(__xludf.DUMMYFUNCTION("""COMPUTED_VALUE"""),"Item")</f>
        <v>Item</v>
      </c>
      <c r="E835" s="16">
        <f>IFERROR(__xludf.DUMMYFUNCTION("""COMPUTED_VALUE"""),200.0)</f>
        <v>200</v>
      </c>
      <c r="F835" s="108">
        <f>IFERROR(__xludf.DUMMYFUNCTION("""COMPUTED_VALUE"""),1900000.0)</f>
        <v>1900000</v>
      </c>
      <c r="G835" s="16" t="str">
        <f>IFERROR(__xludf.DUMMYFUNCTION("""COMPUTED_VALUE"""),"DEF")</f>
        <v>DEF</v>
      </c>
      <c r="H835" s="16">
        <f>IFERROR(__xludf.DUMMYFUNCTION("""COMPUTED_VALUE"""),10000.0)</f>
        <v>10000</v>
      </c>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t="str">
        <f>IFERROR(__xludf.DUMMYFUNCTION("""COMPUTED_VALUE"""),"++7500 hp and sp, X2 poison damage")</f>
        <v>++7500 hp and sp, X2 poison damage</v>
      </c>
      <c r="AG835" s="16" t="str">
        <f>IFERROR(__xludf.DUMMYFUNCTION("""COMPUTED_VALUE"""),"Dragonscale Island")</f>
        <v>Dragonscale Island</v>
      </c>
      <c r="AH835" s="16" t="b">
        <f>IFERROR(__xludf.DUMMYFUNCTION("""COMPUTED_VALUE"""),FALSE)</f>
        <v>0</v>
      </c>
    </row>
    <row r="836">
      <c r="A836" s="16" t="str">
        <f>IFERROR(__xludf.DUMMYFUNCTION("""COMPUTED_VALUE"""),"Lizard Wizard Pointed Shoes")</f>
        <v>Lizard Wizard Pointed Shoes</v>
      </c>
      <c r="B836" s="16" t="str">
        <f>IFERROR(__xludf.DUMMYFUNCTION("""COMPUTED_VALUE"""),"Feet")</f>
        <v>Feet</v>
      </c>
      <c r="C836" s="16"/>
      <c r="D836" s="16" t="str">
        <f>IFERROR(__xludf.DUMMYFUNCTION("""COMPUTED_VALUE"""),"Item")</f>
        <v>Item</v>
      </c>
      <c r="E836" s="16">
        <f>IFERROR(__xludf.DUMMYFUNCTION("""COMPUTED_VALUE"""),200.0)</f>
        <v>200</v>
      </c>
      <c r="F836" s="108">
        <f>IFERROR(__xludf.DUMMYFUNCTION("""COMPUTED_VALUE"""),1900000.0)</f>
        <v>1900000</v>
      </c>
      <c r="G836" s="16" t="str">
        <f>IFERROR(__xludf.DUMMYFUNCTION("""COMPUTED_VALUE"""),"DEF")</f>
        <v>DEF</v>
      </c>
      <c r="H836" s="16">
        <f>IFERROR(__xludf.DUMMYFUNCTION("""COMPUTED_VALUE"""),10000.0)</f>
        <v>10000</v>
      </c>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t="str">
        <f>IFERROR(__xludf.DUMMYFUNCTION("""COMPUTED_VALUE"""),"++7500 hp and sp, X2 poison damage")</f>
        <v>++7500 hp and sp, X2 poison damage</v>
      </c>
      <c r="AG836" s="16" t="str">
        <f>IFERROR(__xludf.DUMMYFUNCTION("""COMPUTED_VALUE"""),"Dragonscale Island")</f>
        <v>Dragonscale Island</v>
      </c>
      <c r="AH836" s="16" t="b">
        <f>IFERROR(__xludf.DUMMYFUNCTION("""COMPUTED_VALUE"""),FALSE)</f>
        <v>0</v>
      </c>
    </row>
    <row r="837">
      <c r="A837" s="16" t="str">
        <f>IFERROR(__xludf.DUMMYFUNCTION("""COMPUTED_VALUE"""),"Lizard Wizard Staff of Corroding Blizzard")</f>
        <v>Lizard Wizard Staff of Corroding Blizzard</v>
      </c>
      <c r="B837" s="16" t="str">
        <f>IFERROR(__xludf.DUMMYFUNCTION("""COMPUTED_VALUE"""),"Hand")</f>
        <v>Hand</v>
      </c>
      <c r="C837" s="16"/>
      <c r="D837" s="16" t="str">
        <f>IFERROR(__xludf.DUMMYFUNCTION("""COMPUTED_VALUE"""),"Staff")</f>
        <v>Staff</v>
      </c>
      <c r="E837" s="16">
        <f>IFERROR(__xludf.DUMMYFUNCTION("""COMPUTED_VALUE"""),3000.0)</f>
        <v>3000</v>
      </c>
      <c r="F837" s="108">
        <f>IFERROR(__xludf.DUMMYFUNCTION("""COMPUTED_VALUE"""),4.485E8)</f>
        <v>448500000</v>
      </c>
      <c r="G837" s="16" t="str">
        <f>IFERROR(__xludf.DUMMYFUNCTION("""COMPUTED_VALUE"""),"DMG")</f>
        <v>DMG</v>
      </c>
      <c r="H837" s="16"/>
      <c r="I837" s="16"/>
      <c r="J837" s="16"/>
      <c r="K837" s="16"/>
      <c r="L837" s="16"/>
      <c r="M837" s="16"/>
      <c r="N837" s="16">
        <f>IFERROR(__xludf.DUMMYFUNCTION("""COMPUTED_VALUE"""),50000.0)</f>
        <v>50000</v>
      </c>
      <c r="O837" s="16"/>
      <c r="P837" s="16"/>
      <c r="Q837" s="16"/>
      <c r="R837" s="16"/>
      <c r="S837" s="16">
        <f>IFERROR(__xludf.DUMMYFUNCTION("""COMPUTED_VALUE"""),100000.0)</f>
        <v>100000</v>
      </c>
      <c r="T837" s="16"/>
      <c r="U837" s="16"/>
      <c r="V837" s="16"/>
      <c r="W837" s="16"/>
      <c r="X837" s="16"/>
      <c r="Y837" s="16"/>
      <c r="Z837" s="16"/>
      <c r="AA837" s="16"/>
      <c r="AB837" s="16"/>
      <c r="AC837" s="16"/>
      <c r="AD837" s="16"/>
      <c r="AE837" s="16"/>
      <c r="AF837" s="16" t="str">
        <f>IFERROR(__xludf.DUMMYFUNCTION("""COMPUTED_VALUE"""),"++Lizard Wizard's Corrosion Explosion!: Inflicts 5000XWisdom Poison on all enemies sp cost: 1000XWisdom sp. ++Lizard Wizard's Shiny: X5 to all Poison and Nature Damage ")</f>
        <v>++Lizard Wizard's Corrosion Explosion!: Inflicts 5000XWisdom Poison on all enemies sp cost: 1000XWisdom sp. ++Lizard Wizard's Shiny: X5 to all Poison and Nature Damage </v>
      </c>
      <c r="AG837" s="16" t="str">
        <f>IFERROR(__xludf.DUMMYFUNCTION("""COMPUTED_VALUE"""),"Dragonscale Island")</f>
        <v>Dragonscale Island</v>
      </c>
      <c r="AH837" s="16" t="b">
        <f>IFERROR(__xludf.DUMMYFUNCTION("""COMPUTED_VALUE"""),FALSE)</f>
        <v>0</v>
      </c>
    </row>
    <row r="838">
      <c r="A838" s="16" t="str">
        <f>IFERROR(__xludf.DUMMYFUNCTION("""COMPUTED_VALUE"""),"Lizard Wizard's Prized Ring")</f>
        <v>Lizard Wizard's Prized Ring</v>
      </c>
      <c r="B838" s="16" t="str">
        <f>IFERROR(__xludf.DUMMYFUNCTION("""COMPUTED_VALUE"""),"Finger")</f>
        <v>Finger</v>
      </c>
      <c r="C838" s="16" t="str">
        <f>IFERROR(__xludf.DUMMYFUNCTION("""COMPUTED_VALUE"""),"""The Most Prized shiny of all lizard wizard kind!"" ~Lizard Wizzard Gizzard")</f>
        <v>"The Most Prized shiny of all lizard wizard kind!" ~Lizard Wizzard Gizzard</v>
      </c>
      <c r="D838" s="16" t="str">
        <f>IFERROR(__xludf.DUMMYFUNCTION("""COMPUTED_VALUE"""),"Item")</f>
        <v>Item</v>
      </c>
      <c r="E838" s="16">
        <f>IFERROR(__xludf.DUMMYFUNCTION("""COMPUTED_VALUE"""),2000.0)</f>
        <v>2000</v>
      </c>
      <c r="F838" s="108">
        <f>IFERROR(__xludf.DUMMYFUNCTION("""COMPUTED_VALUE"""),1.99E8)</f>
        <v>199000000</v>
      </c>
      <c r="G838" s="16" t="str">
        <f>IFERROR(__xludf.DUMMYFUNCTION("""COMPUTED_VALUE"""),"DEF")</f>
        <v>DEF</v>
      </c>
      <c r="H838" s="16">
        <f>IFERROR(__xludf.DUMMYFUNCTION("""COMPUTED_VALUE"""),100000.0)</f>
        <v>100000</v>
      </c>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t="str">
        <f>IFERROR(__xludf.DUMMYFUNCTION("""COMPUTED_VALUE"""),"++X5 Poison and Nature damage, +5 Wisdom for every enemy poisoned.")</f>
        <v>++X5 Poison and Nature damage, +5 Wisdom for every enemy poisoned.</v>
      </c>
      <c r="AG838" s="16" t="str">
        <f>IFERROR(__xludf.DUMMYFUNCTION("""COMPUTED_VALUE"""),"Dragonscale Island")</f>
        <v>Dragonscale Island</v>
      </c>
      <c r="AH838" s="16" t="b">
        <f>IFERROR(__xludf.DUMMYFUNCTION("""COMPUTED_VALUE"""),FALSE)</f>
        <v>0</v>
      </c>
    </row>
    <row r="839">
      <c r="A839" s="16" t="str">
        <f>IFERROR(__xludf.DUMMYFUNCTION("""COMPUTED_VALUE"""),"Lizard Thief's Bandana")</f>
        <v>Lizard Thief's Bandana</v>
      </c>
      <c r="B839" s="16" t="str">
        <f>IFERROR(__xludf.DUMMYFUNCTION("""COMPUTED_VALUE"""),"Head")</f>
        <v>Head</v>
      </c>
      <c r="C839" s="16"/>
      <c r="D839" s="16" t="str">
        <f>IFERROR(__xludf.DUMMYFUNCTION("""COMPUTED_VALUE"""),"Item")</f>
        <v>Item</v>
      </c>
      <c r="E839" s="16">
        <f>IFERROR(__xludf.DUMMYFUNCTION("""COMPUTED_VALUE"""),2000.0)</f>
        <v>2000</v>
      </c>
      <c r="F839" s="108">
        <f>IFERROR(__xludf.DUMMYFUNCTION("""COMPUTED_VALUE"""),1.99E8)</f>
        <v>199000000</v>
      </c>
      <c r="G839" s="16" t="str">
        <f>IFERROR(__xludf.DUMMYFUNCTION("""COMPUTED_VALUE"""),"DEF")</f>
        <v>DEF</v>
      </c>
      <c r="H839" s="16">
        <f>IFERROR(__xludf.DUMMYFUNCTION("""COMPUTED_VALUE"""),100000.0)</f>
        <v>100000</v>
      </c>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t="str">
        <f>IFERROR(__xludf.DUMMYFUNCTION("""COMPUTED_VALUE"""),"++15000 ATK and ACC  ++X4 Knife Damage")</f>
        <v>++15000 ATK and ACC  ++X4 Knife Damage</v>
      </c>
      <c r="AG839" s="16" t="str">
        <f>IFERROR(__xludf.DUMMYFUNCTION("""COMPUTED_VALUE"""),"Dragonscale Island")</f>
        <v>Dragonscale Island</v>
      </c>
      <c r="AH839" s="16" t="b">
        <f>IFERROR(__xludf.DUMMYFUNCTION("""COMPUTED_VALUE"""),FALSE)</f>
        <v>0</v>
      </c>
    </row>
    <row r="840">
      <c r="A840" s="16" t="str">
        <f>IFERROR(__xludf.DUMMYFUNCTION("""COMPUTED_VALUE"""),"Lizard Thief's Leathers")</f>
        <v>Lizard Thief's Leathers</v>
      </c>
      <c r="B840" s="16" t="str">
        <f>IFERROR(__xludf.DUMMYFUNCTION("""COMPUTED_VALUE"""),"Torso")</f>
        <v>Torso</v>
      </c>
      <c r="C840" s="16"/>
      <c r="D840" s="16" t="str">
        <f>IFERROR(__xludf.DUMMYFUNCTION("""COMPUTED_VALUE"""),"Item")</f>
        <v>Item</v>
      </c>
      <c r="E840" s="16">
        <f>IFERROR(__xludf.DUMMYFUNCTION("""COMPUTED_VALUE"""),2000.0)</f>
        <v>2000</v>
      </c>
      <c r="F840" s="108">
        <f>IFERROR(__xludf.DUMMYFUNCTION("""COMPUTED_VALUE"""),1.99E8)</f>
        <v>199000000</v>
      </c>
      <c r="G840" s="16" t="str">
        <f>IFERROR(__xludf.DUMMYFUNCTION("""COMPUTED_VALUE"""),"DEF")</f>
        <v>DEF</v>
      </c>
      <c r="H840" s="16">
        <f>IFERROR(__xludf.DUMMYFUNCTION("""COMPUTED_VALUE"""),100000.0)</f>
        <v>100000</v>
      </c>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t="str">
        <f>IFERROR(__xludf.DUMMYFUNCTION("""COMPUTED_VALUE"""),"++15000 ATK and ACC ++X4 Knife Damage")</f>
        <v>++15000 ATK and ACC ++X4 Knife Damage</v>
      </c>
      <c r="AG840" s="16" t="str">
        <f>IFERROR(__xludf.DUMMYFUNCTION("""COMPUTED_VALUE"""),"Dragonscale Island")</f>
        <v>Dragonscale Island</v>
      </c>
      <c r="AH840" s="16" t="b">
        <f>IFERROR(__xludf.DUMMYFUNCTION("""COMPUTED_VALUE"""),FALSE)</f>
        <v>0</v>
      </c>
    </row>
    <row r="841">
      <c r="A841" s="16" t="str">
        <f>IFERROR(__xludf.DUMMYFUNCTION("""COMPUTED_VALUE"""),"Lizard Thief's Pants")</f>
        <v>Lizard Thief's Pants</v>
      </c>
      <c r="B841" s="16" t="str">
        <f>IFERROR(__xludf.DUMMYFUNCTION("""COMPUTED_VALUE"""),"Legs")</f>
        <v>Legs</v>
      </c>
      <c r="C841" s="16"/>
      <c r="D841" s="16" t="str">
        <f>IFERROR(__xludf.DUMMYFUNCTION("""COMPUTED_VALUE"""),"Item")</f>
        <v>Item</v>
      </c>
      <c r="E841" s="16">
        <f>IFERROR(__xludf.DUMMYFUNCTION("""COMPUTED_VALUE"""),2000.0)</f>
        <v>2000</v>
      </c>
      <c r="F841" s="108">
        <f>IFERROR(__xludf.DUMMYFUNCTION("""COMPUTED_VALUE"""),1.99E8)</f>
        <v>199000000</v>
      </c>
      <c r="G841" s="16" t="str">
        <f>IFERROR(__xludf.DUMMYFUNCTION("""COMPUTED_VALUE"""),"DEF")</f>
        <v>DEF</v>
      </c>
      <c r="H841" s="16">
        <f>IFERROR(__xludf.DUMMYFUNCTION("""COMPUTED_VALUE"""),100000.0)</f>
        <v>100000</v>
      </c>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t="str">
        <f>IFERROR(__xludf.DUMMYFUNCTION("""COMPUTED_VALUE"""),"++15000 ATK and ACC ++X4 Knife Damage")</f>
        <v>++15000 ATK and ACC ++X4 Knife Damage</v>
      </c>
      <c r="AG841" s="16" t="str">
        <f>IFERROR(__xludf.DUMMYFUNCTION("""COMPUTED_VALUE"""),"Dragonscale Island")</f>
        <v>Dragonscale Island</v>
      </c>
      <c r="AH841" s="16" t="b">
        <f>IFERROR(__xludf.DUMMYFUNCTION("""COMPUTED_VALUE"""),FALSE)</f>
        <v>0</v>
      </c>
    </row>
    <row r="842">
      <c r="A842" s="16" t="str">
        <f>IFERROR(__xludf.DUMMYFUNCTION("""COMPUTED_VALUE"""),"Lizard Thief's Boots")</f>
        <v>Lizard Thief's Boots</v>
      </c>
      <c r="B842" s="16" t="str">
        <f>IFERROR(__xludf.DUMMYFUNCTION("""COMPUTED_VALUE"""),"Feet")</f>
        <v>Feet</v>
      </c>
      <c r="C842" s="16"/>
      <c r="D842" s="16" t="str">
        <f>IFERROR(__xludf.DUMMYFUNCTION("""COMPUTED_VALUE"""),"Item")</f>
        <v>Item</v>
      </c>
      <c r="E842" s="16">
        <f>IFERROR(__xludf.DUMMYFUNCTION("""COMPUTED_VALUE"""),2000.0)</f>
        <v>2000</v>
      </c>
      <c r="F842" s="108">
        <f>IFERROR(__xludf.DUMMYFUNCTION("""COMPUTED_VALUE"""),1.99E8)</f>
        <v>199000000</v>
      </c>
      <c r="G842" s="16" t="str">
        <f>IFERROR(__xludf.DUMMYFUNCTION("""COMPUTED_VALUE"""),"DEF")</f>
        <v>DEF</v>
      </c>
      <c r="H842" s="16">
        <f>IFERROR(__xludf.DUMMYFUNCTION("""COMPUTED_VALUE"""),100000.0)</f>
        <v>100000</v>
      </c>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t="str">
        <f>IFERROR(__xludf.DUMMYFUNCTION("""COMPUTED_VALUE"""),"++15000 ATK and ACC ++X4 Knife Damage")</f>
        <v>++15000 ATK and ACC ++X4 Knife Damage</v>
      </c>
      <c r="AG842" s="16" t="str">
        <f>IFERROR(__xludf.DUMMYFUNCTION("""COMPUTED_VALUE"""),"Dragonscale Island")</f>
        <v>Dragonscale Island</v>
      </c>
      <c r="AH842" s="16" t="b">
        <f>IFERROR(__xludf.DUMMYFUNCTION("""COMPUTED_VALUE"""),FALSE)</f>
        <v>0</v>
      </c>
    </row>
    <row r="843">
      <c r="A843" s="16" t="str">
        <f>IFERROR(__xludf.DUMMYFUNCTION("""COMPUTED_VALUE"""),"Lizard Thief's Shiny Swiper")</f>
        <v>Lizard Thief's Shiny Swiper</v>
      </c>
      <c r="B843" s="16" t="str">
        <f>IFERROR(__xludf.DUMMYFUNCTION("""COMPUTED_VALUE"""),"Hand")</f>
        <v>Hand</v>
      </c>
      <c r="C843" s="16"/>
      <c r="D843" s="16" t="str">
        <f>IFERROR(__xludf.DUMMYFUNCTION("""COMPUTED_VALUE"""),"Knife")</f>
        <v>Knife</v>
      </c>
      <c r="E843" s="16">
        <f>IFERROR(__xludf.DUMMYFUNCTION("""COMPUTED_VALUE"""),3000.0)</f>
        <v>3000</v>
      </c>
      <c r="F843" s="108">
        <f>IFERROR(__xludf.DUMMYFUNCTION("""COMPUTED_VALUE"""),4.485E8)</f>
        <v>448500000</v>
      </c>
      <c r="G843" s="16" t="str">
        <f>IFERROR(__xludf.DUMMYFUNCTION("""COMPUTED_VALUE"""),"DMG")</f>
        <v>DMG</v>
      </c>
      <c r="H843" s="16">
        <f>IFERROR(__xludf.DUMMYFUNCTION("""COMPUTED_VALUE"""),150000.0)</f>
        <v>150000</v>
      </c>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t="str">
        <f>IFERROR(__xludf.DUMMYFUNCTION("""COMPUTED_VALUE"""),"++Shiny Snatchery - +5 to all rolls when stealing an item. ++If the wearer successfully steals an item from an enemy +5 mobility for the next 3 rounds. +-effects do not stack")</f>
        <v>++Shiny Snatchery - +5 to all rolls when stealing an item. ++If the wearer successfully steals an item from an enemy +5 mobility for the next 3 rounds. +-effects do not stack</v>
      </c>
      <c r="AG843" s="16" t="str">
        <f>IFERROR(__xludf.DUMMYFUNCTION("""COMPUTED_VALUE"""),"Dragonscale Island")</f>
        <v>Dragonscale Island</v>
      </c>
      <c r="AH843" s="16" t="b">
        <f>IFERROR(__xludf.DUMMYFUNCTION("""COMPUTED_VALUE"""),FALSE)</f>
        <v>0</v>
      </c>
    </row>
    <row r="844">
      <c r="A844" s="16" t="str">
        <f>IFERROR(__xludf.DUMMYFUNCTION("""COMPUTED_VALUE"""),"Wyrmstone Club")</f>
        <v>Wyrmstone Club</v>
      </c>
      <c r="B844" s="16" t="str">
        <f>IFERROR(__xludf.DUMMYFUNCTION("""COMPUTED_VALUE"""),"Hand")</f>
        <v>Hand</v>
      </c>
      <c r="C844" s="16"/>
      <c r="D844" s="16" t="str">
        <f>IFERROR(__xludf.DUMMYFUNCTION("""COMPUTED_VALUE"""),"Club")</f>
        <v>Club</v>
      </c>
      <c r="E844" s="16">
        <f>IFERROR(__xludf.DUMMYFUNCTION("""COMPUTED_VALUE"""),2000.0)</f>
        <v>2000</v>
      </c>
      <c r="F844" s="108">
        <f>IFERROR(__xludf.DUMMYFUNCTION("""COMPUTED_VALUE"""),1.99E8)</f>
        <v>199000000</v>
      </c>
      <c r="G844" s="16" t="str">
        <f>IFERROR(__xludf.DUMMYFUNCTION("""COMPUTED_VALUE"""),"DMG")</f>
        <v>DMG</v>
      </c>
      <c r="H844" s="16">
        <f>IFERROR(__xludf.DUMMYFUNCTION("""COMPUTED_VALUE"""),100000.0)</f>
        <v>100000</v>
      </c>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t="str">
        <f>IFERROR(__xludf.DUMMYFUNCTION("""COMPUTED_VALUE"""),"+- Half damage against dragons")</f>
        <v>+- Half damage against dragons</v>
      </c>
      <c r="AG844" s="16" t="str">
        <f>IFERROR(__xludf.DUMMYFUNCTION("""COMPUTED_VALUE"""),"Dragonscale Island")</f>
        <v>Dragonscale Island</v>
      </c>
      <c r="AH844" s="16" t="b">
        <f>IFERROR(__xludf.DUMMYFUNCTION("""COMPUTED_VALUE"""),FALSE)</f>
        <v>0</v>
      </c>
    </row>
    <row r="845">
      <c r="A845" s="16" t="str">
        <f>IFERROR(__xludf.DUMMYFUNCTION("""COMPUTED_VALUE"""),"Wyrmstone Mail")</f>
        <v>Wyrmstone Mail</v>
      </c>
      <c r="B845" s="16" t="str">
        <f>IFERROR(__xludf.DUMMYFUNCTION("""COMPUTED_VALUE"""),"Torso")</f>
        <v>Torso</v>
      </c>
      <c r="C845" s="16"/>
      <c r="D845" s="16" t="str">
        <f>IFERROR(__xludf.DUMMYFUNCTION("""COMPUTED_VALUE"""),"Item")</f>
        <v>Item</v>
      </c>
      <c r="E845" s="16">
        <f>IFERROR(__xludf.DUMMYFUNCTION("""COMPUTED_VALUE"""),2800.0)</f>
        <v>2800</v>
      </c>
      <c r="F845" s="108">
        <f>IFERROR(__xludf.DUMMYFUNCTION("""COMPUTED_VALUE"""),3.906E8)</f>
        <v>390600000</v>
      </c>
      <c r="G845" s="16" t="str">
        <f>IFERROR(__xludf.DUMMYFUNCTION("""COMPUTED_VALUE"""),"DEF")</f>
        <v>DEF</v>
      </c>
      <c r="H845" s="16">
        <f>IFERROR(__xludf.DUMMYFUNCTION("""COMPUTED_VALUE"""),140000.0)</f>
        <v>140000</v>
      </c>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t="str">
        <f>IFERROR(__xludf.DUMMYFUNCTION("""COMPUTED_VALUE"""),"++Half damage received from dragons +-Cannot be forged or duplicated")</f>
        <v>++Half damage received from dragons +-Cannot be forged or duplicated</v>
      </c>
      <c r="AG845" s="16" t="str">
        <f>IFERROR(__xludf.DUMMYFUNCTION("""COMPUTED_VALUE"""),"Dragonscale Island")</f>
        <v>Dragonscale Island</v>
      </c>
      <c r="AH845" s="16" t="b">
        <f>IFERROR(__xludf.DUMMYFUNCTION("""COMPUTED_VALUE"""),FALSE)</f>
        <v>0</v>
      </c>
    </row>
    <row r="846">
      <c r="A846" s="16" t="str">
        <f>IFERROR(__xludf.DUMMYFUNCTION("""COMPUTED_VALUE"""),"Wyrmstone Helm")</f>
        <v>Wyrmstone Helm</v>
      </c>
      <c r="B846" s="16" t="str">
        <f>IFERROR(__xludf.DUMMYFUNCTION("""COMPUTED_VALUE"""),"Head")</f>
        <v>Head</v>
      </c>
      <c r="C846" s="16"/>
      <c r="D846" s="16" t="str">
        <f>IFERROR(__xludf.DUMMYFUNCTION("""COMPUTED_VALUE"""),"Item")</f>
        <v>Item</v>
      </c>
      <c r="E846" s="16">
        <f>IFERROR(__xludf.DUMMYFUNCTION("""COMPUTED_VALUE"""),2400.0)</f>
        <v>2400</v>
      </c>
      <c r="F846" s="108">
        <f>IFERROR(__xludf.DUMMYFUNCTION("""COMPUTED_VALUE"""),2.868E8)</f>
        <v>286800000</v>
      </c>
      <c r="G846" s="16" t="str">
        <f>IFERROR(__xludf.DUMMYFUNCTION("""COMPUTED_VALUE"""),"DEF")</f>
        <v>DEF</v>
      </c>
      <c r="H846" s="16">
        <f>IFERROR(__xludf.DUMMYFUNCTION("""COMPUTED_VALUE"""),120000.0)</f>
        <v>120000</v>
      </c>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t="str">
        <f>IFERROR(__xludf.DUMMYFUNCTION("""COMPUTED_VALUE"""),"+-Cannot be forged or duplicated")</f>
        <v>+-Cannot be forged or duplicated</v>
      </c>
      <c r="AG846" s="16" t="str">
        <f>IFERROR(__xludf.DUMMYFUNCTION("""COMPUTED_VALUE"""),"Dragonscale Island")</f>
        <v>Dragonscale Island</v>
      </c>
      <c r="AH846" s="16" t="b">
        <f>IFERROR(__xludf.DUMMYFUNCTION("""COMPUTED_VALUE"""),FALSE)</f>
        <v>0</v>
      </c>
    </row>
    <row r="847">
      <c r="A847" s="16" t="str">
        <f>IFERROR(__xludf.DUMMYFUNCTION("""COMPUTED_VALUE"""),"Wyrmstone Buckler")</f>
        <v>Wyrmstone Buckler</v>
      </c>
      <c r="B847" s="16" t="str">
        <f>IFERROR(__xludf.DUMMYFUNCTION("""COMPUTED_VALUE"""),"Hand")</f>
        <v>Hand</v>
      </c>
      <c r="C847" s="16"/>
      <c r="D847" s="16" t="str">
        <f>IFERROR(__xludf.DUMMYFUNCTION("""COMPUTED_VALUE"""),"Buckler")</f>
        <v>Buckler</v>
      </c>
      <c r="E847" s="16">
        <f>IFERROR(__xludf.DUMMYFUNCTION("""COMPUTED_VALUE"""),3000.0)</f>
        <v>3000</v>
      </c>
      <c r="F847" s="108">
        <f>IFERROR(__xludf.DUMMYFUNCTION("""COMPUTED_VALUE"""),4.485E8)</f>
        <v>448500000</v>
      </c>
      <c r="G847" s="16" t="str">
        <f>IFERROR(__xludf.DUMMYFUNCTION("""COMPUTED_VALUE"""),"DEF")</f>
        <v>DEF</v>
      </c>
      <c r="H847" s="16">
        <f>IFERROR(__xludf.DUMMYFUNCTION("""COMPUTED_VALUE"""),150000.0)</f>
        <v>150000</v>
      </c>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t="str">
        <f>IFERROR(__xludf.DUMMYFUNCTION("""COMPUTED_VALUE"""),"++25% chance to parry dragons' attacks +-Cannot be forged or duplicated")</f>
        <v>++25% chance to parry dragons' attacks +-Cannot be forged or duplicated</v>
      </c>
      <c r="AG847" s="16" t="str">
        <f>IFERROR(__xludf.DUMMYFUNCTION("""COMPUTED_VALUE"""),"Dragonscale Island")</f>
        <v>Dragonscale Island</v>
      </c>
      <c r="AH847" s="16" t="b">
        <f>IFERROR(__xludf.DUMMYFUNCTION("""COMPUTED_VALUE"""),FALSE)</f>
        <v>0</v>
      </c>
    </row>
    <row r="848">
      <c r="A848" s="16" t="str">
        <f>IFERROR(__xludf.DUMMYFUNCTION("""COMPUTED_VALUE"""),"Wyrmstone Gauntlet")</f>
        <v>Wyrmstone Gauntlet</v>
      </c>
      <c r="B848" s="16" t="str">
        <f>IFERROR(__xludf.DUMMYFUNCTION("""COMPUTED_VALUE"""),"Hand")</f>
        <v>Hand</v>
      </c>
      <c r="C848" s="16"/>
      <c r="D848" s="16" t="str">
        <f>IFERROR(__xludf.DUMMYFUNCTION("""COMPUTED_VALUE"""),"Gauntlet")</f>
        <v>Gauntlet</v>
      </c>
      <c r="E848" s="16">
        <f>IFERROR(__xludf.DUMMYFUNCTION("""COMPUTED_VALUE"""),3000.0)</f>
        <v>3000</v>
      </c>
      <c r="F848" s="108">
        <f>IFERROR(__xludf.DUMMYFUNCTION("""COMPUTED_VALUE"""),4.485E8)</f>
        <v>448500000</v>
      </c>
      <c r="G848" s="16" t="str">
        <f>IFERROR(__xludf.DUMMYFUNCTION("""COMPUTED_VALUE"""),"DEF")</f>
        <v>DEF</v>
      </c>
      <c r="H848" s="16">
        <f>IFERROR(__xludf.DUMMYFUNCTION("""COMPUTED_VALUE"""),125000.0)</f>
        <v>125000</v>
      </c>
      <c r="I848" s="16"/>
      <c r="J848" s="16"/>
      <c r="K848" s="16"/>
      <c r="L848" s="16"/>
      <c r="M848" s="16"/>
      <c r="N848" s="16">
        <f>IFERROR(__xludf.DUMMYFUNCTION("""COMPUTED_VALUE"""),25000.0)</f>
        <v>25000</v>
      </c>
      <c r="O848" s="16"/>
      <c r="P848" s="16"/>
      <c r="Q848" s="16"/>
      <c r="R848" s="16"/>
      <c r="S848" s="16"/>
      <c r="T848" s="16"/>
      <c r="U848" s="16"/>
      <c r="V848" s="16"/>
      <c r="W848" s="16"/>
      <c r="X848" s="16"/>
      <c r="Y848" s="16"/>
      <c r="Z848" s="16"/>
      <c r="AA848" s="16"/>
      <c r="AB848" s="16"/>
      <c r="AC848" s="16"/>
      <c r="AD848" s="16"/>
      <c r="AE848" s="16"/>
      <c r="AF848" s="16"/>
      <c r="AG848" s="16" t="str">
        <f>IFERROR(__xludf.DUMMYFUNCTION("""COMPUTED_VALUE"""),"Dragonscale Island")</f>
        <v>Dragonscale Island</v>
      </c>
      <c r="AH848" s="16" t="b">
        <f>IFERROR(__xludf.DUMMYFUNCTION("""COMPUTED_VALUE"""),FALSE)</f>
        <v>0</v>
      </c>
    </row>
    <row r="849">
      <c r="A849" s="16" t="str">
        <f>IFERROR(__xludf.DUMMYFUNCTION("""COMPUTED_VALUE"""),"Wyrmstone Leggings")</f>
        <v>Wyrmstone Leggings</v>
      </c>
      <c r="B849" s="16" t="str">
        <f>IFERROR(__xludf.DUMMYFUNCTION("""COMPUTED_VALUE"""),"Legs")</f>
        <v>Legs</v>
      </c>
      <c r="C849" s="16"/>
      <c r="D849" s="16" t="str">
        <f>IFERROR(__xludf.DUMMYFUNCTION("""COMPUTED_VALUE"""),"Item")</f>
        <v>Item</v>
      </c>
      <c r="E849" s="16">
        <f>IFERROR(__xludf.DUMMYFUNCTION("""COMPUTED_VALUE"""),2000.0)</f>
        <v>2000</v>
      </c>
      <c r="F849" s="108">
        <f>IFERROR(__xludf.DUMMYFUNCTION("""COMPUTED_VALUE"""),1.99E8)</f>
        <v>199000000</v>
      </c>
      <c r="G849" s="16" t="str">
        <f>IFERROR(__xludf.DUMMYFUNCTION("""COMPUTED_VALUE"""),"DEF")</f>
        <v>DEF</v>
      </c>
      <c r="H849" s="16">
        <f>IFERROR(__xludf.DUMMYFUNCTION("""COMPUTED_VALUE"""),100000.0)</f>
        <v>100000</v>
      </c>
      <c r="I849" s="16"/>
      <c r="J849" s="16"/>
      <c r="K849" s="16"/>
      <c r="L849" s="16"/>
      <c r="M849" s="16"/>
      <c r="N849" s="16"/>
      <c r="O849" s="16"/>
      <c r="P849" s="16"/>
      <c r="Q849" s="16"/>
      <c r="R849" s="16"/>
      <c r="S849" s="16"/>
      <c r="T849" s="16"/>
      <c r="U849" s="16"/>
      <c r="V849" s="16"/>
      <c r="W849" s="16"/>
      <c r="X849" s="16"/>
      <c r="Y849" s="16"/>
      <c r="Z849" s="16"/>
      <c r="AA849" s="16"/>
      <c r="AB849" s="16"/>
      <c r="AC849" s="16"/>
      <c r="AD849" s="16"/>
      <c r="AE849" s="16"/>
      <c r="AF849" s="16"/>
      <c r="AG849" s="16" t="str">
        <f>IFERROR(__xludf.DUMMYFUNCTION("""COMPUTED_VALUE"""),"Dragonscale Island")</f>
        <v>Dragonscale Island</v>
      </c>
      <c r="AH849" s="16" t="b">
        <f>IFERROR(__xludf.DUMMYFUNCTION("""COMPUTED_VALUE"""),FALSE)</f>
        <v>0</v>
      </c>
    </row>
    <row r="850">
      <c r="A850" s="16" t="str">
        <f>IFERROR(__xludf.DUMMYFUNCTION("""COMPUTED_VALUE"""),"Wyrmstone Lance")</f>
        <v>Wyrmstone Lance</v>
      </c>
      <c r="B850" s="16" t="str">
        <f>IFERROR(__xludf.DUMMYFUNCTION("""COMPUTED_VALUE"""),"Hand")</f>
        <v>Hand</v>
      </c>
      <c r="C850" s="16"/>
      <c r="D850" s="16" t="str">
        <f>IFERROR(__xludf.DUMMYFUNCTION("""COMPUTED_VALUE"""),"Spear")</f>
        <v>Spear</v>
      </c>
      <c r="E850" s="16">
        <f>IFERROR(__xludf.DUMMYFUNCTION("""COMPUTED_VALUE"""),2000.0)</f>
        <v>2000</v>
      </c>
      <c r="F850" s="108">
        <f>IFERROR(__xludf.DUMMYFUNCTION("""COMPUTED_VALUE"""),1.99E8)</f>
        <v>199000000</v>
      </c>
      <c r="G850" s="16" t="str">
        <f>IFERROR(__xludf.DUMMYFUNCTION("""COMPUTED_VALUE"""),"DMG")</f>
        <v>DMG</v>
      </c>
      <c r="H850" s="16">
        <f>IFERROR(__xludf.DUMMYFUNCTION("""COMPUTED_VALUE"""),100000.0)</f>
        <v>100000</v>
      </c>
      <c r="I850" s="16"/>
      <c r="J850" s="16"/>
      <c r="K850" s="16"/>
      <c r="L850" s="16"/>
      <c r="M850" s="16"/>
      <c r="N850" s="16"/>
      <c r="O850" s="16"/>
      <c r="P850" s="16"/>
      <c r="Q850" s="16"/>
      <c r="R850" s="16"/>
      <c r="S850" s="16"/>
      <c r="T850" s="16"/>
      <c r="U850" s="16"/>
      <c r="V850" s="16"/>
      <c r="W850" s="16"/>
      <c r="X850" s="16"/>
      <c r="Y850" s="16"/>
      <c r="Z850" s="16"/>
      <c r="AA850" s="16"/>
      <c r="AB850" s="16"/>
      <c r="AC850" s="16"/>
      <c r="AD850" s="16"/>
      <c r="AE850" s="16"/>
      <c r="AF850" s="16" t="str">
        <f>IFERROR(__xludf.DUMMYFUNCTION("""COMPUTED_VALUE"""),"++Damage doubles if used two turns in a row +-Cannot be forged or duplicated")</f>
        <v>++Damage doubles if used two turns in a row +-Cannot be forged or duplicated</v>
      </c>
      <c r="AG850" s="16" t="str">
        <f>IFERROR(__xludf.DUMMYFUNCTION("""COMPUTED_VALUE"""),"Dragonscale Island")</f>
        <v>Dragonscale Island</v>
      </c>
      <c r="AH850" s="16" t="b">
        <f>IFERROR(__xludf.DUMMYFUNCTION("""COMPUTED_VALUE"""),FALSE)</f>
        <v>0</v>
      </c>
    </row>
    <row r="851">
      <c r="A851" s="16" t="str">
        <f>IFERROR(__xludf.DUMMYFUNCTION("""COMPUTED_VALUE"""),"Wyrmstone Nails")</f>
        <v>Wyrmstone Nails</v>
      </c>
      <c r="B851" s="16" t="str">
        <f>IFERROR(__xludf.DUMMYFUNCTION("""COMPUTED_VALUE"""),"Hand")</f>
        <v>Hand</v>
      </c>
      <c r="C851" s="16"/>
      <c r="D851" s="16" t="str">
        <f>IFERROR(__xludf.DUMMYFUNCTION("""COMPUTED_VALUE"""),"Claw")</f>
        <v>Claw</v>
      </c>
      <c r="E851" s="16">
        <f>IFERROR(__xludf.DUMMYFUNCTION("""COMPUTED_VALUE"""),2600.0)</f>
        <v>2600</v>
      </c>
      <c r="F851" s="108">
        <f>IFERROR(__xludf.DUMMYFUNCTION("""COMPUTED_VALUE"""),3.367E8)</f>
        <v>336700000</v>
      </c>
      <c r="G851" s="16" t="str">
        <f>IFERROR(__xludf.DUMMYFUNCTION("""COMPUTED_VALUE"""),"DMG")</f>
        <v>DMG</v>
      </c>
      <c r="H851" s="16">
        <f>IFERROR(__xludf.DUMMYFUNCTION("""COMPUTED_VALUE"""),130000.0)</f>
        <v>130000</v>
      </c>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t="str">
        <f>IFERROR(__xludf.DUMMYFUNCTION("""COMPUTED_VALUE"""),"Dragonscale Island")</f>
        <v>Dragonscale Island</v>
      </c>
      <c r="AH851" s="16" t="b">
        <f>IFERROR(__xludf.DUMMYFUNCTION("""COMPUTED_VALUE"""),FALSE)</f>
        <v>0</v>
      </c>
    </row>
    <row r="852">
      <c r="A852" s="16" t="str">
        <f>IFERROR(__xludf.DUMMYFUNCTION("""COMPUTED_VALUE"""),"Lizard Warrior's Scale Helm")</f>
        <v>Lizard Warrior's Scale Helm</v>
      </c>
      <c r="B852" s="16" t="str">
        <f>IFERROR(__xludf.DUMMYFUNCTION("""COMPUTED_VALUE"""),"Head")</f>
        <v>Head</v>
      </c>
      <c r="C852" s="16"/>
      <c r="D852" s="16" t="str">
        <f>IFERROR(__xludf.DUMMYFUNCTION("""COMPUTED_VALUE"""),"Item")</f>
        <v>Item</v>
      </c>
      <c r="E852" s="16">
        <f>IFERROR(__xludf.DUMMYFUNCTION("""COMPUTED_VALUE"""),3000.0)</f>
        <v>3000</v>
      </c>
      <c r="F852" s="108">
        <f>IFERROR(__xludf.DUMMYFUNCTION("""COMPUTED_VALUE"""),4.485E8)</f>
        <v>448500000</v>
      </c>
      <c r="G852" s="16" t="str">
        <f>IFERROR(__xludf.DUMMYFUNCTION("""COMPUTED_VALUE"""),"DEF")</f>
        <v>DEF</v>
      </c>
      <c r="H852" s="16">
        <f>IFERROR(__xludf.DUMMYFUNCTION("""COMPUTED_VALUE"""),100000.0)</f>
        <v>100000</v>
      </c>
      <c r="I852" s="16"/>
      <c r="J852" s="16"/>
      <c r="K852" s="16"/>
      <c r="L852" s="16"/>
      <c r="M852" s="16"/>
      <c r="N852" s="16"/>
      <c r="O852" s="16"/>
      <c r="P852" s="16"/>
      <c r="Q852" s="16"/>
      <c r="R852" s="16"/>
      <c r="S852" s="16">
        <f>IFERROR(__xludf.DUMMYFUNCTION("""COMPUTED_VALUE"""),50000.0)</f>
        <v>50000</v>
      </c>
      <c r="T852" s="16"/>
      <c r="U852" s="16"/>
      <c r="V852" s="16"/>
      <c r="W852" s="16"/>
      <c r="X852" s="16"/>
      <c r="Y852" s="16"/>
      <c r="Z852" s="16"/>
      <c r="AA852" s="16"/>
      <c r="AB852" s="16"/>
      <c r="AC852" s="16"/>
      <c r="AD852" s="16"/>
      <c r="AE852" s="16"/>
      <c r="AF852" s="16"/>
      <c r="AG852" s="16" t="str">
        <f>IFERROR(__xludf.DUMMYFUNCTION("""COMPUTED_VALUE"""),"Dragonscale Island")</f>
        <v>Dragonscale Island</v>
      </c>
      <c r="AH852" s="16" t="b">
        <f>IFERROR(__xludf.DUMMYFUNCTION("""COMPUTED_VALUE"""),FALSE)</f>
        <v>0</v>
      </c>
    </row>
    <row r="853">
      <c r="A853" s="16" t="str">
        <f>IFERROR(__xludf.DUMMYFUNCTION("""COMPUTED_VALUE"""),"Lizard Warrior's Scaled Pauldrons")</f>
        <v>Lizard Warrior's Scaled Pauldrons</v>
      </c>
      <c r="B853" s="16" t="str">
        <f>IFERROR(__xludf.DUMMYFUNCTION("""COMPUTED_VALUE"""),"Shoulders")</f>
        <v>Shoulders</v>
      </c>
      <c r="C853" s="16"/>
      <c r="D853" s="16" t="str">
        <f>IFERROR(__xludf.DUMMYFUNCTION("""COMPUTED_VALUE"""),"Item")</f>
        <v>Item</v>
      </c>
      <c r="E853" s="16">
        <f>IFERROR(__xludf.DUMMYFUNCTION("""COMPUTED_VALUE"""),3000.0)</f>
        <v>3000</v>
      </c>
      <c r="F853" s="108">
        <f>IFERROR(__xludf.DUMMYFUNCTION("""COMPUTED_VALUE"""),4.485E8)</f>
        <v>448500000</v>
      </c>
      <c r="G853" s="16" t="str">
        <f>IFERROR(__xludf.DUMMYFUNCTION("""COMPUTED_VALUE"""),"DEF")</f>
        <v>DEF</v>
      </c>
      <c r="H853" s="16">
        <f>IFERROR(__xludf.DUMMYFUNCTION("""COMPUTED_VALUE"""),100000.0)</f>
        <v>100000</v>
      </c>
      <c r="I853" s="16"/>
      <c r="J853" s="16"/>
      <c r="K853" s="16"/>
      <c r="L853" s="16"/>
      <c r="M853" s="16"/>
      <c r="N853" s="16"/>
      <c r="O853" s="16"/>
      <c r="P853" s="16"/>
      <c r="Q853" s="16"/>
      <c r="R853" s="16"/>
      <c r="S853" s="16">
        <f>IFERROR(__xludf.DUMMYFUNCTION("""COMPUTED_VALUE"""),50000.0)</f>
        <v>50000</v>
      </c>
      <c r="T853" s="16"/>
      <c r="U853" s="16"/>
      <c r="V853" s="16"/>
      <c r="W853" s="16"/>
      <c r="X853" s="16"/>
      <c r="Y853" s="16"/>
      <c r="Z853" s="16"/>
      <c r="AA853" s="16"/>
      <c r="AB853" s="16"/>
      <c r="AC853" s="16"/>
      <c r="AD853" s="16"/>
      <c r="AE853" s="16"/>
      <c r="AF853" s="16"/>
      <c r="AG853" s="16" t="str">
        <f>IFERROR(__xludf.DUMMYFUNCTION("""COMPUTED_VALUE"""),"Dragonscale Island")</f>
        <v>Dragonscale Island</v>
      </c>
      <c r="AH853" s="16" t="b">
        <f>IFERROR(__xludf.DUMMYFUNCTION("""COMPUTED_VALUE"""),FALSE)</f>
        <v>0</v>
      </c>
    </row>
    <row r="854">
      <c r="A854" s="16" t="str">
        <f>IFERROR(__xludf.DUMMYFUNCTION("""COMPUTED_VALUE"""),"Lizard Warrior's Scaled Chest")</f>
        <v>Lizard Warrior's Scaled Chest</v>
      </c>
      <c r="B854" s="16" t="str">
        <f>IFERROR(__xludf.DUMMYFUNCTION("""COMPUTED_VALUE"""),"Torso")</f>
        <v>Torso</v>
      </c>
      <c r="C854" s="16"/>
      <c r="D854" s="16" t="str">
        <f>IFERROR(__xludf.DUMMYFUNCTION("""COMPUTED_VALUE"""),"Item")</f>
        <v>Item</v>
      </c>
      <c r="E854" s="16">
        <f>IFERROR(__xludf.DUMMYFUNCTION("""COMPUTED_VALUE"""),3000.0)</f>
        <v>3000</v>
      </c>
      <c r="F854" s="108">
        <f>IFERROR(__xludf.DUMMYFUNCTION("""COMPUTED_VALUE"""),4.485E8)</f>
        <v>448500000</v>
      </c>
      <c r="G854" s="16" t="str">
        <f>IFERROR(__xludf.DUMMYFUNCTION("""COMPUTED_VALUE"""),"DEF")</f>
        <v>DEF</v>
      </c>
      <c r="H854" s="16">
        <f>IFERROR(__xludf.DUMMYFUNCTION("""COMPUTED_VALUE"""),100000.0)</f>
        <v>100000</v>
      </c>
      <c r="I854" s="16"/>
      <c r="J854" s="16"/>
      <c r="K854" s="16"/>
      <c r="L854" s="16"/>
      <c r="M854" s="16"/>
      <c r="N854" s="16"/>
      <c r="O854" s="16"/>
      <c r="P854" s="16"/>
      <c r="Q854" s="16"/>
      <c r="R854" s="16"/>
      <c r="S854" s="16">
        <f>IFERROR(__xludf.DUMMYFUNCTION("""COMPUTED_VALUE"""),50000.0)</f>
        <v>50000</v>
      </c>
      <c r="T854" s="16"/>
      <c r="U854" s="16"/>
      <c r="V854" s="16"/>
      <c r="W854" s="16"/>
      <c r="X854" s="16"/>
      <c r="Y854" s="16"/>
      <c r="Z854" s="16"/>
      <c r="AA854" s="16"/>
      <c r="AB854" s="16"/>
      <c r="AC854" s="16"/>
      <c r="AD854" s="16"/>
      <c r="AE854" s="16"/>
      <c r="AF854" s="16" t="str">
        <f>IFERROR(__xludf.DUMMYFUNCTION("""COMPUTED_VALUE"""),"++When the wearer is attacked, the one that attacked them takes 15000 poison for 3 rounds")</f>
        <v>++When the wearer is attacked, the one that attacked them takes 15000 poison for 3 rounds</v>
      </c>
      <c r="AG854" s="16" t="str">
        <f>IFERROR(__xludf.DUMMYFUNCTION("""COMPUTED_VALUE"""),"Dragonscale Island")</f>
        <v>Dragonscale Island</v>
      </c>
      <c r="AH854" s="16" t="b">
        <f>IFERROR(__xludf.DUMMYFUNCTION("""COMPUTED_VALUE"""),FALSE)</f>
        <v>0</v>
      </c>
    </row>
    <row r="855">
      <c r="A855" s="16" t="str">
        <f>IFERROR(__xludf.DUMMYFUNCTION("""COMPUTED_VALUE"""),"Lizard Warrior's Scaled Arms")</f>
        <v>Lizard Warrior's Scaled Arms</v>
      </c>
      <c r="B855" s="16" t="str">
        <f>IFERROR(__xludf.DUMMYFUNCTION("""COMPUTED_VALUE"""),"Arms")</f>
        <v>Arms</v>
      </c>
      <c r="C855" s="16"/>
      <c r="D855" s="16" t="str">
        <f>IFERROR(__xludf.DUMMYFUNCTION("""COMPUTED_VALUE"""),"Item")</f>
        <v>Item</v>
      </c>
      <c r="E855" s="16">
        <f>IFERROR(__xludf.DUMMYFUNCTION("""COMPUTED_VALUE"""),3000.0)</f>
        <v>3000</v>
      </c>
      <c r="F855" s="108">
        <f>IFERROR(__xludf.DUMMYFUNCTION("""COMPUTED_VALUE"""),4.485E8)</f>
        <v>448500000</v>
      </c>
      <c r="G855" s="16" t="str">
        <f>IFERROR(__xludf.DUMMYFUNCTION("""COMPUTED_VALUE"""),"DEF")</f>
        <v>DEF</v>
      </c>
      <c r="H855" s="16">
        <f>IFERROR(__xludf.DUMMYFUNCTION("""COMPUTED_VALUE"""),100000.0)</f>
        <v>100000</v>
      </c>
      <c r="I855" s="16"/>
      <c r="J855" s="16"/>
      <c r="K855" s="16"/>
      <c r="L855" s="16"/>
      <c r="M855" s="16"/>
      <c r="N855" s="16"/>
      <c r="O855" s="16"/>
      <c r="P855" s="16"/>
      <c r="Q855" s="16"/>
      <c r="R855" s="16"/>
      <c r="S855" s="16">
        <f>IFERROR(__xludf.DUMMYFUNCTION("""COMPUTED_VALUE"""),50000.0)</f>
        <v>50000</v>
      </c>
      <c r="T855" s="16"/>
      <c r="U855" s="16"/>
      <c r="V855" s="16"/>
      <c r="W855" s="16"/>
      <c r="X855" s="16"/>
      <c r="Y855" s="16"/>
      <c r="Z855" s="16"/>
      <c r="AA855" s="16"/>
      <c r="AB855" s="16"/>
      <c r="AC855" s="16"/>
      <c r="AD855" s="16"/>
      <c r="AE855" s="16"/>
      <c r="AF855" s="16" t="str">
        <f>IFERROR(__xludf.DUMMYFUNCTION("""COMPUTED_VALUE"""),"++7500 DEF for every enemy currently poisoned (Max 37500)")</f>
        <v>++7500 DEF for every enemy currently poisoned (Max 37500)</v>
      </c>
      <c r="AG855" s="16" t="str">
        <f>IFERROR(__xludf.DUMMYFUNCTION("""COMPUTED_VALUE"""),"Dragonscale Island")</f>
        <v>Dragonscale Island</v>
      </c>
      <c r="AH855" s="16" t="b">
        <f>IFERROR(__xludf.DUMMYFUNCTION("""COMPUTED_VALUE"""),FALSE)</f>
        <v>0</v>
      </c>
    </row>
    <row r="856">
      <c r="A856" s="16" t="str">
        <f>IFERROR(__xludf.DUMMYFUNCTION("""COMPUTED_VALUE"""),"Lizard Warrior's Bracelets")</f>
        <v>Lizard Warrior's Bracelets</v>
      </c>
      <c r="B856" s="16" t="str">
        <f>IFERROR(__xludf.DUMMYFUNCTION("""COMPUTED_VALUE"""),"Arms")</f>
        <v>Arms</v>
      </c>
      <c r="C856" s="16"/>
      <c r="D856" s="16" t="str">
        <f>IFERROR(__xludf.DUMMYFUNCTION("""COMPUTED_VALUE"""),"Item")</f>
        <v>Item</v>
      </c>
      <c r="E856" s="16">
        <f>IFERROR(__xludf.DUMMYFUNCTION("""COMPUTED_VALUE"""),3000.0)</f>
        <v>3000</v>
      </c>
      <c r="F856" s="108">
        <f>IFERROR(__xludf.DUMMYFUNCTION("""COMPUTED_VALUE"""),4.485E8)</f>
        <v>448500000</v>
      </c>
      <c r="G856" s="16" t="str">
        <f>IFERROR(__xludf.DUMMYFUNCTION("""COMPUTED_VALUE"""),"DEF")</f>
        <v>DEF</v>
      </c>
      <c r="H856" s="16">
        <f>IFERROR(__xludf.DUMMYFUNCTION("""COMPUTED_VALUE"""),100000.0)</f>
        <v>100000</v>
      </c>
      <c r="I856" s="16"/>
      <c r="J856" s="16"/>
      <c r="K856" s="16"/>
      <c r="L856" s="16"/>
      <c r="M856" s="16"/>
      <c r="N856" s="16"/>
      <c r="O856" s="16"/>
      <c r="P856" s="16"/>
      <c r="Q856" s="16"/>
      <c r="R856" s="16"/>
      <c r="S856" s="16">
        <f>IFERROR(__xludf.DUMMYFUNCTION("""COMPUTED_VALUE"""),50000.0)</f>
        <v>50000</v>
      </c>
      <c r="T856" s="16"/>
      <c r="U856" s="16"/>
      <c r="V856" s="16"/>
      <c r="W856" s="16"/>
      <c r="X856" s="16"/>
      <c r="Y856" s="16"/>
      <c r="Z856" s="16"/>
      <c r="AA856" s="16"/>
      <c r="AB856" s="16"/>
      <c r="AC856" s="16"/>
      <c r="AD856" s="16"/>
      <c r="AE856" s="16"/>
      <c r="AF856" s="16" t="str">
        <f>IFERROR(__xludf.DUMMYFUNCTION("""COMPUTED_VALUE"""),"++5000 ACC for every enemy currently poisoned (Max 25000)")</f>
        <v>++5000 ACC for every enemy currently poisoned (Max 25000)</v>
      </c>
      <c r="AG856" s="16" t="str">
        <f>IFERROR(__xludf.DUMMYFUNCTION("""COMPUTED_VALUE"""),"Dragonscale Island")</f>
        <v>Dragonscale Island</v>
      </c>
      <c r="AH856" s="16" t="b">
        <f>IFERROR(__xludf.DUMMYFUNCTION("""COMPUTED_VALUE"""),FALSE)</f>
        <v>0</v>
      </c>
    </row>
    <row r="857">
      <c r="A857" s="16" t="str">
        <f>IFERROR(__xludf.DUMMYFUNCTION("""COMPUTED_VALUE"""),"Lizard Warrior's Scaled Legs")</f>
        <v>Lizard Warrior's Scaled Legs</v>
      </c>
      <c r="B857" s="16" t="str">
        <f>IFERROR(__xludf.DUMMYFUNCTION("""COMPUTED_VALUE"""),"Legs")</f>
        <v>Legs</v>
      </c>
      <c r="C857" s="16"/>
      <c r="D857" s="16" t="str">
        <f>IFERROR(__xludf.DUMMYFUNCTION("""COMPUTED_VALUE"""),"Item")</f>
        <v>Item</v>
      </c>
      <c r="E857" s="16">
        <f>IFERROR(__xludf.DUMMYFUNCTION("""COMPUTED_VALUE"""),3000.0)</f>
        <v>3000</v>
      </c>
      <c r="F857" s="108">
        <f>IFERROR(__xludf.DUMMYFUNCTION("""COMPUTED_VALUE"""),4.485E8)</f>
        <v>448500000</v>
      </c>
      <c r="G857" s="16" t="str">
        <f>IFERROR(__xludf.DUMMYFUNCTION("""COMPUTED_VALUE"""),"DEF")</f>
        <v>DEF</v>
      </c>
      <c r="H857" s="16">
        <f>IFERROR(__xludf.DUMMYFUNCTION("""COMPUTED_VALUE"""),100000.0)</f>
        <v>100000</v>
      </c>
      <c r="I857" s="16"/>
      <c r="J857" s="16"/>
      <c r="K857" s="16"/>
      <c r="L857" s="16"/>
      <c r="M857" s="16"/>
      <c r="N857" s="16"/>
      <c r="O857" s="16"/>
      <c r="P857" s="16"/>
      <c r="Q857" s="16"/>
      <c r="R857" s="16"/>
      <c r="S857" s="16">
        <f>IFERROR(__xludf.DUMMYFUNCTION("""COMPUTED_VALUE"""),50000.0)</f>
        <v>50000</v>
      </c>
      <c r="T857" s="16"/>
      <c r="U857" s="16"/>
      <c r="V857" s="16"/>
      <c r="W857" s="16"/>
      <c r="X857" s="16"/>
      <c r="Y857" s="16"/>
      <c r="Z857" s="16"/>
      <c r="AA857" s="16"/>
      <c r="AB857" s="16"/>
      <c r="AC857" s="16"/>
      <c r="AD857" s="16"/>
      <c r="AE857" s="16"/>
      <c r="AF857" s="16" t="str">
        <f>IFERROR(__xludf.DUMMYFUNCTION("""COMPUTED_VALUE"""),"++5000 ATK for every enemy currently poisoned (Max 25000)")</f>
        <v>++5000 ATK for every enemy currently poisoned (Max 25000)</v>
      </c>
      <c r="AG857" s="16" t="str">
        <f>IFERROR(__xludf.DUMMYFUNCTION("""COMPUTED_VALUE"""),"Dragonscale Island")</f>
        <v>Dragonscale Island</v>
      </c>
      <c r="AH857" s="16" t="b">
        <f>IFERROR(__xludf.DUMMYFUNCTION("""COMPUTED_VALUE"""),FALSE)</f>
        <v>0</v>
      </c>
    </row>
    <row r="858">
      <c r="A858" s="16" t="str">
        <f>IFERROR(__xludf.DUMMYFUNCTION("""COMPUTED_VALUE"""),"Lizard Warrior's Scaled Boots")</f>
        <v>Lizard Warrior's Scaled Boots</v>
      </c>
      <c r="B858" s="16" t="str">
        <f>IFERROR(__xludf.DUMMYFUNCTION("""COMPUTED_VALUE"""),"Feet")</f>
        <v>Feet</v>
      </c>
      <c r="C858" s="16"/>
      <c r="D858" s="16" t="str">
        <f>IFERROR(__xludf.DUMMYFUNCTION("""COMPUTED_VALUE"""),"Item")</f>
        <v>Item</v>
      </c>
      <c r="E858" s="16">
        <f>IFERROR(__xludf.DUMMYFUNCTION("""COMPUTED_VALUE"""),3000.0)</f>
        <v>3000</v>
      </c>
      <c r="F858" s="108">
        <f>IFERROR(__xludf.DUMMYFUNCTION("""COMPUTED_VALUE"""),4.485E8)</f>
        <v>448500000</v>
      </c>
      <c r="G858" s="16" t="str">
        <f>IFERROR(__xludf.DUMMYFUNCTION("""COMPUTED_VALUE"""),"DEF")</f>
        <v>DEF</v>
      </c>
      <c r="H858" s="16">
        <f>IFERROR(__xludf.DUMMYFUNCTION("""COMPUTED_VALUE"""),100000.0)</f>
        <v>100000</v>
      </c>
      <c r="I858" s="16"/>
      <c r="J858" s="16"/>
      <c r="K858" s="16"/>
      <c r="L858" s="16"/>
      <c r="M858" s="16"/>
      <c r="N858" s="16"/>
      <c r="O858" s="16"/>
      <c r="P858" s="16"/>
      <c r="Q858" s="16"/>
      <c r="R858" s="16"/>
      <c r="S858" s="16">
        <f>IFERROR(__xludf.DUMMYFUNCTION("""COMPUTED_VALUE"""),50000.0)</f>
        <v>50000</v>
      </c>
      <c r="T858" s="16"/>
      <c r="U858" s="16"/>
      <c r="V858" s="16"/>
      <c r="W858" s="16"/>
      <c r="X858" s="16"/>
      <c r="Y858" s="16"/>
      <c r="Z858" s="16"/>
      <c r="AA858" s="16"/>
      <c r="AB858" s="16"/>
      <c r="AC858" s="16"/>
      <c r="AD858" s="16"/>
      <c r="AE858" s="16"/>
      <c r="AF858" s="16" t="str">
        <f>IFERROR(__xludf.DUMMYFUNCTION("""COMPUTED_VALUE"""),"++1 Mobility for every enemy currently poisoned (Max 5)")</f>
        <v>++1 Mobility for every enemy currently poisoned (Max 5)</v>
      </c>
      <c r="AG858" s="16" t="str">
        <f>IFERROR(__xludf.DUMMYFUNCTION("""COMPUTED_VALUE"""),"Dragonscale Island")</f>
        <v>Dragonscale Island</v>
      </c>
      <c r="AH858" s="16" t="b">
        <f>IFERROR(__xludf.DUMMYFUNCTION("""COMPUTED_VALUE"""),FALSE)</f>
        <v>0</v>
      </c>
    </row>
    <row r="859">
      <c r="A859" s="16" t="str">
        <f>IFERROR(__xludf.DUMMYFUNCTION("""COMPUTED_VALUE"""),"Lizard Warrior's Claw")</f>
        <v>Lizard Warrior's Claw</v>
      </c>
      <c r="B859" s="16" t="str">
        <f>IFERROR(__xludf.DUMMYFUNCTION("""COMPUTED_VALUE"""),"Hand")</f>
        <v>Hand</v>
      </c>
      <c r="C859" s="16"/>
      <c r="D859" s="16" t="str">
        <f>IFERROR(__xludf.DUMMYFUNCTION("""COMPUTED_VALUE"""),"Claw")</f>
        <v>Claw</v>
      </c>
      <c r="E859" s="16">
        <f>IFERROR(__xludf.DUMMYFUNCTION("""COMPUTED_VALUE"""),3000.0)</f>
        <v>3000</v>
      </c>
      <c r="F859" s="108">
        <f>IFERROR(__xludf.DUMMYFUNCTION("""COMPUTED_VALUE"""),4.485E8)</f>
        <v>448500000</v>
      </c>
      <c r="G859" s="16" t="str">
        <f>IFERROR(__xludf.DUMMYFUNCTION("""COMPUTED_VALUE"""),"DMG")</f>
        <v>DMG</v>
      </c>
      <c r="H859" s="16">
        <f>IFERROR(__xludf.DUMMYFUNCTION("""COMPUTED_VALUE"""),100000.0)</f>
        <v>100000</v>
      </c>
      <c r="I859" s="16"/>
      <c r="J859" s="16"/>
      <c r="K859" s="16"/>
      <c r="L859" s="16"/>
      <c r="M859" s="16"/>
      <c r="N859" s="16"/>
      <c r="O859" s="16"/>
      <c r="P859" s="16"/>
      <c r="Q859" s="16"/>
      <c r="R859" s="16"/>
      <c r="S859" s="16">
        <f>IFERROR(__xludf.DUMMYFUNCTION("""COMPUTED_VALUE"""),50000.0)</f>
        <v>50000</v>
      </c>
      <c r="T859" s="16"/>
      <c r="U859" s="16"/>
      <c r="V859" s="16"/>
      <c r="W859" s="16"/>
      <c r="X859" s="16"/>
      <c r="Y859" s="16"/>
      <c r="Z859" s="16"/>
      <c r="AA859" s="16"/>
      <c r="AB859" s="16"/>
      <c r="AC859" s="16"/>
      <c r="AD859" s="16"/>
      <c r="AE859" s="16"/>
      <c r="AF859" s="16" t="str">
        <f>IFERROR(__xludf.DUMMYFUNCTION("""COMPUTED_VALUE"""),"++X20 damage against poisoned enemies, All damage dealt against poisoned enemies with this item is poison damage.")</f>
        <v>++X20 damage against poisoned enemies, All damage dealt against poisoned enemies with this item is poison damage.</v>
      </c>
      <c r="AG859" s="16" t="str">
        <f>IFERROR(__xludf.DUMMYFUNCTION("""COMPUTED_VALUE"""),"Dragonscale Island")</f>
        <v>Dragonscale Island</v>
      </c>
      <c r="AH859" s="16" t="b">
        <f>IFERROR(__xludf.DUMMYFUNCTION("""COMPUTED_VALUE"""),FALSE)</f>
        <v>0</v>
      </c>
    </row>
    <row r="860">
      <c r="A860" s="16" t="str">
        <f>IFERROR(__xludf.DUMMYFUNCTION("""COMPUTED_VALUE"""),"Lizard Warrior Guantlet")</f>
        <v>Lizard Warrior Guantlet</v>
      </c>
      <c r="B860" s="16" t="str">
        <f>IFERROR(__xludf.DUMMYFUNCTION("""COMPUTED_VALUE"""),"Hand")</f>
        <v>Hand</v>
      </c>
      <c r="C860" s="16"/>
      <c r="D860" s="16" t="str">
        <f>IFERROR(__xludf.DUMMYFUNCTION("""COMPUTED_VALUE"""),"Gauntlet")</f>
        <v>Gauntlet</v>
      </c>
      <c r="E860" s="16">
        <f>IFERROR(__xludf.DUMMYFUNCTION("""COMPUTED_VALUE"""),3000.0)</f>
        <v>3000</v>
      </c>
      <c r="F860" s="108">
        <f>IFERROR(__xludf.DUMMYFUNCTION("""COMPUTED_VALUE"""),4.485E8)</f>
        <v>448500000</v>
      </c>
      <c r="G860" s="16" t="str">
        <f>IFERROR(__xludf.DUMMYFUNCTION("""COMPUTED_VALUE"""),"DEF")</f>
        <v>DEF</v>
      </c>
      <c r="H860" s="16">
        <f>IFERROR(__xludf.DUMMYFUNCTION("""COMPUTED_VALUE"""),100000.0)</f>
        <v>100000</v>
      </c>
      <c r="I860" s="16"/>
      <c r="J860" s="16"/>
      <c r="K860" s="16"/>
      <c r="L860" s="16"/>
      <c r="M860" s="16"/>
      <c r="N860" s="16"/>
      <c r="O860" s="16"/>
      <c r="P860" s="16"/>
      <c r="Q860" s="16"/>
      <c r="R860" s="16"/>
      <c r="S860" s="16">
        <f>IFERROR(__xludf.DUMMYFUNCTION("""COMPUTED_VALUE"""),50000.0)</f>
        <v>50000</v>
      </c>
      <c r="T860" s="16"/>
      <c r="U860" s="16"/>
      <c r="V860" s="16"/>
      <c r="W860" s="16"/>
      <c r="X860" s="16"/>
      <c r="Y860" s="16"/>
      <c r="Z860" s="16"/>
      <c r="AA860" s="16"/>
      <c r="AB860" s="16"/>
      <c r="AC860" s="16"/>
      <c r="AD860" s="16"/>
      <c r="AE860" s="16"/>
      <c r="AF860" s="16" t="str">
        <f>IFERROR(__xludf.DUMMYFUNCTION("""COMPUTED_VALUE"""),"++50% chance to be unaffected by a weapon attack from a poisoned enemy")</f>
        <v>++50% chance to be unaffected by a weapon attack from a poisoned enemy</v>
      </c>
      <c r="AG860" s="16" t="str">
        <f>IFERROR(__xludf.DUMMYFUNCTION("""COMPUTED_VALUE"""),"Dragonscale Island")</f>
        <v>Dragonscale Island</v>
      </c>
      <c r="AH860" s="16" t="b">
        <f>IFERROR(__xludf.DUMMYFUNCTION("""COMPUTED_VALUE"""),FALSE)</f>
        <v>0</v>
      </c>
    </row>
    <row r="861">
      <c r="A861" s="16" t="str">
        <f>IFERROR(__xludf.DUMMYFUNCTION("""COMPUTED_VALUE"""),"Igaunian Assassin's Cowl")</f>
        <v>Igaunian Assassin's Cowl</v>
      </c>
      <c r="B861" s="16" t="str">
        <f>IFERROR(__xludf.DUMMYFUNCTION("""COMPUTED_VALUE"""),"Head")</f>
        <v>Head</v>
      </c>
      <c r="C861" s="16"/>
      <c r="D861" s="16" t="str">
        <f>IFERROR(__xludf.DUMMYFUNCTION("""COMPUTED_VALUE"""),"Item")</f>
        <v>Item</v>
      </c>
      <c r="E861" s="16">
        <f>IFERROR(__xludf.DUMMYFUNCTION("""COMPUTED_VALUE"""),2000.0)</f>
        <v>2000</v>
      </c>
      <c r="F861" s="108">
        <f>IFERROR(__xludf.DUMMYFUNCTION("""COMPUTED_VALUE"""),1.99E8)</f>
        <v>199000000</v>
      </c>
      <c r="G861" s="16" t="str">
        <f>IFERROR(__xludf.DUMMYFUNCTION("""COMPUTED_VALUE"""),"DEF")</f>
        <v>DEF</v>
      </c>
      <c r="H861" s="16">
        <f>IFERROR(__xludf.DUMMYFUNCTION("""COMPUTED_VALUE"""),75000.0)</f>
        <v>75000</v>
      </c>
      <c r="I861" s="16"/>
      <c r="J861" s="16"/>
      <c r="K861" s="16"/>
      <c r="L861" s="16"/>
      <c r="M861" s="16"/>
      <c r="N861" s="16"/>
      <c r="O861" s="16"/>
      <c r="P861" s="16"/>
      <c r="Q861" s="16"/>
      <c r="R861" s="16"/>
      <c r="S861" s="16">
        <f>IFERROR(__xludf.DUMMYFUNCTION("""COMPUTED_VALUE"""),25000.0)</f>
        <v>25000</v>
      </c>
      <c r="T861" s="16"/>
      <c r="U861" s="16"/>
      <c r="V861" s="16"/>
      <c r="W861" s="16"/>
      <c r="X861" s="16"/>
      <c r="Y861" s="16"/>
      <c r="Z861" s="16"/>
      <c r="AA861" s="16"/>
      <c r="AB861" s="16"/>
      <c r="AC861" s="16"/>
      <c r="AD861" s="16"/>
      <c r="AE861" s="16"/>
      <c r="AF861" s="16" t="str">
        <f>IFERROR(__xludf.DUMMYFUNCTION("""COMPUTED_VALUE"""),"++15000 ATK and ACC ++X4 Knife and Boomerang damage ++5 to all weapon attacks if concealed")</f>
        <v>++15000 ATK and ACC ++X4 Knife and Boomerang damage ++5 to all weapon attacks if concealed</v>
      </c>
      <c r="AG861" s="16" t="str">
        <f>IFERROR(__xludf.DUMMYFUNCTION("""COMPUTED_VALUE"""),"Dragonscale Island")</f>
        <v>Dragonscale Island</v>
      </c>
      <c r="AH861" s="16" t="b">
        <f>IFERROR(__xludf.DUMMYFUNCTION("""COMPUTED_VALUE"""),FALSE)</f>
        <v>0</v>
      </c>
    </row>
    <row r="862">
      <c r="A862" s="16" t="str">
        <f>IFERROR(__xludf.DUMMYFUNCTION("""COMPUTED_VALUE"""),"Igaunian Assassin's Cloths")</f>
        <v>Igaunian Assassin's Cloths</v>
      </c>
      <c r="B862" s="16" t="str">
        <f>IFERROR(__xludf.DUMMYFUNCTION("""COMPUTED_VALUE"""),"Torso")</f>
        <v>Torso</v>
      </c>
      <c r="C862" s="16"/>
      <c r="D862" s="16" t="str">
        <f>IFERROR(__xludf.DUMMYFUNCTION("""COMPUTED_VALUE"""),"Item")</f>
        <v>Item</v>
      </c>
      <c r="E862" s="16">
        <f>IFERROR(__xludf.DUMMYFUNCTION("""COMPUTED_VALUE"""),2000.0)</f>
        <v>2000</v>
      </c>
      <c r="F862" s="108">
        <f>IFERROR(__xludf.DUMMYFUNCTION("""COMPUTED_VALUE"""),1.99E8)</f>
        <v>199000000</v>
      </c>
      <c r="G862" s="16" t="str">
        <f>IFERROR(__xludf.DUMMYFUNCTION("""COMPUTED_VALUE"""),"DEF")</f>
        <v>DEF</v>
      </c>
      <c r="H862" s="16">
        <f>IFERROR(__xludf.DUMMYFUNCTION("""COMPUTED_VALUE"""),75000.0)</f>
        <v>75000</v>
      </c>
      <c r="I862" s="16"/>
      <c r="J862" s="16"/>
      <c r="K862" s="16"/>
      <c r="L862" s="16"/>
      <c r="M862" s="16"/>
      <c r="N862" s="16"/>
      <c r="O862" s="16"/>
      <c r="P862" s="16"/>
      <c r="Q862" s="16"/>
      <c r="R862" s="16"/>
      <c r="S862" s="16">
        <f>IFERROR(__xludf.DUMMYFUNCTION("""COMPUTED_VALUE"""),25000.0)</f>
        <v>25000</v>
      </c>
      <c r="T862" s="16"/>
      <c r="U862" s="16"/>
      <c r="V862" s="16"/>
      <c r="W862" s="16"/>
      <c r="X862" s="16"/>
      <c r="Y862" s="16"/>
      <c r="Z862" s="16"/>
      <c r="AA862" s="16"/>
      <c r="AB862" s="16"/>
      <c r="AC862" s="16"/>
      <c r="AD862" s="16"/>
      <c r="AE862" s="16"/>
      <c r="AF862" s="16" t="str">
        <f>IFERROR(__xludf.DUMMYFUNCTION("""COMPUTED_VALUE"""),"++15000 ATK and ACC ++X4 Knife and Boomerang damage")</f>
        <v>++15000 ATK and ACC ++X4 Knife and Boomerang damage</v>
      </c>
      <c r="AG862" s="16" t="str">
        <f>IFERROR(__xludf.DUMMYFUNCTION("""COMPUTED_VALUE"""),"Dragonscale Island")</f>
        <v>Dragonscale Island</v>
      </c>
      <c r="AH862" s="16" t="b">
        <f>IFERROR(__xludf.DUMMYFUNCTION("""COMPUTED_VALUE"""),FALSE)</f>
        <v>0</v>
      </c>
    </row>
    <row r="863">
      <c r="A863" s="16" t="str">
        <f>IFERROR(__xludf.DUMMYFUNCTION("""COMPUTED_VALUE"""),"Iguanian Assassin's Pants")</f>
        <v>Iguanian Assassin's Pants</v>
      </c>
      <c r="B863" s="16" t="str">
        <f>IFERROR(__xludf.DUMMYFUNCTION("""COMPUTED_VALUE"""),"Legs")</f>
        <v>Legs</v>
      </c>
      <c r="C863" s="16"/>
      <c r="D863" s="16" t="str">
        <f>IFERROR(__xludf.DUMMYFUNCTION("""COMPUTED_VALUE"""),"Item")</f>
        <v>Item</v>
      </c>
      <c r="E863" s="16">
        <f>IFERROR(__xludf.DUMMYFUNCTION("""COMPUTED_VALUE"""),2000.0)</f>
        <v>2000</v>
      </c>
      <c r="F863" s="108">
        <f>IFERROR(__xludf.DUMMYFUNCTION("""COMPUTED_VALUE"""),1.99E8)</f>
        <v>199000000</v>
      </c>
      <c r="G863" s="16" t="str">
        <f>IFERROR(__xludf.DUMMYFUNCTION("""COMPUTED_VALUE"""),"DEF")</f>
        <v>DEF</v>
      </c>
      <c r="H863" s="16">
        <f>IFERROR(__xludf.DUMMYFUNCTION("""COMPUTED_VALUE"""),75000.0)</f>
        <v>75000</v>
      </c>
      <c r="I863" s="16"/>
      <c r="J863" s="16"/>
      <c r="K863" s="16"/>
      <c r="L863" s="16"/>
      <c r="M863" s="16"/>
      <c r="N863" s="16"/>
      <c r="O863" s="16"/>
      <c r="P863" s="16"/>
      <c r="Q863" s="16"/>
      <c r="R863" s="16"/>
      <c r="S863" s="16">
        <f>IFERROR(__xludf.DUMMYFUNCTION("""COMPUTED_VALUE"""),25000.0)</f>
        <v>25000</v>
      </c>
      <c r="T863" s="16"/>
      <c r="U863" s="16"/>
      <c r="V863" s="16"/>
      <c r="W863" s="16"/>
      <c r="X863" s="16"/>
      <c r="Y863" s="16"/>
      <c r="Z863" s="16"/>
      <c r="AA863" s="16"/>
      <c r="AB863" s="16"/>
      <c r="AC863" s="16"/>
      <c r="AD863" s="16"/>
      <c r="AE863" s="16"/>
      <c r="AF863" s="16" t="str">
        <f>IFERROR(__xludf.DUMMYFUNCTION("""COMPUTED_VALUE"""),"++15000 ATK and ACC ++X4 Knife and Boomerang damage")</f>
        <v>++15000 ATK and ACC ++X4 Knife and Boomerang damage</v>
      </c>
      <c r="AG863" s="16" t="str">
        <f>IFERROR(__xludf.DUMMYFUNCTION("""COMPUTED_VALUE"""),"Dragonscale Island")</f>
        <v>Dragonscale Island</v>
      </c>
      <c r="AH863" s="16" t="b">
        <f>IFERROR(__xludf.DUMMYFUNCTION("""COMPUTED_VALUE"""),FALSE)</f>
        <v>0</v>
      </c>
    </row>
    <row r="864">
      <c r="A864" s="16" t="str">
        <f>IFERROR(__xludf.DUMMYFUNCTION("""COMPUTED_VALUE"""),"Iguanian Assassin's Boots")</f>
        <v>Iguanian Assassin's Boots</v>
      </c>
      <c r="B864" s="16" t="str">
        <f>IFERROR(__xludf.DUMMYFUNCTION("""COMPUTED_VALUE"""),"Feet")</f>
        <v>Feet</v>
      </c>
      <c r="C864" s="16"/>
      <c r="D864" s="16" t="str">
        <f>IFERROR(__xludf.DUMMYFUNCTION("""COMPUTED_VALUE"""),"Item")</f>
        <v>Item</v>
      </c>
      <c r="E864" s="16">
        <f>IFERROR(__xludf.DUMMYFUNCTION("""COMPUTED_VALUE"""),2000.0)</f>
        <v>2000</v>
      </c>
      <c r="F864" s="108">
        <f>IFERROR(__xludf.DUMMYFUNCTION("""COMPUTED_VALUE"""),1.99E8)</f>
        <v>199000000</v>
      </c>
      <c r="G864" s="16" t="str">
        <f>IFERROR(__xludf.DUMMYFUNCTION("""COMPUTED_VALUE"""),"DEF")</f>
        <v>DEF</v>
      </c>
      <c r="H864" s="16">
        <f>IFERROR(__xludf.DUMMYFUNCTION("""COMPUTED_VALUE"""),75000.0)</f>
        <v>75000</v>
      </c>
      <c r="I864" s="16"/>
      <c r="J864" s="16"/>
      <c r="K864" s="16"/>
      <c r="L864" s="16"/>
      <c r="M864" s="16"/>
      <c r="N864" s="16"/>
      <c r="O864" s="16"/>
      <c r="P864" s="16"/>
      <c r="Q864" s="16"/>
      <c r="R864" s="16"/>
      <c r="S864" s="16">
        <f>IFERROR(__xludf.DUMMYFUNCTION("""COMPUTED_VALUE"""),25000.0)</f>
        <v>25000</v>
      </c>
      <c r="T864" s="16"/>
      <c r="U864" s="16"/>
      <c r="V864" s="16"/>
      <c r="W864" s="16"/>
      <c r="X864" s="16"/>
      <c r="Y864" s="16"/>
      <c r="Z864" s="16"/>
      <c r="AA864" s="16"/>
      <c r="AB864" s="16"/>
      <c r="AC864" s="16"/>
      <c r="AD864" s="16"/>
      <c r="AE864" s="16"/>
      <c r="AF864" s="16" t="str">
        <f>IFERROR(__xludf.DUMMYFUNCTION("""COMPUTED_VALUE"""),"++15000 ATK and ACC ++X4 Knife and Boomerang damage")</f>
        <v>++15000 ATK and ACC ++X4 Knife and Boomerang damage</v>
      </c>
      <c r="AG864" s="16" t="str">
        <f>IFERROR(__xludf.DUMMYFUNCTION("""COMPUTED_VALUE"""),"Dragonscale Island")</f>
        <v>Dragonscale Island</v>
      </c>
      <c r="AH864" s="16" t="b">
        <f>IFERROR(__xludf.DUMMYFUNCTION("""COMPUTED_VALUE"""),FALSE)</f>
        <v>0</v>
      </c>
    </row>
    <row r="865">
      <c r="A865" s="16" t="str">
        <f>IFERROR(__xludf.DUMMYFUNCTION("""COMPUTED_VALUE"""),"Iguanian Assassin's Chakram")</f>
        <v>Iguanian Assassin's Chakram</v>
      </c>
      <c r="B865" s="16" t="str">
        <f>IFERROR(__xludf.DUMMYFUNCTION("""COMPUTED_VALUE"""),"Hand")</f>
        <v>Hand</v>
      </c>
      <c r="C865" s="16"/>
      <c r="D865" s="16" t="str">
        <f>IFERROR(__xludf.DUMMYFUNCTION("""COMPUTED_VALUE"""),"Boomerang")</f>
        <v>Boomerang</v>
      </c>
      <c r="E865" s="16">
        <f>IFERROR(__xludf.DUMMYFUNCTION("""COMPUTED_VALUE"""),3000.0)</f>
        <v>3000</v>
      </c>
      <c r="F865" s="108">
        <f>IFERROR(__xludf.DUMMYFUNCTION("""COMPUTED_VALUE"""),4.485E8)</f>
        <v>448500000</v>
      </c>
      <c r="G865" s="16" t="str">
        <f>IFERROR(__xludf.DUMMYFUNCTION("""COMPUTED_VALUE"""),"DMG")</f>
        <v>DMG</v>
      </c>
      <c r="H865" s="16">
        <f>IFERROR(__xludf.DUMMYFUNCTION("""COMPUTED_VALUE"""),100000.0)</f>
        <v>100000</v>
      </c>
      <c r="I865" s="16"/>
      <c r="J865" s="16"/>
      <c r="K865" s="16"/>
      <c r="L865" s="16"/>
      <c r="M865" s="16"/>
      <c r="N865" s="16"/>
      <c r="O865" s="16"/>
      <c r="P865" s="16"/>
      <c r="Q865" s="16"/>
      <c r="R865" s="16"/>
      <c r="S865" s="16">
        <f>IFERROR(__xludf.DUMMYFUNCTION("""COMPUTED_VALUE"""),50000.0)</f>
        <v>50000</v>
      </c>
      <c r="T865" s="16"/>
      <c r="U865" s="16"/>
      <c r="V865" s="16"/>
      <c r="W865" s="16"/>
      <c r="X865" s="16"/>
      <c r="Y865" s="16"/>
      <c r="Z865" s="16"/>
      <c r="AA865" s="16"/>
      <c r="AB865" s="16"/>
      <c r="AC865" s="16"/>
      <c r="AD865" s="16"/>
      <c r="AE865" s="16"/>
      <c r="AF865" s="16" t="str">
        <f>IFERROR(__xludf.DUMMYFUNCTION("""COMPUTED_VALUE"""),"++Increases the weapon effect chance by 10%")</f>
        <v>++Increases the weapon effect chance by 10%</v>
      </c>
      <c r="AG865" s="16" t="str">
        <f>IFERROR(__xludf.DUMMYFUNCTION("""COMPUTED_VALUE"""),"Dragonscale Island")</f>
        <v>Dragonscale Island</v>
      </c>
      <c r="AH865" s="16" t="b">
        <f>IFERROR(__xludf.DUMMYFUNCTION("""COMPUTED_VALUE"""),FALSE)</f>
        <v>0</v>
      </c>
    </row>
    <row r="866">
      <c r="A866" s="16" t="str">
        <f>IFERROR(__xludf.DUMMYFUNCTION("""COMPUTED_VALUE"""),"Iguanian Assassin's Slicer")</f>
        <v>Iguanian Assassin's Slicer</v>
      </c>
      <c r="B866" s="16" t="str">
        <f>IFERROR(__xludf.DUMMYFUNCTION("""COMPUTED_VALUE"""),"Hand")</f>
        <v>Hand</v>
      </c>
      <c r="C866" s="16"/>
      <c r="D866" s="16" t="str">
        <f>IFERROR(__xludf.DUMMYFUNCTION("""COMPUTED_VALUE"""),"Knife")</f>
        <v>Knife</v>
      </c>
      <c r="E866" s="16">
        <f>IFERROR(__xludf.DUMMYFUNCTION("""COMPUTED_VALUE"""),3000.0)</f>
        <v>3000</v>
      </c>
      <c r="F866" s="108">
        <f>IFERROR(__xludf.DUMMYFUNCTION("""COMPUTED_VALUE"""),4.485E8)</f>
        <v>448500000</v>
      </c>
      <c r="G866" s="16" t="str">
        <f>IFERROR(__xludf.DUMMYFUNCTION("""COMPUTED_VALUE"""),"DMG")</f>
        <v>DMG</v>
      </c>
      <c r="H866" s="16">
        <f>IFERROR(__xludf.DUMMYFUNCTION("""COMPUTED_VALUE"""),100000.0)</f>
        <v>100000</v>
      </c>
      <c r="I866" s="16"/>
      <c r="J866" s="16"/>
      <c r="K866" s="16"/>
      <c r="L866" s="16"/>
      <c r="M866" s="16"/>
      <c r="N866" s="16"/>
      <c r="O866" s="16"/>
      <c r="P866" s="16"/>
      <c r="Q866" s="16"/>
      <c r="R866" s="16"/>
      <c r="S866" s="16">
        <f>IFERROR(__xludf.DUMMYFUNCTION("""COMPUTED_VALUE"""),50000.0)</f>
        <v>50000</v>
      </c>
      <c r="T866" s="16"/>
      <c r="U866" s="16"/>
      <c r="V866" s="16"/>
      <c r="W866" s="16"/>
      <c r="X866" s="16"/>
      <c r="Y866" s="16"/>
      <c r="Z866" s="16"/>
      <c r="AA866" s="16"/>
      <c r="AB866" s="16"/>
      <c r="AC866" s="16"/>
      <c r="AD866" s="16"/>
      <c r="AE866" s="16"/>
      <c r="AF866" s="16" t="str">
        <f>IFERROR(__xludf.DUMMYFUNCTION("""COMPUTED_VALUE"""),"++Guarantees the Bleed effect of the knife weapon type and doubles the bleed caused +-Cannot be Forged")</f>
        <v>++Guarantees the Bleed effect of the knife weapon type and doubles the bleed caused +-Cannot be Forged</v>
      </c>
      <c r="AG866" s="16" t="str">
        <f>IFERROR(__xludf.DUMMYFUNCTION("""COMPUTED_VALUE"""),"Dragonscale Island")</f>
        <v>Dragonscale Island</v>
      </c>
      <c r="AH866" s="16" t="b">
        <f>IFERROR(__xludf.DUMMYFUNCTION("""COMPUTED_VALUE"""),FALSE)</f>
        <v>0</v>
      </c>
    </row>
    <row r="867">
      <c r="A867" s="16" t="str">
        <f>IFERROR(__xludf.DUMMYFUNCTION("""COMPUTED_VALUE"""),"Wyverntooth Smasher")</f>
        <v>Wyverntooth Smasher</v>
      </c>
      <c r="B867" s="16" t="str">
        <f>IFERROR(__xludf.DUMMYFUNCTION("""COMPUTED_VALUE"""),"Hand")</f>
        <v>Hand</v>
      </c>
      <c r="C867" s="16"/>
      <c r="D867" s="16" t="str">
        <f>IFERROR(__xludf.DUMMYFUNCTION("""COMPUTED_VALUE"""),"Axe")</f>
        <v>Axe</v>
      </c>
      <c r="E867" s="16">
        <f>IFERROR(__xludf.DUMMYFUNCTION("""COMPUTED_VALUE"""),2400.0)</f>
        <v>2400</v>
      </c>
      <c r="F867" s="108">
        <f>IFERROR(__xludf.DUMMYFUNCTION("""COMPUTED_VALUE"""),2.868E8)</f>
        <v>286800000</v>
      </c>
      <c r="G867" s="16" t="str">
        <f>IFERROR(__xludf.DUMMYFUNCTION("""COMPUTED_VALUE"""),"DMG")</f>
        <v>DMG</v>
      </c>
      <c r="H867" s="16">
        <f>IFERROR(__xludf.DUMMYFUNCTION("""COMPUTED_VALUE"""),30000.0)</f>
        <v>30000</v>
      </c>
      <c r="I867" s="16"/>
      <c r="J867" s="16"/>
      <c r="K867" s="16"/>
      <c r="L867" s="16"/>
      <c r="M867" s="16"/>
      <c r="N867" s="16"/>
      <c r="O867" s="16"/>
      <c r="P867" s="16"/>
      <c r="Q867" s="16"/>
      <c r="R867" s="16">
        <f>IFERROR(__xludf.DUMMYFUNCTION("""COMPUTED_VALUE"""),90000.0)</f>
        <v>90000</v>
      </c>
      <c r="S867" s="16"/>
      <c r="T867" s="16"/>
      <c r="U867" s="16"/>
      <c r="V867" s="16"/>
      <c r="W867" s="16"/>
      <c r="X867" s="16"/>
      <c r="Y867" s="16"/>
      <c r="Z867" s="16"/>
      <c r="AA867" s="16"/>
      <c r="AB867" s="16"/>
      <c r="AC867" s="16"/>
      <c r="AD867" s="16"/>
      <c r="AE867" s="16"/>
      <c r="AF867" s="16"/>
      <c r="AG867" s="16" t="str">
        <f>IFERROR(__xludf.DUMMYFUNCTION("""COMPUTED_VALUE"""),"Dragonscale Island")</f>
        <v>Dragonscale Island</v>
      </c>
      <c r="AH867" s="16" t="b">
        <f>IFERROR(__xludf.DUMMYFUNCTION("""COMPUTED_VALUE"""),FALSE)</f>
        <v>0</v>
      </c>
    </row>
    <row r="868">
      <c r="A868" s="16" t="str">
        <f>IFERROR(__xludf.DUMMYFUNCTION("""COMPUTED_VALUE"""),"Wyvernblade")</f>
        <v>Wyvernblade</v>
      </c>
      <c r="B868" s="16" t="str">
        <f>IFERROR(__xludf.DUMMYFUNCTION("""COMPUTED_VALUE"""),"Hand")</f>
        <v>Hand</v>
      </c>
      <c r="C868" s="16"/>
      <c r="D868" s="16" t="str">
        <f>IFERROR(__xludf.DUMMYFUNCTION("""COMPUTED_VALUE"""),"Knife")</f>
        <v>Knife</v>
      </c>
      <c r="E868" s="16">
        <f>IFERROR(__xludf.DUMMYFUNCTION("""COMPUTED_VALUE"""),2600.0)</f>
        <v>2600</v>
      </c>
      <c r="F868" s="108">
        <f>IFERROR(__xludf.DUMMYFUNCTION("""COMPUTED_VALUE"""),3.367E8)</f>
        <v>336700000</v>
      </c>
      <c r="G868" s="16" t="str">
        <f>IFERROR(__xludf.DUMMYFUNCTION("""COMPUTED_VALUE"""),"DMG")</f>
        <v>DMG</v>
      </c>
      <c r="H868" s="16"/>
      <c r="I868" s="16"/>
      <c r="J868" s="16"/>
      <c r="K868" s="16"/>
      <c r="L868" s="16"/>
      <c r="M868" s="16"/>
      <c r="N868" s="16"/>
      <c r="O868" s="16"/>
      <c r="P868" s="16"/>
      <c r="Q868" s="16"/>
      <c r="R868" s="16"/>
      <c r="S868" s="16"/>
      <c r="T868" s="16">
        <f>IFERROR(__xludf.DUMMYFUNCTION("""COMPUTED_VALUE"""),130000.0)</f>
        <v>130000</v>
      </c>
      <c r="U868" s="16"/>
      <c r="V868" s="16"/>
      <c r="W868" s="16"/>
      <c r="X868" s="16"/>
      <c r="Y868" s="16"/>
      <c r="Z868" s="16"/>
      <c r="AA868" s="16"/>
      <c r="AB868" s="16"/>
      <c r="AC868" s="16"/>
      <c r="AD868" s="16"/>
      <c r="AE868" s="16"/>
      <c r="AF868" s="16"/>
      <c r="AG868" s="16" t="str">
        <f>IFERROR(__xludf.DUMMYFUNCTION("""COMPUTED_VALUE"""),"Dragonscale Island")</f>
        <v>Dragonscale Island</v>
      </c>
      <c r="AH868" s="16" t="b">
        <f>IFERROR(__xludf.DUMMYFUNCTION("""COMPUTED_VALUE"""),FALSE)</f>
        <v>0</v>
      </c>
    </row>
    <row r="869">
      <c r="A869" s="16" t="str">
        <f>IFERROR(__xludf.DUMMYFUNCTION("""COMPUTED_VALUE"""),"Wyvernscale Ring")</f>
        <v>Wyvernscale Ring</v>
      </c>
      <c r="B869" s="16" t="str">
        <f>IFERROR(__xludf.DUMMYFUNCTION("""COMPUTED_VALUE"""),"Finger")</f>
        <v>Finger</v>
      </c>
      <c r="C869" s="16"/>
      <c r="D869" s="16" t="str">
        <f>IFERROR(__xludf.DUMMYFUNCTION("""COMPUTED_VALUE"""),"Item")</f>
        <v>Item</v>
      </c>
      <c r="E869" s="16">
        <f>IFERROR(__xludf.DUMMYFUNCTION("""COMPUTED_VALUE"""),2000.0)</f>
        <v>2000</v>
      </c>
      <c r="F869" s="108">
        <f>IFERROR(__xludf.DUMMYFUNCTION("""COMPUTED_VALUE"""),1.99E8)</f>
        <v>199000000</v>
      </c>
      <c r="G869" s="16" t="str">
        <f>IFERROR(__xludf.DUMMYFUNCTION("""COMPUTED_VALUE"""),"DEF")</f>
        <v>DEF</v>
      </c>
      <c r="H869" s="16"/>
      <c r="I869" s="16"/>
      <c r="J869" s="16"/>
      <c r="K869" s="16"/>
      <c r="L869" s="16"/>
      <c r="M869" s="16"/>
      <c r="N869" s="16"/>
      <c r="O869" s="16"/>
      <c r="P869" s="16"/>
      <c r="Q869" s="16"/>
      <c r="R869" s="16"/>
      <c r="S869" s="16"/>
      <c r="T869" s="16">
        <f>IFERROR(__xludf.DUMMYFUNCTION("""COMPUTED_VALUE"""),100000.0)</f>
        <v>100000</v>
      </c>
      <c r="U869" s="16"/>
      <c r="V869" s="16"/>
      <c r="W869" s="16"/>
      <c r="X869" s="16"/>
      <c r="Y869" s="16"/>
      <c r="Z869" s="16"/>
      <c r="AA869" s="16"/>
      <c r="AB869" s="16"/>
      <c r="AC869" s="16"/>
      <c r="AD869" s="16"/>
      <c r="AE869" s="16"/>
      <c r="AF869" s="16" t="str">
        <f>IFERROR(__xludf.DUMMYFUNCTION("""COMPUTED_VALUE"""),"++50% chance to negate any damage from a wyvern +-Cannot be forged or duplicated")</f>
        <v>++50% chance to negate any damage from a wyvern +-Cannot be forged or duplicated</v>
      </c>
      <c r="AG869" s="16" t="str">
        <f>IFERROR(__xludf.DUMMYFUNCTION("""COMPUTED_VALUE"""),"Dragonscale Island")</f>
        <v>Dragonscale Island</v>
      </c>
      <c r="AH869" s="16" t="b">
        <f>IFERROR(__xludf.DUMMYFUNCTION("""COMPUTED_VALUE"""),FALSE)</f>
        <v>0</v>
      </c>
    </row>
    <row r="870">
      <c r="A870" s="16" t="str">
        <f>IFERROR(__xludf.DUMMYFUNCTION("""COMPUTED_VALUE"""),"Wyvern Hood")</f>
        <v>Wyvern Hood</v>
      </c>
      <c r="B870" s="16" t="str">
        <f>IFERROR(__xludf.DUMMYFUNCTION("""COMPUTED_VALUE"""),"Head")</f>
        <v>Head</v>
      </c>
      <c r="C870" s="16"/>
      <c r="D870" s="16" t="str">
        <f>IFERROR(__xludf.DUMMYFUNCTION("""COMPUTED_VALUE"""),"Item")</f>
        <v>Item</v>
      </c>
      <c r="E870" s="16">
        <f>IFERROR(__xludf.DUMMYFUNCTION("""COMPUTED_VALUE"""),1.0)</f>
        <v>1</v>
      </c>
      <c r="F870" s="108">
        <f>IFERROR(__xludf.DUMMYFUNCTION("""COMPUTED_VALUE"""),0.0)</f>
        <v>0</v>
      </c>
      <c r="G870" s="16"/>
      <c r="H870" s="16"/>
      <c r="I870" s="16"/>
      <c r="J870" s="16"/>
      <c r="K870" s="16"/>
      <c r="L870" s="16"/>
      <c r="M870" s="16"/>
      <c r="N870" s="16"/>
      <c r="O870" s="16"/>
      <c r="P870" s="16"/>
      <c r="Q870" s="16"/>
      <c r="R870" s="16"/>
      <c r="S870" s="16"/>
      <c r="T870" s="16"/>
      <c r="U870" s="16"/>
      <c r="V870" s="16"/>
      <c r="W870" s="16"/>
      <c r="X870" s="16"/>
      <c r="Y870" s="16"/>
      <c r="Z870" s="16"/>
      <c r="AA870" s="16"/>
      <c r="AB870" s="16"/>
      <c r="AC870" s="16"/>
      <c r="AD870" s="16"/>
      <c r="AE870" s="16"/>
      <c r="AF870" s="16" t="str">
        <f>IFERROR(__xludf.DUMMYFUNCTION("""COMPUTED_VALUE"""),"++When in a party of 4 or more, enemy wyverns cannot target the wearer +-Cannot be forged or duplicated")</f>
        <v>++When in a party of 4 or more, enemy wyverns cannot target the wearer +-Cannot be forged or duplicated</v>
      </c>
      <c r="AG870" s="16" t="str">
        <f>IFERROR(__xludf.DUMMYFUNCTION("""COMPUTED_VALUE"""),"Dragonscale Island")</f>
        <v>Dragonscale Island</v>
      </c>
      <c r="AH870" s="16" t="b">
        <f>IFERROR(__xludf.DUMMYFUNCTION("""COMPUTED_VALUE"""),FALSE)</f>
        <v>0</v>
      </c>
    </row>
    <row r="871">
      <c r="A871" s="16" t="str">
        <f>IFERROR(__xludf.DUMMYFUNCTION("""COMPUTED_VALUE"""),"Wyvernarang")</f>
        <v>Wyvernarang</v>
      </c>
      <c r="B871" s="16" t="str">
        <f>IFERROR(__xludf.DUMMYFUNCTION("""COMPUTED_VALUE"""),"Hand")</f>
        <v>Hand</v>
      </c>
      <c r="C871" s="16"/>
      <c r="D871" s="16" t="str">
        <f>IFERROR(__xludf.DUMMYFUNCTION("""COMPUTED_VALUE"""),"Boomerang")</f>
        <v>Boomerang</v>
      </c>
      <c r="E871" s="16">
        <f>IFERROR(__xludf.DUMMYFUNCTION("""COMPUTED_VALUE"""),3000.0)</f>
        <v>3000</v>
      </c>
      <c r="F871" s="108">
        <f>IFERROR(__xludf.DUMMYFUNCTION("""COMPUTED_VALUE"""),4.485E8)</f>
        <v>448500000</v>
      </c>
      <c r="G871" s="16" t="str">
        <f>IFERROR(__xludf.DUMMYFUNCTION("""COMPUTED_VALUE"""),"DMG")</f>
        <v>DMG</v>
      </c>
      <c r="H871" s="16">
        <f>IFERROR(__xludf.DUMMYFUNCTION("""COMPUTED_VALUE"""),50000.0)</f>
        <v>50000</v>
      </c>
      <c r="I871" s="16"/>
      <c r="J871" s="16"/>
      <c r="K871" s="16"/>
      <c r="L871" s="16"/>
      <c r="M871" s="16"/>
      <c r="N871" s="16"/>
      <c r="O871" s="16"/>
      <c r="P871" s="16">
        <f>IFERROR(__xludf.DUMMYFUNCTION("""COMPUTED_VALUE"""),50000.0)</f>
        <v>50000</v>
      </c>
      <c r="Q871" s="16"/>
      <c r="R871" s="16">
        <f>IFERROR(__xludf.DUMMYFUNCTION("""COMPUTED_VALUE"""),50000.0)</f>
        <v>50000</v>
      </c>
      <c r="S871" s="16"/>
      <c r="T871" s="16"/>
      <c r="U871" s="16"/>
      <c r="V871" s="16"/>
      <c r="W871" s="16"/>
      <c r="X871" s="16"/>
      <c r="Y871" s="16"/>
      <c r="Z871" s="16"/>
      <c r="AA871" s="16"/>
      <c r="AB871" s="16"/>
      <c r="AC871" s="16"/>
      <c r="AD871" s="16"/>
      <c r="AE871" s="16"/>
      <c r="AF871" s="16"/>
      <c r="AG871" s="16" t="str">
        <f>IFERROR(__xludf.DUMMYFUNCTION("""COMPUTED_VALUE"""),"Dragonscale Island")</f>
        <v>Dragonscale Island</v>
      </c>
      <c r="AH871" s="16" t="b">
        <f>IFERROR(__xludf.DUMMYFUNCTION("""COMPUTED_VALUE"""),FALSE)</f>
        <v>0</v>
      </c>
    </row>
    <row r="872">
      <c r="A872" s="16" t="str">
        <f>IFERROR(__xludf.DUMMYFUNCTION("""COMPUTED_VALUE"""),"Iguanian Assassin's Memento")</f>
        <v>Iguanian Assassin's Memento</v>
      </c>
      <c r="B872" s="16" t="str">
        <f>IFERROR(__xludf.DUMMYFUNCTION("""COMPUTED_VALUE"""),"Neck")</f>
        <v>Neck</v>
      </c>
      <c r="C872" s="16" t="str">
        <f>IFERROR(__xludf.DUMMYFUNCTION("""COMPUTED_VALUE"""),"From this necklace hangs a series of teeth, each one taken from an iguanian assassin's victim.")</f>
        <v>From this necklace hangs a series of teeth, each one taken from an iguanian assassin's victim.</v>
      </c>
      <c r="D872" s="16"/>
      <c r="E872" s="16">
        <f>IFERROR(__xludf.DUMMYFUNCTION("""COMPUTED_VALUE"""),1.0)</f>
        <v>1</v>
      </c>
      <c r="F872" s="108">
        <f>IFERROR(__xludf.DUMMYFUNCTION("""COMPUTED_VALUE"""),0.0)</f>
        <v>0</v>
      </c>
      <c r="G872" s="16"/>
      <c r="H872" s="16"/>
      <c r="I872" s="16"/>
      <c r="J872" s="16"/>
      <c r="K872" s="16"/>
      <c r="L872" s="16"/>
      <c r="M872" s="16"/>
      <c r="N872" s="16"/>
      <c r="O872" s="16"/>
      <c r="P872" s="16"/>
      <c r="Q872" s="16"/>
      <c r="R872" s="16"/>
      <c r="S872" s="16"/>
      <c r="T872" s="16"/>
      <c r="U872" s="16"/>
      <c r="V872" s="16"/>
      <c r="W872" s="16"/>
      <c r="X872" s="16"/>
      <c r="Y872" s="16"/>
      <c r="Z872" s="16"/>
      <c r="AA872" s="16"/>
      <c r="AB872" s="16"/>
      <c r="AC872" s="16"/>
      <c r="AD872" s="16"/>
      <c r="AE872" s="16"/>
      <c r="AF872" s="16" t="str">
        <f>IFERROR(__xludf.DUMMYFUNCTION("""COMPUTED_VALUE"""),"++For every enemy killed with this item equipped +1 permanent ATK (0/100000)")</f>
        <v>++For every enemy killed with this item equipped +1 permanent ATK (0/100000)</v>
      </c>
      <c r="AG872" s="16" t="str">
        <f>IFERROR(__xludf.DUMMYFUNCTION("""COMPUTED_VALUE"""),"Dragonscale Island")</f>
        <v>Dragonscale Island</v>
      </c>
      <c r="AH872" s="16" t="b">
        <f>IFERROR(__xludf.DUMMYFUNCTION("""COMPUTED_VALUE"""),FALSE)</f>
        <v>0</v>
      </c>
    </row>
    <row r="873">
      <c r="A873" s="16" t="str">
        <f>IFERROR(__xludf.DUMMYFUNCTION("""COMPUTED_VALUE"""),"Salamander Boots")</f>
        <v>Salamander Boots</v>
      </c>
      <c r="B873" s="16" t="str">
        <f>IFERROR(__xludf.DUMMYFUNCTION("""COMPUTED_VALUE"""),"Feet")</f>
        <v>Feet</v>
      </c>
      <c r="C873" s="16"/>
      <c r="D873" s="16" t="str">
        <f>IFERROR(__xludf.DUMMYFUNCTION("""COMPUTED_VALUE"""),"Item")</f>
        <v>Item</v>
      </c>
      <c r="E873" s="16">
        <f>IFERROR(__xludf.DUMMYFUNCTION("""COMPUTED_VALUE"""),2000.0)</f>
        <v>2000</v>
      </c>
      <c r="F873" s="108">
        <f>IFERROR(__xludf.DUMMYFUNCTION("""COMPUTED_VALUE"""),1.99E8)</f>
        <v>199000000</v>
      </c>
      <c r="G873" s="16" t="str">
        <f>IFERROR(__xludf.DUMMYFUNCTION("""COMPUTED_VALUE"""),"DEF")</f>
        <v>DEF</v>
      </c>
      <c r="H873" s="16"/>
      <c r="I873" s="16">
        <f>IFERROR(__xludf.DUMMYFUNCTION("""COMPUTED_VALUE"""),100000.0)</f>
        <v>100000</v>
      </c>
      <c r="J873" s="16"/>
      <c r="K873" s="16"/>
      <c r="L873" s="16"/>
      <c r="M873" s="16"/>
      <c r="N873" s="16"/>
      <c r="O873" s="16"/>
      <c r="P873" s="16"/>
      <c r="Q873" s="16"/>
      <c r="R873" s="16"/>
      <c r="S873" s="16"/>
      <c r="T873" s="16"/>
      <c r="U873" s="16"/>
      <c r="V873" s="16"/>
      <c r="W873" s="16"/>
      <c r="X873" s="16"/>
      <c r="Y873" s="16"/>
      <c r="Z873" s="16"/>
      <c r="AA873" s="16"/>
      <c r="AB873" s="16"/>
      <c r="AC873" s="16"/>
      <c r="AD873" s="16"/>
      <c r="AE873" s="16"/>
      <c r="AF873" s="16"/>
      <c r="AG873" s="16" t="str">
        <f>IFERROR(__xludf.DUMMYFUNCTION("""COMPUTED_VALUE"""),"Dragonscale Island")</f>
        <v>Dragonscale Island</v>
      </c>
      <c r="AH873" s="16" t="b">
        <f>IFERROR(__xludf.DUMMYFUNCTION("""COMPUTED_VALUE"""),FALSE)</f>
        <v>0</v>
      </c>
    </row>
    <row r="874">
      <c r="A874" s="16" t="str">
        <f>IFERROR(__xludf.DUMMYFUNCTION("""COMPUTED_VALUE"""),"Salamanderscale Chainmail")</f>
        <v>Salamanderscale Chainmail</v>
      </c>
      <c r="B874" s="16" t="str">
        <f>IFERROR(__xludf.DUMMYFUNCTION("""COMPUTED_VALUE"""),"Torso")</f>
        <v>Torso</v>
      </c>
      <c r="C874" s="16"/>
      <c r="D874" s="16" t="str">
        <f>IFERROR(__xludf.DUMMYFUNCTION("""COMPUTED_VALUE"""),"Item")</f>
        <v>Item</v>
      </c>
      <c r="E874" s="16">
        <f>IFERROR(__xludf.DUMMYFUNCTION("""COMPUTED_VALUE"""),2000.0)</f>
        <v>2000</v>
      </c>
      <c r="F874" s="108">
        <f>IFERROR(__xludf.DUMMYFUNCTION("""COMPUTED_VALUE"""),1.99E8)</f>
        <v>199000000</v>
      </c>
      <c r="G874" s="16" t="str">
        <f>IFERROR(__xludf.DUMMYFUNCTION("""COMPUTED_VALUE"""),"DEF")</f>
        <v>DEF</v>
      </c>
      <c r="H874" s="16"/>
      <c r="I874" s="16">
        <f>IFERROR(__xludf.DUMMYFUNCTION("""COMPUTED_VALUE"""),120000.0)</f>
        <v>120000</v>
      </c>
      <c r="J874" s="16"/>
      <c r="K874" s="16">
        <f>IFERROR(__xludf.DUMMYFUNCTION("""COMPUTED_VALUE"""),-10000.0)</f>
        <v>-10000</v>
      </c>
      <c r="L874" s="16">
        <f>IFERROR(__xludf.DUMMYFUNCTION("""COMPUTED_VALUE"""),-10000.0)</f>
        <v>-10000</v>
      </c>
      <c r="M874" s="16"/>
      <c r="N874" s="16"/>
      <c r="O874" s="16"/>
      <c r="P874" s="16"/>
      <c r="Q874" s="16"/>
      <c r="R874" s="16"/>
      <c r="S874" s="16"/>
      <c r="T874" s="16"/>
      <c r="U874" s="16"/>
      <c r="V874" s="16"/>
      <c r="W874" s="16"/>
      <c r="X874" s="16"/>
      <c r="Y874" s="16"/>
      <c r="Z874" s="16"/>
      <c r="AA874" s="16"/>
      <c r="AB874" s="16"/>
      <c r="AC874" s="16"/>
      <c r="AD874" s="16"/>
      <c r="AE874" s="16"/>
      <c r="AF874" s="16" t="str">
        <f>IFERROR(__xludf.DUMMYFUNCTION("""COMPUTED_VALUE"""),"+-Water and Storm deal additional 20000 damage to the wearer")</f>
        <v>+-Water and Storm deal additional 20000 damage to the wearer</v>
      </c>
      <c r="AG874" s="16" t="str">
        <f>IFERROR(__xludf.DUMMYFUNCTION("""COMPUTED_VALUE"""),"Dragonscale Island")</f>
        <v>Dragonscale Island</v>
      </c>
      <c r="AH874" s="16" t="b">
        <f>IFERROR(__xludf.DUMMYFUNCTION("""COMPUTED_VALUE"""),FALSE)</f>
        <v>0</v>
      </c>
    </row>
    <row r="875">
      <c r="A875" s="16" t="str">
        <f>IFERROR(__xludf.DUMMYFUNCTION("""COMPUTED_VALUE"""),"Iguanian Brawler's Headband")</f>
        <v>Iguanian Brawler's Headband</v>
      </c>
      <c r="B875" s="16" t="str">
        <f>IFERROR(__xludf.DUMMYFUNCTION("""COMPUTED_VALUE"""),"Head")</f>
        <v>Head</v>
      </c>
      <c r="C875" s="16"/>
      <c r="D875" s="16" t="str">
        <f>IFERROR(__xludf.DUMMYFUNCTION("""COMPUTED_VALUE"""),"Item")</f>
        <v>Item</v>
      </c>
      <c r="E875" s="16">
        <f>IFERROR(__xludf.DUMMYFUNCTION("""COMPUTED_VALUE"""),3000.0)</f>
        <v>3000</v>
      </c>
      <c r="F875" s="108">
        <f>IFERROR(__xludf.DUMMYFUNCTION("""COMPUTED_VALUE"""),4.485E8)</f>
        <v>448500000</v>
      </c>
      <c r="G875" s="16" t="str">
        <f>IFERROR(__xludf.DUMMYFUNCTION("""COMPUTED_VALUE"""),"DEF")</f>
        <v>DEF</v>
      </c>
      <c r="H875" s="16">
        <f>IFERROR(__xludf.DUMMYFUNCTION("""COMPUTED_VALUE"""),150000.0)</f>
        <v>150000</v>
      </c>
      <c r="I875" s="16"/>
      <c r="J875" s="16"/>
      <c r="K875" s="16">
        <f>IFERROR(__xludf.DUMMYFUNCTION("""COMPUTED_VALUE"""),50000.0)</f>
        <v>50000</v>
      </c>
      <c r="L875" s="16"/>
      <c r="M875" s="16"/>
      <c r="N875" s="16"/>
      <c r="O875" s="16"/>
      <c r="P875" s="16"/>
      <c r="Q875" s="16"/>
      <c r="R875" s="16"/>
      <c r="S875" s="16">
        <f>IFERROR(__xludf.DUMMYFUNCTION("""COMPUTED_VALUE"""),-50000.0)</f>
        <v>-50000</v>
      </c>
      <c r="T875" s="16"/>
      <c r="U875" s="16"/>
      <c r="V875" s="16"/>
      <c r="W875" s="16"/>
      <c r="X875" s="16"/>
      <c r="Y875" s="16"/>
      <c r="Z875" s="16"/>
      <c r="AA875" s="16"/>
      <c r="AB875" s="16"/>
      <c r="AC875" s="16"/>
      <c r="AD875" s="16"/>
      <c r="AE875" s="16"/>
      <c r="AF875" s="16"/>
      <c r="AG875" s="16" t="str">
        <f>IFERROR(__xludf.DUMMYFUNCTION("""COMPUTED_VALUE"""),"Dragonscale Island")</f>
        <v>Dragonscale Island</v>
      </c>
      <c r="AH875" s="16" t="b">
        <f>IFERROR(__xludf.DUMMYFUNCTION("""COMPUTED_VALUE"""),FALSE)</f>
        <v>0</v>
      </c>
    </row>
    <row r="876">
      <c r="A876" s="16" t="str">
        <f>IFERROR(__xludf.DUMMYFUNCTION("""COMPUTED_VALUE"""),"Iguanian Brawler's Cape")</f>
        <v>Iguanian Brawler's Cape</v>
      </c>
      <c r="B876" s="16" t="str">
        <f>IFERROR(__xludf.DUMMYFUNCTION("""COMPUTED_VALUE"""),"Shoulders")</f>
        <v>Shoulders</v>
      </c>
      <c r="C876" s="16"/>
      <c r="D876" s="16" t="str">
        <f>IFERROR(__xludf.DUMMYFUNCTION("""COMPUTED_VALUE"""),"Item")</f>
        <v>Item</v>
      </c>
      <c r="E876" s="16">
        <f>IFERROR(__xludf.DUMMYFUNCTION("""COMPUTED_VALUE"""),3000.0)</f>
        <v>3000</v>
      </c>
      <c r="F876" s="108">
        <f>IFERROR(__xludf.DUMMYFUNCTION("""COMPUTED_VALUE"""),4.485E8)</f>
        <v>448500000</v>
      </c>
      <c r="G876" s="16" t="str">
        <f>IFERROR(__xludf.DUMMYFUNCTION("""COMPUTED_VALUE"""),"DEF")</f>
        <v>DEF</v>
      </c>
      <c r="H876" s="16">
        <f>IFERROR(__xludf.DUMMYFUNCTION("""COMPUTED_VALUE"""),150000.0)</f>
        <v>150000</v>
      </c>
      <c r="I876" s="16"/>
      <c r="J876" s="16"/>
      <c r="K876" s="16">
        <f>IFERROR(__xludf.DUMMYFUNCTION("""COMPUTED_VALUE"""),50000.0)</f>
        <v>50000</v>
      </c>
      <c r="L876" s="16"/>
      <c r="M876" s="16"/>
      <c r="N876" s="16"/>
      <c r="O876" s="16"/>
      <c r="P876" s="16"/>
      <c r="Q876" s="16"/>
      <c r="R876" s="16"/>
      <c r="S876" s="16">
        <f>IFERROR(__xludf.DUMMYFUNCTION("""COMPUTED_VALUE"""),-50000.0)</f>
        <v>-50000</v>
      </c>
      <c r="T876" s="16"/>
      <c r="U876" s="16"/>
      <c r="V876" s="16"/>
      <c r="W876" s="16"/>
      <c r="X876" s="16"/>
      <c r="Y876" s="16"/>
      <c r="Z876" s="16"/>
      <c r="AA876" s="16"/>
      <c r="AB876" s="16"/>
      <c r="AC876" s="16"/>
      <c r="AD876" s="16"/>
      <c r="AE876" s="16"/>
      <c r="AF876" s="16"/>
      <c r="AG876" s="16" t="str">
        <f>IFERROR(__xludf.DUMMYFUNCTION("""COMPUTED_VALUE"""),"Dragonscale Island")</f>
        <v>Dragonscale Island</v>
      </c>
      <c r="AH876" s="16" t="b">
        <f>IFERROR(__xludf.DUMMYFUNCTION("""COMPUTED_VALUE"""),FALSE)</f>
        <v>0</v>
      </c>
    </row>
    <row r="877">
      <c r="A877" s="16" t="str">
        <f>IFERROR(__xludf.DUMMYFUNCTION("""COMPUTED_VALUE"""),"Iguanian Brawler's Sash")</f>
        <v>Iguanian Brawler's Sash</v>
      </c>
      <c r="B877" s="16" t="str">
        <f>IFERROR(__xludf.DUMMYFUNCTION("""COMPUTED_VALUE"""),"Torso")</f>
        <v>Torso</v>
      </c>
      <c r="C877" s="16"/>
      <c r="D877" s="16" t="str">
        <f>IFERROR(__xludf.DUMMYFUNCTION("""COMPUTED_VALUE"""),"Item")</f>
        <v>Item</v>
      </c>
      <c r="E877" s="16">
        <f>IFERROR(__xludf.DUMMYFUNCTION("""COMPUTED_VALUE"""),3000.0)</f>
        <v>3000</v>
      </c>
      <c r="F877" s="108">
        <f>IFERROR(__xludf.DUMMYFUNCTION("""COMPUTED_VALUE"""),4.485E8)</f>
        <v>448500000</v>
      </c>
      <c r="G877" s="16" t="str">
        <f>IFERROR(__xludf.DUMMYFUNCTION("""COMPUTED_VALUE"""),"DEF")</f>
        <v>DEF</v>
      </c>
      <c r="H877" s="16">
        <f>IFERROR(__xludf.DUMMYFUNCTION("""COMPUTED_VALUE"""),150000.0)</f>
        <v>150000</v>
      </c>
      <c r="I877" s="16"/>
      <c r="J877" s="16"/>
      <c r="K877" s="16">
        <f>IFERROR(__xludf.DUMMYFUNCTION("""COMPUTED_VALUE"""),50000.0)</f>
        <v>50000</v>
      </c>
      <c r="L877" s="16"/>
      <c r="M877" s="16"/>
      <c r="N877" s="16"/>
      <c r="O877" s="16"/>
      <c r="P877" s="16"/>
      <c r="Q877" s="16"/>
      <c r="R877" s="16"/>
      <c r="S877" s="16">
        <f>IFERROR(__xludf.DUMMYFUNCTION("""COMPUTED_VALUE"""),-50000.0)</f>
        <v>-50000</v>
      </c>
      <c r="T877" s="16"/>
      <c r="U877" s="16"/>
      <c r="V877" s="16"/>
      <c r="W877" s="16"/>
      <c r="X877" s="16"/>
      <c r="Y877" s="16"/>
      <c r="Z877" s="16"/>
      <c r="AA877" s="16"/>
      <c r="AB877" s="16"/>
      <c r="AC877" s="16"/>
      <c r="AD877" s="16"/>
      <c r="AE877" s="16"/>
      <c r="AF877" s="16"/>
      <c r="AG877" s="16" t="str">
        <f>IFERROR(__xludf.DUMMYFUNCTION("""COMPUTED_VALUE"""),"Dragonscale Island")</f>
        <v>Dragonscale Island</v>
      </c>
      <c r="AH877" s="16" t="b">
        <f>IFERROR(__xludf.DUMMYFUNCTION("""COMPUTED_VALUE"""),FALSE)</f>
        <v>0</v>
      </c>
    </row>
    <row r="878">
      <c r="A878" s="16" t="str">
        <f>IFERROR(__xludf.DUMMYFUNCTION("""COMPUTED_VALUE"""),"Iguanian Brawler's Arm Wraps")</f>
        <v>Iguanian Brawler's Arm Wraps</v>
      </c>
      <c r="B878" s="16" t="str">
        <f>IFERROR(__xludf.DUMMYFUNCTION("""COMPUTED_VALUE"""),"Arms")</f>
        <v>Arms</v>
      </c>
      <c r="C878" s="16"/>
      <c r="D878" s="16" t="str">
        <f>IFERROR(__xludf.DUMMYFUNCTION("""COMPUTED_VALUE"""),"Item")</f>
        <v>Item</v>
      </c>
      <c r="E878" s="16">
        <f>IFERROR(__xludf.DUMMYFUNCTION("""COMPUTED_VALUE"""),3000.0)</f>
        <v>3000</v>
      </c>
      <c r="F878" s="108">
        <f>IFERROR(__xludf.DUMMYFUNCTION("""COMPUTED_VALUE"""),4.485E8)</f>
        <v>448500000</v>
      </c>
      <c r="G878" s="16" t="str">
        <f>IFERROR(__xludf.DUMMYFUNCTION("""COMPUTED_VALUE"""),"DEF")</f>
        <v>DEF</v>
      </c>
      <c r="H878" s="16">
        <f>IFERROR(__xludf.DUMMYFUNCTION("""COMPUTED_VALUE"""),150000.0)</f>
        <v>150000</v>
      </c>
      <c r="I878" s="16"/>
      <c r="J878" s="16"/>
      <c r="K878" s="16">
        <f>IFERROR(__xludf.DUMMYFUNCTION("""COMPUTED_VALUE"""),50000.0)</f>
        <v>50000</v>
      </c>
      <c r="L878" s="16"/>
      <c r="M878" s="16"/>
      <c r="N878" s="16"/>
      <c r="O878" s="16"/>
      <c r="P878" s="16"/>
      <c r="Q878" s="16"/>
      <c r="R878" s="16"/>
      <c r="S878" s="16">
        <f>IFERROR(__xludf.DUMMYFUNCTION("""COMPUTED_VALUE"""),-50000.0)</f>
        <v>-50000</v>
      </c>
      <c r="T878" s="16"/>
      <c r="U878" s="16"/>
      <c r="V878" s="16"/>
      <c r="W878" s="16"/>
      <c r="X878" s="16"/>
      <c r="Y878" s="16"/>
      <c r="Z878" s="16"/>
      <c r="AA878" s="16"/>
      <c r="AB878" s="16"/>
      <c r="AC878" s="16"/>
      <c r="AD878" s="16"/>
      <c r="AE878" s="16"/>
      <c r="AF878" s="16"/>
      <c r="AG878" s="16" t="str">
        <f>IFERROR(__xludf.DUMMYFUNCTION("""COMPUTED_VALUE"""),"Dragonscale Island")</f>
        <v>Dragonscale Island</v>
      </c>
      <c r="AH878" s="16" t="b">
        <f>IFERROR(__xludf.DUMMYFUNCTION("""COMPUTED_VALUE"""),FALSE)</f>
        <v>0</v>
      </c>
    </row>
    <row r="879">
      <c r="A879" s="16" t="str">
        <f>IFERROR(__xludf.DUMMYFUNCTION("""COMPUTED_VALUE"""),"Iguanian Brawler's Shorts")</f>
        <v>Iguanian Brawler's Shorts</v>
      </c>
      <c r="B879" s="16" t="str">
        <f>IFERROR(__xludf.DUMMYFUNCTION("""COMPUTED_VALUE"""),"Legs")</f>
        <v>Legs</v>
      </c>
      <c r="C879" s="16"/>
      <c r="D879" s="16" t="str">
        <f>IFERROR(__xludf.DUMMYFUNCTION("""COMPUTED_VALUE"""),"Item")</f>
        <v>Item</v>
      </c>
      <c r="E879" s="16">
        <f>IFERROR(__xludf.DUMMYFUNCTION("""COMPUTED_VALUE"""),3000.0)</f>
        <v>3000</v>
      </c>
      <c r="F879" s="108">
        <f>IFERROR(__xludf.DUMMYFUNCTION("""COMPUTED_VALUE"""),4.485E8)</f>
        <v>448500000</v>
      </c>
      <c r="G879" s="16" t="str">
        <f>IFERROR(__xludf.DUMMYFUNCTION("""COMPUTED_VALUE"""),"DEF")</f>
        <v>DEF</v>
      </c>
      <c r="H879" s="16">
        <f>IFERROR(__xludf.DUMMYFUNCTION("""COMPUTED_VALUE"""),150000.0)</f>
        <v>150000</v>
      </c>
      <c r="I879" s="16"/>
      <c r="J879" s="16"/>
      <c r="K879" s="16">
        <f>IFERROR(__xludf.DUMMYFUNCTION("""COMPUTED_VALUE"""),50000.0)</f>
        <v>50000</v>
      </c>
      <c r="L879" s="16"/>
      <c r="M879" s="16"/>
      <c r="N879" s="16"/>
      <c r="O879" s="16"/>
      <c r="P879" s="16"/>
      <c r="Q879" s="16"/>
      <c r="R879" s="16"/>
      <c r="S879" s="16">
        <f>IFERROR(__xludf.DUMMYFUNCTION("""COMPUTED_VALUE"""),-50000.0)</f>
        <v>-50000</v>
      </c>
      <c r="T879" s="16"/>
      <c r="U879" s="16"/>
      <c r="V879" s="16"/>
      <c r="W879" s="16"/>
      <c r="X879" s="16"/>
      <c r="Y879" s="16"/>
      <c r="Z879" s="16"/>
      <c r="AA879" s="16"/>
      <c r="AB879" s="16"/>
      <c r="AC879" s="16"/>
      <c r="AD879" s="16"/>
      <c r="AE879" s="16"/>
      <c r="AF879" s="16"/>
      <c r="AG879" s="16" t="str">
        <f>IFERROR(__xludf.DUMMYFUNCTION("""COMPUTED_VALUE"""),"Dragonscale Island")</f>
        <v>Dragonscale Island</v>
      </c>
      <c r="AH879" s="16" t="b">
        <f>IFERROR(__xludf.DUMMYFUNCTION("""COMPUTED_VALUE"""),FALSE)</f>
        <v>0</v>
      </c>
    </row>
    <row r="880">
      <c r="A880" s="16" t="str">
        <f>IFERROR(__xludf.DUMMYFUNCTION("""COMPUTED_VALUE"""),"Iguanian Brawler's Sandals")</f>
        <v>Iguanian Brawler's Sandals</v>
      </c>
      <c r="B880" s="16" t="str">
        <f>IFERROR(__xludf.DUMMYFUNCTION("""COMPUTED_VALUE"""),"Feet")</f>
        <v>Feet</v>
      </c>
      <c r="C880" s="16"/>
      <c r="D880" s="16" t="str">
        <f>IFERROR(__xludf.DUMMYFUNCTION("""COMPUTED_VALUE"""),"Item")</f>
        <v>Item</v>
      </c>
      <c r="E880" s="16">
        <f>IFERROR(__xludf.DUMMYFUNCTION("""COMPUTED_VALUE"""),3000.0)</f>
        <v>3000</v>
      </c>
      <c r="F880" s="108">
        <f>IFERROR(__xludf.DUMMYFUNCTION("""COMPUTED_VALUE"""),4.485E8)</f>
        <v>448500000</v>
      </c>
      <c r="G880" s="16" t="str">
        <f>IFERROR(__xludf.DUMMYFUNCTION("""COMPUTED_VALUE"""),"DEF")</f>
        <v>DEF</v>
      </c>
      <c r="H880" s="16">
        <f>IFERROR(__xludf.DUMMYFUNCTION("""COMPUTED_VALUE"""),150000.0)</f>
        <v>150000</v>
      </c>
      <c r="I880" s="16"/>
      <c r="J880" s="16"/>
      <c r="K880" s="16">
        <f>IFERROR(__xludf.DUMMYFUNCTION("""COMPUTED_VALUE"""),50000.0)</f>
        <v>50000</v>
      </c>
      <c r="L880" s="16"/>
      <c r="M880" s="16"/>
      <c r="N880" s="16"/>
      <c r="O880" s="16"/>
      <c r="P880" s="16"/>
      <c r="Q880" s="16"/>
      <c r="R880" s="16"/>
      <c r="S880" s="16">
        <f>IFERROR(__xludf.DUMMYFUNCTION("""COMPUTED_VALUE"""),-50000.0)</f>
        <v>-50000</v>
      </c>
      <c r="T880" s="16"/>
      <c r="U880" s="16"/>
      <c r="V880" s="16"/>
      <c r="W880" s="16"/>
      <c r="X880" s="16"/>
      <c r="Y880" s="16"/>
      <c r="Z880" s="16"/>
      <c r="AA880" s="16"/>
      <c r="AB880" s="16"/>
      <c r="AC880" s="16"/>
      <c r="AD880" s="16"/>
      <c r="AE880" s="16"/>
      <c r="AF880" s="16"/>
      <c r="AG880" s="16" t="str">
        <f>IFERROR(__xludf.DUMMYFUNCTION("""COMPUTED_VALUE"""),"Dragonscale Island")</f>
        <v>Dragonscale Island</v>
      </c>
      <c r="AH880" s="16" t="b">
        <f>IFERROR(__xludf.DUMMYFUNCTION("""COMPUTED_VALUE"""),FALSE)</f>
        <v>0</v>
      </c>
    </row>
    <row r="881">
      <c r="A881" s="16" t="str">
        <f>IFERROR(__xludf.DUMMYFUNCTION("""COMPUTED_VALUE"""),"Iguanian Brawler's Knuckles")</f>
        <v>Iguanian Brawler's Knuckles</v>
      </c>
      <c r="B881" s="16" t="str">
        <f>IFERROR(__xludf.DUMMYFUNCTION("""COMPUTED_VALUE"""),"Hand")</f>
        <v>Hand</v>
      </c>
      <c r="C881" s="16"/>
      <c r="D881" s="16" t="str">
        <f>IFERROR(__xludf.DUMMYFUNCTION("""COMPUTED_VALUE"""),"Gauntlet")</f>
        <v>Gauntlet</v>
      </c>
      <c r="E881" s="16">
        <f>IFERROR(__xludf.DUMMYFUNCTION("""COMPUTED_VALUE"""),3000.0)</f>
        <v>3000</v>
      </c>
      <c r="F881" s="108">
        <f>IFERROR(__xludf.DUMMYFUNCTION("""COMPUTED_VALUE"""),4.485E8)</f>
        <v>448500000</v>
      </c>
      <c r="G881" s="16" t="str">
        <f>IFERROR(__xludf.DUMMYFUNCTION("""COMPUTED_VALUE"""),"DEF")</f>
        <v>DEF</v>
      </c>
      <c r="H881" s="16">
        <f>IFERROR(__xludf.DUMMYFUNCTION("""COMPUTED_VALUE"""),100000.0)</f>
        <v>100000</v>
      </c>
      <c r="I881" s="16"/>
      <c r="J881" s="16"/>
      <c r="K881" s="16">
        <f>IFERROR(__xludf.DUMMYFUNCTION("""COMPUTED_VALUE"""),50000.0)</f>
        <v>50000</v>
      </c>
      <c r="L881" s="16"/>
      <c r="M881" s="16"/>
      <c r="N881" s="16"/>
      <c r="O881" s="16"/>
      <c r="P881" s="16"/>
      <c r="Q881" s="16"/>
      <c r="R881" s="16"/>
      <c r="S881" s="16"/>
      <c r="T881" s="16"/>
      <c r="U881" s="16"/>
      <c r="V881" s="16"/>
      <c r="W881" s="16"/>
      <c r="X881" s="16"/>
      <c r="Y881" s="16"/>
      <c r="Z881" s="16"/>
      <c r="AA881" s="16"/>
      <c r="AB881" s="16"/>
      <c r="AC881" s="16"/>
      <c r="AD881" s="16"/>
      <c r="AE881" s="16"/>
      <c r="AF881" s="16"/>
      <c r="AG881" s="16" t="str">
        <f>IFERROR(__xludf.DUMMYFUNCTION("""COMPUTED_VALUE"""),"Dragonscale Island")</f>
        <v>Dragonscale Island</v>
      </c>
      <c r="AH881" s="16" t="b">
        <f>IFERROR(__xludf.DUMMYFUNCTION("""COMPUTED_VALUE"""),FALSE)</f>
        <v>0</v>
      </c>
    </row>
    <row r="882">
      <c r="A882" s="16" t="str">
        <f>IFERROR(__xludf.DUMMYFUNCTION("""COMPUTED_VALUE"""),"Iguanian Brawler's Ring")</f>
        <v>Iguanian Brawler's Ring</v>
      </c>
      <c r="B882" s="16" t="str">
        <f>IFERROR(__xludf.DUMMYFUNCTION("""COMPUTED_VALUE"""),"Finger")</f>
        <v>Finger</v>
      </c>
      <c r="C882" s="16"/>
      <c r="D882" s="16"/>
      <c r="E882" s="16">
        <f>IFERROR(__xludf.DUMMYFUNCTION("""COMPUTED_VALUE"""),1.0)</f>
        <v>1</v>
      </c>
      <c r="F882" s="108">
        <f>IFERROR(__xludf.DUMMYFUNCTION("""COMPUTED_VALUE"""),0.0)</f>
        <v>0</v>
      </c>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t="str">
        <f>IFERROR(__xludf.DUMMYFUNCTION("""COMPUTED_VALUE"""),"++X10 Natural Attack damage")</f>
        <v>++X10 Natural Attack damage</v>
      </c>
      <c r="AG882" s="16" t="str">
        <f>IFERROR(__xludf.DUMMYFUNCTION("""COMPUTED_VALUE"""),"Dragonscale Island")</f>
        <v>Dragonscale Island</v>
      </c>
      <c r="AH882" s="16" t="b">
        <f>IFERROR(__xludf.DUMMYFUNCTION("""COMPUTED_VALUE"""),FALSE)</f>
        <v>0</v>
      </c>
    </row>
    <row r="883">
      <c r="A883" s="16" t="str">
        <f>IFERROR(__xludf.DUMMYFUNCTION("""COMPUTED_VALUE"""),"Cursed Ring of Sudden Death")</f>
        <v>Cursed Ring of Sudden Death</v>
      </c>
      <c r="B883" s="16" t="str">
        <f>IFERROR(__xludf.DUMMYFUNCTION("""COMPUTED_VALUE"""),"Finger")</f>
        <v>Finger</v>
      </c>
      <c r="C883" s="16"/>
      <c r="D883" s="16" t="str">
        <f>IFERROR(__xludf.DUMMYFUNCTION("""COMPUTED_VALUE"""),"Item")</f>
        <v>Item</v>
      </c>
      <c r="E883" s="16">
        <f>IFERROR(__xludf.DUMMYFUNCTION("""COMPUTED_VALUE"""),1.0)</f>
        <v>1</v>
      </c>
      <c r="F883" s="108">
        <f>IFERROR(__xludf.DUMMYFUNCTION("""COMPUTED_VALUE"""),0.0)</f>
        <v>0</v>
      </c>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t="str">
        <f>IFERROR(__xludf.DUMMYFUNCTION("""COMPUTED_VALUE"""),"++Can be manually activated at the beginning of battle, before turn order is set. When activated, all damage dealt to or by the wearer results in instant death for the battle. +-Cannot be forged or duplicated")</f>
        <v>++Can be manually activated at the beginning of battle, before turn order is set. When activated, all damage dealt to or by the wearer results in instant death for the battle. +-Cannot be forged or duplicated</v>
      </c>
      <c r="AG883" s="16" t="str">
        <f>IFERROR(__xludf.DUMMYFUNCTION("""COMPUTED_VALUE"""),"Dragonscale Island")</f>
        <v>Dragonscale Island</v>
      </c>
      <c r="AH883" s="16" t="b">
        <f>IFERROR(__xludf.DUMMYFUNCTION("""COMPUTED_VALUE"""),FALSE)</f>
        <v>0</v>
      </c>
    </row>
    <row r="884">
      <c r="A884" s="16" t="str">
        <f>IFERROR(__xludf.DUMMYFUNCTION("""COMPUTED_VALUE"""),"Ring of Action")</f>
        <v>Ring of Action</v>
      </c>
      <c r="B884" s="16" t="str">
        <f>IFERROR(__xludf.DUMMYFUNCTION("""COMPUTED_VALUE"""),"Finger")</f>
        <v>Finger</v>
      </c>
      <c r="C884" s="16"/>
      <c r="D884" s="16" t="str">
        <f>IFERROR(__xludf.DUMMYFUNCTION("""COMPUTED_VALUE"""),"Item")</f>
        <v>Item</v>
      </c>
      <c r="E884" s="16">
        <f>IFERROR(__xludf.DUMMYFUNCTION("""COMPUTED_VALUE"""),1.0)</f>
        <v>1</v>
      </c>
      <c r="F884" s="108">
        <f>IFERROR(__xludf.DUMMYFUNCTION("""COMPUTED_VALUE"""),0.0)</f>
        <v>0</v>
      </c>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t="str">
        <f>IFERROR(__xludf.DUMMYFUNCTION("""COMPUTED_VALUE"""),"++10000 SP")</f>
        <v>++10000 SP</v>
      </c>
      <c r="AG884" s="16" t="str">
        <f>IFERROR(__xludf.DUMMYFUNCTION("""COMPUTED_VALUE"""),"Dragonscale Island")</f>
        <v>Dragonscale Island</v>
      </c>
      <c r="AH884" s="16" t="b">
        <f>IFERROR(__xludf.DUMMYFUNCTION("""COMPUTED_VALUE"""),FALSE)</f>
        <v>0</v>
      </c>
    </row>
    <row r="885">
      <c r="A885" s="16" t="str">
        <f>IFERROR(__xludf.DUMMYFUNCTION("""COMPUTED_VALUE"""),"Iguanian Mage Hat")</f>
        <v>Iguanian Mage Hat</v>
      </c>
      <c r="B885" s="16"/>
      <c r="C885" s="16"/>
      <c r="D885" s="16" t="str">
        <f>IFERROR(__xludf.DUMMYFUNCTION("""COMPUTED_VALUE"""),"Item")</f>
        <v>Item</v>
      </c>
      <c r="E885" s="16">
        <f>IFERROR(__xludf.DUMMYFUNCTION("""COMPUTED_VALUE"""),1.0)</f>
        <v>1</v>
      </c>
      <c r="F885" s="108">
        <f>IFERROR(__xludf.DUMMYFUNCTION("""COMPUTED_VALUE"""),0.0)</f>
        <v>0</v>
      </c>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t="str">
        <f>IFERROR(__xludf.DUMMYFUNCTION("""COMPUTED_VALUE"""),"++10000 hp and sp")</f>
        <v>++10000 hp and sp</v>
      </c>
      <c r="AG885" s="16" t="str">
        <f>IFERROR(__xludf.DUMMYFUNCTION("""COMPUTED_VALUE"""),"Dragonscale Island")</f>
        <v>Dragonscale Island</v>
      </c>
      <c r="AH885" s="16" t="b">
        <f>IFERROR(__xludf.DUMMYFUNCTION("""COMPUTED_VALUE"""),FALSE)</f>
        <v>0</v>
      </c>
    </row>
    <row r="886">
      <c r="A886" s="16" t="str">
        <f>IFERROR(__xludf.DUMMYFUNCTION("""COMPUTED_VALUE"""),"Iguanian Mage Robes")</f>
        <v>Iguanian Mage Robes</v>
      </c>
      <c r="B886" s="16"/>
      <c r="C886" s="16"/>
      <c r="D886" s="16" t="str">
        <f>IFERROR(__xludf.DUMMYFUNCTION("""COMPUTED_VALUE"""),"Item")</f>
        <v>Item</v>
      </c>
      <c r="E886" s="16">
        <f>IFERROR(__xludf.DUMMYFUNCTION("""COMPUTED_VALUE"""),1.0)</f>
        <v>1</v>
      </c>
      <c r="F886" s="108">
        <f>IFERROR(__xludf.DUMMYFUNCTION("""COMPUTED_VALUE"""),0.0)</f>
        <v>0</v>
      </c>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t="str">
        <f>IFERROR(__xludf.DUMMYFUNCTION("""COMPUTED_VALUE"""),"++10000 hp and sp")</f>
        <v>++10000 hp and sp</v>
      </c>
      <c r="AG886" s="16" t="str">
        <f>IFERROR(__xludf.DUMMYFUNCTION("""COMPUTED_VALUE"""),"Dragonscale Island")</f>
        <v>Dragonscale Island</v>
      </c>
      <c r="AH886" s="16" t="b">
        <f>IFERROR(__xludf.DUMMYFUNCTION("""COMPUTED_VALUE"""),FALSE)</f>
        <v>0</v>
      </c>
    </row>
    <row r="887">
      <c r="A887" s="16" t="str">
        <f>IFERROR(__xludf.DUMMYFUNCTION("""COMPUTED_VALUE"""),"Iguanian Mage Leggings")</f>
        <v>Iguanian Mage Leggings</v>
      </c>
      <c r="B887" s="16"/>
      <c r="C887" s="16"/>
      <c r="D887" s="16" t="str">
        <f>IFERROR(__xludf.DUMMYFUNCTION("""COMPUTED_VALUE"""),"Item")</f>
        <v>Item</v>
      </c>
      <c r="E887" s="16">
        <f>IFERROR(__xludf.DUMMYFUNCTION("""COMPUTED_VALUE"""),1.0)</f>
        <v>1</v>
      </c>
      <c r="F887" s="108">
        <f>IFERROR(__xludf.DUMMYFUNCTION("""COMPUTED_VALUE"""),0.0)</f>
        <v>0</v>
      </c>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t="str">
        <f>IFERROR(__xludf.DUMMYFUNCTION("""COMPUTED_VALUE"""),"++10000 hp and sp")</f>
        <v>++10000 hp and sp</v>
      </c>
      <c r="AG887" s="16" t="str">
        <f>IFERROR(__xludf.DUMMYFUNCTION("""COMPUTED_VALUE"""),"Dragonscale Island")</f>
        <v>Dragonscale Island</v>
      </c>
      <c r="AH887" s="16" t="b">
        <f>IFERROR(__xludf.DUMMYFUNCTION("""COMPUTED_VALUE"""),FALSE)</f>
        <v>0</v>
      </c>
    </row>
    <row r="888">
      <c r="A888" s="16" t="str">
        <f>IFERROR(__xludf.DUMMYFUNCTION("""COMPUTED_VALUE"""),"Iguanian Mage Pointed Shoes")</f>
        <v>Iguanian Mage Pointed Shoes</v>
      </c>
      <c r="B888" s="16"/>
      <c r="C888" s="16"/>
      <c r="D888" s="16" t="str">
        <f>IFERROR(__xludf.DUMMYFUNCTION("""COMPUTED_VALUE"""),"Item")</f>
        <v>Item</v>
      </c>
      <c r="E888" s="16">
        <f>IFERROR(__xludf.DUMMYFUNCTION("""COMPUTED_VALUE"""),1.0)</f>
        <v>1</v>
      </c>
      <c r="F888" s="108">
        <f>IFERROR(__xludf.DUMMYFUNCTION("""COMPUTED_VALUE"""),0.0)</f>
        <v>0</v>
      </c>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t="str">
        <f>IFERROR(__xludf.DUMMYFUNCTION("""COMPUTED_VALUE"""),"++10000 hp and sp")</f>
        <v>++10000 hp and sp</v>
      </c>
      <c r="AG888" s="16" t="str">
        <f>IFERROR(__xludf.DUMMYFUNCTION("""COMPUTED_VALUE"""),"Dragonscale Island")</f>
        <v>Dragonscale Island</v>
      </c>
      <c r="AH888" s="16" t="b">
        <f>IFERROR(__xludf.DUMMYFUNCTION("""COMPUTED_VALUE"""),FALSE)</f>
        <v>0</v>
      </c>
    </row>
    <row r="889">
      <c r="A889" s="16" t="str">
        <f>IFERROR(__xludf.DUMMYFUNCTION("""COMPUTED_VALUE"""),"Iguanian Mage Staff of Hail")</f>
        <v>Iguanian Mage Staff of Hail</v>
      </c>
      <c r="B889" s="16"/>
      <c r="C889" s="16"/>
      <c r="D889" s="16" t="str">
        <f>IFERROR(__xludf.DUMMYFUNCTION("""COMPUTED_VALUE"""),"Staff")</f>
        <v>Staff</v>
      </c>
      <c r="E889" s="16">
        <f>IFERROR(__xludf.DUMMYFUNCTION("""COMPUTED_VALUE"""),1.0)</f>
        <v>1</v>
      </c>
      <c r="F889" s="108">
        <f>IFERROR(__xludf.DUMMYFUNCTION("""COMPUTED_VALUE"""),0.0)</f>
        <v>0</v>
      </c>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t="str">
        <f>IFERROR(__xludf.DUMMYFUNCTION("""COMPUTED_VALUE"""),"++Iguanian Tidecall: Inflicts 25000XWisdom Water damage on all enemies sp cost: 1000XWisdom sp. ++Iguanian Mage's Staff: X5 to all Water and Storm Damage ")</f>
        <v>++Iguanian Tidecall: Inflicts 25000XWisdom Water damage on all enemies sp cost: 1000XWisdom sp. ++Iguanian Mage's Staff: X5 to all Water and Storm Damage </v>
      </c>
      <c r="AG889" s="16" t="str">
        <f>IFERROR(__xludf.DUMMYFUNCTION("""COMPUTED_VALUE"""),"Dragonscale Island")</f>
        <v>Dragonscale Island</v>
      </c>
      <c r="AH889" s="16" t="b">
        <f>IFERROR(__xludf.DUMMYFUNCTION("""COMPUTED_VALUE"""),FALSE)</f>
        <v>0</v>
      </c>
    </row>
    <row r="890">
      <c r="A890" s="16"/>
      <c r="B890" s="16"/>
      <c r="C890" s="16"/>
      <c r="D890" s="16"/>
      <c r="E890" s="16">
        <f>IFERROR(__xludf.DUMMYFUNCTION("""COMPUTED_VALUE"""),1.0)</f>
        <v>1</v>
      </c>
      <c r="F890" s="108">
        <f>IFERROR(__xludf.DUMMYFUNCTION("""COMPUTED_VALUE"""),0.0)</f>
        <v>0</v>
      </c>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t="str">
        <f>IFERROR(__xludf.DUMMYFUNCTION("""COMPUTED_VALUE"""),"Dragonscale Island")</f>
        <v>Dragonscale Island</v>
      </c>
      <c r="AH890" s="16" t="b">
        <f>IFERROR(__xludf.DUMMYFUNCTION("""COMPUTED_VALUE"""),FALSE)</f>
        <v>0</v>
      </c>
    </row>
    <row r="891">
      <c r="A891" s="16" t="str">
        <f>IFERROR(__xludf.DUMMYFUNCTION("""COMPUTED_VALUE"""),"Blood Finger Ring")</f>
        <v>Blood Finger Ring</v>
      </c>
      <c r="B891" s="16" t="str">
        <f>IFERROR(__xludf.DUMMYFUNCTION("""COMPUTED_VALUE"""),"Finger")</f>
        <v>Finger</v>
      </c>
      <c r="C891" s="16"/>
      <c r="D891" s="16" t="str">
        <f>IFERROR(__xludf.DUMMYFUNCTION("""COMPUTED_VALUE"""),"Item")</f>
        <v>Item</v>
      </c>
      <c r="E891" s="16">
        <f>IFERROR(__xludf.DUMMYFUNCTION("""COMPUTED_VALUE"""),1.0)</f>
        <v>1</v>
      </c>
      <c r="F891" s="108">
        <f>IFERROR(__xludf.DUMMYFUNCTION("""COMPUTED_VALUE"""),0.0)</f>
        <v>0</v>
      </c>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t="str">
        <f>IFERROR(__xludf.DUMMYFUNCTION("""COMPUTED_VALUE"""),"++Once per battle, if HP&lt;110, heal 10000 HP +-Cannot be forged or duplicated")</f>
        <v>++Once per battle, if HP&lt;110, heal 10000 HP +-Cannot be forged or duplicated</v>
      </c>
      <c r="AG891" s="16" t="str">
        <f>IFERROR(__xludf.DUMMYFUNCTION("""COMPUTED_VALUE"""),"Dragonscale Island")</f>
        <v>Dragonscale Island</v>
      </c>
      <c r="AH891" s="16" t="b">
        <f>IFERROR(__xludf.DUMMYFUNCTION("""COMPUTED_VALUE"""),FALSE)</f>
        <v>0</v>
      </c>
    </row>
    <row r="892">
      <c r="A892" s="16" t="str">
        <f>IFERROR(__xludf.DUMMYFUNCTION("""COMPUTED_VALUE"""),"Finger Food Ring")</f>
        <v>Finger Food Ring</v>
      </c>
      <c r="B892" s="16" t="str">
        <f>IFERROR(__xludf.DUMMYFUNCTION("""COMPUTED_VALUE"""),"Finger")</f>
        <v>Finger</v>
      </c>
      <c r="C892" s="16"/>
      <c r="D892" s="16" t="str">
        <f>IFERROR(__xludf.DUMMYFUNCTION("""COMPUTED_VALUE"""),"Item")</f>
        <v>Item</v>
      </c>
      <c r="E892" s="16">
        <f>IFERROR(__xludf.DUMMYFUNCTION("""COMPUTED_VALUE"""),1.0)</f>
        <v>1</v>
      </c>
      <c r="F892" s="108">
        <f>IFERROR(__xludf.DUMMYFUNCTION("""COMPUTED_VALUE"""),0.0)</f>
        <v>0</v>
      </c>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t="str">
        <f>IFERROR(__xludf.DUMMYFUNCTION("""COMPUTED_VALUE"""),"++Once per journey, consume one piece of food without it being removed from inventory +-Cannot be forged or duplicated")</f>
        <v>++Once per journey, consume one piece of food without it being removed from inventory +-Cannot be forged or duplicated</v>
      </c>
      <c r="AG892" s="16" t="str">
        <f>IFERROR(__xludf.DUMMYFUNCTION("""COMPUTED_VALUE"""),"Dragonscale Island")</f>
        <v>Dragonscale Island</v>
      </c>
      <c r="AH892" s="16" t="b">
        <f>IFERROR(__xludf.DUMMYFUNCTION("""COMPUTED_VALUE"""),FALSE)</f>
        <v>0</v>
      </c>
    </row>
    <row r="893">
      <c r="A893" s="16" t="str">
        <f>IFERROR(__xludf.DUMMYFUNCTION("""COMPUTED_VALUE"""),"Ring of Power")</f>
        <v>Ring of Power</v>
      </c>
      <c r="B893" s="16" t="str">
        <f>IFERROR(__xludf.DUMMYFUNCTION("""COMPUTED_VALUE"""),"Finger")</f>
        <v>Finger</v>
      </c>
      <c r="C893" s="16"/>
      <c r="D893" s="16" t="str">
        <f>IFERROR(__xludf.DUMMYFUNCTION("""COMPUTED_VALUE"""),"Item")</f>
        <v>Item</v>
      </c>
      <c r="E893" s="16">
        <f>IFERROR(__xludf.DUMMYFUNCTION("""COMPUTED_VALUE"""),1.0)</f>
        <v>1</v>
      </c>
      <c r="F893" s="108">
        <f>IFERROR(__xludf.DUMMYFUNCTION("""COMPUTED_VALUE"""),0.0)</f>
        <v>0</v>
      </c>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t="str">
        <f>IFERROR(__xludf.DUMMYFUNCTION("""COMPUTED_VALUE"""),"++1500 ATK and ACC")</f>
        <v>++1500 ATK and ACC</v>
      </c>
      <c r="AG893" s="16" t="str">
        <f>IFERROR(__xludf.DUMMYFUNCTION("""COMPUTED_VALUE"""),"Dragonscale Island")</f>
        <v>Dragonscale Island</v>
      </c>
      <c r="AH893" s="16" t="b">
        <f>IFERROR(__xludf.DUMMYFUNCTION("""COMPUTED_VALUE"""),FALSE)</f>
        <v>0</v>
      </c>
    </row>
    <row r="894">
      <c r="A894" s="16" t="str">
        <f>IFERROR(__xludf.DUMMYFUNCTION("""COMPUTED_VALUE"""),"Axe of Red")</f>
        <v>Axe of Red</v>
      </c>
      <c r="B894" s="16" t="str">
        <f>IFERROR(__xludf.DUMMYFUNCTION("""COMPUTED_VALUE"""),"Hand")</f>
        <v>Hand</v>
      </c>
      <c r="C894" s="16"/>
      <c r="D894" s="16" t="str">
        <f>IFERROR(__xludf.DUMMYFUNCTION("""COMPUTED_VALUE"""),"Axe")</f>
        <v>Axe</v>
      </c>
      <c r="E894" s="16">
        <f>IFERROR(__xludf.DUMMYFUNCTION("""COMPUTED_VALUE"""),4500.0)</f>
        <v>4500</v>
      </c>
      <c r="F894" s="108">
        <f>IFERROR(__xludf.DUMMYFUNCTION("""COMPUTED_VALUE"""),1.01025E9)</f>
        <v>1010250000</v>
      </c>
      <c r="G894" s="16" t="str">
        <f>IFERROR(__xludf.DUMMYFUNCTION("""COMPUTED_VALUE"""),"DMG")</f>
        <v>DMG</v>
      </c>
      <c r="H894" s="16"/>
      <c r="I894" s="16">
        <f>IFERROR(__xludf.DUMMYFUNCTION("""COMPUTED_VALUE"""),75000.0)</f>
        <v>75000</v>
      </c>
      <c r="J894" s="16"/>
      <c r="K894" s="16"/>
      <c r="L894" s="16"/>
      <c r="M894" s="16"/>
      <c r="N894" s="16"/>
      <c r="O894" s="16"/>
      <c r="P894" s="16"/>
      <c r="Q894" s="16"/>
      <c r="R894" s="16">
        <f>IFERROR(__xludf.DUMMYFUNCTION("""COMPUTED_VALUE"""),75000.0)</f>
        <v>75000</v>
      </c>
      <c r="S894" s="16"/>
      <c r="T894" s="16"/>
      <c r="U894" s="16"/>
      <c r="V894" s="16"/>
      <c r="W894" s="16"/>
      <c r="X894" s="16"/>
      <c r="Y894" s="16">
        <f>IFERROR(__xludf.DUMMYFUNCTION("""COMPUTED_VALUE"""),75000.0)</f>
        <v>75000</v>
      </c>
      <c r="Z894" s="16"/>
      <c r="AA894" s="16"/>
      <c r="AB894" s="16"/>
      <c r="AC894" s="16"/>
      <c r="AD894" s="16"/>
      <c r="AE894" s="16"/>
      <c r="AF894" s="16"/>
      <c r="AG894" s="16" t="str">
        <f>IFERROR(__xludf.DUMMYFUNCTION("""COMPUTED_VALUE"""),"Dragonscale Island")</f>
        <v>Dragonscale Island</v>
      </c>
      <c r="AH894" s="16" t="b">
        <f>IFERROR(__xludf.DUMMYFUNCTION("""COMPUTED_VALUE"""),FALSE)</f>
        <v>0</v>
      </c>
    </row>
    <row r="895">
      <c r="A895" s="16" t="str">
        <f>IFERROR(__xludf.DUMMYFUNCTION("""COMPUTED_VALUE"""),"Wyrmscale Staff")</f>
        <v>Wyrmscale Staff</v>
      </c>
      <c r="B895" s="16" t="str">
        <f>IFERROR(__xludf.DUMMYFUNCTION("""COMPUTED_VALUE"""),"Hand")</f>
        <v>Hand</v>
      </c>
      <c r="C895" s="16"/>
      <c r="D895" s="16" t="str">
        <f>IFERROR(__xludf.DUMMYFUNCTION("""COMPUTED_VALUE"""),"Staff")</f>
        <v>Staff</v>
      </c>
      <c r="E895" s="16">
        <f>IFERROR(__xludf.DUMMYFUNCTION("""COMPUTED_VALUE"""),1.0)</f>
        <v>1</v>
      </c>
      <c r="F895" s="108">
        <f>IFERROR(__xludf.DUMMYFUNCTION("""COMPUTED_VALUE"""),0.0)</f>
        <v>0</v>
      </c>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t="str">
        <f>IFERROR(__xludf.DUMMYFUNCTION("""COMPUTED_VALUE"""),"++Spells have double effect when cast on dragons +-Cannot be forged or duplicated")</f>
        <v>++Spells have double effect when cast on dragons +-Cannot be forged or duplicated</v>
      </c>
      <c r="AG895" s="16" t="str">
        <f>IFERROR(__xludf.DUMMYFUNCTION("""COMPUTED_VALUE"""),"Dragonscale Island")</f>
        <v>Dragonscale Island</v>
      </c>
      <c r="AH895" s="16" t="b">
        <f>IFERROR(__xludf.DUMMYFUNCTION("""COMPUTED_VALUE"""),FALSE)</f>
        <v>0</v>
      </c>
    </row>
    <row r="896">
      <c r="A896" s="16" t="str">
        <f>IFERROR(__xludf.DUMMYFUNCTION("""COMPUTED_VALUE"""),"Wyrmscale Wand")</f>
        <v>Wyrmscale Wand</v>
      </c>
      <c r="B896" s="16" t="str">
        <f>IFERROR(__xludf.DUMMYFUNCTION("""COMPUTED_VALUE"""),"Hand")</f>
        <v>Hand</v>
      </c>
      <c r="C896" s="16"/>
      <c r="D896" s="16" t="str">
        <f>IFERROR(__xludf.DUMMYFUNCTION("""COMPUTED_VALUE"""),"Wand")</f>
        <v>Wand</v>
      </c>
      <c r="E896" s="16">
        <f>IFERROR(__xludf.DUMMYFUNCTION("""COMPUTED_VALUE"""),1.0)</f>
        <v>1</v>
      </c>
      <c r="F896" s="108">
        <f>IFERROR(__xludf.DUMMYFUNCTION("""COMPUTED_VALUE"""),0.0)</f>
        <v>0</v>
      </c>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t="str">
        <f>IFERROR(__xludf.DUMMYFUNCTION("""COMPUTED_VALUE"""),"++Half the SP/HP cost of spells when in the presence of a dragon +-Cannot be forged or duplicated")</f>
        <v>++Half the SP/HP cost of spells when in the presence of a dragon +-Cannot be forged or duplicated</v>
      </c>
      <c r="AG896" s="16" t="str">
        <f>IFERROR(__xludf.DUMMYFUNCTION("""COMPUTED_VALUE"""),"Dragonscale Island")</f>
        <v>Dragonscale Island</v>
      </c>
      <c r="AH896" s="16" t="b">
        <f>IFERROR(__xludf.DUMMYFUNCTION("""COMPUTED_VALUE"""),FALSE)</f>
        <v>0</v>
      </c>
    </row>
    <row r="897">
      <c r="A897" s="16"/>
      <c r="B897" s="16"/>
      <c r="C897" s="16"/>
      <c r="D897" s="16"/>
      <c r="E897" s="16">
        <f>IFERROR(__xludf.DUMMYFUNCTION("""COMPUTED_VALUE"""),1.0)</f>
        <v>1</v>
      </c>
      <c r="F897" s="108">
        <f>IFERROR(__xludf.DUMMYFUNCTION("""COMPUTED_VALUE"""),0.0)</f>
        <v>0</v>
      </c>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t="b">
        <f>IFERROR(__xludf.DUMMYFUNCTION("""COMPUTED_VALUE"""),FALSE)</f>
        <v>0</v>
      </c>
    </row>
    <row r="898">
      <c r="A898" s="16"/>
      <c r="B898" s="16"/>
      <c r="C898" s="16"/>
      <c r="D898" s="16"/>
      <c r="E898" s="16">
        <f>IFERROR(__xludf.DUMMYFUNCTION("""COMPUTED_VALUE"""),1.0)</f>
        <v>1</v>
      </c>
      <c r="F898" s="108">
        <f>IFERROR(__xludf.DUMMYFUNCTION("""COMPUTED_VALUE"""),0.0)</f>
        <v>0</v>
      </c>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t="b">
        <f>IFERROR(__xludf.DUMMYFUNCTION("""COMPUTED_VALUE"""),FALSE)</f>
        <v>0</v>
      </c>
    </row>
    <row r="899">
      <c r="A899" s="16"/>
      <c r="B899" s="16"/>
      <c r="C899" s="16"/>
      <c r="D899" s="16"/>
      <c r="E899" s="16">
        <f>IFERROR(__xludf.DUMMYFUNCTION("""COMPUTED_VALUE"""),1.0)</f>
        <v>1</v>
      </c>
      <c r="F899" s="108">
        <f>IFERROR(__xludf.DUMMYFUNCTION("""COMPUTED_VALUE"""),0.0)</f>
        <v>0</v>
      </c>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t="b">
        <f>IFERROR(__xludf.DUMMYFUNCTION("""COMPUTED_VALUE"""),FALSE)</f>
        <v>0</v>
      </c>
    </row>
    <row r="900">
      <c r="A900" s="16"/>
      <c r="B900" s="16"/>
      <c r="C900" s="16"/>
      <c r="D900" s="16"/>
      <c r="E900" s="16">
        <f>IFERROR(__xludf.DUMMYFUNCTION("""COMPUTED_VALUE"""),1.0)</f>
        <v>1</v>
      </c>
      <c r="F900" s="108">
        <f>IFERROR(__xludf.DUMMYFUNCTION("""COMPUTED_VALUE"""),0.0)</f>
        <v>0</v>
      </c>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t="b">
        <f>IFERROR(__xludf.DUMMYFUNCTION("""COMPUTED_VALUE"""),FALSE)</f>
        <v>0</v>
      </c>
    </row>
    <row r="901">
      <c r="A901" s="16"/>
      <c r="B901" s="16"/>
      <c r="C901" s="16"/>
      <c r="D901" s="16"/>
      <c r="E901" s="16">
        <f>IFERROR(__xludf.DUMMYFUNCTION("""COMPUTED_VALUE"""),1.0)</f>
        <v>1</v>
      </c>
      <c r="F901" s="108">
        <f>IFERROR(__xludf.DUMMYFUNCTION("""COMPUTED_VALUE"""),0.0)</f>
        <v>0</v>
      </c>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t="b">
        <f>IFERROR(__xludf.DUMMYFUNCTION("""COMPUTED_VALUE"""),FALSE)</f>
        <v>0</v>
      </c>
    </row>
    <row r="902">
      <c r="A902" s="16"/>
      <c r="B902" s="16"/>
      <c r="C902" s="16"/>
      <c r="D902" s="16"/>
      <c r="E902" s="16">
        <f>IFERROR(__xludf.DUMMYFUNCTION("""COMPUTED_VALUE"""),1.0)</f>
        <v>1</v>
      </c>
      <c r="F902" s="108">
        <f>IFERROR(__xludf.DUMMYFUNCTION("""COMPUTED_VALUE"""),0.0)</f>
        <v>0</v>
      </c>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t="b">
        <f>IFERROR(__xludf.DUMMYFUNCTION("""COMPUTED_VALUE"""),FALSE)</f>
        <v>0</v>
      </c>
    </row>
    <row r="903">
      <c r="A903" s="16"/>
      <c r="B903" s="16"/>
      <c r="C903" s="16"/>
      <c r="D903" s="16"/>
      <c r="E903" s="16">
        <f>IFERROR(__xludf.DUMMYFUNCTION("""COMPUTED_VALUE"""),1.0)</f>
        <v>1</v>
      </c>
      <c r="F903" s="108">
        <f>IFERROR(__xludf.DUMMYFUNCTION("""COMPUTED_VALUE"""),0.0)</f>
        <v>0</v>
      </c>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t="b">
        <f>IFERROR(__xludf.DUMMYFUNCTION("""COMPUTED_VALUE"""),FALSE)</f>
        <v>0</v>
      </c>
    </row>
    <row r="904">
      <c r="A904" s="16"/>
      <c r="B904" s="16"/>
      <c r="C904" s="16"/>
      <c r="D904" s="16"/>
      <c r="E904" s="16">
        <f>IFERROR(__xludf.DUMMYFUNCTION("""COMPUTED_VALUE"""),1.0)</f>
        <v>1</v>
      </c>
      <c r="F904" s="108">
        <f>IFERROR(__xludf.DUMMYFUNCTION("""COMPUTED_VALUE"""),0.0)</f>
        <v>0</v>
      </c>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t="b">
        <f>IFERROR(__xludf.DUMMYFUNCTION("""COMPUTED_VALUE"""),FALSE)</f>
        <v>0</v>
      </c>
    </row>
    <row r="905">
      <c r="A905" s="16"/>
      <c r="B905" s="16"/>
      <c r="C905" s="16"/>
      <c r="D905" s="16"/>
      <c r="E905" s="16">
        <f>IFERROR(__xludf.DUMMYFUNCTION("""COMPUTED_VALUE"""),1.0)</f>
        <v>1</v>
      </c>
      <c r="F905" s="108">
        <f>IFERROR(__xludf.DUMMYFUNCTION("""COMPUTED_VALUE"""),0.0)</f>
        <v>0</v>
      </c>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t="b">
        <f>IFERROR(__xludf.DUMMYFUNCTION("""COMPUTED_VALUE"""),FALSE)</f>
        <v>0</v>
      </c>
    </row>
    <row r="906">
      <c r="A906" s="16"/>
      <c r="B906" s="16"/>
      <c r="C906" s="16"/>
      <c r="D906" s="16"/>
      <c r="E906" s="16">
        <f>IFERROR(__xludf.DUMMYFUNCTION("""COMPUTED_VALUE"""),1.0)</f>
        <v>1</v>
      </c>
      <c r="F906" s="108">
        <f>IFERROR(__xludf.DUMMYFUNCTION("""COMPUTED_VALUE"""),0.0)</f>
        <v>0</v>
      </c>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t="b">
        <f>IFERROR(__xludf.DUMMYFUNCTION("""COMPUTED_VALUE"""),FALSE)</f>
        <v>0</v>
      </c>
    </row>
    <row r="907">
      <c r="A907" s="16"/>
      <c r="B907" s="16"/>
      <c r="C907" s="16"/>
      <c r="D907" s="16"/>
      <c r="E907" s="16">
        <f>IFERROR(__xludf.DUMMYFUNCTION("""COMPUTED_VALUE"""),1.0)</f>
        <v>1</v>
      </c>
      <c r="F907" s="108">
        <f>IFERROR(__xludf.DUMMYFUNCTION("""COMPUTED_VALUE"""),0.0)</f>
        <v>0</v>
      </c>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t="b">
        <f>IFERROR(__xludf.DUMMYFUNCTION("""COMPUTED_VALUE"""),FALSE)</f>
        <v>0</v>
      </c>
    </row>
    <row r="908">
      <c r="A908" s="16"/>
      <c r="B908" s="16"/>
      <c r="C908" s="16"/>
      <c r="D908" s="16"/>
      <c r="E908" s="16">
        <f>IFERROR(__xludf.DUMMYFUNCTION("""COMPUTED_VALUE"""),1.0)</f>
        <v>1</v>
      </c>
      <c r="F908" s="108">
        <f>IFERROR(__xludf.DUMMYFUNCTION("""COMPUTED_VALUE"""),0.0)</f>
        <v>0</v>
      </c>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t="b">
        <f>IFERROR(__xludf.DUMMYFUNCTION("""COMPUTED_VALUE"""),FALSE)</f>
        <v>0</v>
      </c>
    </row>
    <row r="909">
      <c r="A909" s="16"/>
      <c r="B909" s="16"/>
      <c r="C909" s="16"/>
      <c r="D909" s="16"/>
      <c r="E909" s="16">
        <f>IFERROR(__xludf.DUMMYFUNCTION("""COMPUTED_VALUE"""),1.0)</f>
        <v>1</v>
      </c>
      <c r="F909" s="108">
        <f>IFERROR(__xludf.DUMMYFUNCTION("""COMPUTED_VALUE"""),0.0)</f>
        <v>0</v>
      </c>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t="b">
        <f>IFERROR(__xludf.DUMMYFUNCTION("""COMPUTED_VALUE"""),FALSE)</f>
        <v>0</v>
      </c>
    </row>
    <row r="910">
      <c r="A910" s="16"/>
      <c r="B910" s="16"/>
      <c r="C910" s="16"/>
      <c r="D910" s="16"/>
      <c r="E910" s="16">
        <f>IFERROR(__xludf.DUMMYFUNCTION("""COMPUTED_VALUE"""),1.0)</f>
        <v>1</v>
      </c>
      <c r="F910" s="108">
        <f>IFERROR(__xludf.DUMMYFUNCTION("""COMPUTED_VALUE"""),0.0)</f>
        <v>0</v>
      </c>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t="b">
        <f>IFERROR(__xludf.DUMMYFUNCTION("""COMPUTED_VALUE"""),FALSE)</f>
        <v>0</v>
      </c>
    </row>
    <row r="911">
      <c r="A911" s="16"/>
      <c r="B911" s="16"/>
      <c r="C911" s="16"/>
      <c r="D911" s="16"/>
      <c r="E911" s="16">
        <f>IFERROR(__xludf.DUMMYFUNCTION("""COMPUTED_VALUE"""),1.0)</f>
        <v>1</v>
      </c>
      <c r="F911" s="108">
        <f>IFERROR(__xludf.DUMMYFUNCTION("""COMPUTED_VALUE"""),0.0)</f>
        <v>0</v>
      </c>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t="b">
        <f>IFERROR(__xludf.DUMMYFUNCTION("""COMPUTED_VALUE"""),FALSE)</f>
        <v>0</v>
      </c>
    </row>
    <row r="912">
      <c r="A912" s="16"/>
      <c r="B912" s="16"/>
      <c r="C912" s="16"/>
      <c r="D912" s="16"/>
      <c r="E912" s="16">
        <f>IFERROR(__xludf.DUMMYFUNCTION("""COMPUTED_VALUE"""),1.0)</f>
        <v>1</v>
      </c>
      <c r="F912" s="108">
        <f>IFERROR(__xludf.DUMMYFUNCTION("""COMPUTED_VALUE"""),0.0)</f>
        <v>0</v>
      </c>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t="b">
        <f>IFERROR(__xludf.DUMMYFUNCTION("""COMPUTED_VALUE"""),FALSE)</f>
        <v>0</v>
      </c>
    </row>
    <row r="913">
      <c r="A913" s="16"/>
      <c r="B913" s="16"/>
      <c r="C913" s="16"/>
      <c r="D913" s="16"/>
      <c r="E913" s="16">
        <f>IFERROR(__xludf.DUMMYFUNCTION("""COMPUTED_VALUE"""),1.0)</f>
        <v>1</v>
      </c>
      <c r="F913" s="108">
        <f>IFERROR(__xludf.DUMMYFUNCTION("""COMPUTED_VALUE"""),0.0)</f>
        <v>0</v>
      </c>
      <c r="G913" s="16"/>
      <c r="H913" s="16"/>
      <c r="I913" s="16"/>
      <c r="J913" s="16"/>
      <c r="K913" s="16"/>
      <c r="L913" s="16"/>
      <c r="M913" s="16"/>
      <c r="N913" s="16"/>
      <c r="O913" s="16"/>
      <c r="P913" s="16"/>
      <c r="Q913" s="16"/>
      <c r="R913" s="16"/>
      <c r="S913" s="16"/>
      <c r="T913" s="16"/>
      <c r="U913" s="16"/>
      <c r="V913" s="16"/>
      <c r="W913" s="16"/>
      <c r="X913" s="16"/>
      <c r="Y913" s="16"/>
      <c r="Z913" s="16"/>
      <c r="AA913" s="16"/>
      <c r="AB913" s="16"/>
      <c r="AC913" s="16"/>
      <c r="AD913" s="16"/>
      <c r="AE913" s="16"/>
      <c r="AF913" s="16"/>
      <c r="AG913" s="16"/>
      <c r="AH913" s="16" t="b">
        <f>IFERROR(__xludf.DUMMYFUNCTION("""COMPUTED_VALUE"""),FALSE)</f>
        <v>0</v>
      </c>
    </row>
    <row r="914">
      <c r="A914" s="16"/>
      <c r="B914" s="16"/>
      <c r="C914" s="16"/>
      <c r="D914" s="16"/>
      <c r="E914" s="16">
        <f>IFERROR(__xludf.DUMMYFUNCTION("""COMPUTED_VALUE"""),1.0)</f>
        <v>1</v>
      </c>
      <c r="F914" s="108">
        <f>IFERROR(__xludf.DUMMYFUNCTION("""COMPUTED_VALUE"""),0.0)</f>
        <v>0</v>
      </c>
      <c r="G914" s="16"/>
      <c r="H914" s="16"/>
      <c r="I914" s="16"/>
      <c r="J914" s="16"/>
      <c r="K914" s="16"/>
      <c r="L914" s="16"/>
      <c r="M914" s="16"/>
      <c r="N914" s="16"/>
      <c r="O914" s="16"/>
      <c r="P914" s="16"/>
      <c r="Q914" s="16"/>
      <c r="R914" s="16"/>
      <c r="S914" s="16"/>
      <c r="T914" s="16"/>
      <c r="U914" s="16"/>
      <c r="V914" s="16"/>
      <c r="W914" s="16"/>
      <c r="X914" s="16"/>
      <c r="Y914" s="16"/>
      <c r="Z914" s="16"/>
      <c r="AA914" s="16"/>
      <c r="AB914" s="16"/>
      <c r="AC914" s="16"/>
      <c r="AD914" s="16"/>
      <c r="AE914" s="16"/>
      <c r="AF914" s="16"/>
      <c r="AG914" s="16"/>
      <c r="AH914" s="16" t="b">
        <f>IFERROR(__xludf.DUMMYFUNCTION("""COMPUTED_VALUE"""),FALSE)</f>
        <v>0</v>
      </c>
    </row>
    <row r="915">
      <c r="A915" s="16"/>
      <c r="B915" s="16"/>
      <c r="C915" s="16"/>
      <c r="D915" s="16"/>
      <c r="E915" s="16">
        <f>IFERROR(__xludf.DUMMYFUNCTION("""COMPUTED_VALUE"""),1.0)</f>
        <v>1</v>
      </c>
      <c r="F915" s="108">
        <f>IFERROR(__xludf.DUMMYFUNCTION("""COMPUTED_VALUE"""),0.0)</f>
        <v>0</v>
      </c>
      <c r="G915" s="16"/>
      <c r="H915" s="16"/>
      <c r="I915" s="16"/>
      <c r="J915" s="16"/>
      <c r="K915" s="16"/>
      <c r="L915" s="16"/>
      <c r="M915" s="16"/>
      <c r="N915" s="16"/>
      <c r="O915" s="16"/>
      <c r="P915" s="16"/>
      <c r="Q915" s="16"/>
      <c r="R915" s="16"/>
      <c r="S915" s="16"/>
      <c r="T915" s="16"/>
      <c r="U915" s="16"/>
      <c r="V915" s="16"/>
      <c r="W915" s="16"/>
      <c r="X915" s="16"/>
      <c r="Y915" s="16"/>
      <c r="Z915" s="16"/>
      <c r="AA915" s="16"/>
      <c r="AB915" s="16"/>
      <c r="AC915" s="16"/>
      <c r="AD915" s="16"/>
      <c r="AE915" s="16"/>
      <c r="AF915" s="16"/>
      <c r="AG915" s="16"/>
      <c r="AH915" s="16" t="b">
        <f>IFERROR(__xludf.DUMMYFUNCTION("""COMPUTED_VALUE"""),FALSE)</f>
        <v>0</v>
      </c>
    </row>
    <row r="916">
      <c r="A916" s="16"/>
      <c r="B916" s="16"/>
      <c r="C916" s="16"/>
      <c r="D916" s="16"/>
      <c r="E916" s="16">
        <f>IFERROR(__xludf.DUMMYFUNCTION("""COMPUTED_VALUE"""),1.0)</f>
        <v>1</v>
      </c>
      <c r="F916" s="108">
        <f>IFERROR(__xludf.DUMMYFUNCTION("""COMPUTED_VALUE"""),0.0)</f>
        <v>0</v>
      </c>
      <c r="G916" s="16"/>
      <c r="H916" s="16"/>
      <c r="I916" s="16"/>
      <c r="J916" s="16"/>
      <c r="K916" s="16"/>
      <c r="L916" s="16"/>
      <c r="M916" s="16"/>
      <c r="N916" s="16"/>
      <c r="O916" s="16"/>
      <c r="P916" s="16"/>
      <c r="Q916" s="16"/>
      <c r="R916" s="16"/>
      <c r="S916" s="16"/>
      <c r="T916" s="16"/>
      <c r="U916" s="16"/>
      <c r="V916" s="16"/>
      <c r="W916" s="16"/>
      <c r="X916" s="16"/>
      <c r="Y916" s="16"/>
      <c r="Z916" s="16"/>
      <c r="AA916" s="16"/>
      <c r="AB916" s="16"/>
      <c r="AC916" s="16"/>
      <c r="AD916" s="16"/>
      <c r="AE916" s="16"/>
      <c r="AF916" s="16"/>
      <c r="AG916" s="16"/>
      <c r="AH916" s="16" t="b">
        <f>IFERROR(__xludf.DUMMYFUNCTION("""COMPUTED_VALUE"""),FALSE)</f>
        <v>0</v>
      </c>
    </row>
    <row r="917">
      <c r="A917" s="16"/>
      <c r="B917" s="16"/>
      <c r="C917" s="16"/>
      <c r="D917" s="16"/>
      <c r="E917" s="16">
        <f>IFERROR(__xludf.DUMMYFUNCTION("""COMPUTED_VALUE"""),1.0)</f>
        <v>1</v>
      </c>
      <c r="F917" s="108">
        <f>IFERROR(__xludf.DUMMYFUNCTION("""COMPUTED_VALUE"""),0.0)</f>
        <v>0</v>
      </c>
      <c r="G917" s="16"/>
      <c r="H917" s="16"/>
      <c r="I917" s="16"/>
      <c r="J917" s="16"/>
      <c r="K917" s="16"/>
      <c r="L917" s="16"/>
      <c r="M917" s="16"/>
      <c r="N917" s="16"/>
      <c r="O917" s="16"/>
      <c r="P917" s="16"/>
      <c r="Q917" s="16"/>
      <c r="R917" s="16"/>
      <c r="S917" s="16"/>
      <c r="T917" s="16"/>
      <c r="U917" s="16"/>
      <c r="V917" s="16"/>
      <c r="W917" s="16"/>
      <c r="X917" s="16"/>
      <c r="Y917" s="16"/>
      <c r="Z917" s="16"/>
      <c r="AA917" s="16"/>
      <c r="AB917" s="16"/>
      <c r="AC917" s="16"/>
      <c r="AD917" s="16"/>
      <c r="AE917" s="16"/>
      <c r="AF917" s="16"/>
      <c r="AG917" s="16"/>
      <c r="AH917" s="16" t="b">
        <f>IFERROR(__xludf.DUMMYFUNCTION("""COMPUTED_VALUE"""),FALSE)</f>
        <v>0</v>
      </c>
    </row>
    <row r="918">
      <c r="A918" s="16"/>
      <c r="B918" s="16"/>
      <c r="C918" s="16"/>
      <c r="D918" s="16"/>
      <c r="E918" s="16">
        <f>IFERROR(__xludf.DUMMYFUNCTION("""COMPUTED_VALUE"""),1.0)</f>
        <v>1</v>
      </c>
      <c r="F918" s="108">
        <f>IFERROR(__xludf.DUMMYFUNCTION("""COMPUTED_VALUE"""),0.0)</f>
        <v>0</v>
      </c>
      <c r="G918" s="16"/>
      <c r="H918" s="16"/>
      <c r="I918" s="16"/>
      <c r="J918" s="16"/>
      <c r="K918" s="16"/>
      <c r="L918" s="16"/>
      <c r="M918" s="16"/>
      <c r="N918" s="16"/>
      <c r="O918" s="16"/>
      <c r="P918" s="16"/>
      <c r="Q918" s="16"/>
      <c r="R918" s="16"/>
      <c r="S918" s="16"/>
      <c r="T918" s="16"/>
      <c r="U918" s="16"/>
      <c r="V918" s="16"/>
      <c r="W918" s="16"/>
      <c r="X918" s="16"/>
      <c r="Y918" s="16"/>
      <c r="Z918" s="16"/>
      <c r="AA918" s="16"/>
      <c r="AB918" s="16"/>
      <c r="AC918" s="16"/>
      <c r="AD918" s="16"/>
      <c r="AE918" s="16"/>
      <c r="AF918" s="16"/>
      <c r="AG918" s="16"/>
      <c r="AH918" s="16" t="b">
        <f>IFERROR(__xludf.DUMMYFUNCTION("""COMPUTED_VALUE"""),FALSE)</f>
        <v>0</v>
      </c>
    </row>
    <row r="919">
      <c r="A919" s="16"/>
      <c r="B919" s="16"/>
      <c r="C919" s="16"/>
      <c r="D919" s="16"/>
      <c r="E919" s="16">
        <f>IFERROR(__xludf.DUMMYFUNCTION("""COMPUTED_VALUE"""),1.0)</f>
        <v>1</v>
      </c>
      <c r="F919" s="108">
        <f>IFERROR(__xludf.DUMMYFUNCTION("""COMPUTED_VALUE"""),0.0)</f>
        <v>0</v>
      </c>
      <c r="G919" s="16"/>
      <c r="H919" s="16"/>
      <c r="I919" s="16"/>
      <c r="J919" s="16"/>
      <c r="K919" s="16"/>
      <c r="L919" s="16"/>
      <c r="M919" s="16"/>
      <c r="N919" s="16"/>
      <c r="O919" s="16"/>
      <c r="P919" s="16"/>
      <c r="Q919" s="16"/>
      <c r="R919" s="16"/>
      <c r="S919" s="16"/>
      <c r="T919" s="16"/>
      <c r="U919" s="16"/>
      <c r="V919" s="16"/>
      <c r="W919" s="16"/>
      <c r="X919" s="16"/>
      <c r="Y919" s="16"/>
      <c r="Z919" s="16"/>
      <c r="AA919" s="16"/>
      <c r="AB919" s="16"/>
      <c r="AC919" s="16"/>
      <c r="AD919" s="16"/>
      <c r="AE919" s="16"/>
      <c r="AF919" s="16"/>
      <c r="AG919" s="16"/>
      <c r="AH919" s="16" t="b">
        <f>IFERROR(__xludf.DUMMYFUNCTION("""COMPUTED_VALUE"""),FALSE)</f>
        <v>0</v>
      </c>
    </row>
    <row r="920">
      <c r="A920" s="16"/>
      <c r="B920" s="16"/>
      <c r="C920" s="16"/>
      <c r="D920" s="16"/>
      <c r="E920" s="16">
        <f>IFERROR(__xludf.DUMMYFUNCTION("""COMPUTED_VALUE"""),1.0)</f>
        <v>1</v>
      </c>
      <c r="F920" s="108">
        <f>IFERROR(__xludf.DUMMYFUNCTION("""COMPUTED_VALUE"""),0.0)</f>
        <v>0</v>
      </c>
      <c r="G920" s="16"/>
      <c r="H920" s="16"/>
      <c r="I920" s="16"/>
      <c r="J920" s="16"/>
      <c r="K920" s="16"/>
      <c r="L920" s="16"/>
      <c r="M920" s="16"/>
      <c r="N920" s="16"/>
      <c r="O920" s="16"/>
      <c r="P920" s="16"/>
      <c r="Q920" s="16"/>
      <c r="R920" s="16"/>
      <c r="S920" s="16"/>
      <c r="T920" s="16"/>
      <c r="U920" s="16"/>
      <c r="V920" s="16"/>
      <c r="W920" s="16"/>
      <c r="X920" s="16"/>
      <c r="Y920" s="16"/>
      <c r="Z920" s="16"/>
      <c r="AA920" s="16"/>
      <c r="AB920" s="16"/>
      <c r="AC920" s="16"/>
      <c r="AD920" s="16"/>
      <c r="AE920" s="16"/>
      <c r="AF920" s="16"/>
      <c r="AG920" s="16"/>
      <c r="AH920" s="16" t="b">
        <f>IFERROR(__xludf.DUMMYFUNCTION("""COMPUTED_VALUE"""),FALSE)</f>
        <v>0</v>
      </c>
    </row>
    <row r="921">
      <c r="A921" s="16"/>
      <c r="B921" s="16"/>
      <c r="C921" s="16"/>
      <c r="D921" s="16"/>
      <c r="E921" s="16">
        <f>IFERROR(__xludf.DUMMYFUNCTION("""COMPUTED_VALUE"""),1.0)</f>
        <v>1</v>
      </c>
      <c r="F921" s="108">
        <f>IFERROR(__xludf.DUMMYFUNCTION("""COMPUTED_VALUE"""),0.0)</f>
        <v>0</v>
      </c>
      <c r="G921" s="16"/>
      <c r="H921" s="16"/>
      <c r="I921" s="16"/>
      <c r="J921" s="16"/>
      <c r="K921" s="16"/>
      <c r="L921" s="16"/>
      <c r="M921" s="16"/>
      <c r="N921" s="16"/>
      <c r="O921" s="16"/>
      <c r="P921" s="16"/>
      <c r="Q921" s="16"/>
      <c r="R921" s="16"/>
      <c r="S921" s="16"/>
      <c r="T921" s="16"/>
      <c r="U921" s="16"/>
      <c r="V921" s="16"/>
      <c r="W921" s="16"/>
      <c r="X921" s="16"/>
      <c r="Y921" s="16"/>
      <c r="Z921" s="16"/>
      <c r="AA921" s="16"/>
      <c r="AB921" s="16"/>
      <c r="AC921" s="16"/>
      <c r="AD921" s="16"/>
      <c r="AE921" s="16"/>
      <c r="AF921" s="16"/>
      <c r="AG921" s="16"/>
      <c r="AH921" s="16" t="b">
        <f>IFERROR(__xludf.DUMMYFUNCTION("""COMPUTED_VALUE"""),FALSE)</f>
        <v>0</v>
      </c>
    </row>
    <row r="922">
      <c r="A922" s="16"/>
      <c r="B922" s="16"/>
      <c r="C922" s="16"/>
      <c r="D922" s="16"/>
      <c r="E922" s="16">
        <f>IFERROR(__xludf.DUMMYFUNCTION("""COMPUTED_VALUE"""),1.0)</f>
        <v>1</v>
      </c>
      <c r="F922" s="108">
        <f>IFERROR(__xludf.DUMMYFUNCTION("""COMPUTED_VALUE"""),0.0)</f>
        <v>0</v>
      </c>
      <c r="G922" s="16"/>
      <c r="H922" s="16"/>
      <c r="I922" s="16"/>
      <c r="J922" s="16"/>
      <c r="K922" s="16"/>
      <c r="L922" s="16"/>
      <c r="M922" s="16"/>
      <c r="N922" s="16"/>
      <c r="O922" s="16"/>
      <c r="P922" s="16"/>
      <c r="Q922" s="16"/>
      <c r="R922" s="16"/>
      <c r="S922" s="16"/>
      <c r="T922" s="16"/>
      <c r="U922" s="16"/>
      <c r="V922" s="16"/>
      <c r="W922" s="16"/>
      <c r="X922" s="16"/>
      <c r="Y922" s="16"/>
      <c r="Z922" s="16"/>
      <c r="AA922" s="16"/>
      <c r="AB922" s="16"/>
      <c r="AC922" s="16"/>
      <c r="AD922" s="16"/>
      <c r="AE922" s="16"/>
      <c r="AF922" s="16"/>
      <c r="AG922" s="16"/>
      <c r="AH922" s="16" t="b">
        <f>IFERROR(__xludf.DUMMYFUNCTION("""COMPUTED_VALUE"""),FALSE)</f>
        <v>0</v>
      </c>
    </row>
    <row r="923">
      <c r="A923" s="16"/>
      <c r="B923" s="16"/>
      <c r="C923" s="16"/>
      <c r="D923" s="16"/>
      <c r="E923" s="16">
        <f>IFERROR(__xludf.DUMMYFUNCTION("""COMPUTED_VALUE"""),1.0)</f>
        <v>1</v>
      </c>
      <c r="F923" s="108">
        <f>IFERROR(__xludf.DUMMYFUNCTION("""COMPUTED_VALUE"""),0.0)</f>
        <v>0</v>
      </c>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t="b">
        <f>IFERROR(__xludf.DUMMYFUNCTION("""COMPUTED_VALUE"""),FALSE)</f>
        <v>0</v>
      </c>
    </row>
    <row r="924">
      <c r="A924" s="16"/>
      <c r="B924" s="16"/>
      <c r="C924" s="16"/>
      <c r="D924" s="16"/>
      <c r="E924" s="16">
        <f>IFERROR(__xludf.DUMMYFUNCTION("""COMPUTED_VALUE"""),1.0)</f>
        <v>1</v>
      </c>
      <c r="F924" s="108">
        <f>IFERROR(__xludf.DUMMYFUNCTION("""COMPUTED_VALUE"""),0.0)</f>
        <v>0</v>
      </c>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t="b">
        <f>IFERROR(__xludf.DUMMYFUNCTION("""COMPUTED_VALUE"""),FALSE)</f>
        <v>0</v>
      </c>
    </row>
    <row r="925">
      <c r="A925" s="16"/>
      <c r="B925" s="16"/>
      <c r="C925" s="16"/>
      <c r="D925" s="16"/>
      <c r="E925" s="16">
        <f>IFERROR(__xludf.DUMMYFUNCTION("""COMPUTED_VALUE"""),1.0)</f>
        <v>1</v>
      </c>
      <c r="F925" s="108">
        <f>IFERROR(__xludf.DUMMYFUNCTION("""COMPUTED_VALUE"""),0.0)</f>
        <v>0</v>
      </c>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t="b">
        <f>IFERROR(__xludf.DUMMYFUNCTION("""COMPUTED_VALUE"""),FALSE)</f>
        <v>0</v>
      </c>
    </row>
    <row r="926">
      <c r="A926" s="16"/>
      <c r="B926" s="16"/>
      <c r="C926" s="16"/>
      <c r="D926" s="16"/>
      <c r="E926" s="16">
        <f>IFERROR(__xludf.DUMMYFUNCTION("""COMPUTED_VALUE"""),1.0)</f>
        <v>1</v>
      </c>
      <c r="F926" s="108">
        <f>IFERROR(__xludf.DUMMYFUNCTION("""COMPUTED_VALUE"""),0.0)</f>
        <v>0</v>
      </c>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t="b">
        <f>IFERROR(__xludf.DUMMYFUNCTION("""COMPUTED_VALUE"""),FALSE)</f>
        <v>0</v>
      </c>
    </row>
    <row r="927">
      <c r="A927" s="16"/>
      <c r="B927" s="16"/>
      <c r="C927" s="16"/>
      <c r="D927" s="16"/>
      <c r="E927" s="16">
        <f>IFERROR(__xludf.DUMMYFUNCTION("""COMPUTED_VALUE"""),1.0)</f>
        <v>1</v>
      </c>
      <c r="F927" s="108">
        <f>IFERROR(__xludf.DUMMYFUNCTION("""COMPUTED_VALUE"""),0.0)</f>
        <v>0</v>
      </c>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t="b">
        <f>IFERROR(__xludf.DUMMYFUNCTION("""COMPUTED_VALUE"""),FALSE)</f>
        <v>0</v>
      </c>
    </row>
    <row r="928">
      <c r="A928" s="16"/>
      <c r="B928" s="16"/>
      <c r="C928" s="16"/>
      <c r="D928" s="16"/>
      <c r="E928" s="16">
        <f>IFERROR(__xludf.DUMMYFUNCTION("""COMPUTED_VALUE"""),1.0)</f>
        <v>1</v>
      </c>
      <c r="F928" s="108">
        <f>IFERROR(__xludf.DUMMYFUNCTION("""COMPUTED_VALUE"""),0.0)</f>
        <v>0</v>
      </c>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t="b">
        <f>IFERROR(__xludf.DUMMYFUNCTION("""COMPUTED_VALUE"""),FALSE)</f>
        <v>0</v>
      </c>
    </row>
    <row r="929">
      <c r="A929" s="16"/>
      <c r="B929" s="16"/>
      <c r="C929" s="16"/>
      <c r="D929" s="16"/>
      <c r="E929" s="16">
        <f>IFERROR(__xludf.DUMMYFUNCTION("""COMPUTED_VALUE"""),1.0)</f>
        <v>1</v>
      </c>
      <c r="F929" s="108">
        <f>IFERROR(__xludf.DUMMYFUNCTION("""COMPUTED_VALUE"""),0.0)</f>
        <v>0</v>
      </c>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t="b">
        <f>IFERROR(__xludf.DUMMYFUNCTION("""COMPUTED_VALUE"""),FALSE)</f>
        <v>0</v>
      </c>
    </row>
    <row r="930">
      <c r="A930" s="16"/>
      <c r="B930" s="16"/>
      <c r="C930" s="16"/>
      <c r="D930" s="16"/>
      <c r="E930" s="16">
        <f>IFERROR(__xludf.DUMMYFUNCTION("""COMPUTED_VALUE"""),1.0)</f>
        <v>1</v>
      </c>
      <c r="F930" s="108">
        <f>IFERROR(__xludf.DUMMYFUNCTION("""COMPUTED_VALUE"""),0.0)</f>
        <v>0</v>
      </c>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t="b">
        <f>IFERROR(__xludf.DUMMYFUNCTION("""COMPUTED_VALUE"""),FALSE)</f>
        <v>0</v>
      </c>
    </row>
    <row r="931">
      <c r="A931" s="16"/>
      <c r="B931" s="16"/>
      <c r="C931" s="16"/>
      <c r="D931" s="16"/>
      <c r="E931" s="16">
        <f>IFERROR(__xludf.DUMMYFUNCTION("""COMPUTED_VALUE"""),1.0)</f>
        <v>1</v>
      </c>
      <c r="F931" s="108">
        <f>IFERROR(__xludf.DUMMYFUNCTION("""COMPUTED_VALUE"""),0.0)</f>
        <v>0</v>
      </c>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t="b">
        <f>IFERROR(__xludf.DUMMYFUNCTION("""COMPUTED_VALUE"""),FALSE)</f>
        <v>0</v>
      </c>
    </row>
    <row r="932">
      <c r="A932" s="16"/>
      <c r="B932" s="16"/>
      <c r="C932" s="16"/>
      <c r="D932" s="16"/>
      <c r="E932" s="16">
        <f>IFERROR(__xludf.DUMMYFUNCTION("""COMPUTED_VALUE"""),1.0)</f>
        <v>1</v>
      </c>
      <c r="F932" s="108">
        <f>IFERROR(__xludf.DUMMYFUNCTION("""COMPUTED_VALUE"""),0.0)</f>
        <v>0</v>
      </c>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t="b">
        <f>IFERROR(__xludf.DUMMYFUNCTION("""COMPUTED_VALUE"""),FALSE)</f>
        <v>0</v>
      </c>
    </row>
    <row r="933">
      <c r="A933" s="16"/>
      <c r="B933" s="16"/>
      <c r="C933" s="16"/>
      <c r="D933" s="16"/>
      <c r="E933" s="16">
        <f>IFERROR(__xludf.DUMMYFUNCTION("""COMPUTED_VALUE"""),1.0)</f>
        <v>1</v>
      </c>
      <c r="F933" s="108">
        <f>IFERROR(__xludf.DUMMYFUNCTION("""COMPUTED_VALUE"""),0.0)</f>
        <v>0</v>
      </c>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t="b">
        <f>IFERROR(__xludf.DUMMYFUNCTION("""COMPUTED_VALUE"""),FALSE)</f>
        <v>0</v>
      </c>
    </row>
    <row r="934">
      <c r="A934" s="16"/>
      <c r="B934" s="16"/>
      <c r="C934" s="16"/>
      <c r="D934" s="16"/>
      <c r="E934" s="16">
        <f>IFERROR(__xludf.DUMMYFUNCTION("""COMPUTED_VALUE"""),1.0)</f>
        <v>1</v>
      </c>
      <c r="F934" s="108">
        <f>IFERROR(__xludf.DUMMYFUNCTION("""COMPUTED_VALUE"""),0.0)</f>
        <v>0</v>
      </c>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t="b">
        <f>IFERROR(__xludf.DUMMYFUNCTION("""COMPUTED_VALUE"""),FALSE)</f>
        <v>0</v>
      </c>
    </row>
    <row r="935">
      <c r="A935" s="16"/>
      <c r="B935" s="16"/>
      <c r="C935" s="16"/>
      <c r="D935" s="16"/>
      <c r="E935" s="16">
        <f>IFERROR(__xludf.DUMMYFUNCTION("""COMPUTED_VALUE"""),1.0)</f>
        <v>1</v>
      </c>
      <c r="F935" s="108">
        <f>IFERROR(__xludf.DUMMYFUNCTION("""COMPUTED_VALUE"""),0.0)</f>
        <v>0</v>
      </c>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t="b">
        <f>IFERROR(__xludf.DUMMYFUNCTION("""COMPUTED_VALUE"""),FALSE)</f>
        <v>0</v>
      </c>
    </row>
    <row r="936">
      <c r="A936" s="16"/>
      <c r="B936" s="16"/>
      <c r="C936" s="16"/>
      <c r="D936" s="16"/>
      <c r="E936" s="16">
        <f>IFERROR(__xludf.DUMMYFUNCTION("""COMPUTED_VALUE"""),1.0)</f>
        <v>1</v>
      </c>
      <c r="F936" s="108">
        <f>IFERROR(__xludf.DUMMYFUNCTION("""COMPUTED_VALUE"""),0.0)</f>
        <v>0</v>
      </c>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t="b">
        <f>IFERROR(__xludf.DUMMYFUNCTION("""COMPUTED_VALUE"""),FALSE)</f>
        <v>0</v>
      </c>
    </row>
    <row r="937">
      <c r="A937" s="16"/>
      <c r="B937" s="16"/>
      <c r="C937" s="16"/>
      <c r="D937" s="16"/>
      <c r="E937" s="16">
        <f>IFERROR(__xludf.DUMMYFUNCTION("""COMPUTED_VALUE"""),1.0)</f>
        <v>1</v>
      </c>
      <c r="F937" s="108">
        <f>IFERROR(__xludf.DUMMYFUNCTION("""COMPUTED_VALUE"""),0.0)</f>
        <v>0</v>
      </c>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t="b">
        <f>IFERROR(__xludf.DUMMYFUNCTION("""COMPUTED_VALUE"""),FALSE)</f>
        <v>0</v>
      </c>
    </row>
    <row r="938">
      <c r="A938" s="16"/>
      <c r="B938" s="16"/>
      <c r="C938" s="16"/>
      <c r="D938" s="16"/>
      <c r="E938" s="16">
        <f>IFERROR(__xludf.DUMMYFUNCTION("""COMPUTED_VALUE"""),1.0)</f>
        <v>1</v>
      </c>
      <c r="F938" s="108">
        <f>IFERROR(__xludf.DUMMYFUNCTION("""COMPUTED_VALUE"""),0.0)</f>
        <v>0</v>
      </c>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t="b">
        <f>IFERROR(__xludf.DUMMYFUNCTION("""COMPUTED_VALUE"""),FALSE)</f>
        <v>0</v>
      </c>
    </row>
    <row r="939">
      <c r="A939" s="16"/>
      <c r="B939" s="16"/>
      <c r="C939" s="16"/>
      <c r="D939" s="16"/>
      <c r="E939" s="16">
        <f>IFERROR(__xludf.DUMMYFUNCTION("""COMPUTED_VALUE"""),1.0)</f>
        <v>1</v>
      </c>
      <c r="F939" s="108">
        <f>IFERROR(__xludf.DUMMYFUNCTION("""COMPUTED_VALUE"""),0.0)</f>
        <v>0</v>
      </c>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t="b">
        <f>IFERROR(__xludf.DUMMYFUNCTION("""COMPUTED_VALUE"""),FALSE)</f>
        <v>0</v>
      </c>
    </row>
    <row r="940">
      <c r="A940" s="16"/>
      <c r="B940" s="16"/>
      <c r="C940" s="16"/>
      <c r="D940" s="16"/>
      <c r="E940" s="16">
        <f>IFERROR(__xludf.DUMMYFUNCTION("""COMPUTED_VALUE"""),1.0)</f>
        <v>1</v>
      </c>
      <c r="F940" s="108">
        <f>IFERROR(__xludf.DUMMYFUNCTION("""COMPUTED_VALUE"""),0.0)</f>
        <v>0</v>
      </c>
      <c r="G940" s="16"/>
      <c r="H940" s="16"/>
      <c r="I940" s="16"/>
      <c r="J940" s="16"/>
      <c r="K940" s="16"/>
      <c r="L940" s="16"/>
      <c r="M940" s="16"/>
      <c r="N940" s="16"/>
      <c r="O940" s="16"/>
      <c r="P940" s="16"/>
      <c r="Q940" s="16"/>
      <c r="R940" s="16"/>
      <c r="S940" s="16"/>
      <c r="T940" s="16"/>
      <c r="U940" s="16"/>
      <c r="V940" s="16"/>
      <c r="W940" s="16"/>
      <c r="X940" s="16"/>
      <c r="Y940" s="16"/>
      <c r="Z940" s="16"/>
      <c r="AA940" s="16"/>
      <c r="AB940" s="16"/>
      <c r="AC940" s="16"/>
      <c r="AD940" s="16"/>
      <c r="AE940" s="16"/>
      <c r="AF940" s="16"/>
      <c r="AG940" s="16"/>
      <c r="AH940" s="16" t="b">
        <f>IFERROR(__xludf.DUMMYFUNCTION("""COMPUTED_VALUE"""),FALSE)</f>
        <v>0</v>
      </c>
    </row>
    <row r="941">
      <c r="A941" s="16"/>
      <c r="B941" s="16"/>
      <c r="C941" s="16"/>
      <c r="D941" s="16"/>
      <c r="E941" s="16">
        <f>IFERROR(__xludf.DUMMYFUNCTION("""COMPUTED_VALUE"""),1.0)</f>
        <v>1</v>
      </c>
      <c r="F941" s="108">
        <f>IFERROR(__xludf.DUMMYFUNCTION("""COMPUTED_VALUE"""),0.0)</f>
        <v>0</v>
      </c>
      <c r="G941" s="16"/>
      <c r="H941" s="16"/>
      <c r="I941" s="16"/>
      <c r="J941" s="16"/>
      <c r="K941" s="16"/>
      <c r="L941" s="16"/>
      <c r="M941" s="16"/>
      <c r="N941" s="16"/>
      <c r="O941" s="16"/>
      <c r="P941" s="16"/>
      <c r="Q941" s="16"/>
      <c r="R941" s="16"/>
      <c r="S941" s="16"/>
      <c r="T941" s="16"/>
      <c r="U941" s="16"/>
      <c r="V941" s="16"/>
      <c r="W941" s="16"/>
      <c r="X941" s="16"/>
      <c r="Y941" s="16"/>
      <c r="Z941" s="16"/>
      <c r="AA941" s="16"/>
      <c r="AB941" s="16"/>
      <c r="AC941" s="16"/>
      <c r="AD941" s="16"/>
      <c r="AE941" s="16"/>
      <c r="AF941" s="16"/>
      <c r="AG941" s="16"/>
      <c r="AH941" s="16" t="b">
        <f>IFERROR(__xludf.DUMMYFUNCTION("""COMPUTED_VALUE"""),FALSE)</f>
        <v>0</v>
      </c>
    </row>
    <row r="942">
      <c r="A942" s="16"/>
      <c r="B942" s="16"/>
      <c r="C942" s="16"/>
      <c r="D942" s="16"/>
      <c r="E942" s="16">
        <f>IFERROR(__xludf.DUMMYFUNCTION("""COMPUTED_VALUE"""),1.0)</f>
        <v>1</v>
      </c>
      <c r="F942" s="108">
        <f>IFERROR(__xludf.DUMMYFUNCTION("""COMPUTED_VALUE"""),0.0)</f>
        <v>0</v>
      </c>
      <c r="G942" s="16"/>
      <c r="H942" s="16"/>
      <c r="I942" s="16"/>
      <c r="J942" s="16"/>
      <c r="K942" s="16"/>
      <c r="L942" s="16"/>
      <c r="M942" s="16"/>
      <c r="N942" s="16"/>
      <c r="O942" s="16"/>
      <c r="P942" s="16"/>
      <c r="Q942" s="16"/>
      <c r="R942" s="16"/>
      <c r="S942" s="16"/>
      <c r="T942" s="16"/>
      <c r="U942" s="16"/>
      <c r="V942" s="16"/>
      <c r="W942" s="16"/>
      <c r="X942" s="16"/>
      <c r="Y942" s="16"/>
      <c r="Z942" s="16"/>
      <c r="AA942" s="16"/>
      <c r="AB942" s="16"/>
      <c r="AC942" s="16"/>
      <c r="AD942" s="16"/>
      <c r="AE942" s="16"/>
      <c r="AF942" s="16"/>
      <c r="AG942" s="16"/>
      <c r="AH942" s="16" t="b">
        <f>IFERROR(__xludf.DUMMYFUNCTION("""COMPUTED_VALUE"""),FALSE)</f>
        <v>0</v>
      </c>
    </row>
    <row r="943">
      <c r="A943" s="16"/>
      <c r="B943" s="16"/>
      <c r="C943" s="16"/>
      <c r="D943" s="16"/>
      <c r="E943" s="16">
        <f>IFERROR(__xludf.DUMMYFUNCTION("""COMPUTED_VALUE"""),1.0)</f>
        <v>1</v>
      </c>
      <c r="F943" s="108">
        <f>IFERROR(__xludf.DUMMYFUNCTION("""COMPUTED_VALUE"""),0.0)</f>
        <v>0</v>
      </c>
      <c r="G943" s="16"/>
      <c r="H943" s="16"/>
      <c r="I943" s="16"/>
      <c r="J943" s="16"/>
      <c r="K943" s="16"/>
      <c r="L943" s="16"/>
      <c r="M943" s="16"/>
      <c r="N943" s="16"/>
      <c r="O943" s="16"/>
      <c r="P943" s="16"/>
      <c r="Q943" s="16"/>
      <c r="R943" s="16"/>
      <c r="S943" s="16"/>
      <c r="T943" s="16"/>
      <c r="U943" s="16"/>
      <c r="V943" s="16"/>
      <c r="W943" s="16"/>
      <c r="X943" s="16"/>
      <c r="Y943" s="16"/>
      <c r="Z943" s="16"/>
      <c r="AA943" s="16"/>
      <c r="AB943" s="16"/>
      <c r="AC943" s="16"/>
      <c r="AD943" s="16"/>
      <c r="AE943" s="16"/>
      <c r="AF943" s="16"/>
      <c r="AG943" s="16"/>
      <c r="AH943" s="16" t="b">
        <f>IFERROR(__xludf.DUMMYFUNCTION("""COMPUTED_VALUE"""),FALSE)</f>
        <v>0</v>
      </c>
    </row>
    <row r="944">
      <c r="A944" s="16"/>
      <c r="B944" s="16"/>
      <c r="C944" s="16"/>
      <c r="D944" s="16"/>
      <c r="E944" s="16">
        <f>IFERROR(__xludf.DUMMYFUNCTION("""COMPUTED_VALUE"""),1.0)</f>
        <v>1</v>
      </c>
      <c r="F944" s="108">
        <f>IFERROR(__xludf.DUMMYFUNCTION("""COMPUTED_VALUE"""),0.0)</f>
        <v>0</v>
      </c>
      <c r="G944" s="16"/>
      <c r="H944" s="16"/>
      <c r="I944" s="16"/>
      <c r="J944" s="16"/>
      <c r="K944" s="16"/>
      <c r="L944" s="16"/>
      <c r="M944" s="16"/>
      <c r="N944" s="16"/>
      <c r="O944" s="16"/>
      <c r="P944" s="16"/>
      <c r="Q944" s="16"/>
      <c r="R944" s="16"/>
      <c r="S944" s="16"/>
      <c r="T944" s="16"/>
      <c r="U944" s="16"/>
      <c r="V944" s="16"/>
      <c r="W944" s="16"/>
      <c r="X944" s="16"/>
      <c r="Y944" s="16"/>
      <c r="Z944" s="16"/>
      <c r="AA944" s="16"/>
      <c r="AB944" s="16"/>
      <c r="AC944" s="16"/>
      <c r="AD944" s="16"/>
      <c r="AE944" s="16"/>
      <c r="AF944" s="16"/>
      <c r="AG944" s="16"/>
      <c r="AH944" s="16" t="b">
        <f>IFERROR(__xludf.DUMMYFUNCTION("""COMPUTED_VALUE"""),FALSE)</f>
        <v>0</v>
      </c>
    </row>
    <row r="945">
      <c r="A945" s="16"/>
      <c r="B945" s="16"/>
      <c r="C945" s="16"/>
      <c r="D945" s="16"/>
      <c r="E945" s="16">
        <f>IFERROR(__xludf.DUMMYFUNCTION("""COMPUTED_VALUE"""),1.0)</f>
        <v>1</v>
      </c>
      <c r="F945" s="108">
        <f>IFERROR(__xludf.DUMMYFUNCTION("""COMPUTED_VALUE"""),0.0)</f>
        <v>0</v>
      </c>
      <c r="G945" s="16"/>
      <c r="H945" s="16"/>
      <c r="I945" s="16"/>
      <c r="J945" s="16"/>
      <c r="K945" s="16"/>
      <c r="L945" s="16"/>
      <c r="M945" s="16"/>
      <c r="N945" s="16"/>
      <c r="O945" s="16"/>
      <c r="P945" s="16"/>
      <c r="Q945" s="16"/>
      <c r="R945" s="16"/>
      <c r="S945" s="16"/>
      <c r="T945" s="16"/>
      <c r="U945" s="16"/>
      <c r="V945" s="16"/>
      <c r="W945" s="16"/>
      <c r="X945" s="16"/>
      <c r="Y945" s="16"/>
      <c r="Z945" s="16"/>
      <c r="AA945" s="16"/>
      <c r="AB945" s="16"/>
      <c r="AC945" s="16"/>
      <c r="AD945" s="16"/>
      <c r="AE945" s="16"/>
      <c r="AF945" s="16"/>
      <c r="AG945" s="16"/>
      <c r="AH945" s="16" t="b">
        <f>IFERROR(__xludf.DUMMYFUNCTION("""COMPUTED_VALUE"""),FALSE)</f>
        <v>0</v>
      </c>
    </row>
    <row r="946">
      <c r="A946" s="16"/>
      <c r="B946" s="16"/>
      <c r="C946" s="16"/>
      <c r="D946" s="16"/>
      <c r="E946" s="16">
        <f>IFERROR(__xludf.DUMMYFUNCTION("""COMPUTED_VALUE"""),1.0)</f>
        <v>1</v>
      </c>
      <c r="F946" s="108">
        <f>IFERROR(__xludf.DUMMYFUNCTION("""COMPUTED_VALUE"""),0.0)</f>
        <v>0</v>
      </c>
      <c r="G946" s="16"/>
      <c r="H946" s="16"/>
      <c r="I946" s="16"/>
      <c r="J946" s="16"/>
      <c r="K946" s="16"/>
      <c r="L946" s="16"/>
      <c r="M946" s="16"/>
      <c r="N946" s="16"/>
      <c r="O946" s="16"/>
      <c r="P946" s="16"/>
      <c r="Q946" s="16"/>
      <c r="R946" s="16"/>
      <c r="S946" s="16"/>
      <c r="T946" s="16"/>
      <c r="U946" s="16"/>
      <c r="V946" s="16"/>
      <c r="W946" s="16"/>
      <c r="X946" s="16"/>
      <c r="Y946" s="16"/>
      <c r="Z946" s="16"/>
      <c r="AA946" s="16"/>
      <c r="AB946" s="16"/>
      <c r="AC946" s="16"/>
      <c r="AD946" s="16"/>
      <c r="AE946" s="16"/>
      <c r="AF946" s="16"/>
      <c r="AG946" s="16"/>
      <c r="AH946" s="16" t="b">
        <f>IFERROR(__xludf.DUMMYFUNCTION("""COMPUTED_VALUE"""),FALSE)</f>
        <v>0</v>
      </c>
    </row>
    <row r="947">
      <c r="A947" s="16"/>
      <c r="B947" s="16"/>
      <c r="C947" s="16"/>
      <c r="D947" s="16"/>
      <c r="E947" s="16">
        <f>IFERROR(__xludf.DUMMYFUNCTION("""COMPUTED_VALUE"""),1.0)</f>
        <v>1</v>
      </c>
      <c r="F947" s="108">
        <f>IFERROR(__xludf.DUMMYFUNCTION("""COMPUTED_VALUE"""),0.0)</f>
        <v>0</v>
      </c>
      <c r="G947" s="16"/>
      <c r="H947" s="16"/>
      <c r="I947" s="16"/>
      <c r="J947" s="16"/>
      <c r="K947" s="16"/>
      <c r="L947" s="16"/>
      <c r="M947" s="16"/>
      <c r="N947" s="16"/>
      <c r="O947" s="16"/>
      <c r="P947" s="16"/>
      <c r="Q947" s="16"/>
      <c r="R947" s="16"/>
      <c r="S947" s="16"/>
      <c r="T947" s="16"/>
      <c r="U947" s="16"/>
      <c r="V947" s="16"/>
      <c r="W947" s="16"/>
      <c r="X947" s="16"/>
      <c r="Y947" s="16"/>
      <c r="Z947" s="16"/>
      <c r="AA947" s="16"/>
      <c r="AB947" s="16"/>
      <c r="AC947" s="16"/>
      <c r="AD947" s="16"/>
      <c r="AE947" s="16"/>
      <c r="AF947" s="16"/>
      <c r="AG947" s="16"/>
      <c r="AH947" s="16" t="b">
        <f>IFERROR(__xludf.DUMMYFUNCTION("""COMPUTED_VALUE"""),FALSE)</f>
        <v>0</v>
      </c>
    </row>
    <row r="948">
      <c r="A948" s="16"/>
      <c r="B948" s="16"/>
      <c r="C948" s="16"/>
      <c r="D948" s="16"/>
      <c r="E948" s="16">
        <f>IFERROR(__xludf.DUMMYFUNCTION("""COMPUTED_VALUE"""),1.0)</f>
        <v>1</v>
      </c>
      <c r="F948" s="108">
        <f>IFERROR(__xludf.DUMMYFUNCTION("""COMPUTED_VALUE"""),0.0)</f>
        <v>0</v>
      </c>
      <c r="G948" s="16"/>
      <c r="H948" s="16"/>
      <c r="I948" s="16"/>
      <c r="J948" s="16"/>
      <c r="K948" s="16"/>
      <c r="L948" s="16"/>
      <c r="M948" s="16"/>
      <c r="N948" s="16"/>
      <c r="O948" s="16"/>
      <c r="P948" s="16"/>
      <c r="Q948" s="16"/>
      <c r="R948" s="16"/>
      <c r="S948" s="16"/>
      <c r="T948" s="16"/>
      <c r="U948" s="16"/>
      <c r="V948" s="16"/>
      <c r="W948" s="16"/>
      <c r="X948" s="16"/>
      <c r="Y948" s="16"/>
      <c r="Z948" s="16"/>
      <c r="AA948" s="16"/>
      <c r="AB948" s="16"/>
      <c r="AC948" s="16"/>
      <c r="AD948" s="16"/>
      <c r="AE948" s="16"/>
      <c r="AF948" s="16"/>
      <c r="AG948" s="16"/>
      <c r="AH948" s="16" t="b">
        <f>IFERROR(__xludf.DUMMYFUNCTION("""COMPUTED_VALUE"""),FALSE)</f>
        <v>0</v>
      </c>
    </row>
    <row r="949">
      <c r="A949" s="16"/>
      <c r="B949" s="16"/>
      <c r="C949" s="16"/>
      <c r="D949" s="16"/>
      <c r="E949" s="16">
        <f>IFERROR(__xludf.DUMMYFUNCTION("""COMPUTED_VALUE"""),1.0)</f>
        <v>1</v>
      </c>
      <c r="F949" s="108">
        <f>IFERROR(__xludf.DUMMYFUNCTION("""COMPUTED_VALUE"""),0.0)</f>
        <v>0</v>
      </c>
      <c r="G949" s="16"/>
      <c r="H949" s="16"/>
      <c r="I949" s="16"/>
      <c r="J949" s="16"/>
      <c r="K949" s="16"/>
      <c r="L949" s="16"/>
      <c r="M949" s="16"/>
      <c r="N949" s="16"/>
      <c r="O949" s="16"/>
      <c r="P949" s="16"/>
      <c r="Q949" s="16"/>
      <c r="R949" s="16"/>
      <c r="S949" s="16"/>
      <c r="T949" s="16"/>
      <c r="U949" s="16"/>
      <c r="V949" s="16"/>
      <c r="W949" s="16"/>
      <c r="X949" s="16"/>
      <c r="Y949" s="16"/>
      <c r="Z949" s="16"/>
      <c r="AA949" s="16"/>
      <c r="AB949" s="16"/>
      <c r="AC949" s="16"/>
      <c r="AD949" s="16"/>
      <c r="AE949" s="16"/>
      <c r="AF949" s="16"/>
      <c r="AG949" s="16"/>
      <c r="AH949" s="16" t="b">
        <f>IFERROR(__xludf.DUMMYFUNCTION("""COMPUTED_VALUE"""),FALSE)</f>
        <v>0</v>
      </c>
    </row>
    <row r="950">
      <c r="A950" s="16"/>
      <c r="B950" s="16"/>
      <c r="C950" s="16"/>
      <c r="D950" s="16"/>
      <c r="E950" s="16">
        <f>IFERROR(__xludf.DUMMYFUNCTION("""COMPUTED_VALUE"""),1.0)</f>
        <v>1</v>
      </c>
      <c r="F950" s="108">
        <f>IFERROR(__xludf.DUMMYFUNCTION("""COMPUTED_VALUE"""),0.0)</f>
        <v>0</v>
      </c>
      <c r="G950" s="16"/>
      <c r="H950" s="16"/>
      <c r="I950" s="16"/>
      <c r="J950" s="16"/>
      <c r="K950" s="16"/>
      <c r="L950" s="16"/>
      <c r="M950" s="16"/>
      <c r="N950" s="16"/>
      <c r="O950" s="16"/>
      <c r="P950" s="16"/>
      <c r="Q950" s="16"/>
      <c r="R950" s="16"/>
      <c r="S950" s="16"/>
      <c r="T950" s="16"/>
      <c r="U950" s="16"/>
      <c r="V950" s="16"/>
      <c r="W950" s="16"/>
      <c r="X950" s="16"/>
      <c r="Y950" s="16"/>
      <c r="Z950" s="16"/>
      <c r="AA950" s="16"/>
      <c r="AB950" s="16"/>
      <c r="AC950" s="16"/>
      <c r="AD950" s="16"/>
      <c r="AE950" s="16"/>
      <c r="AF950" s="16"/>
      <c r="AG950" s="16"/>
      <c r="AH950" s="16" t="b">
        <f>IFERROR(__xludf.DUMMYFUNCTION("""COMPUTED_VALUE"""),FALSE)</f>
        <v>0</v>
      </c>
    </row>
    <row r="951">
      <c r="A951" s="16"/>
      <c r="B951" s="16"/>
      <c r="C951" s="16"/>
      <c r="D951" s="16"/>
      <c r="E951" s="16">
        <f>IFERROR(__xludf.DUMMYFUNCTION("""COMPUTED_VALUE"""),1.0)</f>
        <v>1</v>
      </c>
      <c r="F951" s="108">
        <f>IFERROR(__xludf.DUMMYFUNCTION("""COMPUTED_VALUE"""),0.0)</f>
        <v>0</v>
      </c>
      <c r="G951" s="16"/>
      <c r="H951" s="16"/>
      <c r="I951" s="16"/>
      <c r="J951" s="16"/>
      <c r="K951" s="16"/>
      <c r="L951" s="16"/>
      <c r="M951" s="16"/>
      <c r="N951" s="16"/>
      <c r="O951" s="16"/>
      <c r="P951" s="16"/>
      <c r="Q951" s="16"/>
      <c r="R951" s="16"/>
      <c r="S951" s="16"/>
      <c r="T951" s="16"/>
      <c r="U951" s="16"/>
      <c r="V951" s="16"/>
      <c r="W951" s="16"/>
      <c r="X951" s="16"/>
      <c r="Y951" s="16"/>
      <c r="Z951" s="16"/>
      <c r="AA951" s="16"/>
      <c r="AB951" s="16"/>
      <c r="AC951" s="16"/>
      <c r="AD951" s="16"/>
      <c r="AE951" s="16"/>
      <c r="AF951" s="16"/>
      <c r="AG951" s="16"/>
      <c r="AH951" s="16" t="b">
        <f>IFERROR(__xludf.DUMMYFUNCTION("""COMPUTED_VALUE"""),FALSE)</f>
        <v>0</v>
      </c>
    </row>
    <row r="952">
      <c r="A952" s="16"/>
      <c r="B952" s="16"/>
      <c r="C952" s="16"/>
      <c r="D952" s="16"/>
      <c r="E952" s="16">
        <f>IFERROR(__xludf.DUMMYFUNCTION("""COMPUTED_VALUE"""),1.0)</f>
        <v>1</v>
      </c>
      <c r="F952" s="108">
        <f>IFERROR(__xludf.DUMMYFUNCTION("""COMPUTED_VALUE"""),0.0)</f>
        <v>0</v>
      </c>
      <c r="G952" s="16"/>
      <c r="H952" s="16"/>
      <c r="I952" s="16"/>
      <c r="J952" s="16"/>
      <c r="K952" s="16"/>
      <c r="L952" s="16"/>
      <c r="M952" s="16"/>
      <c r="N952" s="16"/>
      <c r="O952" s="16"/>
      <c r="P952" s="16"/>
      <c r="Q952" s="16"/>
      <c r="R952" s="16"/>
      <c r="S952" s="16"/>
      <c r="T952" s="16"/>
      <c r="U952" s="16"/>
      <c r="V952" s="16"/>
      <c r="W952" s="16"/>
      <c r="X952" s="16"/>
      <c r="Y952" s="16"/>
      <c r="Z952" s="16"/>
      <c r="AA952" s="16"/>
      <c r="AB952" s="16"/>
      <c r="AC952" s="16"/>
      <c r="AD952" s="16"/>
      <c r="AE952" s="16"/>
      <c r="AF952" s="16"/>
      <c r="AG952" s="16"/>
      <c r="AH952" s="16" t="b">
        <f>IFERROR(__xludf.DUMMYFUNCTION("""COMPUTED_VALUE"""),FALSE)</f>
        <v>0</v>
      </c>
    </row>
    <row r="953">
      <c r="A953" s="16"/>
      <c r="B953" s="16"/>
      <c r="C953" s="16"/>
      <c r="D953" s="16"/>
      <c r="E953" s="16">
        <f>IFERROR(__xludf.DUMMYFUNCTION("""COMPUTED_VALUE"""),1.0)</f>
        <v>1</v>
      </c>
      <c r="F953" s="108">
        <f>IFERROR(__xludf.DUMMYFUNCTION("""COMPUTED_VALUE"""),0.0)</f>
        <v>0</v>
      </c>
      <c r="G953" s="16"/>
      <c r="H953" s="16"/>
      <c r="I953" s="16"/>
      <c r="J953" s="16"/>
      <c r="K953" s="16"/>
      <c r="L953" s="16"/>
      <c r="M953" s="16"/>
      <c r="N953" s="16"/>
      <c r="O953" s="16"/>
      <c r="P953" s="16"/>
      <c r="Q953" s="16"/>
      <c r="R953" s="16"/>
      <c r="S953" s="16"/>
      <c r="T953" s="16"/>
      <c r="U953" s="16"/>
      <c r="V953" s="16"/>
      <c r="W953" s="16"/>
      <c r="X953" s="16"/>
      <c r="Y953" s="16"/>
      <c r="Z953" s="16"/>
      <c r="AA953" s="16"/>
      <c r="AB953" s="16"/>
      <c r="AC953" s="16"/>
      <c r="AD953" s="16"/>
      <c r="AE953" s="16"/>
      <c r="AF953" s="16"/>
      <c r="AG953" s="16"/>
      <c r="AH953" s="16" t="b">
        <f>IFERROR(__xludf.DUMMYFUNCTION("""COMPUTED_VALUE"""),FALSE)</f>
        <v>0</v>
      </c>
    </row>
    <row r="954">
      <c r="A954" s="16"/>
      <c r="B954" s="16"/>
      <c r="C954" s="16"/>
      <c r="D954" s="16"/>
      <c r="E954" s="16">
        <f>IFERROR(__xludf.DUMMYFUNCTION("""COMPUTED_VALUE"""),1.0)</f>
        <v>1</v>
      </c>
      <c r="F954" s="108">
        <f>IFERROR(__xludf.DUMMYFUNCTION("""COMPUTED_VALUE"""),0.0)</f>
        <v>0</v>
      </c>
      <c r="G954" s="16"/>
      <c r="H954" s="16"/>
      <c r="I954" s="16"/>
      <c r="J954" s="16"/>
      <c r="K954" s="16"/>
      <c r="L954" s="16"/>
      <c r="M954" s="16"/>
      <c r="N954" s="16"/>
      <c r="O954" s="16"/>
      <c r="P954" s="16"/>
      <c r="Q954" s="16"/>
      <c r="R954" s="16"/>
      <c r="S954" s="16"/>
      <c r="T954" s="16"/>
      <c r="U954" s="16"/>
      <c r="V954" s="16"/>
      <c r="W954" s="16"/>
      <c r="X954" s="16"/>
      <c r="Y954" s="16"/>
      <c r="Z954" s="16"/>
      <c r="AA954" s="16"/>
      <c r="AB954" s="16"/>
      <c r="AC954" s="16"/>
      <c r="AD954" s="16"/>
      <c r="AE954" s="16"/>
      <c r="AF954" s="16"/>
      <c r="AG954" s="16"/>
      <c r="AH954" s="16" t="b">
        <f>IFERROR(__xludf.DUMMYFUNCTION("""COMPUTED_VALUE"""),FALSE)</f>
        <v>0</v>
      </c>
    </row>
    <row r="955">
      <c r="A955" s="16"/>
      <c r="B955" s="16"/>
      <c r="C955" s="16"/>
      <c r="D955" s="16"/>
      <c r="E955" s="16">
        <f>IFERROR(__xludf.DUMMYFUNCTION("""COMPUTED_VALUE"""),1.0)</f>
        <v>1</v>
      </c>
      <c r="F955" s="108">
        <f>IFERROR(__xludf.DUMMYFUNCTION("""COMPUTED_VALUE"""),0.0)</f>
        <v>0</v>
      </c>
      <c r="G955" s="16"/>
      <c r="H955" s="16"/>
      <c r="I955" s="16"/>
      <c r="J955" s="16"/>
      <c r="K955" s="16"/>
      <c r="L955" s="16"/>
      <c r="M955" s="16"/>
      <c r="N955" s="16"/>
      <c r="O955" s="16"/>
      <c r="P955" s="16"/>
      <c r="Q955" s="16"/>
      <c r="R955" s="16"/>
      <c r="S955" s="16"/>
      <c r="T955" s="16"/>
      <c r="U955" s="16"/>
      <c r="V955" s="16"/>
      <c r="W955" s="16"/>
      <c r="X955" s="16"/>
      <c r="Y955" s="16"/>
      <c r="Z955" s="16"/>
      <c r="AA955" s="16"/>
      <c r="AB955" s="16"/>
      <c r="AC955" s="16"/>
      <c r="AD955" s="16"/>
      <c r="AE955" s="16"/>
      <c r="AF955" s="16"/>
      <c r="AG955" s="16"/>
      <c r="AH955" s="16" t="b">
        <f>IFERROR(__xludf.DUMMYFUNCTION("""COMPUTED_VALUE"""),FALSE)</f>
        <v>0</v>
      </c>
    </row>
    <row r="956">
      <c r="A956" s="16"/>
      <c r="B956" s="16"/>
      <c r="C956" s="16"/>
      <c r="D956" s="16"/>
      <c r="E956" s="16">
        <f>IFERROR(__xludf.DUMMYFUNCTION("""COMPUTED_VALUE"""),1.0)</f>
        <v>1</v>
      </c>
      <c r="F956" s="108">
        <f>IFERROR(__xludf.DUMMYFUNCTION("""COMPUTED_VALUE"""),0.0)</f>
        <v>0</v>
      </c>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t="b">
        <f>IFERROR(__xludf.DUMMYFUNCTION("""COMPUTED_VALUE"""),FALSE)</f>
        <v>0</v>
      </c>
    </row>
    <row r="957">
      <c r="A957" s="16"/>
      <c r="B957" s="16"/>
      <c r="C957" s="16"/>
      <c r="D957" s="16"/>
      <c r="E957" s="16">
        <f>IFERROR(__xludf.DUMMYFUNCTION("""COMPUTED_VALUE"""),1.0)</f>
        <v>1</v>
      </c>
      <c r="F957" s="108">
        <f>IFERROR(__xludf.DUMMYFUNCTION("""COMPUTED_VALUE"""),0.0)</f>
        <v>0</v>
      </c>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t="b">
        <f>IFERROR(__xludf.DUMMYFUNCTION("""COMPUTED_VALUE"""),FALSE)</f>
        <v>0</v>
      </c>
    </row>
    <row r="958">
      <c r="A958" s="16"/>
      <c r="B958" s="16"/>
      <c r="C958" s="16"/>
      <c r="D958" s="16"/>
      <c r="E958" s="16">
        <f>IFERROR(__xludf.DUMMYFUNCTION("""COMPUTED_VALUE"""),1.0)</f>
        <v>1</v>
      </c>
      <c r="F958" s="108">
        <f>IFERROR(__xludf.DUMMYFUNCTION("""COMPUTED_VALUE"""),0.0)</f>
        <v>0</v>
      </c>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t="b">
        <f>IFERROR(__xludf.DUMMYFUNCTION("""COMPUTED_VALUE"""),FALSE)</f>
        <v>0</v>
      </c>
    </row>
    <row r="959">
      <c r="A959" s="16"/>
      <c r="B959" s="16"/>
      <c r="C959" s="16"/>
      <c r="D959" s="16"/>
      <c r="E959" s="16">
        <f>IFERROR(__xludf.DUMMYFUNCTION("""COMPUTED_VALUE"""),1.0)</f>
        <v>1</v>
      </c>
      <c r="F959" s="108">
        <f>IFERROR(__xludf.DUMMYFUNCTION("""COMPUTED_VALUE"""),0.0)</f>
        <v>0</v>
      </c>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t="b">
        <f>IFERROR(__xludf.DUMMYFUNCTION("""COMPUTED_VALUE"""),FALSE)</f>
        <v>0</v>
      </c>
    </row>
    <row r="960">
      <c r="A960" s="16"/>
      <c r="B960" s="16"/>
      <c r="C960" s="16"/>
      <c r="D960" s="16"/>
      <c r="E960" s="16">
        <f>IFERROR(__xludf.DUMMYFUNCTION("""COMPUTED_VALUE"""),1.0)</f>
        <v>1</v>
      </c>
      <c r="F960" s="108">
        <f>IFERROR(__xludf.DUMMYFUNCTION("""COMPUTED_VALUE"""),0.0)</f>
        <v>0</v>
      </c>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t="b">
        <f>IFERROR(__xludf.DUMMYFUNCTION("""COMPUTED_VALUE"""),FALSE)</f>
        <v>0</v>
      </c>
    </row>
    <row r="961">
      <c r="A961" s="16"/>
      <c r="B961" s="16"/>
      <c r="C961" s="16"/>
      <c r="D961" s="16"/>
      <c r="E961" s="16">
        <f>IFERROR(__xludf.DUMMYFUNCTION("""COMPUTED_VALUE"""),1.0)</f>
        <v>1</v>
      </c>
      <c r="F961" s="108">
        <f>IFERROR(__xludf.DUMMYFUNCTION("""COMPUTED_VALUE"""),0.0)</f>
        <v>0</v>
      </c>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t="b">
        <f>IFERROR(__xludf.DUMMYFUNCTION("""COMPUTED_VALUE"""),FALSE)</f>
        <v>0</v>
      </c>
    </row>
    <row r="962">
      <c r="A962" s="16"/>
      <c r="B962" s="16"/>
      <c r="C962" s="16"/>
      <c r="D962" s="16"/>
      <c r="E962" s="16">
        <f>IFERROR(__xludf.DUMMYFUNCTION("""COMPUTED_VALUE"""),1.0)</f>
        <v>1</v>
      </c>
      <c r="F962" s="108">
        <f>IFERROR(__xludf.DUMMYFUNCTION("""COMPUTED_VALUE"""),0.0)</f>
        <v>0</v>
      </c>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t="b">
        <f>IFERROR(__xludf.DUMMYFUNCTION("""COMPUTED_VALUE"""),FALSE)</f>
        <v>0</v>
      </c>
    </row>
    <row r="963">
      <c r="A963" s="16"/>
      <c r="B963" s="16"/>
      <c r="C963" s="16"/>
      <c r="D963" s="16"/>
      <c r="E963" s="16">
        <f>IFERROR(__xludf.DUMMYFUNCTION("""COMPUTED_VALUE"""),1.0)</f>
        <v>1</v>
      </c>
      <c r="F963" s="108">
        <f>IFERROR(__xludf.DUMMYFUNCTION("""COMPUTED_VALUE"""),0.0)</f>
        <v>0</v>
      </c>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t="b">
        <f>IFERROR(__xludf.DUMMYFUNCTION("""COMPUTED_VALUE"""),FALSE)</f>
        <v>0</v>
      </c>
    </row>
    <row r="964">
      <c r="A964" s="16"/>
      <c r="B964" s="16"/>
      <c r="C964" s="16"/>
      <c r="D964" s="16"/>
      <c r="E964" s="16">
        <f>IFERROR(__xludf.DUMMYFUNCTION("""COMPUTED_VALUE"""),1.0)</f>
        <v>1</v>
      </c>
      <c r="F964" s="108">
        <f>IFERROR(__xludf.DUMMYFUNCTION("""COMPUTED_VALUE"""),0.0)</f>
        <v>0</v>
      </c>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t="b">
        <f>IFERROR(__xludf.DUMMYFUNCTION("""COMPUTED_VALUE"""),FALSE)</f>
        <v>0</v>
      </c>
    </row>
    <row r="965">
      <c r="A965" s="16"/>
      <c r="B965" s="16"/>
      <c r="C965" s="16"/>
      <c r="D965" s="16"/>
      <c r="E965" s="16">
        <f>IFERROR(__xludf.DUMMYFUNCTION("""COMPUTED_VALUE"""),1.0)</f>
        <v>1</v>
      </c>
      <c r="F965" s="108">
        <f>IFERROR(__xludf.DUMMYFUNCTION("""COMPUTED_VALUE"""),0.0)</f>
        <v>0</v>
      </c>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t="b">
        <f>IFERROR(__xludf.DUMMYFUNCTION("""COMPUTED_VALUE"""),FALSE)</f>
        <v>0</v>
      </c>
    </row>
    <row r="966">
      <c r="A966" s="16"/>
      <c r="B966" s="16"/>
      <c r="C966" s="16"/>
      <c r="D966" s="16"/>
      <c r="E966" s="16">
        <f>IFERROR(__xludf.DUMMYFUNCTION("""COMPUTED_VALUE"""),1.0)</f>
        <v>1</v>
      </c>
      <c r="F966" s="108">
        <f>IFERROR(__xludf.DUMMYFUNCTION("""COMPUTED_VALUE"""),0.0)</f>
        <v>0</v>
      </c>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t="b">
        <f>IFERROR(__xludf.DUMMYFUNCTION("""COMPUTED_VALUE"""),FALSE)</f>
        <v>0</v>
      </c>
    </row>
    <row r="967">
      <c r="A967" s="16"/>
      <c r="B967" s="16"/>
      <c r="C967" s="16"/>
      <c r="D967" s="16"/>
      <c r="E967" s="16">
        <f>IFERROR(__xludf.DUMMYFUNCTION("""COMPUTED_VALUE"""),1.0)</f>
        <v>1</v>
      </c>
      <c r="F967" s="108">
        <f>IFERROR(__xludf.DUMMYFUNCTION("""COMPUTED_VALUE"""),0.0)</f>
        <v>0</v>
      </c>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t="b">
        <f>IFERROR(__xludf.DUMMYFUNCTION("""COMPUTED_VALUE"""),FALSE)</f>
        <v>0</v>
      </c>
    </row>
    <row r="968">
      <c r="A968" s="16"/>
      <c r="B968" s="16"/>
      <c r="C968" s="16"/>
      <c r="D968" s="16"/>
      <c r="E968" s="16">
        <f>IFERROR(__xludf.DUMMYFUNCTION("""COMPUTED_VALUE"""),1.0)</f>
        <v>1</v>
      </c>
      <c r="F968" s="108">
        <f>IFERROR(__xludf.DUMMYFUNCTION("""COMPUTED_VALUE"""),0.0)</f>
        <v>0</v>
      </c>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t="b">
        <f>IFERROR(__xludf.DUMMYFUNCTION("""COMPUTED_VALUE"""),FALSE)</f>
        <v>0</v>
      </c>
    </row>
    <row r="969">
      <c r="A969" s="16"/>
      <c r="B969" s="16"/>
      <c r="C969" s="16"/>
      <c r="D969" s="16"/>
      <c r="E969" s="16">
        <f>IFERROR(__xludf.DUMMYFUNCTION("""COMPUTED_VALUE"""),1.0)</f>
        <v>1</v>
      </c>
      <c r="F969" s="108">
        <f>IFERROR(__xludf.DUMMYFUNCTION("""COMPUTED_VALUE"""),0.0)</f>
        <v>0</v>
      </c>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t="b">
        <f>IFERROR(__xludf.DUMMYFUNCTION("""COMPUTED_VALUE"""),FALSE)</f>
        <v>0</v>
      </c>
    </row>
    <row r="970">
      <c r="A970" s="16"/>
      <c r="B970" s="16"/>
      <c r="C970" s="16"/>
      <c r="D970" s="16"/>
      <c r="E970" s="16">
        <f>IFERROR(__xludf.DUMMYFUNCTION("""COMPUTED_VALUE"""),1.0)</f>
        <v>1</v>
      </c>
      <c r="F970" s="108">
        <f>IFERROR(__xludf.DUMMYFUNCTION("""COMPUTED_VALUE"""),0.0)</f>
        <v>0</v>
      </c>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t="b">
        <f>IFERROR(__xludf.DUMMYFUNCTION("""COMPUTED_VALUE"""),FALSE)</f>
        <v>0</v>
      </c>
    </row>
    <row r="971">
      <c r="A971" s="16"/>
      <c r="B971" s="16"/>
      <c r="C971" s="16"/>
      <c r="D971" s="16"/>
      <c r="E971" s="16">
        <f>IFERROR(__xludf.DUMMYFUNCTION("""COMPUTED_VALUE"""),1.0)</f>
        <v>1</v>
      </c>
      <c r="F971" s="108">
        <f>IFERROR(__xludf.DUMMYFUNCTION("""COMPUTED_VALUE"""),0.0)</f>
        <v>0</v>
      </c>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t="b">
        <f>IFERROR(__xludf.DUMMYFUNCTION("""COMPUTED_VALUE"""),FALSE)</f>
        <v>0</v>
      </c>
    </row>
    <row r="972">
      <c r="A972" s="16"/>
      <c r="B972" s="16"/>
      <c r="C972" s="16"/>
      <c r="D972" s="16"/>
      <c r="E972" s="16">
        <f>IFERROR(__xludf.DUMMYFUNCTION("""COMPUTED_VALUE"""),1.0)</f>
        <v>1</v>
      </c>
      <c r="F972" s="108">
        <f>IFERROR(__xludf.DUMMYFUNCTION("""COMPUTED_VALUE"""),0.0)</f>
        <v>0</v>
      </c>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t="b">
        <f>IFERROR(__xludf.DUMMYFUNCTION("""COMPUTED_VALUE"""),FALSE)</f>
        <v>0</v>
      </c>
    </row>
    <row r="973">
      <c r="A973" s="16"/>
      <c r="B973" s="16"/>
      <c r="C973" s="16"/>
      <c r="D973" s="16"/>
      <c r="E973" s="16">
        <f>IFERROR(__xludf.DUMMYFUNCTION("""COMPUTED_VALUE"""),1.0)</f>
        <v>1</v>
      </c>
      <c r="F973" s="108">
        <f>IFERROR(__xludf.DUMMYFUNCTION("""COMPUTED_VALUE"""),0.0)</f>
        <v>0</v>
      </c>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t="b">
        <f>IFERROR(__xludf.DUMMYFUNCTION("""COMPUTED_VALUE"""),FALSE)</f>
        <v>0</v>
      </c>
    </row>
    <row r="974">
      <c r="A974" s="16"/>
      <c r="B974" s="16"/>
      <c r="C974" s="16"/>
      <c r="D974" s="16"/>
      <c r="E974" s="16">
        <f>IFERROR(__xludf.DUMMYFUNCTION("""COMPUTED_VALUE"""),1.0)</f>
        <v>1</v>
      </c>
      <c r="F974" s="108">
        <f>IFERROR(__xludf.DUMMYFUNCTION("""COMPUTED_VALUE"""),0.0)</f>
        <v>0</v>
      </c>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t="b">
        <f>IFERROR(__xludf.DUMMYFUNCTION("""COMPUTED_VALUE"""),FALSE)</f>
        <v>0</v>
      </c>
    </row>
    <row r="975">
      <c r="A975" s="16"/>
      <c r="B975" s="16"/>
      <c r="C975" s="16"/>
      <c r="D975" s="16"/>
      <c r="E975" s="16">
        <f>IFERROR(__xludf.DUMMYFUNCTION("""COMPUTED_VALUE"""),1.0)</f>
        <v>1</v>
      </c>
      <c r="F975" s="108">
        <f>IFERROR(__xludf.DUMMYFUNCTION("""COMPUTED_VALUE"""),0.0)</f>
        <v>0</v>
      </c>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t="b">
        <f>IFERROR(__xludf.DUMMYFUNCTION("""COMPUTED_VALUE"""),FALSE)</f>
        <v>0</v>
      </c>
    </row>
    <row r="976">
      <c r="A976" s="16"/>
      <c r="B976" s="16"/>
      <c r="C976" s="16"/>
      <c r="D976" s="16"/>
      <c r="E976" s="16">
        <f>IFERROR(__xludf.DUMMYFUNCTION("""COMPUTED_VALUE"""),1.0)</f>
        <v>1</v>
      </c>
      <c r="F976" s="108">
        <f>IFERROR(__xludf.DUMMYFUNCTION("""COMPUTED_VALUE"""),0.0)</f>
        <v>0</v>
      </c>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t="b">
        <f>IFERROR(__xludf.DUMMYFUNCTION("""COMPUTED_VALUE"""),FALSE)</f>
        <v>0</v>
      </c>
    </row>
    <row r="977">
      <c r="A977" s="16"/>
      <c r="B977" s="16"/>
      <c r="C977" s="16"/>
      <c r="D977" s="16"/>
      <c r="E977" s="16">
        <f>IFERROR(__xludf.DUMMYFUNCTION("""COMPUTED_VALUE"""),1.0)</f>
        <v>1</v>
      </c>
      <c r="F977" s="108">
        <f>IFERROR(__xludf.DUMMYFUNCTION("""COMPUTED_VALUE"""),0.0)</f>
        <v>0</v>
      </c>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t="b">
        <f>IFERROR(__xludf.DUMMYFUNCTION("""COMPUTED_VALUE"""),FALSE)</f>
        <v>0</v>
      </c>
    </row>
    <row r="978">
      <c r="A978" s="16"/>
      <c r="B978" s="16"/>
      <c r="C978" s="16"/>
      <c r="D978" s="16"/>
      <c r="E978" s="16">
        <f>IFERROR(__xludf.DUMMYFUNCTION("""COMPUTED_VALUE"""),1.0)</f>
        <v>1</v>
      </c>
      <c r="F978" s="108">
        <f>IFERROR(__xludf.DUMMYFUNCTION("""COMPUTED_VALUE"""),0.0)</f>
        <v>0</v>
      </c>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t="b">
        <f>IFERROR(__xludf.DUMMYFUNCTION("""COMPUTED_VALUE"""),FALSE)</f>
        <v>0</v>
      </c>
    </row>
    <row r="979">
      <c r="A979" s="16"/>
      <c r="B979" s="16"/>
      <c r="C979" s="16"/>
      <c r="D979" s="16"/>
      <c r="E979" s="16">
        <f>IFERROR(__xludf.DUMMYFUNCTION("""COMPUTED_VALUE"""),1.0)</f>
        <v>1</v>
      </c>
      <c r="F979" s="108">
        <f>IFERROR(__xludf.DUMMYFUNCTION("""COMPUTED_VALUE"""),0.0)</f>
        <v>0</v>
      </c>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t="b">
        <f>IFERROR(__xludf.DUMMYFUNCTION("""COMPUTED_VALUE"""),FALSE)</f>
        <v>0</v>
      </c>
    </row>
    <row r="980">
      <c r="A980" s="16"/>
      <c r="B980" s="16"/>
      <c r="C980" s="16"/>
      <c r="D980" s="16"/>
      <c r="E980" s="16">
        <f>IFERROR(__xludf.DUMMYFUNCTION("""COMPUTED_VALUE"""),1.0)</f>
        <v>1</v>
      </c>
      <c r="F980" s="108">
        <f>IFERROR(__xludf.DUMMYFUNCTION("""COMPUTED_VALUE"""),0.0)</f>
        <v>0</v>
      </c>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t="b">
        <f>IFERROR(__xludf.DUMMYFUNCTION("""COMPUTED_VALUE"""),FALSE)</f>
        <v>0</v>
      </c>
    </row>
    <row r="981">
      <c r="A981" s="16"/>
      <c r="B981" s="16"/>
      <c r="C981" s="16"/>
      <c r="D981" s="16"/>
      <c r="E981" s="16">
        <f>IFERROR(__xludf.DUMMYFUNCTION("""COMPUTED_VALUE"""),1.0)</f>
        <v>1</v>
      </c>
      <c r="F981" s="108">
        <f>IFERROR(__xludf.DUMMYFUNCTION("""COMPUTED_VALUE"""),0.0)</f>
        <v>0</v>
      </c>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t="b">
        <f>IFERROR(__xludf.DUMMYFUNCTION("""COMPUTED_VALUE"""),FALSE)</f>
        <v>0</v>
      </c>
    </row>
    <row r="982">
      <c r="A982" s="16"/>
      <c r="B982" s="16"/>
      <c r="C982" s="16"/>
      <c r="D982" s="16"/>
      <c r="E982" s="16">
        <f>IFERROR(__xludf.DUMMYFUNCTION("""COMPUTED_VALUE"""),1.0)</f>
        <v>1</v>
      </c>
      <c r="F982" s="108">
        <f>IFERROR(__xludf.DUMMYFUNCTION("""COMPUTED_VALUE"""),0.0)</f>
        <v>0</v>
      </c>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t="b">
        <f>IFERROR(__xludf.DUMMYFUNCTION("""COMPUTED_VALUE"""),FALSE)</f>
        <v>0</v>
      </c>
    </row>
    <row r="983">
      <c r="A983" s="16"/>
      <c r="B983" s="16"/>
      <c r="C983" s="16"/>
      <c r="D983" s="16"/>
      <c r="E983" s="16">
        <f>IFERROR(__xludf.DUMMYFUNCTION("""COMPUTED_VALUE"""),1.0)</f>
        <v>1</v>
      </c>
      <c r="F983" s="108">
        <f>IFERROR(__xludf.DUMMYFUNCTION("""COMPUTED_VALUE"""),0.0)</f>
        <v>0</v>
      </c>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t="b">
        <f>IFERROR(__xludf.DUMMYFUNCTION("""COMPUTED_VALUE"""),FALSE)</f>
        <v>0</v>
      </c>
    </row>
    <row r="984">
      <c r="A984" s="16"/>
      <c r="B984" s="16"/>
      <c r="C984" s="16"/>
      <c r="D984" s="16"/>
      <c r="E984" s="16">
        <f>IFERROR(__xludf.DUMMYFUNCTION("""COMPUTED_VALUE"""),1.0)</f>
        <v>1</v>
      </c>
      <c r="F984" s="108">
        <f>IFERROR(__xludf.DUMMYFUNCTION("""COMPUTED_VALUE"""),0.0)</f>
        <v>0</v>
      </c>
      <c r="G984" s="16"/>
      <c r="H984" s="16"/>
      <c r="I984" s="16"/>
      <c r="J984" s="16"/>
      <c r="K984" s="16"/>
      <c r="L984" s="16"/>
      <c r="M984" s="16"/>
      <c r="N984" s="16"/>
      <c r="O984" s="16"/>
      <c r="P984" s="16"/>
      <c r="Q984" s="16"/>
      <c r="R984" s="16"/>
      <c r="S984" s="16"/>
      <c r="T984" s="16"/>
      <c r="U984" s="16"/>
      <c r="V984" s="16"/>
      <c r="W984" s="16"/>
      <c r="X984" s="16"/>
      <c r="Y984" s="16"/>
      <c r="Z984" s="16"/>
      <c r="AA984" s="16"/>
      <c r="AB984" s="16"/>
      <c r="AC984" s="16"/>
      <c r="AD984" s="16"/>
      <c r="AE984" s="16"/>
      <c r="AF984" s="16"/>
      <c r="AG984" s="16"/>
      <c r="AH984" s="16" t="b">
        <f>IFERROR(__xludf.DUMMYFUNCTION("""COMPUTED_VALUE"""),FALSE)</f>
        <v>0</v>
      </c>
    </row>
    <row r="985">
      <c r="A985" s="16"/>
      <c r="B985" s="16"/>
      <c r="C985" s="16"/>
      <c r="D985" s="16"/>
      <c r="E985" s="16">
        <f>IFERROR(__xludf.DUMMYFUNCTION("""COMPUTED_VALUE"""),1.0)</f>
        <v>1</v>
      </c>
      <c r="F985" s="108">
        <f>IFERROR(__xludf.DUMMYFUNCTION("""COMPUTED_VALUE"""),0.0)</f>
        <v>0</v>
      </c>
      <c r="G985" s="16"/>
      <c r="H985" s="16"/>
      <c r="I985" s="16"/>
      <c r="J985" s="16"/>
      <c r="K985" s="16"/>
      <c r="L985" s="16"/>
      <c r="M985" s="16"/>
      <c r="N985" s="16"/>
      <c r="O985" s="16"/>
      <c r="P985" s="16"/>
      <c r="Q985" s="16"/>
      <c r="R985" s="16"/>
      <c r="S985" s="16"/>
      <c r="T985" s="16"/>
      <c r="U985" s="16"/>
      <c r="V985" s="16"/>
      <c r="W985" s="16"/>
      <c r="X985" s="16"/>
      <c r="Y985" s="16"/>
      <c r="Z985" s="16"/>
      <c r="AA985" s="16"/>
      <c r="AB985" s="16"/>
      <c r="AC985" s="16"/>
      <c r="AD985" s="16"/>
      <c r="AE985" s="16"/>
      <c r="AF985" s="16"/>
      <c r="AG985" s="16"/>
      <c r="AH985" s="16" t="b">
        <f>IFERROR(__xludf.DUMMYFUNCTION("""COMPUTED_VALUE"""),FALSE)</f>
        <v>0</v>
      </c>
    </row>
    <row r="986">
      <c r="A986" s="16"/>
      <c r="B986" s="16"/>
      <c r="C986" s="16"/>
      <c r="D986" s="16"/>
      <c r="E986" s="16">
        <f>IFERROR(__xludf.DUMMYFUNCTION("""COMPUTED_VALUE"""),1.0)</f>
        <v>1</v>
      </c>
      <c r="F986" s="108">
        <f>IFERROR(__xludf.DUMMYFUNCTION("""COMPUTED_VALUE"""),0.0)</f>
        <v>0</v>
      </c>
      <c r="G986" s="16"/>
      <c r="H986" s="16"/>
      <c r="I986" s="16"/>
      <c r="J986" s="16"/>
      <c r="K986" s="16"/>
      <c r="L986" s="16"/>
      <c r="M986" s="16"/>
      <c r="N986" s="16"/>
      <c r="O986" s="16"/>
      <c r="P986" s="16"/>
      <c r="Q986" s="16"/>
      <c r="R986" s="16"/>
      <c r="S986" s="16"/>
      <c r="T986" s="16"/>
      <c r="U986" s="16"/>
      <c r="V986" s="16"/>
      <c r="W986" s="16"/>
      <c r="X986" s="16"/>
      <c r="Y986" s="16"/>
      <c r="Z986" s="16"/>
      <c r="AA986" s="16"/>
      <c r="AB986" s="16"/>
      <c r="AC986" s="16"/>
      <c r="AD986" s="16"/>
      <c r="AE986" s="16"/>
      <c r="AF986" s="16"/>
      <c r="AG986" s="16"/>
      <c r="AH986" s="16" t="b">
        <f>IFERROR(__xludf.DUMMYFUNCTION("""COMPUTED_VALUE"""),FALSE)</f>
        <v>0</v>
      </c>
    </row>
    <row r="987">
      <c r="A987" s="16"/>
      <c r="B987" s="16"/>
      <c r="C987" s="16"/>
      <c r="D987" s="16"/>
      <c r="E987" s="16">
        <f>IFERROR(__xludf.DUMMYFUNCTION("""COMPUTED_VALUE"""),1.0)</f>
        <v>1</v>
      </c>
      <c r="F987" s="108">
        <f>IFERROR(__xludf.DUMMYFUNCTION("""COMPUTED_VALUE"""),0.0)</f>
        <v>0</v>
      </c>
      <c r="G987" s="16"/>
      <c r="H987" s="16"/>
      <c r="I987" s="16"/>
      <c r="J987" s="16"/>
      <c r="K987" s="16"/>
      <c r="L987" s="16"/>
      <c r="M987" s="16"/>
      <c r="N987" s="16"/>
      <c r="O987" s="16"/>
      <c r="P987" s="16"/>
      <c r="Q987" s="16"/>
      <c r="R987" s="16"/>
      <c r="S987" s="16"/>
      <c r="T987" s="16"/>
      <c r="U987" s="16"/>
      <c r="V987" s="16"/>
      <c r="W987" s="16"/>
      <c r="X987" s="16"/>
      <c r="Y987" s="16"/>
      <c r="Z987" s="16"/>
      <c r="AA987" s="16"/>
      <c r="AB987" s="16"/>
      <c r="AC987" s="16"/>
      <c r="AD987" s="16"/>
      <c r="AE987" s="16"/>
      <c r="AF987" s="16"/>
      <c r="AG987" s="16"/>
      <c r="AH987" s="16" t="b">
        <f>IFERROR(__xludf.DUMMYFUNCTION("""COMPUTED_VALUE"""),FALSE)</f>
        <v>0</v>
      </c>
    </row>
    <row r="988">
      <c r="A988" s="16"/>
      <c r="B988" s="16"/>
      <c r="C988" s="16"/>
      <c r="D988" s="16"/>
      <c r="E988" s="16">
        <f>IFERROR(__xludf.DUMMYFUNCTION("""COMPUTED_VALUE"""),1.0)</f>
        <v>1</v>
      </c>
      <c r="F988" s="108">
        <f>IFERROR(__xludf.DUMMYFUNCTION("""COMPUTED_VALUE"""),0.0)</f>
        <v>0</v>
      </c>
      <c r="G988" s="16"/>
      <c r="H988" s="16"/>
      <c r="I988" s="16"/>
      <c r="J988" s="16"/>
      <c r="K988" s="16"/>
      <c r="L988" s="16"/>
      <c r="M988" s="16"/>
      <c r="N988" s="16"/>
      <c r="O988" s="16"/>
      <c r="P988" s="16"/>
      <c r="Q988" s="16"/>
      <c r="R988" s="16"/>
      <c r="S988" s="16"/>
      <c r="T988" s="16"/>
      <c r="U988" s="16"/>
      <c r="V988" s="16"/>
      <c r="W988" s="16"/>
      <c r="X988" s="16"/>
      <c r="Y988" s="16"/>
      <c r="Z988" s="16"/>
      <c r="AA988" s="16"/>
      <c r="AB988" s="16"/>
      <c r="AC988" s="16"/>
      <c r="AD988" s="16"/>
      <c r="AE988" s="16"/>
      <c r="AF988" s="16"/>
      <c r="AG988" s="16"/>
      <c r="AH988" s="16" t="b">
        <f>IFERROR(__xludf.DUMMYFUNCTION("""COMPUTED_VALUE"""),FALSE)</f>
        <v>0</v>
      </c>
    </row>
    <row r="989">
      <c r="A989" s="16"/>
      <c r="B989" s="16"/>
      <c r="C989" s="16"/>
      <c r="D989" s="16"/>
      <c r="E989" s="16">
        <f>IFERROR(__xludf.DUMMYFUNCTION("""COMPUTED_VALUE"""),1.0)</f>
        <v>1</v>
      </c>
      <c r="F989" s="108">
        <f>IFERROR(__xludf.DUMMYFUNCTION("""COMPUTED_VALUE"""),0.0)</f>
        <v>0</v>
      </c>
      <c r="G989" s="16"/>
      <c r="H989" s="16"/>
      <c r="I989" s="16"/>
      <c r="J989" s="16"/>
      <c r="K989" s="16"/>
      <c r="L989" s="16"/>
      <c r="M989" s="16"/>
      <c r="N989" s="16"/>
      <c r="O989" s="16"/>
      <c r="P989" s="16"/>
      <c r="Q989" s="16"/>
      <c r="R989" s="16"/>
      <c r="S989" s="16"/>
      <c r="T989" s="16"/>
      <c r="U989" s="16"/>
      <c r="V989" s="16"/>
      <c r="W989" s="16"/>
      <c r="X989" s="16"/>
      <c r="Y989" s="16"/>
      <c r="Z989" s="16"/>
      <c r="AA989" s="16"/>
      <c r="AB989" s="16"/>
      <c r="AC989" s="16"/>
      <c r="AD989" s="16"/>
      <c r="AE989" s="16"/>
      <c r="AF989" s="16"/>
      <c r="AG989" s="16"/>
      <c r="AH989" s="16" t="b">
        <f>IFERROR(__xludf.DUMMYFUNCTION("""COMPUTED_VALUE"""),FALSE)</f>
        <v>0</v>
      </c>
    </row>
    <row r="990">
      <c r="A990" s="16"/>
      <c r="B990" s="16"/>
      <c r="C990" s="16"/>
      <c r="D990" s="16"/>
      <c r="E990" s="16">
        <f>IFERROR(__xludf.DUMMYFUNCTION("""COMPUTED_VALUE"""),1.0)</f>
        <v>1</v>
      </c>
      <c r="F990" s="108">
        <f>IFERROR(__xludf.DUMMYFUNCTION("""COMPUTED_VALUE"""),0.0)</f>
        <v>0</v>
      </c>
      <c r="G990" s="16"/>
      <c r="H990" s="16"/>
      <c r="I990" s="16"/>
      <c r="J990" s="16"/>
      <c r="K990" s="16"/>
      <c r="L990" s="16"/>
      <c r="M990" s="16"/>
      <c r="N990" s="16"/>
      <c r="O990" s="16"/>
      <c r="P990" s="16"/>
      <c r="Q990" s="16"/>
      <c r="R990" s="16"/>
      <c r="S990" s="16"/>
      <c r="T990" s="16"/>
      <c r="U990" s="16"/>
      <c r="V990" s="16"/>
      <c r="W990" s="16"/>
      <c r="X990" s="16"/>
      <c r="Y990" s="16"/>
      <c r="Z990" s="16"/>
      <c r="AA990" s="16"/>
      <c r="AB990" s="16"/>
      <c r="AC990" s="16"/>
      <c r="AD990" s="16"/>
      <c r="AE990" s="16"/>
      <c r="AF990" s="16"/>
      <c r="AG990" s="16"/>
      <c r="AH990" s="16" t="b">
        <f>IFERROR(__xludf.DUMMYFUNCTION("""COMPUTED_VALUE"""),FALSE)</f>
        <v>0</v>
      </c>
    </row>
    <row r="991">
      <c r="A991" s="16"/>
      <c r="B991" s="16"/>
      <c r="C991" s="16"/>
      <c r="D991" s="16"/>
      <c r="E991" s="16">
        <f>IFERROR(__xludf.DUMMYFUNCTION("""COMPUTED_VALUE"""),1.0)</f>
        <v>1</v>
      </c>
      <c r="F991" s="108">
        <f>IFERROR(__xludf.DUMMYFUNCTION("""COMPUTED_VALUE"""),0.0)</f>
        <v>0</v>
      </c>
      <c r="G991" s="16"/>
      <c r="H991" s="16"/>
      <c r="I991" s="16"/>
      <c r="J991" s="16"/>
      <c r="K991" s="16"/>
      <c r="L991" s="16"/>
      <c r="M991" s="16"/>
      <c r="N991" s="16"/>
      <c r="O991" s="16"/>
      <c r="P991" s="16"/>
      <c r="Q991" s="16"/>
      <c r="R991" s="16"/>
      <c r="S991" s="16"/>
      <c r="T991" s="16"/>
      <c r="U991" s="16"/>
      <c r="V991" s="16"/>
      <c r="W991" s="16"/>
      <c r="X991" s="16"/>
      <c r="Y991" s="16"/>
      <c r="Z991" s="16"/>
      <c r="AA991" s="16"/>
      <c r="AB991" s="16"/>
      <c r="AC991" s="16"/>
      <c r="AD991" s="16"/>
      <c r="AE991" s="16"/>
      <c r="AF991" s="16"/>
      <c r="AG991" s="16"/>
      <c r="AH991" s="16" t="b">
        <f>IFERROR(__xludf.DUMMYFUNCTION("""COMPUTED_VALUE"""),FALSE)</f>
        <v>0</v>
      </c>
    </row>
    <row r="992">
      <c r="A992" s="16"/>
      <c r="B992" s="16"/>
      <c r="C992" s="16"/>
      <c r="D992" s="16"/>
      <c r="E992" s="16">
        <f>IFERROR(__xludf.DUMMYFUNCTION("""COMPUTED_VALUE"""),1.0)</f>
        <v>1</v>
      </c>
      <c r="F992" s="108">
        <f>IFERROR(__xludf.DUMMYFUNCTION("""COMPUTED_VALUE"""),0.0)</f>
        <v>0</v>
      </c>
      <c r="G992" s="16"/>
      <c r="H992" s="16"/>
      <c r="I992" s="16"/>
      <c r="J992" s="16"/>
      <c r="K992" s="16"/>
      <c r="L992" s="16"/>
      <c r="M992" s="16"/>
      <c r="N992" s="16"/>
      <c r="O992" s="16"/>
      <c r="P992" s="16"/>
      <c r="Q992" s="16"/>
      <c r="R992" s="16"/>
      <c r="S992" s="16"/>
      <c r="T992" s="16"/>
      <c r="U992" s="16"/>
      <c r="V992" s="16"/>
      <c r="W992" s="16"/>
      <c r="X992" s="16"/>
      <c r="Y992" s="16"/>
      <c r="Z992" s="16"/>
      <c r="AA992" s="16"/>
      <c r="AB992" s="16"/>
      <c r="AC992" s="16"/>
      <c r="AD992" s="16"/>
      <c r="AE992" s="16"/>
      <c r="AF992" s="16"/>
      <c r="AG992" s="16"/>
      <c r="AH992" s="16" t="b">
        <f>IFERROR(__xludf.DUMMYFUNCTION("""COMPUTED_VALUE"""),FALSE)</f>
        <v>0</v>
      </c>
    </row>
    <row r="993">
      <c r="A993" s="16"/>
      <c r="B993" s="16"/>
      <c r="C993" s="16"/>
      <c r="D993" s="16"/>
      <c r="E993" s="16">
        <f>IFERROR(__xludf.DUMMYFUNCTION("""COMPUTED_VALUE"""),1.0)</f>
        <v>1</v>
      </c>
      <c r="F993" s="108">
        <f>IFERROR(__xludf.DUMMYFUNCTION("""COMPUTED_VALUE"""),0.0)</f>
        <v>0</v>
      </c>
      <c r="G993" s="16"/>
      <c r="H993" s="16"/>
      <c r="I993" s="16"/>
      <c r="J993" s="16"/>
      <c r="K993" s="16"/>
      <c r="L993" s="16"/>
      <c r="M993" s="16"/>
      <c r="N993" s="16"/>
      <c r="O993" s="16"/>
      <c r="P993" s="16"/>
      <c r="Q993" s="16"/>
      <c r="R993" s="16"/>
      <c r="S993" s="16"/>
      <c r="T993" s="16"/>
      <c r="U993" s="16"/>
      <c r="V993" s="16"/>
      <c r="W993" s="16"/>
      <c r="X993" s="16"/>
      <c r="Y993" s="16"/>
      <c r="Z993" s="16"/>
      <c r="AA993" s="16"/>
      <c r="AB993" s="16"/>
      <c r="AC993" s="16"/>
      <c r="AD993" s="16"/>
      <c r="AE993" s="16"/>
      <c r="AF993" s="16"/>
      <c r="AG993" s="16"/>
      <c r="AH993" s="16" t="b">
        <f>IFERROR(__xludf.DUMMYFUNCTION("""COMPUTED_VALUE"""),FALSE)</f>
        <v>0</v>
      </c>
    </row>
    <row r="994">
      <c r="A994" s="16"/>
      <c r="B994" s="16"/>
      <c r="C994" s="16"/>
      <c r="D994" s="16"/>
      <c r="E994" s="16">
        <f>IFERROR(__xludf.DUMMYFUNCTION("""COMPUTED_VALUE"""),1.0)</f>
        <v>1</v>
      </c>
      <c r="F994" s="108">
        <f>IFERROR(__xludf.DUMMYFUNCTION("""COMPUTED_VALUE"""),0.0)</f>
        <v>0</v>
      </c>
      <c r="G994" s="16"/>
      <c r="H994" s="16"/>
      <c r="I994" s="16"/>
      <c r="J994" s="16"/>
      <c r="K994" s="16"/>
      <c r="L994" s="16"/>
      <c r="M994" s="16"/>
      <c r="N994" s="16"/>
      <c r="O994" s="16"/>
      <c r="P994" s="16"/>
      <c r="Q994" s="16"/>
      <c r="R994" s="16"/>
      <c r="S994" s="16"/>
      <c r="T994" s="16"/>
      <c r="U994" s="16"/>
      <c r="V994" s="16"/>
      <c r="W994" s="16"/>
      <c r="X994" s="16"/>
      <c r="Y994" s="16"/>
      <c r="Z994" s="16"/>
      <c r="AA994" s="16"/>
      <c r="AB994" s="16"/>
      <c r="AC994" s="16"/>
      <c r="AD994" s="16"/>
      <c r="AE994" s="16"/>
      <c r="AF994" s="16"/>
      <c r="AG994" s="16"/>
      <c r="AH994" s="16" t="b">
        <f>IFERROR(__xludf.DUMMYFUNCTION("""COMPUTED_VALUE"""),FALSE)</f>
        <v>0</v>
      </c>
    </row>
    <row r="995">
      <c r="A995" s="16"/>
      <c r="B995" s="16"/>
      <c r="C995" s="16"/>
      <c r="D995" s="16"/>
      <c r="E995" s="16">
        <f>IFERROR(__xludf.DUMMYFUNCTION("""COMPUTED_VALUE"""),1.0)</f>
        <v>1</v>
      </c>
      <c r="F995" s="108">
        <f>IFERROR(__xludf.DUMMYFUNCTION("""COMPUTED_VALUE"""),0.0)</f>
        <v>0</v>
      </c>
      <c r="G995" s="16"/>
      <c r="H995" s="16"/>
      <c r="I995" s="16"/>
      <c r="J995" s="16"/>
      <c r="K995" s="16"/>
      <c r="L995" s="16"/>
      <c r="M995" s="16"/>
      <c r="N995" s="16"/>
      <c r="O995" s="16"/>
      <c r="P995" s="16"/>
      <c r="Q995" s="16"/>
      <c r="R995" s="16"/>
      <c r="S995" s="16"/>
      <c r="T995" s="16"/>
      <c r="U995" s="16"/>
      <c r="V995" s="16"/>
      <c r="W995" s="16"/>
      <c r="X995" s="16"/>
      <c r="Y995" s="16"/>
      <c r="Z995" s="16"/>
      <c r="AA995" s="16"/>
      <c r="AB995" s="16"/>
      <c r="AC995" s="16"/>
      <c r="AD995" s="16"/>
      <c r="AE995" s="16"/>
      <c r="AF995" s="16"/>
      <c r="AG995" s="16"/>
      <c r="AH995" s="16" t="b">
        <f>IFERROR(__xludf.DUMMYFUNCTION("""COMPUTED_VALUE"""),FALSE)</f>
        <v>0</v>
      </c>
    </row>
    <row r="996">
      <c r="A996" s="16"/>
      <c r="B996" s="16"/>
      <c r="C996" s="16"/>
      <c r="D996" s="16"/>
      <c r="E996" s="16">
        <f>IFERROR(__xludf.DUMMYFUNCTION("""COMPUTED_VALUE"""),1.0)</f>
        <v>1</v>
      </c>
      <c r="F996" s="108">
        <f>IFERROR(__xludf.DUMMYFUNCTION("""COMPUTED_VALUE"""),0.0)</f>
        <v>0</v>
      </c>
      <c r="G996" s="16"/>
      <c r="H996" s="16"/>
      <c r="I996" s="16"/>
      <c r="J996" s="16"/>
      <c r="K996" s="16"/>
      <c r="L996" s="16"/>
      <c r="M996" s="16"/>
      <c r="N996" s="16"/>
      <c r="O996" s="16"/>
      <c r="P996" s="16"/>
      <c r="Q996" s="16"/>
      <c r="R996" s="16"/>
      <c r="S996" s="16"/>
      <c r="T996" s="16"/>
      <c r="U996" s="16"/>
      <c r="V996" s="16"/>
      <c r="W996" s="16"/>
      <c r="X996" s="16"/>
      <c r="Y996" s="16"/>
      <c r="Z996" s="16"/>
      <c r="AA996" s="16"/>
      <c r="AB996" s="16"/>
      <c r="AC996" s="16"/>
      <c r="AD996" s="16"/>
      <c r="AE996" s="16"/>
      <c r="AF996" s="16"/>
      <c r="AG996" s="16"/>
      <c r="AH996" s="16" t="b">
        <f>IFERROR(__xludf.DUMMYFUNCTION("""COMPUTED_VALUE"""),FALSE)</f>
        <v>0</v>
      </c>
    </row>
    <row r="997">
      <c r="A997" s="16"/>
      <c r="B997" s="16"/>
      <c r="C997" s="16"/>
      <c r="D997" s="16"/>
      <c r="E997" s="16">
        <f>IFERROR(__xludf.DUMMYFUNCTION("""COMPUTED_VALUE"""),1.0)</f>
        <v>1</v>
      </c>
      <c r="F997" s="108">
        <f>IFERROR(__xludf.DUMMYFUNCTION("""COMPUTED_VALUE"""),0.0)</f>
        <v>0</v>
      </c>
      <c r="G997" s="16"/>
      <c r="H997" s="16"/>
      <c r="I997" s="16"/>
      <c r="J997" s="16"/>
      <c r="K997" s="16"/>
      <c r="L997" s="16"/>
      <c r="M997" s="16"/>
      <c r="N997" s="16"/>
      <c r="O997" s="16"/>
      <c r="P997" s="16"/>
      <c r="Q997" s="16"/>
      <c r="R997" s="16"/>
      <c r="S997" s="16"/>
      <c r="T997" s="16"/>
      <c r="U997" s="16"/>
      <c r="V997" s="16"/>
      <c r="W997" s="16"/>
      <c r="X997" s="16"/>
      <c r="Y997" s="16"/>
      <c r="Z997" s="16"/>
      <c r="AA997" s="16"/>
      <c r="AB997" s="16"/>
      <c r="AC997" s="16"/>
      <c r="AD997" s="16"/>
      <c r="AE997" s="16"/>
      <c r="AF997" s="16"/>
      <c r="AG997" s="16"/>
      <c r="AH997" s="16" t="b">
        <f>IFERROR(__xludf.DUMMYFUNCTION("""COMPUTED_VALUE"""),FALSE)</f>
        <v>0</v>
      </c>
    </row>
    <row r="998">
      <c r="A998" s="16"/>
      <c r="B998" s="16"/>
      <c r="C998" s="16"/>
      <c r="D998" s="16"/>
      <c r="E998" s="16">
        <f>IFERROR(__xludf.DUMMYFUNCTION("""COMPUTED_VALUE"""),1.0)</f>
        <v>1</v>
      </c>
      <c r="F998" s="108">
        <f>IFERROR(__xludf.DUMMYFUNCTION("""COMPUTED_VALUE"""),0.0)</f>
        <v>0</v>
      </c>
      <c r="G998" s="16"/>
      <c r="H998" s="16"/>
      <c r="I998" s="16"/>
      <c r="J998" s="16"/>
      <c r="K998" s="16"/>
      <c r="L998" s="16"/>
      <c r="M998" s="16"/>
      <c r="N998" s="16"/>
      <c r="O998" s="16"/>
      <c r="P998" s="16"/>
      <c r="Q998" s="16"/>
      <c r="R998" s="16"/>
      <c r="S998" s="16"/>
      <c r="T998" s="16"/>
      <c r="U998" s="16"/>
      <c r="V998" s="16"/>
      <c r="W998" s="16"/>
      <c r="X998" s="16"/>
      <c r="Y998" s="16"/>
      <c r="Z998" s="16"/>
      <c r="AA998" s="16"/>
      <c r="AB998" s="16"/>
      <c r="AC998" s="16"/>
      <c r="AD998" s="16"/>
      <c r="AE998" s="16"/>
      <c r="AF998" s="16"/>
      <c r="AG998" s="16"/>
      <c r="AH998" s="16" t="b">
        <f>IFERROR(__xludf.DUMMYFUNCTION("""COMPUTED_VALUE"""),FALSE)</f>
        <v>0</v>
      </c>
    </row>
    <row r="999">
      <c r="A999" s="16"/>
      <c r="B999" s="16"/>
      <c r="C999" s="16"/>
      <c r="D999" s="16"/>
      <c r="E999" s="16">
        <f>IFERROR(__xludf.DUMMYFUNCTION("""COMPUTED_VALUE"""),1.0)</f>
        <v>1</v>
      </c>
      <c r="F999" s="108">
        <f>IFERROR(__xludf.DUMMYFUNCTION("""COMPUTED_VALUE"""),0.0)</f>
        <v>0</v>
      </c>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t="b">
        <f>IFERROR(__xludf.DUMMYFUNCTION("""COMPUTED_VALUE"""),FALSE)</f>
        <v>0</v>
      </c>
    </row>
    <row r="1000">
      <c r="A1000" s="16"/>
      <c r="B1000" s="16"/>
      <c r="C1000" s="16"/>
      <c r="D1000" s="16"/>
      <c r="E1000" s="16">
        <f>IFERROR(__xludf.DUMMYFUNCTION("""COMPUTED_VALUE"""),1.0)</f>
        <v>1</v>
      </c>
      <c r="F1000" s="108">
        <f>IFERROR(__xludf.DUMMYFUNCTION("""COMPUTED_VALUE"""),0.0)</f>
        <v>0</v>
      </c>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t="b">
        <f>IFERROR(__xludf.DUMMYFUNCTION("""COMPUTED_VALUE"""),FALSE)</f>
        <v>0</v>
      </c>
    </row>
    <row r="1001">
      <c r="A1001" s="16"/>
      <c r="B1001" s="16"/>
      <c r="C1001" s="16"/>
      <c r="D1001" s="16"/>
      <c r="E1001" s="16">
        <f>IFERROR(__xludf.DUMMYFUNCTION("""COMPUTED_VALUE"""),1.0)</f>
        <v>1</v>
      </c>
      <c r="F1001" s="108">
        <f>IFERROR(__xludf.DUMMYFUNCTION("""COMPUTED_VALUE"""),0.0)</f>
        <v>0</v>
      </c>
      <c r="G1001" s="16"/>
      <c r="H1001" s="16"/>
      <c r="I1001" s="16"/>
      <c r="J1001" s="16"/>
      <c r="K1001" s="16"/>
      <c r="L1001" s="16"/>
      <c r="M1001" s="16"/>
      <c r="N1001" s="16"/>
      <c r="O1001" s="16"/>
      <c r="P1001" s="16"/>
      <c r="Q1001" s="16"/>
      <c r="R1001" s="16"/>
      <c r="S1001" s="16"/>
      <c r="T1001" s="16"/>
      <c r="U1001" s="16"/>
      <c r="V1001" s="16"/>
      <c r="W1001" s="16"/>
      <c r="X1001" s="16"/>
      <c r="Y1001" s="16"/>
      <c r="Z1001" s="16"/>
      <c r="AA1001" s="16"/>
      <c r="AB1001" s="16"/>
      <c r="AC1001" s="16"/>
      <c r="AD1001" s="16"/>
      <c r="AE1001" s="16"/>
      <c r="AF1001" s="16"/>
      <c r="AG1001" s="16"/>
      <c r="AH1001" s="16" t="b">
        <f>IFERROR(__xludf.DUMMYFUNCTION("""COMPUTED_VALUE"""),FALSE)</f>
        <v>0</v>
      </c>
    </row>
    <row r="1002">
      <c r="A1002" s="16"/>
      <c r="B1002" s="16"/>
      <c r="C1002" s="16"/>
      <c r="D1002" s="16"/>
      <c r="E1002" s="16">
        <f>IFERROR(__xludf.DUMMYFUNCTION("""COMPUTED_VALUE"""),1.0)</f>
        <v>1</v>
      </c>
      <c r="F1002" s="108">
        <f>IFERROR(__xludf.DUMMYFUNCTION("""COMPUTED_VALUE"""),0.0)</f>
        <v>0</v>
      </c>
      <c r="G1002" s="16"/>
      <c r="H1002" s="16"/>
      <c r="I1002" s="16"/>
      <c r="J1002" s="16"/>
      <c r="K1002" s="16"/>
      <c r="L1002" s="16"/>
      <c r="M1002" s="16"/>
      <c r="N1002" s="16"/>
      <c r="O1002" s="16"/>
      <c r="P1002" s="16"/>
      <c r="Q1002" s="16"/>
      <c r="R1002" s="16"/>
      <c r="S1002" s="16"/>
      <c r="T1002" s="16"/>
      <c r="U1002" s="16"/>
      <c r="V1002" s="16"/>
      <c r="W1002" s="16"/>
      <c r="X1002" s="16"/>
      <c r="Y1002" s="16"/>
      <c r="Z1002" s="16"/>
      <c r="AA1002" s="16"/>
      <c r="AB1002" s="16"/>
      <c r="AC1002" s="16"/>
      <c r="AD1002" s="16"/>
      <c r="AE1002" s="16"/>
      <c r="AF1002" s="16"/>
      <c r="AG1002" s="16"/>
      <c r="AH1002" s="16" t="b">
        <f>IFERROR(__xludf.DUMMYFUNCTION("""COMPUTED_VALUE"""),FALSE)</f>
        <v>0</v>
      </c>
    </row>
    <row r="1003">
      <c r="A1003" s="16"/>
      <c r="B1003" s="16"/>
      <c r="C1003" s="16"/>
      <c r="D1003" s="16"/>
      <c r="E1003" s="16">
        <f>IFERROR(__xludf.DUMMYFUNCTION("""COMPUTED_VALUE"""),1.0)</f>
        <v>1</v>
      </c>
      <c r="F1003" s="108">
        <f>IFERROR(__xludf.DUMMYFUNCTION("""COMPUTED_VALUE"""),0.0)</f>
        <v>0</v>
      </c>
      <c r="G1003" s="16"/>
      <c r="H1003" s="16"/>
      <c r="I1003" s="16"/>
      <c r="J1003" s="16"/>
      <c r="K1003" s="16"/>
      <c r="L1003" s="16"/>
      <c r="M1003" s="16"/>
      <c r="N1003" s="16"/>
      <c r="O1003" s="16"/>
      <c r="P1003" s="16"/>
      <c r="Q1003" s="16"/>
      <c r="R1003" s="16"/>
      <c r="S1003" s="16"/>
      <c r="T1003" s="16"/>
      <c r="U1003" s="16"/>
      <c r="V1003" s="16"/>
      <c r="W1003" s="16"/>
      <c r="X1003" s="16"/>
      <c r="Y1003" s="16"/>
      <c r="Z1003" s="16"/>
      <c r="AA1003" s="16"/>
      <c r="AB1003" s="16"/>
      <c r="AC1003" s="16"/>
      <c r="AD1003" s="16"/>
      <c r="AE1003" s="16"/>
      <c r="AF1003" s="16"/>
      <c r="AG1003" s="16"/>
      <c r="AH1003" s="16" t="b">
        <f>IFERROR(__xludf.DUMMYFUNCTION("""COMPUTED_VALUE"""),FALSE)</f>
        <v>0</v>
      </c>
    </row>
    <row r="1004">
      <c r="A1004" s="16"/>
      <c r="B1004" s="16"/>
      <c r="C1004" s="16"/>
      <c r="D1004" s="16"/>
      <c r="E1004" s="16">
        <f>IFERROR(__xludf.DUMMYFUNCTION("""COMPUTED_VALUE"""),1.0)</f>
        <v>1</v>
      </c>
      <c r="F1004" s="108">
        <f>IFERROR(__xludf.DUMMYFUNCTION("""COMPUTED_VALUE"""),0.0)</f>
        <v>0</v>
      </c>
      <c r="G1004" s="16"/>
      <c r="H1004" s="16"/>
      <c r="I1004" s="16"/>
      <c r="J1004" s="16"/>
      <c r="K1004" s="16"/>
      <c r="L1004" s="16"/>
      <c r="M1004" s="16"/>
      <c r="N1004" s="16"/>
      <c r="O1004" s="16"/>
      <c r="P1004" s="16"/>
      <c r="Q1004" s="16"/>
      <c r="R1004" s="16"/>
      <c r="S1004" s="16"/>
      <c r="T1004" s="16"/>
      <c r="U1004" s="16"/>
      <c r="V1004" s="16"/>
      <c r="W1004" s="16"/>
      <c r="X1004" s="16"/>
      <c r="Y1004" s="16"/>
      <c r="Z1004" s="16"/>
      <c r="AA1004" s="16"/>
      <c r="AB1004" s="16"/>
      <c r="AC1004" s="16"/>
      <c r="AD1004" s="16"/>
      <c r="AE1004" s="16"/>
      <c r="AF1004" s="16"/>
      <c r="AG1004" s="16"/>
      <c r="AH1004" s="16" t="b">
        <f>IFERROR(__xludf.DUMMYFUNCTION("""COMPUTED_VALUE"""),FALSE)</f>
        <v>0</v>
      </c>
    </row>
    <row r="1005">
      <c r="A1005" s="16"/>
      <c r="B1005" s="16"/>
      <c r="C1005" s="16"/>
      <c r="D1005" s="16"/>
      <c r="E1005" s="16">
        <f>IFERROR(__xludf.DUMMYFUNCTION("""COMPUTED_VALUE"""),1.0)</f>
        <v>1</v>
      </c>
      <c r="F1005" s="108">
        <f>IFERROR(__xludf.DUMMYFUNCTION("""COMPUTED_VALUE"""),0.0)</f>
        <v>0</v>
      </c>
      <c r="G1005" s="16"/>
      <c r="H1005" s="16"/>
      <c r="I1005" s="16"/>
      <c r="J1005" s="16"/>
      <c r="K1005" s="16"/>
      <c r="L1005" s="16"/>
      <c r="M1005" s="16"/>
      <c r="N1005" s="16"/>
      <c r="O1005" s="16"/>
      <c r="P1005" s="16"/>
      <c r="Q1005" s="16"/>
      <c r="R1005" s="16"/>
      <c r="S1005" s="16"/>
      <c r="T1005" s="16"/>
      <c r="U1005" s="16"/>
      <c r="V1005" s="16"/>
      <c r="W1005" s="16"/>
      <c r="X1005" s="16"/>
      <c r="Y1005" s="16"/>
      <c r="Z1005" s="16"/>
      <c r="AA1005" s="16"/>
      <c r="AB1005" s="16"/>
      <c r="AC1005" s="16"/>
      <c r="AD1005" s="16"/>
      <c r="AE1005" s="16"/>
      <c r="AF1005" s="16"/>
      <c r="AG1005" s="16"/>
      <c r="AH1005" s="16" t="b">
        <f>IFERROR(__xludf.DUMMYFUNCTION("""COMPUTED_VALUE"""),FALSE)</f>
        <v>0</v>
      </c>
    </row>
    <row r="1006">
      <c r="A1006" s="16"/>
      <c r="B1006" s="16"/>
      <c r="C1006" s="16"/>
      <c r="D1006" s="16"/>
      <c r="E1006" s="16">
        <f>IFERROR(__xludf.DUMMYFUNCTION("""COMPUTED_VALUE"""),1.0)</f>
        <v>1</v>
      </c>
      <c r="F1006" s="108">
        <f>IFERROR(__xludf.DUMMYFUNCTION("""COMPUTED_VALUE"""),0.0)</f>
        <v>0</v>
      </c>
      <c r="G1006" s="16"/>
      <c r="H1006" s="16"/>
      <c r="I1006" s="16"/>
      <c r="J1006" s="16"/>
      <c r="K1006" s="16"/>
      <c r="L1006" s="16"/>
      <c r="M1006" s="16"/>
      <c r="N1006" s="16"/>
      <c r="O1006" s="16"/>
      <c r="P1006" s="16"/>
      <c r="Q1006" s="16"/>
      <c r="R1006" s="16"/>
      <c r="S1006" s="16"/>
      <c r="T1006" s="16"/>
      <c r="U1006" s="16"/>
      <c r="V1006" s="16"/>
      <c r="W1006" s="16"/>
      <c r="X1006" s="16"/>
      <c r="Y1006" s="16"/>
      <c r="Z1006" s="16"/>
      <c r="AA1006" s="16"/>
      <c r="AB1006" s="16"/>
      <c r="AC1006" s="16"/>
      <c r="AD1006" s="16"/>
      <c r="AE1006" s="16"/>
      <c r="AF1006" s="16"/>
      <c r="AG1006" s="16"/>
      <c r="AH1006" s="16" t="b">
        <f>IFERROR(__xludf.DUMMYFUNCTION("""COMPUTED_VALUE"""),FALSE)</f>
        <v>0</v>
      </c>
    </row>
    <row r="1007">
      <c r="A1007" s="16"/>
      <c r="B1007" s="16"/>
      <c r="C1007" s="16"/>
      <c r="D1007" s="16"/>
      <c r="E1007" s="16">
        <f>IFERROR(__xludf.DUMMYFUNCTION("""COMPUTED_VALUE"""),1.0)</f>
        <v>1</v>
      </c>
      <c r="F1007" s="108">
        <f>IFERROR(__xludf.DUMMYFUNCTION("""COMPUTED_VALUE"""),0.0)</f>
        <v>0</v>
      </c>
      <c r="G1007" s="16"/>
      <c r="H1007" s="16"/>
      <c r="I1007" s="16"/>
      <c r="J1007" s="16"/>
      <c r="K1007" s="16"/>
      <c r="L1007" s="16"/>
      <c r="M1007" s="16"/>
      <c r="N1007" s="16"/>
      <c r="O1007" s="16"/>
      <c r="P1007" s="16"/>
      <c r="Q1007" s="16"/>
      <c r="R1007" s="16"/>
      <c r="S1007" s="16"/>
      <c r="T1007" s="16"/>
      <c r="U1007" s="16"/>
      <c r="V1007" s="16"/>
      <c r="W1007" s="16"/>
      <c r="X1007" s="16"/>
      <c r="Y1007" s="16"/>
      <c r="Z1007" s="16"/>
      <c r="AA1007" s="16"/>
      <c r="AB1007" s="16"/>
      <c r="AC1007" s="16"/>
      <c r="AD1007" s="16"/>
      <c r="AE1007" s="16"/>
      <c r="AF1007" s="16"/>
      <c r="AG1007" s="16"/>
      <c r="AH1007" s="16" t="b">
        <f>IFERROR(__xludf.DUMMYFUNCTION("""COMPUTED_VALUE"""),FALSE)</f>
        <v>0</v>
      </c>
    </row>
    <row r="1008">
      <c r="A1008" s="16"/>
      <c r="B1008" s="16"/>
      <c r="C1008" s="16"/>
      <c r="D1008" s="16"/>
      <c r="E1008" s="16">
        <f>IFERROR(__xludf.DUMMYFUNCTION("""COMPUTED_VALUE"""),1.0)</f>
        <v>1</v>
      </c>
      <c r="F1008" s="108">
        <f>IFERROR(__xludf.DUMMYFUNCTION("""COMPUTED_VALUE"""),0.0)</f>
        <v>0</v>
      </c>
      <c r="G1008" s="16"/>
      <c r="H1008" s="16"/>
      <c r="I1008" s="16"/>
      <c r="J1008" s="16"/>
      <c r="K1008" s="16"/>
      <c r="L1008" s="16"/>
      <c r="M1008" s="16"/>
      <c r="N1008" s="16"/>
      <c r="O1008" s="16"/>
      <c r="P1008" s="16"/>
      <c r="Q1008" s="16"/>
      <c r="R1008" s="16"/>
      <c r="S1008" s="16"/>
      <c r="T1008" s="16"/>
      <c r="U1008" s="16"/>
      <c r="V1008" s="16"/>
      <c r="W1008" s="16"/>
      <c r="X1008" s="16"/>
      <c r="Y1008" s="16"/>
      <c r="Z1008" s="16"/>
      <c r="AA1008" s="16"/>
      <c r="AB1008" s="16"/>
      <c r="AC1008" s="16"/>
      <c r="AD1008" s="16"/>
      <c r="AE1008" s="16"/>
      <c r="AF1008" s="16"/>
      <c r="AG1008" s="16"/>
      <c r="AH1008" s="16" t="b">
        <f>IFERROR(__xludf.DUMMYFUNCTION("""COMPUTED_VALUE"""),FALSE)</f>
        <v>0</v>
      </c>
    </row>
    <row r="1009">
      <c r="A1009" s="16"/>
      <c r="B1009" s="16"/>
      <c r="C1009" s="16"/>
      <c r="D1009" s="16"/>
      <c r="E1009" s="16">
        <f>IFERROR(__xludf.DUMMYFUNCTION("""COMPUTED_VALUE"""),1.0)</f>
        <v>1</v>
      </c>
      <c r="F1009" s="108">
        <f>IFERROR(__xludf.DUMMYFUNCTION("""COMPUTED_VALUE"""),0.0)</f>
        <v>0</v>
      </c>
      <c r="G1009" s="16"/>
      <c r="H1009" s="16"/>
      <c r="I1009" s="16"/>
      <c r="J1009" s="16"/>
      <c r="K1009" s="16"/>
      <c r="L1009" s="16"/>
      <c r="M1009" s="16"/>
      <c r="N1009" s="16"/>
      <c r="O1009" s="16"/>
      <c r="P1009" s="16"/>
      <c r="Q1009" s="16"/>
      <c r="R1009" s="16"/>
      <c r="S1009" s="16"/>
      <c r="T1009" s="16"/>
      <c r="U1009" s="16"/>
      <c r="V1009" s="16"/>
      <c r="W1009" s="16"/>
      <c r="X1009" s="16"/>
      <c r="Y1009" s="16"/>
      <c r="Z1009" s="16"/>
      <c r="AA1009" s="16"/>
      <c r="AB1009" s="16"/>
      <c r="AC1009" s="16"/>
      <c r="AD1009" s="16"/>
      <c r="AE1009" s="16"/>
      <c r="AF1009" s="16"/>
      <c r="AG1009" s="16"/>
      <c r="AH1009" s="16" t="b">
        <f>IFERROR(__xludf.DUMMYFUNCTION("""COMPUTED_VALUE"""),FALSE)</f>
        <v>0</v>
      </c>
    </row>
    <row r="1010">
      <c r="A1010" s="16"/>
      <c r="B1010" s="16"/>
      <c r="C1010" s="16"/>
      <c r="D1010" s="16"/>
      <c r="E1010" s="16">
        <f>IFERROR(__xludf.DUMMYFUNCTION("""COMPUTED_VALUE"""),1.0)</f>
        <v>1</v>
      </c>
      <c r="F1010" s="108">
        <f>IFERROR(__xludf.DUMMYFUNCTION("""COMPUTED_VALUE"""),0.0)</f>
        <v>0</v>
      </c>
      <c r="G1010" s="16"/>
      <c r="H1010" s="16"/>
      <c r="I1010" s="16"/>
      <c r="J1010" s="16"/>
      <c r="K1010" s="16"/>
      <c r="L1010" s="16"/>
      <c r="M1010" s="16"/>
      <c r="N1010" s="16"/>
      <c r="O1010" s="16"/>
      <c r="P1010" s="16"/>
      <c r="Q1010" s="16"/>
      <c r="R1010" s="16"/>
      <c r="S1010" s="16"/>
      <c r="T1010" s="16"/>
      <c r="U1010" s="16"/>
      <c r="V1010" s="16"/>
      <c r="W1010" s="16"/>
      <c r="X1010" s="16"/>
      <c r="Y1010" s="16"/>
      <c r="Z1010" s="16"/>
      <c r="AA1010" s="16"/>
      <c r="AB1010" s="16"/>
      <c r="AC1010" s="16"/>
      <c r="AD1010" s="16"/>
      <c r="AE1010" s="16"/>
      <c r="AF1010" s="16"/>
      <c r="AG1010" s="16"/>
      <c r="AH1010" s="16" t="b">
        <f>IFERROR(__xludf.DUMMYFUNCTION("""COMPUTED_VALUE"""),FALSE)</f>
        <v>0</v>
      </c>
    </row>
    <row r="1011">
      <c r="A1011" s="16"/>
      <c r="B1011" s="16"/>
      <c r="C1011" s="16"/>
      <c r="D1011" s="16"/>
      <c r="E1011" s="16">
        <f>IFERROR(__xludf.DUMMYFUNCTION("""COMPUTED_VALUE"""),1.0)</f>
        <v>1</v>
      </c>
      <c r="F1011" s="108">
        <f>IFERROR(__xludf.DUMMYFUNCTION("""COMPUTED_VALUE"""),0.0)</f>
        <v>0</v>
      </c>
      <c r="G1011" s="16"/>
      <c r="H1011" s="16"/>
      <c r="I1011" s="16"/>
      <c r="J1011" s="16"/>
      <c r="K1011" s="16"/>
      <c r="L1011" s="16"/>
      <c r="M1011" s="16"/>
      <c r="N1011" s="16"/>
      <c r="O1011" s="16"/>
      <c r="P1011" s="16"/>
      <c r="Q1011" s="16"/>
      <c r="R1011" s="16"/>
      <c r="S1011" s="16"/>
      <c r="T1011" s="16"/>
      <c r="U1011" s="16"/>
      <c r="V1011" s="16"/>
      <c r="W1011" s="16"/>
      <c r="X1011" s="16"/>
      <c r="Y1011" s="16"/>
      <c r="Z1011" s="16"/>
      <c r="AA1011" s="16"/>
      <c r="AB1011" s="16"/>
      <c r="AC1011" s="16"/>
      <c r="AD1011" s="16"/>
      <c r="AE1011" s="16"/>
      <c r="AF1011" s="16"/>
      <c r="AG1011" s="16"/>
      <c r="AH1011" s="16" t="b">
        <f>IFERROR(__xludf.DUMMYFUNCTION("""COMPUTED_VALUE"""),FALSE)</f>
        <v>0</v>
      </c>
    </row>
    <row r="1012">
      <c r="A1012" s="16"/>
      <c r="B1012" s="16"/>
      <c r="C1012" s="16"/>
      <c r="D1012" s="16"/>
      <c r="E1012" s="16">
        <f>IFERROR(__xludf.DUMMYFUNCTION("""COMPUTED_VALUE"""),1.0)</f>
        <v>1</v>
      </c>
      <c r="F1012" s="108">
        <f>IFERROR(__xludf.DUMMYFUNCTION("""COMPUTED_VALUE"""),0.0)</f>
        <v>0</v>
      </c>
      <c r="G1012" s="16"/>
      <c r="H1012" s="16"/>
      <c r="I1012" s="16"/>
      <c r="J1012" s="16"/>
      <c r="K1012" s="16"/>
      <c r="L1012" s="16"/>
      <c r="M1012" s="16"/>
      <c r="N1012" s="16"/>
      <c r="O1012" s="16"/>
      <c r="P1012" s="16"/>
      <c r="Q1012" s="16"/>
      <c r="R1012" s="16"/>
      <c r="S1012" s="16"/>
      <c r="T1012" s="16"/>
      <c r="U1012" s="16"/>
      <c r="V1012" s="16"/>
      <c r="W1012" s="16"/>
      <c r="X1012" s="16"/>
      <c r="Y1012" s="16"/>
      <c r="Z1012" s="16"/>
      <c r="AA1012" s="16"/>
      <c r="AB1012" s="16"/>
      <c r="AC1012" s="16"/>
      <c r="AD1012" s="16"/>
      <c r="AE1012" s="16"/>
      <c r="AF1012" s="16"/>
      <c r="AG1012" s="16"/>
      <c r="AH1012" s="16" t="b">
        <f>IFERROR(__xludf.DUMMYFUNCTION("""COMPUTED_VALUE"""),FALSE)</f>
        <v>0</v>
      </c>
    </row>
    <row r="1013">
      <c r="A1013" s="16"/>
      <c r="B1013" s="16"/>
      <c r="C1013" s="16"/>
      <c r="D1013" s="16"/>
      <c r="E1013" s="16">
        <f>IFERROR(__xludf.DUMMYFUNCTION("""COMPUTED_VALUE"""),1.0)</f>
        <v>1</v>
      </c>
      <c r="F1013" s="108">
        <f>IFERROR(__xludf.DUMMYFUNCTION("""COMPUTED_VALUE"""),0.0)</f>
        <v>0</v>
      </c>
      <c r="G1013" s="16"/>
      <c r="H1013" s="16"/>
      <c r="I1013" s="16"/>
      <c r="J1013" s="16"/>
      <c r="K1013" s="16"/>
      <c r="L1013" s="16"/>
      <c r="M1013" s="16"/>
      <c r="N1013" s="16"/>
      <c r="O1013" s="16"/>
      <c r="P1013" s="16"/>
      <c r="Q1013" s="16"/>
      <c r="R1013" s="16"/>
      <c r="S1013" s="16"/>
      <c r="T1013" s="16"/>
      <c r="U1013" s="16"/>
      <c r="V1013" s="16"/>
      <c r="W1013" s="16"/>
      <c r="X1013" s="16"/>
      <c r="Y1013" s="16"/>
      <c r="Z1013" s="16"/>
      <c r="AA1013" s="16"/>
      <c r="AB1013" s="16"/>
      <c r="AC1013" s="16"/>
      <c r="AD1013" s="16"/>
      <c r="AE1013" s="16"/>
      <c r="AF1013" s="16"/>
      <c r="AG1013" s="16"/>
      <c r="AH1013" s="16" t="b">
        <f>IFERROR(__xludf.DUMMYFUNCTION("""COMPUTED_VALUE"""),FALSE)</f>
        <v>0</v>
      </c>
    </row>
    <row r="1014">
      <c r="A1014" s="16"/>
      <c r="B1014" s="16"/>
      <c r="C1014" s="16"/>
      <c r="D1014" s="16"/>
      <c r="E1014" s="16">
        <f>IFERROR(__xludf.DUMMYFUNCTION("""COMPUTED_VALUE"""),1.0)</f>
        <v>1</v>
      </c>
      <c r="F1014" s="108">
        <f>IFERROR(__xludf.DUMMYFUNCTION("""COMPUTED_VALUE"""),0.0)</f>
        <v>0</v>
      </c>
      <c r="G1014" s="16"/>
      <c r="H1014" s="16"/>
      <c r="I1014" s="16"/>
      <c r="J1014" s="16"/>
      <c r="K1014" s="16"/>
      <c r="L1014" s="16"/>
      <c r="M1014" s="16"/>
      <c r="N1014" s="16"/>
      <c r="O1014" s="16"/>
      <c r="P1014" s="16"/>
      <c r="Q1014" s="16"/>
      <c r="R1014" s="16"/>
      <c r="S1014" s="16"/>
      <c r="T1014" s="16"/>
      <c r="U1014" s="16"/>
      <c r="V1014" s="16"/>
      <c r="W1014" s="16"/>
      <c r="X1014" s="16"/>
      <c r="Y1014" s="16"/>
      <c r="Z1014" s="16"/>
      <c r="AA1014" s="16"/>
      <c r="AB1014" s="16"/>
      <c r="AC1014" s="16"/>
      <c r="AD1014" s="16"/>
      <c r="AE1014" s="16"/>
      <c r="AF1014" s="16"/>
      <c r="AG1014" s="16"/>
      <c r="AH1014" s="16" t="b">
        <f>IFERROR(__xludf.DUMMYFUNCTION("""COMPUTED_VALUE"""),FALSE)</f>
        <v>0</v>
      </c>
    </row>
    <row r="1015">
      <c r="A1015" s="16"/>
      <c r="B1015" s="16"/>
      <c r="C1015" s="16"/>
      <c r="D1015" s="16"/>
      <c r="E1015" s="16">
        <f>IFERROR(__xludf.DUMMYFUNCTION("""COMPUTED_VALUE"""),1.0)</f>
        <v>1</v>
      </c>
      <c r="F1015" s="108">
        <f>IFERROR(__xludf.DUMMYFUNCTION("""COMPUTED_VALUE"""),0.0)</f>
        <v>0</v>
      </c>
      <c r="G1015" s="16"/>
      <c r="H1015" s="16"/>
      <c r="I1015" s="16"/>
      <c r="J1015" s="16"/>
      <c r="K1015" s="16"/>
      <c r="L1015" s="16"/>
      <c r="M1015" s="16"/>
      <c r="N1015" s="16"/>
      <c r="O1015" s="16"/>
      <c r="P1015" s="16"/>
      <c r="Q1015" s="16"/>
      <c r="R1015" s="16"/>
      <c r="S1015" s="16"/>
      <c r="T1015" s="16"/>
      <c r="U1015" s="16"/>
      <c r="V1015" s="16"/>
      <c r="W1015" s="16"/>
      <c r="X1015" s="16"/>
      <c r="Y1015" s="16"/>
      <c r="Z1015" s="16"/>
      <c r="AA1015" s="16"/>
      <c r="AB1015" s="16"/>
      <c r="AC1015" s="16"/>
      <c r="AD1015" s="16"/>
      <c r="AE1015" s="16"/>
      <c r="AF1015" s="16"/>
      <c r="AG1015" s="16"/>
      <c r="AH1015" s="16" t="b">
        <f>IFERROR(__xludf.DUMMYFUNCTION("""COMPUTED_VALUE"""),FALSE)</f>
        <v>0</v>
      </c>
    </row>
    <row r="1016">
      <c r="A1016" s="16"/>
      <c r="B1016" s="16"/>
      <c r="C1016" s="16"/>
      <c r="D1016" s="16"/>
      <c r="E1016" s="16">
        <f>IFERROR(__xludf.DUMMYFUNCTION("""COMPUTED_VALUE"""),1.0)</f>
        <v>1</v>
      </c>
      <c r="F1016" s="108">
        <f>IFERROR(__xludf.DUMMYFUNCTION("""COMPUTED_VALUE"""),0.0)</f>
        <v>0</v>
      </c>
      <c r="G1016" s="16"/>
      <c r="H1016" s="16"/>
      <c r="I1016" s="16"/>
      <c r="J1016" s="16"/>
      <c r="K1016" s="16"/>
      <c r="L1016" s="16"/>
      <c r="M1016" s="16"/>
      <c r="N1016" s="16"/>
      <c r="O1016" s="16"/>
      <c r="P1016" s="16"/>
      <c r="Q1016" s="16"/>
      <c r="R1016" s="16"/>
      <c r="S1016" s="16"/>
      <c r="T1016" s="16"/>
      <c r="U1016" s="16"/>
      <c r="V1016" s="16"/>
      <c r="W1016" s="16"/>
      <c r="X1016" s="16"/>
      <c r="Y1016" s="16"/>
      <c r="Z1016" s="16"/>
      <c r="AA1016" s="16"/>
      <c r="AB1016" s="16"/>
      <c r="AC1016" s="16"/>
      <c r="AD1016" s="16"/>
      <c r="AE1016" s="16"/>
      <c r="AF1016" s="16"/>
      <c r="AG1016" s="16"/>
      <c r="AH1016" s="16" t="b">
        <f>IFERROR(__xludf.DUMMYFUNCTION("""COMPUTED_VALUE"""),FALSE)</f>
        <v>0</v>
      </c>
    </row>
    <row r="1017">
      <c r="A1017" s="16"/>
      <c r="B1017" s="16"/>
      <c r="C1017" s="16"/>
      <c r="D1017" s="16"/>
      <c r="E1017" s="16">
        <f>IFERROR(__xludf.DUMMYFUNCTION("""COMPUTED_VALUE"""),1.0)</f>
        <v>1</v>
      </c>
      <c r="F1017" s="108">
        <f>IFERROR(__xludf.DUMMYFUNCTION("""COMPUTED_VALUE"""),0.0)</f>
        <v>0</v>
      </c>
      <c r="G1017" s="16"/>
      <c r="H1017" s="16"/>
      <c r="I1017" s="16"/>
      <c r="J1017" s="16"/>
      <c r="K1017" s="16"/>
      <c r="L1017" s="16"/>
      <c r="M1017" s="16"/>
      <c r="N1017" s="16"/>
      <c r="O1017" s="16"/>
      <c r="P1017" s="16"/>
      <c r="Q1017" s="16"/>
      <c r="R1017" s="16"/>
      <c r="S1017" s="16"/>
      <c r="T1017" s="16"/>
      <c r="U1017" s="16"/>
      <c r="V1017" s="16"/>
      <c r="W1017" s="16"/>
      <c r="X1017" s="16"/>
      <c r="Y1017" s="16"/>
      <c r="Z1017" s="16"/>
      <c r="AA1017" s="16"/>
      <c r="AB1017" s="16"/>
      <c r="AC1017" s="16"/>
      <c r="AD1017" s="16"/>
      <c r="AE1017" s="16"/>
      <c r="AF1017" s="16"/>
      <c r="AG1017" s="16"/>
      <c r="AH1017" s="16" t="b">
        <f>IFERROR(__xludf.DUMMYFUNCTION("""COMPUTED_VALUE"""),FALSE)</f>
        <v>0</v>
      </c>
    </row>
    <row r="1018">
      <c r="A1018" s="16"/>
      <c r="B1018" s="16"/>
      <c r="C1018" s="16"/>
      <c r="D1018" s="16"/>
      <c r="E1018" s="16">
        <f>IFERROR(__xludf.DUMMYFUNCTION("""COMPUTED_VALUE"""),1.0)</f>
        <v>1</v>
      </c>
      <c r="F1018" s="108">
        <f>IFERROR(__xludf.DUMMYFUNCTION("""COMPUTED_VALUE"""),0.0)</f>
        <v>0</v>
      </c>
      <c r="G1018" s="16"/>
      <c r="H1018" s="16"/>
      <c r="I1018" s="16"/>
      <c r="J1018" s="16"/>
      <c r="K1018" s="16"/>
      <c r="L1018" s="16"/>
      <c r="M1018" s="16"/>
      <c r="N1018" s="16"/>
      <c r="O1018" s="16"/>
      <c r="P1018" s="16"/>
      <c r="Q1018" s="16"/>
      <c r="R1018" s="16"/>
      <c r="S1018" s="16"/>
      <c r="T1018" s="16"/>
      <c r="U1018" s="16"/>
      <c r="V1018" s="16"/>
      <c r="W1018" s="16"/>
      <c r="X1018" s="16"/>
      <c r="Y1018" s="16"/>
      <c r="Z1018" s="16"/>
      <c r="AA1018" s="16"/>
      <c r="AB1018" s="16"/>
      <c r="AC1018" s="16"/>
      <c r="AD1018" s="16"/>
      <c r="AE1018" s="16"/>
      <c r="AF1018" s="16"/>
      <c r="AG1018" s="16"/>
      <c r="AH1018" s="16" t="b">
        <f>IFERROR(__xludf.DUMMYFUNCTION("""COMPUTED_VALUE"""),FALSE)</f>
        <v>0</v>
      </c>
    </row>
    <row r="1019">
      <c r="A1019" s="16"/>
      <c r="B1019" s="16"/>
      <c r="C1019" s="16"/>
      <c r="D1019" s="16"/>
      <c r="E1019" s="16">
        <f>IFERROR(__xludf.DUMMYFUNCTION("""COMPUTED_VALUE"""),1.0)</f>
        <v>1</v>
      </c>
      <c r="F1019" s="108">
        <f>IFERROR(__xludf.DUMMYFUNCTION("""COMPUTED_VALUE"""),0.0)</f>
        <v>0</v>
      </c>
      <c r="G1019" s="16"/>
      <c r="H1019" s="16"/>
      <c r="I1019" s="16"/>
      <c r="J1019" s="16"/>
      <c r="K1019" s="16"/>
      <c r="L1019" s="16"/>
      <c r="M1019" s="16"/>
      <c r="N1019" s="16"/>
      <c r="O1019" s="16"/>
      <c r="P1019" s="16"/>
      <c r="Q1019" s="16"/>
      <c r="R1019" s="16"/>
      <c r="S1019" s="16"/>
      <c r="T1019" s="16"/>
      <c r="U1019" s="16"/>
      <c r="V1019" s="16"/>
      <c r="W1019" s="16"/>
      <c r="X1019" s="16"/>
      <c r="Y1019" s="16"/>
      <c r="Z1019" s="16"/>
      <c r="AA1019" s="16"/>
      <c r="AB1019" s="16"/>
      <c r="AC1019" s="16"/>
      <c r="AD1019" s="16"/>
      <c r="AE1019" s="16"/>
      <c r="AF1019" s="16"/>
      <c r="AG1019" s="16"/>
      <c r="AH1019" s="16" t="b">
        <f>IFERROR(__xludf.DUMMYFUNCTION("""COMPUTED_VALUE"""),FALSE)</f>
        <v>0</v>
      </c>
    </row>
    <row r="1020">
      <c r="A1020" s="16"/>
      <c r="B1020" s="16"/>
      <c r="C1020" s="16"/>
      <c r="D1020" s="16"/>
      <c r="E1020" s="16">
        <f>IFERROR(__xludf.DUMMYFUNCTION("""COMPUTED_VALUE"""),1.0)</f>
        <v>1</v>
      </c>
      <c r="F1020" s="108">
        <f>IFERROR(__xludf.DUMMYFUNCTION("""COMPUTED_VALUE"""),0.0)</f>
        <v>0</v>
      </c>
      <c r="G1020" s="16"/>
      <c r="H1020" s="16"/>
      <c r="I1020" s="16"/>
      <c r="J1020" s="16"/>
      <c r="K1020" s="16"/>
      <c r="L1020" s="16"/>
      <c r="M1020" s="16"/>
      <c r="N1020" s="16"/>
      <c r="O1020" s="16"/>
      <c r="P1020" s="16"/>
      <c r="Q1020" s="16"/>
      <c r="R1020" s="16"/>
      <c r="S1020" s="16"/>
      <c r="T1020" s="16"/>
      <c r="U1020" s="16"/>
      <c r="V1020" s="16"/>
      <c r="W1020" s="16"/>
      <c r="X1020" s="16"/>
      <c r="Y1020" s="16"/>
      <c r="Z1020" s="16"/>
      <c r="AA1020" s="16"/>
      <c r="AB1020" s="16"/>
      <c r="AC1020" s="16"/>
      <c r="AD1020" s="16"/>
      <c r="AE1020" s="16"/>
      <c r="AF1020" s="16"/>
      <c r="AG1020" s="16"/>
      <c r="AH1020" s="16" t="b">
        <f>IFERROR(__xludf.DUMMYFUNCTION("""COMPUTED_VALUE"""),FALSE)</f>
        <v>0</v>
      </c>
    </row>
    <row r="1021">
      <c r="A1021" s="16"/>
      <c r="B1021" s="16"/>
      <c r="C1021" s="16"/>
      <c r="D1021" s="16"/>
      <c r="E1021" s="16">
        <f>IFERROR(__xludf.DUMMYFUNCTION("""COMPUTED_VALUE"""),1.0)</f>
        <v>1</v>
      </c>
      <c r="F1021" s="108">
        <f>IFERROR(__xludf.DUMMYFUNCTION("""COMPUTED_VALUE"""),0.0)</f>
        <v>0</v>
      </c>
      <c r="G1021" s="16"/>
      <c r="H1021" s="16"/>
      <c r="I1021" s="16"/>
      <c r="J1021" s="16"/>
      <c r="K1021" s="16"/>
      <c r="L1021" s="16"/>
      <c r="M1021" s="16"/>
      <c r="N1021" s="16"/>
      <c r="O1021" s="16"/>
      <c r="P1021" s="16"/>
      <c r="Q1021" s="16"/>
      <c r="R1021" s="16"/>
      <c r="S1021" s="16"/>
      <c r="T1021" s="16"/>
      <c r="U1021" s="16"/>
      <c r="V1021" s="16"/>
      <c r="W1021" s="16"/>
      <c r="X1021" s="16"/>
      <c r="Y1021" s="16"/>
      <c r="Z1021" s="16"/>
      <c r="AA1021" s="16"/>
      <c r="AB1021" s="16"/>
      <c r="AC1021" s="16"/>
      <c r="AD1021" s="16"/>
      <c r="AE1021" s="16"/>
      <c r="AF1021" s="16"/>
      <c r="AG1021" s="16"/>
      <c r="AH1021" s="16" t="b">
        <f>IFERROR(__xludf.DUMMYFUNCTION("""COMPUTED_VALUE"""),FALSE)</f>
        <v>0</v>
      </c>
    </row>
    <row r="1022">
      <c r="A1022" s="16"/>
      <c r="B1022" s="16"/>
      <c r="C1022" s="16"/>
      <c r="D1022" s="16"/>
      <c r="E1022" s="16">
        <f>IFERROR(__xludf.DUMMYFUNCTION("""COMPUTED_VALUE"""),1.0)</f>
        <v>1</v>
      </c>
      <c r="F1022" s="108">
        <f>IFERROR(__xludf.DUMMYFUNCTION("""COMPUTED_VALUE"""),0.0)</f>
        <v>0</v>
      </c>
      <c r="G1022" s="16"/>
      <c r="H1022" s="16"/>
      <c r="I1022" s="16"/>
      <c r="J1022" s="16"/>
      <c r="K1022" s="16"/>
      <c r="L1022" s="16"/>
      <c r="M1022" s="16"/>
      <c r="N1022" s="16"/>
      <c r="O1022" s="16"/>
      <c r="P1022" s="16"/>
      <c r="Q1022" s="16"/>
      <c r="R1022" s="16"/>
      <c r="S1022" s="16"/>
      <c r="T1022" s="16"/>
      <c r="U1022" s="16"/>
      <c r="V1022" s="16"/>
      <c r="W1022" s="16"/>
      <c r="X1022" s="16"/>
      <c r="Y1022" s="16"/>
      <c r="Z1022" s="16"/>
      <c r="AA1022" s="16"/>
      <c r="AB1022" s="16"/>
      <c r="AC1022" s="16"/>
      <c r="AD1022" s="16"/>
      <c r="AE1022" s="16"/>
      <c r="AF1022" s="16"/>
      <c r="AG1022" s="16"/>
      <c r="AH1022" s="16" t="b">
        <f>IFERROR(__xludf.DUMMYFUNCTION("""COMPUTED_VALUE"""),FALSE)</f>
        <v>0</v>
      </c>
    </row>
    <row r="1023">
      <c r="A1023" s="16"/>
      <c r="B1023" s="16"/>
      <c r="C1023" s="16"/>
      <c r="D1023" s="16"/>
      <c r="E1023" s="16">
        <f>IFERROR(__xludf.DUMMYFUNCTION("""COMPUTED_VALUE"""),1.0)</f>
        <v>1</v>
      </c>
      <c r="F1023" s="108">
        <f>IFERROR(__xludf.DUMMYFUNCTION("""COMPUTED_VALUE"""),0.0)</f>
        <v>0</v>
      </c>
      <c r="G1023" s="16"/>
      <c r="H1023" s="16"/>
      <c r="I1023" s="16"/>
      <c r="J1023" s="16"/>
      <c r="K1023" s="16"/>
      <c r="L1023" s="16"/>
      <c r="M1023" s="16"/>
      <c r="N1023" s="16"/>
      <c r="O1023" s="16"/>
      <c r="P1023" s="16"/>
      <c r="Q1023" s="16"/>
      <c r="R1023" s="16"/>
      <c r="S1023" s="16"/>
      <c r="T1023" s="16"/>
      <c r="U1023" s="16"/>
      <c r="V1023" s="16"/>
      <c r="W1023" s="16"/>
      <c r="X1023" s="16"/>
      <c r="Y1023" s="16"/>
      <c r="Z1023" s="16"/>
      <c r="AA1023" s="16"/>
      <c r="AB1023" s="16"/>
      <c r="AC1023" s="16"/>
      <c r="AD1023" s="16"/>
      <c r="AE1023" s="16"/>
      <c r="AF1023" s="16"/>
      <c r="AG1023" s="16"/>
      <c r="AH1023" s="16" t="b">
        <f>IFERROR(__xludf.DUMMYFUNCTION("""COMPUTED_VALUE"""),FALSE)</f>
        <v>0</v>
      </c>
    </row>
    <row r="1024">
      <c r="A1024" s="16"/>
      <c r="B1024" s="16"/>
      <c r="C1024" s="16"/>
      <c r="D1024" s="16"/>
      <c r="E1024" s="16">
        <f>IFERROR(__xludf.DUMMYFUNCTION("""COMPUTED_VALUE"""),1.0)</f>
        <v>1</v>
      </c>
      <c r="F1024" s="108">
        <f>IFERROR(__xludf.DUMMYFUNCTION("""COMPUTED_VALUE"""),0.0)</f>
        <v>0</v>
      </c>
      <c r="G1024" s="16"/>
      <c r="H1024" s="16"/>
      <c r="I1024" s="16"/>
      <c r="J1024" s="16"/>
      <c r="K1024" s="16"/>
      <c r="L1024" s="16"/>
      <c r="M1024" s="16"/>
      <c r="N1024" s="16"/>
      <c r="O1024" s="16"/>
      <c r="P1024" s="16"/>
      <c r="Q1024" s="16"/>
      <c r="R1024" s="16"/>
      <c r="S1024" s="16"/>
      <c r="T1024" s="16"/>
      <c r="U1024" s="16"/>
      <c r="V1024" s="16"/>
      <c r="W1024" s="16"/>
      <c r="X1024" s="16"/>
      <c r="Y1024" s="16"/>
      <c r="Z1024" s="16"/>
      <c r="AA1024" s="16"/>
      <c r="AB1024" s="16"/>
      <c r="AC1024" s="16"/>
      <c r="AD1024" s="16"/>
      <c r="AE1024" s="16"/>
      <c r="AF1024" s="16"/>
      <c r="AG1024" s="16"/>
      <c r="AH1024" s="16" t="b">
        <f>IFERROR(__xludf.DUMMYFUNCTION("""COMPUTED_VALUE"""),FALSE)</f>
        <v>0</v>
      </c>
    </row>
    <row r="1025">
      <c r="A1025" s="16"/>
      <c r="B1025" s="16"/>
      <c r="C1025" s="16"/>
      <c r="D1025" s="16"/>
      <c r="E1025" s="16">
        <f>IFERROR(__xludf.DUMMYFUNCTION("""COMPUTED_VALUE"""),1.0)</f>
        <v>1</v>
      </c>
      <c r="F1025" s="108">
        <f>IFERROR(__xludf.DUMMYFUNCTION("""COMPUTED_VALUE"""),0.0)</f>
        <v>0</v>
      </c>
      <c r="G1025" s="16"/>
      <c r="H1025" s="16"/>
      <c r="I1025" s="16"/>
      <c r="J1025" s="16"/>
      <c r="K1025" s="16"/>
      <c r="L1025" s="16"/>
      <c r="M1025" s="16"/>
      <c r="N1025" s="16"/>
      <c r="O1025" s="16"/>
      <c r="P1025" s="16"/>
      <c r="Q1025" s="16"/>
      <c r="R1025" s="16"/>
      <c r="S1025" s="16"/>
      <c r="T1025" s="16"/>
      <c r="U1025" s="16"/>
      <c r="V1025" s="16"/>
      <c r="W1025" s="16"/>
      <c r="X1025" s="16"/>
      <c r="Y1025" s="16"/>
      <c r="Z1025" s="16"/>
      <c r="AA1025" s="16"/>
      <c r="AB1025" s="16"/>
      <c r="AC1025" s="16"/>
      <c r="AD1025" s="16"/>
      <c r="AE1025" s="16"/>
      <c r="AF1025" s="16"/>
      <c r="AG1025" s="16"/>
      <c r="AH1025" s="16" t="b">
        <f>IFERROR(__xludf.DUMMYFUNCTION("""COMPUTED_VALUE"""),FALSE)</f>
        <v>0</v>
      </c>
    </row>
    <row r="1026">
      <c r="A1026" s="16"/>
      <c r="B1026" s="16"/>
      <c r="C1026" s="16"/>
      <c r="D1026" s="16"/>
      <c r="E1026" s="16">
        <f>IFERROR(__xludf.DUMMYFUNCTION("""COMPUTED_VALUE"""),1.0)</f>
        <v>1</v>
      </c>
      <c r="F1026" s="108">
        <f>IFERROR(__xludf.DUMMYFUNCTION("""COMPUTED_VALUE"""),0.0)</f>
        <v>0</v>
      </c>
      <c r="G1026" s="16"/>
      <c r="H1026" s="16"/>
      <c r="I1026" s="16"/>
      <c r="J1026" s="16"/>
      <c r="K1026" s="16"/>
      <c r="L1026" s="16"/>
      <c r="M1026" s="16"/>
      <c r="N1026" s="16"/>
      <c r="O1026" s="16"/>
      <c r="P1026" s="16"/>
      <c r="Q1026" s="16"/>
      <c r="R1026" s="16"/>
      <c r="S1026" s="16"/>
      <c r="T1026" s="16"/>
      <c r="U1026" s="16"/>
      <c r="V1026" s="16"/>
      <c r="W1026" s="16"/>
      <c r="X1026" s="16"/>
      <c r="Y1026" s="16"/>
      <c r="Z1026" s="16"/>
      <c r="AA1026" s="16"/>
      <c r="AB1026" s="16"/>
      <c r="AC1026" s="16"/>
      <c r="AD1026" s="16"/>
      <c r="AE1026" s="16"/>
      <c r="AF1026" s="16"/>
      <c r="AG1026" s="16"/>
      <c r="AH1026" s="16" t="b">
        <f>IFERROR(__xludf.DUMMYFUNCTION("""COMPUTED_VALUE"""),FALSE)</f>
        <v>0</v>
      </c>
    </row>
    <row r="1027">
      <c r="A1027" s="16"/>
      <c r="B1027" s="16"/>
      <c r="C1027" s="16"/>
      <c r="D1027" s="16"/>
      <c r="E1027" s="16">
        <f>IFERROR(__xludf.DUMMYFUNCTION("""COMPUTED_VALUE"""),1.0)</f>
        <v>1</v>
      </c>
      <c r="F1027" s="108">
        <f>IFERROR(__xludf.DUMMYFUNCTION("""COMPUTED_VALUE"""),0.0)</f>
        <v>0</v>
      </c>
      <c r="G1027" s="16"/>
      <c r="H1027" s="16"/>
      <c r="I1027" s="16"/>
      <c r="J1027" s="16"/>
      <c r="K1027" s="16"/>
      <c r="L1027" s="16"/>
      <c r="M1027" s="16"/>
      <c r="N1027" s="16"/>
      <c r="O1027" s="16"/>
      <c r="P1027" s="16"/>
      <c r="Q1027" s="16"/>
      <c r="R1027" s="16"/>
      <c r="S1027" s="16"/>
      <c r="T1027" s="16"/>
      <c r="U1027" s="16"/>
      <c r="V1027" s="16"/>
      <c r="W1027" s="16"/>
      <c r="X1027" s="16"/>
      <c r="Y1027" s="16"/>
      <c r="Z1027" s="16"/>
      <c r="AA1027" s="16"/>
      <c r="AB1027" s="16"/>
      <c r="AC1027" s="16"/>
      <c r="AD1027" s="16"/>
      <c r="AE1027" s="16"/>
      <c r="AF1027" s="16"/>
      <c r="AG1027" s="16"/>
      <c r="AH1027" s="16" t="b">
        <f>IFERROR(__xludf.DUMMYFUNCTION("""COMPUTED_VALUE"""),FALSE)</f>
        <v>0</v>
      </c>
    </row>
    <row r="1028">
      <c r="A1028" s="16"/>
      <c r="B1028" s="16"/>
      <c r="C1028" s="16"/>
      <c r="D1028" s="16"/>
      <c r="E1028" s="16">
        <f>IFERROR(__xludf.DUMMYFUNCTION("""COMPUTED_VALUE"""),1.0)</f>
        <v>1</v>
      </c>
      <c r="F1028" s="108">
        <f>IFERROR(__xludf.DUMMYFUNCTION("""COMPUTED_VALUE"""),0.0)</f>
        <v>0</v>
      </c>
      <c r="G1028" s="16"/>
      <c r="H1028" s="16"/>
      <c r="I1028" s="16"/>
      <c r="J1028" s="16"/>
      <c r="K1028" s="16"/>
      <c r="L1028" s="16"/>
      <c r="M1028" s="16"/>
      <c r="N1028" s="16"/>
      <c r="O1028" s="16"/>
      <c r="P1028" s="16"/>
      <c r="Q1028" s="16"/>
      <c r="R1028" s="16"/>
      <c r="S1028" s="16"/>
      <c r="T1028" s="16"/>
      <c r="U1028" s="16"/>
      <c r="V1028" s="16"/>
      <c r="W1028" s="16"/>
      <c r="X1028" s="16"/>
      <c r="Y1028" s="16"/>
      <c r="Z1028" s="16"/>
      <c r="AA1028" s="16"/>
      <c r="AB1028" s="16"/>
      <c r="AC1028" s="16"/>
      <c r="AD1028" s="16"/>
      <c r="AE1028" s="16"/>
      <c r="AF1028" s="16"/>
      <c r="AG1028" s="16"/>
      <c r="AH1028" s="16" t="b">
        <f>IFERROR(__xludf.DUMMYFUNCTION("""COMPUTED_VALUE"""),FALSE)</f>
        <v>0</v>
      </c>
    </row>
    <row r="1029">
      <c r="A1029" s="16"/>
      <c r="B1029" s="16"/>
      <c r="C1029" s="16"/>
      <c r="D1029" s="16"/>
      <c r="E1029" s="16">
        <f>IFERROR(__xludf.DUMMYFUNCTION("""COMPUTED_VALUE"""),1.0)</f>
        <v>1</v>
      </c>
      <c r="F1029" s="108">
        <f>IFERROR(__xludf.DUMMYFUNCTION("""COMPUTED_VALUE"""),0.0)</f>
        <v>0</v>
      </c>
      <c r="G1029" s="16"/>
      <c r="H1029" s="16"/>
      <c r="I1029" s="16"/>
      <c r="J1029" s="16"/>
      <c r="K1029" s="16"/>
      <c r="L1029" s="16"/>
      <c r="M1029" s="16"/>
      <c r="N1029" s="16"/>
      <c r="O1029" s="16"/>
      <c r="P1029" s="16"/>
      <c r="Q1029" s="16"/>
      <c r="R1029" s="16"/>
      <c r="S1029" s="16"/>
      <c r="T1029" s="16"/>
      <c r="U1029" s="16"/>
      <c r="V1029" s="16"/>
      <c r="W1029" s="16"/>
      <c r="X1029" s="16"/>
      <c r="Y1029" s="16"/>
      <c r="Z1029" s="16"/>
      <c r="AA1029" s="16"/>
      <c r="AB1029" s="16"/>
      <c r="AC1029" s="16"/>
      <c r="AD1029" s="16"/>
      <c r="AE1029" s="16"/>
      <c r="AF1029" s="16"/>
      <c r="AG1029" s="16"/>
      <c r="AH1029" s="16" t="b">
        <f>IFERROR(__xludf.DUMMYFUNCTION("""COMPUTED_VALUE"""),FALSE)</f>
        <v>0</v>
      </c>
    </row>
    <row r="1030">
      <c r="A1030" s="16"/>
      <c r="B1030" s="16"/>
      <c r="C1030" s="16"/>
      <c r="D1030" s="16"/>
      <c r="E1030" s="16">
        <f>IFERROR(__xludf.DUMMYFUNCTION("""COMPUTED_VALUE"""),1.0)</f>
        <v>1</v>
      </c>
      <c r="F1030" s="108">
        <f>IFERROR(__xludf.DUMMYFUNCTION("""COMPUTED_VALUE"""),0.0)</f>
        <v>0</v>
      </c>
      <c r="G1030" s="16"/>
      <c r="H1030" s="16"/>
      <c r="I1030" s="16"/>
      <c r="J1030" s="16"/>
      <c r="K1030" s="16"/>
      <c r="L1030" s="16"/>
      <c r="M1030" s="16"/>
      <c r="N1030" s="16"/>
      <c r="O1030" s="16"/>
      <c r="P1030" s="16"/>
      <c r="Q1030" s="16"/>
      <c r="R1030" s="16"/>
      <c r="S1030" s="16"/>
      <c r="T1030" s="16"/>
      <c r="U1030" s="16"/>
      <c r="V1030" s="16"/>
      <c r="W1030" s="16"/>
      <c r="X1030" s="16"/>
      <c r="Y1030" s="16"/>
      <c r="Z1030" s="16"/>
      <c r="AA1030" s="16"/>
      <c r="AB1030" s="16"/>
      <c r="AC1030" s="16"/>
      <c r="AD1030" s="16"/>
      <c r="AE1030" s="16"/>
      <c r="AF1030" s="16"/>
      <c r="AG1030" s="16"/>
      <c r="AH1030" s="16" t="b">
        <f>IFERROR(__xludf.DUMMYFUNCTION("""COMPUTED_VALUE"""),FALSE)</f>
        <v>0</v>
      </c>
    </row>
    <row r="1031">
      <c r="A1031" s="16"/>
      <c r="B1031" s="16"/>
      <c r="C1031" s="16"/>
      <c r="D1031" s="16"/>
      <c r="E1031" s="16">
        <f>IFERROR(__xludf.DUMMYFUNCTION("""COMPUTED_VALUE"""),1.0)</f>
        <v>1</v>
      </c>
      <c r="F1031" s="108">
        <f>IFERROR(__xludf.DUMMYFUNCTION("""COMPUTED_VALUE"""),0.0)</f>
        <v>0</v>
      </c>
      <c r="G1031" s="16"/>
      <c r="H1031" s="16"/>
      <c r="I1031" s="16"/>
      <c r="J1031" s="16"/>
      <c r="K1031" s="16"/>
      <c r="L1031" s="16"/>
      <c r="M1031" s="16"/>
      <c r="N1031" s="16"/>
      <c r="O1031" s="16"/>
      <c r="P1031" s="16"/>
      <c r="Q1031" s="16"/>
      <c r="R1031" s="16"/>
      <c r="S1031" s="16"/>
      <c r="T1031" s="16"/>
      <c r="U1031" s="16"/>
      <c r="V1031" s="16"/>
      <c r="W1031" s="16"/>
      <c r="X1031" s="16"/>
      <c r="Y1031" s="16"/>
      <c r="Z1031" s="16"/>
      <c r="AA1031" s="16"/>
      <c r="AB1031" s="16"/>
      <c r="AC1031" s="16"/>
      <c r="AD1031" s="16"/>
      <c r="AE1031" s="16"/>
      <c r="AF1031" s="16"/>
      <c r="AG1031" s="16"/>
      <c r="AH1031" s="16" t="b">
        <f>IFERROR(__xludf.DUMMYFUNCTION("""COMPUTED_VALUE"""),FALSE)</f>
        <v>0</v>
      </c>
    </row>
    <row r="1032">
      <c r="A1032" s="16"/>
      <c r="B1032" s="16"/>
      <c r="C1032" s="16"/>
      <c r="D1032" s="16"/>
      <c r="E1032" s="16">
        <f>IFERROR(__xludf.DUMMYFUNCTION("""COMPUTED_VALUE"""),1.0)</f>
        <v>1</v>
      </c>
      <c r="F1032" s="108">
        <f>IFERROR(__xludf.DUMMYFUNCTION("""COMPUTED_VALUE"""),0.0)</f>
        <v>0</v>
      </c>
      <c r="G1032" s="16"/>
      <c r="H1032" s="16"/>
      <c r="I1032" s="16"/>
      <c r="J1032" s="16"/>
      <c r="K1032" s="16"/>
      <c r="L1032" s="16"/>
      <c r="M1032" s="16"/>
      <c r="N1032" s="16"/>
      <c r="O1032" s="16"/>
      <c r="P1032" s="16"/>
      <c r="Q1032" s="16"/>
      <c r="R1032" s="16"/>
      <c r="S1032" s="16"/>
      <c r="T1032" s="16"/>
      <c r="U1032" s="16"/>
      <c r="V1032" s="16"/>
      <c r="W1032" s="16"/>
      <c r="X1032" s="16"/>
      <c r="Y1032" s="16"/>
      <c r="Z1032" s="16"/>
      <c r="AA1032" s="16"/>
      <c r="AB1032" s="16"/>
      <c r="AC1032" s="16"/>
      <c r="AD1032" s="16"/>
      <c r="AE1032" s="16"/>
      <c r="AF1032" s="16"/>
      <c r="AG1032" s="16"/>
      <c r="AH1032" s="16" t="b">
        <f>IFERROR(__xludf.DUMMYFUNCTION("""COMPUTED_VALUE"""),FALSE)</f>
        <v>0</v>
      </c>
    </row>
    <row r="1033">
      <c r="A1033" s="16"/>
      <c r="B1033" s="16"/>
      <c r="C1033" s="16"/>
      <c r="D1033" s="16"/>
      <c r="E1033" s="16">
        <f>IFERROR(__xludf.DUMMYFUNCTION("""COMPUTED_VALUE"""),1.0)</f>
        <v>1</v>
      </c>
      <c r="F1033" s="108">
        <f>IFERROR(__xludf.DUMMYFUNCTION("""COMPUTED_VALUE"""),0.0)</f>
        <v>0</v>
      </c>
      <c r="G1033" s="16"/>
      <c r="H1033" s="16"/>
      <c r="I1033" s="16"/>
      <c r="J1033" s="16"/>
      <c r="K1033" s="16"/>
      <c r="L1033" s="16"/>
      <c r="M1033" s="16"/>
      <c r="N1033" s="16"/>
      <c r="O1033" s="16"/>
      <c r="P1033" s="16"/>
      <c r="Q1033" s="16"/>
      <c r="R1033" s="16"/>
      <c r="S1033" s="16"/>
      <c r="T1033" s="16"/>
      <c r="U1033" s="16"/>
      <c r="V1033" s="16"/>
      <c r="W1033" s="16"/>
      <c r="X1033" s="16"/>
      <c r="Y1033" s="16"/>
      <c r="Z1033" s="16"/>
      <c r="AA1033" s="16"/>
      <c r="AB1033" s="16"/>
      <c r="AC1033" s="16"/>
      <c r="AD1033" s="16"/>
      <c r="AE1033" s="16"/>
      <c r="AF1033" s="16"/>
      <c r="AG1033" s="16"/>
      <c r="AH1033" s="16" t="b">
        <f>IFERROR(__xludf.DUMMYFUNCTION("""COMPUTED_VALUE"""),FALSE)</f>
        <v>0</v>
      </c>
    </row>
    <row r="1034">
      <c r="A1034" s="16"/>
      <c r="B1034" s="16"/>
      <c r="C1034" s="16"/>
      <c r="D1034" s="16"/>
      <c r="E1034" s="16">
        <f>IFERROR(__xludf.DUMMYFUNCTION("""COMPUTED_VALUE"""),1.0)</f>
        <v>1</v>
      </c>
      <c r="F1034" s="108">
        <f>IFERROR(__xludf.DUMMYFUNCTION("""COMPUTED_VALUE"""),0.0)</f>
        <v>0</v>
      </c>
      <c r="G1034" s="16"/>
      <c r="H1034" s="16"/>
      <c r="I1034" s="16"/>
      <c r="J1034" s="16"/>
      <c r="K1034" s="16"/>
      <c r="L1034" s="16"/>
      <c r="M1034" s="16"/>
      <c r="N1034" s="16"/>
      <c r="O1034" s="16"/>
      <c r="P1034" s="16"/>
      <c r="Q1034" s="16"/>
      <c r="R1034" s="16"/>
      <c r="S1034" s="16"/>
      <c r="T1034" s="16"/>
      <c r="U1034" s="16"/>
      <c r="V1034" s="16"/>
      <c r="W1034" s="16"/>
      <c r="X1034" s="16"/>
      <c r="Y1034" s="16"/>
      <c r="Z1034" s="16"/>
      <c r="AA1034" s="16"/>
      <c r="AB1034" s="16"/>
      <c r="AC1034" s="16"/>
      <c r="AD1034" s="16"/>
      <c r="AE1034" s="16"/>
      <c r="AF1034" s="16"/>
      <c r="AG1034" s="16"/>
      <c r="AH1034" s="16" t="b">
        <f>IFERROR(__xludf.DUMMYFUNCTION("""COMPUTED_VALUE"""),FALSE)</f>
        <v>0</v>
      </c>
    </row>
    <row r="1035">
      <c r="A1035" s="16"/>
      <c r="B1035" s="16"/>
      <c r="C1035" s="16"/>
      <c r="D1035" s="16"/>
      <c r="E1035" s="16">
        <f>IFERROR(__xludf.DUMMYFUNCTION("""COMPUTED_VALUE"""),1.0)</f>
        <v>1</v>
      </c>
      <c r="F1035" s="108">
        <f>IFERROR(__xludf.DUMMYFUNCTION("""COMPUTED_VALUE"""),0.0)</f>
        <v>0</v>
      </c>
      <c r="G1035" s="16"/>
      <c r="H1035" s="16"/>
      <c r="I1035" s="16"/>
      <c r="J1035" s="16"/>
      <c r="K1035" s="16"/>
      <c r="L1035" s="16"/>
      <c r="M1035" s="16"/>
      <c r="N1035" s="16"/>
      <c r="O1035" s="16"/>
      <c r="P1035" s="16"/>
      <c r="Q1035" s="16"/>
      <c r="R1035" s="16"/>
      <c r="S1035" s="16"/>
      <c r="T1035" s="16"/>
      <c r="U1035" s="16"/>
      <c r="V1035" s="16"/>
      <c r="W1035" s="16"/>
      <c r="X1035" s="16"/>
      <c r="Y1035" s="16"/>
      <c r="Z1035" s="16"/>
      <c r="AA1035" s="16"/>
      <c r="AB1035" s="16"/>
      <c r="AC1035" s="16"/>
      <c r="AD1035" s="16"/>
      <c r="AE1035" s="16"/>
      <c r="AF1035" s="16"/>
      <c r="AG1035" s="16"/>
      <c r="AH1035" s="16" t="b">
        <f>IFERROR(__xludf.DUMMYFUNCTION("""COMPUTED_VALUE"""),FALSE)</f>
        <v>0</v>
      </c>
    </row>
    <row r="1036">
      <c r="A1036" s="16"/>
      <c r="B1036" s="16"/>
      <c r="C1036" s="16"/>
      <c r="D1036" s="16"/>
      <c r="E1036" s="16">
        <f>IFERROR(__xludf.DUMMYFUNCTION("""COMPUTED_VALUE"""),1.0)</f>
        <v>1</v>
      </c>
      <c r="F1036" s="108">
        <f>IFERROR(__xludf.DUMMYFUNCTION("""COMPUTED_VALUE"""),0.0)</f>
        <v>0</v>
      </c>
      <c r="G1036" s="16"/>
      <c r="H1036" s="16"/>
      <c r="I1036" s="16"/>
      <c r="J1036" s="16"/>
      <c r="K1036" s="16"/>
      <c r="L1036" s="16"/>
      <c r="M1036" s="16"/>
      <c r="N1036" s="16"/>
      <c r="O1036" s="16"/>
      <c r="P1036" s="16"/>
      <c r="Q1036" s="16"/>
      <c r="R1036" s="16"/>
      <c r="S1036" s="16"/>
      <c r="T1036" s="16"/>
      <c r="U1036" s="16"/>
      <c r="V1036" s="16"/>
      <c r="W1036" s="16"/>
      <c r="X1036" s="16"/>
      <c r="Y1036" s="16"/>
      <c r="Z1036" s="16"/>
      <c r="AA1036" s="16"/>
      <c r="AB1036" s="16"/>
      <c r="AC1036" s="16"/>
      <c r="AD1036" s="16"/>
      <c r="AE1036" s="16"/>
      <c r="AF1036" s="16"/>
      <c r="AG1036" s="16"/>
      <c r="AH1036" s="16" t="b">
        <f>IFERROR(__xludf.DUMMYFUNCTION("""COMPUTED_VALUE"""),FALSE)</f>
        <v>0</v>
      </c>
    </row>
    <row r="1037">
      <c r="A1037" s="16"/>
      <c r="B1037" s="16"/>
      <c r="C1037" s="16"/>
      <c r="D1037" s="16"/>
      <c r="E1037" s="16">
        <f>IFERROR(__xludf.DUMMYFUNCTION("""COMPUTED_VALUE"""),1.0)</f>
        <v>1</v>
      </c>
      <c r="F1037" s="108">
        <f>IFERROR(__xludf.DUMMYFUNCTION("""COMPUTED_VALUE"""),0.0)</f>
        <v>0</v>
      </c>
      <c r="G1037" s="16"/>
      <c r="H1037" s="16"/>
      <c r="I1037" s="16"/>
      <c r="J1037" s="16"/>
      <c r="K1037" s="16"/>
      <c r="L1037" s="16"/>
      <c r="M1037" s="16"/>
      <c r="N1037" s="16"/>
      <c r="O1037" s="16"/>
      <c r="P1037" s="16"/>
      <c r="Q1037" s="16"/>
      <c r="R1037" s="16"/>
      <c r="S1037" s="16"/>
      <c r="T1037" s="16"/>
      <c r="U1037" s="16"/>
      <c r="V1037" s="16"/>
      <c r="W1037" s="16"/>
      <c r="X1037" s="16"/>
      <c r="Y1037" s="16"/>
      <c r="Z1037" s="16"/>
      <c r="AA1037" s="16"/>
      <c r="AB1037" s="16"/>
      <c r="AC1037" s="16"/>
      <c r="AD1037" s="16"/>
      <c r="AE1037" s="16"/>
      <c r="AF1037" s="16"/>
      <c r="AG1037" s="16"/>
      <c r="AH1037" s="16" t="b">
        <f>IFERROR(__xludf.DUMMYFUNCTION("""COMPUTED_VALUE"""),FALSE)</f>
        <v>0</v>
      </c>
    </row>
    <row r="1038">
      <c r="A1038" s="16"/>
      <c r="B1038" s="16"/>
      <c r="C1038" s="16"/>
      <c r="D1038" s="16"/>
      <c r="E1038" s="16">
        <f>IFERROR(__xludf.DUMMYFUNCTION("""COMPUTED_VALUE"""),1.0)</f>
        <v>1</v>
      </c>
      <c r="F1038" s="108">
        <f>IFERROR(__xludf.DUMMYFUNCTION("""COMPUTED_VALUE"""),0.0)</f>
        <v>0</v>
      </c>
      <c r="G1038" s="16"/>
      <c r="H1038" s="16"/>
      <c r="I1038" s="16"/>
      <c r="J1038" s="16"/>
      <c r="K1038" s="16"/>
      <c r="L1038" s="16"/>
      <c r="M1038" s="16"/>
      <c r="N1038" s="16"/>
      <c r="O1038" s="16"/>
      <c r="P1038" s="16"/>
      <c r="Q1038" s="16"/>
      <c r="R1038" s="16"/>
      <c r="S1038" s="16"/>
      <c r="T1038" s="16"/>
      <c r="U1038" s="16"/>
      <c r="V1038" s="16"/>
      <c r="W1038" s="16"/>
      <c r="X1038" s="16"/>
      <c r="Y1038" s="16"/>
      <c r="Z1038" s="16"/>
      <c r="AA1038" s="16"/>
      <c r="AB1038" s="16"/>
      <c r="AC1038" s="16"/>
      <c r="AD1038" s="16"/>
      <c r="AE1038" s="16"/>
      <c r="AF1038" s="16"/>
      <c r="AG1038" s="16"/>
      <c r="AH1038" s="16" t="b">
        <f>IFERROR(__xludf.DUMMYFUNCTION("""COMPUTED_VALUE"""),FALSE)</f>
        <v>0</v>
      </c>
    </row>
    <row r="1039">
      <c r="A1039" s="16"/>
      <c r="B1039" s="16"/>
      <c r="C1039" s="16"/>
      <c r="D1039" s="16"/>
      <c r="E1039" s="16">
        <f>IFERROR(__xludf.DUMMYFUNCTION("""COMPUTED_VALUE"""),1.0)</f>
        <v>1</v>
      </c>
      <c r="F1039" s="108">
        <f>IFERROR(__xludf.DUMMYFUNCTION("""COMPUTED_VALUE"""),0.0)</f>
        <v>0</v>
      </c>
      <c r="G1039" s="16"/>
      <c r="H1039" s="16"/>
      <c r="I1039" s="16"/>
      <c r="J1039" s="16"/>
      <c r="K1039" s="16"/>
      <c r="L1039" s="16"/>
      <c r="M1039" s="16"/>
      <c r="N1039" s="16"/>
      <c r="O1039" s="16"/>
      <c r="P1039" s="16"/>
      <c r="Q1039" s="16"/>
      <c r="R1039" s="16"/>
      <c r="S1039" s="16"/>
      <c r="T1039" s="16"/>
      <c r="U1039" s="16"/>
      <c r="V1039" s="16"/>
      <c r="W1039" s="16"/>
      <c r="X1039" s="16"/>
      <c r="Y1039" s="16"/>
      <c r="Z1039" s="16"/>
      <c r="AA1039" s="16"/>
      <c r="AB1039" s="16"/>
      <c r="AC1039" s="16"/>
      <c r="AD1039" s="16"/>
      <c r="AE1039" s="16"/>
      <c r="AF1039" s="16"/>
      <c r="AG1039" s="16"/>
      <c r="AH1039" s="16" t="b">
        <f>IFERROR(__xludf.DUMMYFUNCTION("""COMPUTED_VALUE"""),FALSE)</f>
        <v>0</v>
      </c>
    </row>
    <row r="1040">
      <c r="A1040" s="16"/>
      <c r="B1040" s="16"/>
      <c r="C1040" s="16"/>
      <c r="D1040" s="16"/>
      <c r="E1040" s="16">
        <f>IFERROR(__xludf.DUMMYFUNCTION("""COMPUTED_VALUE"""),1.0)</f>
        <v>1</v>
      </c>
      <c r="F1040" s="108">
        <f>IFERROR(__xludf.DUMMYFUNCTION("""COMPUTED_VALUE"""),0.0)</f>
        <v>0</v>
      </c>
      <c r="G1040" s="16"/>
      <c r="H1040" s="16"/>
      <c r="I1040" s="16"/>
      <c r="J1040" s="16"/>
      <c r="K1040" s="16"/>
      <c r="L1040" s="16"/>
      <c r="M1040" s="16"/>
      <c r="N1040" s="16"/>
      <c r="O1040" s="16"/>
      <c r="P1040" s="16"/>
      <c r="Q1040" s="16"/>
      <c r="R1040" s="16"/>
      <c r="S1040" s="16"/>
      <c r="T1040" s="16"/>
      <c r="U1040" s="16"/>
      <c r="V1040" s="16"/>
      <c r="W1040" s="16"/>
      <c r="X1040" s="16"/>
      <c r="Y1040" s="16"/>
      <c r="Z1040" s="16"/>
      <c r="AA1040" s="16"/>
      <c r="AB1040" s="16"/>
      <c r="AC1040" s="16"/>
      <c r="AD1040" s="16"/>
      <c r="AE1040" s="16"/>
      <c r="AF1040" s="16"/>
      <c r="AG1040" s="16"/>
      <c r="AH1040" s="16" t="b">
        <f>IFERROR(__xludf.DUMMYFUNCTION("""COMPUTED_VALUE"""),FALSE)</f>
        <v>0</v>
      </c>
    </row>
    <row r="1041">
      <c r="A1041" s="16"/>
      <c r="B1041" s="16"/>
      <c r="C1041" s="16"/>
      <c r="D1041" s="16"/>
      <c r="E1041" s="16">
        <f>IFERROR(__xludf.DUMMYFUNCTION("""COMPUTED_VALUE"""),1.0)</f>
        <v>1</v>
      </c>
      <c r="F1041" s="108">
        <f>IFERROR(__xludf.DUMMYFUNCTION("""COMPUTED_VALUE"""),0.0)</f>
        <v>0</v>
      </c>
      <c r="G1041" s="16"/>
      <c r="H1041" s="16"/>
      <c r="I1041" s="16"/>
      <c r="J1041" s="16"/>
      <c r="K1041" s="16"/>
      <c r="L1041" s="16"/>
      <c r="M1041" s="16"/>
      <c r="N1041" s="16"/>
      <c r="O1041" s="16"/>
      <c r="P1041" s="16"/>
      <c r="Q1041" s="16"/>
      <c r="R1041" s="16"/>
      <c r="S1041" s="16"/>
      <c r="T1041" s="16"/>
      <c r="U1041" s="16"/>
      <c r="V1041" s="16"/>
      <c r="W1041" s="16"/>
      <c r="X1041" s="16"/>
      <c r="Y1041" s="16"/>
      <c r="Z1041" s="16"/>
      <c r="AA1041" s="16"/>
      <c r="AB1041" s="16"/>
      <c r="AC1041" s="16"/>
      <c r="AD1041" s="16"/>
      <c r="AE1041" s="16"/>
      <c r="AF1041" s="16"/>
      <c r="AG1041" s="16"/>
      <c r="AH1041" s="16" t="b">
        <f>IFERROR(__xludf.DUMMYFUNCTION("""COMPUTED_VALUE"""),FALSE)</f>
        <v>0</v>
      </c>
    </row>
    <row r="1042">
      <c r="A1042" s="16"/>
      <c r="B1042" s="16"/>
      <c r="C1042" s="16"/>
      <c r="D1042" s="16"/>
      <c r="E1042" s="16">
        <f>IFERROR(__xludf.DUMMYFUNCTION("""COMPUTED_VALUE"""),1.0)</f>
        <v>1</v>
      </c>
      <c r="F1042" s="108">
        <f>IFERROR(__xludf.DUMMYFUNCTION("""COMPUTED_VALUE"""),0.0)</f>
        <v>0</v>
      </c>
      <c r="G1042" s="16"/>
      <c r="H1042" s="16"/>
      <c r="I1042" s="16"/>
      <c r="J1042" s="16"/>
      <c r="K1042" s="16"/>
      <c r="L1042" s="16"/>
      <c r="M1042" s="16"/>
      <c r="N1042" s="16"/>
      <c r="O1042" s="16"/>
      <c r="P1042" s="16"/>
      <c r="Q1042" s="16"/>
      <c r="R1042" s="16"/>
      <c r="S1042" s="16"/>
      <c r="T1042" s="16"/>
      <c r="U1042" s="16"/>
      <c r="V1042" s="16"/>
      <c r="W1042" s="16"/>
      <c r="X1042" s="16"/>
      <c r="Y1042" s="16"/>
      <c r="Z1042" s="16"/>
      <c r="AA1042" s="16"/>
      <c r="AB1042" s="16"/>
      <c r="AC1042" s="16"/>
      <c r="AD1042" s="16"/>
      <c r="AE1042" s="16"/>
      <c r="AF1042" s="16"/>
      <c r="AG1042" s="16"/>
      <c r="AH1042" s="16" t="b">
        <f>IFERROR(__xludf.DUMMYFUNCTION("""COMPUTED_VALUE"""),FALSE)</f>
        <v>0</v>
      </c>
    </row>
    <row r="1043">
      <c r="A1043" s="16"/>
      <c r="B1043" s="16"/>
      <c r="C1043" s="16"/>
      <c r="D1043" s="16"/>
      <c r="E1043" s="16">
        <f>IFERROR(__xludf.DUMMYFUNCTION("""COMPUTED_VALUE"""),1.0)</f>
        <v>1</v>
      </c>
      <c r="F1043" s="108">
        <f>IFERROR(__xludf.DUMMYFUNCTION("""COMPUTED_VALUE"""),0.0)</f>
        <v>0</v>
      </c>
      <c r="G1043" s="16"/>
      <c r="H1043" s="16"/>
      <c r="I1043" s="16"/>
      <c r="J1043" s="16"/>
      <c r="K1043" s="16"/>
      <c r="L1043" s="16"/>
      <c r="M1043" s="16"/>
      <c r="N1043" s="16"/>
      <c r="O1043" s="16"/>
      <c r="P1043" s="16"/>
      <c r="Q1043" s="16"/>
      <c r="R1043" s="16"/>
      <c r="S1043" s="16"/>
      <c r="T1043" s="16"/>
      <c r="U1043" s="16"/>
      <c r="V1043" s="16"/>
      <c r="W1043" s="16"/>
      <c r="X1043" s="16"/>
      <c r="Y1043" s="16"/>
      <c r="Z1043" s="16"/>
      <c r="AA1043" s="16"/>
      <c r="AB1043" s="16"/>
      <c r="AC1043" s="16"/>
      <c r="AD1043" s="16"/>
      <c r="AE1043" s="16"/>
      <c r="AF1043" s="16"/>
      <c r="AG1043" s="16"/>
      <c r="AH1043" s="16" t="b">
        <f>IFERROR(__xludf.DUMMYFUNCTION("""COMPUTED_VALUE"""),FALSE)</f>
        <v>0</v>
      </c>
    </row>
    <row r="1044">
      <c r="A1044" s="16"/>
      <c r="B1044" s="16"/>
      <c r="C1044" s="16"/>
      <c r="D1044" s="16"/>
      <c r="E1044" s="16">
        <f>IFERROR(__xludf.DUMMYFUNCTION("""COMPUTED_VALUE"""),1.0)</f>
        <v>1</v>
      </c>
      <c r="F1044" s="108">
        <f>IFERROR(__xludf.DUMMYFUNCTION("""COMPUTED_VALUE"""),0.0)</f>
        <v>0</v>
      </c>
      <c r="G1044" s="16"/>
      <c r="H1044" s="16"/>
      <c r="I1044" s="16"/>
      <c r="J1044" s="16"/>
      <c r="K1044" s="16"/>
      <c r="L1044" s="16"/>
      <c r="M1044" s="16"/>
      <c r="N1044" s="16"/>
      <c r="O1044" s="16"/>
      <c r="P1044" s="16"/>
      <c r="Q1044" s="16"/>
      <c r="R1044" s="16"/>
      <c r="S1044" s="16"/>
      <c r="T1044" s="16"/>
      <c r="U1044" s="16"/>
      <c r="V1044" s="16"/>
      <c r="W1044" s="16"/>
      <c r="X1044" s="16"/>
      <c r="Y1044" s="16"/>
      <c r="Z1044" s="16"/>
      <c r="AA1044" s="16"/>
      <c r="AB1044" s="16"/>
      <c r="AC1044" s="16"/>
      <c r="AD1044" s="16"/>
      <c r="AE1044" s="16"/>
      <c r="AF1044" s="16"/>
      <c r="AG1044" s="16"/>
      <c r="AH1044" s="16" t="b">
        <f>IFERROR(__xludf.DUMMYFUNCTION("""COMPUTED_VALUE"""),FALSE)</f>
        <v>0</v>
      </c>
    </row>
    <row r="1045">
      <c r="A1045" s="16"/>
      <c r="B1045" s="16"/>
      <c r="C1045" s="16"/>
      <c r="D1045" s="16"/>
      <c r="E1045" s="16">
        <f>IFERROR(__xludf.DUMMYFUNCTION("""COMPUTED_VALUE"""),1.0)</f>
        <v>1</v>
      </c>
      <c r="F1045" s="108">
        <f>IFERROR(__xludf.DUMMYFUNCTION("""COMPUTED_VALUE"""),0.0)</f>
        <v>0</v>
      </c>
      <c r="G1045" s="16"/>
      <c r="H1045" s="16"/>
      <c r="I1045" s="16"/>
      <c r="J1045" s="16"/>
      <c r="K1045" s="16"/>
      <c r="L1045" s="16"/>
      <c r="M1045" s="16"/>
      <c r="N1045" s="16"/>
      <c r="O1045" s="16"/>
      <c r="P1045" s="16"/>
      <c r="Q1045" s="16"/>
      <c r="R1045" s="16"/>
      <c r="S1045" s="16"/>
      <c r="T1045" s="16"/>
      <c r="U1045" s="16"/>
      <c r="V1045" s="16"/>
      <c r="W1045" s="16"/>
      <c r="X1045" s="16"/>
      <c r="Y1045" s="16"/>
      <c r="Z1045" s="16"/>
      <c r="AA1045" s="16"/>
      <c r="AB1045" s="16"/>
      <c r="AC1045" s="16"/>
      <c r="AD1045" s="16"/>
      <c r="AE1045" s="16"/>
      <c r="AF1045" s="16"/>
      <c r="AG1045" s="16"/>
      <c r="AH1045" s="16" t="b">
        <f>IFERROR(__xludf.DUMMYFUNCTION("""COMPUTED_VALUE"""),FALSE)</f>
        <v>0</v>
      </c>
    </row>
    <row r="1046">
      <c r="A1046" s="16"/>
      <c r="B1046" s="16"/>
      <c r="C1046" s="16"/>
      <c r="D1046" s="16"/>
      <c r="E1046" s="16">
        <f>IFERROR(__xludf.DUMMYFUNCTION("""COMPUTED_VALUE"""),1.0)</f>
        <v>1</v>
      </c>
      <c r="F1046" s="108">
        <f>IFERROR(__xludf.DUMMYFUNCTION("""COMPUTED_VALUE"""),0.0)</f>
        <v>0</v>
      </c>
      <c r="G1046" s="16"/>
      <c r="H1046" s="16"/>
      <c r="I1046" s="16"/>
      <c r="J1046" s="16"/>
      <c r="K1046" s="16"/>
      <c r="L1046" s="16"/>
      <c r="M1046" s="16"/>
      <c r="N1046" s="16"/>
      <c r="O1046" s="16"/>
      <c r="P1046" s="16"/>
      <c r="Q1046" s="16"/>
      <c r="R1046" s="16"/>
      <c r="S1046" s="16"/>
      <c r="T1046" s="16"/>
      <c r="U1046" s="16"/>
      <c r="V1046" s="16"/>
      <c r="W1046" s="16"/>
      <c r="X1046" s="16"/>
      <c r="Y1046" s="16"/>
      <c r="Z1046" s="16"/>
      <c r="AA1046" s="16"/>
      <c r="AB1046" s="16"/>
      <c r="AC1046" s="16"/>
      <c r="AD1046" s="16"/>
      <c r="AE1046" s="16"/>
      <c r="AF1046" s="16"/>
      <c r="AG1046" s="16"/>
      <c r="AH1046" s="16" t="b">
        <f>IFERROR(__xludf.DUMMYFUNCTION("""COMPUTED_VALUE"""),FALSE)</f>
        <v>0</v>
      </c>
    </row>
    <row r="1047">
      <c r="A1047" s="16"/>
      <c r="B1047" s="16"/>
      <c r="C1047" s="16"/>
      <c r="D1047" s="16"/>
      <c r="E1047" s="16">
        <f>IFERROR(__xludf.DUMMYFUNCTION("""COMPUTED_VALUE"""),1.0)</f>
        <v>1</v>
      </c>
      <c r="F1047" s="108">
        <f>IFERROR(__xludf.DUMMYFUNCTION("""COMPUTED_VALUE"""),0.0)</f>
        <v>0</v>
      </c>
      <c r="G1047" s="16"/>
      <c r="H1047" s="16"/>
      <c r="I1047" s="16"/>
      <c r="J1047" s="16"/>
      <c r="K1047" s="16"/>
      <c r="L1047" s="16"/>
      <c r="M1047" s="16"/>
      <c r="N1047" s="16"/>
      <c r="O1047" s="16"/>
      <c r="P1047" s="16"/>
      <c r="Q1047" s="16"/>
      <c r="R1047" s="16"/>
      <c r="S1047" s="16"/>
      <c r="T1047" s="16"/>
      <c r="U1047" s="16"/>
      <c r="V1047" s="16"/>
      <c r="W1047" s="16"/>
      <c r="X1047" s="16"/>
      <c r="Y1047" s="16"/>
      <c r="Z1047" s="16"/>
      <c r="AA1047" s="16"/>
      <c r="AB1047" s="16"/>
      <c r="AC1047" s="16"/>
      <c r="AD1047" s="16"/>
      <c r="AE1047" s="16"/>
      <c r="AF1047" s="16"/>
      <c r="AG1047" s="16"/>
      <c r="AH1047" s="16" t="b">
        <f>IFERROR(__xludf.DUMMYFUNCTION("""COMPUTED_VALUE"""),FALSE)</f>
        <v>0</v>
      </c>
    </row>
    <row r="1048">
      <c r="A1048" s="16"/>
      <c r="B1048" s="16"/>
      <c r="C1048" s="16"/>
      <c r="D1048" s="16"/>
      <c r="E1048" s="16">
        <f>IFERROR(__xludf.DUMMYFUNCTION("""COMPUTED_VALUE"""),1.0)</f>
        <v>1</v>
      </c>
      <c r="F1048" s="108">
        <f>IFERROR(__xludf.DUMMYFUNCTION("""COMPUTED_VALUE"""),0.0)</f>
        <v>0</v>
      </c>
      <c r="G1048" s="16"/>
      <c r="H1048" s="16"/>
      <c r="I1048" s="16"/>
      <c r="J1048" s="16"/>
      <c r="K1048" s="16"/>
      <c r="L1048" s="16"/>
      <c r="M1048" s="16"/>
      <c r="N1048" s="16"/>
      <c r="O1048" s="16"/>
      <c r="P1048" s="16"/>
      <c r="Q1048" s="16"/>
      <c r="R1048" s="16"/>
      <c r="S1048" s="16"/>
      <c r="T1048" s="16"/>
      <c r="U1048" s="16"/>
      <c r="V1048" s="16"/>
      <c r="W1048" s="16"/>
      <c r="X1048" s="16"/>
      <c r="Y1048" s="16"/>
      <c r="Z1048" s="16"/>
      <c r="AA1048" s="16"/>
      <c r="AB1048" s="16"/>
      <c r="AC1048" s="16"/>
      <c r="AD1048" s="16"/>
      <c r="AE1048" s="16"/>
      <c r="AF1048" s="16"/>
      <c r="AG1048" s="16"/>
      <c r="AH1048" s="16" t="b">
        <f>IFERROR(__xludf.DUMMYFUNCTION("""COMPUTED_VALUE"""),FALSE)</f>
        <v>0</v>
      </c>
    </row>
    <row r="1049">
      <c r="A1049" s="16"/>
      <c r="B1049" s="16"/>
      <c r="C1049" s="16"/>
      <c r="D1049" s="16"/>
      <c r="E1049" s="16">
        <f>IFERROR(__xludf.DUMMYFUNCTION("""COMPUTED_VALUE"""),1.0)</f>
        <v>1</v>
      </c>
      <c r="F1049" s="108">
        <f>IFERROR(__xludf.DUMMYFUNCTION("""COMPUTED_VALUE"""),0.0)</f>
        <v>0</v>
      </c>
      <c r="G1049" s="16"/>
      <c r="H1049" s="16"/>
      <c r="I1049" s="16"/>
      <c r="J1049" s="16"/>
      <c r="K1049" s="16"/>
      <c r="L1049" s="16"/>
      <c r="M1049" s="16"/>
      <c r="N1049" s="16"/>
      <c r="O1049" s="16"/>
      <c r="P1049" s="16"/>
      <c r="Q1049" s="16"/>
      <c r="R1049" s="16"/>
      <c r="S1049" s="16"/>
      <c r="T1049" s="16"/>
      <c r="U1049" s="16"/>
      <c r="V1049" s="16"/>
      <c r="W1049" s="16"/>
      <c r="X1049" s="16"/>
      <c r="Y1049" s="16"/>
      <c r="Z1049" s="16"/>
      <c r="AA1049" s="16"/>
      <c r="AB1049" s="16"/>
      <c r="AC1049" s="16"/>
      <c r="AD1049" s="16"/>
      <c r="AE1049" s="16"/>
      <c r="AF1049" s="16"/>
      <c r="AG1049" s="16"/>
      <c r="AH1049" s="16" t="b">
        <f>IFERROR(__xludf.DUMMYFUNCTION("""COMPUTED_VALUE"""),FALSE)</f>
        <v>0</v>
      </c>
    </row>
    <row r="1050">
      <c r="A1050" s="16"/>
      <c r="B1050" s="16"/>
      <c r="C1050" s="16"/>
      <c r="D1050" s="16"/>
      <c r="E1050" s="16">
        <f>IFERROR(__xludf.DUMMYFUNCTION("""COMPUTED_VALUE"""),1.0)</f>
        <v>1</v>
      </c>
      <c r="F1050" s="108">
        <f>IFERROR(__xludf.DUMMYFUNCTION("""COMPUTED_VALUE"""),0.0)</f>
        <v>0</v>
      </c>
      <c r="G1050" s="16"/>
      <c r="H1050" s="16"/>
      <c r="I1050" s="16"/>
      <c r="J1050" s="16"/>
      <c r="K1050" s="16"/>
      <c r="L1050" s="16"/>
      <c r="M1050" s="16"/>
      <c r="N1050" s="16"/>
      <c r="O1050" s="16"/>
      <c r="P1050" s="16"/>
      <c r="Q1050" s="16"/>
      <c r="R1050" s="16"/>
      <c r="S1050" s="16"/>
      <c r="T1050" s="16"/>
      <c r="U1050" s="16"/>
      <c r="V1050" s="16"/>
      <c r="W1050" s="16"/>
      <c r="X1050" s="16"/>
      <c r="Y1050" s="16"/>
      <c r="Z1050" s="16"/>
      <c r="AA1050" s="16"/>
      <c r="AB1050" s="16"/>
      <c r="AC1050" s="16"/>
      <c r="AD1050" s="16"/>
      <c r="AE1050" s="16"/>
      <c r="AF1050" s="16"/>
      <c r="AG1050" s="16"/>
      <c r="AH1050" s="16" t="b">
        <f>IFERROR(__xludf.DUMMYFUNCTION("""COMPUTED_VALUE"""),FALSE)</f>
        <v>0</v>
      </c>
    </row>
    <row r="1051">
      <c r="A1051" s="16"/>
      <c r="B1051" s="16"/>
      <c r="C1051" s="16"/>
      <c r="D1051" s="16"/>
      <c r="E1051" s="16">
        <f>IFERROR(__xludf.DUMMYFUNCTION("""COMPUTED_VALUE"""),1.0)</f>
        <v>1</v>
      </c>
      <c r="F1051" s="108">
        <f>IFERROR(__xludf.DUMMYFUNCTION("""COMPUTED_VALUE"""),0.0)</f>
        <v>0</v>
      </c>
      <c r="G1051" s="16"/>
      <c r="H1051" s="16"/>
      <c r="I1051" s="16"/>
      <c r="J1051" s="16"/>
      <c r="K1051" s="16"/>
      <c r="L1051" s="16"/>
      <c r="M1051" s="16"/>
      <c r="N1051" s="16"/>
      <c r="O1051" s="16"/>
      <c r="P1051" s="16"/>
      <c r="Q1051" s="16"/>
      <c r="R1051" s="16"/>
      <c r="S1051" s="16"/>
      <c r="T1051" s="16"/>
      <c r="U1051" s="16"/>
      <c r="V1051" s="16"/>
      <c r="W1051" s="16"/>
      <c r="X1051" s="16"/>
      <c r="Y1051" s="16"/>
      <c r="Z1051" s="16"/>
      <c r="AA1051" s="16"/>
      <c r="AB1051" s="16"/>
      <c r="AC1051" s="16"/>
      <c r="AD1051" s="16"/>
      <c r="AE1051" s="16"/>
      <c r="AF1051" s="16"/>
      <c r="AG1051" s="16"/>
      <c r="AH1051" s="16" t="b">
        <f>IFERROR(__xludf.DUMMYFUNCTION("""COMPUTED_VALUE"""),FALSE)</f>
        <v>0</v>
      </c>
    </row>
    <row r="1052">
      <c r="A1052" s="16"/>
      <c r="B1052" s="16"/>
      <c r="C1052" s="16"/>
      <c r="D1052" s="16"/>
      <c r="E1052" s="16">
        <f>IFERROR(__xludf.DUMMYFUNCTION("""COMPUTED_VALUE"""),1.0)</f>
        <v>1</v>
      </c>
      <c r="F1052" s="108">
        <f>IFERROR(__xludf.DUMMYFUNCTION("""COMPUTED_VALUE"""),0.0)</f>
        <v>0</v>
      </c>
      <c r="G1052" s="16"/>
      <c r="H1052" s="16"/>
      <c r="I1052" s="16"/>
      <c r="J1052" s="16"/>
      <c r="K1052" s="16"/>
      <c r="L1052" s="16"/>
      <c r="M1052" s="16"/>
      <c r="N1052" s="16"/>
      <c r="O1052" s="16"/>
      <c r="P1052" s="16"/>
      <c r="Q1052" s="16"/>
      <c r="R1052" s="16"/>
      <c r="S1052" s="16"/>
      <c r="T1052" s="16"/>
      <c r="U1052" s="16"/>
      <c r="V1052" s="16"/>
      <c r="W1052" s="16"/>
      <c r="X1052" s="16"/>
      <c r="Y1052" s="16"/>
      <c r="Z1052" s="16"/>
      <c r="AA1052" s="16"/>
      <c r="AB1052" s="16"/>
      <c r="AC1052" s="16"/>
      <c r="AD1052" s="16"/>
      <c r="AE1052" s="16"/>
      <c r="AF1052" s="16"/>
      <c r="AG1052" s="16"/>
      <c r="AH1052" s="16" t="b">
        <f>IFERROR(__xludf.DUMMYFUNCTION("""COMPUTED_VALUE"""),FALSE)</f>
        <v>0</v>
      </c>
    </row>
    <row r="1053">
      <c r="A1053" s="16"/>
      <c r="B1053" s="16"/>
      <c r="C1053" s="16"/>
      <c r="D1053" s="16"/>
      <c r="E1053" s="16">
        <f>IFERROR(__xludf.DUMMYFUNCTION("""COMPUTED_VALUE"""),1.0)</f>
        <v>1</v>
      </c>
      <c r="F1053" s="108">
        <f>IFERROR(__xludf.DUMMYFUNCTION("""COMPUTED_VALUE"""),0.0)</f>
        <v>0</v>
      </c>
      <c r="G1053" s="16"/>
      <c r="H1053" s="16"/>
      <c r="I1053" s="16"/>
      <c r="J1053" s="16"/>
      <c r="K1053" s="16"/>
      <c r="L1053" s="16"/>
      <c r="M1053" s="16"/>
      <c r="N1053" s="16"/>
      <c r="O1053" s="16"/>
      <c r="P1053" s="16"/>
      <c r="Q1053" s="16"/>
      <c r="R1053" s="16"/>
      <c r="S1053" s="16"/>
      <c r="T1053" s="16"/>
      <c r="U1053" s="16"/>
      <c r="V1053" s="16"/>
      <c r="W1053" s="16"/>
      <c r="X1053" s="16"/>
      <c r="Y1053" s="16"/>
      <c r="Z1053" s="16"/>
      <c r="AA1053" s="16"/>
      <c r="AB1053" s="16"/>
      <c r="AC1053" s="16"/>
      <c r="AD1053" s="16"/>
      <c r="AE1053" s="16"/>
      <c r="AF1053" s="16"/>
      <c r="AG1053" s="16"/>
      <c r="AH1053" s="16" t="b">
        <f>IFERROR(__xludf.DUMMYFUNCTION("""COMPUTED_VALUE"""),FALSE)</f>
        <v>0</v>
      </c>
    </row>
    <row r="1054">
      <c r="A1054" s="16"/>
      <c r="B1054" s="16"/>
      <c r="C1054" s="16"/>
      <c r="D1054" s="16"/>
      <c r="E1054" s="16">
        <f>IFERROR(__xludf.DUMMYFUNCTION("""COMPUTED_VALUE"""),1.0)</f>
        <v>1</v>
      </c>
      <c r="F1054" s="108">
        <f>IFERROR(__xludf.DUMMYFUNCTION("""COMPUTED_VALUE"""),0.0)</f>
        <v>0</v>
      </c>
      <c r="G1054" s="16"/>
      <c r="H1054" s="16"/>
      <c r="I1054" s="16"/>
      <c r="J1054" s="16"/>
      <c r="K1054" s="16"/>
      <c r="L1054" s="16"/>
      <c r="M1054" s="16"/>
      <c r="N1054" s="16"/>
      <c r="O1054" s="16"/>
      <c r="P1054" s="16"/>
      <c r="Q1054" s="16"/>
      <c r="R1054" s="16"/>
      <c r="S1054" s="16"/>
      <c r="T1054" s="16"/>
      <c r="U1054" s="16"/>
      <c r="V1054" s="16"/>
      <c r="W1054" s="16"/>
      <c r="X1054" s="16"/>
      <c r="Y1054" s="16"/>
      <c r="Z1054" s="16"/>
      <c r="AA1054" s="16"/>
      <c r="AB1054" s="16"/>
      <c r="AC1054" s="16"/>
      <c r="AD1054" s="16"/>
      <c r="AE1054" s="16"/>
      <c r="AF1054" s="16"/>
      <c r="AG1054" s="16"/>
      <c r="AH1054" s="16" t="b">
        <f>IFERROR(__xludf.DUMMYFUNCTION("""COMPUTED_VALUE"""),FALSE)</f>
        <v>0</v>
      </c>
    </row>
    <row r="1055">
      <c r="A1055" s="16"/>
      <c r="B1055" s="16"/>
      <c r="C1055" s="16"/>
      <c r="D1055" s="16"/>
      <c r="E1055" s="16">
        <f>IFERROR(__xludf.DUMMYFUNCTION("""COMPUTED_VALUE"""),1.0)</f>
        <v>1</v>
      </c>
      <c r="F1055" s="108">
        <f>IFERROR(__xludf.DUMMYFUNCTION("""COMPUTED_VALUE"""),0.0)</f>
        <v>0</v>
      </c>
      <c r="G1055" s="16"/>
      <c r="H1055" s="16"/>
      <c r="I1055" s="16"/>
      <c r="J1055" s="16"/>
      <c r="K1055" s="16"/>
      <c r="L1055" s="16"/>
      <c r="M1055" s="16"/>
      <c r="N1055" s="16"/>
      <c r="O1055" s="16"/>
      <c r="P1055" s="16"/>
      <c r="Q1055" s="16"/>
      <c r="R1055" s="16"/>
      <c r="S1055" s="16"/>
      <c r="T1055" s="16"/>
      <c r="U1055" s="16"/>
      <c r="V1055" s="16"/>
      <c r="W1055" s="16"/>
      <c r="X1055" s="16"/>
      <c r="Y1055" s="16"/>
      <c r="Z1055" s="16"/>
      <c r="AA1055" s="16"/>
      <c r="AB1055" s="16"/>
      <c r="AC1055" s="16"/>
      <c r="AD1055" s="16"/>
      <c r="AE1055" s="16"/>
      <c r="AF1055" s="16"/>
      <c r="AG1055" s="16"/>
      <c r="AH1055" s="16" t="b">
        <f>IFERROR(__xludf.DUMMYFUNCTION("""COMPUTED_VALUE"""),FALSE)</f>
        <v>0</v>
      </c>
    </row>
    <row r="1056">
      <c r="A1056" s="16"/>
      <c r="B1056" s="16"/>
      <c r="C1056" s="16"/>
      <c r="D1056" s="16"/>
      <c r="E1056" s="16">
        <f>IFERROR(__xludf.DUMMYFUNCTION("""COMPUTED_VALUE"""),1.0)</f>
        <v>1</v>
      </c>
      <c r="F1056" s="108">
        <f>IFERROR(__xludf.DUMMYFUNCTION("""COMPUTED_VALUE"""),0.0)</f>
        <v>0</v>
      </c>
      <c r="G1056" s="16"/>
      <c r="H1056" s="16"/>
      <c r="I1056" s="16"/>
      <c r="J1056" s="16"/>
      <c r="K1056" s="16"/>
      <c r="L1056" s="16"/>
      <c r="M1056" s="16"/>
      <c r="N1056" s="16"/>
      <c r="O1056" s="16"/>
      <c r="P1056" s="16"/>
      <c r="Q1056" s="16"/>
      <c r="R1056" s="16"/>
      <c r="S1056" s="16"/>
      <c r="T1056" s="16"/>
      <c r="U1056" s="16"/>
      <c r="V1056" s="16"/>
      <c r="W1056" s="16"/>
      <c r="X1056" s="16"/>
      <c r="Y1056" s="16"/>
      <c r="Z1056" s="16"/>
      <c r="AA1056" s="16"/>
      <c r="AB1056" s="16"/>
      <c r="AC1056" s="16"/>
      <c r="AD1056" s="16"/>
      <c r="AE1056" s="16"/>
      <c r="AF1056" s="16"/>
      <c r="AG1056" s="16"/>
      <c r="AH1056" s="16" t="b">
        <f>IFERROR(__xludf.DUMMYFUNCTION("""COMPUTED_VALUE"""),FALSE)</f>
        <v>0</v>
      </c>
    </row>
    <row r="1057">
      <c r="A1057" s="16"/>
      <c r="B1057" s="16"/>
      <c r="C1057" s="16"/>
      <c r="D1057" s="16"/>
      <c r="E1057" s="16">
        <f>IFERROR(__xludf.DUMMYFUNCTION("""COMPUTED_VALUE"""),1.0)</f>
        <v>1</v>
      </c>
      <c r="F1057" s="108">
        <f>IFERROR(__xludf.DUMMYFUNCTION("""COMPUTED_VALUE"""),0.0)</f>
        <v>0</v>
      </c>
      <c r="G1057" s="16"/>
      <c r="H1057" s="16"/>
      <c r="I1057" s="16"/>
      <c r="J1057" s="16"/>
      <c r="K1057" s="16"/>
      <c r="L1057" s="16"/>
      <c r="M1057" s="16"/>
      <c r="N1057" s="16"/>
      <c r="O1057" s="16"/>
      <c r="P1057" s="16"/>
      <c r="Q1057" s="16"/>
      <c r="R1057" s="16"/>
      <c r="S1057" s="16"/>
      <c r="T1057" s="16"/>
      <c r="U1057" s="16"/>
      <c r="V1057" s="16"/>
      <c r="W1057" s="16"/>
      <c r="X1057" s="16"/>
      <c r="Y1057" s="16"/>
      <c r="Z1057" s="16"/>
      <c r="AA1057" s="16"/>
      <c r="AB1057" s="16"/>
      <c r="AC1057" s="16"/>
      <c r="AD1057" s="16"/>
      <c r="AE1057" s="16"/>
      <c r="AF1057" s="16"/>
      <c r="AG1057" s="16"/>
      <c r="AH1057" s="16" t="b">
        <f>IFERROR(__xludf.DUMMYFUNCTION("""COMPUTED_VALUE"""),FALSE)</f>
        <v>0</v>
      </c>
    </row>
    <row r="1058">
      <c r="A1058" s="16"/>
      <c r="B1058" s="16"/>
      <c r="C1058" s="16"/>
      <c r="D1058" s="16"/>
      <c r="E1058" s="16">
        <f>IFERROR(__xludf.DUMMYFUNCTION("""COMPUTED_VALUE"""),1.0)</f>
        <v>1</v>
      </c>
      <c r="F1058" s="108">
        <f>IFERROR(__xludf.DUMMYFUNCTION("""COMPUTED_VALUE"""),0.0)</f>
        <v>0</v>
      </c>
      <c r="G1058" s="16"/>
      <c r="H1058" s="16"/>
      <c r="I1058" s="16"/>
      <c r="J1058" s="16"/>
      <c r="K1058" s="16"/>
      <c r="L1058" s="16"/>
      <c r="M1058" s="16"/>
      <c r="N1058" s="16"/>
      <c r="O1058" s="16"/>
      <c r="P1058" s="16"/>
      <c r="Q1058" s="16"/>
      <c r="R1058" s="16"/>
      <c r="S1058" s="16"/>
      <c r="T1058" s="16"/>
      <c r="U1058" s="16"/>
      <c r="V1058" s="16"/>
      <c r="W1058" s="16"/>
      <c r="X1058" s="16"/>
      <c r="Y1058" s="16"/>
      <c r="Z1058" s="16"/>
      <c r="AA1058" s="16"/>
      <c r="AB1058" s="16"/>
      <c r="AC1058" s="16"/>
      <c r="AD1058" s="16"/>
      <c r="AE1058" s="16"/>
      <c r="AF1058" s="16"/>
      <c r="AG1058" s="16"/>
      <c r="AH1058" s="16" t="b">
        <f>IFERROR(__xludf.DUMMYFUNCTION("""COMPUTED_VALUE"""),FALSE)</f>
        <v>0</v>
      </c>
    </row>
    <row r="1059">
      <c r="A1059" s="16"/>
      <c r="B1059" s="16"/>
      <c r="C1059" s="16"/>
      <c r="D1059" s="16"/>
      <c r="E1059" s="16">
        <f>IFERROR(__xludf.DUMMYFUNCTION("""COMPUTED_VALUE"""),1.0)</f>
        <v>1</v>
      </c>
      <c r="F1059" s="108">
        <f>IFERROR(__xludf.DUMMYFUNCTION("""COMPUTED_VALUE"""),0.0)</f>
        <v>0</v>
      </c>
      <c r="G1059" s="16"/>
      <c r="H1059" s="16"/>
      <c r="I1059" s="16"/>
      <c r="J1059" s="16"/>
      <c r="K1059" s="16"/>
      <c r="L1059" s="16"/>
      <c r="M1059" s="16"/>
      <c r="N1059" s="16"/>
      <c r="O1059" s="16"/>
      <c r="P1059" s="16"/>
      <c r="Q1059" s="16"/>
      <c r="R1059" s="16"/>
      <c r="S1059" s="16"/>
      <c r="T1059" s="16"/>
      <c r="U1059" s="16"/>
      <c r="V1059" s="16"/>
      <c r="W1059" s="16"/>
      <c r="X1059" s="16"/>
      <c r="Y1059" s="16"/>
      <c r="Z1059" s="16"/>
      <c r="AA1059" s="16"/>
      <c r="AB1059" s="16"/>
      <c r="AC1059" s="16"/>
      <c r="AD1059" s="16"/>
      <c r="AE1059" s="16"/>
      <c r="AF1059" s="16"/>
      <c r="AG1059" s="16"/>
      <c r="AH1059" s="16" t="b">
        <f>IFERROR(__xludf.DUMMYFUNCTION("""COMPUTED_VALUE"""),FALSE)</f>
        <v>0</v>
      </c>
    </row>
    <row r="1060">
      <c r="A1060" s="16"/>
      <c r="B1060" s="16"/>
      <c r="C1060" s="16"/>
      <c r="D1060" s="16"/>
      <c r="E1060" s="16">
        <f>IFERROR(__xludf.DUMMYFUNCTION("""COMPUTED_VALUE"""),1.0)</f>
        <v>1</v>
      </c>
      <c r="F1060" s="108">
        <f>IFERROR(__xludf.DUMMYFUNCTION("""COMPUTED_VALUE"""),0.0)</f>
        <v>0</v>
      </c>
      <c r="G1060" s="16"/>
      <c r="H1060" s="16"/>
      <c r="I1060" s="16"/>
      <c r="J1060" s="16"/>
      <c r="K1060" s="16"/>
      <c r="L1060" s="16"/>
      <c r="M1060" s="16"/>
      <c r="N1060" s="16"/>
      <c r="O1060" s="16"/>
      <c r="P1060" s="16"/>
      <c r="Q1060" s="16"/>
      <c r="R1060" s="16"/>
      <c r="S1060" s="16"/>
      <c r="T1060" s="16"/>
      <c r="U1060" s="16"/>
      <c r="V1060" s="16"/>
      <c r="W1060" s="16"/>
      <c r="X1060" s="16"/>
      <c r="Y1060" s="16"/>
      <c r="Z1060" s="16"/>
      <c r="AA1060" s="16"/>
      <c r="AB1060" s="16"/>
      <c r="AC1060" s="16"/>
      <c r="AD1060" s="16"/>
      <c r="AE1060" s="16"/>
      <c r="AF1060" s="16"/>
      <c r="AG1060" s="16"/>
      <c r="AH1060" s="16" t="b">
        <f>IFERROR(__xludf.DUMMYFUNCTION("""COMPUTED_VALUE"""),FALSE)</f>
        <v>0</v>
      </c>
    </row>
    <row r="1061">
      <c r="A1061" s="16"/>
      <c r="B1061" s="16"/>
      <c r="C1061" s="16"/>
      <c r="D1061" s="16"/>
      <c r="E1061" s="16">
        <f>IFERROR(__xludf.DUMMYFUNCTION("""COMPUTED_VALUE"""),1.0)</f>
        <v>1</v>
      </c>
      <c r="F1061" s="108">
        <f>IFERROR(__xludf.DUMMYFUNCTION("""COMPUTED_VALUE"""),0.0)</f>
        <v>0</v>
      </c>
      <c r="G1061" s="16"/>
      <c r="H1061" s="16"/>
      <c r="I1061" s="16"/>
      <c r="J1061" s="16"/>
      <c r="K1061" s="16"/>
      <c r="L1061" s="16"/>
      <c r="M1061" s="16"/>
      <c r="N1061" s="16"/>
      <c r="O1061" s="16"/>
      <c r="P1061" s="16"/>
      <c r="Q1061" s="16"/>
      <c r="R1061" s="16"/>
      <c r="S1061" s="16"/>
      <c r="T1061" s="16"/>
      <c r="U1061" s="16"/>
      <c r="V1061" s="16"/>
      <c r="W1061" s="16"/>
      <c r="X1061" s="16"/>
      <c r="Y1061" s="16"/>
      <c r="Z1061" s="16"/>
      <c r="AA1061" s="16"/>
      <c r="AB1061" s="16"/>
      <c r="AC1061" s="16"/>
      <c r="AD1061" s="16"/>
      <c r="AE1061" s="16"/>
      <c r="AF1061" s="16"/>
      <c r="AG1061" s="16"/>
      <c r="AH1061" s="16" t="b">
        <f>IFERROR(__xludf.DUMMYFUNCTION("""COMPUTED_VALUE"""),FALSE)</f>
        <v>0</v>
      </c>
    </row>
    <row r="1062">
      <c r="A1062" s="16"/>
      <c r="B1062" s="16"/>
      <c r="C1062" s="16"/>
      <c r="D1062" s="16"/>
      <c r="E1062" s="16">
        <f>IFERROR(__xludf.DUMMYFUNCTION("""COMPUTED_VALUE"""),1.0)</f>
        <v>1</v>
      </c>
      <c r="F1062" s="108">
        <f>IFERROR(__xludf.DUMMYFUNCTION("""COMPUTED_VALUE"""),0.0)</f>
        <v>0</v>
      </c>
      <c r="G1062" s="16"/>
      <c r="H1062" s="16"/>
      <c r="I1062" s="16"/>
      <c r="J1062" s="16"/>
      <c r="K1062" s="16"/>
      <c r="L1062" s="16"/>
      <c r="M1062" s="16"/>
      <c r="N1062" s="16"/>
      <c r="O1062" s="16"/>
      <c r="P1062" s="16"/>
      <c r="Q1062" s="16"/>
      <c r="R1062" s="16"/>
      <c r="S1062" s="16"/>
      <c r="T1062" s="16"/>
      <c r="U1062" s="16"/>
      <c r="V1062" s="16"/>
      <c r="W1062" s="16"/>
      <c r="X1062" s="16"/>
      <c r="Y1062" s="16"/>
      <c r="Z1062" s="16"/>
      <c r="AA1062" s="16"/>
      <c r="AB1062" s="16"/>
      <c r="AC1062" s="16"/>
      <c r="AD1062" s="16"/>
      <c r="AE1062" s="16"/>
      <c r="AF1062" s="16"/>
      <c r="AG1062" s="16"/>
      <c r="AH1062" s="16" t="b">
        <f>IFERROR(__xludf.DUMMYFUNCTION("""COMPUTED_VALUE"""),FALSE)</f>
        <v>0</v>
      </c>
    </row>
    <row r="1063">
      <c r="A1063" s="16"/>
      <c r="B1063" s="16"/>
      <c r="C1063" s="16"/>
      <c r="D1063" s="16"/>
      <c r="E1063" s="16">
        <f>IFERROR(__xludf.DUMMYFUNCTION("""COMPUTED_VALUE"""),1.0)</f>
        <v>1</v>
      </c>
      <c r="F1063" s="108">
        <f>IFERROR(__xludf.DUMMYFUNCTION("""COMPUTED_VALUE"""),0.0)</f>
        <v>0</v>
      </c>
      <c r="G1063" s="16"/>
      <c r="H1063" s="16"/>
      <c r="I1063" s="16"/>
      <c r="J1063" s="16"/>
      <c r="K1063" s="16"/>
      <c r="L1063" s="16"/>
      <c r="M1063" s="16"/>
      <c r="N1063" s="16"/>
      <c r="O1063" s="16"/>
      <c r="P1063" s="16"/>
      <c r="Q1063" s="16"/>
      <c r="R1063" s="16"/>
      <c r="S1063" s="16"/>
      <c r="T1063" s="16"/>
      <c r="U1063" s="16"/>
      <c r="V1063" s="16"/>
      <c r="W1063" s="16"/>
      <c r="X1063" s="16"/>
      <c r="Y1063" s="16"/>
      <c r="Z1063" s="16"/>
      <c r="AA1063" s="16"/>
      <c r="AB1063" s="16"/>
      <c r="AC1063" s="16"/>
      <c r="AD1063" s="16"/>
      <c r="AE1063" s="16"/>
      <c r="AF1063" s="16"/>
      <c r="AG1063" s="16"/>
      <c r="AH1063" s="16" t="b">
        <f>IFERROR(__xludf.DUMMYFUNCTION("""COMPUTED_VALUE"""),FALSE)</f>
        <v>0</v>
      </c>
    </row>
    <row r="1064">
      <c r="A1064" s="16"/>
      <c r="B1064" s="16"/>
      <c r="C1064" s="16"/>
      <c r="D1064" s="16"/>
      <c r="E1064" s="16">
        <f>IFERROR(__xludf.DUMMYFUNCTION("""COMPUTED_VALUE"""),1.0)</f>
        <v>1</v>
      </c>
      <c r="F1064" s="108">
        <f>IFERROR(__xludf.DUMMYFUNCTION("""COMPUTED_VALUE"""),0.0)</f>
        <v>0</v>
      </c>
      <c r="G1064" s="16"/>
      <c r="H1064" s="16"/>
      <c r="I1064" s="16"/>
      <c r="J1064" s="16"/>
      <c r="K1064" s="16"/>
      <c r="L1064" s="16"/>
      <c r="M1064" s="16"/>
      <c r="N1064" s="16"/>
      <c r="O1064" s="16"/>
      <c r="P1064" s="16"/>
      <c r="Q1064" s="16"/>
      <c r="R1064" s="16"/>
      <c r="S1064" s="16"/>
      <c r="T1064" s="16"/>
      <c r="U1064" s="16"/>
      <c r="V1064" s="16"/>
      <c r="W1064" s="16"/>
      <c r="X1064" s="16"/>
      <c r="Y1064" s="16"/>
      <c r="Z1064" s="16"/>
      <c r="AA1064" s="16"/>
      <c r="AB1064" s="16"/>
      <c r="AC1064" s="16"/>
      <c r="AD1064" s="16"/>
      <c r="AE1064" s="16"/>
      <c r="AF1064" s="16"/>
      <c r="AG1064" s="16"/>
      <c r="AH1064" s="16" t="b">
        <f>IFERROR(__xludf.DUMMYFUNCTION("""COMPUTED_VALUE"""),FALSE)</f>
        <v>0</v>
      </c>
    </row>
    <row r="1065">
      <c r="A1065" s="16"/>
      <c r="B1065" s="16"/>
      <c r="C1065" s="16"/>
      <c r="D1065" s="16"/>
      <c r="E1065" s="16">
        <f>IFERROR(__xludf.DUMMYFUNCTION("""COMPUTED_VALUE"""),1.0)</f>
        <v>1</v>
      </c>
      <c r="F1065" s="108">
        <f>IFERROR(__xludf.DUMMYFUNCTION("""COMPUTED_VALUE"""),0.0)</f>
        <v>0</v>
      </c>
      <c r="G1065" s="16"/>
      <c r="H1065" s="16"/>
      <c r="I1065" s="16"/>
      <c r="J1065" s="16"/>
      <c r="K1065" s="16"/>
      <c r="L1065" s="16"/>
      <c r="M1065" s="16"/>
      <c r="N1065" s="16"/>
      <c r="O1065" s="16"/>
      <c r="P1065" s="16"/>
      <c r="Q1065" s="16"/>
      <c r="R1065" s="16"/>
      <c r="S1065" s="16"/>
      <c r="T1065" s="16"/>
      <c r="U1065" s="16"/>
      <c r="V1065" s="16"/>
      <c r="W1065" s="16"/>
      <c r="X1065" s="16"/>
      <c r="Y1065" s="16"/>
      <c r="Z1065" s="16"/>
      <c r="AA1065" s="16"/>
      <c r="AB1065" s="16"/>
      <c r="AC1065" s="16"/>
      <c r="AD1065" s="16"/>
      <c r="AE1065" s="16"/>
      <c r="AF1065" s="16"/>
      <c r="AG1065" s="16"/>
      <c r="AH1065" s="16" t="b">
        <f>IFERROR(__xludf.DUMMYFUNCTION("""COMPUTED_VALUE"""),FALSE)</f>
        <v>0</v>
      </c>
    </row>
    <row r="1066">
      <c r="A1066" s="16"/>
      <c r="B1066" s="16"/>
      <c r="C1066" s="16"/>
      <c r="D1066" s="16"/>
      <c r="E1066" s="16">
        <f>IFERROR(__xludf.DUMMYFUNCTION("""COMPUTED_VALUE"""),1.0)</f>
        <v>1</v>
      </c>
      <c r="F1066" s="108">
        <f>IFERROR(__xludf.DUMMYFUNCTION("""COMPUTED_VALUE"""),0.0)</f>
        <v>0</v>
      </c>
      <c r="G1066" s="16"/>
      <c r="H1066" s="16"/>
      <c r="I1066" s="16"/>
      <c r="J1066" s="16"/>
      <c r="K1066" s="16"/>
      <c r="L1066" s="16"/>
      <c r="M1066" s="16"/>
      <c r="N1066" s="16"/>
      <c r="O1066" s="16"/>
      <c r="P1066" s="16"/>
      <c r="Q1066" s="16"/>
      <c r="R1066" s="16"/>
      <c r="S1066" s="16"/>
      <c r="T1066" s="16"/>
      <c r="U1066" s="16"/>
      <c r="V1066" s="16"/>
      <c r="W1066" s="16"/>
      <c r="X1066" s="16"/>
      <c r="Y1066" s="16"/>
      <c r="Z1066" s="16"/>
      <c r="AA1066" s="16"/>
      <c r="AB1066" s="16"/>
      <c r="AC1066" s="16"/>
      <c r="AD1066" s="16"/>
      <c r="AE1066" s="16"/>
      <c r="AF1066" s="16"/>
      <c r="AG1066" s="16"/>
      <c r="AH1066" s="16" t="b">
        <f>IFERROR(__xludf.DUMMYFUNCTION("""COMPUTED_VALUE"""),FALSE)</f>
        <v>0</v>
      </c>
    </row>
    <row r="1067">
      <c r="A1067" s="16"/>
      <c r="B1067" s="16"/>
      <c r="C1067" s="16"/>
      <c r="D1067" s="16"/>
      <c r="E1067" s="16">
        <f>IFERROR(__xludf.DUMMYFUNCTION("""COMPUTED_VALUE"""),1.0)</f>
        <v>1</v>
      </c>
      <c r="F1067" s="108">
        <f>IFERROR(__xludf.DUMMYFUNCTION("""COMPUTED_VALUE"""),0.0)</f>
        <v>0</v>
      </c>
      <c r="G1067" s="16"/>
      <c r="H1067" s="16"/>
      <c r="I1067" s="16"/>
      <c r="J1067" s="16"/>
      <c r="K1067" s="16"/>
      <c r="L1067" s="16"/>
      <c r="M1067" s="16"/>
      <c r="N1067" s="16"/>
      <c r="O1067" s="16"/>
      <c r="P1067" s="16"/>
      <c r="Q1067" s="16"/>
      <c r="R1067" s="16"/>
      <c r="S1067" s="16"/>
      <c r="T1067" s="16"/>
      <c r="U1067" s="16"/>
      <c r="V1067" s="16"/>
      <c r="W1067" s="16"/>
      <c r="X1067" s="16"/>
      <c r="Y1067" s="16"/>
      <c r="Z1067" s="16"/>
      <c r="AA1067" s="16"/>
      <c r="AB1067" s="16"/>
      <c r="AC1067" s="16"/>
      <c r="AD1067" s="16"/>
      <c r="AE1067" s="16"/>
      <c r="AF1067" s="16"/>
      <c r="AG1067" s="16"/>
      <c r="AH1067" s="16" t="b">
        <f>IFERROR(__xludf.DUMMYFUNCTION("""COMPUTED_VALUE"""),FALSE)</f>
        <v>0</v>
      </c>
    </row>
    <row r="1068">
      <c r="A1068" s="16"/>
      <c r="B1068" s="16"/>
      <c r="C1068" s="16"/>
      <c r="D1068" s="16"/>
      <c r="E1068" s="16">
        <f>IFERROR(__xludf.DUMMYFUNCTION("""COMPUTED_VALUE"""),1.0)</f>
        <v>1</v>
      </c>
      <c r="F1068" s="108">
        <f>IFERROR(__xludf.DUMMYFUNCTION("""COMPUTED_VALUE"""),0.0)</f>
        <v>0</v>
      </c>
      <c r="G1068" s="16"/>
      <c r="H1068" s="16"/>
      <c r="I1068" s="16"/>
      <c r="J1068" s="16"/>
      <c r="K1068" s="16"/>
      <c r="L1068" s="16"/>
      <c r="M1068" s="16"/>
      <c r="N1068" s="16"/>
      <c r="O1068" s="16"/>
      <c r="P1068" s="16"/>
      <c r="Q1068" s="16"/>
      <c r="R1068" s="16"/>
      <c r="S1068" s="16"/>
      <c r="T1068" s="16"/>
      <c r="U1068" s="16"/>
      <c r="V1068" s="16"/>
      <c r="W1068" s="16"/>
      <c r="X1068" s="16"/>
      <c r="Y1068" s="16"/>
      <c r="Z1068" s="16"/>
      <c r="AA1068" s="16"/>
      <c r="AB1068" s="16"/>
      <c r="AC1068" s="16"/>
      <c r="AD1068" s="16"/>
      <c r="AE1068" s="16"/>
      <c r="AF1068" s="16"/>
      <c r="AG1068" s="16"/>
      <c r="AH1068" s="16" t="b">
        <f>IFERROR(__xludf.DUMMYFUNCTION("""COMPUTED_VALUE"""),FALSE)</f>
        <v>0</v>
      </c>
    </row>
    <row r="1069">
      <c r="A1069" s="16"/>
      <c r="B1069" s="16"/>
      <c r="C1069" s="16"/>
      <c r="D1069" s="16"/>
      <c r="E1069" s="16">
        <f>IFERROR(__xludf.DUMMYFUNCTION("""COMPUTED_VALUE"""),1.0)</f>
        <v>1</v>
      </c>
      <c r="F1069" s="108">
        <f>IFERROR(__xludf.DUMMYFUNCTION("""COMPUTED_VALUE"""),0.0)</f>
        <v>0</v>
      </c>
      <c r="G1069" s="16"/>
      <c r="H1069" s="16"/>
      <c r="I1069" s="16"/>
      <c r="J1069" s="16"/>
      <c r="K1069" s="16"/>
      <c r="L1069" s="16"/>
      <c r="M1069" s="16"/>
      <c r="N1069" s="16"/>
      <c r="O1069" s="16"/>
      <c r="P1069" s="16"/>
      <c r="Q1069" s="16"/>
      <c r="R1069" s="16"/>
      <c r="S1069" s="16"/>
      <c r="T1069" s="16"/>
      <c r="U1069" s="16"/>
      <c r="V1069" s="16"/>
      <c r="W1069" s="16"/>
      <c r="X1069" s="16"/>
      <c r="Y1069" s="16"/>
      <c r="Z1069" s="16"/>
      <c r="AA1069" s="16"/>
      <c r="AB1069" s="16"/>
      <c r="AC1069" s="16"/>
      <c r="AD1069" s="16"/>
      <c r="AE1069" s="16"/>
      <c r="AF1069" s="16"/>
      <c r="AG1069" s="16"/>
      <c r="AH1069" s="16" t="b">
        <f>IFERROR(__xludf.DUMMYFUNCTION("""COMPUTED_VALUE"""),FALSE)</f>
        <v>0</v>
      </c>
    </row>
    <row r="1070">
      <c r="A1070" s="16"/>
      <c r="B1070" s="16"/>
      <c r="C1070" s="16"/>
      <c r="D1070" s="16"/>
      <c r="E1070" s="16">
        <f>IFERROR(__xludf.DUMMYFUNCTION("""COMPUTED_VALUE"""),1.0)</f>
        <v>1</v>
      </c>
      <c r="F1070" s="108">
        <f>IFERROR(__xludf.DUMMYFUNCTION("""COMPUTED_VALUE"""),0.0)</f>
        <v>0</v>
      </c>
      <c r="G1070" s="16"/>
      <c r="H1070" s="16"/>
      <c r="I1070" s="16"/>
      <c r="J1070" s="16"/>
      <c r="K1070" s="16"/>
      <c r="L1070" s="16"/>
      <c r="M1070" s="16"/>
      <c r="N1070" s="16"/>
      <c r="O1070" s="16"/>
      <c r="P1070" s="16"/>
      <c r="Q1070" s="16"/>
      <c r="R1070" s="16"/>
      <c r="S1070" s="16"/>
      <c r="T1070" s="16"/>
      <c r="U1070" s="16"/>
      <c r="V1070" s="16"/>
      <c r="W1070" s="16"/>
      <c r="X1070" s="16"/>
      <c r="Y1070" s="16"/>
      <c r="Z1070" s="16"/>
      <c r="AA1070" s="16"/>
      <c r="AB1070" s="16"/>
      <c r="AC1070" s="16"/>
      <c r="AD1070" s="16"/>
      <c r="AE1070" s="16"/>
      <c r="AF1070" s="16"/>
      <c r="AG1070" s="16"/>
      <c r="AH1070" s="16" t="b">
        <f>IFERROR(__xludf.DUMMYFUNCTION("""COMPUTED_VALUE"""),FALSE)</f>
        <v>0</v>
      </c>
    </row>
    <row r="1071">
      <c r="A1071" s="16"/>
      <c r="B1071" s="16"/>
      <c r="C1071" s="16"/>
      <c r="D1071" s="16"/>
      <c r="E1071" s="16">
        <f>IFERROR(__xludf.DUMMYFUNCTION("""COMPUTED_VALUE"""),1.0)</f>
        <v>1</v>
      </c>
      <c r="F1071" s="108">
        <f>IFERROR(__xludf.DUMMYFUNCTION("""COMPUTED_VALUE"""),0.0)</f>
        <v>0</v>
      </c>
      <c r="G1071" s="16"/>
      <c r="H1071" s="16"/>
      <c r="I1071" s="16"/>
      <c r="J1071" s="16"/>
      <c r="K1071" s="16"/>
      <c r="L1071" s="16"/>
      <c r="M1071" s="16"/>
      <c r="N1071" s="16"/>
      <c r="O1071" s="16"/>
      <c r="P1071" s="16"/>
      <c r="Q1071" s="16"/>
      <c r="R1071" s="16"/>
      <c r="S1071" s="16"/>
      <c r="T1071" s="16"/>
      <c r="U1071" s="16"/>
      <c r="V1071" s="16"/>
      <c r="W1071" s="16"/>
      <c r="X1071" s="16"/>
      <c r="Y1071" s="16"/>
      <c r="Z1071" s="16"/>
      <c r="AA1071" s="16"/>
      <c r="AB1071" s="16"/>
      <c r="AC1071" s="16"/>
      <c r="AD1071" s="16"/>
      <c r="AE1071" s="16"/>
      <c r="AF1071" s="16"/>
      <c r="AG1071" s="16"/>
      <c r="AH1071" s="16" t="b">
        <f>IFERROR(__xludf.DUMMYFUNCTION("""COMPUTED_VALUE"""),FALSE)</f>
        <v>0</v>
      </c>
    </row>
    <row r="1072">
      <c r="A1072" s="16"/>
      <c r="B1072" s="16"/>
      <c r="C1072" s="16"/>
      <c r="D1072" s="16"/>
      <c r="E1072" s="16">
        <f>IFERROR(__xludf.DUMMYFUNCTION("""COMPUTED_VALUE"""),1.0)</f>
        <v>1</v>
      </c>
      <c r="F1072" s="108">
        <f>IFERROR(__xludf.DUMMYFUNCTION("""COMPUTED_VALUE"""),0.0)</f>
        <v>0</v>
      </c>
      <c r="G1072" s="16"/>
      <c r="H1072" s="16"/>
      <c r="I1072" s="16"/>
      <c r="J1072" s="16"/>
      <c r="K1072" s="16"/>
      <c r="L1072" s="16"/>
      <c r="M1072" s="16"/>
      <c r="N1072" s="16"/>
      <c r="O1072" s="16"/>
      <c r="P1072" s="16"/>
      <c r="Q1072" s="16"/>
      <c r="R1072" s="16"/>
      <c r="S1072" s="16"/>
      <c r="T1072" s="16"/>
      <c r="U1072" s="16"/>
      <c r="V1072" s="16"/>
      <c r="W1072" s="16"/>
      <c r="X1072" s="16"/>
      <c r="Y1072" s="16"/>
      <c r="Z1072" s="16"/>
      <c r="AA1072" s="16"/>
      <c r="AB1072" s="16"/>
      <c r="AC1072" s="16"/>
      <c r="AD1072" s="16"/>
      <c r="AE1072" s="16"/>
      <c r="AF1072" s="16"/>
      <c r="AG1072" s="16"/>
      <c r="AH1072" s="16" t="b">
        <f>IFERROR(__xludf.DUMMYFUNCTION("""COMPUTED_VALUE"""),FALSE)</f>
        <v>0</v>
      </c>
    </row>
    <row r="1073">
      <c r="A1073" s="16"/>
      <c r="B1073" s="16"/>
      <c r="C1073" s="16"/>
      <c r="D1073" s="16"/>
      <c r="E1073" s="16">
        <f>IFERROR(__xludf.DUMMYFUNCTION("""COMPUTED_VALUE"""),1.0)</f>
        <v>1</v>
      </c>
      <c r="F1073" s="108">
        <f>IFERROR(__xludf.DUMMYFUNCTION("""COMPUTED_VALUE"""),0.0)</f>
        <v>0</v>
      </c>
      <c r="G1073" s="16"/>
      <c r="H1073" s="16"/>
      <c r="I1073" s="16"/>
      <c r="J1073" s="16"/>
      <c r="K1073" s="16"/>
      <c r="L1073" s="16"/>
      <c r="M1073" s="16"/>
      <c r="N1073" s="16"/>
      <c r="O1073" s="16"/>
      <c r="P1073" s="16"/>
      <c r="Q1073" s="16"/>
      <c r="R1073" s="16"/>
      <c r="S1073" s="16"/>
      <c r="T1073" s="16"/>
      <c r="U1073" s="16"/>
      <c r="V1073" s="16"/>
      <c r="W1073" s="16"/>
      <c r="X1073" s="16"/>
      <c r="Y1073" s="16"/>
      <c r="Z1073" s="16"/>
      <c r="AA1073" s="16"/>
      <c r="AB1073" s="16"/>
      <c r="AC1073" s="16"/>
      <c r="AD1073" s="16"/>
      <c r="AE1073" s="16"/>
      <c r="AF1073" s="16"/>
      <c r="AG1073" s="16"/>
      <c r="AH1073" s="16" t="b">
        <f>IFERROR(__xludf.DUMMYFUNCTION("""COMPUTED_VALUE"""),FALSE)</f>
        <v>0</v>
      </c>
    </row>
    <row r="1074">
      <c r="A1074" s="16"/>
      <c r="B1074" s="16"/>
      <c r="C1074" s="16"/>
      <c r="D1074" s="16"/>
      <c r="E1074" s="16">
        <f>IFERROR(__xludf.DUMMYFUNCTION("""COMPUTED_VALUE"""),1.0)</f>
        <v>1</v>
      </c>
      <c r="F1074" s="108">
        <f>IFERROR(__xludf.DUMMYFUNCTION("""COMPUTED_VALUE"""),0.0)</f>
        <v>0</v>
      </c>
      <c r="G1074" s="16"/>
      <c r="H1074" s="16"/>
      <c r="I1074" s="16"/>
      <c r="J1074" s="16"/>
      <c r="K1074" s="16"/>
      <c r="L1074" s="16"/>
      <c r="M1074" s="16"/>
      <c r="N1074" s="16"/>
      <c r="O1074" s="16"/>
      <c r="P1074" s="16"/>
      <c r="Q1074" s="16"/>
      <c r="R1074" s="16"/>
      <c r="S1074" s="16"/>
      <c r="T1074" s="16"/>
      <c r="U1074" s="16"/>
      <c r="V1074" s="16"/>
      <c r="W1074" s="16"/>
      <c r="X1074" s="16"/>
      <c r="Y1074" s="16"/>
      <c r="Z1074" s="16"/>
      <c r="AA1074" s="16"/>
      <c r="AB1074" s="16"/>
      <c r="AC1074" s="16"/>
      <c r="AD1074" s="16"/>
      <c r="AE1074" s="16"/>
      <c r="AF1074" s="16"/>
      <c r="AG1074" s="16"/>
      <c r="AH1074" s="16" t="b">
        <f>IFERROR(__xludf.DUMMYFUNCTION("""COMPUTED_VALUE"""),FALSE)</f>
        <v>0</v>
      </c>
    </row>
    <row r="1075">
      <c r="A1075" s="16"/>
      <c r="B1075" s="16"/>
      <c r="C1075" s="16"/>
      <c r="D1075" s="16"/>
      <c r="E1075" s="16">
        <f>IFERROR(__xludf.DUMMYFUNCTION("""COMPUTED_VALUE"""),1.0)</f>
        <v>1</v>
      </c>
      <c r="F1075" s="108">
        <f>IFERROR(__xludf.DUMMYFUNCTION("""COMPUTED_VALUE"""),0.0)</f>
        <v>0</v>
      </c>
      <c r="G1075" s="16"/>
      <c r="H1075" s="16"/>
      <c r="I1075" s="16"/>
      <c r="J1075" s="16"/>
      <c r="K1075" s="16"/>
      <c r="L1075" s="16"/>
      <c r="M1075" s="16"/>
      <c r="N1075" s="16"/>
      <c r="O1075" s="16"/>
      <c r="P1075" s="16"/>
      <c r="Q1075" s="16"/>
      <c r="R1075" s="16"/>
      <c r="S1075" s="16"/>
      <c r="T1075" s="16"/>
      <c r="U1075" s="16"/>
      <c r="V1075" s="16"/>
      <c r="W1075" s="16"/>
      <c r="X1075" s="16"/>
      <c r="Y1075" s="16"/>
      <c r="Z1075" s="16"/>
      <c r="AA1075" s="16"/>
      <c r="AB1075" s="16"/>
      <c r="AC1075" s="16"/>
      <c r="AD1075" s="16"/>
      <c r="AE1075" s="16"/>
      <c r="AF1075" s="16"/>
      <c r="AG1075" s="16"/>
      <c r="AH1075" s="16" t="b">
        <f>IFERROR(__xludf.DUMMYFUNCTION("""COMPUTED_VALUE"""),FALSE)</f>
        <v>0</v>
      </c>
    </row>
    <row r="1076">
      <c r="A1076" s="16"/>
      <c r="B1076" s="16"/>
      <c r="C1076" s="16"/>
      <c r="D1076" s="16"/>
      <c r="E1076" s="16">
        <f>IFERROR(__xludf.DUMMYFUNCTION("""COMPUTED_VALUE"""),1.0)</f>
        <v>1</v>
      </c>
      <c r="F1076" s="108">
        <f>IFERROR(__xludf.DUMMYFUNCTION("""COMPUTED_VALUE"""),0.0)</f>
        <v>0</v>
      </c>
      <c r="G1076" s="16"/>
      <c r="H1076" s="16"/>
      <c r="I1076" s="16"/>
      <c r="J1076" s="16"/>
      <c r="K1076" s="16"/>
      <c r="L1076" s="16"/>
      <c r="M1076" s="16"/>
      <c r="N1076" s="16"/>
      <c r="O1076" s="16"/>
      <c r="P1076" s="16"/>
      <c r="Q1076" s="16"/>
      <c r="R1076" s="16"/>
      <c r="S1076" s="16"/>
      <c r="T1076" s="16"/>
      <c r="U1076" s="16"/>
      <c r="V1076" s="16"/>
      <c r="W1076" s="16"/>
      <c r="X1076" s="16"/>
      <c r="Y1076" s="16"/>
      <c r="Z1076" s="16"/>
      <c r="AA1076" s="16"/>
      <c r="AB1076" s="16"/>
      <c r="AC1076" s="16"/>
      <c r="AD1076" s="16"/>
      <c r="AE1076" s="16"/>
      <c r="AF1076" s="16"/>
      <c r="AG1076" s="16"/>
      <c r="AH1076" s="16" t="b">
        <f>IFERROR(__xludf.DUMMYFUNCTION("""COMPUTED_VALUE"""),FALSE)</f>
        <v>0</v>
      </c>
    </row>
    <row r="1077">
      <c r="A1077" s="16"/>
      <c r="B1077" s="16"/>
      <c r="C1077" s="16"/>
      <c r="D1077" s="16"/>
      <c r="E1077" s="16">
        <f>IFERROR(__xludf.DUMMYFUNCTION("""COMPUTED_VALUE"""),1.0)</f>
        <v>1</v>
      </c>
      <c r="F1077" s="108">
        <f>IFERROR(__xludf.DUMMYFUNCTION("""COMPUTED_VALUE"""),0.0)</f>
        <v>0</v>
      </c>
      <c r="G1077" s="16"/>
      <c r="H1077" s="16"/>
      <c r="I1077" s="16"/>
      <c r="J1077" s="16"/>
      <c r="K1077" s="16"/>
      <c r="L1077" s="16"/>
      <c r="M1077" s="16"/>
      <c r="N1077" s="16"/>
      <c r="O1077" s="16"/>
      <c r="P1077" s="16"/>
      <c r="Q1077" s="16"/>
      <c r="R1077" s="16"/>
      <c r="S1077" s="16"/>
      <c r="T1077" s="16"/>
      <c r="U1077" s="16"/>
      <c r="V1077" s="16"/>
      <c r="W1077" s="16"/>
      <c r="X1077" s="16"/>
      <c r="Y1077" s="16"/>
      <c r="Z1077" s="16"/>
      <c r="AA1077" s="16"/>
      <c r="AB1077" s="16"/>
      <c r="AC1077" s="16"/>
      <c r="AD1077" s="16"/>
      <c r="AE1077" s="16"/>
      <c r="AF1077" s="16"/>
      <c r="AG1077" s="16"/>
      <c r="AH1077" s="16" t="b">
        <f>IFERROR(__xludf.DUMMYFUNCTION("""COMPUTED_VALUE"""),FALSE)</f>
        <v>0</v>
      </c>
    </row>
    <row r="1078">
      <c r="A1078" s="16"/>
      <c r="B1078" s="16"/>
      <c r="C1078" s="16"/>
      <c r="D1078" s="16"/>
      <c r="E1078" s="16">
        <f>IFERROR(__xludf.DUMMYFUNCTION("""COMPUTED_VALUE"""),1.0)</f>
        <v>1</v>
      </c>
      <c r="F1078" s="108">
        <f>IFERROR(__xludf.DUMMYFUNCTION("""COMPUTED_VALUE"""),0.0)</f>
        <v>0</v>
      </c>
      <c r="G1078" s="16"/>
      <c r="H1078" s="16"/>
      <c r="I1078" s="16"/>
      <c r="J1078" s="16"/>
      <c r="K1078" s="16"/>
      <c r="L1078" s="16"/>
      <c r="M1078" s="16"/>
      <c r="N1078" s="16"/>
      <c r="O1078" s="16"/>
      <c r="P1078" s="16"/>
      <c r="Q1078" s="16"/>
      <c r="R1078" s="16"/>
      <c r="S1078" s="16"/>
      <c r="T1078" s="16"/>
      <c r="U1078" s="16"/>
      <c r="V1078" s="16"/>
      <c r="W1078" s="16"/>
      <c r="X1078" s="16"/>
      <c r="Y1078" s="16"/>
      <c r="Z1078" s="16"/>
      <c r="AA1078" s="16"/>
      <c r="AB1078" s="16"/>
      <c r="AC1078" s="16"/>
      <c r="AD1078" s="16"/>
      <c r="AE1078" s="16"/>
      <c r="AF1078" s="16"/>
      <c r="AG1078" s="16"/>
      <c r="AH1078" s="16" t="b">
        <f>IFERROR(__xludf.DUMMYFUNCTION("""COMPUTED_VALUE"""),FALSE)</f>
        <v>0</v>
      </c>
    </row>
    <row r="1079">
      <c r="A1079" s="16"/>
      <c r="B1079" s="16"/>
      <c r="C1079" s="16"/>
      <c r="D1079" s="16"/>
      <c r="E1079" s="16">
        <f>IFERROR(__xludf.DUMMYFUNCTION("""COMPUTED_VALUE"""),1.0)</f>
        <v>1</v>
      </c>
      <c r="F1079" s="108">
        <f>IFERROR(__xludf.DUMMYFUNCTION("""COMPUTED_VALUE"""),0.0)</f>
        <v>0</v>
      </c>
      <c r="G1079" s="16"/>
      <c r="H1079" s="16"/>
      <c r="I1079" s="16"/>
      <c r="J1079" s="16"/>
      <c r="K1079" s="16"/>
      <c r="L1079" s="16"/>
      <c r="M1079" s="16"/>
      <c r="N1079" s="16"/>
      <c r="O1079" s="16"/>
      <c r="P1079" s="16"/>
      <c r="Q1079" s="16"/>
      <c r="R1079" s="16"/>
      <c r="S1079" s="16"/>
      <c r="T1079" s="16"/>
      <c r="U1079" s="16"/>
      <c r="V1079" s="16"/>
      <c r="W1079" s="16"/>
      <c r="X1079" s="16"/>
      <c r="Y1079" s="16"/>
      <c r="Z1079" s="16"/>
      <c r="AA1079" s="16"/>
      <c r="AB1079" s="16"/>
      <c r="AC1079" s="16"/>
      <c r="AD1079" s="16"/>
      <c r="AE1079" s="16"/>
      <c r="AF1079" s="16"/>
      <c r="AG1079" s="16"/>
      <c r="AH1079" s="16" t="b">
        <f>IFERROR(__xludf.DUMMYFUNCTION("""COMPUTED_VALUE"""),FALSE)</f>
        <v>0</v>
      </c>
    </row>
    <row r="1080">
      <c r="A1080" s="16"/>
      <c r="B1080" s="16"/>
      <c r="C1080" s="16"/>
      <c r="D1080" s="16"/>
      <c r="E1080" s="16">
        <f>IFERROR(__xludf.DUMMYFUNCTION("""COMPUTED_VALUE"""),1.0)</f>
        <v>1</v>
      </c>
      <c r="F1080" s="108">
        <f>IFERROR(__xludf.DUMMYFUNCTION("""COMPUTED_VALUE"""),0.0)</f>
        <v>0</v>
      </c>
      <c r="G1080" s="16"/>
      <c r="H1080" s="16"/>
      <c r="I1080" s="16"/>
      <c r="J1080" s="16"/>
      <c r="K1080" s="16"/>
      <c r="L1080" s="16"/>
      <c r="M1080" s="16"/>
      <c r="N1080" s="16"/>
      <c r="O1080" s="16"/>
      <c r="P1080" s="16"/>
      <c r="Q1080" s="16"/>
      <c r="R1080" s="16"/>
      <c r="S1080" s="16"/>
      <c r="T1080" s="16"/>
      <c r="U1080" s="16"/>
      <c r="V1080" s="16"/>
      <c r="W1080" s="16"/>
      <c r="X1080" s="16"/>
      <c r="Y1080" s="16"/>
      <c r="Z1080" s="16"/>
      <c r="AA1080" s="16"/>
      <c r="AB1080" s="16"/>
      <c r="AC1080" s="16"/>
      <c r="AD1080" s="16"/>
      <c r="AE1080" s="16"/>
      <c r="AF1080" s="16"/>
      <c r="AG1080" s="16"/>
      <c r="AH1080" s="16" t="b">
        <f>IFERROR(__xludf.DUMMYFUNCTION("""COMPUTED_VALUE"""),FALSE)</f>
        <v>0</v>
      </c>
    </row>
    <row r="1081">
      <c r="A1081" s="16"/>
      <c r="B1081" s="16"/>
      <c r="C1081" s="16"/>
      <c r="D1081" s="16"/>
      <c r="E1081" s="16">
        <f>IFERROR(__xludf.DUMMYFUNCTION("""COMPUTED_VALUE"""),1.0)</f>
        <v>1</v>
      </c>
      <c r="F1081" s="108">
        <f>IFERROR(__xludf.DUMMYFUNCTION("""COMPUTED_VALUE"""),0.0)</f>
        <v>0</v>
      </c>
      <c r="G1081" s="16"/>
      <c r="H1081" s="16"/>
      <c r="I1081" s="16"/>
      <c r="J1081" s="16"/>
      <c r="K1081" s="16"/>
      <c r="L1081" s="16"/>
      <c r="M1081" s="16"/>
      <c r="N1081" s="16"/>
      <c r="O1081" s="16"/>
      <c r="P1081" s="16"/>
      <c r="Q1081" s="16"/>
      <c r="R1081" s="16"/>
      <c r="S1081" s="16"/>
      <c r="T1081" s="16"/>
      <c r="U1081" s="16"/>
      <c r="V1081" s="16"/>
      <c r="W1081" s="16"/>
      <c r="X1081" s="16"/>
      <c r="Y1081" s="16"/>
      <c r="Z1081" s="16"/>
      <c r="AA1081" s="16"/>
      <c r="AB1081" s="16"/>
      <c r="AC1081" s="16"/>
      <c r="AD1081" s="16"/>
      <c r="AE1081" s="16"/>
      <c r="AF1081" s="16"/>
      <c r="AG1081" s="16"/>
      <c r="AH1081" s="16" t="b">
        <f>IFERROR(__xludf.DUMMYFUNCTION("""COMPUTED_VALUE"""),FALSE)</f>
        <v>0</v>
      </c>
    </row>
    <row r="1082">
      <c r="A1082" s="16"/>
      <c r="B1082" s="16"/>
      <c r="C1082" s="16"/>
      <c r="D1082" s="16"/>
      <c r="E1082" s="16">
        <f>IFERROR(__xludf.DUMMYFUNCTION("""COMPUTED_VALUE"""),1.0)</f>
        <v>1</v>
      </c>
      <c r="F1082" s="108">
        <f>IFERROR(__xludf.DUMMYFUNCTION("""COMPUTED_VALUE"""),0.0)</f>
        <v>0</v>
      </c>
      <c r="G1082" s="16"/>
      <c r="H1082" s="16"/>
      <c r="I1082" s="16"/>
      <c r="J1082" s="16"/>
      <c r="K1082" s="16"/>
      <c r="L1082" s="16"/>
      <c r="M1082" s="16"/>
      <c r="N1082" s="16"/>
      <c r="O1082" s="16"/>
      <c r="P1082" s="16"/>
      <c r="Q1082" s="16"/>
      <c r="R1082" s="16"/>
      <c r="S1082" s="16"/>
      <c r="T1082" s="16"/>
      <c r="U1082" s="16"/>
      <c r="V1082" s="16"/>
      <c r="W1082" s="16"/>
      <c r="X1082" s="16"/>
      <c r="Y1082" s="16"/>
      <c r="Z1082" s="16"/>
      <c r="AA1082" s="16"/>
      <c r="AB1082" s="16"/>
      <c r="AC1082" s="16"/>
      <c r="AD1082" s="16"/>
      <c r="AE1082" s="16"/>
      <c r="AF1082" s="16"/>
      <c r="AG1082" s="16"/>
      <c r="AH1082" s="16" t="b">
        <f>IFERROR(__xludf.DUMMYFUNCTION("""COMPUTED_VALUE"""),FALSE)</f>
        <v>0</v>
      </c>
    </row>
    <row r="1083">
      <c r="A1083" s="16"/>
      <c r="B1083" s="16"/>
      <c r="C1083" s="16"/>
      <c r="D1083" s="16"/>
      <c r="E1083" s="16">
        <f>IFERROR(__xludf.DUMMYFUNCTION("""COMPUTED_VALUE"""),1.0)</f>
        <v>1</v>
      </c>
      <c r="F1083" s="108">
        <f>IFERROR(__xludf.DUMMYFUNCTION("""COMPUTED_VALUE"""),0.0)</f>
        <v>0</v>
      </c>
      <c r="G1083" s="16"/>
      <c r="H1083" s="16"/>
      <c r="I1083" s="16"/>
      <c r="J1083" s="16"/>
      <c r="K1083" s="16"/>
      <c r="L1083" s="16"/>
      <c r="M1083" s="16"/>
      <c r="N1083" s="16"/>
      <c r="O1083" s="16"/>
      <c r="P1083" s="16"/>
      <c r="Q1083" s="16"/>
      <c r="R1083" s="16"/>
      <c r="S1083" s="16"/>
      <c r="T1083" s="16"/>
      <c r="U1083" s="16"/>
      <c r="V1083" s="16"/>
      <c r="W1083" s="16"/>
      <c r="X1083" s="16"/>
      <c r="Y1083" s="16"/>
      <c r="Z1083" s="16"/>
      <c r="AA1083" s="16"/>
      <c r="AB1083" s="16"/>
      <c r="AC1083" s="16"/>
      <c r="AD1083" s="16"/>
      <c r="AE1083" s="16"/>
      <c r="AF1083" s="16"/>
      <c r="AG1083" s="16"/>
      <c r="AH1083" s="16" t="b">
        <f>IFERROR(__xludf.DUMMYFUNCTION("""COMPUTED_VALUE"""),FALSE)</f>
        <v>0</v>
      </c>
    </row>
    <row r="1084">
      <c r="A1084" s="16"/>
      <c r="B1084" s="16"/>
      <c r="C1084" s="16"/>
      <c r="D1084" s="16"/>
      <c r="E1084" s="16">
        <f>IFERROR(__xludf.DUMMYFUNCTION("""COMPUTED_VALUE"""),1.0)</f>
        <v>1</v>
      </c>
      <c r="F1084" s="108">
        <f>IFERROR(__xludf.DUMMYFUNCTION("""COMPUTED_VALUE"""),0.0)</f>
        <v>0</v>
      </c>
      <c r="G1084" s="16"/>
      <c r="H1084" s="16"/>
      <c r="I1084" s="16"/>
      <c r="J1084" s="16"/>
      <c r="K1084" s="16"/>
      <c r="L1084" s="16"/>
      <c r="M1084" s="16"/>
      <c r="N1084" s="16"/>
      <c r="O1084" s="16"/>
      <c r="P1084" s="16"/>
      <c r="Q1084" s="16"/>
      <c r="R1084" s="16"/>
      <c r="S1084" s="16"/>
      <c r="T1084" s="16"/>
      <c r="U1084" s="16"/>
      <c r="V1084" s="16"/>
      <c r="W1084" s="16"/>
      <c r="X1084" s="16"/>
      <c r="Y1084" s="16"/>
      <c r="Z1084" s="16"/>
      <c r="AA1084" s="16"/>
      <c r="AB1084" s="16"/>
      <c r="AC1084" s="16"/>
      <c r="AD1084" s="16"/>
      <c r="AE1084" s="16"/>
      <c r="AF1084" s="16"/>
      <c r="AG1084" s="16"/>
      <c r="AH1084" s="16" t="b">
        <f>IFERROR(__xludf.DUMMYFUNCTION("""COMPUTED_VALUE"""),FALSE)</f>
        <v>0</v>
      </c>
    </row>
    <row r="1085">
      <c r="A1085" s="16"/>
      <c r="B1085" s="16"/>
      <c r="C1085" s="16"/>
      <c r="D1085" s="16"/>
      <c r="E1085" s="16">
        <f>IFERROR(__xludf.DUMMYFUNCTION("""COMPUTED_VALUE"""),1.0)</f>
        <v>1</v>
      </c>
      <c r="F1085" s="108">
        <f>IFERROR(__xludf.DUMMYFUNCTION("""COMPUTED_VALUE"""),0.0)</f>
        <v>0</v>
      </c>
      <c r="G1085" s="16"/>
      <c r="H1085" s="16"/>
      <c r="I1085" s="16"/>
      <c r="J1085" s="16"/>
      <c r="K1085" s="16"/>
      <c r="L1085" s="16"/>
      <c r="M1085" s="16"/>
      <c r="N1085" s="16"/>
      <c r="O1085" s="16"/>
      <c r="P1085" s="16"/>
      <c r="Q1085" s="16"/>
      <c r="R1085" s="16"/>
      <c r="S1085" s="16"/>
      <c r="T1085" s="16"/>
      <c r="U1085" s="16"/>
      <c r="V1085" s="16"/>
      <c r="W1085" s="16"/>
      <c r="X1085" s="16"/>
      <c r="Y1085" s="16"/>
      <c r="Z1085" s="16"/>
      <c r="AA1085" s="16"/>
      <c r="AB1085" s="16"/>
      <c r="AC1085" s="16"/>
      <c r="AD1085" s="16"/>
      <c r="AE1085" s="16"/>
      <c r="AF1085" s="16"/>
      <c r="AG1085" s="16"/>
      <c r="AH1085" s="16" t="b">
        <f>IFERROR(__xludf.DUMMYFUNCTION("""COMPUTED_VALUE"""),FALSE)</f>
        <v>0</v>
      </c>
    </row>
    <row r="1086">
      <c r="A1086" s="16"/>
      <c r="B1086" s="16"/>
      <c r="C1086" s="16"/>
      <c r="D1086" s="16"/>
      <c r="E1086" s="16">
        <f>IFERROR(__xludf.DUMMYFUNCTION("""COMPUTED_VALUE"""),1.0)</f>
        <v>1</v>
      </c>
      <c r="F1086" s="108">
        <f>IFERROR(__xludf.DUMMYFUNCTION("""COMPUTED_VALUE"""),0.0)</f>
        <v>0</v>
      </c>
      <c r="G1086" s="16"/>
      <c r="H1086" s="16"/>
      <c r="I1086" s="16"/>
      <c r="J1086" s="16"/>
      <c r="K1086" s="16"/>
      <c r="L1086" s="16"/>
      <c r="M1086" s="16"/>
      <c r="N1086" s="16"/>
      <c r="O1086" s="16"/>
      <c r="P1086" s="16"/>
      <c r="Q1086" s="16"/>
      <c r="R1086" s="16"/>
      <c r="S1086" s="16"/>
      <c r="T1086" s="16"/>
      <c r="U1086" s="16"/>
      <c r="V1086" s="16"/>
      <c r="W1086" s="16"/>
      <c r="X1086" s="16"/>
      <c r="Y1086" s="16"/>
      <c r="Z1086" s="16"/>
      <c r="AA1086" s="16"/>
      <c r="AB1086" s="16"/>
      <c r="AC1086" s="16"/>
      <c r="AD1086" s="16"/>
      <c r="AE1086" s="16"/>
      <c r="AF1086" s="16"/>
      <c r="AG1086" s="16"/>
      <c r="AH1086" s="16" t="b">
        <f>IFERROR(__xludf.DUMMYFUNCTION("""COMPUTED_VALUE"""),FALSE)</f>
        <v>0</v>
      </c>
    </row>
    <row r="1087">
      <c r="A1087" s="16"/>
      <c r="B1087" s="16"/>
      <c r="C1087" s="16"/>
      <c r="D1087" s="16"/>
      <c r="E1087" s="16">
        <f>IFERROR(__xludf.DUMMYFUNCTION("""COMPUTED_VALUE"""),1.0)</f>
        <v>1</v>
      </c>
      <c r="F1087" s="108">
        <f>IFERROR(__xludf.DUMMYFUNCTION("""COMPUTED_VALUE"""),0.0)</f>
        <v>0</v>
      </c>
      <c r="G1087" s="16"/>
      <c r="H1087" s="16"/>
      <c r="I1087" s="16"/>
      <c r="J1087" s="16"/>
      <c r="K1087" s="16"/>
      <c r="L1087" s="16"/>
      <c r="M1087" s="16"/>
      <c r="N1087" s="16"/>
      <c r="O1087" s="16"/>
      <c r="P1087" s="16"/>
      <c r="Q1087" s="16"/>
      <c r="R1087" s="16"/>
      <c r="S1087" s="16"/>
      <c r="T1087" s="16"/>
      <c r="U1087" s="16"/>
      <c r="V1087" s="16"/>
      <c r="W1087" s="16"/>
      <c r="X1087" s="16"/>
      <c r="Y1087" s="16"/>
      <c r="Z1087" s="16"/>
      <c r="AA1087" s="16"/>
      <c r="AB1087" s="16"/>
      <c r="AC1087" s="16"/>
      <c r="AD1087" s="16"/>
      <c r="AE1087" s="16"/>
      <c r="AF1087" s="16"/>
      <c r="AG1087" s="16"/>
      <c r="AH1087" s="16" t="b">
        <f>IFERROR(__xludf.DUMMYFUNCTION("""COMPUTED_VALUE"""),FALSE)</f>
        <v>0</v>
      </c>
    </row>
    <row r="1088">
      <c r="A1088" s="16"/>
      <c r="B1088" s="16"/>
      <c r="C1088" s="16"/>
      <c r="D1088" s="16"/>
      <c r="E1088" s="16">
        <f>IFERROR(__xludf.DUMMYFUNCTION("""COMPUTED_VALUE"""),1.0)</f>
        <v>1</v>
      </c>
      <c r="F1088" s="108">
        <f>IFERROR(__xludf.DUMMYFUNCTION("""COMPUTED_VALUE"""),0.0)</f>
        <v>0</v>
      </c>
      <c r="G1088" s="16"/>
      <c r="H1088" s="16"/>
      <c r="I1088" s="16"/>
      <c r="J1088" s="16"/>
      <c r="K1088" s="16"/>
      <c r="L1088" s="16"/>
      <c r="M1088" s="16"/>
      <c r="N1088" s="16"/>
      <c r="O1088" s="16"/>
      <c r="P1088" s="16"/>
      <c r="Q1088" s="16"/>
      <c r="R1088" s="16"/>
      <c r="S1088" s="16"/>
      <c r="T1088" s="16"/>
      <c r="U1088" s="16"/>
      <c r="V1088" s="16"/>
      <c r="W1088" s="16"/>
      <c r="X1088" s="16"/>
      <c r="Y1088" s="16"/>
      <c r="Z1088" s="16"/>
      <c r="AA1088" s="16"/>
      <c r="AB1088" s="16"/>
      <c r="AC1088" s="16"/>
      <c r="AD1088" s="16"/>
      <c r="AE1088" s="16"/>
      <c r="AF1088" s="16"/>
      <c r="AG1088" s="16"/>
      <c r="AH1088" s="16" t="b">
        <f>IFERROR(__xludf.DUMMYFUNCTION("""COMPUTED_VALUE"""),FALSE)</f>
        <v>0</v>
      </c>
    </row>
    <row r="1089">
      <c r="A1089" s="16"/>
      <c r="B1089" s="16"/>
      <c r="C1089" s="16"/>
      <c r="D1089" s="16"/>
      <c r="E1089" s="16">
        <f>IFERROR(__xludf.DUMMYFUNCTION("""COMPUTED_VALUE"""),1.0)</f>
        <v>1</v>
      </c>
      <c r="F1089" s="108">
        <f>IFERROR(__xludf.DUMMYFUNCTION("""COMPUTED_VALUE"""),0.0)</f>
        <v>0</v>
      </c>
      <c r="G1089" s="16"/>
      <c r="H1089" s="16"/>
      <c r="I1089" s="16"/>
      <c r="J1089" s="16"/>
      <c r="K1089" s="16"/>
      <c r="L1089" s="16"/>
      <c r="M1089" s="16"/>
      <c r="N1089" s="16"/>
      <c r="O1089" s="16"/>
      <c r="P1089" s="16"/>
      <c r="Q1089" s="16"/>
      <c r="R1089" s="16"/>
      <c r="S1089" s="16"/>
      <c r="T1089" s="16"/>
      <c r="U1089" s="16"/>
      <c r="V1089" s="16"/>
      <c r="W1089" s="16"/>
      <c r="X1089" s="16"/>
      <c r="Y1089" s="16"/>
      <c r="Z1089" s="16"/>
      <c r="AA1089" s="16"/>
      <c r="AB1089" s="16"/>
      <c r="AC1089" s="16"/>
      <c r="AD1089" s="16"/>
      <c r="AE1089" s="16"/>
      <c r="AF1089" s="16"/>
      <c r="AG1089" s="16"/>
      <c r="AH1089" s="16" t="b">
        <f>IFERROR(__xludf.DUMMYFUNCTION("""COMPUTED_VALUE"""),FALSE)</f>
        <v>0</v>
      </c>
    </row>
    <row r="1090">
      <c r="A1090" s="16"/>
      <c r="B1090" s="16"/>
      <c r="C1090" s="16"/>
      <c r="D1090" s="16"/>
      <c r="E1090" s="16">
        <f>IFERROR(__xludf.DUMMYFUNCTION("""COMPUTED_VALUE"""),1.0)</f>
        <v>1</v>
      </c>
      <c r="F1090" s="108">
        <f>IFERROR(__xludf.DUMMYFUNCTION("""COMPUTED_VALUE"""),0.0)</f>
        <v>0</v>
      </c>
      <c r="G1090" s="16"/>
      <c r="H1090" s="16"/>
      <c r="I1090" s="16"/>
      <c r="J1090" s="16"/>
      <c r="K1090" s="16"/>
      <c r="L1090" s="16"/>
      <c r="M1090" s="16"/>
      <c r="N1090" s="16"/>
      <c r="O1090" s="16"/>
      <c r="P1090" s="16"/>
      <c r="Q1090" s="16"/>
      <c r="R1090" s="16"/>
      <c r="S1090" s="16"/>
      <c r="T1090" s="16"/>
      <c r="U1090" s="16"/>
      <c r="V1090" s="16"/>
      <c r="W1090" s="16"/>
      <c r="X1090" s="16"/>
      <c r="Y1090" s="16"/>
      <c r="Z1090" s="16"/>
      <c r="AA1090" s="16"/>
      <c r="AB1090" s="16"/>
      <c r="AC1090" s="16"/>
      <c r="AD1090" s="16"/>
      <c r="AE1090" s="16"/>
      <c r="AF1090" s="16"/>
      <c r="AG1090" s="16"/>
      <c r="AH1090" s="16" t="b">
        <f>IFERROR(__xludf.DUMMYFUNCTION("""COMPUTED_VALUE"""),FALSE)</f>
        <v>0</v>
      </c>
    </row>
    <row r="1091">
      <c r="A1091" s="16"/>
      <c r="B1091" s="16"/>
      <c r="C1091" s="16"/>
      <c r="D1091" s="16"/>
      <c r="E1091" s="16">
        <f>IFERROR(__xludf.DUMMYFUNCTION("""COMPUTED_VALUE"""),1.0)</f>
        <v>1</v>
      </c>
      <c r="F1091" s="108">
        <f>IFERROR(__xludf.DUMMYFUNCTION("""COMPUTED_VALUE"""),0.0)</f>
        <v>0</v>
      </c>
      <c r="G1091" s="16"/>
      <c r="H1091" s="16"/>
      <c r="I1091" s="16"/>
      <c r="J1091" s="16"/>
      <c r="K1091" s="16"/>
      <c r="L1091" s="16"/>
      <c r="M1091" s="16"/>
      <c r="N1091" s="16"/>
      <c r="O1091" s="16"/>
      <c r="P1091" s="16"/>
      <c r="Q1091" s="16"/>
      <c r="R1091" s="16"/>
      <c r="S1091" s="16"/>
      <c r="T1091" s="16"/>
      <c r="U1091" s="16"/>
      <c r="V1091" s="16"/>
      <c r="W1091" s="16"/>
      <c r="X1091" s="16"/>
      <c r="Y1091" s="16"/>
      <c r="Z1091" s="16"/>
      <c r="AA1091" s="16"/>
      <c r="AB1091" s="16"/>
      <c r="AC1091" s="16"/>
      <c r="AD1091" s="16"/>
      <c r="AE1091" s="16"/>
      <c r="AF1091" s="16"/>
      <c r="AG1091" s="16"/>
      <c r="AH1091" s="16" t="b">
        <f>IFERROR(__xludf.DUMMYFUNCTION("""COMPUTED_VALUE"""),FALSE)</f>
        <v>0</v>
      </c>
    </row>
    <row r="1092">
      <c r="A1092" s="16"/>
      <c r="B1092" s="16"/>
      <c r="C1092" s="16"/>
      <c r="D1092" s="16"/>
      <c r="E1092" s="16">
        <f>IFERROR(__xludf.DUMMYFUNCTION("""COMPUTED_VALUE"""),1.0)</f>
        <v>1</v>
      </c>
      <c r="F1092" s="108">
        <f>IFERROR(__xludf.DUMMYFUNCTION("""COMPUTED_VALUE"""),0.0)</f>
        <v>0</v>
      </c>
      <c r="G1092" s="16"/>
      <c r="H1092" s="16"/>
      <c r="I1092" s="16"/>
      <c r="J1092" s="16"/>
      <c r="K1092" s="16"/>
      <c r="L1092" s="16"/>
      <c r="M1092" s="16"/>
      <c r="N1092" s="16"/>
      <c r="O1092" s="16"/>
      <c r="P1092" s="16"/>
      <c r="Q1092" s="16"/>
      <c r="R1092" s="16"/>
      <c r="S1092" s="16"/>
      <c r="T1092" s="16"/>
      <c r="U1092" s="16"/>
      <c r="V1092" s="16"/>
      <c r="W1092" s="16"/>
      <c r="X1092" s="16"/>
      <c r="Y1092" s="16"/>
      <c r="Z1092" s="16"/>
      <c r="AA1092" s="16"/>
      <c r="AB1092" s="16"/>
      <c r="AC1092" s="16"/>
      <c r="AD1092" s="16"/>
      <c r="AE1092" s="16"/>
      <c r="AF1092" s="16"/>
      <c r="AG1092" s="16"/>
      <c r="AH1092" s="16" t="b">
        <f>IFERROR(__xludf.DUMMYFUNCTION("""COMPUTED_VALUE"""),FALSE)</f>
        <v>0</v>
      </c>
    </row>
    <row r="1093">
      <c r="A1093" s="16"/>
      <c r="B1093" s="16"/>
      <c r="C1093" s="16"/>
      <c r="D1093" s="16"/>
      <c r="E1093" s="16">
        <f>IFERROR(__xludf.DUMMYFUNCTION("""COMPUTED_VALUE"""),1.0)</f>
        <v>1</v>
      </c>
      <c r="F1093" s="108">
        <f>IFERROR(__xludf.DUMMYFUNCTION("""COMPUTED_VALUE"""),0.0)</f>
        <v>0</v>
      </c>
      <c r="G1093" s="16"/>
      <c r="H1093" s="16"/>
      <c r="I1093" s="16"/>
      <c r="J1093" s="16"/>
      <c r="K1093" s="16"/>
      <c r="L1093" s="16"/>
      <c r="M1093" s="16"/>
      <c r="N1093" s="16"/>
      <c r="O1093" s="16"/>
      <c r="P1093" s="16"/>
      <c r="Q1093" s="16"/>
      <c r="R1093" s="16"/>
      <c r="S1093" s="16"/>
      <c r="T1093" s="16"/>
      <c r="U1093" s="16"/>
      <c r="V1093" s="16"/>
      <c r="W1093" s="16"/>
      <c r="X1093" s="16"/>
      <c r="Y1093" s="16"/>
      <c r="Z1093" s="16"/>
      <c r="AA1093" s="16"/>
      <c r="AB1093" s="16"/>
      <c r="AC1093" s="16"/>
      <c r="AD1093" s="16"/>
      <c r="AE1093" s="16"/>
      <c r="AF1093" s="16"/>
      <c r="AG1093" s="16"/>
      <c r="AH1093" s="16" t="b">
        <f>IFERROR(__xludf.DUMMYFUNCTION("""COMPUTED_VALUE"""),FALSE)</f>
        <v>0</v>
      </c>
    </row>
    <row r="1094">
      <c r="A1094" s="16"/>
      <c r="B1094" s="16"/>
      <c r="C1094" s="16"/>
      <c r="D1094" s="16"/>
      <c r="E1094" s="16">
        <f>IFERROR(__xludf.DUMMYFUNCTION("""COMPUTED_VALUE"""),1.0)</f>
        <v>1</v>
      </c>
      <c r="F1094" s="108">
        <f>IFERROR(__xludf.DUMMYFUNCTION("""COMPUTED_VALUE"""),0.0)</f>
        <v>0</v>
      </c>
      <c r="G1094" s="16"/>
      <c r="H1094" s="16"/>
      <c r="I1094" s="16"/>
      <c r="J1094" s="16"/>
      <c r="K1094" s="16"/>
      <c r="L1094" s="16"/>
      <c r="M1094" s="16"/>
      <c r="N1094" s="16"/>
      <c r="O1094" s="16"/>
      <c r="P1094" s="16"/>
      <c r="Q1094" s="16"/>
      <c r="R1094" s="16"/>
      <c r="S1094" s="16"/>
      <c r="T1094" s="16"/>
      <c r="U1094" s="16"/>
      <c r="V1094" s="16"/>
      <c r="W1094" s="16"/>
      <c r="X1094" s="16"/>
      <c r="Y1094" s="16"/>
      <c r="Z1094" s="16"/>
      <c r="AA1094" s="16"/>
      <c r="AB1094" s="16"/>
      <c r="AC1094" s="16"/>
      <c r="AD1094" s="16"/>
      <c r="AE1094" s="16"/>
      <c r="AF1094" s="16"/>
      <c r="AG1094" s="16"/>
      <c r="AH1094" s="16" t="b">
        <f>IFERROR(__xludf.DUMMYFUNCTION("""COMPUTED_VALUE"""),FALSE)</f>
        <v>0</v>
      </c>
    </row>
    <row r="1095">
      <c r="A1095" s="16"/>
      <c r="B1095" s="16"/>
      <c r="C1095" s="16"/>
      <c r="D1095" s="16"/>
      <c r="E1095" s="16">
        <f>IFERROR(__xludf.DUMMYFUNCTION("""COMPUTED_VALUE"""),1.0)</f>
        <v>1</v>
      </c>
      <c r="F1095" s="108">
        <f>IFERROR(__xludf.DUMMYFUNCTION("""COMPUTED_VALUE"""),0.0)</f>
        <v>0</v>
      </c>
      <c r="G1095" s="16"/>
      <c r="H1095" s="16"/>
      <c r="I1095" s="16"/>
      <c r="J1095" s="16"/>
      <c r="K1095" s="16"/>
      <c r="L1095" s="16"/>
      <c r="M1095" s="16"/>
      <c r="N1095" s="16"/>
      <c r="O1095" s="16"/>
      <c r="P1095" s="16"/>
      <c r="Q1095" s="16"/>
      <c r="R1095" s="16"/>
      <c r="S1095" s="16"/>
      <c r="T1095" s="16"/>
      <c r="U1095" s="16"/>
      <c r="V1095" s="16"/>
      <c r="W1095" s="16"/>
      <c r="X1095" s="16"/>
      <c r="Y1095" s="16"/>
      <c r="Z1095" s="16"/>
      <c r="AA1095" s="16"/>
      <c r="AB1095" s="16"/>
      <c r="AC1095" s="16"/>
      <c r="AD1095" s="16"/>
      <c r="AE1095" s="16"/>
      <c r="AF1095" s="16"/>
      <c r="AG1095" s="16"/>
      <c r="AH1095" s="16" t="b">
        <f>IFERROR(__xludf.DUMMYFUNCTION("""COMPUTED_VALUE"""),FALSE)</f>
        <v>0</v>
      </c>
    </row>
    <row r="1096">
      <c r="A1096" s="16"/>
      <c r="B1096" s="16"/>
      <c r="C1096" s="16"/>
      <c r="D1096" s="16"/>
      <c r="E1096" s="16">
        <f>IFERROR(__xludf.DUMMYFUNCTION("""COMPUTED_VALUE"""),1.0)</f>
        <v>1</v>
      </c>
      <c r="F1096" s="108">
        <f>IFERROR(__xludf.DUMMYFUNCTION("""COMPUTED_VALUE"""),0.0)</f>
        <v>0</v>
      </c>
      <c r="G1096" s="16"/>
      <c r="H1096" s="16"/>
      <c r="I1096" s="16"/>
      <c r="J1096" s="16"/>
      <c r="K1096" s="16"/>
      <c r="L1096" s="16"/>
      <c r="M1096" s="16"/>
      <c r="N1096" s="16"/>
      <c r="O1096" s="16"/>
      <c r="P1096" s="16"/>
      <c r="Q1096" s="16"/>
      <c r="R1096" s="16"/>
      <c r="S1096" s="16"/>
      <c r="T1096" s="16"/>
      <c r="U1096" s="16"/>
      <c r="V1096" s="16"/>
      <c r="W1096" s="16"/>
      <c r="X1096" s="16"/>
      <c r="Y1096" s="16"/>
      <c r="Z1096" s="16"/>
      <c r="AA1096" s="16"/>
      <c r="AB1096" s="16"/>
      <c r="AC1096" s="16"/>
      <c r="AD1096" s="16"/>
      <c r="AE1096" s="16"/>
      <c r="AF1096" s="16"/>
      <c r="AG1096" s="16"/>
      <c r="AH1096" s="16" t="b">
        <f>IFERROR(__xludf.DUMMYFUNCTION("""COMPUTED_VALUE"""),FALSE)</f>
        <v>0</v>
      </c>
    </row>
    <row r="1097">
      <c r="A1097" s="16"/>
      <c r="B1097" s="16"/>
      <c r="C1097" s="16"/>
      <c r="D1097" s="16"/>
      <c r="E1097" s="16">
        <f>IFERROR(__xludf.DUMMYFUNCTION("""COMPUTED_VALUE"""),1.0)</f>
        <v>1</v>
      </c>
      <c r="F1097" s="108">
        <f>IFERROR(__xludf.DUMMYFUNCTION("""COMPUTED_VALUE"""),0.0)</f>
        <v>0</v>
      </c>
      <c r="G1097" s="16"/>
      <c r="H1097" s="16"/>
      <c r="I1097" s="16"/>
      <c r="J1097" s="16"/>
      <c r="K1097" s="16"/>
      <c r="L1097" s="16"/>
      <c r="M1097" s="16"/>
      <c r="N1097" s="16"/>
      <c r="O1097" s="16"/>
      <c r="P1097" s="16"/>
      <c r="Q1097" s="16"/>
      <c r="R1097" s="16"/>
      <c r="S1097" s="16"/>
      <c r="T1097" s="16"/>
      <c r="U1097" s="16"/>
      <c r="V1097" s="16"/>
      <c r="W1097" s="16"/>
      <c r="X1097" s="16"/>
      <c r="Y1097" s="16"/>
      <c r="Z1097" s="16"/>
      <c r="AA1097" s="16"/>
      <c r="AB1097" s="16"/>
      <c r="AC1097" s="16"/>
      <c r="AD1097" s="16"/>
      <c r="AE1097" s="16"/>
      <c r="AF1097" s="16"/>
      <c r="AG1097" s="16"/>
      <c r="AH1097" s="16" t="b">
        <f>IFERROR(__xludf.DUMMYFUNCTION("""COMPUTED_VALUE"""),FALSE)</f>
        <v>0</v>
      </c>
    </row>
    <row r="1098">
      <c r="A1098" s="16"/>
      <c r="B1098" s="16"/>
      <c r="C1098" s="16"/>
      <c r="D1098" s="16"/>
      <c r="E1098" s="16">
        <f>IFERROR(__xludf.DUMMYFUNCTION("""COMPUTED_VALUE"""),1.0)</f>
        <v>1</v>
      </c>
      <c r="F1098" s="108">
        <f>IFERROR(__xludf.DUMMYFUNCTION("""COMPUTED_VALUE"""),0.0)</f>
        <v>0</v>
      </c>
      <c r="G1098" s="16"/>
      <c r="H1098" s="16"/>
      <c r="I1098" s="16"/>
      <c r="J1098" s="16"/>
      <c r="K1098" s="16"/>
      <c r="L1098" s="16"/>
      <c r="M1098" s="16"/>
      <c r="N1098" s="16"/>
      <c r="O1098" s="16"/>
      <c r="P1098" s="16"/>
      <c r="Q1098" s="16"/>
      <c r="R1098" s="16"/>
      <c r="S1098" s="16"/>
      <c r="T1098" s="16"/>
      <c r="U1098" s="16"/>
      <c r="V1098" s="16"/>
      <c r="W1098" s="16"/>
      <c r="X1098" s="16"/>
      <c r="Y1098" s="16"/>
      <c r="Z1098" s="16"/>
      <c r="AA1098" s="16"/>
      <c r="AB1098" s="16"/>
      <c r="AC1098" s="16"/>
      <c r="AD1098" s="16"/>
      <c r="AE1098" s="16"/>
      <c r="AF1098" s="16"/>
      <c r="AG1098" s="16"/>
      <c r="AH1098" s="16" t="b">
        <f>IFERROR(__xludf.DUMMYFUNCTION("""COMPUTED_VALUE"""),FALSE)</f>
        <v>0</v>
      </c>
    </row>
    <row r="1099">
      <c r="A1099" s="16"/>
      <c r="B1099" s="16"/>
      <c r="C1099" s="16"/>
      <c r="D1099" s="16"/>
      <c r="E1099" s="16">
        <f>IFERROR(__xludf.DUMMYFUNCTION("""COMPUTED_VALUE"""),1.0)</f>
        <v>1</v>
      </c>
      <c r="F1099" s="108">
        <f>IFERROR(__xludf.DUMMYFUNCTION("""COMPUTED_VALUE"""),0.0)</f>
        <v>0</v>
      </c>
      <c r="G1099" s="16"/>
      <c r="H1099" s="16"/>
      <c r="I1099" s="16"/>
      <c r="J1099" s="16"/>
      <c r="K1099" s="16"/>
      <c r="L1099" s="16"/>
      <c r="M1099" s="16"/>
      <c r="N1099" s="16"/>
      <c r="O1099" s="16"/>
      <c r="P1099" s="16"/>
      <c r="Q1099" s="16"/>
      <c r="R1099" s="16"/>
      <c r="S1099" s="16"/>
      <c r="T1099" s="16"/>
      <c r="U1099" s="16"/>
      <c r="V1099" s="16"/>
      <c r="W1099" s="16"/>
      <c r="X1099" s="16"/>
      <c r="Y1099" s="16"/>
      <c r="Z1099" s="16"/>
      <c r="AA1099" s="16"/>
      <c r="AB1099" s="16"/>
      <c r="AC1099" s="16"/>
      <c r="AD1099" s="16"/>
      <c r="AE1099" s="16"/>
      <c r="AF1099" s="16"/>
      <c r="AG1099" s="16"/>
      <c r="AH1099" s="16" t="b">
        <f>IFERROR(__xludf.DUMMYFUNCTION("""COMPUTED_VALUE"""),FALSE)</f>
        <v>0</v>
      </c>
    </row>
    <row r="1100">
      <c r="A1100" s="16"/>
      <c r="B1100" s="16"/>
      <c r="C1100" s="16"/>
      <c r="D1100" s="16"/>
      <c r="E1100" s="16">
        <f>IFERROR(__xludf.DUMMYFUNCTION("""COMPUTED_VALUE"""),1.0)</f>
        <v>1</v>
      </c>
      <c r="F1100" s="108">
        <f>IFERROR(__xludf.DUMMYFUNCTION("""COMPUTED_VALUE"""),0.0)</f>
        <v>0</v>
      </c>
      <c r="G1100" s="16"/>
      <c r="H1100" s="16"/>
      <c r="I1100" s="16"/>
      <c r="J1100" s="16"/>
      <c r="K1100" s="16"/>
      <c r="L1100" s="16"/>
      <c r="M1100" s="16"/>
      <c r="N1100" s="16"/>
      <c r="O1100" s="16"/>
      <c r="P1100" s="16"/>
      <c r="Q1100" s="16"/>
      <c r="R1100" s="16"/>
      <c r="S1100" s="16"/>
      <c r="T1100" s="16"/>
      <c r="U1100" s="16"/>
      <c r="V1100" s="16"/>
      <c r="W1100" s="16"/>
      <c r="X1100" s="16"/>
      <c r="Y1100" s="16"/>
      <c r="Z1100" s="16"/>
      <c r="AA1100" s="16"/>
      <c r="AB1100" s="16"/>
      <c r="AC1100" s="16"/>
      <c r="AD1100" s="16"/>
      <c r="AE1100" s="16"/>
      <c r="AF1100" s="16"/>
      <c r="AG1100" s="16"/>
      <c r="AH1100" s="16" t="b">
        <f>IFERROR(__xludf.DUMMYFUNCTION("""COMPUTED_VALUE"""),FALSE)</f>
        <v>0</v>
      </c>
    </row>
    <row r="1101">
      <c r="A1101" s="16"/>
      <c r="B1101" s="16"/>
      <c r="C1101" s="16"/>
      <c r="D1101" s="16"/>
      <c r="E1101" s="16">
        <f>IFERROR(__xludf.DUMMYFUNCTION("""COMPUTED_VALUE"""),1.0)</f>
        <v>1</v>
      </c>
      <c r="F1101" s="108">
        <f>IFERROR(__xludf.DUMMYFUNCTION("""COMPUTED_VALUE"""),0.0)</f>
        <v>0</v>
      </c>
      <c r="G1101" s="16"/>
      <c r="H1101" s="16"/>
      <c r="I1101" s="16"/>
      <c r="J1101" s="16"/>
      <c r="K1101" s="16"/>
      <c r="L1101" s="16"/>
      <c r="M1101" s="16"/>
      <c r="N1101" s="16"/>
      <c r="O1101" s="16"/>
      <c r="P1101" s="16"/>
      <c r="Q1101" s="16"/>
      <c r="R1101" s="16"/>
      <c r="S1101" s="16"/>
      <c r="T1101" s="16"/>
      <c r="U1101" s="16"/>
      <c r="V1101" s="16"/>
      <c r="W1101" s="16"/>
      <c r="X1101" s="16"/>
      <c r="Y1101" s="16"/>
      <c r="Z1101" s="16"/>
      <c r="AA1101" s="16"/>
      <c r="AB1101" s="16"/>
      <c r="AC1101" s="16"/>
      <c r="AD1101" s="16"/>
      <c r="AE1101" s="16"/>
      <c r="AF1101" s="16"/>
      <c r="AG1101" s="16"/>
      <c r="AH1101" s="16" t="b">
        <f>IFERROR(__xludf.DUMMYFUNCTION("""COMPUTED_VALUE"""),FALSE)</f>
        <v>0</v>
      </c>
    </row>
    <row r="1102">
      <c r="A1102" s="16"/>
      <c r="B1102" s="16"/>
      <c r="C1102" s="16"/>
      <c r="D1102" s="16"/>
      <c r="E1102" s="16">
        <f>IFERROR(__xludf.DUMMYFUNCTION("""COMPUTED_VALUE"""),1.0)</f>
        <v>1</v>
      </c>
      <c r="F1102" s="108">
        <f>IFERROR(__xludf.DUMMYFUNCTION("""COMPUTED_VALUE"""),0.0)</f>
        <v>0</v>
      </c>
      <c r="G1102" s="16"/>
      <c r="H1102" s="16"/>
      <c r="I1102" s="16"/>
      <c r="J1102" s="16"/>
      <c r="K1102" s="16"/>
      <c r="L1102" s="16"/>
      <c r="M1102" s="16"/>
      <c r="N1102" s="16"/>
      <c r="O1102" s="16"/>
      <c r="P1102" s="16"/>
      <c r="Q1102" s="16"/>
      <c r="R1102" s="16"/>
      <c r="S1102" s="16"/>
      <c r="T1102" s="16"/>
      <c r="U1102" s="16"/>
      <c r="V1102" s="16"/>
      <c r="W1102" s="16"/>
      <c r="X1102" s="16"/>
      <c r="Y1102" s="16"/>
      <c r="Z1102" s="16"/>
      <c r="AA1102" s="16"/>
      <c r="AB1102" s="16"/>
      <c r="AC1102" s="16"/>
      <c r="AD1102" s="16"/>
      <c r="AE1102" s="16"/>
      <c r="AF1102" s="16"/>
      <c r="AG1102" s="16"/>
      <c r="AH1102" s="16" t="b">
        <f>IFERROR(__xludf.DUMMYFUNCTION("""COMPUTED_VALUE"""),FALSE)</f>
        <v>0</v>
      </c>
    </row>
    <row r="1103">
      <c r="A1103" s="16"/>
      <c r="B1103" s="16"/>
      <c r="C1103" s="16"/>
      <c r="D1103" s="16"/>
      <c r="E1103" s="16">
        <f>IFERROR(__xludf.DUMMYFUNCTION("""COMPUTED_VALUE"""),1.0)</f>
        <v>1</v>
      </c>
      <c r="F1103" s="108">
        <f>IFERROR(__xludf.DUMMYFUNCTION("""COMPUTED_VALUE"""),0.0)</f>
        <v>0</v>
      </c>
      <c r="G1103" s="16"/>
      <c r="H1103" s="16"/>
      <c r="I1103" s="16"/>
      <c r="J1103" s="16"/>
      <c r="K1103" s="16"/>
      <c r="L1103" s="16"/>
      <c r="M1103" s="16"/>
      <c r="N1103" s="16"/>
      <c r="O1103" s="16"/>
      <c r="P1103" s="16"/>
      <c r="Q1103" s="16"/>
      <c r="R1103" s="16"/>
      <c r="S1103" s="16"/>
      <c r="T1103" s="16"/>
      <c r="U1103" s="16"/>
      <c r="V1103" s="16"/>
      <c r="W1103" s="16"/>
      <c r="X1103" s="16"/>
      <c r="Y1103" s="16"/>
      <c r="Z1103" s="16"/>
      <c r="AA1103" s="16"/>
      <c r="AB1103" s="16"/>
      <c r="AC1103" s="16"/>
      <c r="AD1103" s="16"/>
      <c r="AE1103" s="16"/>
      <c r="AF1103" s="16"/>
      <c r="AG1103" s="16"/>
      <c r="AH1103" s="16" t="b">
        <f>IFERROR(__xludf.DUMMYFUNCTION("""COMPUTED_VALUE"""),FALSE)</f>
        <v>0</v>
      </c>
    </row>
    <row r="1104">
      <c r="A1104" s="16"/>
      <c r="B1104" s="16"/>
      <c r="C1104" s="16"/>
      <c r="D1104" s="16"/>
      <c r="E1104" s="16">
        <f>IFERROR(__xludf.DUMMYFUNCTION("""COMPUTED_VALUE"""),1.0)</f>
        <v>1</v>
      </c>
      <c r="F1104" s="108">
        <f>IFERROR(__xludf.DUMMYFUNCTION("""COMPUTED_VALUE"""),0.0)</f>
        <v>0</v>
      </c>
      <c r="G1104" s="16"/>
      <c r="H1104" s="16"/>
      <c r="I1104" s="16"/>
      <c r="J1104" s="16"/>
      <c r="K1104" s="16"/>
      <c r="L1104" s="16"/>
      <c r="M1104" s="16"/>
      <c r="N1104" s="16"/>
      <c r="O1104" s="16"/>
      <c r="P1104" s="16"/>
      <c r="Q1104" s="16"/>
      <c r="R1104" s="16"/>
      <c r="S1104" s="16"/>
      <c r="T1104" s="16"/>
      <c r="U1104" s="16"/>
      <c r="V1104" s="16"/>
      <c r="W1104" s="16"/>
      <c r="X1104" s="16"/>
      <c r="Y1104" s="16"/>
      <c r="Z1104" s="16"/>
      <c r="AA1104" s="16"/>
      <c r="AB1104" s="16"/>
      <c r="AC1104" s="16"/>
      <c r="AD1104" s="16"/>
      <c r="AE1104" s="16"/>
      <c r="AF1104" s="16"/>
      <c r="AG1104" s="16"/>
      <c r="AH1104" s="16" t="b">
        <f>IFERROR(__xludf.DUMMYFUNCTION("""COMPUTED_VALUE"""),FALSE)</f>
        <v>0</v>
      </c>
    </row>
    <row r="1105">
      <c r="A1105" s="16"/>
      <c r="B1105" s="16"/>
      <c r="C1105" s="16"/>
      <c r="D1105" s="16"/>
      <c r="E1105" s="16">
        <f>IFERROR(__xludf.DUMMYFUNCTION("""COMPUTED_VALUE"""),1.0)</f>
        <v>1</v>
      </c>
      <c r="F1105" s="108">
        <f>IFERROR(__xludf.DUMMYFUNCTION("""COMPUTED_VALUE"""),0.0)</f>
        <v>0</v>
      </c>
      <c r="G1105" s="16"/>
      <c r="H1105" s="16"/>
      <c r="I1105" s="16"/>
      <c r="J1105" s="16"/>
      <c r="K1105" s="16"/>
      <c r="L1105" s="16"/>
      <c r="M1105" s="16"/>
      <c r="N1105" s="16"/>
      <c r="O1105" s="16"/>
      <c r="P1105" s="16"/>
      <c r="Q1105" s="16"/>
      <c r="R1105" s="16"/>
      <c r="S1105" s="16"/>
      <c r="T1105" s="16"/>
      <c r="U1105" s="16"/>
      <c r="V1105" s="16"/>
      <c r="W1105" s="16"/>
      <c r="X1105" s="16"/>
      <c r="Y1105" s="16"/>
      <c r="Z1105" s="16"/>
      <c r="AA1105" s="16"/>
      <c r="AB1105" s="16"/>
      <c r="AC1105" s="16"/>
      <c r="AD1105" s="16"/>
      <c r="AE1105" s="16"/>
      <c r="AF1105" s="16"/>
      <c r="AG1105" s="16"/>
      <c r="AH1105" s="16" t="b">
        <f>IFERROR(__xludf.DUMMYFUNCTION("""COMPUTED_VALUE"""),FALSE)</f>
        <v>0</v>
      </c>
    </row>
    <row r="1106">
      <c r="A1106" s="16"/>
      <c r="B1106" s="16"/>
      <c r="C1106" s="16"/>
      <c r="D1106" s="16"/>
      <c r="E1106" s="16">
        <f>IFERROR(__xludf.DUMMYFUNCTION("""COMPUTED_VALUE"""),1.0)</f>
        <v>1</v>
      </c>
      <c r="F1106" s="108">
        <f>IFERROR(__xludf.DUMMYFUNCTION("""COMPUTED_VALUE"""),0.0)</f>
        <v>0</v>
      </c>
      <c r="G1106" s="16"/>
      <c r="H1106" s="16"/>
      <c r="I1106" s="16"/>
      <c r="J1106" s="16"/>
      <c r="K1106" s="16"/>
      <c r="L1106" s="16"/>
      <c r="M1106" s="16"/>
      <c r="N1106" s="16"/>
      <c r="O1106" s="16"/>
      <c r="P1106" s="16"/>
      <c r="Q1106" s="16"/>
      <c r="R1106" s="16"/>
      <c r="S1106" s="16"/>
      <c r="T1106" s="16"/>
      <c r="U1106" s="16"/>
      <c r="V1106" s="16"/>
      <c r="W1106" s="16"/>
      <c r="X1106" s="16"/>
      <c r="Y1106" s="16"/>
      <c r="Z1106" s="16"/>
      <c r="AA1106" s="16"/>
      <c r="AB1106" s="16"/>
      <c r="AC1106" s="16"/>
      <c r="AD1106" s="16"/>
      <c r="AE1106" s="16"/>
      <c r="AF1106" s="16"/>
      <c r="AG1106" s="16"/>
      <c r="AH1106" s="16" t="b">
        <f>IFERROR(__xludf.DUMMYFUNCTION("""COMPUTED_VALUE"""),FALSE)</f>
        <v>0</v>
      </c>
    </row>
    <row r="1107">
      <c r="A1107" s="16"/>
      <c r="B1107" s="16"/>
      <c r="C1107" s="16"/>
      <c r="D1107" s="16"/>
      <c r="E1107" s="16">
        <f>IFERROR(__xludf.DUMMYFUNCTION("""COMPUTED_VALUE"""),1.0)</f>
        <v>1</v>
      </c>
      <c r="F1107" s="108">
        <f>IFERROR(__xludf.DUMMYFUNCTION("""COMPUTED_VALUE"""),0.0)</f>
        <v>0</v>
      </c>
      <c r="G1107" s="16"/>
      <c r="H1107" s="16"/>
      <c r="I1107" s="16"/>
      <c r="J1107" s="16"/>
      <c r="K1107" s="16"/>
      <c r="L1107" s="16"/>
      <c r="M1107" s="16"/>
      <c r="N1107" s="16"/>
      <c r="O1107" s="16"/>
      <c r="P1107" s="16"/>
      <c r="Q1107" s="16"/>
      <c r="R1107" s="16"/>
      <c r="S1107" s="16"/>
      <c r="T1107" s="16"/>
      <c r="U1107" s="16"/>
      <c r="V1107" s="16"/>
      <c r="W1107" s="16"/>
      <c r="X1107" s="16"/>
      <c r="Y1107" s="16"/>
      <c r="Z1107" s="16"/>
      <c r="AA1107" s="16"/>
      <c r="AB1107" s="16"/>
      <c r="AC1107" s="16"/>
      <c r="AD1107" s="16"/>
      <c r="AE1107" s="16"/>
      <c r="AF1107" s="16"/>
      <c r="AG1107" s="16"/>
      <c r="AH1107" s="16" t="b">
        <f>IFERROR(__xludf.DUMMYFUNCTION("""COMPUTED_VALUE"""),FALSE)</f>
        <v>0</v>
      </c>
    </row>
    <row r="1108">
      <c r="A1108" s="16"/>
      <c r="B1108" s="16"/>
      <c r="C1108" s="16"/>
      <c r="D1108" s="16"/>
      <c r="E1108" s="16">
        <f>IFERROR(__xludf.DUMMYFUNCTION("""COMPUTED_VALUE"""),1.0)</f>
        <v>1</v>
      </c>
      <c r="F1108" s="108">
        <f>IFERROR(__xludf.DUMMYFUNCTION("""COMPUTED_VALUE"""),0.0)</f>
        <v>0</v>
      </c>
      <c r="G1108" s="16"/>
      <c r="H1108" s="16"/>
      <c r="I1108" s="16"/>
      <c r="J1108" s="16"/>
      <c r="K1108" s="16"/>
      <c r="L1108" s="16"/>
      <c r="M1108" s="16"/>
      <c r="N1108" s="16"/>
      <c r="O1108" s="16"/>
      <c r="P1108" s="16"/>
      <c r="Q1108" s="16"/>
      <c r="R1108" s="16"/>
      <c r="S1108" s="16"/>
      <c r="T1108" s="16"/>
      <c r="U1108" s="16"/>
      <c r="V1108" s="16"/>
      <c r="W1108" s="16"/>
      <c r="X1108" s="16"/>
      <c r="Y1108" s="16"/>
      <c r="Z1108" s="16"/>
      <c r="AA1108" s="16"/>
      <c r="AB1108" s="16"/>
      <c r="AC1108" s="16"/>
      <c r="AD1108" s="16"/>
      <c r="AE1108" s="16"/>
      <c r="AF1108" s="16"/>
      <c r="AG1108" s="16"/>
      <c r="AH1108" s="16" t="b">
        <f>IFERROR(__xludf.DUMMYFUNCTION("""COMPUTED_VALUE"""),FALSE)</f>
        <v>0</v>
      </c>
    </row>
    <row r="1109">
      <c r="A1109" s="16"/>
      <c r="B1109" s="16"/>
      <c r="C1109" s="16"/>
      <c r="D1109" s="16"/>
      <c r="E1109" s="16">
        <f>IFERROR(__xludf.DUMMYFUNCTION("""COMPUTED_VALUE"""),1.0)</f>
        <v>1</v>
      </c>
      <c r="F1109" s="108">
        <f>IFERROR(__xludf.DUMMYFUNCTION("""COMPUTED_VALUE"""),0.0)</f>
        <v>0</v>
      </c>
      <c r="G1109" s="16"/>
      <c r="H1109" s="16"/>
      <c r="I1109" s="16"/>
      <c r="J1109" s="16"/>
      <c r="K1109" s="16"/>
      <c r="L1109" s="16"/>
      <c r="M1109" s="16"/>
      <c r="N1109" s="16"/>
      <c r="O1109" s="16"/>
      <c r="P1109" s="16"/>
      <c r="Q1109" s="16"/>
      <c r="R1109" s="16"/>
      <c r="S1109" s="16"/>
      <c r="T1109" s="16"/>
      <c r="U1109" s="16"/>
      <c r="V1109" s="16"/>
      <c r="W1109" s="16"/>
      <c r="X1109" s="16"/>
      <c r="Y1109" s="16"/>
      <c r="Z1109" s="16"/>
      <c r="AA1109" s="16"/>
      <c r="AB1109" s="16"/>
      <c r="AC1109" s="16"/>
      <c r="AD1109" s="16"/>
      <c r="AE1109" s="16"/>
      <c r="AF1109" s="16"/>
      <c r="AG1109" s="16"/>
      <c r="AH1109" s="16" t="b">
        <f>IFERROR(__xludf.DUMMYFUNCTION("""COMPUTED_VALUE"""),FALSE)</f>
        <v>0</v>
      </c>
    </row>
    <row r="1110">
      <c r="A1110" s="16"/>
      <c r="B1110" s="16"/>
      <c r="C1110" s="16"/>
      <c r="D1110" s="16"/>
      <c r="E1110" s="16">
        <f>IFERROR(__xludf.DUMMYFUNCTION("""COMPUTED_VALUE"""),1.0)</f>
        <v>1</v>
      </c>
      <c r="F1110" s="108">
        <f>IFERROR(__xludf.DUMMYFUNCTION("""COMPUTED_VALUE"""),0.0)</f>
        <v>0</v>
      </c>
      <c r="G1110" s="16"/>
      <c r="H1110" s="16"/>
      <c r="I1110" s="16"/>
      <c r="J1110" s="16"/>
      <c r="K1110" s="16"/>
      <c r="L1110" s="16"/>
      <c r="M1110" s="16"/>
      <c r="N1110" s="16"/>
      <c r="O1110" s="16"/>
      <c r="P1110" s="16"/>
      <c r="Q1110" s="16"/>
      <c r="R1110" s="16"/>
      <c r="S1110" s="16"/>
      <c r="T1110" s="16"/>
      <c r="U1110" s="16"/>
      <c r="V1110" s="16"/>
      <c r="W1110" s="16"/>
      <c r="X1110" s="16"/>
      <c r="Y1110" s="16"/>
      <c r="Z1110" s="16"/>
      <c r="AA1110" s="16"/>
      <c r="AB1110" s="16"/>
      <c r="AC1110" s="16"/>
      <c r="AD1110" s="16"/>
      <c r="AE1110" s="16"/>
      <c r="AF1110" s="16"/>
      <c r="AG1110" s="16"/>
      <c r="AH1110" s="16" t="b">
        <f>IFERROR(__xludf.DUMMYFUNCTION("""COMPUTED_VALUE"""),FALSE)</f>
        <v>0</v>
      </c>
    </row>
    <row r="1111">
      <c r="A1111" s="16"/>
      <c r="B1111" s="16"/>
      <c r="C1111" s="16"/>
      <c r="D1111" s="16"/>
      <c r="E1111" s="16">
        <f>IFERROR(__xludf.DUMMYFUNCTION("""COMPUTED_VALUE"""),1.0)</f>
        <v>1</v>
      </c>
      <c r="F1111" s="108">
        <f>IFERROR(__xludf.DUMMYFUNCTION("""COMPUTED_VALUE"""),0.0)</f>
        <v>0</v>
      </c>
      <c r="G1111" s="16"/>
      <c r="H1111" s="16"/>
      <c r="I1111" s="16"/>
      <c r="J1111" s="16"/>
      <c r="K1111" s="16"/>
      <c r="L1111" s="16"/>
      <c r="M1111" s="16"/>
      <c r="N1111" s="16"/>
      <c r="O1111" s="16"/>
      <c r="P1111" s="16"/>
      <c r="Q1111" s="16"/>
      <c r="R1111" s="16"/>
      <c r="S1111" s="16"/>
      <c r="T1111" s="16"/>
      <c r="U1111" s="16"/>
      <c r="V1111" s="16"/>
      <c r="W1111" s="16"/>
      <c r="X1111" s="16"/>
      <c r="Y1111" s="16"/>
      <c r="Z1111" s="16"/>
      <c r="AA1111" s="16"/>
      <c r="AB1111" s="16"/>
      <c r="AC1111" s="16"/>
      <c r="AD1111" s="16"/>
      <c r="AE1111" s="16"/>
      <c r="AF1111" s="16"/>
      <c r="AG1111" s="16"/>
      <c r="AH1111" s="16" t="b">
        <f>IFERROR(__xludf.DUMMYFUNCTION("""COMPUTED_VALUE"""),FALSE)</f>
        <v>0</v>
      </c>
    </row>
    <row r="1112">
      <c r="A1112" s="16"/>
      <c r="B1112" s="16"/>
      <c r="C1112" s="16"/>
      <c r="D1112" s="16"/>
      <c r="E1112" s="16">
        <f>IFERROR(__xludf.DUMMYFUNCTION("""COMPUTED_VALUE"""),1.0)</f>
        <v>1</v>
      </c>
      <c r="F1112" s="108">
        <f>IFERROR(__xludf.DUMMYFUNCTION("""COMPUTED_VALUE"""),0.0)</f>
        <v>0</v>
      </c>
      <c r="G1112" s="16"/>
      <c r="H1112" s="16"/>
      <c r="I1112" s="16"/>
      <c r="J1112" s="16"/>
      <c r="K1112" s="16"/>
      <c r="L1112" s="16"/>
      <c r="M1112" s="16"/>
      <c r="N1112" s="16"/>
      <c r="O1112" s="16"/>
      <c r="P1112" s="16"/>
      <c r="Q1112" s="16"/>
      <c r="R1112" s="16"/>
      <c r="S1112" s="16"/>
      <c r="T1112" s="16"/>
      <c r="U1112" s="16"/>
      <c r="V1112" s="16"/>
      <c r="W1112" s="16"/>
      <c r="X1112" s="16"/>
      <c r="Y1112" s="16"/>
      <c r="Z1112" s="16"/>
      <c r="AA1112" s="16"/>
      <c r="AB1112" s="16"/>
      <c r="AC1112" s="16"/>
      <c r="AD1112" s="16"/>
      <c r="AE1112" s="16"/>
      <c r="AF1112" s="16"/>
      <c r="AG1112" s="16"/>
      <c r="AH1112" s="16" t="b">
        <f>IFERROR(__xludf.DUMMYFUNCTION("""COMPUTED_VALUE"""),FALSE)</f>
        <v>0</v>
      </c>
    </row>
    <row r="1113">
      <c r="A1113" s="16"/>
      <c r="B1113" s="16"/>
      <c r="C1113" s="16"/>
      <c r="D1113" s="16"/>
      <c r="E1113" s="16">
        <f>IFERROR(__xludf.DUMMYFUNCTION("""COMPUTED_VALUE"""),1.0)</f>
        <v>1</v>
      </c>
      <c r="F1113" s="108">
        <f>IFERROR(__xludf.DUMMYFUNCTION("""COMPUTED_VALUE"""),0.0)</f>
        <v>0</v>
      </c>
      <c r="G1113" s="16"/>
      <c r="H1113" s="16"/>
      <c r="I1113" s="16"/>
      <c r="J1113" s="16"/>
      <c r="K1113" s="16"/>
      <c r="L1113" s="16"/>
      <c r="M1113" s="16"/>
      <c r="N1113" s="16"/>
      <c r="O1113" s="16"/>
      <c r="P1113" s="16"/>
      <c r="Q1113" s="16"/>
      <c r="R1113" s="16"/>
      <c r="S1113" s="16"/>
      <c r="T1113" s="16"/>
      <c r="U1113" s="16"/>
      <c r="V1113" s="16"/>
      <c r="W1113" s="16"/>
      <c r="X1113" s="16"/>
      <c r="Y1113" s="16"/>
      <c r="Z1113" s="16"/>
      <c r="AA1113" s="16"/>
      <c r="AB1113" s="16"/>
      <c r="AC1113" s="16"/>
      <c r="AD1113" s="16"/>
      <c r="AE1113" s="16"/>
      <c r="AF1113" s="16"/>
      <c r="AG1113" s="16"/>
      <c r="AH1113" s="16" t="b">
        <f>IFERROR(__xludf.DUMMYFUNCTION("""COMPUTED_VALUE"""),FALSE)</f>
        <v>0</v>
      </c>
    </row>
    <row r="1114">
      <c r="A1114" s="16"/>
      <c r="B1114" s="16"/>
      <c r="C1114" s="16"/>
      <c r="D1114" s="16"/>
      <c r="E1114" s="16">
        <f>IFERROR(__xludf.DUMMYFUNCTION("""COMPUTED_VALUE"""),1.0)</f>
        <v>1</v>
      </c>
      <c r="F1114" s="108">
        <f>IFERROR(__xludf.DUMMYFUNCTION("""COMPUTED_VALUE"""),0.0)</f>
        <v>0</v>
      </c>
      <c r="G1114" s="16"/>
      <c r="H1114" s="16"/>
      <c r="I1114" s="16"/>
      <c r="J1114" s="16"/>
      <c r="K1114" s="16"/>
      <c r="L1114" s="16"/>
      <c r="M1114" s="16"/>
      <c r="N1114" s="16"/>
      <c r="O1114" s="16"/>
      <c r="P1114" s="16"/>
      <c r="Q1114" s="16"/>
      <c r="R1114" s="16"/>
      <c r="S1114" s="16"/>
      <c r="T1114" s="16"/>
      <c r="U1114" s="16"/>
      <c r="V1114" s="16"/>
      <c r="W1114" s="16"/>
      <c r="X1114" s="16"/>
      <c r="Y1114" s="16"/>
      <c r="Z1114" s="16"/>
      <c r="AA1114" s="16"/>
      <c r="AB1114" s="16"/>
      <c r="AC1114" s="16"/>
      <c r="AD1114" s="16"/>
      <c r="AE1114" s="16"/>
      <c r="AF1114" s="16"/>
      <c r="AG1114" s="16"/>
      <c r="AH1114" s="16" t="b">
        <f>IFERROR(__xludf.DUMMYFUNCTION("""COMPUTED_VALUE"""),FALSE)</f>
        <v>0</v>
      </c>
    </row>
    <row r="1115">
      <c r="A1115" s="16"/>
      <c r="B1115" s="16"/>
      <c r="C1115" s="16"/>
      <c r="D1115" s="16"/>
      <c r="E1115" s="16">
        <f>IFERROR(__xludf.DUMMYFUNCTION("""COMPUTED_VALUE"""),1.0)</f>
        <v>1</v>
      </c>
      <c r="F1115" s="108">
        <f>IFERROR(__xludf.DUMMYFUNCTION("""COMPUTED_VALUE"""),0.0)</f>
        <v>0</v>
      </c>
      <c r="G1115" s="16"/>
      <c r="H1115" s="16"/>
      <c r="I1115" s="16"/>
      <c r="J1115" s="16"/>
      <c r="K1115" s="16"/>
      <c r="L1115" s="16"/>
      <c r="M1115" s="16"/>
      <c r="N1115" s="16"/>
      <c r="O1115" s="16"/>
      <c r="P1115" s="16"/>
      <c r="Q1115" s="16"/>
      <c r="R1115" s="16"/>
      <c r="S1115" s="16"/>
      <c r="T1115" s="16"/>
      <c r="U1115" s="16"/>
      <c r="V1115" s="16"/>
      <c r="W1115" s="16"/>
      <c r="X1115" s="16"/>
      <c r="Y1115" s="16"/>
      <c r="Z1115" s="16"/>
      <c r="AA1115" s="16"/>
      <c r="AB1115" s="16"/>
      <c r="AC1115" s="16"/>
      <c r="AD1115" s="16"/>
      <c r="AE1115" s="16"/>
      <c r="AF1115" s="16"/>
      <c r="AG1115" s="16"/>
      <c r="AH1115" s="16" t="b">
        <f>IFERROR(__xludf.DUMMYFUNCTION("""COMPUTED_VALUE"""),FALSE)</f>
        <v>0</v>
      </c>
    </row>
    <row r="1116">
      <c r="A1116" s="16"/>
      <c r="B1116" s="16"/>
      <c r="C1116" s="16"/>
      <c r="D1116" s="16"/>
      <c r="E1116" s="16">
        <f>IFERROR(__xludf.DUMMYFUNCTION("""COMPUTED_VALUE"""),1.0)</f>
        <v>1</v>
      </c>
      <c r="F1116" s="108">
        <f>IFERROR(__xludf.DUMMYFUNCTION("""COMPUTED_VALUE"""),0.0)</f>
        <v>0</v>
      </c>
      <c r="G1116" s="16"/>
      <c r="H1116" s="16"/>
      <c r="I1116" s="16"/>
      <c r="J1116" s="16"/>
      <c r="K1116" s="16"/>
      <c r="L1116" s="16"/>
      <c r="M1116" s="16"/>
      <c r="N1116" s="16"/>
      <c r="O1116" s="16"/>
      <c r="P1116" s="16"/>
      <c r="Q1116" s="16"/>
      <c r="R1116" s="16"/>
      <c r="S1116" s="16"/>
      <c r="T1116" s="16"/>
      <c r="U1116" s="16"/>
      <c r="V1116" s="16"/>
      <c r="W1116" s="16"/>
      <c r="X1116" s="16"/>
      <c r="Y1116" s="16"/>
      <c r="Z1116" s="16"/>
      <c r="AA1116" s="16"/>
      <c r="AB1116" s="16"/>
      <c r="AC1116" s="16"/>
      <c r="AD1116" s="16"/>
      <c r="AE1116" s="16"/>
      <c r="AF1116" s="16"/>
      <c r="AG1116" s="16"/>
      <c r="AH1116" s="16" t="b">
        <f>IFERROR(__xludf.DUMMYFUNCTION("""COMPUTED_VALUE"""),FALSE)</f>
        <v>0</v>
      </c>
    </row>
    <row r="1117">
      <c r="A1117" s="16"/>
      <c r="B1117" s="16"/>
      <c r="C1117" s="16"/>
      <c r="D1117" s="16"/>
      <c r="E1117" s="16">
        <f>IFERROR(__xludf.DUMMYFUNCTION("""COMPUTED_VALUE"""),1.0)</f>
        <v>1</v>
      </c>
      <c r="F1117" s="108">
        <f>IFERROR(__xludf.DUMMYFUNCTION("""COMPUTED_VALUE"""),0.0)</f>
        <v>0</v>
      </c>
      <c r="G1117" s="16"/>
      <c r="H1117" s="16"/>
      <c r="I1117" s="16"/>
      <c r="J1117" s="16"/>
      <c r="K1117" s="16"/>
      <c r="L1117" s="16"/>
      <c r="M1117" s="16"/>
      <c r="N1117" s="16"/>
      <c r="O1117" s="16"/>
      <c r="P1117" s="16"/>
      <c r="Q1117" s="16"/>
      <c r="R1117" s="16"/>
      <c r="S1117" s="16"/>
      <c r="T1117" s="16"/>
      <c r="U1117" s="16"/>
      <c r="V1117" s="16"/>
      <c r="W1117" s="16"/>
      <c r="X1117" s="16"/>
      <c r="Y1117" s="16"/>
      <c r="Z1117" s="16"/>
      <c r="AA1117" s="16"/>
      <c r="AB1117" s="16"/>
      <c r="AC1117" s="16"/>
      <c r="AD1117" s="16"/>
      <c r="AE1117" s="16"/>
      <c r="AF1117" s="16"/>
      <c r="AG1117" s="16"/>
      <c r="AH1117" s="16" t="b">
        <f>IFERROR(__xludf.DUMMYFUNCTION("""COMPUTED_VALUE"""),FALSE)</f>
        <v>0</v>
      </c>
    </row>
    <row r="1118">
      <c r="A1118" s="16"/>
      <c r="B1118" s="16"/>
      <c r="C1118" s="16"/>
      <c r="D1118" s="16"/>
      <c r="E1118" s="16">
        <f>IFERROR(__xludf.DUMMYFUNCTION("""COMPUTED_VALUE"""),1.0)</f>
        <v>1</v>
      </c>
      <c r="F1118" s="108">
        <f>IFERROR(__xludf.DUMMYFUNCTION("""COMPUTED_VALUE"""),0.0)</f>
        <v>0</v>
      </c>
      <c r="G1118" s="16"/>
      <c r="H1118" s="16"/>
      <c r="I1118" s="16"/>
      <c r="J1118" s="16"/>
      <c r="K1118" s="16"/>
      <c r="L1118" s="16"/>
      <c r="M1118" s="16"/>
      <c r="N1118" s="16"/>
      <c r="O1118" s="16"/>
      <c r="P1118" s="16"/>
      <c r="Q1118" s="16"/>
      <c r="R1118" s="16"/>
      <c r="S1118" s="16"/>
      <c r="T1118" s="16"/>
      <c r="U1118" s="16"/>
      <c r="V1118" s="16"/>
      <c r="W1118" s="16"/>
      <c r="X1118" s="16"/>
      <c r="Y1118" s="16"/>
      <c r="Z1118" s="16"/>
      <c r="AA1118" s="16"/>
      <c r="AB1118" s="16"/>
      <c r="AC1118" s="16"/>
      <c r="AD1118" s="16"/>
      <c r="AE1118" s="16"/>
      <c r="AF1118" s="16"/>
      <c r="AG1118" s="16"/>
      <c r="AH1118" s="16" t="b">
        <f>IFERROR(__xludf.DUMMYFUNCTION("""COMPUTED_VALUE"""),FALSE)</f>
        <v>0</v>
      </c>
    </row>
    <row r="1119">
      <c r="A1119" s="16"/>
      <c r="B1119" s="16"/>
      <c r="C1119" s="16"/>
      <c r="D1119" s="16"/>
      <c r="E1119" s="16">
        <f>IFERROR(__xludf.DUMMYFUNCTION("""COMPUTED_VALUE"""),1.0)</f>
        <v>1</v>
      </c>
      <c r="F1119" s="108">
        <f>IFERROR(__xludf.DUMMYFUNCTION("""COMPUTED_VALUE"""),0.0)</f>
        <v>0</v>
      </c>
      <c r="G1119" s="16"/>
      <c r="H1119" s="16"/>
      <c r="I1119" s="16"/>
      <c r="J1119" s="16"/>
      <c r="K1119" s="16"/>
      <c r="L1119" s="16"/>
      <c r="M1119" s="16"/>
      <c r="N1119" s="16"/>
      <c r="O1119" s="16"/>
      <c r="P1119" s="16"/>
      <c r="Q1119" s="16"/>
      <c r="R1119" s="16"/>
      <c r="S1119" s="16"/>
      <c r="T1119" s="16"/>
      <c r="U1119" s="16"/>
      <c r="V1119" s="16"/>
      <c r="W1119" s="16"/>
      <c r="X1119" s="16"/>
      <c r="Y1119" s="16"/>
      <c r="Z1119" s="16"/>
      <c r="AA1119" s="16"/>
      <c r="AB1119" s="16"/>
      <c r="AC1119" s="16"/>
      <c r="AD1119" s="16"/>
      <c r="AE1119" s="16"/>
      <c r="AF1119" s="16"/>
      <c r="AG1119" s="16"/>
      <c r="AH1119" s="16" t="b">
        <f>IFERROR(__xludf.DUMMYFUNCTION("""COMPUTED_VALUE"""),FALSE)</f>
        <v>0</v>
      </c>
    </row>
    <row r="1120">
      <c r="A1120" s="16"/>
      <c r="B1120" s="16"/>
      <c r="C1120" s="16"/>
      <c r="D1120" s="16"/>
      <c r="E1120" s="16">
        <f>IFERROR(__xludf.DUMMYFUNCTION("""COMPUTED_VALUE"""),1.0)</f>
        <v>1</v>
      </c>
      <c r="F1120" s="108">
        <f>IFERROR(__xludf.DUMMYFUNCTION("""COMPUTED_VALUE"""),0.0)</f>
        <v>0</v>
      </c>
      <c r="G1120" s="16"/>
      <c r="H1120" s="16"/>
      <c r="I1120" s="16"/>
      <c r="J1120" s="16"/>
      <c r="K1120" s="16"/>
      <c r="L1120" s="16"/>
      <c r="M1120" s="16"/>
      <c r="N1120" s="16"/>
      <c r="O1120" s="16"/>
      <c r="P1120" s="16"/>
      <c r="Q1120" s="16"/>
      <c r="R1120" s="16"/>
      <c r="S1120" s="16"/>
      <c r="T1120" s="16"/>
      <c r="U1120" s="16"/>
      <c r="V1120" s="16"/>
      <c r="W1120" s="16"/>
      <c r="X1120" s="16"/>
      <c r="Y1120" s="16"/>
      <c r="Z1120" s="16"/>
      <c r="AA1120" s="16"/>
      <c r="AB1120" s="16"/>
      <c r="AC1120" s="16"/>
      <c r="AD1120" s="16"/>
      <c r="AE1120" s="16"/>
      <c r="AF1120" s="16"/>
      <c r="AG1120" s="16"/>
      <c r="AH1120" s="16" t="b">
        <f>IFERROR(__xludf.DUMMYFUNCTION("""COMPUTED_VALUE"""),FALSE)</f>
        <v>0</v>
      </c>
    </row>
    <row r="1121">
      <c r="A1121" s="16"/>
      <c r="B1121" s="16"/>
      <c r="C1121" s="16"/>
      <c r="D1121" s="16"/>
      <c r="E1121" s="16">
        <f>IFERROR(__xludf.DUMMYFUNCTION("""COMPUTED_VALUE"""),1.0)</f>
        <v>1</v>
      </c>
      <c r="F1121" s="108">
        <f>IFERROR(__xludf.DUMMYFUNCTION("""COMPUTED_VALUE"""),0.0)</f>
        <v>0</v>
      </c>
      <c r="G1121" s="16"/>
      <c r="H1121" s="16"/>
      <c r="I1121" s="16"/>
      <c r="J1121" s="16"/>
      <c r="K1121" s="16"/>
      <c r="L1121" s="16"/>
      <c r="M1121" s="16"/>
      <c r="N1121" s="16"/>
      <c r="O1121" s="16"/>
      <c r="P1121" s="16"/>
      <c r="Q1121" s="16"/>
      <c r="R1121" s="16"/>
      <c r="S1121" s="16"/>
      <c r="T1121" s="16"/>
      <c r="U1121" s="16"/>
      <c r="V1121" s="16"/>
      <c r="W1121" s="16"/>
      <c r="X1121" s="16"/>
      <c r="Y1121" s="16"/>
      <c r="Z1121" s="16"/>
      <c r="AA1121" s="16"/>
      <c r="AB1121" s="16"/>
      <c r="AC1121" s="16"/>
      <c r="AD1121" s="16"/>
      <c r="AE1121" s="16"/>
      <c r="AF1121" s="16"/>
      <c r="AG1121" s="16"/>
      <c r="AH1121" s="16" t="b">
        <f>IFERROR(__xludf.DUMMYFUNCTION("""COMPUTED_VALUE"""),FALSE)</f>
        <v>0</v>
      </c>
    </row>
    <row r="1122">
      <c r="A1122" s="16"/>
      <c r="B1122" s="16"/>
      <c r="C1122" s="16"/>
      <c r="D1122" s="16"/>
      <c r="E1122" s="16">
        <f>IFERROR(__xludf.DUMMYFUNCTION("""COMPUTED_VALUE"""),1.0)</f>
        <v>1</v>
      </c>
      <c r="F1122" s="108">
        <f>IFERROR(__xludf.DUMMYFUNCTION("""COMPUTED_VALUE"""),0.0)</f>
        <v>0</v>
      </c>
      <c r="G1122" s="16"/>
      <c r="H1122" s="16"/>
      <c r="I1122" s="16"/>
      <c r="J1122" s="16"/>
      <c r="K1122" s="16"/>
      <c r="L1122" s="16"/>
      <c r="M1122" s="16"/>
      <c r="N1122" s="16"/>
      <c r="O1122" s="16"/>
      <c r="P1122" s="16"/>
      <c r="Q1122" s="16"/>
      <c r="R1122" s="16"/>
      <c r="S1122" s="16"/>
      <c r="T1122" s="16"/>
      <c r="U1122" s="16"/>
      <c r="V1122" s="16"/>
      <c r="W1122" s="16"/>
      <c r="X1122" s="16"/>
      <c r="Y1122" s="16"/>
      <c r="Z1122" s="16"/>
      <c r="AA1122" s="16"/>
      <c r="AB1122" s="16"/>
      <c r="AC1122" s="16"/>
      <c r="AD1122" s="16"/>
      <c r="AE1122" s="16"/>
      <c r="AF1122" s="16"/>
      <c r="AG1122" s="16"/>
      <c r="AH1122" s="16" t="b">
        <f>IFERROR(__xludf.DUMMYFUNCTION("""COMPUTED_VALUE"""),FALSE)</f>
        <v>0</v>
      </c>
    </row>
    <row r="1123">
      <c r="A1123" s="16"/>
      <c r="B1123" s="16"/>
      <c r="C1123" s="16"/>
      <c r="D1123" s="16"/>
      <c r="E1123" s="16">
        <f>IFERROR(__xludf.DUMMYFUNCTION("""COMPUTED_VALUE"""),1.0)</f>
        <v>1</v>
      </c>
      <c r="F1123" s="108">
        <f>IFERROR(__xludf.DUMMYFUNCTION("""COMPUTED_VALUE"""),0.0)</f>
        <v>0</v>
      </c>
      <c r="G1123" s="16"/>
      <c r="H1123" s="16"/>
      <c r="I1123" s="16"/>
      <c r="J1123" s="16"/>
      <c r="K1123" s="16"/>
      <c r="L1123" s="16"/>
      <c r="M1123" s="16"/>
      <c r="N1123" s="16"/>
      <c r="O1123" s="16"/>
      <c r="P1123" s="16"/>
      <c r="Q1123" s="16"/>
      <c r="R1123" s="16"/>
      <c r="S1123" s="16"/>
      <c r="T1123" s="16"/>
      <c r="U1123" s="16"/>
      <c r="V1123" s="16"/>
      <c r="W1123" s="16"/>
      <c r="X1123" s="16"/>
      <c r="Y1123" s="16"/>
      <c r="Z1123" s="16"/>
      <c r="AA1123" s="16"/>
      <c r="AB1123" s="16"/>
      <c r="AC1123" s="16"/>
      <c r="AD1123" s="16"/>
      <c r="AE1123" s="16"/>
      <c r="AF1123" s="16"/>
      <c r="AG1123" s="16"/>
      <c r="AH1123" s="16" t="b">
        <f>IFERROR(__xludf.DUMMYFUNCTION("""COMPUTED_VALUE"""),FALSE)</f>
        <v>0</v>
      </c>
    </row>
    <row r="1124">
      <c r="A1124" s="16"/>
      <c r="B1124" s="16"/>
      <c r="C1124" s="16"/>
      <c r="D1124" s="16"/>
      <c r="E1124" s="16">
        <f>IFERROR(__xludf.DUMMYFUNCTION("""COMPUTED_VALUE"""),1.0)</f>
        <v>1</v>
      </c>
      <c r="F1124" s="108">
        <f>IFERROR(__xludf.DUMMYFUNCTION("""COMPUTED_VALUE"""),0.0)</f>
        <v>0</v>
      </c>
      <c r="G1124" s="16"/>
      <c r="H1124" s="16"/>
      <c r="I1124" s="16"/>
      <c r="J1124" s="16"/>
      <c r="K1124" s="16"/>
      <c r="L1124" s="16"/>
      <c r="M1124" s="16"/>
      <c r="N1124" s="16"/>
      <c r="O1124" s="16"/>
      <c r="P1124" s="16"/>
      <c r="Q1124" s="16"/>
      <c r="R1124" s="16"/>
      <c r="S1124" s="16"/>
      <c r="T1124" s="16"/>
      <c r="U1124" s="16"/>
      <c r="V1124" s="16"/>
      <c r="W1124" s="16"/>
      <c r="X1124" s="16"/>
      <c r="Y1124" s="16"/>
      <c r="Z1124" s="16"/>
      <c r="AA1124" s="16"/>
      <c r="AB1124" s="16"/>
      <c r="AC1124" s="16"/>
      <c r="AD1124" s="16"/>
      <c r="AE1124" s="16"/>
      <c r="AF1124" s="16"/>
      <c r="AG1124" s="16"/>
      <c r="AH1124" s="16" t="b">
        <f>IFERROR(__xludf.DUMMYFUNCTION("""COMPUTED_VALUE"""),FALSE)</f>
        <v>0</v>
      </c>
    </row>
    <row r="1125">
      <c r="A1125" s="16"/>
      <c r="B1125" s="16"/>
      <c r="C1125" s="16"/>
      <c r="D1125" s="16"/>
      <c r="E1125" s="16">
        <f>IFERROR(__xludf.DUMMYFUNCTION("""COMPUTED_VALUE"""),1.0)</f>
        <v>1</v>
      </c>
      <c r="F1125" s="108">
        <f>IFERROR(__xludf.DUMMYFUNCTION("""COMPUTED_VALUE"""),0.0)</f>
        <v>0</v>
      </c>
      <c r="G1125" s="16"/>
      <c r="H1125" s="16"/>
      <c r="I1125" s="16"/>
      <c r="J1125" s="16"/>
      <c r="K1125" s="16"/>
      <c r="L1125" s="16"/>
      <c r="M1125" s="16"/>
      <c r="N1125" s="16"/>
      <c r="O1125" s="16"/>
      <c r="P1125" s="16"/>
      <c r="Q1125" s="16"/>
      <c r="R1125" s="16"/>
      <c r="S1125" s="16"/>
      <c r="T1125" s="16"/>
      <c r="U1125" s="16"/>
      <c r="V1125" s="16"/>
      <c r="W1125" s="16"/>
      <c r="X1125" s="16"/>
      <c r="Y1125" s="16"/>
      <c r="Z1125" s="16"/>
      <c r="AA1125" s="16"/>
      <c r="AB1125" s="16"/>
      <c r="AC1125" s="16"/>
      <c r="AD1125" s="16"/>
      <c r="AE1125" s="16"/>
      <c r="AF1125" s="16"/>
      <c r="AG1125" s="16"/>
      <c r="AH1125" s="16" t="b">
        <f>IFERROR(__xludf.DUMMYFUNCTION("""COMPUTED_VALUE"""),FALSE)</f>
        <v>0</v>
      </c>
    </row>
    <row r="1126">
      <c r="A1126" s="16"/>
      <c r="B1126" s="16"/>
      <c r="C1126" s="16"/>
      <c r="D1126" s="16"/>
      <c r="E1126" s="16">
        <f>IFERROR(__xludf.DUMMYFUNCTION("""COMPUTED_VALUE"""),1.0)</f>
        <v>1</v>
      </c>
      <c r="F1126" s="108">
        <f>IFERROR(__xludf.DUMMYFUNCTION("""COMPUTED_VALUE"""),0.0)</f>
        <v>0</v>
      </c>
      <c r="G1126" s="16"/>
      <c r="H1126" s="16"/>
      <c r="I1126" s="16"/>
      <c r="J1126" s="16"/>
      <c r="K1126" s="16"/>
      <c r="L1126" s="16"/>
      <c r="M1126" s="16"/>
      <c r="N1126" s="16"/>
      <c r="O1126" s="16"/>
      <c r="P1126" s="16"/>
      <c r="Q1126" s="16"/>
      <c r="R1126" s="16"/>
      <c r="S1126" s="16"/>
      <c r="T1126" s="16"/>
      <c r="U1126" s="16"/>
      <c r="V1126" s="16"/>
      <c r="W1126" s="16"/>
      <c r="X1126" s="16"/>
      <c r="Y1126" s="16"/>
      <c r="Z1126" s="16"/>
      <c r="AA1126" s="16"/>
      <c r="AB1126" s="16"/>
      <c r="AC1126" s="16"/>
      <c r="AD1126" s="16"/>
      <c r="AE1126" s="16"/>
      <c r="AF1126" s="16"/>
      <c r="AG1126" s="16"/>
      <c r="AH1126" s="16" t="b">
        <f>IFERROR(__xludf.DUMMYFUNCTION("""COMPUTED_VALUE"""),FALSE)</f>
        <v>0</v>
      </c>
    </row>
    <row r="1127">
      <c r="A1127" s="16"/>
      <c r="B1127" s="16"/>
      <c r="C1127" s="16"/>
      <c r="D1127" s="16"/>
      <c r="E1127" s="16">
        <f>IFERROR(__xludf.DUMMYFUNCTION("""COMPUTED_VALUE"""),1.0)</f>
        <v>1</v>
      </c>
      <c r="F1127" s="108">
        <f>IFERROR(__xludf.DUMMYFUNCTION("""COMPUTED_VALUE"""),0.0)</f>
        <v>0</v>
      </c>
      <c r="G1127" s="16"/>
      <c r="H1127" s="16"/>
      <c r="I1127" s="16"/>
      <c r="J1127" s="16"/>
      <c r="K1127" s="16"/>
      <c r="L1127" s="16"/>
      <c r="M1127" s="16"/>
      <c r="N1127" s="16"/>
      <c r="O1127" s="16"/>
      <c r="P1127" s="16"/>
      <c r="Q1127" s="16"/>
      <c r="R1127" s="16"/>
      <c r="S1127" s="16"/>
      <c r="T1127" s="16"/>
      <c r="U1127" s="16"/>
      <c r="V1127" s="16"/>
      <c r="W1127" s="16"/>
      <c r="X1127" s="16"/>
      <c r="Y1127" s="16"/>
      <c r="Z1127" s="16"/>
      <c r="AA1127" s="16"/>
      <c r="AB1127" s="16"/>
      <c r="AC1127" s="16"/>
      <c r="AD1127" s="16"/>
      <c r="AE1127" s="16"/>
      <c r="AF1127" s="16"/>
      <c r="AG1127" s="16"/>
      <c r="AH1127" s="16" t="b">
        <f>IFERROR(__xludf.DUMMYFUNCTION("""COMPUTED_VALUE"""),FALSE)</f>
        <v>0</v>
      </c>
    </row>
    <row r="1128">
      <c r="A1128" s="16"/>
      <c r="B1128" s="16"/>
      <c r="C1128" s="16"/>
      <c r="D1128" s="16"/>
      <c r="E1128" s="16">
        <f>IFERROR(__xludf.DUMMYFUNCTION("""COMPUTED_VALUE"""),1.0)</f>
        <v>1</v>
      </c>
      <c r="F1128" s="108">
        <f>IFERROR(__xludf.DUMMYFUNCTION("""COMPUTED_VALUE"""),0.0)</f>
        <v>0</v>
      </c>
      <c r="G1128" s="16"/>
      <c r="H1128" s="16"/>
      <c r="I1128" s="16"/>
      <c r="J1128" s="16"/>
      <c r="K1128" s="16"/>
      <c r="L1128" s="16"/>
      <c r="M1128" s="16"/>
      <c r="N1128" s="16"/>
      <c r="O1128" s="16"/>
      <c r="P1128" s="16"/>
      <c r="Q1128" s="16"/>
      <c r="R1128" s="16"/>
      <c r="S1128" s="16"/>
      <c r="T1128" s="16"/>
      <c r="U1128" s="16"/>
      <c r="V1128" s="16"/>
      <c r="W1128" s="16"/>
      <c r="X1128" s="16"/>
      <c r="Y1128" s="16"/>
      <c r="Z1128" s="16"/>
      <c r="AA1128" s="16"/>
      <c r="AB1128" s="16"/>
      <c r="AC1128" s="16"/>
      <c r="AD1128" s="16"/>
      <c r="AE1128" s="16"/>
      <c r="AF1128" s="16"/>
      <c r="AG1128" s="16"/>
      <c r="AH1128" s="16" t="b">
        <f>IFERROR(__xludf.DUMMYFUNCTION("""COMPUTED_VALUE"""),FALSE)</f>
        <v>0</v>
      </c>
    </row>
    <row r="1129">
      <c r="A1129" s="16"/>
      <c r="B1129" s="16"/>
      <c r="C1129" s="16"/>
      <c r="D1129" s="16"/>
      <c r="E1129" s="16">
        <f>IFERROR(__xludf.DUMMYFUNCTION("""COMPUTED_VALUE"""),1.0)</f>
        <v>1</v>
      </c>
      <c r="F1129" s="108">
        <f>IFERROR(__xludf.DUMMYFUNCTION("""COMPUTED_VALUE"""),0.0)</f>
        <v>0</v>
      </c>
      <c r="G1129" s="16"/>
      <c r="H1129" s="16"/>
      <c r="I1129" s="16"/>
      <c r="J1129" s="16"/>
      <c r="K1129" s="16"/>
      <c r="L1129" s="16"/>
      <c r="M1129" s="16"/>
      <c r="N1129" s="16"/>
      <c r="O1129" s="16"/>
      <c r="P1129" s="16"/>
      <c r="Q1129" s="16"/>
      <c r="R1129" s="16"/>
      <c r="S1129" s="16"/>
      <c r="T1129" s="16"/>
      <c r="U1129" s="16"/>
      <c r="V1129" s="16"/>
      <c r="W1129" s="16"/>
      <c r="X1129" s="16"/>
      <c r="Y1129" s="16"/>
      <c r="Z1129" s="16"/>
      <c r="AA1129" s="16"/>
      <c r="AB1129" s="16"/>
      <c r="AC1129" s="16"/>
      <c r="AD1129" s="16"/>
      <c r="AE1129" s="16"/>
      <c r="AF1129" s="16"/>
      <c r="AG1129" s="16"/>
      <c r="AH1129" s="16" t="b">
        <f>IFERROR(__xludf.DUMMYFUNCTION("""COMPUTED_VALUE"""),FALSE)</f>
        <v>0</v>
      </c>
    </row>
    <row r="1130">
      <c r="A1130" s="16"/>
      <c r="B1130" s="16"/>
      <c r="C1130" s="16"/>
      <c r="D1130" s="16"/>
      <c r="E1130" s="16">
        <f>IFERROR(__xludf.DUMMYFUNCTION("""COMPUTED_VALUE"""),1.0)</f>
        <v>1</v>
      </c>
      <c r="F1130" s="108">
        <f>IFERROR(__xludf.DUMMYFUNCTION("""COMPUTED_VALUE"""),0.0)</f>
        <v>0</v>
      </c>
      <c r="G1130" s="16"/>
      <c r="H1130" s="16"/>
      <c r="I1130" s="16"/>
      <c r="J1130" s="16"/>
      <c r="K1130" s="16"/>
      <c r="L1130" s="16"/>
      <c r="M1130" s="16"/>
      <c r="N1130" s="16"/>
      <c r="O1130" s="16"/>
      <c r="P1130" s="16"/>
      <c r="Q1130" s="16"/>
      <c r="R1130" s="16"/>
      <c r="S1130" s="16"/>
      <c r="T1130" s="16"/>
      <c r="U1130" s="16"/>
      <c r="V1130" s="16"/>
      <c r="W1130" s="16"/>
      <c r="X1130" s="16"/>
      <c r="Y1130" s="16"/>
      <c r="Z1130" s="16"/>
      <c r="AA1130" s="16"/>
      <c r="AB1130" s="16"/>
      <c r="AC1130" s="16"/>
      <c r="AD1130" s="16"/>
      <c r="AE1130" s="16"/>
      <c r="AF1130" s="16"/>
      <c r="AG1130" s="16"/>
      <c r="AH1130" s="16" t="b">
        <f>IFERROR(__xludf.DUMMYFUNCTION("""COMPUTED_VALUE"""),FALSE)</f>
        <v>0</v>
      </c>
    </row>
    <row r="1131">
      <c r="A1131" s="16"/>
      <c r="B1131" s="16"/>
      <c r="C1131" s="16"/>
      <c r="D1131" s="16"/>
      <c r="E1131" s="16">
        <f>IFERROR(__xludf.DUMMYFUNCTION("""COMPUTED_VALUE"""),1.0)</f>
        <v>1</v>
      </c>
      <c r="F1131" s="108">
        <f>IFERROR(__xludf.DUMMYFUNCTION("""COMPUTED_VALUE"""),0.0)</f>
        <v>0</v>
      </c>
      <c r="G1131" s="16"/>
      <c r="H1131" s="16"/>
      <c r="I1131" s="16"/>
      <c r="J1131" s="16"/>
      <c r="K1131" s="16"/>
      <c r="L1131" s="16"/>
      <c r="M1131" s="16"/>
      <c r="N1131" s="16"/>
      <c r="O1131" s="16"/>
      <c r="P1131" s="16"/>
      <c r="Q1131" s="16"/>
      <c r="R1131" s="16"/>
      <c r="S1131" s="16"/>
      <c r="T1131" s="16"/>
      <c r="U1131" s="16"/>
      <c r="V1131" s="16"/>
      <c r="W1131" s="16"/>
      <c r="X1131" s="16"/>
      <c r="Y1131" s="16"/>
      <c r="Z1131" s="16"/>
      <c r="AA1131" s="16"/>
      <c r="AB1131" s="16"/>
      <c r="AC1131" s="16"/>
      <c r="AD1131" s="16"/>
      <c r="AE1131" s="16"/>
      <c r="AF1131" s="16"/>
      <c r="AG1131" s="16"/>
      <c r="AH1131" s="16" t="b">
        <f>IFERROR(__xludf.DUMMYFUNCTION("""COMPUTED_VALUE"""),FALSE)</f>
        <v>0</v>
      </c>
    </row>
    <row r="1132">
      <c r="A1132" s="16"/>
      <c r="B1132" s="16"/>
      <c r="C1132" s="16"/>
      <c r="D1132" s="16"/>
      <c r="E1132" s="16">
        <f>IFERROR(__xludf.DUMMYFUNCTION("""COMPUTED_VALUE"""),1.0)</f>
        <v>1</v>
      </c>
      <c r="F1132" s="108">
        <f>IFERROR(__xludf.DUMMYFUNCTION("""COMPUTED_VALUE"""),0.0)</f>
        <v>0</v>
      </c>
      <c r="G1132" s="16"/>
      <c r="H1132" s="16"/>
      <c r="I1132" s="16"/>
      <c r="J1132" s="16"/>
      <c r="K1132" s="16"/>
      <c r="L1132" s="16"/>
      <c r="M1132" s="16"/>
      <c r="N1132" s="16"/>
      <c r="O1132" s="16"/>
      <c r="P1132" s="16"/>
      <c r="Q1132" s="16"/>
      <c r="R1132" s="16"/>
      <c r="S1132" s="16"/>
      <c r="T1132" s="16"/>
      <c r="U1132" s="16"/>
      <c r="V1132" s="16"/>
      <c r="W1132" s="16"/>
      <c r="X1132" s="16"/>
      <c r="Y1132" s="16"/>
      <c r="Z1132" s="16"/>
      <c r="AA1132" s="16"/>
      <c r="AB1132" s="16"/>
      <c r="AC1132" s="16"/>
      <c r="AD1132" s="16"/>
      <c r="AE1132" s="16"/>
      <c r="AF1132" s="16"/>
      <c r="AG1132" s="16"/>
      <c r="AH1132" s="16" t="b">
        <f>IFERROR(__xludf.DUMMYFUNCTION("""COMPUTED_VALUE"""),FALSE)</f>
        <v>0</v>
      </c>
    </row>
    <row r="1133">
      <c r="A1133" s="16"/>
      <c r="B1133" s="16"/>
      <c r="C1133" s="16"/>
      <c r="D1133" s="16"/>
      <c r="E1133" s="16">
        <f>IFERROR(__xludf.DUMMYFUNCTION("""COMPUTED_VALUE"""),1.0)</f>
        <v>1</v>
      </c>
      <c r="F1133" s="108">
        <f>IFERROR(__xludf.DUMMYFUNCTION("""COMPUTED_VALUE"""),0.0)</f>
        <v>0</v>
      </c>
      <c r="G1133" s="16"/>
      <c r="H1133" s="16"/>
      <c r="I1133" s="16"/>
      <c r="J1133" s="16"/>
      <c r="K1133" s="16"/>
      <c r="L1133" s="16"/>
      <c r="M1133" s="16"/>
      <c r="N1133" s="16"/>
      <c r="O1133" s="16"/>
      <c r="P1133" s="16"/>
      <c r="Q1133" s="16"/>
      <c r="R1133" s="16"/>
      <c r="S1133" s="16"/>
      <c r="T1133" s="16"/>
      <c r="U1133" s="16"/>
      <c r="V1133" s="16"/>
      <c r="W1133" s="16"/>
      <c r="X1133" s="16"/>
      <c r="Y1133" s="16"/>
      <c r="Z1133" s="16"/>
      <c r="AA1133" s="16"/>
      <c r="AB1133" s="16"/>
      <c r="AC1133" s="16"/>
      <c r="AD1133" s="16"/>
      <c r="AE1133" s="16"/>
      <c r="AF1133" s="16"/>
      <c r="AG1133" s="16"/>
      <c r="AH1133" s="16" t="b">
        <f>IFERROR(__xludf.DUMMYFUNCTION("""COMPUTED_VALUE"""),FALSE)</f>
        <v>0</v>
      </c>
    </row>
    <row r="1134">
      <c r="A1134" s="16"/>
      <c r="B1134" s="16"/>
      <c r="C1134" s="16"/>
      <c r="D1134" s="16"/>
      <c r="E1134" s="16">
        <f>IFERROR(__xludf.DUMMYFUNCTION("""COMPUTED_VALUE"""),1.0)</f>
        <v>1</v>
      </c>
      <c r="F1134" s="108">
        <f>IFERROR(__xludf.DUMMYFUNCTION("""COMPUTED_VALUE"""),0.0)</f>
        <v>0</v>
      </c>
      <c r="G1134" s="16"/>
      <c r="H1134" s="16"/>
      <c r="I1134" s="16"/>
      <c r="J1134" s="16"/>
      <c r="K1134" s="16"/>
      <c r="L1134" s="16"/>
      <c r="M1134" s="16"/>
      <c r="N1134" s="16"/>
      <c r="O1134" s="16"/>
      <c r="P1134" s="16"/>
      <c r="Q1134" s="16"/>
      <c r="R1134" s="16"/>
      <c r="S1134" s="16"/>
      <c r="T1134" s="16"/>
      <c r="U1134" s="16"/>
      <c r="V1134" s="16"/>
      <c r="W1134" s="16"/>
      <c r="X1134" s="16"/>
      <c r="Y1134" s="16"/>
      <c r="Z1134" s="16"/>
      <c r="AA1134" s="16"/>
      <c r="AB1134" s="16"/>
      <c r="AC1134" s="16"/>
      <c r="AD1134" s="16"/>
      <c r="AE1134" s="16"/>
      <c r="AF1134" s="16"/>
      <c r="AG1134" s="16"/>
      <c r="AH1134" s="16" t="b">
        <f>IFERROR(__xludf.DUMMYFUNCTION("""COMPUTED_VALUE"""),FALSE)</f>
        <v>0</v>
      </c>
    </row>
    <row r="1135">
      <c r="A1135" s="16"/>
      <c r="B1135" s="16"/>
      <c r="C1135" s="16"/>
      <c r="D1135" s="16"/>
      <c r="E1135" s="16">
        <f>IFERROR(__xludf.DUMMYFUNCTION("""COMPUTED_VALUE"""),1.0)</f>
        <v>1</v>
      </c>
      <c r="F1135" s="108">
        <f>IFERROR(__xludf.DUMMYFUNCTION("""COMPUTED_VALUE"""),0.0)</f>
        <v>0</v>
      </c>
      <c r="G1135" s="16"/>
      <c r="H1135" s="16"/>
      <c r="I1135" s="16"/>
      <c r="J1135" s="16"/>
      <c r="K1135" s="16"/>
      <c r="L1135" s="16"/>
      <c r="M1135" s="16"/>
      <c r="N1135" s="16"/>
      <c r="O1135" s="16"/>
      <c r="P1135" s="16"/>
      <c r="Q1135" s="16"/>
      <c r="R1135" s="16"/>
      <c r="S1135" s="16"/>
      <c r="T1135" s="16"/>
      <c r="U1135" s="16"/>
      <c r="V1135" s="16"/>
      <c r="W1135" s="16"/>
      <c r="X1135" s="16"/>
      <c r="Y1135" s="16"/>
      <c r="Z1135" s="16"/>
      <c r="AA1135" s="16"/>
      <c r="AB1135" s="16"/>
      <c r="AC1135" s="16"/>
      <c r="AD1135" s="16"/>
      <c r="AE1135" s="16"/>
      <c r="AF1135" s="16"/>
      <c r="AG1135" s="16"/>
      <c r="AH1135" s="16" t="b">
        <f>IFERROR(__xludf.DUMMYFUNCTION("""COMPUTED_VALUE"""),FALSE)</f>
        <v>0</v>
      </c>
    </row>
    <row r="1136">
      <c r="A1136" s="16"/>
      <c r="B1136" s="16"/>
      <c r="C1136" s="16"/>
      <c r="D1136" s="16"/>
      <c r="E1136" s="16">
        <f>IFERROR(__xludf.DUMMYFUNCTION("""COMPUTED_VALUE"""),1.0)</f>
        <v>1</v>
      </c>
      <c r="F1136" s="108">
        <f>IFERROR(__xludf.DUMMYFUNCTION("""COMPUTED_VALUE"""),0.0)</f>
        <v>0</v>
      </c>
      <c r="G1136" s="16"/>
      <c r="H1136" s="16"/>
      <c r="I1136" s="16"/>
      <c r="J1136" s="16"/>
      <c r="K1136" s="16"/>
      <c r="L1136" s="16"/>
      <c r="M1136" s="16"/>
      <c r="N1136" s="16"/>
      <c r="O1136" s="16"/>
      <c r="P1136" s="16"/>
      <c r="Q1136" s="16"/>
      <c r="R1136" s="16"/>
      <c r="S1136" s="16"/>
      <c r="T1136" s="16"/>
      <c r="U1136" s="16"/>
      <c r="V1136" s="16"/>
      <c r="W1136" s="16"/>
      <c r="X1136" s="16"/>
      <c r="Y1136" s="16"/>
      <c r="Z1136" s="16"/>
      <c r="AA1136" s="16"/>
      <c r="AB1136" s="16"/>
      <c r="AC1136" s="16"/>
      <c r="AD1136" s="16"/>
      <c r="AE1136" s="16"/>
      <c r="AF1136" s="16"/>
      <c r="AG1136" s="16"/>
      <c r="AH1136" s="16" t="b">
        <f>IFERROR(__xludf.DUMMYFUNCTION("""COMPUTED_VALUE"""),FALSE)</f>
        <v>0</v>
      </c>
    </row>
    <row r="1137">
      <c r="A1137" s="16"/>
      <c r="B1137" s="16"/>
      <c r="C1137" s="16"/>
      <c r="D1137" s="16"/>
      <c r="E1137" s="16">
        <f>IFERROR(__xludf.DUMMYFUNCTION("""COMPUTED_VALUE"""),1.0)</f>
        <v>1</v>
      </c>
      <c r="F1137" s="108">
        <f>IFERROR(__xludf.DUMMYFUNCTION("""COMPUTED_VALUE"""),0.0)</f>
        <v>0</v>
      </c>
      <c r="G1137" s="16"/>
      <c r="H1137" s="16"/>
      <c r="I1137" s="16"/>
      <c r="J1137" s="16"/>
      <c r="K1137" s="16"/>
      <c r="L1137" s="16"/>
      <c r="M1137" s="16"/>
      <c r="N1137" s="16"/>
      <c r="O1137" s="16"/>
      <c r="P1137" s="16"/>
      <c r="Q1137" s="16"/>
      <c r="R1137" s="16"/>
      <c r="S1137" s="16"/>
      <c r="T1137" s="16"/>
      <c r="U1137" s="16"/>
      <c r="V1137" s="16"/>
      <c r="W1137" s="16"/>
      <c r="X1137" s="16"/>
      <c r="Y1137" s="16"/>
      <c r="Z1137" s="16"/>
      <c r="AA1137" s="16"/>
      <c r="AB1137" s="16"/>
      <c r="AC1137" s="16"/>
      <c r="AD1137" s="16"/>
      <c r="AE1137" s="16"/>
      <c r="AF1137" s="16"/>
      <c r="AG1137" s="16"/>
      <c r="AH1137" s="16" t="b">
        <f>IFERROR(__xludf.DUMMYFUNCTION("""COMPUTED_VALUE"""),FALSE)</f>
        <v>0</v>
      </c>
    </row>
    <row r="1138">
      <c r="A1138" s="16"/>
      <c r="B1138" s="16"/>
      <c r="C1138" s="16"/>
      <c r="D1138" s="16"/>
      <c r="E1138" s="16">
        <f>IFERROR(__xludf.DUMMYFUNCTION("""COMPUTED_VALUE"""),1.0)</f>
        <v>1</v>
      </c>
      <c r="F1138" s="108">
        <f>IFERROR(__xludf.DUMMYFUNCTION("""COMPUTED_VALUE"""),0.0)</f>
        <v>0</v>
      </c>
      <c r="G1138" s="16"/>
      <c r="H1138" s="16"/>
      <c r="I1138" s="16"/>
      <c r="J1138" s="16"/>
      <c r="K1138" s="16"/>
      <c r="L1138" s="16"/>
      <c r="M1138" s="16"/>
      <c r="N1138" s="16"/>
      <c r="O1138" s="16"/>
      <c r="P1138" s="16"/>
      <c r="Q1138" s="16"/>
      <c r="R1138" s="16"/>
      <c r="S1138" s="16"/>
      <c r="T1138" s="16"/>
      <c r="U1138" s="16"/>
      <c r="V1138" s="16"/>
      <c r="W1138" s="16"/>
      <c r="X1138" s="16"/>
      <c r="Y1138" s="16"/>
      <c r="Z1138" s="16"/>
      <c r="AA1138" s="16"/>
      <c r="AB1138" s="16"/>
      <c r="AC1138" s="16"/>
      <c r="AD1138" s="16"/>
      <c r="AE1138" s="16"/>
      <c r="AF1138" s="16"/>
      <c r="AG1138" s="16"/>
      <c r="AH1138" s="16" t="b">
        <f>IFERROR(__xludf.DUMMYFUNCTION("""COMPUTED_VALUE"""),FALSE)</f>
        <v>0</v>
      </c>
    </row>
    <row r="1139">
      <c r="A1139" s="16"/>
      <c r="B1139" s="16"/>
      <c r="C1139" s="16"/>
      <c r="D1139" s="16"/>
      <c r="E1139" s="16">
        <f>IFERROR(__xludf.DUMMYFUNCTION("""COMPUTED_VALUE"""),1.0)</f>
        <v>1</v>
      </c>
      <c r="F1139" s="108">
        <f>IFERROR(__xludf.DUMMYFUNCTION("""COMPUTED_VALUE"""),0.0)</f>
        <v>0</v>
      </c>
      <c r="G1139" s="16"/>
      <c r="H1139" s="16"/>
      <c r="I1139" s="16"/>
      <c r="J1139" s="16"/>
      <c r="K1139" s="16"/>
      <c r="L1139" s="16"/>
      <c r="M1139" s="16"/>
      <c r="N1139" s="16"/>
      <c r="O1139" s="16"/>
      <c r="P1139" s="16"/>
      <c r="Q1139" s="16"/>
      <c r="R1139" s="16"/>
      <c r="S1139" s="16"/>
      <c r="T1139" s="16"/>
      <c r="U1139" s="16"/>
      <c r="V1139" s="16"/>
      <c r="W1139" s="16"/>
      <c r="X1139" s="16"/>
      <c r="Y1139" s="16"/>
      <c r="Z1139" s="16"/>
      <c r="AA1139" s="16"/>
      <c r="AB1139" s="16"/>
      <c r="AC1139" s="16"/>
      <c r="AD1139" s="16"/>
      <c r="AE1139" s="16"/>
      <c r="AF1139" s="16"/>
      <c r="AG1139" s="16"/>
      <c r="AH1139" s="16" t="b">
        <f>IFERROR(__xludf.DUMMYFUNCTION("""COMPUTED_VALUE"""),FALSE)</f>
        <v>0</v>
      </c>
    </row>
    <row r="1140">
      <c r="A1140" s="16"/>
      <c r="B1140" s="16"/>
      <c r="C1140" s="16"/>
      <c r="D1140" s="16"/>
      <c r="E1140" s="16">
        <f>IFERROR(__xludf.DUMMYFUNCTION("""COMPUTED_VALUE"""),1.0)</f>
        <v>1</v>
      </c>
      <c r="F1140" s="108">
        <f>IFERROR(__xludf.DUMMYFUNCTION("""COMPUTED_VALUE"""),0.0)</f>
        <v>0</v>
      </c>
      <c r="G1140" s="16"/>
      <c r="H1140" s="16"/>
      <c r="I1140" s="16"/>
      <c r="J1140" s="16"/>
      <c r="K1140" s="16"/>
      <c r="L1140" s="16"/>
      <c r="M1140" s="16"/>
      <c r="N1140" s="16"/>
      <c r="O1140" s="16"/>
      <c r="P1140" s="16"/>
      <c r="Q1140" s="16"/>
      <c r="R1140" s="16"/>
      <c r="S1140" s="16"/>
      <c r="T1140" s="16"/>
      <c r="U1140" s="16"/>
      <c r="V1140" s="16"/>
      <c r="W1140" s="16"/>
      <c r="X1140" s="16"/>
      <c r="Y1140" s="16"/>
      <c r="Z1140" s="16"/>
      <c r="AA1140" s="16"/>
      <c r="AB1140" s="16"/>
      <c r="AC1140" s="16"/>
      <c r="AD1140" s="16"/>
      <c r="AE1140" s="16"/>
      <c r="AF1140" s="16"/>
      <c r="AG1140" s="16"/>
      <c r="AH1140" s="16" t="b">
        <f>IFERROR(__xludf.DUMMYFUNCTION("""COMPUTED_VALUE"""),FALSE)</f>
        <v>0</v>
      </c>
    </row>
    <row r="1141">
      <c r="A1141" s="16"/>
      <c r="B1141" s="16"/>
      <c r="C1141" s="16"/>
      <c r="D1141" s="16"/>
      <c r="E1141" s="16">
        <f>IFERROR(__xludf.DUMMYFUNCTION("""COMPUTED_VALUE"""),1.0)</f>
        <v>1</v>
      </c>
      <c r="F1141" s="108">
        <f>IFERROR(__xludf.DUMMYFUNCTION("""COMPUTED_VALUE"""),0.0)</f>
        <v>0</v>
      </c>
      <c r="G1141" s="16"/>
      <c r="H1141" s="16"/>
      <c r="I1141" s="16"/>
      <c r="J1141" s="16"/>
      <c r="K1141" s="16"/>
      <c r="L1141" s="16"/>
      <c r="M1141" s="16"/>
      <c r="N1141" s="16"/>
      <c r="O1141" s="16"/>
      <c r="P1141" s="16"/>
      <c r="Q1141" s="16"/>
      <c r="R1141" s="16"/>
      <c r="S1141" s="16"/>
      <c r="T1141" s="16"/>
      <c r="U1141" s="16"/>
      <c r="V1141" s="16"/>
      <c r="W1141" s="16"/>
      <c r="X1141" s="16"/>
      <c r="Y1141" s="16"/>
      <c r="Z1141" s="16"/>
      <c r="AA1141" s="16"/>
      <c r="AB1141" s="16"/>
      <c r="AC1141" s="16"/>
      <c r="AD1141" s="16"/>
      <c r="AE1141" s="16"/>
      <c r="AF1141" s="16"/>
      <c r="AG1141" s="16"/>
      <c r="AH1141" s="16" t="b">
        <f>IFERROR(__xludf.DUMMYFUNCTION("""COMPUTED_VALUE"""),FALSE)</f>
        <v>0</v>
      </c>
    </row>
    <row r="1142">
      <c r="A1142" s="16"/>
      <c r="B1142" s="16"/>
      <c r="C1142" s="16"/>
      <c r="D1142" s="16"/>
      <c r="E1142" s="16">
        <f>IFERROR(__xludf.DUMMYFUNCTION("""COMPUTED_VALUE"""),1.0)</f>
        <v>1</v>
      </c>
      <c r="F1142" s="108">
        <f>IFERROR(__xludf.DUMMYFUNCTION("""COMPUTED_VALUE"""),0.0)</f>
        <v>0</v>
      </c>
      <c r="G1142" s="16"/>
      <c r="H1142" s="16"/>
      <c r="I1142" s="16"/>
      <c r="J1142" s="16"/>
      <c r="K1142" s="16"/>
      <c r="L1142" s="16"/>
      <c r="M1142" s="16"/>
      <c r="N1142" s="16"/>
      <c r="O1142" s="16"/>
      <c r="P1142" s="16"/>
      <c r="Q1142" s="16"/>
      <c r="R1142" s="16"/>
      <c r="S1142" s="16"/>
      <c r="T1142" s="16"/>
      <c r="U1142" s="16"/>
      <c r="V1142" s="16"/>
      <c r="W1142" s="16"/>
      <c r="X1142" s="16"/>
      <c r="Y1142" s="16"/>
      <c r="Z1142" s="16"/>
      <c r="AA1142" s="16"/>
      <c r="AB1142" s="16"/>
      <c r="AC1142" s="16"/>
      <c r="AD1142" s="16"/>
      <c r="AE1142" s="16"/>
      <c r="AF1142" s="16"/>
      <c r="AG1142" s="16"/>
      <c r="AH1142" s="16" t="b">
        <f>IFERROR(__xludf.DUMMYFUNCTION("""COMPUTED_VALUE"""),FALSE)</f>
        <v>0</v>
      </c>
    </row>
    <row r="1143">
      <c r="A1143" s="16"/>
      <c r="B1143" s="16"/>
      <c r="C1143" s="16"/>
      <c r="D1143" s="16"/>
      <c r="E1143" s="16">
        <f>IFERROR(__xludf.DUMMYFUNCTION("""COMPUTED_VALUE"""),1.0)</f>
        <v>1</v>
      </c>
      <c r="F1143" s="108">
        <f>IFERROR(__xludf.DUMMYFUNCTION("""COMPUTED_VALUE"""),0.0)</f>
        <v>0</v>
      </c>
      <c r="G1143" s="16"/>
      <c r="H1143" s="16"/>
      <c r="I1143" s="16"/>
      <c r="J1143" s="16"/>
      <c r="K1143" s="16"/>
      <c r="L1143" s="16"/>
      <c r="M1143" s="16"/>
      <c r="N1143" s="16"/>
      <c r="O1143" s="16"/>
      <c r="P1143" s="16"/>
      <c r="Q1143" s="16"/>
      <c r="R1143" s="16"/>
      <c r="S1143" s="16"/>
      <c r="T1143" s="16"/>
      <c r="U1143" s="16"/>
      <c r="V1143" s="16"/>
      <c r="W1143" s="16"/>
      <c r="X1143" s="16"/>
      <c r="Y1143" s="16"/>
      <c r="Z1143" s="16"/>
      <c r="AA1143" s="16"/>
      <c r="AB1143" s="16"/>
      <c r="AC1143" s="16"/>
      <c r="AD1143" s="16"/>
      <c r="AE1143" s="16"/>
      <c r="AF1143" s="16"/>
      <c r="AG1143" s="16"/>
      <c r="AH1143" s="16" t="b">
        <f>IFERROR(__xludf.DUMMYFUNCTION("""COMPUTED_VALUE"""),FALSE)</f>
        <v>0</v>
      </c>
    </row>
    <row r="1144">
      <c r="A1144" s="16"/>
      <c r="B1144" s="16"/>
      <c r="C1144" s="16"/>
      <c r="D1144" s="16"/>
      <c r="E1144" s="16">
        <f>IFERROR(__xludf.DUMMYFUNCTION("""COMPUTED_VALUE"""),1.0)</f>
        <v>1</v>
      </c>
      <c r="F1144" s="108">
        <f>IFERROR(__xludf.DUMMYFUNCTION("""COMPUTED_VALUE"""),0.0)</f>
        <v>0</v>
      </c>
      <c r="G1144" s="16"/>
      <c r="H1144" s="16"/>
      <c r="I1144" s="16"/>
      <c r="J1144" s="16"/>
      <c r="K1144" s="16"/>
      <c r="L1144" s="16"/>
      <c r="M1144" s="16"/>
      <c r="N1144" s="16"/>
      <c r="O1144" s="16"/>
      <c r="P1144" s="16"/>
      <c r="Q1144" s="16"/>
      <c r="R1144" s="16"/>
      <c r="S1144" s="16"/>
      <c r="T1144" s="16"/>
      <c r="U1144" s="16"/>
      <c r="V1144" s="16"/>
      <c r="W1144" s="16"/>
      <c r="X1144" s="16"/>
      <c r="Y1144" s="16"/>
      <c r="Z1144" s="16"/>
      <c r="AA1144" s="16"/>
      <c r="AB1144" s="16"/>
      <c r="AC1144" s="16"/>
      <c r="AD1144" s="16"/>
      <c r="AE1144" s="16"/>
      <c r="AF1144" s="16"/>
      <c r="AG1144" s="16"/>
      <c r="AH1144" s="16" t="b">
        <f>IFERROR(__xludf.DUMMYFUNCTION("""COMPUTED_VALUE"""),FALSE)</f>
        <v>0</v>
      </c>
    </row>
    <row r="1145">
      <c r="A1145" s="16"/>
      <c r="B1145" s="16"/>
      <c r="C1145" s="16"/>
      <c r="D1145" s="16"/>
      <c r="E1145" s="16">
        <f>IFERROR(__xludf.DUMMYFUNCTION("""COMPUTED_VALUE"""),1.0)</f>
        <v>1</v>
      </c>
      <c r="F1145" s="108">
        <f>IFERROR(__xludf.DUMMYFUNCTION("""COMPUTED_VALUE"""),0.0)</f>
        <v>0</v>
      </c>
      <c r="G1145" s="16"/>
      <c r="H1145" s="16"/>
      <c r="I1145" s="16"/>
      <c r="J1145" s="16"/>
      <c r="K1145" s="16"/>
      <c r="L1145" s="16"/>
      <c r="M1145" s="16"/>
      <c r="N1145" s="16"/>
      <c r="O1145" s="16"/>
      <c r="P1145" s="16"/>
      <c r="Q1145" s="16"/>
      <c r="R1145" s="16"/>
      <c r="S1145" s="16"/>
      <c r="T1145" s="16"/>
      <c r="U1145" s="16"/>
      <c r="V1145" s="16"/>
      <c r="W1145" s="16"/>
      <c r="X1145" s="16"/>
      <c r="Y1145" s="16"/>
      <c r="Z1145" s="16"/>
      <c r="AA1145" s="16"/>
      <c r="AB1145" s="16"/>
      <c r="AC1145" s="16"/>
      <c r="AD1145" s="16"/>
      <c r="AE1145" s="16"/>
      <c r="AF1145" s="16"/>
      <c r="AG1145" s="16"/>
      <c r="AH1145" s="16" t="b">
        <f>IFERROR(__xludf.DUMMYFUNCTION("""COMPUTED_VALUE"""),FALSE)</f>
        <v>0</v>
      </c>
    </row>
    <row r="1146">
      <c r="A1146" s="16"/>
      <c r="B1146" s="16"/>
      <c r="C1146" s="16"/>
      <c r="D1146" s="16"/>
      <c r="E1146" s="16">
        <f>IFERROR(__xludf.DUMMYFUNCTION("""COMPUTED_VALUE"""),1.0)</f>
        <v>1</v>
      </c>
      <c r="F1146" s="108">
        <f>IFERROR(__xludf.DUMMYFUNCTION("""COMPUTED_VALUE"""),0.0)</f>
        <v>0</v>
      </c>
      <c r="G1146" s="16"/>
      <c r="H1146" s="16"/>
      <c r="I1146" s="16"/>
      <c r="J1146" s="16"/>
      <c r="K1146" s="16"/>
      <c r="L1146" s="16"/>
      <c r="M1146" s="16"/>
      <c r="N1146" s="16"/>
      <c r="O1146" s="16"/>
      <c r="P1146" s="16"/>
      <c r="Q1146" s="16"/>
      <c r="R1146" s="16"/>
      <c r="S1146" s="16"/>
      <c r="T1146" s="16"/>
      <c r="U1146" s="16"/>
      <c r="V1146" s="16"/>
      <c r="W1146" s="16"/>
      <c r="X1146" s="16"/>
      <c r="Y1146" s="16"/>
      <c r="Z1146" s="16"/>
      <c r="AA1146" s="16"/>
      <c r="AB1146" s="16"/>
      <c r="AC1146" s="16"/>
      <c r="AD1146" s="16"/>
      <c r="AE1146" s="16"/>
      <c r="AF1146" s="16"/>
      <c r="AG1146" s="16"/>
      <c r="AH1146" s="16" t="b">
        <f>IFERROR(__xludf.DUMMYFUNCTION("""COMPUTED_VALUE"""),FALSE)</f>
        <v>0</v>
      </c>
    </row>
    <row r="1147">
      <c r="A1147" s="16"/>
      <c r="B1147" s="16"/>
      <c r="C1147" s="16"/>
      <c r="D1147" s="16"/>
      <c r="E1147" s="16">
        <f>IFERROR(__xludf.DUMMYFUNCTION("""COMPUTED_VALUE"""),1.0)</f>
        <v>1</v>
      </c>
      <c r="F1147" s="108">
        <f>IFERROR(__xludf.DUMMYFUNCTION("""COMPUTED_VALUE"""),0.0)</f>
        <v>0</v>
      </c>
      <c r="G1147" s="16"/>
      <c r="H1147" s="16"/>
      <c r="I1147" s="16"/>
      <c r="J1147" s="16"/>
      <c r="K1147" s="16"/>
      <c r="L1147" s="16"/>
      <c r="M1147" s="16"/>
      <c r="N1147" s="16"/>
      <c r="O1147" s="16"/>
      <c r="P1147" s="16"/>
      <c r="Q1147" s="16"/>
      <c r="R1147" s="16"/>
      <c r="S1147" s="16"/>
      <c r="T1147" s="16"/>
      <c r="U1147" s="16"/>
      <c r="V1147" s="16"/>
      <c r="W1147" s="16"/>
      <c r="X1147" s="16"/>
      <c r="Y1147" s="16"/>
      <c r="Z1147" s="16"/>
      <c r="AA1147" s="16"/>
      <c r="AB1147" s="16"/>
      <c r="AC1147" s="16"/>
      <c r="AD1147" s="16"/>
      <c r="AE1147" s="16"/>
      <c r="AF1147" s="16"/>
      <c r="AG1147" s="16"/>
      <c r="AH1147" s="16" t="b">
        <f>IFERROR(__xludf.DUMMYFUNCTION("""COMPUTED_VALUE"""),FALSE)</f>
        <v>0</v>
      </c>
    </row>
    <row r="1148">
      <c r="A1148" s="16"/>
      <c r="B1148" s="16"/>
      <c r="C1148" s="16"/>
      <c r="D1148" s="16"/>
      <c r="E1148" s="16">
        <f>IFERROR(__xludf.DUMMYFUNCTION("""COMPUTED_VALUE"""),1.0)</f>
        <v>1</v>
      </c>
      <c r="F1148" s="108">
        <f>IFERROR(__xludf.DUMMYFUNCTION("""COMPUTED_VALUE"""),0.0)</f>
        <v>0</v>
      </c>
      <c r="G1148" s="16"/>
      <c r="H1148" s="16"/>
      <c r="I1148" s="16"/>
      <c r="J1148" s="16"/>
      <c r="K1148" s="16"/>
      <c r="L1148" s="16"/>
      <c r="M1148" s="16"/>
      <c r="N1148" s="16"/>
      <c r="O1148" s="16"/>
      <c r="P1148" s="16"/>
      <c r="Q1148" s="16"/>
      <c r="R1148" s="16"/>
      <c r="S1148" s="16"/>
      <c r="T1148" s="16"/>
      <c r="U1148" s="16"/>
      <c r="V1148" s="16"/>
      <c r="W1148" s="16"/>
      <c r="X1148" s="16"/>
      <c r="Y1148" s="16"/>
      <c r="Z1148" s="16"/>
      <c r="AA1148" s="16"/>
      <c r="AB1148" s="16"/>
      <c r="AC1148" s="16"/>
      <c r="AD1148" s="16"/>
      <c r="AE1148" s="16"/>
      <c r="AF1148" s="16"/>
      <c r="AG1148" s="16"/>
      <c r="AH1148" s="16" t="b">
        <f>IFERROR(__xludf.DUMMYFUNCTION("""COMPUTED_VALUE"""),FALSE)</f>
        <v>0</v>
      </c>
    </row>
    <row r="1149">
      <c r="A1149" s="16"/>
      <c r="B1149" s="16"/>
      <c r="C1149" s="16"/>
      <c r="D1149" s="16"/>
      <c r="E1149" s="16">
        <f>IFERROR(__xludf.DUMMYFUNCTION("""COMPUTED_VALUE"""),1.0)</f>
        <v>1</v>
      </c>
      <c r="F1149" s="108">
        <f>IFERROR(__xludf.DUMMYFUNCTION("""COMPUTED_VALUE"""),0.0)</f>
        <v>0</v>
      </c>
      <c r="G1149" s="16"/>
      <c r="H1149" s="16"/>
      <c r="I1149" s="16"/>
      <c r="J1149" s="16"/>
      <c r="K1149" s="16"/>
      <c r="L1149" s="16"/>
      <c r="M1149" s="16"/>
      <c r="N1149" s="16"/>
      <c r="O1149" s="16"/>
      <c r="P1149" s="16"/>
      <c r="Q1149" s="16"/>
      <c r="R1149" s="16"/>
      <c r="S1149" s="16"/>
      <c r="T1149" s="16"/>
      <c r="U1149" s="16"/>
      <c r="V1149" s="16"/>
      <c r="W1149" s="16"/>
      <c r="X1149" s="16"/>
      <c r="Y1149" s="16"/>
      <c r="Z1149" s="16"/>
      <c r="AA1149" s="16"/>
      <c r="AB1149" s="16"/>
      <c r="AC1149" s="16"/>
      <c r="AD1149" s="16"/>
      <c r="AE1149" s="16"/>
      <c r="AF1149" s="16"/>
      <c r="AG1149" s="16"/>
      <c r="AH1149" s="16" t="b">
        <f>IFERROR(__xludf.DUMMYFUNCTION("""COMPUTED_VALUE"""),FALSE)</f>
        <v>0</v>
      </c>
    </row>
    <row r="1150">
      <c r="A1150" s="16"/>
      <c r="B1150" s="16"/>
      <c r="C1150" s="16"/>
      <c r="D1150" s="16"/>
      <c r="E1150" s="16">
        <f>IFERROR(__xludf.DUMMYFUNCTION("""COMPUTED_VALUE"""),1.0)</f>
        <v>1</v>
      </c>
      <c r="F1150" s="108">
        <f>IFERROR(__xludf.DUMMYFUNCTION("""COMPUTED_VALUE"""),0.0)</f>
        <v>0</v>
      </c>
      <c r="G1150" s="16"/>
      <c r="H1150" s="16"/>
      <c r="I1150" s="16"/>
      <c r="J1150" s="16"/>
      <c r="K1150" s="16"/>
      <c r="L1150" s="16"/>
      <c r="M1150" s="16"/>
      <c r="N1150" s="16"/>
      <c r="O1150" s="16"/>
      <c r="P1150" s="16"/>
      <c r="Q1150" s="16"/>
      <c r="R1150" s="16"/>
      <c r="S1150" s="16"/>
      <c r="T1150" s="16"/>
      <c r="U1150" s="16"/>
      <c r="V1150" s="16"/>
      <c r="W1150" s="16"/>
      <c r="X1150" s="16"/>
      <c r="Y1150" s="16"/>
      <c r="Z1150" s="16"/>
      <c r="AA1150" s="16"/>
      <c r="AB1150" s="16"/>
      <c r="AC1150" s="16"/>
      <c r="AD1150" s="16"/>
      <c r="AE1150" s="16"/>
      <c r="AF1150" s="16"/>
      <c r="AG1150" s="16"/>
      <c r="AH1150" s="16" t="b">
        <f>IFERROR(__xludf.DUMMYFUNCTION("""COMPUTED_VALUE"""),FALSE)</f>
        <v>0</v>
      </c>
    </row>
    <row r="1151">
      <c r="A1151" s="16"/>
      <c r="B1151" s="16"/>
      <c r="C1151" s="16"/>
      <c r="D1151" s="16"/>
      <c r="E1151" s="16">
        <f>IFERROR(__xludf.DUMMYFUNCTION("""COMPUTED_VALUE"""),1.0)</f>
        <v>1</v>
      </c>
      <c r="F1151" s="108">
        <f>IFERROR(__xludf.DUMMYFUNCTION("""COMPUTED_VALUE"""),0.0)</f>
        <v>0</v>
      </c>
      <c r="G1151" s="16"/>
      <c r="H1151" s="16"/>
      <c r="I1151" s="16"/>
      <c r="J1151" s="16"/>
      <c r="K1151" s="16"/>
      <c r="L1151" s="16"/>
      <c r="M1151" s="16"/>
      <c r="N1151" s="16"/>
      <c r="O1151" s="16"/>
      <c r="P1151" s="16"/>
      <c r="Q1151" s="16"/>
      <c r="R1151" s="16"/>
      <c r="S1151" s="16"/>
      <c r="T1151" s="16"/>
      <c r="U1151" s="16"/>
      <c r="V1151" s="16"/>
      <c r="W1151" s="16"/>
      <c r="X1151" s="16"/>
      <c r="Y1151" s="16"/>
      <c r="Z1151" s="16"/>
      <c r="AA1151" s="16"/>
      <c r="AB1151" s="16"/>
      <c r="AC1151" s="16"/>
      <c r="AD1151" s="16"/>
      <c r="AE1151" s="16"/>
      <c r="AF1151" s="16"/>
      <c r="AG1151" s="16"/>
      <c r="AH1151" s="16" t="b">
        <f>IFERROR(__xludf.DUMMYFUNCTION("""COMPUTED_VALUE"""),FALSE)</f>
        <v>0</v>
      </c>
    </row>
    <row r="1152">
      <c r="A1152" s="16"/>
      <c r="B1152" s="16"/>
      <c r="C1152" s="16"/>
      <c r="D1152" s="16"/>
      <c r="E1152" s="16">
        <f>IFERROR(__xludf.DUMMYFUNCTION("""COMPUTED_VALUE"""),1.0)</f>
        <v>1</v>
      </c>
      <c r="F1152" s="108">
        <f>IFERROR(__xludf.DUMMYFUNCTION("""COMPUTED_VALUE"""),0.0)</f>
        <v>0</v>
      </c>
      <c r="G1152" s="16"/>
      <c r="H1152" s="16"/>
      <c r="I1152" s="16"/>
      <c r="J1152" s="16"/>
      <c r="K1152" s="16"/>
      <c r="L1152" s="16"/>
      <c r="M1152" s="16"/>
      <c r="N1152" s="16"/>
      <c r="O1152" s="16"/>
      <c r="P1152" s="16"/>
      <c r="Q1152" s="16"/>
      <c r="R1152" s="16"/>
      <c r="S1152" s="16"/>
      <c r="T1152" s="16"/>
      <c r="U1152" s="16"/>
      <c r="V1152" s="16"/>
      <c r="W1152" s="16"/>
      <c r="X1152" s="16"/>
      <c r="Y1152" s="16"/>
      <c r="Z1152" s="16"/>
      <c r="AA1152" s="16"/>
      <c r="AB1152" s="16"/>
      <c r="AC1152" s="16"/>
      <c r="AD1152" s="16"/>
      <c r="AE1152" s="16"/>
      <c r="AF1152" s="16"/>
      <c r="AG1152" s="16"/>
      <c r="AH1152" s="16" t="b">
        <f>IFERROR(__xludf.DUMMYFUNCTION("""COMPUTED_VALUE"""),FALSE)</f>
        <v>0</v>
      </c>
    </row>
    <row r="1153">
      <c r="A1153" s="16"/>
      <c r="B1153" s="16"/>
      <c r="C1153" s="16"/>
      <c r="D1153" s="16"/>
      <c r="E1153" s="16">
        <f>IFERROR(__xludf.DUMMYFUNCTION("""COMPUTED_VALUE"""),1.0)</f>
        <v>1</v>
      </c>
      <c r="F1153" s="108">
        <f>IFERROR(__xludf.DUMMYFUNCTION("""COMPUTED_VALUE"""),0.0)</f>
        <v>0</v>
      </c>
      <c r="G1153" s="16"/>
      <c r="H1153" s="16"/>
      <c r="I1153" s="16"/>
      <c r="J1153" s="16"/>
      <c r="K1153" s="16"/>
      <c r="L1153" s="16"/>
      <c r="M1153" s="16"/>
      <c r="N1153" s="16"/>
      <c r="O1153" s="16"/>
      <c r="P1153" s="16"/>
      <c r="Q1153" s="16"/>
      <c r="R1153" s="16"/>
      <c r="S1153" s="16"/>
      <c r="T1153" s="16"/>
      <c r="U1153" s="16"/>
      <c r="V1153" s="16"/>
      <c r="W1153" s="16"/>
      <c r="X1153" s="16"/>
      <c r="Y1153" s="16"/>
      <c r="Z1153" s="16"/>
      <c r="AA1153" s="16"/>
      <c r="AB1153" s="16"/>
      <c r="AC1153" s="16"/>
      <c r="AD1153" s="16"/>
      <c r="AE1153" s="16"/>
      <c r="AF1153" s="16"/>
      <c r="AG1153" s="16"/>
      <c r="AH1153" s="16" t="b">
        <f>IFERROR(__xludf.DUMMYFUNCTION("""COMPUTED_VALUE"""),FALSE)</f>
        <v>0</v>
      </c>
    </row>
    <row r="1154">
      <c r="A1154" s="16"/>
      <c r="B1154" s="16"/>
      <c r="C1154" s="16"/>
      <c r="D1154" s="16"/>
      <c r="E1154" s="16">
        <f>IFERROR(__xludf.DUMMYFUNCTION("""COMPUTED_VALUE"""),1.0)</f>
        <v>1</v>
      </c>
      <c r="F1154" s="108">
        <f>IFERROR(__xludf.DUMMYFUNCTION("""COMPUTED_VALUE"""),0.0)</f>
        <v>0</v>
      </c>
      <c r="G1154" s="16"/>
      <c r="H1154" s="16"/>
      <c r="I1154" s="16"/>
      <c r="J1154" s="16"/>
      <c r="K1154" s="16"/>
      <c r="L1154" s="16"/>
      <c r="M1154" s="16"/>
      <c r="N1154" s="16"/>
      <c r="O1154" s="16"/>
      <c r="P1154" s="16"/>
      <c r="Q1154" s="16"/>
      <c r="R1154" s="16"/>
      <c r="S1154" s="16"/>
      <c r="T1154" s="16"/>
      <c r="U1154" s="16"/>
      <c r="V1154" s="16"/>
      <c r="W1154" s="16"/>
      <c r="X1154" s="16"/>
      <c r="Y1154" s="16"/>
      <c r="Z1154" s="16"/>
      <c r="AA1154" s="16"/>
      <c r="AB1154" s="16"/>
      <c r="AC1154" s="16"/>
      <c r="AD1154" s="16"/>
      <c r="AE1154" s="16"/>
      <c r="AF1154" s="16"/>
      <c r="AG1154" s="16"/>
      <c r="AH1154" s="16" t="b">
        <f>IFERROR(__xludf.DUMMYFUNCTION("""COMPUTED_VALUE"""),FALSE)</f>
        <v>0</v>
      </c>
    </row>
    <row r="1155">
      <c r="A1155" s="16"/>
      <c r="B1155" s="16"/>
      <c r="C1155" s="16"/>
      <c r="D1155" s="16"/>
      <c r="E1155" s="16">
        <f>IFERROR(__xludf.DUMMYFUNCTION("""COMPUTED_VALUE"""),1.0)</f>
        <v>1</v>
      </c>
      <c r="F1155" s="108">
        <f>IFERROR(__xludf.DUMMYFUNCTION("""COMPUTED_VALUE"""),0.0)</f>
        <v>0</v>
      </c>
      <c r="G1155" s="16"/>
      <c r="H1155" s="16"/>
      <c r="I1155" s="16"/>
      <c r="J1155" s="16"/>
      <c r="K1155" s="16"/>
      <c r="L1155" s="16"/>
      <c r="M1155" s="16"/>
      <c r="N1155" s="16"/>
      <c r="O1155" s="16"/>
      <c r="P1155" s="16"/>
      <c r="Q1155" s="16"/>
      <c r="R1155" s="16"/>
      <c r="S1155" s="16"/>
      <c r="T1155" s="16"/>
      <c r="U1155" s="16"/>
      <c r="V1155" s="16"/>
      <c r="W1155" s="16"/>
      <c r="X1155" s="16"/>
      <c r="Y1155" s="16"/>
      <c r="Z1155" s="16"/>
      <c r="AA1155" s="16"/>
      <c r="AB1155" s="16"/>
      <c r="AC1155" s="16"/>
      <c r="AD1155" s="16"/>
      <c r="AE1155" s="16"/>
      <c r="AF1155" s="16"/>
      <c r="AG1155" s="16"/>
      <c r="AH1155" s="16" t="b">
        <f>IFERROR(__xludf.DUMMYFUNCTION("""COMPUTED_VALUE"""),FALSE)</f>
        <v>0</v>
      </c>
    </row>
    <row r="1156">
      <c r="A1156" s="16"/>
      <c r="B1156" s="16"/>
      <c r="C1156" s="16"/>
      <c r="D1156" s="16"/>
      <c r="E1156" s="16">
        <f>IFERROR(__xludf.DUMMYFUNCTION("""COMPUTED_VALUE"""),1.0)</f>
        <v>1</v>
      </c>
      <c r="F1156" s="108">
        <f>IFERROR(__xludf.DUMMYFUNCTION("""COMPUTED_VALUE"""),0.0)</f>
        <v>0</v>
      </c>
      <c r="G1156" s="16"/>
      <c r="H1156" s="16"/>
      <c r="I1156" s="16"/>
      <c r="J1156" s="16"/>
      <c r="K1156" s="16"/>
      <c r="L1156" s="16"/>
      <c r="M1156" s="16"/>
      <c r="N1156" s="16"/>
      <c r="O1156" s="16"/>
      <c r="P1156" s="16"/>
      <c r="Q1156" s="16"/>
      <c r="R1156" s="16"/>
      <c r="S1156" s="16"/>
      <c r="T1156" s="16"/>
      <c r="U1156" s="16"/>
      <c r="V1156" s="16"/>
      <c r="W1156" s="16"/>
      <c r="X1156" s="16"/>
      <c r="Y1156" s="16"/>
      <c r="Z1156" s="16"/>
      <c r="AA1156" s="16"/>
      <c r="AB1156" s="16"/>
      <c r="AC1156" s="16"/>
      <c r="AD1156" s="16"/>
      <c r="AE1156" s="16"/>
      <c r="AF1156" s="16"/>
      <c r="AG1156" s="16"/>
      <c r="AH1156" s="16" t="b">
        <f>IFERROR(__xludf.DUMMYFUNCTION("""COMPUTED_VALUE"""),FALSE)</f>
        <v>0</v>
      </c>
    </row>
    <row r="1157">
      <c r="A1157" s="16"/>
      <c r="B1157" s="16"/>
      <c r="C1157" s="16"/>
      <c r="D1157" s="16"/>
      <c r="E1157" s="16">
        <f>IFERROR(__xludf.DUMMYFUNCTION("""COMPUTED_VALUE"""),1.0)</f>
        <v>1</v>
      </c>
      <c r="F1157" s="108">
        <f>IFERROR(__xludf.DUMMYFUNCTION("""COMPUTED_VALUE"""),0.0)</f>
        <v>0</v>
      </c>
      <c r="G1157" s="16"/>
      <c r="H1157" s="16"/>
      <c r="I1157" s="16"/>
      <c r="J1157" s="16"/>
      <c r="K1157" s="16"/>
      <c r="L1157" s="16"/>
      <c r="M1157" s="16"/>
      <c r="N1157" s="16"/>
      <c r="O1157" s="16"/>
      <c r="P1157" s="16"/>
      <c r="Q1157" s="16"/>
      <c r="R1157" s="16"/>
      <c r="S1157" s="16"/>
      <c r="T1157" s="16"/>
      <c r="U1157" s="16"/>
      <c r="V1157" s="16"/>
      <c r="W1157" s="16"/>
      <c r="X1157" s="16"/>
      <c r="Y1157" s="16"/>
      <c r="Z1157" s="16"/>
      <c r="AA1157" s="16"/>
      <c r="AB1157" s="16"/>
      <c r="AC1157" s="16"/>
      <c r="AD1157" s="16"/>
      <c r="AE1157" s="16"/>
      <c r="AF1157" s="16"/>
      <c r="AG1157" s="16"/>
      <c r="AH1157" s="16" t="b">
        <f>IFERROR(__xludf.DUMMYFUNCTION("""COMPUTED_VALUE"""),FALSE)</f>
        <v>0</v>
      </c>
    </row>
    <row r="1158">
      <c r="A1158" s="16"/>
      <c r="B1158" s="16"/>
      <c r="C1158" s="16"/>
      <c r="D1158" s="16"/>
      <c r="E1158" s="16">
        <f>IFERROR(__xludf.DUMMYFUNCTION("""COMPUTED_VALUE"""),1.0)</f>
        <v>1</v>
      </c>
      <c r="F1158" s="108">
        <f>IFERROR(__xludf.DUMMYFUNCTION("""COMPUTED_VALUE"""),0.0)</f>
        <v>0</v>
      </c>
      <c r="G1158" s="16"/>
      <c r="H1158" s="16"/>
      <c r="I1158" s="16"/>
      <c r="J1158" s="16"/>
      <c r="K1158" s="16"/>
      <c r="L1158" s="16"/>
      <c r="M1158" s="16"/>
      <c r="N1158" s="16"/>
      <c r="O1158" s="16"/>
      <c r="P1158" s="16"/>
      <c r="Q1158" s="16"/>
      <c r="R1158" s="16"/>
      <c r="S1158" s="16"/>
      <c r="T1158" s="16"/>
      <c r="U1158" s="16"/>
      <c r="V1158" s="16"/>
      <c r="W1158" s="16"/>
      <c r="X1158" s="16"/>
      <c r="Y1158" s="16"/>
      <c r="Z1158" s="16"/>
      <c r="AA1158" s="16"/>
      <c r="AB1158" s="16"/>
      <c r="AC1158" s="16"/>
      <c r="AD1158" s="16"/>
      <c r="AE1158" s="16"/>
      <c r="AF1158" s="16"/>
      <c r="AG1158" s="16"/>
      <c r="AH1158" s="16" t="b">
        <f>IFERROR(__xludf.DUMMYFUNCTION("""COMPUTED_VALUE"""),FALSE)</f>
        <v>0</v>
      </c>
    </row>
    <row r="1159">
      <c r="A1159" s="16"/>
      <c r="B1159" s="16"/>
      <c r="C1159" s="16"/>
      <c r="D1159" s="16"/>
      <c r="E1159" s="16">
        <f>IFERROR(__xludf.DUMMYFUNCTION("""COMPUTED_VALUE"""),1.0)</f>
        <v>1</v>
      </c>
      <c r="F1159" s="108">
        <f>IFERROR(__xludf.DUMMYFUNCTION("""COMPUTED_VALUE"""),0.0)</f>
        <v>0</v>
      </c>
      <c r="G1159" s="16"/>
      <c r="H1159" s="16"/>
      <c r="I1159" s="16"/>
      <c r="J1159" s="16"/>
      <c r="K1159" s="16"/>
      <c r="L1159" s="16"/>
      <c r="M1159" s="16"/>
      <c r="N1159" s="16"/>
      <c r="O1159" s="16"/>
      <c r="P1159" s="16"/>
      <c r="Q1159" s="16"/>
      <c r="R1159" s="16"/>
      <c r="S1159" s="16"/>
      <c r="T1159" s="16"/>
      <c r="U1159" s="16"/>
      <c r="V1159" s="16"/>
      <c r="W1159" s="16"/>
      <c r="X1159" s="16"/>
      <c r="Y1159" s="16"/>
      <c r="Z1159" s="16"/>
      <c r="AA1159" s="16"/>
      <c r="AB1159" s="16"/>
      <c r="AC1159" s="16"/>
      <c r="AD1159" s="16"/>
      <c r="AE1159" s="16"/>
      <c r="AF1159" s="16"/>
      <c r="AG1159" s="16"/>
      <c r="AH1159" s="16" t="b">
        <f>IFERROR(__xludf.DUMMYFUNCTION("""COMPUTED_VALUE"""),FALSE)</f>
        <v>0</v>
      </c>
    </row>
    <row r="1160">
      <c r="A1160" s="16"/>
      <c r="B1160" s="16"/>
      <c r="C1160" s="16"/>
      <c r="D1160" s="16"/>
      <c r="E1160" s="16">
        <f>IFERROR(__xludf.DUMMYFUNCTION("""COMPUTED_VALUE"""),1.0)</f>
        <v>1</v>
      </c>
      <c r="F1160" s="108">
        <f>IFERROR(__xludf.DUMMYFUNCTION("""COMPUTED_VALUE"""),0.0)</f>
        <v>0</v>
      </c>
      <c r="G1160" s="16"/>
      <c r="H1160" s="16"/>
      <c r="I1160" s="16"/>
      <c r="J1160" s="16"/>
      <c r="K1160" s="16"/>
      <c r="L1160" s="16"/>
      <c r="M1160" s="16"/>
      <c r="N1160" s="16"/>
      <c r="O1160" s="16"/>
      <c r="P1160" s="16"/>
      <c r="Q1160" s="16"/>
      <c r="R1160" s="16"/>
      <c r="S1160" s="16"/>
      <c r="T1160" s="16"/>
      <c r="U1160" s="16"/>
      <c r="V1160" s="16"/>
      <c r="W1160" s="16"/>
      <c r="X1160" s="16"/>
      <c r="Y1160" s="16"/>
      <c r="Z1160" s="16"/>
      <c r="AA1160" s="16"/>
      <c r="AB1160" s="16"/>
      <c r="AC1160" s="16"/>
      <c r="AD1160" s="16"/>
      <c r="AE1160" s="16"/>
      <c r="AF1160" s="16"/>
      <c r="AG1160" s="16"/>
      <c r="AH1160" s="16" t="b">
        <f>IFERROR(__xludf.DUMMYFUNCTION("""COMPUTED_VALUE"""),FALSE)</f>
        <v>0</v>
      </c>
    </row>
    <row r="1161">
      <c r="A1161" s="16"/>
      <c r="B1161" s="16"/>
      <c r="C1161" s="16"/>
      <c r="D1161" s="16"/>
      <c r="E1161" s="16">
        <f>IFERROR(__xludf.DUMMYFUNCTION("""COMPUTED_VALUE"""),1.0)</f>
        <v>1</v>
      </c>
      <c r="F1161" s="108">
        <f>IFERROR(__xludf.DUMMYFUNCTION("""COMPUTED_VALUE"""),0.0)</f>
        <v>0</v>
      </c>
      <c r="G1161" s="16"/>
      <c r="H1161" s="16"/>
      <c r="I1161" s="16"/>
      <c r="J1161" s="16"/>
      <c r="K1161" s="16"/>
      <c r="L1161" s="16"/>
      <c r="M1161" s="16"/>
      <c r="N1161" s="16"/>
      <c r="O1161" s="16"/>
      <c r="P1161" s="16"/>
      <c r="Q1161" s="16"/>
      <c r="R1161" s="16"/>
      <c r="S1161" s="16"/>
      <c r="T1161" s="16"/>
      <c r="U1161" s="16"/>
      <c r="V1161" s="16"/>
      <c r="W1161" s="16"/>
      <c r="X1161" s="16"/>
      <c r="Y1161" s="16"/>
      <c r="Z1161" s="16"/>
      <c r="AA1161" s="16"/>
      <c r="AB1161" s="16"/>
      <c r="AC1161" s="16"/>
      <c r="AD1161" s="16"/>
      <c r="AE1161" s="16"/>
      <c r="AF1161" s="16"/>
      <c r="AG1161" s="16"/>
      <c r="AH1161" s="16" t="b">
        <f>IFERROR(__xludf.DUMMYFUNCTION("""COMPUTED_VALUE"""),FALSE)</f>
        <v>0</v>
      </c>
    </row>
    <row r="1162">
      <c r="A1162" s="16"/>
      <c r="B1162" s="16"/>
      <c r="C1162" s="16"/>
      <c r="D1162" s="16"/>
      <c r="E1162" s="16">
        <f>IFERROR(__xludf.DUMMYFUNCTION("""COMPUTED_VALUE"""),1.0)</f>
        <v>1</v>
      </c>
      <c r="F1162" s="108">
        <f>IFERROR(__xludf.DUMMYFUNCTION("""COMPUTED_VALUE"""),0.0)</f>
        <v>0</v>
      </c>
      <c r="G1162" s="16"/>
      <c r="H1162" s="16"/>
      <c r="I1162" s="16"/>
      <c r="J1162" s="16"/>
      <c r="K1162" s="16"/>
      <c r="L1162" s="16"/>
      <c r="M1162" s="16"/>
      <c r="N1162" s="16"/>
      <c r="O1162" s="16"/>
      <c r="P1162" s="16"/>
      <c r="Q1162" s="16"/>
      <c r="R1162" s="16"/>
      <c r="S1162" s="16"/>
      <c r="T1162" s="16"/>
      <c r="U1162" s="16"/>
      <c r="V1162" s="16"/>
      <c r="W1162" s="16"/>
      <c r="X1162" s="16"/>
      <c r="Y1162" s="16"/>
      <c r="Z1162" s="16"/>
      <c r="AA1162" s="16"/>
      <c r="AB1162" s="16"/>
      <c r="AC1162" s="16"/>
      <c r="AD1162" s="16"/>
      <c r="AE1162" s="16"/>
      <c r="AF1162" s="16"/>
      <c r="AG1162" s="16"/>
      <c r="AH1162" s="16" t="b">
        <f>IFERROR(__xludf.DUMMYFUNCTION("""COMPUTED_VALUE"""),FALSE)</f>
        <v>0</v>
      </c>
    </row>
    <row r="1163">
      <c r="A1163" s="16"/>
      <c r="B1163" s="16"/>
      <c r="C1163" s="16"/>
      <c r="D1163" s="16"/>
      <c r="E1163" s="16">
        <f>IFERROR(__xludf.DUMMYFUNCTION("""COMPUTED_VALUE"""),1.0)</f>
        <v>1</v>
      </c>
      <c r="F1163" s="108">
        <f>IFERROR(__xludf.DUMMYFUNCTION("""COMPUTED_VALUE"""),0.0)</f>
        <v>0</v>
      </c>
      <c r="G1163" s="16"/>
      <c r="H1163" s="16"/>
      <c r="I1163" s="16"/>
      <c r="J1163" s="16"/>
      <c r="K1163" s="16"/>
      <c r="L1163" s="16"/>
      <c r="M1163" s="16"/>
      <c r="N1163" s="16"/>
      <c r="O1163" s="16"/>
      <c r="P1163" s="16"/>
      <c r="Q1163" s="16"/>
      <c r="R1163" s="16"/>
      <c r="S1163" s="16"/>
      <c r="T1163" s="16"/>
      <c r="U1163" s="16"/>
      <c r="V1163" s="16"/>
      <c r="W1163" s="16"/>
      <c r="X1163" s="16"/>
      <c r="Y1163" s="16"/>
      <c r="Z1163" s="16"/>
      <c r="AA1163" s="16"/>
      <c r="AB1163" s="16"/>
      <c r="AC1163" s="16"/>
      <c r="AD1163" s="16"/>
      <c r="AE1163" s="16"/>
      <c r="AF1163" s="16"/>
      <c r="AG1163" s="16"/>
      <c r="AH1163" s="16" t="b">
        <f>IFERROR(__xludf.DUMMYFUNCTION("""COMPUTED_VALUE"""),FALSE)</f>
        <v>0</v>
      </c>
    </row>
    <row r="1164">
      <c r="A1164" s="16"/>
      <c r="B1164" s="16"/>
      <c r="C1164" s="16"/>
      <c r="D1164" s="16"/>
      <c r="E1164" s="16">
        <f>IFERROR(__xludf.DUMMYFUNCTION("""COMPUTED_VALUE"""),1.0)</f>
        <v>1</v>
      </c>
      <c r="F1164" s="108">
        <f>IFERROR(__xludf.DUMMYFUNCTION("""COMPUTED_VALUE"""),0.0)</f>
        <v>0</v>
      </c>
      <c r="G1164" s="16"/>
      <c r="H1164" s="16"/>
      <c r="I1164" s="16"/>
      <c r="J1164" s="16"/>
      <c r="K1164" s="16"/>
      <c r="L1164" s="16"/>
      <c r="M1164" s="16"/>
      <c r="N1164" s="16"/>
      <c r="O1164" s="16"/>
      <c r="P1164" s="16"/>
      <c r="Q1164" s="16"/>
      <c r="R1164" s="16"/>
      <c r="S1164" s="16"/>
      <c r="T1164" s="16"/>
      <c r="U1164" s="16"/>
      <c r="V1164" s="16"/>
      <c r="W1164" s="16"/>
      <c r="X1164" s="16"/>
      <c r="Y1164" s="16"/>
      <c r="Z1164" s="16"/>
      <c r="AA1164" s="16"/>
      <c r="AB1164" s="16"/>
      <c r="AC1164" s="16"/>
      <c r="AD1164" s="16"/>
      <c r="AE1164" s="16"/>
      <c r="AF1164" s="16"/>
      <c r="AG1164" s="16"/>
      <c r="AH1164" s="16" t="b">
        <f>IFERROR(__xludf.DUMMYFUNCTION("""COMPUTED_VALUE"""),FALSE)</f>
        <v>0</v>
      </c>
    </row>
    <row r="1165">
      <c r="A1165" s="16"/>
      <c r="B1165" s="16"/>
      <c r="C1165" s="16"/>
      <c r="D1165" s="16"/>
      <c r="E1165" s="16">
        <f>IFERROR(__xludf.DUMMYFUNCTION("""COMPUTED_VALUE"""),1.0)</f>
        <v>1</v>
      </c>
      <c r="F1165" s="108">
        <f>IFERROR(__xludf.DUMMYFUNCTION("""COMPUTED_VALUE"""),0.0)</f>
        <v>0</v>
      </c>
      <c r="G1165" s="16"/>
      <c r="H1165" s="16"/>
      <c r="I1165" s="16"/>
      <c r="J1165" s="16"/>
      <c r="K1165" s="16"/>
      <c r="L1165" s="16"/>
      <c r="M1165" s="16"/>
      <c r="N1165" s="16"/>
      <c r="O1165" s="16"/>
      <c r="P1165" s="16"/>
      <c r="Q1165" s="16"/>
      <c r="R1165" s="16"/>
      <c r="S1165" s="16"/>
      <c r="T1165" s="16"/>
      <c r="U1165" s="16"/>
      <c r="V1165" s="16"/>
      <c r="W1165" s="16"/>
      <c r="X1165" s="16"/>
      <c r="Y1165" s="16"/>
      <c r="Z1165" s="16"/>
      <c r="AA1165" s="16"/>
      <c r="AB1165" s="16"/>
      <c r="AC1165" s="16"/>
      <c r="AD1165" s="16"/>
      <c r="AE1165" s="16"/>
      <c r="AF1165" s="16"/>
      <c r="AG1165" s="16"/>
      <c r="AH1165" s="16" t="b">
        <f>IFERROR(__xludf.DUMMYFUNCTION("""COMPUTED_VALUE"""),FALSE)</f>
        <v>0</v>
      </c>
    </row>
    <row r="1166">
      <c r="A1166" s="16"/>
      <c r="B1166" s="16"/>
      <c r="C1166" s="16"/>
      <c r="D1166" s="16"/>
      <c r="E1166" s="16">
        <f>IFERROR(__xludf.DUMMYFUNCTION("""COMPUTED_VALUE"""),1.0)</f>
        <v>1</v>
      </c>
      <c r="F1166" s="108">
        <f>IFERROR(__xludf.DUMMYFUNCTION("""COMPUTED_VALUE"""),0.0)</f>
        <v>0</v>
      </c>
      <c r="G1166" s="16"/>
      <c r="H1166" s="16"/>
      <c r="I1166" s="16"/>
      <c r="J1166" s="16"/>
      <c r="K1166" s="16"/>
      <c r="L1166" s="16"/>
      <c r="M1166" s="16"/>
      <c r="N1166" s="16"/>
      <c r="O1166" s="16"/>
      <c r="P1166" s="16"/>
      <c r="Q1166" s="16"/>
      <c r="R1166" s="16"/>
      <c r="S1166" s="16"/>
      <c r="T1166" s="16"/>
      <c r="U1166" s="16"/>
      <c r="V1166" s="16"/>
      <c r="W1166" s="16"/>
      <c r="X1166" s="16"/>
      <c r="Y1166" s="16"/>
      <c r="Z1166" s="16"/>
      <c r="AA1166" s="16"/>
      <c r="AB1166" s="16"/>
      <c r="AC1166" s="16"/>
      <c r="AD1166" s="16"/>
      <c r="AE1166" s="16"/>
      <c r="AF1166" s="16"/>
      <c r="AG1166" s="16"/>
      <c r="AH1166" s="16" t="b">
        <f>IFERROR(__xludf.DUMMYFUNCTION("""COMPUTED_VALUE"""),FALSE)</f>
        <v>0</v>
      </c>
    </row>
    <row r="1167">
      <c r="A1167" s="16"/>
      <c r="B1167" s="16"/>
      <c r="C1167" s="16"/>
      <c r="D1167" s="16"/>
      <c r="E1167" s="16">
        <f>IFERROR(__xludf.DUMMYFUNCTION("""COMPUTED_VALUE"""),1.0)</f>
        <v>1</v>
      </c>
      <c r="F1167" s="108">
        <f>IFERROR(__xludf.DUMMYFUNCTION("""COMPUTED_VALUE"""),0.0)</f>
        <v>0</v>
      </c>
      <c r="G1167" s="16"/>
      <c r="H1167" s="16"/>
      <c r="I1167" s="16"/>
      <c r="J1167" s="16"/>
      <c r="K1167" s="16"/>
      <c r="L1167" s="16"/>
      <c r="M1167" s="16"/>
      <c r="N1167" s="16"/>
      <c r="O1167" s="16"/>
      <c r="P1167" s="16"/>
      <c r="Q1167" s="16"/>
      <c r="R1167" s="16"/>
      <c r="S1167" s="16"/>
      <c r="T1167" s="16"/>
      <c r="U1167" s="16"/>
      <c r="V1167" s="16"/>
      <c r="W1167" s="16"/>
      <c r="X1167" s="16"/>
      <c r="Y1167" s="16"/>
      <c r="Z1167" s="16"/>
      <c r="AA1167" s="16"/>
      <c r="AB1167" s="16"/>
      <c r="AC1167" s="16"/>
      <c r="AD1167" s="16"/>
      <c r="AE1167" s="16"/>
      <c r="AF1167" s="16"/>
      <c r="AG1167" s="16"/>
      <c r="AH1167" s="16" t="b">
        <f>IFERROR(__xludf.DUMMYFUNCTION("""COMPUTED_VALUE"""),FALSE)</f>
        <v>0</v>
      </c>
    </row>
    <row r="1168">
      <c r="A1168" s="16"/>
      <c r="B1168" s="16"/>
      <c r="C1168" s="16"/>
      <c r="D1168" s="16"/>
      <c r="E1168" s="16">
        <f>IFERROR(__xludf.DUMMYFUNCTION("""COMPUTED_VALUE"""),1.0)</f>
        <v>1</v>
      </c>
      <c r="F1168" s="108">
        <f>IFERROR(__xludf.DUMMYFUNCTION("""COMPUTED_VALUE"""),0.0)</f>
        <v>0</v>
      </c>
      <c r="G1168" s="16"/>
      <c r="H1168" s="16"/>
      <c r="I1168" s="16"/>
      <c r="J1168" s="16"/>
      <c r="K1168" s="16"/>
      <c r="L1168" s="16"/>
      <c r="M1168" s="16"/>
      <c r="N1168" s="16"/>
      <c r="O1168" s="16"/>
      <c r="P1168" s="16"/>
      <c r="Q1168" s="16"/>
      <c r="R1168" s="16"/>
      <c r="S1168" s="16"/>
      <c r="T1168" s="16"/>
      <c r="U1168" s="16"/>
      <c r="V1168" s="16"/>
      <c r="W1168" s="16"/>
      <c r="X1168" s="16"/>
      <c r="Y1168" s="16"/>
      <c r="Z1168" s="16"/>
      <c r="AA1168" s="16"/>
      <c r="AB1168" s="16"/>
      <c r="AC1168" s="16"/>
      <c r="AD1168" s="16"/>
      <c r="AE1168" s="16"/>
      <c r="AF1168" s="16"/>
      <c r="AG1168" s="16"/>
      <c r="AH1168" s="16" t="b">
        <f>IFERROR(__xludf.DUMMYFUNCTION("""COMPUTED_VALUE"""),FALSE)</f>
        <v>0</v>
      </c>
    </row>
    <row r="1169">
      <c r="A1169" s="16"/>
      <c r="B1169" s="16"/>
      <c r="C1169" s="16"/>
      <c r="D1169" s="16"/>
      <c r="E1169" s="16">
        <f>IFERROR(__xludf.DUMMYFUNCTION("""COMPUTED_VALUE"""),1.0)</f>
        <v>1</v>
      </c>
      <c r="F1169" s="108">
        <f>IFERROR(__xludf.DUMMYFUNCTION("""COMPUTED_VALUE"""),0.0)</f>
        <v>0</v>
      </c>
      <c r="G1169" s="16"/>
      <c r="H1169" s="16"/>
      <c r="I1169" s="16"/>
      <c r="J1169" s="16"/>
      <c r="K1169" s="16"/>
      <c r="L1169" s="16"/>
      <c r="M1169" s="16"/>
      <c r="N1169" s="16"/>
      <c r="O1169" s="16"/>
      <c r="P1169" s="16"/>
      <c r="Q1169" s="16"/>
      <c r="R1169" s="16"/>
      <c r="S1169" s="16"/>
      <c r="T1169" s="16"/>
      <c r="U1169" s="16"/>
      <c r="V1169" s="16"/>
      <c r="W1169" s="16"/>
      <c r="X1169" s="16"/>
      <c r="Y1169" s="16"/>
      <c r="Z1169" s="16"/>
      <c r="AA1169" s="16"/>
      <c r="AB1169" s="16"/>
      <c r="AC1169" s="16"/>
      <c r="AD1169" s="16"/>
      <c r="AE1169" s="16"/>
      <c r="AF1169" s="16"/>
      <c r="AG1169" s="16"/>
      <c r="AH1169" s="16" t="b">
        <f>IFERROR(__xludf.DUMMYFUNCTION("""COMPUTED_VALUE"""),FALSE)</f>
        <v>0</v>
      </c>
    </row>
    <row r="1170">
      <c r="A1170" s="16"/>
      <c r="B1170" s="16"/>
      <c r="C1170" s="16"/>
      <c r="D1170" s="16"/>
      <c r="E1170" s="16">
        <f>IFERROR(__xludf.DUMMYFUNCTION("""COMPUTED_VALUE"""),1.0)</f>
        <v>1</v>
      </c>
      <c r="F1170" s="108">
        <f>IFERROR(__xludf.DUMMYFUNCTION("""COMPUTED_VALUE"""),0.0)</f>
        <v>0</v>
      </c>
      <c r="G1170" s="16"/>
      <c r="H1170" s="16"/>
      <c r="I1170" s="16"/>
      <c r="J1170" s="16"/>
      <c r="K1170" s="16"/>
      <c r="L1170" s="16"/>
      <c r="M1170" s="16"/>
      <c r="N1170" s="16"/>
      <c r="O1170" s="16"/>
      <c r="P1170" s="16"/>
      <c r="Q1170" s="16"/>
      <c r="R1170" s="16"/>
      <c r="S1170" s="16"/>
      <c r="T1170" s="16"/>
      <c r="U1170" s="16"/>
      <c r="V1170" s="16"/>
      <c r="W1170" s="16"/>
      <c r="X1170" s="16"/>
      <c r="Y1170" s="16"/>
      <c r="Z1170" s="16"/>
      <c r="AA1170" s="16"/>
      <c r="AB1170" s="16"/>
      <c r="AC1170" s="16"/>
      <c r="AD1170" s="16"/>
      <c r="AE1170" s="16"/>
      <c r="AF1170" s="16"/>
      <c r="AG1170" s="16"/>
      <c r="AH1170" s="16" t="b">
        <f>IFERROR(__xludf.DUMMYFUNCTION("""COMPUTED_VALUE"""),FALSE)</f>
        <v>0</v>
      </c>
    </row>
    <row r="1171">
      <c r="A1171" s="16"/>
      <c r="B1171" s="16"/>
      <c r="C1171" s="16"/>
      <c r="D1171" s="16"/>
      <c r="E1171" s="16">
        <f>IFERROR(__xludf.DUMMYFUNCTION("""COMPUTED_VALUE"""),1.0)</f>
        <v>1</v>
      </c>
      <c r="F1171" s="108">
        <f>IFERROR(__xludf.DUMMYFUNCTION("""COMPUTED_VALUE"""),0.0)</f>
        <v>0</v>
      </c>
      <c r="G1171" s="16"/>
      <c r="H1171" s="16"/>
      <c r="I1171" s="16"/>
      <c r="J1171" s="16"/>
      <c r="K1171" s="16"/>
      <c r="L1171" s="16"/>
      <c r="M1171" s="16"/>
      <c r="N1171" s="16"/>
      <c r="O1171" s="16"/>
      <c r="P1171" s="16"/>
      <c r="Q1171" s="16"/>
      <c r="R1171" s="16"/>
      <c r="S1171" s="16"/>
      <c r="T1171" s="16"/>
      <c r="U1171" s="16"/>
      <c r="V1171" s="16"/>
      <c r="W1171" s="16"/>
      <c r="X1171" s="16"/>
      <c r="Y1171" s="16"/>
      <c r="Z1171" s="16"/>
      <c r="AA1171" s="16"/>
      <c r="AB1171" s="16"/>
      <c r="AC1171" s="16"/>
      <c r="AD1171" s="16"/>
      <c r="AE1171" s="16"/>
      <c r="AF1171" s="16"/>
      <c r="AG1171" s="16"/>
      <c r="AH1171" s="16" t="b">
        <f>IFERROR(__xludf.DUMMYFUNCTION("""COMPUTED_VALUE"""),FALSE)</f>
        <v>0</v>
      </c>
    </row>
    <row r="1172">
      <c r="A1172" s="16"/>
      <c r="B1172" s="16"/>
      <c r="C1172" s="16"/>
      <c r="D1172" s="16"/>
      <c r="E1172" s="16">
        <f>IFERROR(__xludf.DUMMYFUNCTION("""COMPUTED_VALUE"""),1.0)</f>
        <v>1</v>
      </c>
      <c r="F1172" s="108">
        <f>IFERROR(__xludf.DUMMYFUNCTION("""COMPUTED_VALUE"""),0.0)</f>
        <v>0</v>
      </c>
      <c r="G1172" s="16"/>
      <c r="H1172" s="16"/>
      <c r="I1172" s="16"/>
      <c r="J1172" s="16"/>
      <c r="K1172" s="16"/>
      <c r="L1172" s="16"/>
      <c r="M1172" s="16"/>
      <c r="N1172" s="16"/>
      <c r="O1172" s="16"/>
      <c r="P1172" s="16"/>
      <c r="Q1172" s="16"/>
      <c r="R1172" s="16"/>
      <c r="S1172" s="16"/>
      <c r="T1172" s="16"/>
      <c r="U1172" s="16"/>
      <c r="V1172" s="16"/>
      <c r="W1172" s="16"/>
      <c r="X1172" s="16"/>
      <c r="Y1172" s="16"/>
      <c r="Z1172" s="16"/>
      <c r="AA1172" s="16"/>
      <c r="AB1172" s="16"/>
      <c r="AC1172" s="16"/>
      <c r="AD1172" s="16"/>
      <c r="AE1172" s="16"/>
      <c r="AF1172" s="16"/>
      <c r="AG1172" s="16"/>
      <c r="AH1172" s="16" t="b">
        <f>IFERROR(__xludf.DUMMYFUNCTION("""COMPUTED_VALUE"""),FALSE)</f>
        <v>0</v>
      </c>
    </row>
    <row r="1173">
      <c r="A1173" s="16"/>
      <c r="B1173" s="16"/>
      <c r="C1173" s="16"/>
      <c r="D1173" s="16"/>
      <c r="E1173" s="16">
        <f>IFERROR(__xludf.DUMMYFUNCTION("""COMPUTED_VALUE"""),1.0)</f>
        <v>1</v>
      </c>
      <c r="F1173" s="108">
        <f>IFERROR(__xludf.DUMMYFUNCTION("""COMPUTED_VALUE"""),0.0)</f>
        <v>0</v>
      </c>
      <c r="G1173" s="16"/>
      <c r="H1173" s="16"/>
      <c r="I1173" s="16"/>
      <c r="J1173" s="16"/>
      <c r="K1173" s="16"/>
      <c r="L1173" s="16"/>
      <c r="M1173" s="16"/>
      <c r="N1173" s="16"/>
      <c r="O1173" s="16"/>
      <c r="P1173" s="16"/>
      <c r="Q1173" s="16"/>
      <c r="R1173" s="16"/>
      <c r="S1173" s="16"/>
      <c r="T1173" s="16"/>
      <c r="U1173" s="16"/>
      <c r="V1173" s="16"/>
      <c r="W1173" s="16"/>
      <c r="X1173" s="16"/>
      <c r="Y1173" s="16"/>
      <c r="Z1173" s="16"/>
      <c r="AA1173" s="16"/>
      <c r="AB1173" s="16"/>
      <c r="AC1173" s="16"/>
      <c r="AD1173" s="16"/>
      <c r="AE1173" s="16"/>
      <c r="AF1173" s="16"/>
      <c r="AG1173" s="16"/>
      <c r="AH1173" s="16" t="b">
        <f>IFERROR(__xludf.DUMMYFUNCTION("""COMPUTED_VALUE"""),FALSE)</f>
        <v>0</v>
      </c>
    </row>
    <row r="1174">
      <c r="A1174" s="16"/>
      <c r="B1174" s="16"/>
      <c r="C1174" s="16"/>
      <c r="D1174" s="16"/>
      <c r="E1174" s="16">
        <f>IFERROR(__xludf.DUMMYFUNCTION("""COMPUTED_VALUE"""),1.0)</f>
        <v>1</v>
      </c>
      <c r="F1174" s="108">
        <f>IFERROR(__xludf.DUMMYFUNCTION("""COMPUTED_VALUE"""),0.0)</f>
        <v>0</v>
      </c>
      <c r="G1174" s="16"/>
      <c r="H1174" s="16"/>
      <c r="I1174" s="16"/>
      <c r="J1174" s="16"/>
      <c r="K1174" s="16"/>
      <c r="L1174" s="16"/>
      <c r="M1174" s="16"/>
      <c r="N1174" s="16"/>
      <c r="O1174" s="16"/>
      <c r="P1174" s="16"/>
      <c r="Q1174" s="16"/>
      <c r="R1174" s="16"/>
      <c r="S1174" s="16"/>
      <c r="T1174" s="16"/>
      <c r="U1174" s="16"/>
      <c r="V1174" s="16"/>
      <c r="W1174" s="16"/>
      <c r="X1174" s="16"/>
      <c r="Y1174" s="16"/>
      <c r="Z1174" s="16"/>
      <c r="AA1174" s="16"/>
      <c r="AB1174" s="16"/>
      <c r="AC1174" s="16"/>
      <c r="AD1174" s="16"/>
      <c r="AE1174" s="16"/>
      <c r="AF1174" s="16"/>
      <c r="AG1174" s="16"/>
      <c r="AH1174" s="16" t="b">
        <f>IFERROR(__xludf.DUMMYFUNCTION("""COMPUTED_VALUE"""),FALSE)</f>
        <v>0</v>
      </c>
    </row>
    <row r="1175">
      <c r="A1175" s="16"/>
      <c r="B1175" s="16"/>
      <c r="C1175" s="16"/>
      <c r="D1175" s="16"/>
      <c r="E1175" s="16">
        <f>IFERROR(__xludf.DUMMYFUNCTION("""COMPUTED_VALUE"""),1.0)</f>
        <v>1</v>
      </c>
      <c r="F1175" s="108">
        <f>IFERROR(__xludf.DUMMYFUNCTION("""COMPUTED_VALUE"""),0.0)</f>
        <v>0</v>
      </c>
      <c r="G1175" s="16"/>
      <c r="H1175" s="16"/>
      <c r="I1175" s="16"/>
      <c r="J1175" s="16"/>
      <c r="K1175" s="16"/>
      <c r="L1175" s="16"/>
      <c r="M1175" s="16"/>
      <c r="N1175" s="16"/>
      <c r="O1175" s="16"/>
      <c r="P1175" s="16"/>
      <c r="Q1175" s="16"/>
      <c r="R1175" s="16"/>
      <c r="S1175" s="16"/>
      <c r="T1175" s="16"/>
      <c r="U1175" s="16"/>
      <c r="V1175" s="16"/>
      <c r="W1175" s="16"/>
      <c r="X1175" s="16"/>
      <c r="Y1175" s="16"/>
      <c r="Z1175" s="16"/>
      <c r="AA1175" s="16"/>
      <c r="AB1175" s="16"/>
      <c r="AC1175" s="16"/>
      <c r="AD1175" s="16"/>
      <c r="AE1175" s="16"/>
      <c r="AF1175" s="16"/>
      <c r="AG1175" s="16"/>
      <c r="AH1175" s="16" t="b">
        <f>IFERROR(__xludf.DUMMYFUNCTION("""COMPUTED_VALUE"""),FALSE)</f>
        <v>0</v>
      </c>
    </row>
    <row r="1176">
      <c r="A1176" s="16"/>
      <c r="B1176" s="16"/>
      <c r="C1176" s="16"/>
      <c r="D1176" s="16"/>
      <c r="E1176" s="16">
        <f>IFERROR(__xludf.DUMMYFUNCTION("""COMPUTED_VALUE"""),1.0)</f>
        <v>1</v>
      </c>
      <c r="F1176" s="108">
        <f>IFERROR(__xludf.DUMMYFUNCTION("""COMPUTED_VALUE"""),0.0)</f>
        <v>0</v>
      </c>
      <c r="G1176" s="16"/>
      <c r="H1176" s="16"/>
      <c r="I1176" s="16"/>
      <c r="J1176" s="16"/>
      <c r="K1176" s="16"/>
      <c r="L1176" s="16"/>
      <c r="M1176" s="16"/>
      <c r="N1176" s="16"/>
      <c r="O1176" s="16"/>
      <c r="P1176" s="16"/>
      <c r="Q1176" s="16"/>
      <c r="R1176" s="16"/>
      <c r="S1176" s="16"/>
      <c r="T1176" s="16"/>
      <c r="U1176" s="16"/>
      <c r="V1176" s="16"/>
      <c r="W1176" s="16"/>
      <c r="X1176" s="16"/>
      <c r="Y1176" s="16"/>
      <c r="Z1176" s="16"/>
      <c r="AA1176" s="16"/>
      <c r="AB1176" s="16"/>
      <c r="AC1176" s="16"/>
      <c r="AD1176" s="16"/>
      <c r="AE1176" s="16"/>
      <c r="AF1176" s="16"/>
      <c r="AG1176" s="16"/>
      <c r="AH1176" s="16" t="b">
        <f>IFERROR(__xludf.DUMMYFUNCTION("""COMPUTED_VALUE"""),FALSE)</f>
        <v>0</v>
      </c>
    </row>
    <row r="1177">
      <c r="A1177" s="16"/>
      <c r="B1177" s="16"/>
      <c r="C1177" s="16"/>
      <c r="D1177" s="16"/>
      <c r="E1177" s="16">
        <f>IFERROR(__xludf.DUMMYFUNCTION("""COMPUTED_VALUE"""),1.0)</f>
        <v>1</v>
      </c>
      <c r="F1177" s="108">
        <f>IFERROR(__xludf.DUMMYFUNCTION("""COMPUTED_VALUE"""),0.0)</f>
        <v>0</v>
      </c>
      <c r="G1177" s="16"/>
      <c r="H1177" s="16"/>
      <c r="I1177" s="16"/>
      <c r="J1177" s="16"/>
      <c r="K1177" s="16"/>
      <c r="L1177" s="16"/>
      <c r="M1177" s="16"/>
      <c r="N1177" s="16"/>
      <c r="O1177" s="16"/>
      <c r="P1177" s="16"/>
      <c r="Q1177" s="16"/>
      <c r="R1177" s="16"/>
      <c r="S1177" s="16"/>
      <c r="T1177" s="16"/>
      <c r="U1177" s="16"/>
      <c r="V1177" s="16"/>
      <c r="W1177" s="16"/>
      <c r="X1177" s="16"/>
      <c r="Y1177" s="16"/>
      <c r="Z1177" s="16"/>
      <c r="AA1177" s="16"/>
      <c r="AB1177" s="16"/>
      <c r="AC1177" s="16"/>
      <c r="AD1177" s="16"/>
      <c r="AE1177" s="16"/>
      <c r="AF1177" s="16"/>
      <c r="AG1177" s="16"/>
      <c r="AH1177" s="16" t="b">
        <f>IFERROR(__xludf.DUMMYFUNCTION("""COMPUTED_VALUE"""),FALSE)</f>
        <v>0</v>
      </c>
    </row>
    <row r="1178">
      <c r="A1178" s="16"/>
      <c r="B1178" s="16"/>
      <c r="C1178" s="16"/>
      <c r="D1178" s="16"/>
      <c r="E1178" s="16">
        <f>IFERROR(__xludf.DUMMYFUNCTION("""COMPUTED_VALUE"""),1.0)</f>
        <v>1</v>
      </c>
      <c r="F1178" s="108">
        <f>IFERROR(__xludf.DUMMYFUNCTION("""COMPUTED_VALUE"""),0.0)</f>
        <v>0</v>
      </c>
      <c r="G1178" s="16"/>
      <c r="H1178" s="16"/>
      <c r="I1178" s="16"/>
      <c r="J1178" s="16"/>
      <c r="K1178" s="16"/>
      <c r="L1178" s="16"/>
      <c r="M1178" s="16"/>
      <c r="N1178" s="16"/>
      <c r="O1178" s="16"/>
      <c r="P1178" s="16"/>
      <c r="Q1178" s="16"/>
      <c r="R1178" s="16"/>
      <c r="S1178" s="16"/>
      <c r="T1178" s="16"/>
      <c r="U1178" s="16"/>
      <c r="V1178" s="16"/>
      <c r="W1178" s="16"/>
      <c r="X1178" s="16"/>
      <c r="Y1178" s="16"/>
      <c r="Z1178" s="16"/>
      <c r="AA1178" s="16"/>
      <c r="AB1178" s="16"/>
      <c r="AC1178" s="16"/>
      <c r="AD1178" s="16"/>
      <c r="AE1178" s="16"/>
      <c r="AF1178" s="16"/>
      <c r="AG1178" s="16"/>
      <c r="AH1178" s="16" t="b">
        <f>IFERROR(__xludf.DUMMYFUNCTION("""COMPUTED_VALUE"""),FALSE)</f>
        <v>0</v>
      </c>
    </row>
    <row r="1179">
      <c r="A1179" s="16"/>
      <c r="B1179" s="16"/>
      <c r="C1179" s="16"/>
      <c r="D1179" s="16"/>
      <c r="E1179" s="16">
        <f>IFERROR(__xludf.DUMMYFUNCTION("""COMPUTED_VALUE"""),1.0)</f>
        <v>1</v>
      </c>
      <c r="F1179" s="108">
        <f>IFERROR(__xludf.DUMMYFUNCTION("""COMPUTED_VALUE"""),0.0)</f>
        <v>0</v>
      </c>
      <c r="G1179" s="16"/>
      <c r="H1179" s="16"/>
      <c r="I1179" s="16"/>
      <c r="J1179" s="16"/>
      <c r="K1179" s="16"/>
      <c r="L1179" s="16"/>
      <c r="M1179" s="16"/>
      <c r="N1179" s="16"/>
      <c r="O1179" s="16"/>
      <c r="P1179" s="16"/>
      <c r="Q1179" s="16"/>
      <c r="R1179" s="16"/>
      <c r="S1179" s="16"/>
      <c r="T1179" s="16"/>
      <c r="U1179" s="16"/>
      <c r="V1179" s="16"/>
      <c r="W1179" s="16"/>
      <c r="X1179" s="16"/>
      <c r="Y1179" s="16"/>
      <c r="Z1179" s="16"/>
      <c r="AA1179" s="16"/>
      <c r="AB1179" s="16"/>
      <c r="AC1179" s="16"/>
      <c r="AD1179" s="16"/>
      <c r="AE1179" s="16"/>
      <c r="AF1179" s="16"/>
      <c r="AG1179" s="16"/>
      <c r="AH1179" s="16" t="b">
        <f>IFERROR(__xludf.DUMMYFUNCTION("""COMPUTED_VALUE"""),FALSE)</f>
        <v>0</v>
      </c>
    </row>
    <row r="1180">
      <c r="A1180" s="16"/>
      <c r="B1180" s="16"/>
      <c r="C1180" s="16"/>
      <c r="D1180" s="16"/>
      <c r="E1180" s="16">
        <f>IFERROR(__xludf.DUMMYFUNCTION("""COMPUTED_VALUE"""),1.0)</f>
        <v>1</v>
      </c>
      <c r="F1180" s="108">
        <f>IFERROR(__xludf.DUMMYFUNCTION("""COMPUTED_VALUE"""),0.0)</f>
        <v>0</v>
      </c>
      <c r="G1180" s="16"/>
      <c r="H1180" s="16"/>
      <c r="I1180" s="16"/>
      <c r="J1180" s="16"/>
      <c r="K1180" s="16"/>
      <c r="L1180" s="16"/>
      <c r="M1180" s="16"/>
      <c r="N1180" s="16"/>
      <c r="O1180" s="16"/>
      <c r="P1180" s="16"/>
      <c r="Q1180" s="16"/>
      <c r="R1180" s="16"/>
      <c r="S1180" s="16"/>
      <c r="T1180" s="16"/>
      <c r="U1180" s="16"/>
      <c r="V1180" s="16"/>
      <c r="W1180" s="16"/>
      <c r="X1180" s="16"/>
      <c r="Y1180" s="16"/>
      <c r="Z1180" s="16"/>
      <c r="AA1180" s="16"/>
      <c r="AB1180" s="16"/>
      <c r="AC1180" s="16"/>
      <c r="AD1180" s="16"/>
      <c r="AE1180" s="16"/>
      <c r="AF1180" s="16"/>
      <c r="AG1180" s="16"/>
      <c r="AH1180" s="16" t="b">
        <f>IFERROR(__xludf.DUMMYFUNCTION("""COMPUTED_VALUE"""),FALSE)</f>
        <v>0</v>
      </c>
    </row>
    <row r="1181">
      <c r="A1181" s="16"/>
      <c r="B1181" s="16"/>
      <c r="C1181" s="16"/>
      <c r="D1181" s="16"/>
      <c r="E1181" s="16">
        <f>IFERROR(__xludf.DUMMYFUNCTION("""COMPUTED_VALUE"""),1.0)</f>
        <v>1</v>
      </c>
      <c r="F1181" s="108">
        <f>IFERROR(__xludf.DUMMYFUNCTION("""COMPUTED_VALUE"""),0.0)</f>
        <v>0</v>
      </c>
      <c r="G1181" s="16"/>
      <c r="H1181" s="16"/>
      <c r="I1181" s="16"/>
      <c r="J1181" s="16"/>
      <c r="K1181" s="16"/>
      <c r="L1181" s="16"/>
      <c r="M1181" s="16"/>
      <c r="N1181" s="16"/>
      <c r="O1181" s="16"/>
      <c r="P1181" s="16"/>
      <c r="Q1181" s="16"/>
      <c r="R1181" s="16"/>
      <c r="S1181" s="16"/>
      <c r="T1181" s="16"/>
      <c r="U1181" s="16"/>
      <c r="V1181" s="16"/>
      <c r="W1181" s="16"/>
      <c r="X1181" s="16"/>
      <c r="Y1181" s="16"/>
      <c r="Z1181" s="16"/>
      <c r="AA1181" s="16"/>
      <c r="AB1181" s="16"/>
      <c r="AC1181" s="16"/>
      <c r="AD1181" s="16"/>
      <c r="AE1181" s="16"/>
      <c r="AF1181" s="16"/>
      <c r="AG1181" s="16"/>
      <c r="AH1181" s="16" t="b">
        <f>IFERROR(__xludf.DUMMYFUNCTION("""COMPUTED_VALUE"""),FALSE)</f>
        <v>0</v>
      </c>
    </row>
    <row r="1182">
      <c r="A1182" s="16"/>
      <c r="B1182" s="16"/>
      <c r="C1182" s="16"/>
      <c r="D1182" s="16"/>
      <c r="E1182" s="16">
        <f>IFERROR(__xludf.DUMMYFUNCTION("""COMPUTED_VALUE"""),1.0)</f>
        <v>1</v>
      </c>
      <c r="F1182" s="108">
        <f>IFERROR(__xludf.DUMMYFUNCTION("""COMPUTED_VALUE"""),0.0)</f>
        <v>0</v>
      </c>
      <c r="G1182" s="16"/>
      <c r="H1182" s="16"/>
      <c r="I1182" s="16"/>
      <c r="J1182" s="16"/>
      <c r="K1182" s="16"/>
      <c r="L1182" s="16"/>
      <c r="M1182" s="16"/>
      <c r="N1182" s="16"/>
      <c r="O1182" s="16"/>
      <c r="P1182" s="16"/>
      <c r="Q1182" s="16"/>
      <c r="R1182" s="16"/>
      <c r="S1182" s="16"/>
      <c r="T1182" s="16"/>
      <c r="U1182" s="16"/>
      <c r="V1182" s="16"/>
      <c r="W1182" s="16"/>
      <c r="X1182" s="16"/>
      <c r="Y1182" s="16"/>
      <c r="Z1182" s="16"/>
      <c r="AA1182" s="16"/>
      <c r="AB1182" s="16"/>
      <c r="AC1182" s="16"/>
      <c r="AD1182" s="16"/>
      <c r="AE1182" s="16"/>
      <c r="AF1182" s="16"/>
      <c r="AG1182" s="16"/>
      <c r="AH1182" s="16" t="b">
        <f>IFERROR(__xludf.DUMMYFUNCTION("""COMPUTED_VALUE"""),FALSE)</f>
        <v>0</v>
      </c>
    </row>
    <row r="1183">
      <c r="A1183" s="16"/>
      <c r="B1183" s="16"/>
      <c r="C1183" s="16"/>
      <c r="D1183" s="16"/>
      <c r="E1183" s="16">
        <f>IFERROR(__xludf.DUMMYFUNCTION("""COMPUTED_VALUE"""),1.0)</f>
        <v>1</v>
      </c>
      <c r="F1183" s="108">
        <f>IFERROR(__xludf.DUMMYFUNCTION("""COMPUTED_VALUE"""),0.0)</f>
        <v>0</v>
      </c>
      <c r="G1183" s="16"/>
      <c r="H1183" s="16"/>
      <c r="I1183" s="16"/>
      <c r="J1183" s="16"/>
      <c r="K1183" s="16"/>
      <c r="L1183" s="16"/>
      <c r="M1183" s="16"/>
      <c r="N1183" s="16"/>
      <c r="O1183" s="16"/>
      <c r="P1183" s="16"/>
      <c r="Q1183" s="16"/>
      <c r="R1183" s="16"/>
      <c r="S1183" s="16"/>
      <c r="T1183" s="16"/>
      <c r="U1183" s="16"/>
      <c r="V1183" s="16"/>
      <c r="W1183" s="16"/>
      <c r="X1183" s="16"/>
      <c r="Y1183" s="16"/>
      <c r="Z1183" s="16"/>
      <c r="AA1183" s="16"/>
      <c r="AB1183" s="16"/>
      <c r="AC1183" s="16"/>
      <c r="AD1183" s="16"/>
      <c r="AE1183" s="16"/>
      <c r="AF1183" s="16"/>
      <c r="AG1183" s="16"/>
      <c r="AH1183" s="16" t="b">
        <f>IFERROR(__xludf.DUMMYFUNCTION("""COMPUTED_VALUE"""),FALSE)</f>
        <v>0</v>
      </c>
    </row>
    <row r="1184">
      <c r="A1184" s="16"/>
      <c r="B1184" s="16"/>
      <c r="C1184" s="16"/>
      <c r="D1184" s="16"/>
      <c r="E1184" s="16">
        <f>IFERROR(__xludf.DUMMYFUNCTION("""COMPUTED_VALUE"""),1.0)</f>
        <v>1</v>
      </c>
      <c r="F1184" s="108">
        <f>IFERROR(__xludf.DUMMYFUNCTION("""COMPUTED_VALUE"""),0.0)</f>
        <v>0</v>
      </c>
      <c r="G1184" s="16"/>
      <c r="H1184" s="16"/>
      <c r="I1184" s="16"/>
      <c r="J1184" s="16"/>
      <c r="K1184" s="16"/>
      <c r="L1184" s="16"/>
      <c r="M1184" s="16"/>
      <c r="N1184" s="16"/>
      <c r="O1184" s="16"/>
      <c r="P1184" s="16"/>
      <c r="Q1184" s="16"/>
      <c r="R1184" s="16"/>
      <c r="S1184" s="16"/>
      <c r="T1184" s="16"/>
      <c r="U1184" s="16"/>
      <c r="V1184" s="16"/>
      <c r="W1184" s="16"/>
      <c r="X1184" s="16"/>
      <c r="Y1184" s="16"/>
      <c r="Z1184" s="16"/>
      <c r="AA1184" s="16"/>
      <c r="AB1184" s="16"/>
      <c r="AC1184" s="16"/>
      <c r="AD1184" s="16"/>
      <c r="AE1184" s="16"/>
      <c r="AF1184" s="16"/>
      <c r="AG1184" s="16"/>
      <c r="AH1184" s="16" t="b">
        <f>IFERROR(__xludf.DUMMYFUNCTION("""COMPUTED_VALUE"""),FALSE)</f>
        <v>0</v>
      </c>
    </row>
    <row r="1185">
      <c r="A1185" s="16"/>
      <c r="B1185" s="16"/>
      <c r="C1185" s="16"/>
      <c r="D1185" s="16"/>
      <c r="E1185" s="16">
        <f>IFERROR(__xludf.DUMMYFUNCTION("""COMPUTED_VALUE"""),1.0)</f>
        <v>1</v>
      </c>
      <c r="F1185" s="108">
        <f>IFERROR(__xludf.DUMMYFUNCTION("""COMPUTED_VALUE"""),0.0)</f>
        <v>0</v>
      </c>
      <c r="G1185" s="16"/>
      <c r="H1185" s="16"/>
      <c r="I1185" s="16"/>
      <c r="J1185" s="16"/>
      <c r="K1185" s="16"/>
      <c r="L1185" s="16"/>
      <c r="M1185" s="16"/>
      <c r="N1185" s="16"/>
      <c r="O1185" s="16"/>
      <c r="P1185" s="16"/>
      <c r="Q1185" s="16"/>
      <c r="R1185" s="16"/>
      <c r="S1185" s="16"/>
      <c r="T1185" s="16"/>
      <c r="U1185" s="16"/>
      <c r="V1185" s="16"/>
      <c r="W1185" s="16"/>
      <c r="X1185" s="16"/>
      <c r="Y1185" s="16"/>
      <c r="Z1185" s="16"/>
      <c r="AA1185" s="16"/>
      <c r="AB1185" s="16"/>
      <c r="AC1185" s="16"/>
      <c r="AD1185" s="16"/>
      <c r="AE1185" s="16"/>
      <c r="AF1185" s="16"/>
      <c r="AG1185" s="16"/>
      <c r="AH1185" s="16" t="b">
        <f>IFERROR(__xludf.DUMMYFUNCTION("""COMPUTED_VALUE"""),FALSE)</f>
        <v>0</v>
      </c>
    </row>
    <row r="1186">
      <c r="A1186" s="16"/>
      <c r="B1186" s="16"/>
      <c r="C1186" s="16"/>
      <c r="D1186" s="16"/>
      <c r="E1186" s="16">
        <f>IFERROR(__xludf.DUMMYFUNCTION("""COMPUTED_VALUE"""),1.0)</f>
        <v>1</v>
      </c>
      <c r="F1186" s="108">
        <f>IFERROR(__xludf.DUMMYFUNCTION("""COMPUTED_VALUE"""),0.0)</f>
        <v>0</v>
      </c>
      <c r="G1186" s="16"/>
      <c r="H1186" s="16"/>
      <c r="I1186" s="16"/>
      <c r="J1186" s="16"/>
      <c r="K1186" s="16"/>
      <c r="L1186" s="16"/>
      <c r="M1186" s="16"/>
      <c r="N1186" s="16"/>
      <c r="O1186" s="16"/>
      <c r="P1186" s="16"/>
      <c r="Q1186" s="16"/>
      <c r="R1186" s="16"/>
      <c r="S1186" s="16"/>
      <c r="T1186" s="16"/>
      <c r="U1186" s="16"/>
      <c r="V1186" s="16"/>
      <c r="W1186" s="16"/>
      <c r="X1186" s="16"/>
      <c r="Y1186" s="16"/>
      <c r="Z1186" s="16"/>
      <c r="AA1186" s="16"/>
      <c r="AB1186" s="16"/>
      <c r="AC1186" s="16"/>
      <c r="AD1186" s="16"/>
      <c r="AE1186" s="16"/>
      <c r="AF1186" s="16"/>
      <c r="AG1186" s="16"/>
      <c r="AH1186" s="16" t="b">
        <f>IFERROR(__xludf.DUMMYFUNCTION("""COMPUTED_VALUE"""),FALSE)</f>
        <v>0</v>
      </c>
    </row>
    <row r="1187">
      <c r="A1187" s="16"/>
      <c r="B1187" s="16"/>
      <c r="C1187" s="16"/>
      <c r="D1187" s="16"/>
      <c r="E1187" s="16">
        <f>IFERROR(__xludf.DUMMYFUNCTION("""COMPUTED_VALUE"""),1.0)</f>
        <v>1</v>
      </c>
      <c r="F1187" s="108">
        <f>IFERROR(__xludf.DUMMYFUNCTION("""COMPUTED_VALUE"""),0.0)</f>
        <v>0</v>
      </c>
      <c r="G1187" s="16"/>
      <c r="H1187" s="16"/>
      <c r="I1187" s="16"/>
      <c r="J1187" s="16"/>
      <c r="K1187" s="16"/>
      <c r="L1187" s="16"/>
      <c r="M1187" s="16"/>
      <c r="N1187" s="16"/>
      <c r="O1187" s="16"/>
      <c r="P1187" s="16"/>
      <c r="Q1187" s="16"/>
      <c r="R1187" s="16"/>
      <c r="S1187" s="16"/>
      <c r="T1187" s="16"/>
      <c r="U1187" s="16"/>
      <c r="V1187" s="16"/>
      <c r="W1187" s="16"/>
      <c r="X1187" s="16"/>
      <c r="Y1187" s="16"/>
      <c r="Z1187" s="16"/>
      <c r="AA1187" s="16"/>
      <c r="AB1187" s="16"/>
      <c r="AC1187" s="16"/>
      <c r="AD1187" s="16"/>
      <c r="AE1187" s="16"/>
      <c r="AF1187" s="16"/>
      <c r="AG1187" s="16"/>
      <c r="AH1187" s="16" t="b">
        <f>IFERROR(__xludf.DUMMYFUNCTION("""COMPUTED_VALUE"""),FALSE)</f>
        <v>0</v>
      </c>
    </row>
    <row r="1188">
      <c r="A1188" s="16"/>
      <c r="B1188" s="16"/>
      <c r="C1188" s="16"/>
      <c r="D1188" s="16"/>
      <c r="E1188" s="16">
        <f>IFERROR(__xludf.DUMMYFUNCTION("""COMPUTED_VALUE"""),1.0)</f>
        <v>1</v>
      </c>
      <c r="F1188" s="108">
        <f>IFERROR(__xludf.DUMMYFUNCTION("""COMPUTED_VALUE"""),0.0)</f>
        <v>0</v>
      </c>
      <c r="G1188" s="16"/>
      <c r="H1188" s="16"/>
      <c r="I1188" s="16"/>
      <c r="J1188" s="16"/>
      <c r="K1188" s="16"/>
      <c r="L1188" s="16"/>
      <c r="M1188" s="16"/>
      <c r="N1188" s="16"/>
      <c r="O1188" s="16"/>
      <c r="P1188" s="16"/>
      <c r="Q1188" s="16"/>
      <c r="R1188" s="16"/>
      <c r="S1188" s="16"/>
      <c r="T1188" s="16"/>
      <c r="U1188" s="16"/>
      <c r="V1188" s="16"/>
      <c r="W1188" s="16"/>
      <c r="X1188" s="16"/>
      <c r="Y1188" s="16"/>
      <c r="Z1188" s="16"/>
      <c r="AA1188" s="16"/>
      <c r="AB1188" s="16"/>
      <c r="AC1188" s="16"/>
      <c r="AD1188" s="16"/>
      <c r="AE1188" s="16"/>
      <c r="AF1188" s="16"/>
      <c r="AG1188" s="16"/>
      <c r="AH1188" s="16" t="b">
        <f>IFERROR(__xludf.DUMMYFUNCTION("""COMPUTED_VALUE"""),FALSE)</f>
        <v>0</v>
      </c>
    </row>
    <row r="1189">
      <c r="A1189" s="16"/>
      <c r="B1189" s="16"/>
      <c r="C1189" s="16"/>
      <c r="D1189" s="16"/>
      <c r="E1189" s="16">
        <f>IFERROR(__xludf.DUMMYFUNCTION("""COMPUTED_VALUE"""),1.0)</f>
        <v>1</v>
      </c>
      <c r="F1189" s="108">
        <f>IFERROR(__xludf.DUMMYFUNCTION("""COMPUTED_VALUE"""),0.0)</f>
        <v>0</v>
      </c>
      <c r="G1189" s="16"/>
      <c r="H1189" s="16"/>
      <c r="I1189" s="16"/>
      <c r="J1189" s="16"/>
      <c r="K1189" s="16"/>
      <c r="L1189" s="16"/>
      <c r="M1189" s="16"/>
      <c r="N1189" s="16"/>
      <c r="O1189" s="16"/>
      <c r="P1189" s="16"/>
      <c r="Q1189" s="16"/>
      <c r="R1189" s="16"/>
      <c r="S1189" s="16"/>
      <c r="T1189" s="16"/>
      <c r="U1189" s="16"/>
      <c r="V1189" s="16"/>
      <c r="W1189" s="16"/>
      <c r="X1189" s="16"/>
      <c r="Y1189" s="16"/>
      <c r="Z1189" s="16"/>
      <c r="AA1189" s="16"/>
      <c r="AB1189" s="16"/>
      <c r="AC1189" s="16"/>
      <c r="AD1189" s="16"/>
      <c r="AE1189" s="16"/>
      <c r="AF1189" s="16"/>
      <c r="AG1189" s="16"/>
      <c r="AH1189" s="16" t="b">
        <f>IFERROR(__xludf.DUMMYFUNCTION("""COMPUTED_VALUE"""),FALSE)</f>
        <v>0</v>
      </c>
    </row>
    <row r="1190">
      <c r="A1190" s="16"/>
      <c r="B1190" s="16"/>
      <c r="C1190" s="16"/>
      <c r="D1190" s="16"/>
      <c r="E1190" s="16">
        <f>IFERROR(__xludf.DUMMYFUNCTION("""COMPUTED_VALUE"""),1.0)</f>
        <v>1</v>
      </c>
      <c r="F1190" s="108">
        <f>IFERROR(__xludf.DUMMYFUNCTION("""COMPUTED_VALUE"""),0.0)</f>
        <v>0</v>
      </c>
      <c r="G1190" s="16"/>
      <c r="H1190" s="16"/>
      <c r="I1190" s="16"/>
      <c r="J1190" s="16"/>
      <c r="K1190" s="16"/>
      <c r="L1190" s="16"/>
      <c r="M1190" s="16"/>
      <c r="N1190" s="16"/>
      <c r="O1190" s="16"/>
      <c r="P1190" s="16"/>
      <c r="Q1190" s="16"/>
      <c r="R1190" s="16"/>
      <c r="S1190" s="16"/>
      <c r="T1190" s="16"/>
      <c r="U1190" s="16"/>
      <c r="V1190" s="16"/>
      <c r="W1190" s="16"/>
      <c r="X1190" s="16"/>
      <c r="Y1190" s="16"/>
      <c r="Z1190" s="16"/>
      <c r="AA1190" s="16"/>
      <c r="AB1190" s="16"/>
      <c r="AC1190" s="16"/>
      <c r="AD1190" s="16"/>
      <c r="AE1190" s="16"/>
      <c r="AF1190" s="16"/>
      <c r="AG1190" s="16"/>
      <c r="AH1190" s="16" t="b">
        <f>IFERROR(__xludf.DUMMYFUNCTION("""COMPUTED_VALUE"""),FALSE)</f>
        <v>0</v>
      </c>
    </row>
    <row r="1191">
      <c r="A1191" s="16"/>
      <c r="B1191" s="16"/>
      <c r="C1191" s="16"/>
      <c r="D1191" s="16"/>
      <c r="E1191" s="16">
        <f>IFERROR(__xludf.DUMMYFUNCTION("""COMPUTED_VALUE"""),1.0)</f>
        <v>1</v>
      </c>
      <c r="F1191" s="108">
        <f>IFERROR(__xludf.DUMMYFUNCTION("""COMPUTED_VALUE"""),0.0)</f>
        <v>0</v>
      </c>
      <c r="G1191" s="16"/>
      <c r="H1191" s="16"/>
      <c r="I1191" s="16"/>
      <c r="J1191" s="16"/>
      <c r="K1191" s="16"/>
      <c r="L1191" s="16"/>
      <c r="M1191" s="16"/>
      <c r="N1191" s="16"/>
      <c r="O1191" s="16"/>
      <c r="P1191" s="16"/>
      <c r="Q1191" s="16"/>
      <c r="R1191" s="16"/>
      <c r="S1191" s="16"/>
      <c r="T1191" s="16"/>
      <c r="U1191" s="16"/>
      <c r="V1191" s="16"/>
      <c r="W1191" s="16"/>
      <c r="X1191" s="16"/>
      <c r="Y1191" s="16"/>
      <c r="Z1191" s="16"/>
      <c r="AA1191" s="16"/>
      <c r="AB1191" s="16"/>
      <c r="AC1191" s="16"/>
      <c r="AD1191" s="16"/>
      <c r="AE1191" s="16"/>
      <c r="AF1191" s="16"/>
      <c r="AG1191" s="16"/>
      <c r="AH1191" s="16" t="b">
        <f>IFERROR(__xludf.DUMMYFUNCTION("""COMPUTED_VALUE"""),FALSE)</f>
        <v>0</v>
      </c>
    </row>
    <row r="1192">
      <c r="A1192" s="16"/>
      <c r="B1192" s="16"/>
      <c r="C1192" s="16"/>
      <c r="D1192" s="16"/>
      <c r="E1192" s="16">
        <f>IFERROR(__xludf.DUMMYFUNCTION("""COMPUTED_VALUE"""),1.0)</f>
        <v>1</v>
      </c>
      <c r="F1192" s="108">
        <f>IFERROR(__xludf.DUMMYFUNCTION("""COMPUTED_VALUE"""),0.0)</f>
        <v>0</v>
      </c>
      <c r="G1192" s="16"/>
      <c r="H1192" s="16"/>
      <c r="I1192" s="16"/>
      <c r="J1192" s="16"/>
      <c r="K1192" s="16"/>
      <c r="L1192" s="16"/>
      <c r="M1192" s="16"/>
      <c r="N1192" s="16"/>
      <c r="O1192" s="16"/>
      <c r="P1192" s="16"/>
      <c r="Q1192" s="16"/>
      <c r="R1192" s="16"/>
      <c r="S1192" s="16"/>
      <c r="T1192" s="16"/>
      <c r="U1192" s="16"/>
      <c r="V1192" s="16"/>
      <c r="W1192" s="16"/>
      <c r="X1192" s="16"/>
      <c r="Y1192" s="16"/>
      <c r="Z1192" s="16"/>
      <c r="AA1192" s="16"/>
      <c r="AB1192" s="16"/>
      <c r="AC1192" s="16"/>
      <c r="AD1192" s="16"/>
      <c r="AE1192" s="16"/>
      <c r="AF1192" s="16"/>
      <c r="AG1192" s="16"/>
      <c r="AH1192" s="16" t="b">
        <f>IFERROR(__xludf.DUMMYFUNCTION("""COMPUTED_VALUE"""),FALSE)</f>
        <v>0</v>
      </c>
    </row>
    <row r="1193">
      <c r="A1193" s="16"/>
      <c r="B1193" s="16"/>
      <c r="C1193" s="16"/>
      <c r="D1193" s="16"/>
      <c r="E1193" s="16">
        <f>IFERROR(__xludf.DUMMYFUNCTION("""COMPUTED_VALUE"""),1.0)</f>
        <v>1</v>
      </c>
      <c r="F1193" s="108">
        <f>IFERROR(__xludf.DUMMYFUNCTION("""COMPUTED_VALUE"""),0.0)</f>
        <v>0</v>
      </c>
      <c r="G1193" s="16"/>
      <c r="H1193" s="16"/>
      <c r="I1193" s="16"/>
      <c r="J1193" s="16"/>
      <c r="K1193" s="16"/>
      <c r="L1193" s="16"/>
      <c r="M1193" s="16"/>
      <c r="N1193" s="16"/>
      <c r="O1193" s="16"/>
      <c r="P1193" s="16"/>
      <c r="Q1193" s="16"/>
      <c r="R1193" s="16"/>
      <c r="S1193" s="16"/>
      <c r="T1193" s="16"/>
      <c r="U1193" s="16"/>
      <c r="V1193" s="16"/>
      <c r="W1193" s="16"/>
      <c r="X1193" s="16"/>
      <c r="Y1193" s="16"/>
      <c r="Z1193" s="16"/>
      <c r="AA1193" s="16"/>
      <c r="AB1193" s="16"/>
      <c r="AC1193" s="16"/>
      <c r="AD1193" s="16"/>
      <c r="AE1193" s="16"/>
      <c r="AF1193" s="16"/>
      <c r="AG1193" s="16"/>
      <c r="AH1193" s="16" t="b">
        <f>IFERROR(__xludf.DUMMYFUNCTION("""COMPUTED_VALUE"""),FALSE)</f>
        <v>0</v>
      </c>
    </row>
    <row r="1194">
      <c r="A1194" s="16"/>
      <c r="B1194" s="16"/>
      <c r="C1194" s="16"/>
      <c r="D1194" s="16"/>
      <c r="E1194" s="16">
        <f>IFERROR(__xludf.DUMMYFUNCTION("""COMPUTED_VALUE"""),1.0)</f>
        <v>1</v>
      </c>
      <c r="F1194" s="108">
        <f>IFERROR(__xludf.DUMMYFUNCTION("""COMPUTED_VALUE"""),0.0)</f>
        <v>0</v>
      </c>
      <c r="G1194" s="16"/>
      <c r="H1194" s="16"/>
      <c r="I1194" s="16"/>
      <c r="J1194" s="16"/>
      <c r="K1194" s="16"/>
      <c r="L1194" s="16"/>
      <c r="M1194" s="16"/>
      <c r="N1194" s="16"/>
      <c r="O1194" s="16"/>
      <c r="P1194" s="16"/>
      <c r="Q1194" s="16"/>
      <c r="R1194" s="16"/>
      <c r="S1194" s="16"/>
      <c r="T1194" s="16"/>
      <c r="U1194" s="16"/>
      <c r="V1194" s="16"/>
      <c r="W1194" s="16"/>
      <c r="X1194" s="16"/>
      <c r="Y1194" s="16"/>
      <c r="Z1194" s="16"/>
      <c r="AA1194" s="16"/>
      <c r="AB1194" s="16"/>
      <c r="AC1194" s="16"/>
      <c r="AD1194" s="16"/>
      <c r="AE1194" s="16"/>
      <c r="AF1194" s="16"/>
      <c r="AG1194" s="16"/>
      <c r="AH1194" s="16" t="b">
        <f>IFERROR(__xludf.DUMMYFUNCTION("""COMPUTED_VALUE"""),FALSE)</f>
        <v>0</v>
      </c>
    </row>
    <row r="1195">
      <c r="A1195" s="16"/>
      <c r="B1195" s="16"/>
      <c r="C1195" s="16"/>
      <c r="D1195" s="16"/>
      <c r="E1195" s="16">
        <f>IFERROR(__xludf.DUMMYFUNCTION("""COMPUTED_VALUE"""),1.0)</f>
        <v>1</v>
      </c>
      <c r="F1195" s="108">
        <f>IFERROR(__xludf.DUMMYFUNCTION("""COMPUTED_VALUE"""),0.0)</f>
        <v>0</v>
      </c>
      <c r="G1195" s="16"/>
      <c r="H1195" s="16"/>
      <c r="I1195" s="16"/>
      <c r="J1195" s="16"/>
      <c r="K1195" s="16"/>
      <c r="L1195" s="16"/>
      <c r="M1195" s="16"/>
      <c r="N1195" s="16"/>
      <c r="O1195" s="16"/>
      <c r="P1195" s="16"/>
      <c r="Q1195" s="16"/>
      <c r="R1195" s="16"/>
      <c r="S1195" s="16"/>
      <c r="T1195" s="16"/>
      <c r="U1195" s="16"/>
      <c r="V1195" s="16"/>
      <c r="W1195" s="16"/>
      <c r="X1195" s="16"/>
      <c r="Y1195" s="16"/>
      <c r="Z1195" s="16"/>
      <c r="AA1195" s="16"/>
      <c r="AB1195" s="16"/>
      <c r="AC1195" s="16"/>
      <c r="AD1195" s="16"/>
      <c r="AE1195" s="16"/>
      <c r="AF1195" s="16"/>
      <c r="AG1195" s="16"/>
      <c r="AH1195" s="16" t="b">
        <f>IFERROR(__xludf.DUMMYFUNCTION("""COMPUTED_VALUE"""),FALSE)</f>
        <v>0</v>
      </c>
    </row>
    <row r="1196">
      <c r="A1196" s="16"/>
      <c r="B1196" s="16"/>
      <c r="C1196" s="16"/>
      <c r="D1196" s="16"/>
      <c r="E1196" s="16">
        <f>IFERROR(__xludf.DUMMYFUNCTION("""COMPUTED_VALUE"""),1.0)</f>
        <v>1</v>
      </c>
      <c r="F1196" s="108">
        <f>IFERROR(__xludf.DUMMYFUNCTION("""COMPUTED_VALUE"""),0.0)</f>
        <v>0</v>
      </c>
      <c r="G1196" s="16"/>
      <c r="H1196" s="16"/>
      <c r="I1196" s="16"/>
      <c r="J1196" s="16"/>
      <c r="K1196" s="16"/>
      <c r="L1196" s="16"/>
      <c r="M1196" s="16"/>
      <c r="N1196" s="16"/>
      <c r="O1196" s="16"/>
      <c r="P1196" s="16"/>
      <c r="Q1196" s="16"/>
      <c r="R1196" s="16"/>
      <c r="S1196" s="16"/>
      <c r="T1196" s="16"/>
      <c r="U1196" s="16"/>
      <c r="V1196" s="16"/>
      <c r="W1196" s="16"/>
      <c r="X1196" s="16"/>
      <c r="Y1196" s="16"/>
      <c r="Z1196" s="16"/>
      <c r="AA1196" s="16"/>
      <c r="AB1196" s="16"/>
      <c r="AC1196" s="16"/>
      <c r="AD1196" s="16"/>
      <c r="AE1196" s="16"/>
      <c r="AF1196" s="16"/>
      <c r="AG1196" s="16"/>
      <c r="AH1196" s="16" t="b">
        <f>IFERROR(__xludf.DUMMYFUNCTION("""COMPUTED_VALUE"""),FALSE)</f>
        <v>0</v>
      </c>
    </row>
    <row r="1197">
      <c r="A1197" s="16"/>
      <c r="B1197" s="16"/>
      <c r="C1197" s="16"/>
      <c r="D1197" s="16"/>
      <c r="E1197" s="16">
        <f>IFERROR(__xludf.DUMMYFUNCTION("""COMPUTED_VALUE"""),1.0)</f>
        <v>1</v>
      </c>
      <c r="F1197" s="108">
        <f>IFERROR(__xludf.DUMMYFUNCTION("""COMPUTED_VALUE"""),0.0)</f>
        <v>0</v>
      </c>
      <c r="G1197" s="16"/>
      <c r="H1197" s="16"/>
      <c r="I1197" s="16"/>
      <c r="J1197" s="16"/>
      <c r="K1197" s="16"/>
      <c r="L1197" s="16"/>
      <c r="M1197" s="16"/>
      <c r="N1197" s="16"/>
      <c r="O1197" s="16"/>
      <c r="P1197" s="16"/>
      <c r="Q1197" s="16"/>
      <c r="R1197" s="16"/>
      <c r="S1197" s="16"/>
      <c r="T1197" s="16"/>
      <c r="U1197" s="16"/>
      <c r="V1197" s="16"/>
      <c r="W1197" s="16"/>
      <c r="X1197" s="16"/>
      <c r="Y1197" s="16"/>
      <c r="Z1197" s="16"/>
      <c r="AA1197" s="16"/>
      <c r="AB1197" s="16"/>
      <c r="AC1197" s="16"/>
      <c r="AD1197" s="16"/>
      <c r="AE1197" s="16"/>
      <c r="AF1197" s="16"/>
      <c r="AG1197" s="16"/>
      <c r="AH1197" s="16" t="b">
        <f>IFERROR(__xludf.DUMMYFUNCTION("""COMPUTED_VALUE"""),FALSE)</f>
        <v>0</v>
      </c>
    </row>
    <row r="1198">
      <c r="A1198" s="16"/>
      <c r="B1198" s="16"/>
      <c r="C1198" s="16"/>
      <c r="D1198" s="16"/>
      <c r="E1198" s="16">
        <f>IFERROR(__xludf.DUMMYFUNCTION("""COMPUTED_VALUE"""),1.0)</f>
        <v>1</v>
      </c>
      <c r="F1198" s="108">
        <f>IFERROR(__xludf.DUMMYFUNCTION("""COMPUTED_VALUE"""),0.0)</f>
        <v>0</v>
      </c>
      <c r="G1198" s="16"/>
      <c r="H1198" s="16"/>
      <c r="I1198" s="16"/>
      <c r="J1198" s="16"/>
      <c r="K1198" s="16"/>
      <c r="L1198" s="16"/>
      <c r="M1198" s="16"/>
      <c r="N1198" s="16"/>
      <c r="O1198" s="16"/>
      <c r="P1198" s="16"/>
      <c r="Q1198" s="16"/>
      <c r="R1198" s="16"/>
      <c r="S1198" s="16"/>
      <c r="T1198" s="16"/>
      <c r="U1198" s="16"/>
      <c r="V1198" s="16"/>
      <c r="W1198" s="16"/>
      <c r="X1198" s="16"/>
      <c r="Y1198" s="16"/>
      <c r="Z1198" s="16"/>
      <c r="AA1198" s="16"/>
      <c r="AB1198" s="16"/>
      <c r="AC1198" s="16"/>
      <c r="AD1198" s="16"/>
      <c r="AE1198" s="16"/>
      <c r="AF1198" s="16"/>
      <c r="AG1198" s="16"/>
      <c r="AH1198" s="16" t="b">
        <f>IFERROR(__xludf.DUMMYFUNCTION("""COMPUTED_VALUE"""),FALSE)</f>
        <v>0</v>
      </c>
    </row>
    <row r="1199">
      <c r="A1199" s="16"/>
      <c r="B1199" s="16"/>
      <c r="C1199" s="16"/>
      <c r="D1199" s="16"/>
      <c r="E1199" s="16">
        <f>IFERROR(__xludf.DUMMYFUNCTION("""COMPUTED_VALUE"""),1.0)</f>
        <v>1</v>
      </c>
      <c r="F1199" s="108">
        <f>IFERROR(__xludf.DUMMYFUNCTION("""COMPUTED_VALUE"""),0.0)</f>
        <v>0</v>
      </c>
      <c r="G1199" s="16"/>
      <c r="H1199" s="16"/>
      <c r="I1199" s="16"/>
      <c r="J1199" s="16"/>
      <c r="K1199" s="16"/>
      <c r="L1199" s="16"/>
      <c r="M1199" s="16"/>
      <c r="N1199" s="16"/>
      <c r="O1199" s="16"/>
      <c r="P1199" s="16"/>
      <c r="Q1199" s="16"/>
      <c r="R1199" s="16"/>
      <c r="S1199" s="16"/>
      <c r="T1199" s="16"/>
      <c r="U1199" s="16"/>
      <c r="V1199" s="16"/>
      <c r="W1199" s="16"/>
      <c r="X1199" s="16"/>
      <c r="Y1199" s="16"/>
      <c r="Z1199" s="16"/>
      <c r="AA1199" s="16"/>
      <c r="AB1199" s="16"/>
      <c r="AC1199" s="16"/>
      <c r="AD1199" s="16"/>
      <c r="AE1199" s="16"/>
      <c r="AF1199" s="16"/>
      <c r="AG1199" s="16"/>
      <c r="AH1199" s="16" t="b">
        <f>IFERROR(__xludf.DUMMYFUNCTION("""COMPUTED_VALUE"""),FALSE)</f>
        <v>0</v>
      </c>
    </row>
    <row r="1200">
      <c r="A1200" s="16"/>
      <c r="B1200" s="16"/>
      <c r="C1200" s="16"/>
      <c r="D1200" s="16"/>
      <c r="E1200" s="16">
        <f>IFERROR(__xludf.DUMMYFUNCTION("""COMPUTED_VALUE"""),1.0)</f>
        <v>1</v>
      </c>
      <c r="F1200" s="108">
        <f>IFERROR(__xludf.DUMMYFUNCTION("""COMPUTED_VALUE"""),0.0)</f>
        <v>0</v>
      </c>
      <c r="G1200" s="16"/>
      <c r="H1200" s="16"/>
      <c r="I1200" s="16"/>
      <c r="J1200" s="16"/>
      <c r="K1200" s="16"/>
      <c r="L1200" s="16"/>
      <c r="M1200" s="16"/>
      <c r="N1200" s="16"/>
      <c r="O1200" s="16"/>
      <c r="P1200" s="16"/>
      <c r="Q1200" s="16"/>
      <c r="R1200" s="16"/>
      <c r="S1200" s="16"/>
      <c r="T1200" s="16"/>
      <c r="U1200" s="16"/>
      <c r="V1200" s="16"/>
      <c r="W1200" s="16"/>
      <c r="X1200" s="16"/>
      <c r="Y1200" s="16"/>
      <c r="Z1200" s="16"/>
      <c r="AA1200" s="16"/>
      <c r="AB1200" s="16"/>
      <c r="AC1200" s="16"/>
      <c r="AD1200" s="16"/>
      <c r="AE1200" s="16"/>
      <c r="AF1200" s="16"/>
      <c r="AG1200" s="16"/>
      <c r="AH1200" s="16" t="b">
        <f>IFERROR(__xludf.DUMMYFUNCTION("""COMPUTED_VALUE"""),FALSE)</f>
        <v>0</v>
      </c>
    </row>
    <row r="1201">
      <c r="A1201" s="16"/>
      <c r="B1201" s="16"/>
      <c r="C1201" s="16"/>
      <c r="D1201" s="16"/>
      <c r="E1201" s="16">
        <f>IFERROR(__xludf.DUMMYFUNCTION("""COMPUTED_VALUE"""),1.0)</f>
        <v>1</v>
      </c>
      <c r="F1201" s="108">
        <f>IFERROR(__xludf.DUMMYFUNCTION("""COMPUTED_VALUE"""),0.0)</f>
        <v>0</v>
      </c>
      <c r="G1201" s="16"/>
      <c r="H1201" s="16"/>
      <c r="I1201" s="16"/>
      <c r="J1201" s="16"/>
      <c r="K1201" s="16"/>
      <c r="L1201" s="16"/>
      <c r="M1201" s="16"/>
      <c r="N1201" s="16"/>
      <c r="O1201" s="16"/>
      <c r="P1201" s="16"/>
      <c r="Q1201" s="16"/>
      <c r="R1201" s="16"/>
      <c r="S1201" s="16"/>
      <c r="T1201" s="16"/>
      <c r="U1201" s="16"/>
      <c r="V1201" s="16"/>
      <c r="W1201" s="16"/>
      <c r="X1201" s="16"/>
      <c r="Y1201" s="16"/>
      <c r="Z1201" s="16"/>
      <c r="AA1201" s="16"/>
      <c r="AB1201" s="16"/>
      <c r="AC1201" s="16"/>
      <c r="AD1201" s="16"/>
      <c r="AE1201" s="16"/>
      <c r="AF1201" s="16"/>
      <c r="AG1201" s="16"/>
      <c r="AH1201" s="16" t="b">
        <f>IFERROR(__xludf.DUMMYFUNCTION("""COMPUTED_VALUE"""),FALSE)</f>
        <v>0</v>
      </c>
    </row>
    <row r="1202">
      <c r="A1202" s="16"/>
      <c r="B1202" s="16"/>
      <c r="C1202" s="16"/>
      <c r="D1202" s="16"/>
      <c r="E1202" s="16">
        <f>IFERROR(__xludf.DUMMYFUNCTION("""COMPUTED_VALUE"""),1.0)</f>
        <v>1</v>
      </c>
      <c r="F1202" s="108">
        <f>IFERROR(__xludf.DUMMYFUNCTION("""COMPUTED_VALUE"""),0.0)</f>
        <v>0</v>
      </c>
      <c r="G1202" s="16"/>
      <c r="H1202" s="16"/>
      <c r="I1202" s="16"/>
      <c r="J1202" s="16"/>
      <c r="K1202" s="16"/>
      <c r="L1202" s="16"/>
      <c r="M1202" s="16"/>
      <c r="N1202" s="16"/>
      <c r="O1202" s="16"/>
      <c r="P1202" s="16"/>
      <c r="Q1202" s="16"/>
      <c r="R1202" s="16"/>
      <c r="S1202" s="16"/>
      <c r="T1202" s="16"/>
      <c r="U1202" s="16"/>
      <c r="V1202" s="16"/>
      <c r="W1202" s="16"/>
      <c r="X1202" s="16"/>
      <c r="Y1202" s="16"/>
      <c r="Z1202" s="16"/>
      <c r="AA1202" s="16"/>
      <c r="AB1202" s="16"/>
      <c r="AC1202" s="16"/>
      <c r="AD1202" s="16"/>
      <c r="AE1202" s="16"/>
      <c r="AF1202" s="16"/>
      <c r="AG1202" s="16"/>
      <c r="AH1202" s="16" t="b">
        <f>IFERROR(__xludf.DUMMYFUNCTION("""COMPUTED_VALUE"""),FALSE)</f>
        <v>0</v>
      </c>
    </row>
    <row r="1203">
      <c r="A1203" s="16"/>
      <c r="B1203" s="16"/>
      <c r="C1203" s="16"/>
      <c r="D1203" s="16"/>
      <c r="E1203" s="16">
        <f>IFERROR(__xludf.DUMMYFUNCTION("""COMPUTED_VALUE"""),1.0)</f>
        <v>1</v>
      </c>
      <c r="F1203" s="108">
        <f>IFERROR(__xludf.DUMMYFUNCTION("""COMPUTED_VALUE"""),0.0)</f>
        <v>0</v>
      </c>
      <c r="G1203" s="16"/>
      <c r="H1203" s="16"/>
      <c r="I1203" s="16"/>
      <c r="J1203" s="16"/>
      <c r="K1203" s="16"/>
      <c r="L1203" s="16"/>
      <c r="M1203" s="16"/>
      <c r="N1203" s="16"/>
      <c r="O1203" s="16"/>
      <c r="P1203" s="16"/>
      <c r="Q1203" s="16"/>
      <c r="R1203" s="16"/>
      <c r="S1203" s="16"/>
      <c r="T1203" s="16"/>
      <c r="U1203" s="16"/>
      <c r="V1203" s="16"/>
      <c r="W1203" s="16"/>
      <c r="X1203" s="16"/>
      <c r="Y1203" s="16"/>
      <c r="Z1203" s="16"/>
      <c r="AA1203" s="16"/>
      <c r="AB1203" s="16"/>
      <c r="AC1203" s="16"/>
      <c r="AD1203" s="16"/>
      <c r="AE1203" s="16"/>
      <c r="AF1203" s="16"/>
      <c r="AG1203" s="16"/>
      <c r="AH1203" s="16" t="b">
        <f>IFERROR(__xludf.DUMMYFUNCTION("""COMPUTED_VALUE"""),FALSE)</f>
        <v>0</v>
      </c>
    </row>
    <row r="1204">
      <c r="A1204" s="16"/>
      <c r="B1204" s="16"/>
      <c r="C1204" s="16"/>
      <c r="D1204" s="16"/>
      <c r="E1204" s="16">
        <f>IFERROR(__xludf.DUMMYFUNCTION("""COMPUTED_VALUE"""),1.0)</f>
        <v>1</v>
      </c>
      <c r="F1204" s="108">
        <f>IFERROR(__xludf.DUMMYFUNCTION("""COMPUTED_VALUE"""),0.0)</f>
        <v>0</v>
      </c>
      <c r="G1204" s="16"/>
      <c r="H1204" s="16"/>
      <c r="I1204" s="16"/>
      <c r="J1204" s="16"/>
      <c r="K1204" s="16"/>
      <c r="L1204" s="16"/>
      <c r="M1204" s="16"/>
      <c r="N1204" s="16"/>
      <c r="O1204" s="16"/>
      <c r="P1204" s="16"/>
      <c r="Q1204" s="16"/>
      <c r="R1204" s="16"/>
      <c r="S1204" s="16"/>
      <c r="T1204" s="16"/>
      <c r="U1204" s="16"/>
      <c r="V1204" s="16"/>
      <c r="W1204" s="16"/>
      <c r="X1204" s="16"/>
      <c r="Y1204" s="16"/>
      <c r="Z1204" s="16"/>
      <c r="AA1204" s="16"/>
      <c r="AB1204" s="16"/>
      <c r="AC1204" s="16"/>
      <c r="AD1204" s="16"/>
      <c r="AE1204" s="16"/>
      <c r="AF1204" s="16"/>
      <c r="AG1204" s="16"/>
      <c r="AH1204" s="16" t="b">
        <f>IFERROR(__xludf.DUMMYFUNCTION("""COMPUTED_VALUE"""),FALSE)</f>
        <v>0</v>
      </c>
    </row>
    <row r="1205">
      <c r="A1205" s="16"/>
      <c r="B1205" s="16"/>
      <c r="C1205" s="16"/>
      <c r="D1205" s="16"/>
      <c r="E1205" s="16">
        <f>IFERROR(__xludf.DUMMYFUNCTION("""COMPUTED_VALUE"""),1.0)</f>
        <v>1</v>
      </c>
      <c r="F1205" s="108">
        <f>IFERROR(__xludf.DUMMYFUNCTION("""COMPUTED_VALUE"""),0.0)</f>
        <v>0</v>
      </c>
      <c r="G1205" s="16"/>
      <c r="H1205" s="16"/>
      <c r="I1205" s="16"/>
      <c r="J1205" s="16"/>
      <c r="K1205" s="16"/>
      <c r="L1205" s="16"/>
      <c r="M1205" s="16"/>
      <c r="N1205" s="16"/>
      <c r="O1205" s="16"/>
      <c r="P1205" s="16"/>
      <c r="Q1205" s="16"/>
      <c r="R1205" s="16"/>
      <c r="S1205" s="16"/>
      <c r="T1205" s="16"/>
      <c r="U1205" s="16"/>
      <c r="V1205" s="16"/>
      <c r="W1205" s="16"/>
      <c r="X1205" s="16"/>
      <c r="Y1205" s="16"/>
      <c r="Z1205" s="16"/>
      <c r="AA1205" s="16"/>
      <c r="AB1205" s="16"/>
      <c r="AC1205" s="16"/>
      <c r="AD1205" s="16"/>
      <c r="AE1205" s="16"/>
      <c r="AF1205" s="16"/>
      <c r="AG1205" s="16"/>
      <c r="AH1205" s="16" t="b">
        <f>IFERROR(__xludf.DUMMYFUNCTION("""COMPUTED_VALUE"""),FALSE)</f>
        <v>0</v>
      </c>
    </row>
    <row r="1206">
      <c r="A1206" s="16"/>
      <c r="B1206" s="16"/>
      <c r="C1206" s="16"/>
      <c r="D1206" s="16"/>
      <c r="E1206" s="16">
        <f>IFERROR(__xludf.DUMMYFUNCTION("""COMPUTED_VALUE"""),1.0)</f>
        <v>1</v>
      </c>
      <c r="F1206" s="108">
        <f>IFERROR(__xludf.DUMMYFUNCTION("""COMPUTED_VALUE"""),0.0)</f>
        <v>0</v>
      </c>
      <c r="G1206" s="16"/>
      <c r="H1206" s="16"/>
      <c r="I1206" s="16"/>
      <c r="J1206" s="16"/>
      <c r="K1206" s="16"/>
      <c r="L1206" s="16"/>
      <c r="M1206" s="16"/>
      <c r="N1206" s="16"/>
      <c r="O1206" s="16"/>
      <c r="P1206" s="16"/>
      <c r="Q1206" s="16"/>
      <c r="R1206" s="16"/>
      <c r="S1206" s="16"/>
      <c r="T1206" s="16"/>
      <c r="U1206" s="16"/>
      <c r="V1206" s="16"/>
      <c r="W1206" s="16"/>
      <c r="X1206" s="16"/>
      <c r="Y1206" s="16"/>
      <c r="Z1206" s="16"/>
      <c r="AA1206" s="16"/>
      <c r="AB1206" s="16"/>
      <c r="AC1206" s="16"/>
      <c r="AD1206" s="16"/>
      <c r="AE1206" s="16"/>
      <c r="AF1206" s="16"/>
      <c r="AG1206" s="16"/>
      <c r="AH1206" s="16" t="b">
        <f>IFERROR(__xludf.DUMMYFUNCTION("""COMPUTED_VALUE"""),FALSE)</f>
        <v>0</v>
      </c>
    </row>
    <row r="1207">
      <c r="A1207" s="16"/>
      <c r="B1207" s="16"/>
      <c r="C1207" s="16"/>
      <c r="D1207" s="16"/>
      <c r="E1207" s="16">
        <f>IFERROR(__xludf.DUMMYFUNCTION("""COMPUTED_VALUE"""),1.0)</f>
        <v>1</v>
      </c>
      <c r="F1207" s="108">
        <f>IFERROR(__xludf.DUMMYFUNCTION("""COMPUTED_VALUE"""),0.0)</f>
        <v>0</v>
      </c>
      <c r="G1207" s="16"/>
      <c r="H1207" s="16"/>
      <c r="I1207" s="16"/>
      <c r="J1207" s="16"/>
      <c r="K1207" s="16"/>
      <c r="L1207" s="16"/>
      <c r="M1207" s="16"/>
      <c r="N1207" s="16"/>
      <c r="O1207" s="16"/>
      <c r="P1207" s="16"/>
      <c r="Q1207" s="16"/>
      <c r="R1207" s="16"/>
      <c r="S1207" s="16"/>
      <c r="T1207" s="16"/>
      <c r="U1207" s="16"/>
      <c r="V1207" s="16"/>
      <c r="W1207" s="16"/>
      <c r="X1207" s="16"/>
      <c r="Y1207" s="16"/>
      <c r="Z1207" s="16"/>
      <c r="AA1207" s="16"/>
      <c r="AB1207" s="16"/>
      <c r="AC1207" s="16"/>
      <c r="AD1207" s="16"/>
      <c r="AE1207" s="16"/>
      <c r="AF1207" s="16"/>
      <c r="AG1207" s="16"/>
      <c r="AH1207" s="16" t="b">
        <f>IFERROR(__xludf.DUMMYFUNCTION("""COMPUTED_VALUE"""),FALSE)</f>
        <v>0</v>
      </c>
    </row>
    <row r="1208">
      <c r="A1208" s="16"/>
      <c r="B1208" s="16"/>
      <c r="C1208" s="16"/>
      <c r="D1208" s="16"/>
      <c r="E1208" s="16">
        <f>IFERROR(__xludf.DUMMYFUNCTION("""COMPUTED_VALUE"""),1.0)</f>
        <v>1</v>
      </c>
      <c r="F1208" s="108">
        <f>IFERROR(__xludf.DUMMYFUNCTION("""COMPUTED_VALUE"""),0.0)</f>
        <v>0</v>
      </c>
      <c r="G1208" s="16"/>
      <c r="H1208" s="16"/>
      <c r="I1208" s="16"/>
      <c r="J1208" s="16"/>
      <c r="K1208" s="16"/>
      <c r="L1208" s="16"/>
      <c r="M1208" s="16"/>
      <c r="N1208" s="16"/>
      <c r="O1208" s="16"/>
      <c r="P1208" s="16"/>
      <c r="Q1208" s="16"/>
      <c r="R1208" s="16"/>
      <c r="S1208" s="16"/>
      <c r="T1208" s="16"/>
      <c r="U1208" s="16"/>
      <c r="V1208" s="16"/>
      <c r="W1208" s="16"/>
      <c r="X1208" s="16"/>
      <c r="Y1208" s="16"/>
      <c r="Z1208" s="16"/>
      <c r="AA1208" s="16"/>
      <c r="AB1208" s="16"/>
      <c r="AC1208" s="16"/>
      <c r="AD1208" s="16"/>
      <c r="AE1208" s="16"/>
      <c r="AF1208" s="16"/>
      <c r="AG1208" s="16"/>
      <c r="AH1208" s="16" t="b">
        <f>IFERROR(__xludf.DUMMYFUNCTION("""COMPUTED_VALUE"""),FALSE)</f>
        <v>0</v>
      </c>
    </row>
    <row r="1209">
      <c r="A1209" s="16"/>
      <c r="B1209" s="16"/>
      <c r="C1209" s="16"/>
      <c r="D1209" s="16"/>
      <c r="E1209" s="16">
        <f>IFERROR(__xludf.DUMMYFUNCTION("""COMPUTED_VALUE"""),1.0)</f>
        <v>1</v>
      </c>
      <c r="F1209" s="108">
        <f>IFERROR(__xludf.DUMMYFUNCTION("""COMPUTED_VALUE"""),0.0)</f>
        <v>0</v>
      </c>
      <c r="G1209" s="16"/>
      <c r="H1209" s="16"/>
      <c r="I1209" s="16"/>
      <c r="J1209" s="16"/>
      <c r="K1209" s="16"/>
      <c r="L1209" s="16"/>
      <c r="M1209" s="16"/>
      <c r="N1209" s="16"/>
      <c r="O1209" s="16"/>
      <c r="P1209" s="16"/>
      <c r="Q1209" s="16"/>
      <c r="R1209" s="16"/>
      <c r="S1209" s="16"/>
      <c r="T1209" s="16"/>
      <c r="U1209" s="16"/>
      <c r="V1209" s="16"/>
      <c r="W1209" s="16"/>
      <c r="X1209" s="16"/>
      <c r="Y1209" s="16"/>
      <c r="Z1209" s="16"/>
      <c r="AA1209" s="16"/>
      <c r="AB1209" s="16"/>
      <c r="AC1209" s="16"/>
      <c r="AD1209" s="16"/>
      <c r="AE1209" s="16"/>
      <c r="AF1209" s="16"/>
      <c r="AG1209" s="16"/>
      <c r="AH1209" s="16" t="b">
        <f>IFERROR(__xludf.DUMMYFUNCTION("""COMPUTED_VALUE"""),FALSE)</f>
        <v>0</v>
      </c>
    </row>
    <row r="1210">
      <c r="A1210" s="16"/>
      <c r="B1210" s="16"/>
      <c r="C1210" s="16"/>
      <c r="D1210" s="16"/>
      <c r="E1210" s="16">
        <f>IFERROR(__xludf.DUMMYFUNCTION("""COMPUTED_VALUE"""),1.0)</f>
        <v>1</v>
      </c>
      <c r="F1210" s="108">
        <f>IFERROR(__xludf.DUMMYFUNCTION("""COMPUTED_VALUE"""),0.0)</f>
        <v>0</v>
      </c>
      <c r="G1210" s="16"/>
      <c r="H1210" s="16"/>
      <c r="I1210" s="16"/>
      <c r="J1210" s="16"/>
      <c r="K1210" s="16"/>
      <c r="L1210" s="16"/>
      <c r="M1210" s="16"/>
      <c r="N1210" s="16"/>
      <c r="O1210" s="16"/>
      <c r="P1210" s="16"/>
      <c r="Q1210" s="16"/>
      <c r="R1210" s="16"/>
      <c r="S1210" s="16"/>
      <c r="T1210" s="16"/>
      <c r="U1210" s="16"/>
      <c r="V1210" s="16"/>
      <c r="W1210" s="16"/>
      <c r="X1210" s="16"/>
      <c r="Y1210" s="16"/>
      <c r="Z1210" s="16"/>
      <c r="AA1210" s="16"/>
      <c r="AB1210" s="16"/>
      <c r="AC1210" s="16"/>
      <c r="AD1210" s="16"/>
      <c r="AE1210" s="16"/>
      <c r="AF1210" s="16"/>
      <c r="AG1210" s="16"/>
      <c r="AH1210" s="16" t="b">
        <f>IFERROR(__xludf.DUMMYFUNCTION("""COMPUTED_VALUE"""),FALSE)</f>
        <v>0</v>
      </c>
    </row>
    <row r="1211">
      <c r="A1211" s="16"/>
      <c r="B1211" s="16"/>
      <c r="C1211" s="16"/>
      <c r="D1211" s="16"/>
      <c r="E1211" s="16">
        <f>IFERROR(__xludf.DUMMYFUNCTION("""COMPUTED_VALUE"""),1.0)</f>
        <v>1</v>
      </c>
      <c r="F1211" s="108">
        <f>IFERROR(__xludf.DUMMYFUNCTION("""COMPUTED_VALUE"""),0.0)</f>
        <v>0</v>
      </c>
      <c r="G1211" s="16"/>
      <c r="H1211" s="16"/>
      <c r="I1211" s="16"/>
      <c r="J1211" s="16"/>
      <c r="K1211" s="16"/>
      <c r="L1211" s="16"/>
      <c r="M1211" s="16"/>
      <c r="N1211" s="16"/>
      <c r="O1211" s="16"/>
      <c r="P1211" s="16"/>
      <c r="Q1211" s="16"/>
      <c r="R1211" s="16"/>
      <c r="S1211" s="16"/>
      <c r="T1211" s="16"/>
      <c r="U1211" s="16"/>
      <c r="V1211" s="16"/>
      <c r="W1211" s="16"/>
      <c r="X1211" s="16"/>
      <c r="Y1211" s="16"/>
      <c r="Z1211" s="16"/>
      <c r="AA1211" s="16"/>
      <c r="AB1211" s="16"/>
      <c r="AC1211" s="16"/>
      <c r="AD1211" s="16"/>
      <c r="AE1211" s="16"/>
      <c r="AF1211" s="16"/>
      <c r="AG1211" s="16"/>
      <c r="AH1211" s="16" t="b">
        <f>IFERROR(__xludf.DUMMYFUNCTION("""COMPUTED_VALUE"""),FALSE)</f>
        <v>0</v>
      </c>
    </row>
    <row r="1212">
      <c r="A1212" s="16"/>
      <c r="B1212" s="16"/>
      <c r="C1212" s="16"/>
      <c r="D1212" s="16"/>
      <c r="E1212" s="16">
        <f>IFERROR(__xludf.DUMMYFUNCTION("""COMPUTED_VALUE"""),1.0)</f>
        <v>1</v>
      </c>
      <c r="F1212" s="108">
        <f>IFERROR(__xludf.DUMMYFUNCTION("""COMPUTED_VALUE"""),0.0)</f>
        <v>0</v>
      </c>
      <c r="G1212" s="16"/>
      <c r="H1212" s="16"/>
      <c r="I1212" s="16"/>
      <c r="J1212" s="16"/>
      <c r="K1212" s="16"/>
      <c r="L1212" s="16"/>
      <c r="M1212" s="16"/>
      <c r="N1212" s="16"/>
      <c r="O1212" s="16"/>
      <c r="P1212" s="16"/>
      <c r="Q1212" s="16"/>
      <c r="R1212" s="16"/>
      <c r="S1212" s="16"/>
      <c r="T1212" s="16"/>
      <c r="U1212" s="16"/>
      <c r="V1212" s="16"/>
      <c r="W1212" s="16"/>
      <c r="X1212" s="16"/>
      <c r="Y1212" s="16"/>
      <c r="Z1212" s="16"/>
      <c r="AA1212" s="16"/>
      <c r="AB1212" s="16"/>
      <c r="AC1212" s="16"/>
      <c r="AD1212" s="16"/>
      <c r="AE1212" s="16"/>
      <c r="AF1212" s="16"/>
      <c r="AG1212" s="16"/>
      <c r="AH1212" s="16" t="b">
        <f>IFERROR(__xludf.DUMMYFUNCTION("""COMPUTED_VALUE"""),FALSE)</f>
        <v>0</v>
      </c>
    </row>
    <row r="1213">
      <c r="A1213" s="16"/>
      <c r="B1213" s="16"/>
      <c r="C1213" s="16"/>
      <c r="D1213" s="16"/>
      <c r="E1213" s="16">
        <f>IFERROR(__xludf.DUMMYFUNCTION("""COMPUTED_VALUE"""),1.0)</f>
        <v>1</v>
      </c>
      <c r="F1213" s="108">
        <f>IFERROR(__xludf.DUMMYFUNCTION("""COMPUTED_VALUE"""),0.0)</f>
        <v>0</v>
      </c>
      <c r="G1213" s="16"/>
      <c r="H1213" s="16"/>
      <c r="I1213" s="16"/>
      <c r="J1213" s="16"/>
      <c r="K1213" s="16"/>
      <c r="L1213" s="16"/>
      <c r="M1213" s="16"/>
      <c r="N1213" s="16"/>
      <c r="O1213" s="16"/>
      <c r="P1213" s="16"/>
      <c r="Q1213" s="16"/>
      <c r="R1213" s="16"/>
      <c r="S1213" s="16"/>
      <c r="T1213" s="16"/>
      <c r="U1213" s="16"/>
      <c r="V1213" s="16"/>
      <c r="W1213" s="16"/>
      <c r="X1213" s="16"/>
      <c r="Y1213" s="16"/>
      <c r="Z1213" s="16"/>
      <c r="AA1213" s="16"/>
      <c r="AB1213" s="16"/>
      <c r="AC1213" s="16"/>
      <c r="AD1213" s="16"/>
      <c r="AE1213" s="16"/>
      <c r="AF1213" s="16"/>
      <c r="AG1213" s="16"/>
      <c r="AH1213" s="16" t="b">
        <f>IFERROR(__xludf.DUMMYFUNCTION("""COMPUTED_VALUE"""),FALSE)</f>
        <v>0</v>
      </c>
    </row>
    <row r="1214">
      <c r="A1214" s="16"/>
      <c r="B1214" s="16"/>
      <c r="C1214" s="16"/>
      <c r="D1214" s="16"/>
      <c r="E1214" s="16">
        <f>IFERROR(__xludf.DUMMYFUNCTION("""COMPUTED_VALUE"""),1.0)</f>
        <v>1</v>
      </c>
      <c r="F1214" s="108">
        <f>IFERROR(__xludf.DUMMYFUNCTION("""COMPUTED_VALUE"""),0.0)</f>
        <v>0</v>
      </c>
      <c r="G1214" s="16"/>
      <c r="H1214" s="16"/>
      <c r="I1214" s="16"/>
      <c r="J1214" s="16"/>
      <c r="K1214" s="16"/>
      <c r="L1214" s="16"/>
      <c r="M1214" s="16"/>
      <c r="N1214" s="16"/>
      <c r="O1214" s="16"/>
      <c r="P1214" s="16"/>
      <c r="Q1214" s="16"/>
      <c r="R1214" s="16"/>
      <c r="S1214" s="16"/>
      <c r="T1214" s="16"/>
      <c r="U1214" s="16"/>
      <c r="V1214" s="16"/>
      <c r="W1214" s="16"/>
      <c r="X1214" s="16"/>
      <c r="Y1214" s="16"/>
      <c r="Z1214" s="16"/>
      <c r="AA1214" s="16"/>
      <c r="AB1214" s="16"/>
      <c r="AC1214" s="16"/>
      <c r="AD1214" s="16"/>
      <c r="AE1214" s="16"/>
      <c r="AF1214" s="16"/>
      <c r="AG1214" s="16"/>
      <c r="AH1214" s="16" t="b">
        <f>IFERROR(__xludf.DUMMYFUNCTION("""COMPUTED_VALUE"""),FALSE)</f>
        <v>0</v>
      </c>
    </row>
    <row r="1215">
      <c r="A1215" s="16"/>
      <c r="B1215" s="16"/>
      <c r="C1215" s="16"/>
      <c r="D1215" s="16"/>
      <c r="E1215" s="16">
        <f>IFERROR(__xludf.DUMMYFUNCTION("""COMPUTED_VALUE"""),1.0)</f>
        <v>1</v>
      </c>
      <c r="F1215" s="108">
        <f>IFERROR(__xludf.DUMMYFUNCTION("""COMPUTED_VALUE"""),0.0)</f>
        <v>0</v>
      </c>
      <c r="G1215" s="16"/>
      <c r="H1215" s="16"/>
      <c r="I1215" s="16"/>
      <c r="J1215" s="16"/>
      <c r="K1215" s="16"/>
      <c r="L1215" s="16"/>
      <c r="M1215" s="16"/>
      <c r="N1215" s="16"/>
      <c r="O1215" s="16"/>
      <c r="P1215" s="16"/>
      <c r="Q1215" s="16"/>
      <c r="R1215" s="16"/>
      <c r="S1215" s="16"/>
      <c r="T1215" s="16"/>
      <c r="U1215" s="16"/>
      <c r="V1215" s="16"/>
      <c r="W1215" s="16"/>
      <c r="X1215" s="16"/>
      <c r="Y1215" s="16"/>
      <c r="Z1215" s="16"/>
      <c r="AA1215" s="16"/>
      <c r="AB1215" s="16"/>
      <c r="AC1215" s="16"/>
      <c r="AD1215" s="16"/>
      <c r="AE1215" s="16"/>
      <c r="AF1215" s="16"/>
      <c r="AG1215" s="16"/>
      <c r="AH1215" s="16" t="b">
        <f>IFERROR(__xludf.DUMMYFUNCTION("""COMPUTED_VALUE"""),FALSE)</f>
        <v>0</v>
      </c>
    </row>
    <row r="1216">
      <c r="A1216" s="16"/>
      <c r="B1216" s="16"/>
      <c r="C1216" s="16"/>
      <c r="D1216" s="16"/>
      <c r="E1216" s="16">
        <f>IFERROR(__xludf.DUMMYFUNCTION("""COMPUTED_VALUE"""),1.0)</f>
        <v>1</v>
      </c>
      <c r="F1216" s="108">
        <f>IFERROR(__xludf.DUMMYFUNCTION("""COMPUTED_VALUE"""),0.0)</f>
        <v>0</v>
      </c>
      <c r="G1216" s="16"/>
      <c r="H1216" s="16"/>
      <c r="I1216" s="16"/>
      <c r="J1216" s="16"/>
      <c r="K1216" s="16"/>
      <c r="L1216" s="16"/>
      <c r="M1216" s="16"/>
      <c r="N1216" s="16"/>
      <c r="O1216" s="16"/>
      <c r="P1216" s="16"/>
      <c r="Q1216" s="16"/>
      <c r="R1216" s="16"/>
      <c r="S1216" s="16"/>
      <c r="T1216" s="16"/>
      <c r="U1216" s="16"/>
      <c r="V1216" s="16"/>
      <c r="W1216" s="16"/>
      <c r="X1216" s="16"/>
      <c r="Y1216" s="16"/>
      <c r="Z1216" s="16"/>
      <c r="AA1216" s="16"/>
      <c r="AB1216" s="16"/>
      <c r="AC1216" s="16"/>
      <c r="AD1216" s="16"/>
      <c r="AE1216" s="16"/>
      <c r="AF1216" s="16"/>
      <c r="AG1216" s="16"/>
      <c r="AH1216" s="16" t="b">
        <f>IFERROR(__xludf.DUMMYFUNCTION("""COMPUTED_VALUE"""),FALSE)</f>
        <v>0</v>
      </c>
    </row>
    <row r="1217">
      <c r="A1217" s="16"/>
      <c r="B1217" s="16"/>
      <c r="C1217" s="16"/>
      <c r="D1217" s="16"/>
      <c r="E1217" s="16">
        <f>IFERROR(__xludf.DUMMYFUNCTION("""COMPUTED_VALUE"""),1.0)</f>
        <v>1</v>
      </c>
      <c r="F1217" s="108">
        <f>IFERROR(__xludf.DUMMYFUNCTION("""COMPUTED_VALUE"""),0.0)</f>
        <v>0</v>
      </c>
      <c r="G1217" s="16"/>
      <c r="H1217" s="16"/>
      <c r="I1217" s="16"/>
      <c r="J1217" s="16"/>
      <c r="K1217" s="16"/>
      <c r="L1217" s="16"/>
      <c r="M1217" s="16"/>
      <c r="N1217" s="16"/>
      <c r="O1217" s="16"/>
      <c r="P1217" s="16"/>
      <c r="Q1217" s="16"/>
      <c r="R1217" s="16"/>
      <c r="S1217" s="16"/>
      <c r="T1217" s="16"/>
      <c r="U1217" s="16"/>
      <c r="V1217" s="16"/>
      <c r="W1217" s="16"/>
      <c r="X1217" s="16"/>
      <c r="Y1217" s="16"/>
      <c r="Z1217" s="16"/>
      <c r="AA1217" s="16"/>
      <c r="AB1217" s="16"/>
      <c r="AC1217" s="16"/>
      <c r="AD1217" s="16"/>
      <c r="AE1217" s="16"/>
      <c r="AF1217" s="16"/>
      <c r="AG1217" s="16"/>
      <c r="AH1217" s="16" t="b">
        <f>IFERROR(__xludf.DUMMYFUNCTION("""COMPUTED_VALUE"""),FALSE)</f>
        <v>0</v>
      </c>
    </row>
    <row r="1218">
      <c r="A1218" s="16"/>
      <c r="B1218" s="16"/>
      <c r="C1218" s="16"/>
      <c r="D1218" s="16"/>
      <c r="E1218" s="16">
        <f>IFERROR(__xludf.DUMMYFUNCTION("""COMPUTED_VALUE"""),1.0)</f>
        <v>1</v>
      </c>
      <c r="F1218" s="108">
        <f>IFERROR(__xludf.DUMMYFUNCTION("""COMPUTED_VALUE"""),0.0)</f>
        <v>0</v>
      </c>
      <c r="G1218" s="16"/>
      <c r="H1218" s="16"/>
      <c r="I1218" s="16"/>
      <c r="J1218" s="16"/>
      <c r="K1218" s="16"/>
      <c r="L1218" s="16"/>
      <c r="M1218" s="16"/>
      <c r="N1218" s="16"/>
      <c r="O1218" s="16"/>
      <c r="P1218" s="16"/>
      <c r="Q1218" s="16"/>
      <c r="R1218" s="16"/>
      <c r="S1218" s="16"/>
      <c r="T1218" s="16"/>
      <c r="U1218" s="16"/>
      <c r="V1218" s="16"/>
      <c r="W1218" s="16"/>
      <c r="X1218" s="16"/>
      <c r="Y1218" s="16"/>
      <c r="Z1218" s="16"/>
      <c r="AA1218" s="16"/>
      <c r="AB1218" s="16"/>
      <c r="AC1218" s="16"/>
      <c r="AD1218" s="16"/>
      <c r="AE1218" s="16"/>
      <c r="AF1218" s="16"/>
      <c r="AG1218" s="16"/>
      <c r="AH1218" s="16" t="b">
        <f>IFERROR(__xludf.DUMMYFUNCTION("""COMPUTED_VALUE"""),FALSE)</f>
        <v>0</v>
      </c>
    </row>
    <row r="1219">
      <c r="A1219" s="16"/>
      <c r="B1219" s="16"/>
      <c r="C1219" s="16"/>
      <c r="D1219" s="16"/>
      <c r="E1219" s="16">
        <f>IFERROR(__xludf.DUMMYFUNCTION("""COMPUTED_VALUE"""),1.0)</f>
        <v>1</v>
      </c>
      <c r="F1219" s="108">
        <f>IFERROR(__xludf.DUMMYFUNCTION("""COMPUTED_VALUE"""),0.0)</f>
        <v>0</v>
      </c>
      <c r="G1219" s="16"/>
      <c r="H1219" s="16"/>
      <c r="I1219" s="16"/>
      <c r="J1219" s="16"/>
      <c r="K1219" s="16"/>
      <c r="L1219" s="16"/>
      <c r="M1219" s="16"/>
      <c r="N1219" s="16"/>
      <c r="O1219" s="16"/>
      <c r="P1219" s="16"/>
      <c r="Q1219" s="16"/>
      <c r="R1219" s="16"/>
      <c r="S1219" s="16"/>
      <c r="T1219" s="16"/>
      <c r="U1219" s="16"/>
      <c r="V1219" s="16"/>
      <c r="W1219" s="16"/>
      <c r="X1219" s="16"/>
      <c r="Y1219" s="16"/>
      <c r="Z1219" s="16"/>
      <c r="AA1219" s="16"/>
      <c r="AB1219" s="16"/>
      <c r="AC1219" s="16"/>
      <c r="AD1219" s="16"/>
      <c r="AE1219" s="16"/>
      <c r="AF1219" s="16"/>
      <c r="AG1219" s="16"/>
      <c r="AH1219" s="16" t="b">
        <f>IFERROR(__xludf.DUMMYFUNCTION("""COMPUTED_VALUE"""),FALSE)</f>
        <v>0</v>
      </c>
    </row>
    <row r="1220">
      <c r="A1220" s="16"/>
      <c r="B1220" s="16"/>
      <c r="C1220" s="16"/>
      <c r="D1220" s="16"/>
      <c r="E1220" s="16">
        <f>IFERROR(__xludf.DUMMYFUNCTION("""COMPUTED_VALUE"""),1.0)</f>
        <v>1</v>
      </c>
      <c r="F1220" s="108">
        <f>IFERROR(__xludf.DUMMYFUNCTION("""COMPUTED_VALUE"""),0.0)</f>
        <v>0</v>
      </c>
      <c r="G1220" s="16"/>
      <c r="H1220" s="16"/>
      <c r="I1220" s="16"/>
      <c r="J1220" s="16"/>
      <c r="K1220" s="16"/>
      <c r="L1220" s="16"/>
      <c r="M1220" s="16"/>
      <c r="N1220" s="16"/>
      <c r="O1220" s="16"/>
      <c r="P1220" s="16"/>
      <c r="Q1220" s="16"/>
      <c r="R1220" s="16"/>
      <c r="S1220" s="16"/>
      <c r="T1220" s="16"/>
      <c r="U1220" s="16"/>
      <c r="V1220" s="16"/>
      <c r="W1220" s="16"/>
      <c r="X1220" s="16"/>
      <c r="Y1220" s="16"/>
      <c r="Z1220" s="16"/>
      <c r="AA1220" s="16"/>
      <c r="AB1220" s="16"/>
      <c r="AC1220" s="16"/>
      <c r="AD1220" s="16"/>
      <c r="AE1220" s="16"/>
      <c r="AF1220" s="16"/>
      <c r="AG1220" s="16"/>
      <c r="AH1220" s="16" t="b">
        <f>IFERROR(__xludf.DUMMYFUNCTION("""COMPUTED_VALUE"""),FALSE)</f>
        <v>0</v>
      </c>
    </row>
    <row r="1221">
      <c r="A1221" s="16"/>
      <c r="B1221" s="16"/>
      <c r="C1221" s="16"/>
      <c r="D1221" s="16"/>
      <c r="E1221" s="16">
        <f>IFERROR(__xludf.DUMMYFUNCTION("""COMPUTED_VALUE"""),1.0)</f>
        <v>1</v>
      </c>
      <c r="F1221" s="108">
        <f>IFERROR(__xludf.DUMMYFUNCTION("""COMPUTED_VALUE"""),0.0)</f>
        <v>0</v>
      </c>
      <c r="G1221" s="16"/>
      <c r="H1221" s="16"/>
      <c r="I1221" s="16"/>
      <c r="J1221" s="16"/>
      <c r="K1221" s="16"/>
      <c r="L1221" s="16"/>
      <c r="M1221" s="16"/>
      <c r="N1221" s="16"/>
      <c r="O1221" s="16"/>
      <c r="P1221" s="16"/>
      <c r="Q1221" s="16"/>
      <c r="R1221" s="16"/>
      <c r="S1221" s="16"/>
      <c r="T1221" s="16"/>
      <c r="U1221" s="16"/>
      <c r="V1221" s="16"/>
      <c r="W1221" s="16"/>
      <c r="X1221" s="16"/>
      <c r="Y1221" s="16"/>
      <c r="Z1221" s="16"/>
      <c r="AA1221" s="16"/>
      <c r="AB1221" s="16"/>
      <c r="AC1221" s="16"/>
      <c r="AD1221" s="16"/>
      <c r="AE1221" s="16"/>
      <c r="AF1221" s="16"/>
      <c r="AG1221" s="16"/>
      <c r="AH1221" s="16" t="b">
        <f>IFERROR(__xludf.DUMMYFUNCTION("""COMPUTED_VALUE"""),FALSE)</f>
        <v>0</v>
      </c>
    </row>
    <row r="1222">
      <c r="A1222" s="16"/>
      <c r="B1222" s="16"/>
      <c r="C1222" s="16"/>
      <c r="D1222" s="16"/>
      <c r="E1222" s="16">
        <f>IFERROR(__xludf.DUMMYFUNCTION("""COMPUTED_VALUE"""),1.0)</f>
        <v>1</v>
      </c>
      <c r="F1222" s="108">
        <f>IFERROR(__xludf.DUMMYFUNCTION("""COMPUTED_VALUE"""),0.0)</f>
        <v>0</v>
      </c>
      <c r="G1222" s="16"/>
      <c r="H1222" s="16"/>
      <c r="I1222" s="16"/>
      <c r="J1222" s="16"/>
      <c r="K1222" s="16"/>
      <c r="L1222" s="16"/>
      <c r="M1222" s="16"/>
      <c r="N1222" s="16"/>
      <c r="O1222" s="16"/>
      <c r="P1222" s="16"/>
      <c r="Q1222" s="16"/>
      <c r="R1222" s="16"/>
      <c r="S1222" s="16"/>
      <c r="T1222" s="16"/>
      <c r="U1222" s="16"/>
      <c r="V1222" s="16"/>
      <c r="W1222" s="16"/>
      <c r="X1222" s="16"/>
      <c r="Y1222" s="16"/>
      <c r="Z1222" s="16"/>
      <c r="AA1222" s="16"/>
      <c r="AB1222" s="16"/>
      <c r="AC1222" s="16"/>
      <c r="AD1222" s="16"/>
      <c r="AE1222" s="16"/>
      <c r="AF1222" s="16"/>
      <c r="AG1222" s="16"/>
      <c r="AH1222" s="16" t="b">
        <f>IFERROR(__xludf.DUMMYFUNCTION("""COMPUTED_VALUE"""),FALSE)</f>
        <v>0</v>
      </c>
    </row>
    <row r="1223">
      <c r="A1223" s="16"/>
      <c r="B1223" s="16"/>
      <c r="C1223" s="16"/>
      <c r="D1223" s="16"/>
      <c r="E1223" s="16">
        <f>IFERROR(__xludf.DUMMYFUNCTION("""COMPUTED_VALUE"""),1.0)</f>
        <v>1</v>
      </c>
      <c r="F1223" s="108">
        <f>IFERROR(__xludf.DUMMYFUNCTION("""COMPUTED_VALUE"""),0.0)</f>
        <v>0</v>
      </c>
      <c r="G1223" s="16"/>
      <c r="H1223" s="16"/>
      <c r="I1223" s="16"/>
      <c r="J1223" s="16"/>
      <c r="K1223" s="16"/>
      <c r="L1223" s="16"/>
      <c r="M1223" s="16"/>
      <c r="N1223" s="16"/>
      <c r="O1223" s="16"/>
      <c r="P1223" s="16"/>
      <c r="Q1223" s="16"/>
      <c r="R1223" s="16"/>
      <c r="S1223" s="16"/>
      <c r="T1223" s="16"/>
      <c r="U1223" s="16"/>
      <c r="V1223" s="16"/>
      <c r="W1223" s="16"/>
      <c r="X1223" s="16"/>
      <c r="Y1223" s="16"/>
      <c r="Z1223" s="16"/>
      <c r="AA1223" s="16"/>
      <c r="AB1223" s="16"/>
      <c r="AC1223" s="16"/>
      <c r="AD1223" s="16"/>
      <c r="AE1223" s="16"/>
      <c r="AF1223" s="16"/>
      <c r="AG1223" s="16"/>
      <c r="AH1223" s="16" t="b">
        <f>IFERROR(__xludf.DUMMYFUNCTION("""COMPUTED_VALUE"""),FALSE)</f>
        <v>0</v>
      </c>
    </row>
    <row r="1224">
      <c r="A1224" s="16"/>
      <c r="B1224" s="16"/>
      <c r="C1224" s="16"/>
      <c r="D1224" s="16"/>
      <c r="E1224" s="16">
        <f>IFERROR(__xludf.DUMMYFUNCTION("""COMPUTED_VALUE"""),1.0)</f>
        <v>1</v>
      </c>
      <c r="F1224" s="108">
        <f>IFERROR(__xludf.DUMMYFUNCTION("""COMPUTED_VALUE"""),0.0)</f>
        <v>0</v>
      </c>
      <c r="G1224" s="16"/>
      <c r="H1224" s="16"/>
      <c r="I1224" s="16"/>
      <c r="J1224" s="16"/>
      <c r="K1224" s="16"/>
      <c r="L1224" s="16"/>
      <c r="M1224" s="16"/>
      <c r="N1224" s="16"/>
      <c r="O1224" s="16"/>
      <c r="P1224" s="16"/>
      <c r="Q1224" s="16"/>
      <c r="R1224" s="16"/>
      <c r="S1224" s="16"/>
      <c r="T1224" s="16"/>
      <c r="U1224" s="16"/>
      <c r="V1224" s="16"/>
      <c r="W1224" s="16"/>
      <c r="X1224" s="16"/>
      <c r="Y1224" s="16"/>
      <c r="Z1224" s="16"/>
      <c r="AA1224" s="16"/>
      <c r="AB1224" s="16"/>
      <c r="AC1224" s="16"/>
      <c r="AD1224" s="16"/>
      <c r="AE1224" s="16"/>
      <c r="AF1224" s="16"/>
      <c r="AG1224" s="16"/>
      <c r="AH1224" s="16" t="b">
        <f>IFERROR(__xludf.DUMMYFUNCTION("""COMPUTED_VALUE"""),FALSE)</f>
        <v>0</v>
      </c>
    </row>
    <row r="1225">
      <c r="A1225" s="16"/>
      <c r="B1225" s="16"/>
      <c r="C1225" s="16"/>
      <c r="D1225" s="16"/>
      <c r="E1225" s="16">
        <f>IFERROR(__xludf.DUMMYFUNCTION("""COMPUTED_VALUE"""),1.0)</f>
        <v>1</v>
      </c>
      <c r="F1225" s="108">
        <f>IFERROR(__xludf.DUMMYFUNCTION("""COMPUTED_VALUE"""),0.0)</f>
        <v>0</v>
      </c>
      <c r="G1225" s="16"/>
      <c r="H1225" s="16"/>
      <c r="I1225" s="16"/>
      <c r="J1225" s="16"/>
      <c r="K1225" s="16"/>
      <c r="L1225" s="16"/>
      <c r="M1225" s="16"/>
      <c r="N1225" s="16"/>
      <c r="O1225" s="16"/>
      <c r="P1225" s="16"/>
      <c r="Q1225" s="16"/>
      <c r="R1225" s="16"/>
      <c r="S1225" s="16"/>
      <c r="T1225" s="16"/>
      <c r="U1225" s="16"/>
      <c r="V1225" s="16"/>
      <c r="W1225" s="16"/>
      <c r="X1225" s="16"/>
      <c r="Y1225" s="16"/>
      <c r="Z1225" s="16"/>
      <c r="AA1225" s="16"/>
      <c r="AB1225" s="16"/>
      <c r="AC1225" s="16"/>
      <c r="AD1225" s="16"/>
      <c r="AE1225" s="16"/>
      <c r="AF1225" s="16"/>
      <c r="AG1225" s="16"/>
      <c r="AH1225" s="16" t="b">
        <f>IFERROR(__xludf.DUMMYFUNCTION("""COMPUTED_VALUE"""),FALSE)</f>
        <v>0</v>
      </c>
    </row>
    <row r="1226">
      <c r="A1226" s="16"/>
      <c r="B1226" s="16"/>
      <c r="C1226" s="16"/>
      <c r="D1226" s="16"/>
      <c r="E1226" s="16">
        <f>IFERROR(__xludf.DUMMYFUNCTION("""COMPUTED_VALUE"""),1.0)</f>
        <v>1</v>
      </c>
      <c r="F1226" s="108">
        <f>IFERROR(__xludf.DUMMYFUNCTION("""COMPUTED_VALUE"""),0.0)</f>
        <v>0</v>
      </c>
      <c r="G1226" s="16"/>
      <c r="H1226" s="16"/>
      <c r="I1226" s="16"/>
      <c r="J1226" s="16"/>
      <c r="K1226" s="16"/>
      <c r="L1226" s="16"/>
      <c r="M1226" s="16"/>
      <c r="N1226" s="16"/>
      <c r="O1226" s="16"/>
      <c r="P1226" s="16"/>
      <c r="Q1226" s="16"/>
      <c r="R1226" s="16"/>
      <c r="S1226" s="16"/>
      <c r="T1226" s="16"/>
      <c r="U1226" s="16"/>
      <c r="V1226" s="16"/>
      <c r="W1226" s="16"/>
      <c r="X1226" s="16"/>
      <c r="Y1226" s="16"/>
      <c r="Z1226" s="16"/>
      <c r="AA1226" s="16"/>
      <c r="AB1226" s="16"/>
      <c r="AC1226" s="16"/>
      <c r="AD1226" s="16"/>
      <c r="AE1226" s="16"/>
      <c r="AF1226" s="16"/>
      <c r="AG1226" s="16"/>
      <c r="AH1226" s="16" t="b">
        <f>IFERROR(__xludf.DUMMYFUNCTION("""COMPUTED_VALUE"""),FALSE)</f>
        <v>0</v>
      </c>
    </row>
    <row r="1227">
      <c r="A1227" s="16"/>
      <c r="B1227" s="16"/>
      <c r="C1227" s="16"/>
      <c r="D1227" s="16"/>
      <c r="E1227" s="16">
        <f>IFERROR(__xludf.DUMMYFUNCTION("""COMPUTED_VALUE"""),1.0)</f>
        <v>1</v>
      </c>
      <c r="F1227" s="108">
        <f>IFERROR(__xludf.DUMMYFUNCTION("""COMPUTED_VALUE"""),0.0)</f>
        <v>0</v>
      </c>
      <c r="G1227" s="16"/>
      <c r="H1227" s="16"/>
      <c r="I1227" s="16"/>
      <c r="J1227" s="16"/>
      <c r="K1227" s="16"/>
      <c r="L1227" s="16"/>
      <c r="M1227" s="16"/>
      <c r="N1227" s="16"/>
      <c r="O1227" s="16"/>
      <c r="P1227" s="16"/>
      <c r="Q1227" s="16"/>
      <c r="R1227" s="16"/>
      <c r="S1227" s="16"/>
      <c r="T1227" s="16"/>
      <c r="U1227" s="16"/>
      <c r="V1227" s="16"/>
      <c r="W1227" s="16"/>
      <c r="X1227" s="16"/>
      <c r="Y1227" s="16"/>
      <c r="Z1227" s="16"/>
      <c r="AA1227" s="16"/>
      <c r="AB1227" s="16"/>
      <c r="AC1227" s="16"/>
      <c r="AD1227" s="16"/>
      <c r="AE1227" s="16"/>
      <c r="AF1227" s="16"/>
      <c r="AG1227" s="16"/>
      <c r="AH1227" s="16" t="b">
        <f>IFERROR(__xludf.DUMMYFUNCTION("""COMPUTED_VALUE"""),FALSE)</f>
        <v>0</v>
      </c>
    </row>
    <row r="1228">
      <c r="A1228" s="16"/>
      <c r="B1228" s="16"/>
      <c r="C1228" s="16"/>
      <c r="D1228" s="16"/>
      <c r="E1228" s="16">
        <f>IFERROR(__xludf.DUMMYFUNCTION("""COMPUTED_VALUE"""),1.0)</f>
        <v>1</v>
      </c>
      <c r="F1228" s="108">
        <f>IFERROR(__xludf.DUMMYFUNCTION("""COMPUTED_VALUE"""),0.0)</f>
        <v>0</v>
      </c>
      <c r="G1228" s="16"/>
      <c r="H1228" s="16"/>
      <c r="I1228" s="16"/>
      <c r="J1228" s="16"/>
      <c r="K1228" s="16"/>
      <c r="L1228" s="16"/>
      <c r="M1228" s="16"/>
      <c r="N1228" s="16"/>
      <c r="O1228" s="16"/>
      <c r="P1228" s="16"/>
      <c r="Q1228" s="16"/>
      <c r="R1228" s="16"/>
      <c r="S1228" s="16"/>
      <c r="T1228" s="16"/>
      <c r="U1228" s="16"/>
      <c r="V1228" s="16"/>
      <c r="W1228" s="16"/>
      <c r="X1228" s="16"/>
      <c r="Y1228" s="16"/>
      <c r="Z1228" s="16"/>
      <c r="AA1228" s="16"/>
      <c r="AB1228" s="16"/>
      <c r="AC1228" s="16"/>
      <c r="AD1228" s="16"/>
      <c r="AE1228" s="16"/>
      <c r="AF1228" s="16"/>
      <c r="AG1228" s="16"/>
      <c r="AH1228" s="16" t="b">
        <f>IFERROR(__xludf.DUMMYFUNCTION("""COMPUTED_VALUE"""),FALSE)</f>
        <v>0</v>
      </c>
    </row>
    <row r="1229">
      <c r="A1229" s="16"/>
      <c r="B1229" s="16"/>
      <c r="C1229" s="16"/>
      <c r="D1229" s="16"/>
      <c r="E1229" s="16">
        <f>IFERROR(__xludf.DUMMYFUNCTION("""COMPUTED_VALUE"""),1.0)</f>
        <v>1</v>
      </c>
      <c r="F1229" s="108">
        <f>IFERROR(__xludf.DUMMYFUNCTION("""COMPUTED_VALUE"""),0.0)</f>
        <v>0</v>
      </c>
      <c r="G1229" s="16"/>
      <c r="H1229" s="16"/>
      <c r="I1229" s="16"/>
      <c r="J1229" s="16"/>
      <c r="K1229" s="16"/>
      <c r="L1229" s="16"/>
      <c r="M1229" s="16"/>
      <c r="N1229" s="16"/>
      <c r="O1229" s="16"/>
      <c r="P1229" s="16"/>
      <c r="Q1229" s="16"/>
      <c r="R1229" s="16"/>
      <c r="S1229" s="16"/>
      <c r="T1229" s="16"/>
      <c r="U1229" s="16"/>
      <c r="V1229" s="16"/>
      <c r="W1229" s="16"/>
      <c r="X1229" s="16"/>
      <c r="Y1229" s="16"/>
      <c r="Z1229" s="16"/>
      <c r="AA1229" s="16"/>
      <c r="AB1229" s="16"/>
      <c r="AC1229" s="16"/>
      <c r="AD1229" s="16"/>
      <c r="AE1229" s="16"/>
      <c r="AF1229" s="16"/>
      <c r="AG1229" s="16"/>
      <c r="AH1229" s="16" t="b">
        <f>IFERROR(__xludf.DUMMYFUNCTION("""COMPUTED_VALUE"""),FALSE)</f>
        <v>0</v>
      </c>
    </row>
    <row r="1230">
      <c r="A1230" s="16"/>
      <c r="B1230" s="16"/>
      <c r="C1230" s="16"/>
      <c r="D1230" s="16"/>
      <c r="E1230" s="16">
        <f>IFERROR(__xludf.DUMMYFUNCTION("""COMPUTED_VALUE"""),1.0)</f>
        <v>1</v>
      </c>
      <c r="F1230" s="108">
        <f>IFERROR(__xludf.DUMMYFUNCTION("""COMPUTED_VALUE"""),0.0)</f>
        <v>0</v>
      </c>
      <c r="G1230" s="16"/>
      <c r="H1230" s="16"/>
      <c r="I1230" s="16"/>
      <c r="J1230" s="16"/>
      <c r="K1230" s="16"/>
      <c r="L1230" s="16"/>
      <c r="M1230" s="16"/>
      <c r="N1230" s="16"/>
      <c r="O1230" s="16"/>
      <c r="P1230" s="16"/>
      <c r="Q1230" s="16"/>
      <c r="R1230" s="16"/>
      <c r="S1230" s="16"/>
      <c r="T1230" s="16"/>
      <c r="U1230" s="16"/>
      <c r="V1230" s="16"/>
      <c r="W1230" s="16"/>
      <c r="X1230" s="16"/>
      <c r="Y1230" s="16"/>
      <c r="Z1230" s="16"/>
      <c r="AA1230" s="16"/>
      <c r="AB1230" s="16"/>
      <c r="AC1230" s="16"/>
      <c r="AD1230" s="16"/>
      <c r="AE1230" s="16"/>
      <c r="AF1230" s="16"/>
      <c r="AG1230" s="16"/>
      <c r="AH1230" s="16" t="b">
        <f>IFERROR(__xludf.DUMMYFUNCTION("""COMPUTED_VALUE"""),FALSE)</f>
        <v>0</v>
      </c>
    </row>
    <row r="1231">
      <c r="A1231" s="16"/>
      <c r="B1231" s="16"/>
      <c r="C1231" s="16"/>
      <c r="D1231" s="16"/>
      <c r="E1231" s="16">
        <f>IFERROR(__xludf.DUMMYFUNCTION("""COMPUTED_VALUE"""),1.0)</f>
        <v>1</v>
      </c>
      <c r="F1231" s="108">
        <f>IFERROR(__xludf.DUMMYFUNCTION("""COMPUTED_VALUE"""),0.0)</f>
        <v>0</v>
      </c>
      <c r="G1231" s="16"/>
      <c r="H1231" s="16"/>
      <c r="I1231" s="16"/>
      <c r="J1231" s="16"/>
      <c r="K1231" s="16"/>
      <c r="L1231" s="16"/>
      <c r="M1231" s="16"/>
      <c r="N1231" s="16"/>
      <c r="O1231" s="16"/>
      <c r="P1231" s="16"/>
      <c r="Q1231" s="16"/>
      <c r="R1231" s="16"/>
      <c r="S1231" s="16"/>
      <c r="T1231" s="16"/>
      <c r="U1231" s="16"/>
      <c r="V1231" s="16"/>
      <c r="W1231" s="16"/>
      <c r="X1231" s="16"/>
      <c r="Y1231" s="16"/>
      <c r="Z1231" s="16"/>
      <c r="AA1231" s="16"/>
      <c r="AB1231" s="16"/>
      <c r="AC1231" s="16"/>
      <c r="AD1231" s="16"/>
      <c r="AE1231" s="16"/>
      <c r="AF1231" s="16"/>
      <c r="AG1231" s="16"/>
      <c r="AH1231" s="16" t="b">
        <f>IFERROR(__xludf.DUMMYFUNCTION("""COMPUTED_VALUE"""),FALSE)</f>
        <v>0</v>
      </c>
    </row>
    <row r="1232">
      <c r="A1232" s="16"/>
      <c r="B1232" s="16"/>
      <c r="C1232" s="16"/>
      <c r="D1232" s="16"/>
      <c r="E1232" s="16">
        <f>IFERROR(__xludf.DUMMYFUNCTION("""COMPUTED_VALUE"""),1.0)</f>
        <v>1</v>
      </c>
      <c r="F1232" s="108">
        <f>IFERROR(__xludf.DUMMYFUNCTION("""COMPUTED_VALUE"""),0.0)</f>
        <v>0</v>
      </c>
      <c r="G1232" s="16"/>
      <c r="H1232" s="16"/>
      <c r="I1232" s="16"/>
      <c r="J1232" s="16"/>
      <c r="K1232" s="16"/>
      <c r="L1232" s="16"/>
      <c r="M1232" s="16"/>
      <c r="N1232" s="16"/>
      <c r="O1232" s="16"/>
      <c r="P1232" s="16"/>
      <c r="Q1232" s="16"/>
      <c r="R1232" s="16"/>
      <c r="S1232" s="16"/>
      <c r="T1232" s="16"/>
      <c r="U1232" s="16"/>
      <c r="V1232" s="16"/>
      <c r="W1232" s="16"/>
      <c r="X1232" s="16"/>
      <c r="Y1232" s="16"/>
      <c r="Z1232" s="16"/>
      <c r="AA1232" s="16"/>
      <c r="AB1232" s="16"/>
      <c r="AC1232" s="16"/>
      <c r="AD1232" s="16"/>
      <c r="AE1232" s="16"/>
      <c r="AF1232" s="16"/>
      <c r="AG1232" s="16"/>
      <c r="AH1232" s="16" t="b">
        <f>IFERROR(__xludf.DUMMYFUNCTION("""COMPUTED_VALUE"""),FALSE)</f>
        <v>0</v>
      </c>
    </row>
    <row r="1233">
      <c r="A1233" s="16"/>
      <c r="B1233" s="16"/>
      <c r="C1233" s="16"/>
      <c r="D1233" s="16"/>
      <c r="E1233" s="16">
        <f>IFERROR(__xludf.DUMMYFUNCTION("""COMPUTED_VALUE"""),1.0)</f>
        <v>1</v>
      </c>
      <c r="F1233" s="108">
        <f>IFERROR(__xludf.DUMMYFUNCTION("""COMPUTED_VALUE"""),0.0)</f>
        <v>0</v>
      </c>
      <c r="G1233" s="16"/>
      <c r="H1233" s="16"/>
      <c r="I1233" s="16"/>
      <c r="J1233" s="16"/>
      <c r="K1233" s="16"/>
      <c r="L1233" s="16"/>
      <c r="M1233" s="16"/>
      <c r="N1233" s="16"/>
      <c r="O1233" s="16"/>
      <c r="P1233" s="16"/>
      <c r="Q1233" s="16"/>
      <c r="R1233" s="16"/>
      <c r="S1233" s="16"/>
      <c r="T1233" s="16"/>
      <c r="U1233" s="16"/>
      <c r="V1233" s="16"/>
      <c r="W1233" s="16"/>
      <c r="X1233" s="16"/>
      <c r="Y1233" s="16"/>
      <c r="Z1233" s="16"/>
      <c r="AA1233" s="16"/>
      <c r="AB1233" s="16"/>
      <c r="AC1233" s="16"/>
      <c r="AD1233" s="16"/>
      <c r="AE1233" s="16"/>
      <c r="AF1233" s="16"/>
      <c r="AG1233" s="16"/>
      <c r="AH1233" s="16" t="b">
        <f>IFERROR(__xludf.DUMMYFUNCTION("""COMPUTED_VALUE"""),FALSE)</f>
        <v>0</v>
      </c>
    </row>
    <row r="1234">
      <c r="A1234" s="16"/>
      <c r="B1234" s="16"/>
      <c r="C1234" s="16"/>
      <c r="D1234" s="16"/>
      <c r="E1234" s="16">
        <f>IFERROR(__xludf.DUMMYFUNCTION("""COMPUTED_VALUE"""),1.0)</f>
        <v>1</v>
      </c>
      <c r="F1234" s="108">
        <f>IFERROR(__xludf.DUMMYFUNCTION("""COMPUTED_VALUE"""),0.0)</f>
        <v>0</v>
      </c>
      <c r="G1234" s="16"/>
      <c r="H1234" s="16"/>
      <c r="I1234" s="16"/>
      <c r="J1234" s="16"/>
      <c r="K1234" s="16"/>
      <c r="L1234" s="16"/>
      <c r="M1234" s="16"/>
      <c r="N1234" s="16"/>
      <c r="O1234" s="16"/>
      <c r="P1234" s="16"/>
      <c r="Q1234" s="16"/>
      <c r="R1234" s="16"/>
      <c r="S1234" s="16"/>
      <c r="T1234" s="16"/>
      <c r="U1234" s="16"/>
      <c r="V1234" s="16"/>
      <c r="W1234" s="16"/>
      <c r="X1234" s="16"/>
      <c r="Y1234" s="16"/>
      <c r="Z1234" s="16"/>
      <c r="AA1234" s="16"/>
      <c r="AB1234" s="16"/>
      <c r="AC1234" s="16"/>
      <c r="AD1234" s="16"/>
      <c r="AE1234" s="16"/>
      <c r="AF1234" s="16"/>
      <c r="AG1234" s="16"/>
      <c r="AH1234" s="16" t="b">
        <f>IFERROR(__xludf.DUMMYFUNCTION("""COMPUTED_VALUE"""),FALSE)</f>
        <v>0</v>
      </c>
    </row>
    <row r="1235">
      <c r="A1235" s="16"/>
      <c r="B1235" s="16"/>
      <c r="C1235" s="16"/>
      <c r="D1235" s="16"/>
      <c r="E1235" s="16">
        <f>IFERROR(__xludf.DUMMYFUNCTION("""COMPUTED_VALUE"""),1.0)</f>
        <v>1</v>
      </c>
      <c r="F1235" s="108">
        <f>IFERROR(__xludf.DUMMYFUNCTION("""COMPUTED_VALUE"""),0.0)</f>
        <v>0</v>
      </c>
      <c r="G1235" s="16"/>
      <c r="H1235" s="16"/>
      <c r="I1235" s="16"/>
      <c r="J1235" s="16"/>
      <c r="K1235" s="16"/>
      <c r="L1235" s="16"/>
      <c r="M1235" s="16"/>
      <c r="N1235" s="16"/>
      <c r="O1235" s="16"/>
      <c r="P1235" s="16"/>
      <c r="Q1235" s="16"/>
      <c r="R1235" s="16"/>
      <c r="S1235" s="16"/>
      <c r="T1235" s="16"/>
      <c r="U1235" s="16"/>
      <c r="V1235" s="16"/>
      <c r="W1235" s="16"/>
      <c r="X1235" s="16"/>
      <c r="Y1235" s="16"/>
      <c r="Z1235" s="16"/>
      <c r="AA1235" s="16"/>
      <c r="AB1235" s="16"/>
      <c r="AC1235" s="16"/>
      <c r="AD1235" s="16"/>
      <c r="AE1235" s="16"/>
      <c r="AF1235" s="16"/>
      <c r="AG1235" s="16"/>
      <c r="AH1235" s="16" t="b">
        <f>IFERROR(__xludf.DUMMYFUNCTION("""COMPUTED_VALUE"""),FALSE)</f>
        <v>0</v>
      </c>
    </row>
    <row r="1236">
      <c r="A1236" s="16"/>
      <c r="B1236" s="16"/>
      <c r="C1236" s="16"/>
      <c r="D1236" s="16"/>
      <c r="E1236" s="16">
        <f>IFERROR(__xludf.DUMMYFUNCTION("""COMPUTED_VALUE"""),1.0)</f>
        <v>1</v>
      </c>
      <c r="F1236" s="108">
        <f>IFERROR(__xludf.DUMMYFUNCTION("""COMPUTED_VALUE"""),0.0)</f>
        <v>0</v>
      </c>
      <c r="G1236" s="16"/>
      <c r="H1236" s="16"/>
      <c r="I1236" s="16"/>
      <c r="J1236" s="16"/>
      <c r="K1236" s="16"/>
      <c r="L1236" s="16"/>
      <c r="M1236" s="16"/>
      <c r="N1236" s="16"/>
      <c r="O1236" s="16"/>
      <c r="P1236" s="16"/>
      <c r="Q1236" s="16"/>
      <c r="R1236" s="16"/>
      <c r="S1236" s="16"/>
      <c r="T1236" s="16"/>
      <c r="U1236" s="16"/>
      <c r="V1236" s="16"/>
      <c r="W1236" s="16"/>
      <c r="X1236" s="16"/>
      <c r="Y1236" s="16"/>
      <c r="Z1236" s="16"/>
      <c r="AA1236" s="16"/>
      <c r="AB1236" s="16"/>
      <c r="AC1236" s="16"/>
      <c r="AD1236" s="16"/>
      <c r="AE1236" s="16"/>
      <c r="AF1236" s="16"/>
      <c r="AG1236" s="16"/>
      <c r="AH1236" s="16" t="b">
        <f>IFERROR(__xludf.DUMMYFUNCTION("""COMPUTED_VALUE"""),FALSE)</f>
        <v>0</v>
      </c>
    </row>
    <row r="1237">
      <c r="A1237" s="16"/>
      <c r="B1237" s="16"/>
      <c r="C1237" s="16"/>
      <c r="D1237" s="16"/>
      <c r="E1237" s="16">
        <f>IFERROR(__xludf.DUMMYFUNCTION("""COMPUTED_VALUE"""),1.0)</f>
        <v>1</v>
      </c>
      <c r="F1237" s="108">
        <f>IFERROR(__xludf.DUMMYFUNCTION("""COMPUTED_VALUE"""),0.0)</f>
        <v>0</v>
      </c>
      <c r="G1237" s="16"/>
      <c r="H1237" s="16"/>
      <c r="I1237" s="16"/>
      <c r="J1237" s="16"/>
      <c r="K1237" s="16"/>
      <c r="L1237" s="16"/>
      <c r="M1237" s="16"/>
      <c r="N1237" s="16"/>
      <c r="O1237" s="16"/>
      <c r="P1237" s="16"/>
      <c r="Q1237" s="16"/>
      <c r="R1237" s="16"/>
      <c r="S1237" s="16"/>
      <c r="T1237" s="16"/>
      <c r="U1237" s="16"/>
      <c r="V1237" s="16"/>
      <c r="W1237" s="16"/>
      <c r="X1237" s="16"/>
      <c r="Y1237" s="16"/>
      <c r="Z1237" s="16"/>
      <c r="AA1237" s="16"/>
      <c r="AB1237" s="16"/>
      <c r="AC1237" s="16"/>
      <c r="AD1237" s="16"/>
      <c r="AE1237" s="16"/>
      <c r="AF1237" s="16"/>
      <c r="AG1237" s="16"/>
      <c r="AH1237" s="16" t="b">
        <f>IFERROR(__xludf.DUMMYFUNCTION("""COMPUTED_VALUE"""),FALSE)</f>
        <v>0</v>
      </c>
    </row>
    <row r="1238">
      <c r="A1238" s="16"/>
      <c r="B1238" s="16"/>
      <c r="C1238" s="16"/>
      <c r="D1238" s="16"/>
      <c r="E1238" s="16">
        <f>IFERROR(__xludf.DUMMYFUNCTION("""COMPUTED_VALUE"""),1.0)</f>
        <v>1</v>
      </c>
      <c r="F1238" s="108">
        <f>IFERROR(__xludf.DUMMYFUNCTION("""COMPUTED_VALUE"""),0.0)</f>
        <v>0</v>
      </c>
      <c r="G1238" s="16"/>
      <c r="H1238" s="16"/>
      <c r="I1238" s="16"/>
      <c r="J1238" s="16"/>
      <c r="K1238" s="16"/>
      <c r="L1238" s="16"/>
      <c r="M1238" s="16"/>
      <c r="N1238" s="16"/>
      <c r="O1238" s="16"/>
      <c r="P1238" s="16"/>
      <c r="Q1238" s="16"/>
      <c r="R1238" s="16"/>
      <c r="S1238" s="16"/>
      <c r="T1238" s="16"/>
      <c r="U1238" s="16"/>
      <c r="V1238" s="16"/>
      <c r="W1238" s="16"/>
      <c r="X1238" s="16"/>
      <c r="Y1238" s="16"/>
      <c r="Z1238" s="16"/>
      <c r="AA1238" s="16"/>
      <c r="AB1238" s="16"/>
      <c r="AC1238" s="16"/>
      <c r="AD1238" s="16"/>
      <c r="AE1238" s="16"/>
      <c r="AF1238" s="16"/>
      <c r="AG1238" s="16"/>
      <c r="AH1238" s="16" t="b">
        <f>IFERROR(__xludf.DUMMYFUNCTION("""COMPUTED_VALUE"""),FALSE)</f>
        <v>0</v>
      </c>
    </row>
    <row r="1239">
      <c r="A1239" s="16"/>
      <c r="B1239" s="16"/>
      <c r="C1239" s="16"/>
      <c r="D1239" s="16"/>
      <c r="E1239" s="16">
        <f>IFERROR(__xludf.DUMMYFUNCTION("""COMPUTED_VALUE"""),1.0)</f>
        <v>1</v>
      </c>
      <c r="F1239" s="108">
        <f>IFERROR(__xludf.DUMMYFUNCTION("""COMPUTED_VALUE"""),0.0)</f>
        <v>0</v>
      </c>
      <c r="G1239" s="16"/>
      <c r="H1239" s="16"/>
      <c r="I1239" s="16"/>
      <c r="J1239" s="16"/>
      <c r="K1239" s="16"/>
      <c r="L1239" s="16"/>
      <c r="M1239" s="16"/>
      <c r="N1239" s="16"/>
      <c r="O1239" s="16"/>
      <c r="P1239" s="16"/>
      <c r="Q1239" s="16"/>
      <c r="R1239" s="16"/>
      <c r="S1239" s="16"/>
      <c r="T1239" s="16"/>
      <c r="U1239" s="16"/>
      <c r="V1239" s="16"/>
      <c r="W1239" s="16"/>
      <c r="X1239" s="16"/>
      <c r="Y1239" s="16"/>
      <c r="Z1239" s="16"/>
      <c r="AA1239" s="16"/>
      <c r="AB1239" s="16"/>
      <c r="AC1239" s="16"/>
      <c r="AD1239" s="16"/>
      <c r="AE1239" s="16"/>
      <c r="AF1239" s="16"/>
      <c r="AG1239" s="16"/>
      <c r="AH1239" s="16" t="b">
        <f>IFERROR(__xludf.DUMMYFUNCTION("""COMPUTED_VALUE"""),FALSE)</f>
        <v>0</v>
      </c>
    </row>
    <row r="1240">
      <c r="A1240" s="16"/>
      <c r="B1240" s="16"/>
      <c r="C1240" s="16"/>
      <c r="D1240" s="16"/>
      <c r="E1240" s="16">
        <f>IFERROR(__xludf.DUMMYFUNCTION("""COMPUTED_VALUE"""),1.0)</f>
        <v>1</v>
      </c>
      <c r="F1240" s="108">
        <f>IFERROR(__xludf.DUMMYFUNCTION("""COMPUTED_VALUE"""),0.0)</f>
        <v>0</v>
      </c>
      <c r="G1240" s="16"/>
      <c r="H1240" s="16"/>
      <c r="I1240" s="16"/>
      <c r="J1240" s="16"/>
      <c r="K1240" s="16"/>
      <c r="L1240" s="16"/>
      <c r="M1240" s="16"/>
      <c r="N1240" s="16"/>
      <c r="O1240" s="16"/>
      <c r="P1240" s="16"/>
      <c r="Q1240" s="16"/>
      <c r="R1240" s="16"/>
      <c r="S1240" s="16"/>
      <c r="T1240" s="16"/>
      <c r="U1240" s="16"/>
      <c r="V1240" s="16"/>
      <c r="W1240" s="16"/>
      <c r="X1240" s="16"/>
      <c r="Y1240" s="16"/>
      <c r="Z1240" s="16"/>
      <c r="AA1240" s="16"/>
      <c r="AB1240" s="16"/>
      <c r="AC1240" s="16"/>
      <c r="AD1240" s="16"/>
      <c r="AE1240" s="16"/>
      <c r="AF1240" s="16"/>
      <c r="AG1240" s="16"/>
      <c r="AH1240" s="16" t="b">
        <f>IFERROR(__xludf.DUMMYFUNCTION("""COMPUTED_VALUE"""),FALSE)</f>
        <v>0</v>
      </c>
    </row>
    <row r="1241">
      <c r="A1241" s="16"/>
      <c r="B1241" s="16"/>
      <c r="C1241" s="16"/>
      <c r="D1241" s="16"/>
      <c r="E1241" s="16">
        <f>IFERROR(__xludf.DUMMYFUNCTION("""COMPUTED_VALUE"""),1.0)</f>
        <v>1</v>
      </c>
      <c r="F1241" s="108">
        <f>IFERROR(__xludf.DUMMYFUNCTION("""COMPUTED_VALUE"""),0.0)</f>
        <v>0</v>
      </c>
      <c r="G1241" s="16"/>
      <c r="H1241" s="16"/>
      <c r="I1241" s="16"/>
      <c r="J1241" s="16"/>
      <c r="K1241" s="16"/>
      <c r="L1241" s="16"/>
      <c r="M1241" s="16"/>
      <c r="N1241" s="16"/>
      <c r="O1241" s="16"/>
      <c r="P1241" s="16"/>
      <c r="Q1241" s="16"/>
      <c r="R1241" s="16"/>
      <c r="S1241" s="16"/>
      <c r="T1241" s="16"/>
      <c r="U1241" s="16"/>
      <c r="V1241" s="16"/>
      <c r="W1241" s="16"/>
      <c r="X1241" s="16"/>
      <c r="Y1241" s="16"/>
      <c r="Z1241" s="16"/>
      <c r="AA1241" s="16"/>
      <c r="AB1241" s="16"/>
      <c r="AC1241" s="16"/>
      <c r="AD1241" s="16"/>
      <c r="AE1241" s="16"/>
      <c r="AF1241" s="16"/>
      <c r="AG1241" s="16"/>
      <c r="AH1241" s="16" t="b">
        <f>IFERROR(__xludf.DUMMYFUNCTION("""COMPUTED_VALUE"""),FALSE)</f>
        <v>0</v>
      </c>
    </row>
    <row r="1242">
      <c r="A1242" s="16"/>
      <c r="B1242" s="16"/>
      <c r="C1242" s="16"/>
      <c r="D1242" s="16"/>
      <c r="E1242" s="16">
        <f>IFERROR(__xludf.DUMMYFUNCTION("""COMPUTED_VALUE"""),1.0)</f>
        <v>1</v>
      </c>
      <c r="F1242" s="108">
        <f>IFERROR(__xludf.DUMMYFUNCTION("""COMPUTED_VALUE"""),0.0)</f>
        <v>0</v>
      </c>
      <c r="G1242" s="16"/>
      <c r="H1242" s="16"/>
      <c r="I1242" s="16"/>
      <c r="J1242" s="16"/>
      <c r="K1242" s="16"/>
      <c r="L1242" s="16"/>
      <c r="M1242" s="16"/>
      <c r="N1242" s="16"/>
      <c r="O1242" s="16"/>
      <c r="P1242" s="16"/>
      <c r="Q1242" s="16"/>
      <c r="R1242" s="16"/>
      <c r="S1242" s="16"/>
      <c r="T1242" s="16"/>
      <c r="U1242" s="16"/>
      <c r="V1242" s="16"/>
      <c r="W1242" s="16"/>
      <c r="X1242" s="16"/>
      <c r="Y1242" s="16"/>
      <c r="Z1242" s="16"/>
      <c r="AA1242" s="16"/>
      <c r="AB1242" s="16"/>
      <c r="AC1242" s="16"/>
      <c r="AD1242" s="16"/>
      <c r="AE1242" s="16"/>
      <c r="AF1242" s="16"/>
      <c r="AG1242" s="16"/>
      <c r="AH1242" s="16" t="b">
        <f>IFERROR(__xludf.DUMMYFUNCTION("""COMPUTED_VALUE"""),FALSE)</f>
        <v>0</v>
      </c>
    </row>
    <row r="1243">
      <c r="A1243" s="16"/>
      <c r="B1243" s="16"/>
      <c r="C1243" s="16"/>
      <c r="D1243" s="16"/>
      <c r="E1243" s="16">
        <f>IFERROR(__xludf.DUMMYFUNCTION("""COMPUTED_VALUE"""),1.0)</f>
        <v>1</v>
      </c>
      <c r="F1243" s="108">
        <f>IFERROR(__xludf.DUMMYFUNCTION("""COMPUTED_VALUE"""),0.0)</f>
        <v>0</v>
      </c>
      <c r="G1243" s="16"/>
      <c r="H1243" s="16"/>
      <c r="I1243" s="16"/>
      <c r="J1243" s="16"/>
      <c r="K1243" s="16"/>
      <c r="L1243" s="16"/>
      <c r="M1243" s="16"/>
      <c r="N1243" s="16"/>
      <c r="O1243" s="16"/>
      <c r="P1243" s="16"/>
      <c r="Q1243" s="16"/>
      <c r="R1243" s="16"/>
      <c r="S1243" s="16"/>
      <c r="T1243" s="16"/>
      <c r="U1243" s="16"/>
      <c r="V1243" s="16"/>
      <c r="W1243" s="16"/>
      <c r="X1243" s="16"/>
      <c r="Y1243" s="16"/>
      <c r="Z1243" s="16"/>
      <c r="AA1243" s="16"/>
      <c r="AB1243" s="16"/>
      <c r="AC1243" s="16"/>
      <c r="AD1243" s="16"/>
      <c r="AE1243" s="16"/>
      <c r="AF1243" s="16"/>
      <c r="AG1243" s="16"/>
      <c r="AH1243" s="16" t="b">
        <f>IFERROR(__xludf.DUMMYFUNCTION("""COMPUTED_VALUE"""),FALSE)</f>
        <v>0</v>
      </c>
    </row>
    <row r="1244">
      <c r="A1244" s="16"/>
      <c r="B1244" s="16"/>
      <c r="C1244" s="16"/>
      <c r="D1244" s="16"/>
      <c r="E1244" s="16">
        <f>IFERROR(__xludf.DUMMYFUNCTION("""COMPUTED_VALUE"""),1.0)</f>
        <v>1</v>
      </c>
      <c r="F1244" s="108">
        <f>IFERROR(__xludf.DUMMYFUNCTION("""COMPUTED_VALUE"""),0.0)</f>
        <v>0</v>
      </c>
      <c r="G1244" s="16"/>
      <c r="H1244" s="16"/>
      <c r="I1244" s="16"/>
      <c r="J1244" s="16"/>
      <c r="K1244" s="16"/>
      <c r="L1244" s="16"/>
      <c r="M1244" s="16"/>
      <c r="N1244" s="16"/>
      <c r="O1244" s="16"/>
      <c r="P1244" s="16"/>
      <c r="Q1244" s="16"/>
      <c r="R1244" s="16"/>
      <c r="S1244" s="16"/>
      <c r="T1244" s="16"/>
      <c r="U1244" s="16"/>
      <c r="V1244" s="16"/>
      <c r="W1244" s="16"/>
      <c r="X1244" s="16"/>
      <c r="Y1244" s="16"/>
      <c r="Z1244" s="16"/>
      <c r="AA1244" s="16"/>
      <c r="AB1244" s="16"/>
      <c r="AC1244" s="16"/>
      <c r="AD1244" s="16"/>
      <c r="AE1244" s="16"/>
      <c r="AF1244" s="16"/>
      <c r="AG1244" s="16"/>
      <c r="AH1244" s="16" t="b">
        <f>IFERROR(__xludf.DUMMYFUNCTION("""COMPUTED_VALUE"""),FALSE)</f>
        <v>0</v>
      </c>
    </row>
    <row r="1245">
      <c r="A1245" s="16"/>
      <c r="B1245" s="16"/>
      <c r="C1245" s="16"/>
      <c r="D1245" s="16"/>
      <c r="E1245" s="16">
        <f>IFERROR(__xludf.DUMMYFUNCTION("""COMPUTED_VALUE"""),1.0)</f>
        <v>1</v>
      </c>
      <c r="F1245" s="108">
        <f>IFERROR(__xludf.DUMMYFUNCTION("""COMPUTED_VALUE"""),0.0)</f>
        <v>0</v>
      </c>
      <c r="G1245" s="16"/>
      <c r="H1245" s="16"/>
      <c r="I1245" s="16"/>
      <c r="J1245" s="16"/>
      <c r="K1245" s="16"/>
      <c r="L1245" s="16"/>
      <c r="M1245" s="16"/>
      <c r="N1245" s="16"/>
      <c r="O1245" s="16"/>
      <c r="P1245" s="16"/>
      <c r="Q1245" s="16"/>
      <c r="R1245" s="16"/>
      <c r="S1245" s="16"/>
      <c r="T1245" s="16"/>
      <c r="U1245" s="16"/>
      <c r="V1245" s="16"/>
      <c r="W1245" s="16"/>
      <c r="X1245" s="16"/>
      <c r="Y1245" s="16"/>
      <c r="Z1245" s="16"/>
      <c r="AA1245" s="16"/>
      <c r="AB1245" s="16"/>
      <c r="AC1245" s="16"/>
      <c r="AD1245" s="16"/>
      <c r="AE1245" s="16"/>
      <c r="AF1245" s="16"/>
      <c r="AG1245" s="16"/>
      <c r="AH1245" s="16" t="b">
        <f>IFERROR(__xludf.DUMMYFUNCTION("""COMPUTED_VALUE"""),FALSE)</f>
        <v>0</v>
      </c>
    </row>
    <row r="1246">
      <c r="A1246" s="16"/>
      <c r="B1246" s="16"/>
      <c r="C1246" s="16"/>
      <c r="D1246" s="16"/>
      <c r="E1246" s="16">
        <f>IFERROR(__xludf.DUMMYFUNCTION("""COMPUTED_VALUE"""),1.0)</f>
        <v>1</v>
      </c>
      <c r="F1246" s="108">
        <f>IFERROR(__xludf.DUMMYFUNCTION("""COMPUTED_VALUE"""),0.0)</f>
        <v>0</v>
      </c>
      <c r="G1246" s="16"/>
      <c r="H1246" s="16"/>
      <c r="I1246" s="16"/>
      <c r="J1246" s="16"/>
      <c r="K1246" s="16"/>
      <c r="L1246" s="16"/>
      <c r="M1246" s="16"/>
      <c r="N1246" s="16"/>
      <c r="O1246" s="16"/>
      <c r="P1246" s="16"/>
      <c r="Q1246" s="16"/>
      <c r="R1246" s="16"/>
      <c r="S1246" s="16"/>
      <c r="T1246" s="16"/>
      <c r="U1246" s="16"/>
      <c r="V1246" s="16"/>
      <c r="W1246" s="16"/>
      <c r="X1246" s="16"/>
      <c r="Y1246" s="16"/>
      <c r="Z1246" s="16"/>
      <c r="AA1246" s="16"/>
      <c r="AB1246" s="16"/>
      <c r="AC1246" s="16"/>
      <c r="AD1246" s="16"/>
      <c r="AE1246" s="16"/>
      <c r="AF1246" s="16"/>
      <c r="AG1246" s="16"/>
      <c r="AH1246" s="16" t="b">
        <f>IFERROR(__xludf.DUMMYFUNCTION("""COMPUTED_VALUE"""),FALSE)</f>
        <v>0</v>
      </c>
    </row>
    <row r="1247">
      <c r="A1247" s="16"/>
      <c r="B1247" s="16"/>
      <c r="C1247" s="16"/>
      <c r="D1247" s="16"/>
      <c r="E1247" s="16">
        <f>IFERROR(__xludf.DUMMYFUNCTION("""COMPUTED_VALUE"""),1.0)</f>
        <v>1</v>
      </c>
      <c r="F1247" s="108">
        <f>IFERROR(__xludf.DUMMYFUNCTION("""COMPUTED_VALUE"""),0.0)</f>
        <v>0</v>
      </c>
      <c r="G1247" s="16"/>
      <c r="H1247" s="16"/>
      <c r="I1247" s="16"/>
      <c r="J1247" s="16"/>
      <c r="K1247" s="16"/>
      <c r="L1247" s="16"/>
      <c r="M1247" s="16"/>
      <c r="N1247" s="16"/>
      <c r="O1247" s="16"/>
      <c r="P1247" s="16"/>
      <c r="Q1247" s="16"/>
      <c r="R1247" s="16"/>
      <c r="S1247" s="16"/>
      <c r="T1247" s="16"/>
      <c r="U1247" s="16"/>
      <c r="V1247" s="16"/>
      <c r="W1247" s="16"/>
      <c r="X1247" s="16"/>
      <c r="Y1247" s="16"/>
      <c r="Z1247" s="16"/>
      <c r="AA1247" s="16"/>
      <c r="AB1247" s="16"/>
      <c r="AC1247" s="16"/>
      <c r="AD1247" s="16"/>
      <c r="AE1247" s="16"/>
      <c r="AF1247" s="16"/>
      <c r="AG1247" s="16"/>
      <c r="AH1247" s="16" t="b">
        <f>IFERROR(__xludf.DUMMYFUNCTION("""COMPUTED_VALUE"""),FALSE)</f>
        <v>0</v>
      </c>
    </row>
    <row r="1248">
      <c r="A1248" s="16"/>
      <c r="B1248" s="16"/>
      <c r="C1248" s="16"/>
      <c r="D1248" s="16"/>
      <c r="E1248" s="16">
        <f>IFERROR(__xludf.DUMMYFUNCTION("""COMPUTED_VALUE"""),1.0)</f>
        <v>1</v>
      </c>
      <c r="F1248" s="108">
        <f>IFERROR(__xludf.DUMMYFUNCTION("""COMPUTED_VALUE"""),0.0)</f>
        <v>0</v>
      </c>
      <c r="G1248" s="16"/>
      <c r="H1248" s="16"/>
      <c r="I1248" s="16"/>
      <c r="J1248" s="16"/>
      <c r="K1248" s="16"/>
      <c r="L1248" s="16"/>
      <c r="M1248" s="16"/>
      <c r="N1248" s="16"/>
      <c r="O1248" s="16"/>
      <c r="P1248" s="16"/>
      <c r="Q1248" s="16"/>
      <c r="R1248" s="16"/>
      <c r="S1248" s="16"/>
      <c r="T1248" s="16"/>
      <c r="U1248" s="16"/>
      <c r="V1248" s="16"/>
      <c r="W1248" s="16"/>
      <c r="X1248" s="16"/>
      <c r="Y1248" s="16"/>
      <c r="Z1248" s="16"/>
      <c r="AA1248" s="16"/>
      <c r="AB1248" s="16"/>
      <c r="AC1248" s="16"/>
      <c r="AD1248" s="16"/>
      <c r="AE1248" s="16"/>
      <c r="AF1248" s="16"/>
      <c r="AG1248" s="16"/>
      <c r="AH1248" s="16" t="b">
        <f>IFERROR(__xludf.DUMMYFUNCTION("""COMPUTED_VALUE"""),FALSE)</f>
        <v>0</v>
      </c>
    </row>
    <row r="1249">
      <c r="A1249" s="16"/>
      <c r="B1249" s="16"/>
      <c r="C1249" s="16"/>
      <c r="D1249" s="16"/>
      <c r="E1249" s="16">
        <f>IFERROR(__xludf.DUMMYFUNCTION("""COMPUTED_VALUE"""),1.0)</f>
        <v>1</v>
      </c>
      <c r="F1249" s="108">
        <f>IFERROR(__xludf.DUMMYFUNCTION("""COMPUTED_VALUE"""),0.0)</f>
        <v>0</v>
      </c>
      <c r="G1249" s="16"/>
      <c r="H1249" s="16"/>
      <c r="I1249" s="16"/>
      <c r="J1249" s="16"/>
      <c r="K1249" s="16"/>
      <c r="L1249" s="16"/>
      <c r="M1249" s="16"/>
      <c r="N1249" s="16"/>
      <c r="O1249" s="16"/>
      <c r="P1249" s="16"/>
      <c r="Q1249" s="16"/>
      <c r="R1249" s="16"/>
      <c r="S1249" s="16"/>
      <c r="T1249" s="16"/>
      <c r="U1249" s="16"/>
      <c r="V1249" s="16"/>
      <c r="W1249" s="16"/>
      <c r="X1249" s="16"/>
      <c r="Y1249" s="16"/>
      <c r="Z1249" s="16"/>
      <c r="AA1249" s="16"/>
      <c r="AB1249" s="16"/>
      <c r="AC1249" s="16"/>
      <c r="AD1249" s="16"/>
      <c r="AE1249" s="16"/>
      <c r="AF1249" s="16"/>
      <c r="AG1249" s="16"/>
      <c r="AH1249" s="16" t="b">
        <f>IFERROR(__xludf.DUMMYFUNCTION("""COMPUTED_VALUE"""),FALSE)</f>
        <v>0</v>
      </c>
    </row>
    <row r="1250">
      <c r="A1250" s="16"/>
      <c r="B1250" s="16"/>
      <c r="C1250" s="16"/>
      <c r="D1250" s="16"/>
      <c r="E1250" s="16">
        <f>IFERROR(__xludf.DUMMYFUNCTION("""COMPUTED_VALUE"""),1.0)</f>
        <v>1</v>
      </c>
      <c r="F1250" s="108">
        <f>IFERROR(__xludf.DUMMYFUNCTION("""COMPUTED_VALUE"""),0.0)</f>
        <v>0</v>
      </c>
      <c r="G1250" s="16"/>
      <c r="H1250" s="16"/>
      <c r="I1250" s="16"/>
      <c r="J1250" s="16"/>
      <c r="K1250" s="16"/>
      <c r="L1250" s="16"/>
      <c r="M1250" s="16"/>
      <c r="N1250" s="16"/>
      <c r="O1250" s="16"/>
      <c r="P1250" s="16"/>
      <c r="Q1250" s="16"/>
      <c r="R1250" s="16"/>
      <c r="S1250" s="16"/>
      <c r="T1250" s="16"/>
      <c r="U1250" s="16"/>
      <c r="V1250" s="16"/>
      <c r="W1250" s="16"/>
      <c r="X1250" s="16"/>
      <c r="Y1250" s="16"/>
      <c r="Z1250" s="16"/>
      <c r="AA1250" s="16"/>
      <c r="AB1250" s="16"/>
      <c r="AC1250" s="16"/>
      <c r="AD1250" s="16"/>
      <c r="AE1250" s="16"/>
      <c r="AF1250" s="16"/>
      <c r="AG1250" s="16"/>
      <c r="AH1250" s="16" t="b">
        <f>IFERROR(__xludf.DUMMYFUNCTION("""COMPUTED_VALUE"""),FALSE)</f>
        <v>0</v>
      </c>
    </row>
    <row r="1251">
      <c r="A1251" s="16"/>
      <c r="B1251" s="16"/>
      <c r="C1251" s="16"/>
      <c r="D1251" s="16"/>
      <c r="E1251" s="16">
        <f>IFERROR(__xludf.DUMMYFUNCTION("""COMPUTED_VALUE"""),1.0)</f>
        <v>1</v>
      </c>
      <c r="F1251" s="108">
        <f>IFERROR(__xludf.DUMMYFUNCTION("""COMPUTED_VALUE"""),0.0)</f>
        <v>0</v>
      </c>
      <c r="G1251" s="16"/>
      <c r="H1251" s="16"/>
      <c r="I1251" s="16"/>
      <c r="J1251" s="16"/>
      <c r="K1251" s="16"/>
      <c r="L1251" s="16"/>
      <c r="M1251" s="16"/>
      <c r="N1251" s="16"/>
      <c r="O1251" s="16"/>
      <c r="P1251" s="16"/>
      <c r="Q1251" s="16"/>
      <c r="R1251" s="16"/>
      <c r="S1251" s="16"/>
      <c r="T1251" s="16"/>
      <c r="U1251" s="16"/>
      <c r="V1251" s="16"/>
      <c r="W1251" s="16"/>
      <c r="X1251" s="16"/>
      <c r="Y1251" s="16"/>
      <c r="Z1251" s="16"/>
      <c r="AA1251" s="16"/>
      <c r="AB1251" s="16"/>
      <c r="AC1251" s="16"/>
      <c r="AD1251" s="16"/>
      <c r="AE1251" s="16"/>
      <c r="AF1251" s="16"/>
      <c r="AG1251" s="16"/>
      <c r="AH1251" s="16" t="b">
        <f>IFERROR(__xludf.DUMMYFUNCTION("""COMPUTED_VALUE"""),FALSE)</f>
        <v>0</v>
      </c>
    </row>
    <row r="1252">
      <c r="A1252" s="16"/>
      <c r="B1252" s="16"/>
      <c r="C1252" s="16"/>
      <c r="D1252" s="16"/>
      <c r="E1252" s="16">
        <f>IFERROR(__xludf.DUMMYFUNCTION("""COMPUTED_VALUE"""),1.0)</f>
        <v>1</v>
      </c>
      <c r="F1252" s="108">
        <f>IFERROR(__xludf.DUMMYFUNCTION("""COMPUTED_VALUE"""),0.0)</f>
        <v>0</v>
      </c>
      <c r="G1252" s="16"/>
      <c r="H1252" s="16"/>
      <c r="I1252" s="16"/>
      <c r="J1252" s="16"/>
      <c r="K1252" s="16"/>
      <c r="L1252" s="16"/>
      <c r="M1252" s="16"/>
      <c r="N1252" s="16"/>
      <c r="O1252" s="16"/>
      <c r="P1252" s="16"/>
      <c r="Q1252" s="16"/>
      <c r="R1252" s="16"/>
      <c r="S1252" s="16"/>
      <c r="T1252" s="16"/>
      <c r="U1252" s="16"/>
      <c r="V1252" s="16"/>
      <c r="W1252" s="16"/>
      <c r="X1252" s="16"/>
      <c r="Y1252" s="16"/>
      <c r="Z1252" s="16"/>
      <c r="AA1252" s="16"/>
      <c r="AB1252" s="16"/>
      <c r="AC1252" s="16"/>
      <c r="AD1252" s="16"/>
      <c r="AE1252" s="16"/>
      <c r="AF1252" s="16"/>
      <c r="AG1252" s="16"/>
      <c r="AH1252" s="16" t="b">
        <f>IFERROR(__xludf.DUMMYFUNCTION("""COMPUTED_VALUE"""),FALSE)</f>
        <v>0</v>
      </c>
    </row>
    <row r="1253">
      <c r="A1253" s="16"/>
      <c r="B1253" s="16"/>
      <c r="C1253" s="16"/>
      <c r="D1253" s="16"/>
      <c r="E1253" s="16">
        <f>IFERROR(__xludf.DUMMYFUNCTION("""COMPUTED_VALUE"""),1.0)</f>
        <v>1</v>
      </c>
      <c r="F1253" s="108">
        <f>IFERROR(__xludf.DUMMYFUNCTION("""COMPUTED_VALUE"""),0.0)</f>
        <v>0</v>
      </c>
      <c r="G1253" s="16"/>
      <c r="H1253" s="16"/>
      <c r="I1253" s="16"/>
      <c r="J1253" s="16"/>
      <c r="K1253" s="16"/>
      <c r="L1253" s="16"/>
      <c r="M1253" s="16"/>
      <c r="N1253" s="16"/>
      <c r="O1253" s="16"/>
      <c r="P1253" s="16"/>
      <c r="Q1253" s="16"/>
      <c r="R1253" s="16"/>
      <c r="S1253" s="16"/>
      <c r="T1253" s="16"/>
      <c r="U1253" s="16"/>
      <c r="V1253" s="16"/>
      <c r="W1253" s="16"/>
      <c r="X1253" s="16"/>
      <c r="Y1253" s="16"/>
      <c r="Z1253" s="16"/>
      <c r="AA1253" s="16"/>
      <c r="AB1253" s="16"/>
      <c r="AC1253" s="16"/>
      <c r="AD1253" s="16"/>
      <c r="AE1253" s="16"/>
      <c r="AF1253" s="16"/>
      <c r="AG1253" s="16"/>
      <c r="AH1253" s="16" t="b">
        <f>IFERROR(__xludf.DUMMYFUNCTION("""COMPUTED_VALUE"""),FALSE)</f>
        <v>0</v>
      </c>
    </row>
    <row r="1254">
      <c r="A1254" s="16"/>
      <c r="B1254" s="16"/>
      <c r="C1254" s="16"/>
      <c r="D1254" s="16"/>
      <c r="E1254" s="16">
        <f>IFERROR(__xludf.DUMMYFUNCTION("""COMPUTED_VALUE"""),1.0)</f>
        <v>1</v>
      </c>
      <c r="F1254" s="108">
        <f>IFERROR(__xludf.DUMMYFUNCTION("""COMPUTED_VALUE"""),0.0)</f>
        <v>0</v>
      </c>
      <c r="G1254" s="16"/>
      <c r="H1254" s="16"/>
      <c r="I1254" s="16"/>
      <c r="J1254" s="16"/>
      <c r="K1254" s="16"/>
      <c r="L1254" s="16"/>
      <c r="M1254" s="16"/>
      <c r="N1254" s="16"/>
      <c r="O1254" s="16"/>
      <c r="P1254" s="16"/>
      <c r="Q1254" s="16"/>
      <c r="R1254" s="16"/>
      <c r="S1254" s="16"/>
      <c r="T1254" s="16"/>
      <c r="U1254" s="16"/>
      <c r="V1254" s="16"/>
      <c r="W1254" s="16"/>
      <c r="X1254" s="16"/>
      <c r="Y1254" s="16"/>
      <c r="Z1254" s="16"/>
      <c r="AA1254" s="16"/>
      <c r="AB1254" s="16"/>
      <c r="AC1254" s="16"/>
      <c r="AD1254" s="16"/>
      <c r="AE1254" s="16"/>
      <c r="AF1254" s="16"/>
      <c r="AG1254" s="16"/>
      <c r="AH1254" s="16" t="b">
        <f>IFERROR(__xludf.DUMMYFUNCTION("""COMPUTED_VALUE"""),FALSE)</f>
        <v>0</v>
      </c>
    </row>
    <row r="1255">
      <c r="A1255" s="16"/>
      <c r="B1255" s="16"/>
      <c r="C1255" s="16"/>
      <c r="D1255" s="16"/>
      <c r="E1255" s="16">
        <f>IFERROR(__xludf.DUMMYFUNCTION("""COMPUTED_VALUE"""),1.0)</f>
        <v>1</v>
      </c>
      <c r="F1255" s="108">
        <f>IFERROR(__xludf.DUMMYFUNCTION("""COMPUTED_VALUE"""),0.0)</f>
        <v>0</v>
      </c>
      <c r="G1255" s="16"/>
      <c r="H1255" s="16"/>
      <c r="I1255" s="16"/>
      <c r="J1255" s="16"/>
      <c r="K1255" s="16"/>
      <c r="L1255" s="16"/>
      <c r="M1255" s="16"/>
      <c r="N1255" s="16"/>
      <c r="O1255" s="16"/>
      <c r="P1255" s="16"/>
      <c r="Q1255" s="16"/>
      <c r="R1255" s="16"/>
      <c r="S1255" s="16"/>
      <c r="T1255" s="16"/>
      <c r="U1255" s="16"/>
      <c r="V1255" s="16"/>
      <c r="W1255" s="16"/>
      <c r="X1255" s="16"/>
      <c r="Y1255" s="16"/>
      <c r="Z1255" s="16"/>
      <c r="AA1255" s="16"/>
      <c r="AB1255" s="16"/>
      <c r="AC1255" s="16"/>
      <c r="AD1255" s="16"/>
      <c r="AE1255" s="16"/>
      <c r="AF1255" s="16"/>
      <c r="AG1255" s="16"/>
      <c r="AH1255" s="16" t="b">
        <f>IFERROR(__xludf.DUMMYFUNCTION("""COMPUTED_VALUE"""),FALSE)</f>
        <v>0</v>
      </c>
    </row>
    <row r="1256">
      <c r="A1256" s="16"/>
      <c r="B1256" s="16"/>
      <c r="C1256" s="16"/>
      <c r="D1256" s="16"/>
      <c r="E1256" s="16">
        <f>IFERROR(__xludf.DUMMYFUNCTION("""COMPUTED_VALUE"""),1.0)</f>
        <v>1</v>
      </c>
      <c r="F1256" s="108">
        <f>IFERROR(__xludf.DUMMYFUNCTION("""COMPUTED_VALUE"""),0.0)</f>
        <v>0</v>
      </c>
      <c r="G1256" s="16"/>
      <c r="H1256" s="16"/>
      <c r="I1256" s="16"/>
      <c r="J1256" s="16"/>
      <c r="K1256" s="16"/>
      <c r="L1256" s="16"/>
      <c r="M1256" s="16"/>
      <c r="N1256" s="16"/>
      <c r="O1256" s="16"/>
      <c r="P1256" s="16"/>
      <c r="Q1256" s="16"/>
      <c r="R1256" s="16"/>
      <c r="S1256" s="16"/>
      <c r="T1256" s="16"/>
      <c r="U1256" s="16"/>
      <c r="V1256" s="16"/>
      <c r="W1256" s="16"/>
      <c r="X1256" s="16"/>
      <c r="Y1256" s="16"/>
      <c r="Z1256" s="16"/>
      <c r="AA1256" s="16"/>
      <c r="AB1256" s="16"/>
      <c r="AC1256" s="16"/>
      <c r="AD1256" s="16"/>
      <c r="AE1256" s="16"/>
      <c r="AF1256" s="16"/>
      <c r="AG1256" s="16"/>
      <c r="AH1256" s="16" t="b">
        <f>IFERROR(__xludf.DUMMYFUNCTION("""COMPUTED_VALUE"""),FALSE)</f>
        <v>0</v>
      </c>
    </row>
    <row r="1257">
      <c r="A1257" s="16"/>
      <c r="B1257" s="16"/>
      <c r="C1257" s="16"/>
      <c r="D1257" s="16"/>
      <c r="E1257" s="16">
        <f>IFERROR(__xludf.DUMMYFUNCTION("""COMPUTED_VALUE"""),1.0)</f>
        <v>1</v>
      </c>
      <c r="F1257" s="108">
        <f>IFERROR(__xludf.DUMMYFUNCTION("""COMPUTED_VALUE"""),0.0)</f>
        <v>0</v>
      </c>
      <c r="G1257" s="16"/>
      <c r="H1257" s="16"/>
      <c r="I1257" s="16"/>
      <c r="J1257" s="16"/>
      <c r="K1257" s="16"/>
      <c r="L1257" s="16"/>
      <c r="M1257" s="16"/>
      <c r="N1257" s="16"/>
      <c r="O1257" s="16"/>
      <c r="P1257" s="16"/>
      <c r="Q1257" s="16"/>
      <c r="R1257" s="16"/>
      <c r="S1257" s="16"/>
      <c r="T1257" s="16"/>
      <c r="U1257" s="16"/>
      <c r="V1257" s="16"/>
      <c r="W1257" s="16"/>
      <c r="X1257" s="16"/>
      <c r="Y1257" s="16"/>
      <c r="Z1257" s="16"/>
      <c r="AA1257" s="16"/>
      <c r="AB1257" s="16"/>
      <c r="AC1257" s="16"/>
      <c r="AD1257" s="16"/>
      <c r="AE1257" s="16"/>
      <c r="AF1257" s="16"/>
      <c r="AG1257" s="16"/>
      <c r="AH1257" s="16" t="b">
        <f>IFERROR(__xludf.DUMMYFUNCTION("""COMPUTED_VALUE"""),FALSE)</f>
        <v>0</v>
      </c>
    </row>
    <row r="1258">
      <c r="A1258" s="16"/>
      <c r="B1258" s="16"/>
      <c r="C1258" s="16"/>
      <c r="D1258" s="16"/>
      <c r="E1258" s="16">
        <f>IFERROR(__xludf.DUMMYFUNCTION("""COMPUTED_VALUE"""),1.0)</f>
        <v>1</v>
      </c>
      <c r="F1258" s="108">
        <f>IFERROR(__xludf.DUMMYFUNCTION("""COMPUTED_VALUE"""),0.0)</f>
        <v>0</v>
      </c>
      <c r="G1258" s="16"/>
      <c r="H1258" s="16"/>
      <c r="I1258" s="16"/>
      <c r="J1258" s="16"/>
      <c r="K1258" s="16"/>
      <c r="L1258" s="16"/>
      <c r="M1258" s="16"/>
      <c r="N1258" s="16"/>
      <c r="O1258" s="16"/>
      <c r="P1258" s="16"/>
      <c r="Q1258" s="16"/>
      <c r="R1258" s="16"/>
      <c r="S1258" s="16"/>
      <c r="T1258" s="16"/>
      <c r="U1258" s="16"/>
      <c r="V1258" s="16"/>
      <c r="W1258" s="16"/>
      <c r="X1258" s="16"/>
      <c r="Y1258" s="16"/>
      <c r="Z1258" s="16"/>
      <c r="AA1258" s="16"/>
      <c r="AB1258" s="16"/>
      <c r="AC1258" s="16"/>
      <c r="AD1258" s="16"/>
      <c r="AE1258" s="16"/>
      <c r="AF1258" s="16"/>
      <c r="AG1258" s="16"/>
      <c r="AH1258" s="16" t="b">
        <f>IFERROR(__xludf.DUMMYFUNCTION("""COMPUTED_VALUE"""),FALSE)</f>
        <v>0</v>
      </c>
    </row>
    <row r="1259">
      <c r="A1259" s="16"/>
      <c r="B1259" s="16"/>
      <c r="C1259" s="16"/>
      <c r="D1259" s="16"/>
      <c r="E1259" s="16">
        <f>IFERROR(__xludf.DUMMYFUNCTION("""COMPUTED_VALUE"""),1.0)</f>
        <v>1</v>
      </c>
      <c r="F1259" s="108">
        <f>IFERROR(__xludf.DUMMYFUNCTION("""COMPUTED_VALUE"""),0.0)</f>
        <v>0</v>
      </c>
      <c r="G1259" s="16"/>
      <c r="H1259" s="16"/>
      <c r="I1259" s="16"/>
      <c r="J1259" s="16"/>
      <c r="K1259" s="16"/>
      <c r="L1259" s="16"/>
      <c r="M1259" s="16"/>
      <c r="N1259" s="16"/>
      <c r="O1259" s="16"/>
      <c r="P1259" s="16"/>
      <c r="Q1259" s="16"/>
      <c r="R1259" s="16"/>
      <c r="S1259" s="16"/>
      <c r="T1259" s="16"/>
      <c r="U1259" s="16"/>
      <c r="V1259" s="16"/>
      <c r="W1259" s="16"/>
      <c r="X1259" s="16"/>
      <c r="Y1259" s="16"/>
      <c r="Z1259" s="16"/>
      <c r="AA1259" s="16"/>
      <c r="AB1259" s="16"/>
      <c r="AC1259" s="16"/>
      <c r="AD1259" s="16"/>
      <c r="AE1259" s="16"/>
      <c r="AF1259" s="16"/>
      <c r="AG1259" s="16"/>
      <c r="AH1259" s="16" t="b">
        <f>IFERROR(__xludf.DUMMYFUNCTION("""COMPUTED_VALUE"""),FALSE)</f>
        <v>0</v>
      </c>
    </row>
    <row r="1260">
      <c r="A1260" s="16"/>
      <c r="B1260" s="16"/>
      <c r="C1260" s="16"/>
      <c r="D1260" s="16"/>
      <c r="E1260" s="16">
        <f>IFERROR(__xludf.DUMMYFUNCTION("""COMPUTED_VALUE"""),1.0)</f>
        <v>1</v>
      </c>
      <c r="F1260" s="108">
        <f>IFERROR(__xludf.DUMMYFUNCTION("""COMPUTED_VALUE"""),0.0)</f>
        <v>0</v>
      </c>
      <c r="G1260" s="16"/>
      <c r="H1260" s="16"/>
      <c r="I1260" s="16"/>
      <c r="J1260" s="16"/>
      <c r="K1260" s="16"/>
      <c r="L1260" s="16"/>
      <c r="M1260" s="16"/>
      <c r="N1260" s="16"/>
      <c r="O1260" s="16"/>
      <c r="P1260" s="16"/>
      <c r="Q1260" s="16"/>
      <c r="R1260" s="16"/>
      <c r="S1260" s="16"/>
      <c r="T1260" s="16"/>
      <c r="U1260" s="16"/>
      <c r="V1260" s="16"/>
      <c r="W1260" s="16"/>
      <c r="X1260" s="16"/>
      <c r="Y1260" s="16"/>
      <c r="Z1260" s="16"/>
      <c r="AA1260" s="16"/>
      <c r="AB1260" s="16"/>
      <c r="AC1260" s="16"/>
      <c r="AD1260" s="16"/>
      <c r="AE1260" s="16"/>
      <c r="AF1260" s="16"/>
      <c r="AG1260" s="16"/>
      <c r="AH1260" s="16" t="b">
        <f>IFERROR(__xludf.DUMMYFUNCTION("""COMPUTED_VALUE"""),FALSE)</f>
        <v>0</v>
      </c>
    </row>
    <row r="1261">
      <c r="A1261" s="16"/>
      <c r="B1261" s="16"/>
      <c r="C1261" s="16"/>
      <c r="D1261" s="16"/>
      <c r="E1261" s="16">
        <f>IFERROR(__xludf.DUMMYFUNCTION("""COMPUTED_VALUE"""),1.0)</f>
        <v>1</v>
      </c>
      <c r="F1261" s="108">
        <f>IFERROR(__xludf.DUMMYFUNCTION("""COMPUTED_VALUE"""),0.0)</f>
        <v>0</v>
      </c>
      <c r="G1261" s="16"/>
      <c r="H1261" s="16"/>
      <c r="I1261" s="16"/>
      <c r="J1261" s="16"/>
      <c r="K1261" s="16"/>
      <c r="L1261" s="16"/>
      <c r="M1261" s="16"/>
      <c r="N1261" s="16"/>
      <c r="O1261" s="16"/>
      <c r="P1261" s="16"/>
      <c r="Q1261" s="16"/>
      <c r="R1261" s="16"/>
      <c r="S1261" s="16"/>
      <c r="T1261" s="16"/>
      <c r="U1261" s="16"/>
      <c r="V1261" s="16"/>
      <c r="W1261" s="16"/>
      <c r="X1261" s="16"/>
      <c r="Y1261" s="16"/>
      <c r="Z1261" s="16"/>
      <c r="AA1261" s="16"/>
      <c r="AB1261" s="16"/>
      <c r="AC1261" s="16"/>
      <c r="AD1261" s="16"/>
      <c r="AE1261" s="16"/>
      <c r="AF1261" s="16"/>
      <c r="AG1261" s="16"/>
      <c r="AH1261" s="16" t="b">
        <f>IFERROR(__xludf.DUMMYFUNCTION("""COMPUTED_VALUE"""),FALSE)</f>
        <v>0</v>
      </c>
    </row>
    <row r="1262">
      <c r="A1262" s="16"/>
      <c r="B1262" s="16"/>
      <c r="C1262" s="16"/>
      <c r="D1262" s="16"/>
      <c r="E1262" s="16">
        <f>IFERROR(__xludf.DUMMYFUNCTION("""COMPUTED_VALUE"""),1.0)</f>
        <v>1</v>
      </c>
      <c r="F1262" s="108">
        <f>IFERROR(__xludf.DUMMYFUNCTION("""COMPUTED_VALUE"""),0.0)</f>
        <v>0</v>
      </c>
      <c r="G1262" s="16"/>
      <c r="H1262" s="16"/>
      <c r="I1262" s="16"/>
      <c r="J1262" s="16"/>
      <c r="K1262" s="16"/>
      <c r="L1262" s="16"/>
      <c r="M1262" s="16"/>
      <c r="N1262" s="16"/>
      <c r="O1262" s="16"/>
      <c r="P1262" s="16"/>
      <c r="Q1262" s="16"/>
      <c r="R1262" s="16"/>
      <c r="S1262" s="16"/>
      <c r="T1262" s="16"/>
      <c r="U1262" s="16"/>
      <c r="V1262" s="16"/>
      <c r="W1262" s="16"/>
      <c r="X1262" s="16"/>
      <c r="Y1262" s="16"/>
      <c r="Z1262" s="16"/>
      <c r="AA1262" s="16"/>
      <c r="AB1262" s="16"/>
      <c r="AC1262" s="16"/>
      <c r="AD1262" s="16"/>
      <c r="AE1262" s="16"/>
      <c r="AF1262" s="16"/>
      <c r="AG1262" s="16"/>
      <c r="AH1262" s="16" t="b">
        <f>IFERROR(__xludf.DUMMYFUNCTION("""COMPUTED_VALUE"""),FALSE)</f>
        <v>0</v>
      </c>
    </row>
    <row r="1263">
      <c r="A1263" s="16"/>
      <c r="B1263" s="16"/>
      <c r="C1263" s="16"/>
      <c r="D1263" s="16"/>
      <c r="E1263" s="16">
        <f>IFERROR(__xludf.DUMMYFUNCTION("""COMPUTED_VALUE"""),1.0)</f>
        <v>1</v>
      </c>
      <c r="F1263" s="108">
        <f>IFERROR(__xludf.DUMMYFUNCTION("""COMPUTED_VALUE"""),0.0)</f>
        <v>0</v>
      </c>
      <c r="G1263" s="16"/>
      <c r="H1263" s="16"/>
      <c r="I1263" s="16"/>
      <c r="J1263" s="16"/>
      <c r="K1263" s="16"/>
      <c r="L1263" s="16"/>
      <c r="M1263" s="16"/>
      <c r="N1263" s="16"/>
      <c r="O1263" s="16"/>
      <c r="P1263" s="16"/>
      <c r="Q1263" s="16"/>
      <c r="R1263" s="16"/>
      <c r="S1263" s="16"/>
      <c r="T1263" s="16"/>
      <c r="U1263" s="16"/>
      <c r="V1263" s="16"/>
      <c r="W1263" s="16"/>
      <c r="X1263" s="16"/>
      <c r="Y1263" s="16"/>
      <c r="Z1263" s="16"/>
      <c r="AA1263" s="16"/>
      <c r="AB1263" s="16"/>
      <c r="AC1263" s="16"/>
      <c r="AD1263" s="16"/>
      <c r="AE1263" s="16"/>
      <c r="AF1263" s="16"/>
      <c r="AG1263" s="16"/>
      <c r="AH1263" s="16" t="b">
        <f>IFERROR(__xludf.DUMMYFUNCTION("""COMPUTED_VALUE"""),FALSE)</f>
        <v>0</v>
      </c>
    </row>
    <row r="1264">
      <c r="A1264" s="16"/>
      <c r="B1264" s="16"/>
      <c r="C1264" s="16"/>
      <c r="D1264" s="16"/>
      <c r="E1264" s="16">
        <f>IFERROR(__xludf.DUMMYFUNCTION("""COMPUTED_VALUE"""),1.0)</f>
        <v>1</v>
      </c>
      <c r="F1264" s="108">
        <f>IFERROR(__xludf.DUMMYFUNCTION("""COMPUTED_VALUE"""),0.0)</f>
        <v>0</v>
      </c>
      <c r="G1264" s="16"/>
      <c r="H1264" s="16"/>
      <c r="I1264" s="16"/>
      <c r="J1264" s="16"/>
      <c r="K1264" s="16"/>
      <c r="L1264" s="16"/>
      <c r="M1264" s="16"/>
      <c r="N1264" s="16"/>
      <c r="O1264" s="16"/>
      <c r="P1264" s="16"/>
      <c r="Q1264" s="16"/>
      <c r="R1264" s="16"/>
      <c r="S1264" s="16"/>
      <c r="T1264" s="16"/>
      <c r="U1264" s="16"/>
      <c r="V1264" s="16"/>
      <c r="W1264" s="16"/>
      <c r="X1264" s="16"/>
      <c r="Y1264" s="16"/>
      <c r="Z1264" s="16"/>
      <c r="AA1264" s="16"/>
      <c r="AB1264" s="16"/>
      <c r="AC1264" s="16"/>
      <c r="AD1264" s="16"/>
      <c r="AE1264" s="16"/>
      <c r="AF1264" s="16"/>
      <c r="AG1264" s="16"/>
      <c r="AH1264" s="16" t="b">
        <f>IFERROR(__xludf.DUMMYFUNCTION("""COMPUTED_VALUE"""),FALSE)</f>
        <v>0</v>
      </c>
    </row>
    <row r="1265">
      <c r="A1265" s="16"/>
      <c r="B1265" s="16"/>
      <c r="C1265" s="16"/>
      <c r="D1265" s="16"/>
      <c r="E1265" s="16">
        <f>IFERROR(__xludf.DUMMYFUNCTION("""COMPUTED_VALUE"""),1.0)</f>
        <v>1</v>
      </c>
      <c r="F1265" s="108">
        <f>IFERROR(__xludf.DUMMYFUNCTION("""COMPUTED_VALUE"""),0.0)</f>
        <v>0</v>
      </c>
      <c r="G1265" s="16"/>
      <c r="H1265" s="16"/>
      <c r="I1265" s="16"/>
      <c r="J1265" s="16"/>
      <c r="K1265" s="16"/>
      <c r="L1265" s="16"/>
      <c r="M1265" s="16"/>
      <c r="N1265" s="16"/>
      <c r="O1265" s="16"/>
      <c r="P1265" s="16"/>
      <c r="Q1265" s="16"/>
      <c r="R1265" s="16"/>
      <c r="S1265" s="16"/>
      <c r="T1265" s="16"/>
      <c r="U1265" s="16"/>
      <c r="V1265" s="16"/>
      <c r="W1265" s="16"/>
      <c r="X1265" s="16"/>
      <c r="Y1265" s="16"/>
      <c r="Z1265" s="16"/>
      <c r="AA1265" s="16"/>
      <c r="AB1265" s="16"/>
      <c r="AC1265" s="16"/>
      <c r="AD1265" s="16"/>
      <c r="AE1265" s="16"/>
      <c r="AF1265" s="16"/>
      <c r="AG1265" s="16"/>
      <c r="AH1265" s="16" t="b">
        <f>IFERROR(__xludf.DUMMYFUNCTION("""COMPUTED_VALUE"""),FALSE)</f>
        <v>0</v>
      </c>
    </row>
    <row r="1266">
      <c r="A1266" s="16"/>
      <c r="B1266" s="16"/>
      <c r="C1266" s="16"/>
      <c r="D1266" s="16"/>
      <c r="E1266" s="16">
        <f>IFERROR(__xludf.DUMMYFUNCTION("""COMPUTED_VALUE"""),1.0)</f>
        <v>1</v>
      </c>
      <c r="F1266" s="108">
        <f>IFERROR(__xludf.DUMMYFUNCTION("""COMPUTED_VALUE"""),0.0)</f>
        <v>0</v>
      </c>
      <c r="G1266" s="16"/>
      <c r="H1266" s="16"/>
      <c r="I1266" s="16"/>
      <c r="J1266" s="16"/>
      <c r="K1266" s="16"/>
      <c r="L1266" s="16"/>
      <c r="M1266" s="16"/>
      <c r="N1266" s="16"/>
      <c r="O1266" s="16"/>
      <c r="P1266" s="16"/>
      <c r="Q1266" s="16"/>
      <c r="R1266" s="16"/>
      <c r="S1266" s="16"/>
      <c r="T1266" s="16"/>
      <c r="U1266" s="16"/>
      <c r="V1266" s="16"/>
      <c r="W1266" s="16"/>
      <c r="X1266" s="16"/>
      <c r="Y1266" s="16"/>
      <c r="Z1266" s="16"/>
      <c r="AA1266" s="16"/>
      <c r="AB1266" s="16"/>
      <c r="AC1266" s="16"/>
      <c r="AD1266" s="16"/>
      <c r="AE1266" s="16"/>
      <c r="AF1266" s="16"/>
      <c r="AG1266" s="16"/>
      <c r="AH1266" s="16" t="b">
        <f>IFERROR(__xludf.DUMMYFUNCTION("""COMPUTED_VALUE"""),FALSE)</f>
        <v>0</v>
      </c>
    </row>
    <row r="1267">
      <c r="A1267" s="16"/>
      <c r="B1267" s="16"/>
      <c r="C1267" s="16"/>
      <c r="D1267" s="16"/>
      <c r="E1267" s="16">
        <f>IFERROR(__xludf.DUMMYFUNCTION("""COMPUTED_VALUE"""),1.0)</f>
        <v>1</v>
      </c>
      <c r="F1267" s="108">
        <f>IFERROR(__xludf.DUMMYFUNCTION("""COMPUTED_VALUE"""),0.0)</f>
        <v>0</v>
      </c>
      <c r="G1267" s="16"/>
      <c r="H1267" s="16"/>
      <c r="I1267" s="16"/>
      <c r="J1267" s="16"/>
      <c r="K1267" s="16"/>
      <c r="L1267" s="16"/>
      <c r="M1267" s="16"/>
      <c r="N1267" s="16"/>
      <c r="O1267" s="16"/>
      <c r="P1267" s="16"/>
      <c r="Q1267" s="16"/>
      <c r="R1267" s="16"/>
      <c r="S1267" s="16"/>
      <c r="T1267" s="16"/>
      <c r="U1267" s="16"/>
      <c r="V1267" s="16"/>
      <c r="W1267" s="16"/>
      <c r="X1267" s="16"/>
      <c r="Y1267" s="16"/>
      <c r="Z1267" s="16"/>
      <c r="AA1267" s="16"/>
      <c r="AB1267" s="16"/>
      <c r="AC1267" s="16"/>
      <c r="AD1267" s="16"/>
      <c r="AE1267" s="16"/>
      <c r="AF1267" s="16"/>
      <c r="AG1267" s="16"/>
      <c r="AH1267" s="16" t="b">
        <f>IFERROR(__xludf.DUMMYFUNCTION("""COMPUTED_VALUE"""),FALSE)</f>
        <v>0</v>
      </c>
    </row>
    <row r="1268">
      <c r="A1268" s="16"/>
      <c r="B1268" s="16"/>
      <c r="C1268" s="16"/>
      <c r="D1268" s="16"/>
      <c r="E1268" s="16">
        <f>IFERROR(__xludf.DUMMYFUNCTION("""COMPUTED_VALUE"""),1.0)</f>
        <v>1</v>
      </c>
      <c r="F1268" s="108">
        <f>IFERROR(__xludf.DUMMYFUNCTION("""COMPUTED_VALUE"""),0.0)</f>
        <v>0</v>
      </c>
      <c r="G1268" s="16"/>
      <c r="H1268" s="16"/>
      <c r="I1268" s="16"/>
      <c r="J1268" s="16"/>
      <c r="K1268" s="16"/>
      <c r="L1268" s="16"/>
      <c r="M1268" s="16"/>
      <c r="N1268" s="16"/>
      <c r="O1268" s="16"/>
      <c r="P1268" s="16"/>
      <c r="Q1268" s="16"/>
      <c r="R1268" s="16"/>
      <c r="S1268" s="16"/>
      <c r="T1268" s="16"/>
      <c r="U1268" s="16"/>
      <c r="V1268" s="16"/>
      <c r="W1268" s="16"/>
      <c r="X1268" s="16"/>
      <c r="Y1268" s="16"/>
      <c r="Z1268" s="16"/>
      <c r="AA1268" s="16"/>
      <c r="AB1268" s="16"/>
      <c r="AC1268" s="16"/>
      <c r="AD1268" s="16"/>
      <c r="AE1268" s="16"/>
      <c r="AF1268" s="16"/>
      <c r="AG1268" s="16"/>
      <c r="AH1268" s="16" t="b">
        <f>IFERROR(__xludf.DUMMYFUNCTION("""COMPUTED_VALUE"""),FALSE)</f>
        <v>0</v>
      </c>
    </row>
    <row r="1269">
      <c r="A1269" s="16"/>
      <c r="B1269" s="16"/>
      <c r="C1269" s="16"/>
      <c r="D1269" s="16"/>
      <c r="E1269" s="16">
        <f>IFERROR(__xludf.DUMMYFUNCTION("""COMPUTED_VALUE"""),1.0)</f>
        <v>1</v>
      </c>
      <c r="F1269" s="108">
        <f>IFERROR(__xludf.DUMMYFUNCTION("""COMPUTED_VALUE"""),0.0)</f>
        <v>0</v>
      </c>
      <c r="G1269" s="16"/>
      <c r="H1269" s="16"/>
      <c r="I1269" s="16"/>
      <c r="J1269" s="16"/>
      <c r="K1269" s="16"/>
      <c r="L1269" s="16"/>
      <c r="M1269" s="16"/>
      <c r="N1269" s="16"/>
      <c r="O1269" s="16"/>
      <c r="P1269" s="16"/>
      <c r="Q1269" s="16"/>
      <c r="R1269" s="16"/>
      <c r="S1269" s="16"/>
      <c r="T1269" s="16"/>
      <c r="U1269" s="16"/>
      <c r="V1269" s="16"/>
      <c r="W1269" s="16"/>
      <c r="X1269" s="16"/>
      <c r="Y1269" s="16"/>
      <c r="Z1269" s="16"/>
      <c r="AA1269" s="16"/>
      <c r="AB1269" s="16"/>
      <c r="AC1269" s="16"/>
      <c r="AD1269" s="16"/>
      <c r="AE1269" s="16"/>
      <c r="AF1269" s="16"/>
      <c r="AG1269" s="16"/>
      <c r="AH1269" s="16" t="b">
        <f>IFERROR(__xludf.DUMMYFUNCTION("""COMPUTED_VALUE"""),FALSE)</f>
        <v>0</v>
      </c>
    </row>
    <row r="1270">
      <c r="A1270" s="16"/>
      <c r="B1270" s="16"/>
      <c r="C1270" s="16"/>
      <c r="D1270" s="16"/>
      <c r="E1270" s="16">
        <f>IFERROR(__xludf.DUMMYFUNCTION("""COMPUTED_VALUE"""),1.0)</f>
        <v>1</v>
      </c>
      <c r="F1270" s="108">
        <f>IFERROR(__xludf.DUMMYFUNCTION("""COMPUTED_VALUE"""),0.0)</f>
        <v>0</v>
      </c>
      <c r="G1270" s="16"/>
      <c r="H1270" s="16"/>
      <c r="I1270" s="16"/>
      <c r="J1270" s="16"/>
      <c r="K1270" s="16"/>
      <c r="L1270" s="16"/>
      <c r="M1270" s="16"/>
      <c r="N1270" s="16"/>
      <c r="O1270" s="16"/>
      <c r="P1270" s="16"/>
      <c r="Q1270" s="16"/>
      <c r="R1270" s="16"/>
      <c r="S1270" s="16"/>
      <c r="T1270" s="16"/>
      <c r="U1270" s="16"/>
      <c r="V1270" s="16"/>
      <c r="W1270" s="16"/>
      <c r="X1270" s="16"/>
      <c r="Y1270" s="16"/>
      <c r="Z1270" s="16"/>
      <c r="AA1270" s="16"/>
      <c r="AB1270" s="16"/>
      <c r="AC1270" s="16"/>
      <c r="AD1270" s="16"/>
      <c r="AE1270" s="16"/>
      <c r="AF1270" s="16"/>
      <c r="AG1270" s="16"/>
      <c r="AH1270" s="16" t="b">
        <f>IFERROR(__xludf.DUMMYFUNCTION("""COMPUTED_VALUE"""),FALSE)</f>
        <v>0</v>
      </c>
    </row>
    <row r="1271">
      <c r="A1271" s="16"/>
      <c r="B1271" s="16"/>
      <c r="C1271" s="16"/>
      <c r="D1271" s="16"/>
      <c r="E1271" s="16">
        <f>IFERROR(__xludf.DUMMYFUNCTION("""COMPUTED_VALUE"""),1.0)</f>
        <v>1</v>
      </c>
      <c r="F1271" s="108">
        <f>IFERROR(__xludf.DUMMYFUNCTION("""COMPUTED_VALUE"""),0.0)</f>
        <v>0</v>
      </c>
      <c r="G1271" s="16"/>
      <c r="H1271" s="16"/>
      <c r="I1271" s="16"/>
      <c r="J1271" s="16"/>
      <c r="K1271" s="16"/>
      <c r="L1271" s="16"/>
      <c r="M1271" s="16"/>
      <c r="N1271" s="16"/>
      <c r="O1271" s="16"/>
      <c r="P1271" s="16"/>
      <c r="Q1271" s="16"/>
      <c r="R1271" s="16"/>
      <c r="S1271" s="16"/>
      <c r="T1271" s="16"/>
      <c r="U1271" s="16"/>
      <c r="V1271" s="16"/>
      <c r="W1271" s="16"/>
      <c r="X1271" s="16"/>
      <c r="Y1271" s="16"/>
      <c r="Z1271" s="16"/>
      <c r="AA1271" s="16"/>
      <c r="AB1271" s="16"/>
      <c r="AC1271" s="16"/>
      <c r="AD1271" s="16"/>
      <c r="AE1271" s="16"/>
      <c r="AF1271" s="16"/>
      <c r="AG1271" s="16"/>
      <c r="AH1271" s="16" t="b">
        <f>IFERROR(__xludf.DUMMYFUNCTION("""COMPUTED_VALUE"""),FALSE)</f>
        <v>0</v>
      </c>
    </row>
    <row r="1272">
      <c r="A1272" s="16"/>
      <c r="B1272" s="16"/>
      <c r="C1272" s="16"/>
      <c r="D1272" s="16"/>
      <c r="E1272" s="16">
        <f>IFERROR(__xludf.DUMMYFUNCTION("""COMPUTED_VALUE"""),1.0)</f>
        <v>1</v>
      </c>
      <c r="F1272" s="108">
        <f>IFERROR(__xludf.DUMMYFUNCTION("""COMPUTED_VALUE"""),0.0)</f>
        <v>0</v>
      </c>
      <c r="G1272" s="16"/>
      <c r="H1272" s="16"/>
      <c r="I1272" s="16"/>
      <c r="J1272" s="16"/>
      <c r="K1272" s="16"/>
      <c r="L1272" s="16"/>
      <c r="M1272" s="16"/>
      <c r="N1272" s="16"/>
      <c r="O1272" s="16"/>
      <c r="P1272" s="16"/>
      <c r="Q1272" s="16"/>
      <c r="R1272" s="16"/>
      <c r="S1272" s="16"/>
      <c r="T1272" s="16"/>
      <c r="U1272" s="16"/>
      <c r="V1272" s="16"/>
      <c r="W1272" s="16"/>
      <c r="X1272" s="16"/>
      <c r="Y1272" s="16"/>
      <c r="Z1272" s="16"/>
      <c r="AA1272" s="16"/>
      <c r="AB1272" s="16"/>
      <c r="AC1272" s="16"/>
      <c r="AD1272" s="16"/>
      <c r="AE1272" s="16"/>
      <c r="AF1272" s="16"/>
      <c r="AG1272" s="16"/>
      <c r="AH1272" s="16" t="b">
        <f>IFERROR(__xludf.DUMMYFUNCTION("""COMPUTED_VALUE"""),FALSE)</f>
        <v>0</v>
      </c>
    </row>
    <row r="1273">
      <c r="A1273" s="16"/>
      <c r="B1273" s="16"/>
      <c r="C1273" s="16"/>
      <c r="D1273" s="16"/>
      <c r="E1273" s="16">
        <f>IFERROR(__xludf.DUMMYFUNCTION("""COMPUTED_VALUE"""),1.0)</f>
        <v>1</v>
      </c>
      <c r="F1273" s="108">
        <f>IFERROR(__xludf.DUMMYFUNCTION("""COMPUTED_VALUE"""),0.0)</f>
        <v>0</v>
      </c>
      <c r="G1273" s="16"/>
      <c r="H1273" s="16"/>
      <c r="I1273" s="16"/>
      <c r="J1273" s="16"/>
      <c r="K1273" s="16"/>
      <c r="L1273" s="16"/>
      <c r="M1273" s="16"/>
      <c r="N1273" s="16"/>
      <c r="O1273" s="16"/>
      <c r="P1273" s="16"/>
      <c r="Q1273" s="16"/>
      <c r="R1273" s="16"/>
      <c r="S1273" s="16"/>
      <c r="T1273" s="16"/>
      <c r="U1273" s="16"/>
      <c r="V1273" s="16"/>
      <c r="W1273" s="16"/>
      <c r="X1273" s="16"/>
      <c r="Y1273" s="16"/>
      <c r="Z1273" s="16"/>
      <c r="AA1273" s="16"/>
      <c r="AB1273" s="16"/>
      <c r="AC1273" s="16"/>
      <c r="AD1273" s="16"/>
      <c r="AE1273" s="16"/>
      <c r="AF1273" s="16"/>
      <c r="AG1273" s="16"/>
      <c r="AH1273" s="16" t="b">
        <f>IFERROR(__xludf.DUMMYFUNCTION("""COMPUTED_VALUE"""),FALSE)</f>
        <v>0</v>
      </c>
    </row>
    <row r="1274">
      <c r="A1274" s="16"/>
      <c r="B1274" s="16"/>
      <c r="C1274" s="16"/>
      <c r="D1274" s="16"/>
      <c r="E1274" s="16">
        <f>IFERROR(__xludf.DUMMYFUNCTION("""COMPUTED_VALUE"""),1.0)</f>
        <v>1</v>
      </c>
      <c r="F1274" s="108">
        <f>IFERROR(__xludf.DUMMYFUNCTION("""COMPUTED_VALUE"""),0.0)</f>
        <v>0</v>
      </c>
      <c r="G1274" s="16"/>
      <c r="H1274" s="16"/>
      <c r="I1274" s="16"/>
      <c r="J1274" s="16"/>
      <c r="K1274" s="16"/>
      <c r="L1274" s="16"/>
      <c r="M1274" s="16"/>
      <c r="N1274" s="16"/>
      <c r="O1274" s="16"/>
      <c r="P1274" s="16"/>
      <c r="Q1274" s="16"/>
      <c r="R1274" s="16"/>
      <c r="S1274" s="16"/>
      <c r="T1274" s="16"/>
      <c r="U1274" s="16"/>
      <c r="V1274" s="16"/>
      <c r="W1274" s="16"/>
      <c r="X1274" s="16"/>
      <c r="Y1274" s="16"/>
      <c r="Z1274" s="16"/>
      <c r="AA1274" s="16"/>
      <c r="AB1274" s="16"/>
      <c r="AC1274" s="16"/>
      <c r="AD1274" s="16"/>
      <c r="AE1274" s="16"/>
      <c r="AF1274" s="16"/>
      <c r="AG1274" s="16"/>
      <c r="AH1274" s="16" t="b">
        <f>IFERROR(__xludf.DUMMYFUNCTION("""COMPUTED_VALUE"""),FALSE)</f>
        <v>0</v>
      </c>
    </row>
    <row r="1275">
      <c r="A1275" s="16"/>
      <c r="B1275" s="16"/>
      <c r="C1275" s="16"/>
      <c r="D1275" s="16"/>
      <c r="E1275" s="16">
        <f>IFERROR(__xludf.DUMMYFUNCTION("""COMPUTED_VALUE"""),1.0)</f>
        <v>1</v>
      </c>
      <c r="F1275" s="108">
        <f>IFERROR(__xludf.DUMMYFUNCTION("""COMPUTED_VALUE"""),0.0)</f>
        <v>0</v>
      </c>
      <c r="G1275" s="16"/>
      <c r="H1275" s="16"/>
      <c r="I1275" s="16"/>
      <c r="J1275" s="16"/>
      <c r="K1275" s="16"/>
      <c r="L1275" s="16"/>
      <c r="M1275" s="16"/>
      <c r="N1275" s="16"/>
      <c r="O1275" s="16"/>
      <c r="P1275" s="16"/>
      <c r="Q1275" s="16"/>
      <c r="R1275" s="16"/>
      <c r="S1275" s="16"/>
      <c r="T1275" s="16"/>
      <c r="U1275" s="16"/>
      <c r="V1275" s="16"/>
      <c r="W1275" s="16"/>
      <c r="X1275" s="16"/>
      <c r="Y1275" s="16"/>
      <c r="Z1275" s="16"/>
      <c r="AA1275" s="16"/>
      <c r="AB1275" s="16"/>
      <c r="AC1275" s="16"/>
      <c r="AD1275" s="16"/>
      <c r="AE1275" s="16"/>
      <c r="AF1275" s="16"/>
      <c r="AG1275" s="16"/>
      <c r="AH1275" s="16" t="b">
        <f>IFERROR(__xludf.DUMMYFUNCTION("""COMPUTED_VALUE"""),FALSE)</f>
        <v>0</v>
      </c>
    </row>
    <row r="1276">
      <c r="A1276" s="16"/>
      <c r="B1276" s="16"/>
      <c r="C1276" s="16"/>
      <c r="D1276" s="16"/>
      <c r="E1276" s="16">
        <f>IFERROR(__xludf.DUMMYFUNCTION("""COMPUTED_VALUE"""),1.0)</f>
        <v>1</v>
      </c>
      <c r="F1276" s="108">
        <f>IFERROR(__xludf.DUMMYFUNCTION("""COMPUTED_VALUE"""),0.0)</f>
        <v>0</v>
      </c>
      <c r="G1276" s="16"/>
      <c r="H1276" s="16"/>
      <c r="I1276" s="16"/>
      <c r="J1276" s="16"/>
      <c r="K1276" s="16"/>
      <c r="L1276" s="16"/>
      <c r="M1276" s="16"/>
      <c r="N1276" s="16"/>
      <c r="O1276" s="16"/>
      <c r="P1276" s="16"/>
      <c r="Q1276" s="16"/>
      <c r="R1276" s="16"/>
      <c r="S1276" s="16"/>
      <c r="T1276" s="16"/>
      <c r="U1276" s="16"/>
      <c r="V1276" s="16"/>
      <c r="W1276" s="16"/>
      <c r="X1276" s="16"/>
      <c r="Y1276" s="16"/>
      <c r="Z1276" s="16"/>
      <c r="AA1276" s="16"/>
      <c r="AB1276" s="16"/>
      <c r="AC1276" s="16"/>
      <c r="AD1276" s="16"/>
      <c r="AE1276" s="16"/>
      <c r="AF1276" s="16"/>
      <c r="AG1276" s="16"/>
      <c r="AH1276" s="16" t="b">
        <f>IFERROR(__xludf.DUMMYFUNCTION("""COMPUTED_VALUE"""),FALSE)</f>
        <v>0</v>
      </c>
    </row>
    <row r="1277">
      <c r="A1277" s="16"/>
      <c r="B1277" s="16"/>
      <c r="C1277" s="16"/>
      <c r="D1277" s="16"/>
      <c r="E1277" s="16">
        <f>IFERROR(__xludf.DUMMYFUNCTION("""COMPUTED_VALUE"""),1.0)</f>
        <v>1</v>
      </c>
      <c r="F1277" s="108">
        <f>IFERROR(__xludf.DUMMYFUNCTION("""COMPUTED_VALUE"""),0.0)</f>
        <v>0</v>
      </c>
      <c r="G1277" s="16"/>
      <c r="H1277" s="16"/>
      <c r="I1277" s="16"/>
      <c r="J1277" s="16"/>
      <c r="K1277" s="16"/>
      <c r="L1277" s="16"/>
      <c r="M1277" s="16"/>
      <c r="N1277" s="16"/>
      <c r="O1277" s="16"/>
      <c r="P1277" s="16"/>
      <c r="Q1277" s="16"/>
      <c r="R1277" s="16"/>
      <c r="S1277" s="16"/>
      <c r="T1277" s="16"/>
      <c r="U1277" s="16"/>
      <c r="V1277" s="16"/>
      <c r="W1277" s="16"/>
      <c r="X1277" s="16"/>
      <c r="Y1277" s="16"/>
      <c r="Z1277" s="16"/>
      <c r="AA1277" s="16"/>
      <c r="AB1277" s="16"/>
      <c r="AC1277" s="16"/>
      <c r="AD1277" s="16"/>
      <c r="AE1277" s="16"/>
      <c r="AF1277" s="16"/>
      <c r="AG1277" s="16"/>
      <c r="AH1277" s="16" t="b">
        <f>IFERROR(__xludf.DUMMYFUNCTION("""COMPUTED_VALUE"""),FALSE)</f>
        <v>0</v>
      </c>
    </row>
    <row r="1278">
      <c r="A1278" s="16"/>
      <c r="B1278" s="16"/>
      <c r="C1278" s="16"/>
      <c r="D1278" s="16"/>
      <c r="E1278" s="16">
        <f>IFERROR(__xludf.DUMMYFUNCTION("""COMPUTED_VALUE"""),1.0)</f>
        <v>1</v>
      </c>
      <c r="F1278" s="108">
        <f>IFERROR(__xludf.DUMMYFUNCTION("""COMPUTED_VALUE"""),0.0)</f>
        <v>0</v>
      </c>
      <c r="G1278" s="16"/>
      <c r="H1278" s="16"/>
      <c r="I1278" s="16"/>
      <c r="J1278" s="16"/>
      <c r="K1278" s="16"/>
      <c r="L1278" s="16"/>
      <c r="M1278" s="16"/>
      <c r="N1278" s="16"/>
      <c r="O1278" s="16"/>
      <c r="P1278" s="16"/>
      <c r="Q1278" s="16"/>
      <c r="R1278" s="16"/>
      <c r="S1278" s="16"/>
      <c r="T1278" s="16"/>
      <c r="U1278" s="16"/>
      <c r="V1278" s="16"/>
      <c r="W1278" s="16"/>
      <c r="X1278" s="16"/>
      <c r="Y1278" s="16"/>
      <c r="Z1278" s="16"/>
      <c r="AA1278" s="16"/>
      <c r="AB1278" s="16"/>
      <c r="AC1278" s="16"/>
      <c r="AD1278" s="16"/>
      <c r="AE1278" s="16"/>
      <c r="AF1278" s="16"/>
      <c r="AG1278" s="16"/>
      <c r="AH1278" s="16" t="b">
        <f>IFERROR(__xludf.DUMMYFUNCTION("""COMPUTED_VALUE"""),FALSE)</f>
        <v>0</v>
      </c>
    </row>
    <row r="1279">
      <c r="A1279" s="16"/>
      <c r="B1279" s="16"/>
      <c r="C1279" s="16"/>
      <c r="D1279" s="16"/>
      <c r="E1279" s="16">
        <f>IFERROR(__xludf.DUMMYFUNCTION("""COMPUTED_VALUE"""),1.0)</f>
        <v>1</v>
      </c>
      <c r="F1279" s="108">
        <f>IFERROR(__xludf.DUMMYFUNCTION("""COMPUTED_VALUE"""),0.0)</f>
        <v>0</v>
      </c>
      <c r="G1279" s="16"/>
      <c r="H1279" s="16"/>
      <c r="I1279" s="16"/>
      <c r="J1279" s="16"/>
      <c r="K1279" s="16"/>
      <c r="L1279" s="16"/>
      <c r="M1279" s="16"/>
      <c r="N1279" s="16"/>
      <c r="O1279" s="16"/>
      <c r="P1279" s="16"/>
      <c r="Q1279" s="16"/>
      <c r="R1279" s="16"/>
      <c r="S1279" s="16"/>
      <c r="T1279" s="16"/>
      <c r="U1279" s="16"/>
      <c r="V1279" s="16"/>
      <c r="W1279" s="16"/>
      <c r="X1279" s="16"/>
      <c r="Y1279" s="16"/>
      <c r="Z1279" s="16"/>
      <c r="AA1279" s="16"/>
      <c r="AB1279" s="16"/>
      <c r="AC1279" s="16"/>
      <c r="AD1279" s="16"/>
      <c r="AE1279" s="16"/>
      <c r="AF1279" s="16"/>
      <c r="AG1279" s="16"/>
      <c r="AH1279" s="16" t="b">
        <f>IFERROR(__xludf.DUMMYFUNCTION("""COMPUTED_VALUE"""),FALSE)</f>
        <v>0</v>
      </c>
    </row>
    <row r="1280">
      <c r="A1280" s="16"/>
      <c r="B1280" s="16"/>
      <c r="C1280" s="16"/>
      <c r="D1280" s="16"/>
      <c r="E1280" s="16">
        <f>IFERROR(__xludf.DUMMYFUNCTION("""COMPUTED_VALUE"""),1.0)</f>
        <v>1</v>
      </c>
      <c r="F1280" s="108">
        <f>IFERROR(__xludf.DUMMYFUNCTION("""COMPUTED_VALUE"""),0.0)</f>
        <v>0</v>
      </c>
      <c r="G1280" s="16"/>
      <c r="H1280" s="16"/>
      <c r="I1280" s="16"/>
      <c r="J1280" s="16"/>
      <c r="K1280" s="16"/>
      <c r="L1280" s="16"/>
      <c r="M1280" s="16"/>
      <c r="N1280" s="16"/>
      <c r="O1280" s="16"/>
      <c r="P1280" s="16"/>
      <c r="Q1280" s="16"/>
      <c r="R1280" s="16"/>
      <c r="S1280" s="16"/>
      <c r="T1280" s="16"/>
      <c r="U1280" s="16"/>
      <c r="V1280" s="16"/>
      <c r="W1280" s="16"/>
      <c r="X1280" s="16"/>
      <c r="Y1280" s="16"/>
      <c r="Z1280" s="16"/>
      <c r="AA1280" s="16"/>
      <c r="AB1280" s="16"/>
      <c r="AC1280" s="16"/>
      <c r="AD1280" s="16"/>
      <c r="AE1280" s="16"/>
      <c r="AF1280" s="16"/>
      <c r="AG1280" s="16"/>
      <c r="AH1280" s="16" t="b">
        <f>IFERROR(__xludf.DUMMYFUNCTION("""COMPUTED_VALUE"""),FALSE)</f>
        <v>0</v>
      </c>
    </row>
    <row r="1281">
      <c r="A1281" s="16"/>
      <c r="B1281" s="16"/>
      <c r="C1281" s="16"/>
      <c r="D1281" s="16"/>
      <c r="E1281" s="16">
        <f>IFERROR(__xludf.DUMMYFUNCTION("""COMPUTED_VALUE"""),1.0)</f>
        <v>1</v>
      </c>
      <c r="F1281" s="108">
        <f>IFERROR(__xludf.DUMMYFUNCTION("""COMPUTED_VALUE"""),0.0)</f>
        <v>0</v>
      </c>
      <c r="G1281" s="16"/>
      <c r="H1281" s="16"/>
      <c r="I1281" s="16"/>
      <c r="J1281" s="16"/>
      <c r="K1281" s="16"/>
      <c r="L1281" s="16"/>
      <c r="M1281" s="16"/>
      <c r="N1281" s="16"/>
      <c r="O1281" s="16"/>
      <c r="P1281" s="16"/>
      <c r="Q1281" s="16"/>
      <c r="R1281" s="16"/>
      <c r="S1281" s="16"/>
      <c r="T1281" s="16"/>
      <c r="U1281" s="16"/>
      <c r="V1281" s="16"/>
      <c r="W1281" s="16"/>
      <c r="X1281" s="16"/>
      <c r="Y1281" s="16"/>
      <c r="Z1281" s="16"/>
      <c r="AA1281" s="16"/>
      <c r="AB1281" s="16"/>
      <c r="AC1281" s="16"/>
      <c r="AD1281" s="16"/>
      <c r="AE1281" s="16"/>
      <c r="AF1281" s="16"/>
      <c r="AG1281" s="16"/>
      <c r="AH1281" s="16" t="b">
        <f>IFERROR(__xludf.DUMMYFUNCTION("""COMPUTED_VALUE"""),FALSE)</f>
        <v>0</v>
      </c>
    </row>
    <row r="1282">
      <c r="A1282" s="16"/>
      <c r="B1282" s="16"/>
      <c r="C1282" s="16"/>
      <c r="D1282" s="16"/>
      <c r="E1282" s="16">
        <f>IFERROR(__xludf.DUMMYFUNCTION("""COMPUTED_VALUE"""),1.0)</f>
        <v>1</v>
      </c>
      <c r="F1282" s="108">
        <f>IFERROR(__xludf.DUMMYFUNCTION("""COMPUTED_VALUE"""),0.0)</f>
        <v>0</v>
      </c>
      <c r="G1282" s="16"/>
      <c r="H1282" s="16"/>
      <c r="I1282" s="16"/>
      <c r="J1282" s="16"/>
      <c r="K1282" s="16"/>
      <c r="L1282" s="16"/>
      <c r="M1282" s="16"/>
      <c r="N1282" s="16"/>
      <c r="O1282" s="16"/>
      <c r="P1282" s="16"/>
      <c r="Q1282" s="16"/>
      <c r="R1282" s="16"/>
      <c r="S1282" s="16"/>
      <c r="T1282" s="16"/>
      <c r="U1282" s="16"/>
      <c r="V1282" s="16"/>
      <c r="W1282" s="16"/>
      <c r="X1282" s="16"/>
      <c r="Y1282" s="16"/>
      <c r="Z1282" s="16"/>
      <c r="AA1282" s="16"/>
      <c r="AB1282" s="16"/>
      <c r="AC1282" s="16"/>
      <c r="AD1282" s="16"/>
      <c r="AE1282" s="16"/>
      <c r="AF1282" s="16"/>
      <c r="AG1282" s="16"/>
      <c r="AH1282" s="16" t="b">
        <f>IFERROR(__xludf.DUMMYFUNCTION("""COMPUTED_VALUE"""),FALSE)</f>
        <v>0</v>
      </c>
    </row>
    <row r="1283">
      <c r="A1283" s="16"/>
      <c r="B1283" s="16"/>
      <c r="C1283" s="16"/>
      <c r="D1283" s="16"/>
      <c r="E1283" s="16">
        <f>IFERROR(__xludf.DUMMYFUNCTION("""COMPUTED_VALUE"""),1.0)</f>
        <v>1</v>
      </c>
      <c r="F1283" s="108">
        <f>IFERROR(__xludf.DUMMYFUNCTION("""COMPUTED_VALUE"""),0.0)</f>
        <v>0</v>
      </c>
      <c r="G1283" s="16"/>
      <c r="H1283" s="16"/>
      <c r="I1283" s="16"/>
      <c r="J1283" s="16"/>
      <c r="K1283" s="16"/>
      <c r="L1283" s="16"/>
      <c r="M1283" s="16"/>
      <c r="N1283" s="16"/>
      <c r="O1283" s="16"/>
      <c r="P1283" s="16"/>
      <c r="Q1283" s="16"/>
      <c r="R1283" s="16"/>
      <c r="S1283" s="16"/>
      <c r="T1283" s="16"/>
      <c r="U1283" s="16"/>
      <c r="V1283" s="16"/>
      <c r="W1283" s="16"/>
      <c r="X1283" s="16"/>
      <c r="Y1283" s="16"/>
      <c r="Z1283" s="16"/>
      <c r="AA1283" s="16"/>
      <c r="AB1283" s="16"/>
      <c r="AC1283" s="16"/>
      <c r="AD1283" s="16"/>
      <c r="AE1283" s="16"/>
      <c r="AF1283" s="16"/>
      <c r="AG1283" s="16"/>
      <c r="AH1283" s="16" t="b">
        <f>IFERROR(__xludf.DUMMYFUNCTION("""COMPUTED_VALUE"""),FALSE)</f>
        <v>0</v>
      </c>
    </row>
    <row r="1284">
      <c r="A1284" s="16"/>
      <c r="B1284" s="16"/>
      <c r="C1284" s="16"/>
      <c r="D1284" s="16"/>
      <c r="E1284" s="16">
        <f>IFERROR(__xludf.DUMMYFUNCTION("""COMPUTED_VALUE"""),1.0)</f>
        <v>1</v>
      </c>
      <c r="F1284" s="108">
        <f>IFERROR(__xludf.DUMMYFUNCTION("""COMPUTED_VALUE"""),0.0)</f>
        <v>0</v>
      </c>
      <c r="G1284" s="16"/>
      <c r="H1284" s="16"/>
      <c r="I1284" s="16"/>
      <c r="J1284" s="16"/>
      <c r="K1284" s="16"/>
      <c r="L1284" s="16"/>
      <c r="M1284" s="16"/>
      <c r="N1284" s="16"/>
      <c r="O1284" s="16"/>
      <c r="P1284" s="16"/>
      <c r="Q1284" s="16"/>
      <c r="R1284" s="16"/>
      <c r="S1284" s="16"/>
      <c r="T1284" s="16"/>
      <c r="U1284" s="16"/>
      <c r="V1284" s="16"/>
      <c r="W1284" s="16"/>
      <c r="X1284" s="16"/>
      <c r="Y1284" s="16"/>
      <c r="Z1284" s="16"/>
      <c r="AA1284" s="16"/>
      <c r="AB1284" s="16"/>
      <c r="AC1284" s="16"/>
      <c r="AD1284" s="16"/>
      <c r="AE1284" s="16"/>
      <c r="AF1284" s="16"/>
      <c r="AG1284" s="16"/>
      <c r="AH1284" s="16" t="b">
        <f>IFERROR(__xludf.DUMMYFUNCTION("""COMPUTED_VALUE"""),FALSE)</f>
        <v>0</v>
      </c>
    </row>
    <row r="1285">
      <c r="A1285" s="16"/>
      <c r="B1285" s="16"/>
      <c r="C1285" s="16"/>
      <c r="D1285" s="16"/>
      <c r="E1285" s="16">
        <f>IFERROR(__xludf.DUMMYFUNCTION("""COMPUTED_VALUE"""),1.0)</f>
        <v>1</v>
      </c>
      <c r="F1285" s="108">
        <f>IFERROR(__xludf.DUMMYFUNCTION("""COMPUTED_VALUE"""),0.0)</f>
        <v>0</v>
      </c>
      <c r="G1285" s="16"/>
      <c r="H1285" s="16"/>
      <c r="I1285" s="16"/>
      <c r="J1285" s="16"/>
      <c r="K1285" s="16"/>
      <c r="L1285" s="16"/>
      <c r="M1285" s="16"/>
      <c r="N1285" s="16"/>
      <c r="O1285" s="16"/>
      <c r="P1285" s="16"/>
      <c r="Q1285" s="16"/>
      <c r="R1285" s="16"/>
      <c r="S1285" s="16"/>
      <c r="T1285" s="16"/>
      <c r="U1285" s="16"/>
      <c r="V1285" s="16"/>
      <c r="W1285" s="16"/>
      <c r="X1285" s="16"/>
      <c r="Y1285" s="16"/>
      <c r="Z1285" s="16"/>
      <c r="AA1285" s="16"/>
      <c r="AB1285" s="16"/>
      <c r="AC1285" s="16"/>
      <c r="AD1285" s="16"/>
      <c r="AE1285" s="16"/>
      <c r="AF1285" s="16"/>
      <c r="AG1285" s="16"/>
      <c r="AH1285" s="16" t="b">
        <f>IFERROR(__xludf.DUMMYFUNCTION("""COMPUTED_VALUE"""),FALSE)</f>
        <v>0</v>
      </c>
    </row>
    <row r="1286">
      <c r="A1286" s="16"/>
      <c r="B1286" s="16"/>
      <c r="C1286" s="16"/>
      <c r="D1286" s="16"/>
      <c r="E1286" s="16">
        <f>IFERROR(__xludf.DUMMYFUNCTION("""COMPUTED_VALUE"""),1.0)</f>
        <v>1</v>
      </c>
      <c r="F1286" s="108">
        <f>IFERROR(__xludf.DUMMYFUNCTION("""COMPUTED_VALUE"""),0.0)</f>
        <v>0</v>
      </c>
      <c r="G1286" s="16"/>
      <c r="H1286" s="16"/>
      <c r="I1286" s="16"/>
      <c r="J1286" s="16"/>
      <c r="K1286" s="16"/>
      <c r="L1286" s="16"/>
      <c r="M1286" s="16"/>
      <c r="N1286" s="16"/>
      <c r="O1286" s="16"/>
      <c r="P1286" s="16"/>
      <c r="Q1286" s="16"/>
      <c r="R1286" s="16"/>
      <c r="S1286" s="16"/>
      <c r="T1286" s="16"/>
      <c r="U1286" s="16"/>
      <c r="V1286" s="16"/>
      <c r="W1286" s="16"/>
      <c r="X1286" s="16"/>
      <c r="Y1286" s="16"/>
      <c r="Z1286" s="16"/>
      <c r="AA1286" s="16"/>
      <c r="AB1286" s="16"/>
      <c r="AC1286" s="16"/>
      <c r="AD1286" s="16"/>
      <c r="AE1286" s="16"/>
      <c r="AF1286" s="16"/>
      <c r="AG1286" s="16"/>
      <c r="AH1286" s="16" t="b">
        <f>IFERROR(__xludf.DUMMYFUNCTION("""COMPUTED_VALUE"""),FALSE)</f>
        <v>0</v>
      </c>
    </row>
    <row r="1287">
      <c r="A1287" s="16"/>
      <c r="B1287" s="16"/>
      <c r="C1287" s="16"/>
      <c r="D1287" s="16"/>
      <c r="E1287" s="16">
        <f>IFERROR(__xludf.DUMMYFUNCTION("""COMPUTED_VALUE"""),1.0)</f>
        <v>1</v>
      </c>
      <c r="F1287" s="108">
        <f>IFERROR(__xludf.DUMMYFUNCTION("""COMPUTED_VALUE"""),0.0)</f>
        <v>0</v>
      </c>
      <c r="G1287" s="16"/>
      <c r="H1287" s="16"/>
      <c r="I1287" s="16"/>
      <c r="J1287" s="16"/>
      <c r="K1287" s="16"/>
      <c r="L1287" s="16"/>
      <c r="M1287" s="16"/>
      <c r="N1287" s="16"/>
      <c r="O1287" s="16"/>
      <c r="P1287" s="16"/>
      <c r="Q1287" s="16"/>
      <c r="R1287" s="16"/>
      <c r="S1287" s="16"/>
      <c r="T1287" s="16"/>
      <c r="U1287" s="16"/>
      <c r="V1287" s="16"/>
      <c r="W1287" s="16"/>
      <c r="X1287" s="16"/>
      <c r="Y1287" s="16"/>
      <c r="Z1287" s="16"/>
      <c r="AA1287" s="16"/>
      <c r="AB1287" s="16"/>
      <c r="AC1287" s="16"/>
      <c r="AD1287" s="16"/>
      <c r="AE1287" s="16"/>
      <c r="AF1287" s="16"/>
      <c r="AG1287" s="16"/>
      <c r="AH1287" s="16" t="b">
        <f>IFERROR(__xludf.DUMMYFUNCTION("""COMPUTED_VALUE"""),FALSE)</f>
        <v>0</v>
      </c>
    </row>
    <row r="1288">
      <c r="A1288" s="16"/>
      <c r="B1288" s="16"/>
      <c r="C1288" s="16"/>
      <c r="D1288" s="16"/>
      <c r="E1288" s="16">
        <f>IFERROR(__xludf.DUMMYFUNCTION("""COMPUTED_VALUE"""),1.0)</f>
        <v>1</v>
      </c>
      <c r="F1288" s="108">
        <f>IFERROR(__xludf.DUMMYFUNCTION("""COMPUTED_VALUE"""),0.0)</f>
        <v>0</v>
      </c>
      <c r="G1288" s="16"/>
      <c r="H1288" s="16"/>
      <c r="I1288" s="16"/>
      <c r="J1288" s="16"/>
      <c r="K1288" s="16"/>
      <c r="L1288" s="16"/>
      <c r="M1288" s="16"/>
      <c r="N1288" s="16"/>
      <c r="O1288" s="16"/>
      <c r="P1288" s="16"/>
      <c r="Q1288" s="16"/>
      <c r="R1288" s="16"/>
      <c r="S1288" s="16"/>
      <c r="T1288" s="16"/>
      <c r="U1288" s="16"/>
      <c r="V1288" s="16"/>
      <c r="W1288" s="16"/>
      <c r="X1288" s="16"/>
      <c r="Y1288" s="16"/>
      <c r="Z1288" s="16"/>
      <c r="AA1288" s="16"/>
      <c r="AB1288" s="16"/>
      <c r="AC1288" s="16"/>
      <c r="AD1288" s="16"/>
      <c r="AE1288" s="16"/>
      <c r="AF1288" s="16"/>
      <c r="AG1288" s="16"/>
      <c r="AH1288" s="16" t="b">
        <f>IFERROR(__xludf.DUMMYFUNCTION("""COMPUTED_VALUE"""),FALSE)</f>
        <v>0</v>
      </c>
    </row>
    <row r="1289">
      <c r="A1289" s="16"/>
      <c r="B1289" s="16"/>
      <c r="C1289" s="16"/>
      <c r="D1289" s="16"/>
      <c r="E1289" s="16">
        <f>IFERROR(__xludf.DUMMYFUNCTION("""COMPUTED_VALUE"""),1.0)</f>
        <v>1</v>
      </c>
      <c r="F1289" s="108">
        <f>IFERROR(__xludf.DUMMYFUNCTION("""COMPUTED_VALUE"""),0.0)</f>
        <v>0</v>
      </c>
      <c r="G1289" s="16"/>
      <c r="H1289" s="16"/>
      <c r="I1289" s="16"/>
      <c r="J1289" s="16"/>
      <c r="K1289" s="16"/>
      <c r="L1289" s="16"/>
      <c r="M1289" s="16"/>
      <c r="N1289" s="16"/>
      <c r="O1289" s="16"/>
      <c r="P1289" s="16"/>
      <c r="Q1289" s="16"/>
      <c r="R1289" s="16"/>
      <c r="S1289" s="16"/>
      <c r="T1289" s="16"/>
      <c r="U1289" s="16"/>
      <c r="V1289" s="16"/>
      <c r="W1289" s="16"/>
      <c r="X1289" s="16"/>
      <c r="Y1289" s="16"/>
      <c r="Z1289" s="16"/>
      <c r="AA1289" s="16"/>
      <c r="AB1289" s="16"/>
      <c r="AC1289" s="16"/>
      <c r="AD1289" s="16"/>
      <c r="AE1289" s="16"/>
      <c r="AF1289" s="16"/>
      <c r="AG1289" s="16"/>
      <c r="AH1289" s="16" t="b">
        <f>IFERROR(__xludf.DUMMYFUNCTION("""COMPUTED_VALUE"""),FALSE)</f>
        <v>0</v>
      </c>
    </row>
    <row r="1290">
      <c r="A1290" s="16"/>
      <c r="B1290" s="16"/>
      <c r="C1290" s="16"/>
      <c r="D1290" s="16"/>
      <c r="E1290" s="16">
        <f>IFERROR(__xludf.DUMMYFUNCTION("""COMPUTED_VALUE"""),1.0)</f>
        <v>1</v>
      </c>
      <c r="F1290" s="108">
        <f>IFERROR(__xludf.DUMMYFUNCTION("""COMPUTED_VALUE"""),0.0)</f>
        <v>0</v>
      </c>
      <c r="G1290" s="16"/>
      <c r="H1290" s="16"/>
      <c r="I1290" s="16"/>
      <c r="J1290" s="16"/>
      <c r="K1290" s="16"/>
      <c r="L1290" s="16"/>
      <c r="M1290" s="16"/>
      <c r="N1290" s="16"/>
      <c r="O1290" s="16"/>
      <c r="P1290" s="16"/>
      <c r="Q1290" s="16"/>
      <c r="R1290" s="16"/>
      <c r="S1290" s="16"/>
      <c r="T1290" s="16"/>
      <c r="U1290" s="16"/>
      <c r="V1290" s="16"/>
      <c r="W1290" s="16"/>
      <c r="X1290" s="16"/>
      <c r="Y1290" s="16"/>
      <c r="Z1290" s="16"/>
      <c r="AA1290" s="16"/>
      <c r="AB1290" s="16"/>
      <c r="AC1290" s="16"/>
      <c r="AD1290" s="16"/>
      <c r="AE1290" s="16"/>
      <c r="AF1290" s="16"/>
      <c r="AG1290" s="16"/>
      <c r="AH1290" s="16" t="b">
        <f>IFERROR(__xludf.DUMMYFUNCTION("""COMPUTED_VALUE"""),FALSE)</f>
        <v>0</v>
      </c>
    </row>
    <row r="1291">
      <c r="A1291" s="16"/>
      <c r="B1291" s="16"/>
      <c r="C1291" s="16"/>
      <c r="D1291" s="16"/>
      <c r="E1291" s="16">
        <f>IFERROR(__xludf.DUMMYFUNCTION("""COMPUTED_VALUE"""),1.0)</f>
        <v>1</v>
      </c>
      <c r="F1291" s="108">
        <f>IFERROR(__xludf.DUMMYFUNCTION("""COMPUTED_VALUE"""),0.0)</f>
        <v>0</v>
      </c>
      <c r="G1291" s="16"/>
      <c r="H1291" s="16"/>
      <c r="I1291" s="16"/>
      <c r="J1291" s="16"/>
      <c r="K1291" s="16"/>
      <c r="L1291" s="16"/>
      <c r="M1291" s="16"/>
      <c r="N1291" s="16"/>
      <c r="O1291" s="16"/>
      <c r="P1291" s="16"/>
      <c r="Q1291" s="16"/>
      <c r="R1291" s="16"/>
      <c r="S1291" s="16"/>
      <c r="T1291" s="16"/>
      <c r="U1291" s="16"/>
      <c r="V1291" s="16"/>
      <c r="W1291" s="16"/>
      <c r="X1291" s="16"/>
      <c r="Y1291" s="16"/>
      <c r="Z1291" s="16"/>
      <c r="AA1291" s="16"/>
      <c r="AB1291" s="16"/>
      <c r="AC1291" s="16"/>
      <c r="AD1291" s="16"/>
      <c r="AE1291" s="16"/>
      <c r="AF1291" s="16"/>
      <c r="AG1291" s="16"/>
      <c r="AH1291" s="16" t="b">
        <f>IFERROR(__xludf.DUMMYFUNCTION("""COMPUTED_VALUE"""),FALSE)</f>
        <v>0</v>
      </c>
    </row>
    <row r="1292">
      <c r="A1292" s="16"/>
      <c r="B1292" s="16"/>
      <c r="C1292" s="16"/>
      <c r="D1292" s="16"/>
      <c r="E1292" s="16">
        <f>IFERROR(__xludf.DUMMYFUNCTION("""COMPUTED_VALUE"""),1.0)</f>
        <v>1</v>
      </c>
      <c r="F1292" s="108">
        <f>IFERROR(__xludf.DUMMYFUNCTION("""COMPUTED_VALUE"""),0.0)</f>
        <v>0</v>
      </c>
      <c r="G1292" s="16"/>
      <c r="H1292" s="16"/>
      <c r="I1292" s="16"/>
      <c r="J1292" s="16"/>
      <c r="K1292" s="16"/>
      <c r="L1292" s="16"/>
      <c r="M1292" s="16"/>
      <c r="N1292" s="16"/>
      <c r="O1292" s="16"/>
      <c r="P1292" s="16"/>
      <c r="Q1292" s="16"/>
      <c r="R1292" s="16"/>
      <c r="S1292" s="16"/>
      <c r="T1292" s="16"/>
      <c r="U1292" s="16"/>
      <c r="V1292" s="16"/>
      <c r="W1292" s="16"/>
      <c r="X1292" s="16"/>
      <c r="Y1292" s="16"/>
      <c r="Z1292" s="16"/>
      <c r="AA1292" s="16"/>
      <c r="AB1292" s="16"/>
      <c r="AC1292" s="16"/>
      <c r="AD1292" s="16"/>
      <c r="AE1292" s="16"/>
      <c r="AF1292" s="16"/>
      <c r="AG1292" s="16"/>
      <c r="AH1292" s="16" t="b">
        <f>IFERROR(__xludf.DUMMYFUNCTION("""COMPUTED_VALUE"""),FALSE)</f>
        <v>0</v>
      </c>
    </row>
    <row r="1293">
      <c r="A1293" s="16"/>
      <c r="B1293" s="16"/>
      <c r="C1293" s="16"/>
      <c r="D1293" s="16"/>
      <c r="E1293" s="16">
        <f>IFERROR(__xludf.DUMMYFUNCTION("""COMPUTED_VALUE"""),1.0)</f>
        <v>1</v>
      </c>
      <c r="F1293" s="108">
        <f>IFERROR(__xludf.DUMMYFUNCTION("""COMPUTED_VALUE"""),0.0)</f>
        <v>0</v>
      </c>
      <c r="G1293" s="16"/>
      <c r="H1293" s="16"/>
      <c r="I1293" s="16"/>
      <c r="J1293" s="16"/>
      <c r="K1293" s="16"/>
      <c r="L1293" s="16"/>
      <c r="M1293" s="16"/>
      <c r="N1293" s="16"/>
      <c r="O1293" s="16"/>
      <c r="P1293" s="16"/>
      <c r="Q1293" s="16"/>
      <c r="R1293" s="16"/>
      <c r="S1293" s="16"/>
      <c r="T1293" s="16"/>
      <c r="U1293" s="16"/>
      <c r="V1293" s="16"/>
      <c r="W1293" s="16"/>
      <c r="X1293" s="16"/>
      <c r="Y1293" s="16"/>
      <c r="Z1293" s="16"/>
      <c r="AA1293" s="16"/>
      <c r="AB1293" s="16"/>
      <c r="AC1293" s="16"/>
      <c r="AD1293" s="16"/>
      <c r="AE1293" s="16"/>
      <c r="AF1293" s="16"/>
      <c r="AG1293" s="16"/>
      <c r="AH1293" s="16" t="b">
        <f>IFERROR(__xludf.DUMMYFUNCTION("""COMPUTED_VALUE"""),FALSE)</f>
        <v>0</v>
      </c>
    </row>
    <row r="1294">
      <c r="A1294" s="16"/>
      <c r="B1294" s="16"/>
      <c r="C1294" s="16"/>
      <c r="D1294" s="16"/>
      <c r="E1294" s="16">
        <f>IFERROR(__xludf.DUMMYFUNCTION("""COMPUTED_VALUE"""),1.0)</f>
        <v>1</v>
      </c>
      <c r="F1294" s="108">
        <f>IFERROR(__xludf.DUMMYFUNCTION("""COMPUTED_VALUE"""),0.0)</f>
        <v>0</v>
      </c>
      <c r="G1294" s="16"/>
      <c r="H1294" s="16"/>
      <c r="I1294" s="16"/>
      <c r="J1294" s="16"/>
      <c r="K1294" s="16"/>
      <c r="L1294" s="16"/>
      <c r="M1294" s="16"/>
      <c r="N1294" s="16"/>
      <c r="O1294" s="16"/>
      <c r="P1294" s="16"/>
      <c r="Q1294" s="16"/>
      <c r="R1294" s="16"/>
      <c r="S1294" s="16"/>
      <c r="T1294" s="16"/>
      <c r="U1294" s="16"/>
      <c r="V1294" s="16"/>
      <c r="W1294" s="16"/>
      <c r="X1294" s="16"/>
      <c r="Y1294" s="16"/>
      <c r="Z1294" s="16"/>
      <c r="AA1294" s="16"/>
      <c r="AB1294" s="16"/>
      <c r="AC1294" s="16"/>
      <c r="AD1294" s="16"/>
      <c r="AE1294" s="16"/>
      <c r="AF1294" s="16"/>
      <c r="AG1294" s="16"/>
      <c r="AH1294" s="16" t="b">
        <f>IFERROR(__xludf.DUMMYFUNCTION("""COMPUTED_VALUE"""),FALSE)</f>
        <v>0</v>
      </c>
    </row>
    <row r="1295">
      <c r="A1295" s="16"/>
      <c r="B1295" s="16"/>
      <c r="C1295" s="16"/>
      <c r="D1295" s="16"/>
      <c r="E1295" s="16">
        <f>IFERROR(__xludf.DUMMYFUNCTION("""COMPUTED_VALUE"""),1.0)</f>
        <v>1</v>
      </c>
      <c r="F1295" s="108">
        <f>IFERROR(__xludf.DUMMYFUNCTION("""COMPUTED_VALUE"""),0.0)</f>
        <v>0</v>
      </c>
      <c r="G1295" s="16"/>
      <c r="H1295" s="16"/>
      <c r="I1295" s="16"/>
      <c r="J1295" s="16"/>
      <c r="K1295" s="16"/>
      <c r="L1295" s="16"/>
      <c r="M1295" s="16"/>
      <c r="N1295" s="16"/>
      <c r="O1295" s="16"/>
      <c r="P1295" s="16"/>
      <c r="Q1295" s="16"/>
      <c r="R1295" s="16"/>
      <c r="S1295" s="16"/>
      <c r="T1295" s="16"/>
      <c r="U1295" s="16"/>
      <c r="V1295" s="16"/>
      <c r="W1295" s="16"/>
      <c r="X1295" s="16"/>
      <c r="Y1295" s="16"/>
      <c r="Z1295" s="16"/>
      <c r="AA1295" s="16"/>
      <c r="AB1295" s="16"/>
      <c r="AC1295" s="16"/>
      <c r="AD1295" s="16"/>
      <c r="AE1295" s="16"/>
      <c r="AF1295" s="16"/>
      <c r="AG1295" s="16"/>
      <c r="AH1295" s="16" t="b">
        <f>IFERROR(__xludf.DUMMYFUNCTION("""COMPUTED_VALUE"""),FALSE)</f>
        <v>0</v>
      </c>
    </row>
    <row r="1296">
      <c r="A1296" s="16"/>
      <c r="B1296" s="16"/>
      <c r="C1296" s="16"/>
      <c r="D1296" s="16"/>
      <c r="E1296" s="16">
        <f>IFERROR(__xludf.DUMMYFUNCTION("""COMPUTED_VALUE"""),1.0)</f>
        <v>1</v>
      </c>
      <c r="F1296" s="108">
        <f>IFERROR(__xludf.DUMMYFUNCTION("""COMPUTED_VALUE"""),0.0)</f>
        <v>0</v>
      </c>
      <c r="G1296" s="16"/>
      <c r="H1296" s="16"/>
      <c r="I1296" s="16"/>
      <c r="J1296" s="16"/>
      <c r="K1296" s="16"/>
      <c r="L1296" s="16"/>
      <c r="M1296" s="16"/>
      <c r="N1296" s="16"/>
      <c r="O1296" s="16"/>
      <c r="P1296" s="16"/>
      <c r="Q1296" s="16"/>
      <c r="R1296" s="16"/>
      <c r="S1296" s="16"/>
      <c r="T1296" s="16"/>
      <c r="U1296" s="16"/>
      <c r="V1296" s="16"/>
      <c r="W1296" s="16"/>
      <c r="X1296" s="16"/>
      <c r="Y1296" s="16"/>
      <c r="Z1296" s="16"/>
      <c r="AA1296" s="16"/>
      <c r="AB1296" s="16"/>
      <c r="AC1296" s="16"/>
      <c r="AD1296" s="16"/>
      <c r="AE1296" s="16"/>
      <c r="AF1296" s="16"/>
      <c r="AG1296" s="16"/>
      <c r="AH1296" s="16" t="b">
        <f>IFERROR(__xludf.DUMMYFUNCTION("""COMPUTED_VALUE"""),FALSE)</f>
        <v>0</v>
      </c>
    </row>
    <row r="1297">
      <c r="A1297" s="16"/>
      <c r="B1297" s="16"/>
      <c r="C1297" s="16"/>
      <c r="D1297" s="16"/>
      <c r="E1297" s="16">
        <f>IFERROR(__xludf.DUMMYFUNCTION("""COMPUTED_VALUE"""),1.0)</f>
        <v>1</v>
      </c>
      <c r="F1297" s="108">
        <f>IFERROR(__xludf.DUMMYFUNCTION("""COMPUTED_VALUE"""),0.0)</f>
        <v>0</v>
      </c>
      <c r="G1297" s="16"/>
      <c r="H1297" s="16"/>
      <c r="I1297" s="16"/>
      <c r="J1297" s="16"/>
      <c r="K1297" s="16"/>
      <c r="L1297" s="16"/>
      <c r="M1297" s="16"/>
      <c r="N1297" s="16"/>
      <c r="O1297" s="16"/>
      <c r="P1297" s="16"/>
      <c r="Q1297" s="16"/>
      <c r="R1297" s="16"/>
      <c r="S1297" s="16"/>
      <c r="T1297" s="16"/>
      <c r="U1297" s="16"/>
      <c r="V1297" s="16"/>
      <c r="W1297" s="16"/>
      <c r="X1297" s="16"/>
      <c r="Y1297" s="16"/>
      <c r="Z1297" s="16"/>
      <c r="AA1297" s="16"/>
      <c r="AB1297" s="16"/>
      <c r="AC1297" s="16"/>
      <c r="AD1297" s="16"/>
      <c r="AE1297" s="16"/>
      <c r="AF1297" s="16"/>
      <c r="AG1297" s="16"/>
      <c r="AH1297" s="16" t="b">
        <f>IFERROR(__xludf.DUMMYFUNCTION("""COMPUTED_VALUE"""),FALSE)</f>
        <v>0</v>
      </c>
    </row>
    <row r="1298">
      <c r="A1298" s="16"/>
      <c r="B1298" s="16"/>
      <c r="C1298" s="16"/>
      <c r="D1298" s="16"/>
      <c r="E1298" s="16">
        <f>IFERROR(__xludf.DUMMYFUNCTION("""COMPUTED_VALUE"""),1.0)</f>
        <v>1</v>
      </c>
      <c r="F1298" s="108">
        <f>IFERROR(__xludf.DUMMYFUNCTION("""COMPUTED_VALUE"""),0.0)</f>
        <v>0</v>
      </c>
      <c r="G1298" s="16"/>
      <c r="H1298" s="16"/>
      <c r="I1298" s="16"/>
      <c r="J1298" s="16"/>
      <c r="K1298" s="16"/>
      <c r="L1298" s="16"/>
      <c r="M1298" s="16"/>
      <c r="N1298" s="16"/>
      <c r="O1298" s="16"/>
      <c r="P1298" s="16"/>
      <c r="Q1298" s="16"/>
      <c r="R1298" s="16"/>
      <c r="S1298" s="16"/>
      <c r="T1298" s="16"/>
      <c r="U1298" s="16"/>
      <c r="V1298" s="16"/>
      <c r="W1298" s="16"/>
      <c r="X1298" s="16"/>
      <c r="Y1298" s="16"/>
      <c r="Z1298" s="16"/>
      <c r="AA1298" s="16"/>
      <c r="AB1298" s="16"/>
      <c r="AC1298" s="16"/>
      <c r="AD1298" s="16"/>
      <c r="AE1298" s="16"/>
      <c r="AF1298" s="16"/>
      <c r="AG1298" s="16"/>
      <c r="AH1298" s="16" t="b">
        <f>IFERROR(__xludf.DUMMYFUNCTION("""COMPUTED_VALUE"""),FALSE)</f>
        <v>0</v>
      </c>
    </row>
    <row r="1299">
      <c r="A1299" s="16"/>
      <c r="B1299" s="16"/>
      <c r="C1299" s="16"/>
      <c r="D1299" s="16"/>
      <c r="E1299" s="16">
        <f>IFERROR(__xludf.DUMMYFUNCTION("""COMPUTED_VALUE"""),1.0)</f>
        <v>1</v>
      </c>
      <c r="F1299" s="108">
        <f>IFERROR(__xludf.DUMMYFUNCTION("""COMPUTED_VALUE"""),0.0)</f>
        <v>0</v>
      </c>
      <c r="G1299" s="16"/>
      <c r="H1299" s="16"/>
      <c r="I1299" s="16"/>
      <c r="J1299" s="16"/>
      <c r="K1299" s="16"/>
      <c r="L1299" s="16"/>
      <c r="M1299" s="16"/>
      <c r="N1299" s="16"/>
      <c r="O1299" s="16"/>
      <c r="P1299" s="16"/>
      <c r="Q1299" s="16"/>
      <c r="R1299" s="16"/>
      <c r="S1299" s="16"/>
      <c r="T1299" s="16"/>
      <c r="U1299" s="16"/>
      <c r="V1299" s="16"/>
      <c r="W1299" s="16"/>
      <c r="X1299" s="16"/>
      <c r="Y1299" s="16"/>
      <c r="Z1299" s="16"/>
      <c r="AA1299" s="16"/>
      <c r="AB1299" s="16"/>
      <c r="AC1299" s="16"/>
      <c r="AD1299" s="16"/>
      <c r="AE1299" s="16"/>
      <c r="AF1299" s="16"/>
      <c r="AG1299" s="16"/>
      <c r="AH1299" s="16" t="b">
        <f>IFERROR(__xludf.DUMMYFUNCTION("""COMPUTED_VALUE"""),FALSE)</f>
        <v>0</v>
      </c>
    </row>
    <row r="1300">
      <c r="A1300" s="16"/>
      <c r="B1300" s="16"/>
      <c r="C1300" s="16"/>
      <c r="D1300" s="16"/>
      <c r="E1300" s="16">
        <f>IFERROR(__xludf.DUMMYFUNCTION("""COMPUTED_VALUE"""),1.0)</f>
        <v>1</v>
      </c>
      <c r="F1300" s="108">
        <f>IFERROR(__xludf.DUMMYFUNCTION("""COMPUTED_VALUE"""),0.0)</f>
        <v>0</v>
      </c>
      <c r="G1300" s="16"/>
      <c r="H1300" s="16"/>
      <c r="I1300" s="16"/>
      <c r="J1300" s="16"/>
      <c r="K1300" s="16"/>
      <c r="L1300" s="16"/>
      <c r="M1300" s="16"/>
      <c r="N1300" s="16"/>
      <c r="O1300" s="16"/>
      <c r="P1300" s="16"/>
      <c r="Q1300" s="16"/>
      <c r="R1300" s="16"/>
      <c r="S1300" s="16"/>
      <c r="T1300" s="16"/>
      <c r="U1300" s="16"/>
      <c r="V1300" s="16"/>
      <c r="W1300" s="16"/>
      <c r="X1300" s="16"/>
      <c r="Y1300" s="16"/>
      <c r="Z1300" s="16"/>
      <c r="AA1300" s="16"/>
      <c r="AB1300" s="16"/>
      <c r="AC1300" s="16"/>
      <c r="AD1300" s="16"/>
      <c r="AE1300" s="16"/>
      <c r="AF1300" s="16"/>
      <c r="AG1300" s="16"/>
      <c r="AH1300" s="16" t="b">
        <f>IFERROR(__xludf.DUMMYFUNCTION("""COMPUTED_VALUE"""),FALSE)</f>
        <v>0</v>
      </c>
    </row>
    <row r="1301">
      <c r="A1301" s="16"/>
      <c r="B1301" s="16"/>
      <c r="C1301" s="16"/>
      <c r="D1301" s="16"/>
      <c r="E1301" s="16">
        <f>IFERROR(__xludf.DUMMYFUNCTION("""COMPUTED_VALUE"""),1.0)</f>
        <v>1</v>
      </c>
      <c r="F1301" s="108">
        <f>IFERROR(__xludf.DUMMYFUNCTION("""COMPUTED_VALUE"""),0.0)</f>
        <v>0</v>
      </c>
      <c r="G1301" s="16"/>
      <c r="H1301" s="16"/>
      <c r="I1301" s="16"/>
      <c r="J1301" s="16"/>
      <c r="K1301" s="16"/>
      <c r="L1301" s="16"/>
      <c r="M1301" s="16"/>
      <c r="N1301" s="16"/>
      <c r="O1301" s="16"/>
      <c r="P1301" s="16"/>
      <c r="Q1301" s="16"/>
      <c r="R1301" s="16"/>
      <c r="S1301" s="16"/>
      <c r="T1301" s="16"/>
      <c r="U1301" s="16"/>
      <c r="V1301" s="16"/>
      <c r="W1301" s="16"/>
      <c r="X1301" s="16"/>
      <c r="Y1301" s="16"/>
      <c r="Z1301" s="16"/>
      <c r="AA1301" s="16"/>
      <c r="AB1301" s="16"/>
      <c r="AC1301" s="16"/>
      <c r="AD1301" s="16"/>
      <c r="AE1301" s="16"/>
      <c r="AF1301" s="16"/>
      <c r="AG1301" s="16"/>
      <c r="AH1301" s="16" t="b">
        <f>IFERROR(__xludf.DUMMYFUNCTION("""COMPUTED_VALUE"""),FALSE)</f>
        <v>0</v>
      </c>
    </row>
    <row r="1302">
      <c r="A1302" s="16"/>
      <c r="B1302" s="16"/>
      <c r="C1302" s="16"/>
      <c r="D1302" s="16"/>
      <c r="E1302" s="16">
        <f>IFERROR(__xludf.DUMMYFUNCTION("""COMPUTED_VALUE"""),1.0)</f>
        <v>1</v>
      </c>
      <c r="F1302" s="108">
        <f>IFERROR(__xludf.DUMMYFUNCTION("""COMPUTED_VALUE"""),0.0)</f>
        <v>0</v>
      </c>
      <c r="G1302" s="16"/>
      <c r="H1302" s="16"/>
      <c r="I1302" s="16"/>
      <c r="J1302" s="16"/>
      <c r="K1302" s="16"/>
      <c r="L1302" s="16"/>
      <c r="M1302" s="16"/>
      <c r="N1302" s="16"/>
      <c r="O1302" s="16"/>
      <c r="P1302" s="16"/>
      <c r="Q1302" s="16"/>
      <c r="R1302" s="16"/>
      <c r="S1302" s="16"/>
      <c r="T1302" s="16"/>
      <c r="U1302" s="16"/>
      <c r="V1302" s="16"/>
      <c r="W1302" s="16"/>
      <c r="X1302" s="16"/>
      <c r="Y1302" s="16"/>
      <c r="Z1302" s="16"/>
      <c r="AA1302" s="16"/>
      <c r="AB1302" s="16"/>
      <c r="AC1302" s="16"/>
      <c r="AD1302" s="16"/>
      <c r="AE1302" s="16"/>
      <c r="AF1302" s="16"/>
      <c r="AG1302" s="16"/>
      <c r="AH1302" s="16" t="b">
        <f>IFERROR(__xludf.DUMMYFUNCTION("""COMPUTED_VALUE"""),FALSE)</f>
        <v>0</v>
      </c>
    </row>
    <row r="1303">
      <c r="A1303" s="16"/>
      <c r="B1303" s="16"/>
      <c r="C1303" s="16"/>
      <c r="D1303" s="16"/>
      <c r="E1303" s="16">
        <f>IFERROR(__xludf.DUMMYFUNCTION("""COMPUTED_VALUE"""),1.0)</f>
        <v>1</v>
      </c>
      <c r="F1303" s="108">
        <f>IFERROR(__xludf.DUMMYFUNCTION("""COMPUTED_VALUE"""),0.0)</f>
        <v>0</v>
      </c>
      <c r="G1303" s="16"/>
      <c r="H1303" s="16"/>
      <c r="I1303" s="16"/>
      <c r="J1303" s="16"/>
      <c r="K1303" s="16"/>
      <c r="L1303" s="16"/>
      <c r="M1303" s="16"/>
      <c r="N1303" s="16"/>
      <c r="O1303" s="16"/>
      <c r="P1303" s="16"/>
      <c r="Q1303" s="16"/>
      <c r="R1303" s="16"/>
      <c r="S1303" s="16"/>
      <c r="T1303" s="16"/>
      <c r="U1303" s="16"/>
      <c r="V1303" s="16"/>
      <c r="W1303" s="16"/>
      <c r="X1303" s="16"/>
      <c r="Y1303" s="16"/>
      <c r="Z1303" s="16"/>
      <c r="AA1303" s="16"/>
      <c r="AB1303" s="16"/>
      <c r="AC1303" s="16"/>
      <c r="AD1303" s="16"/>
      <c r="AE1303" s="16"/>
      <c r="AF1303" s="16"/>
      <c r="AG1303" s="16"/>
      <c r="AH1303" s="16" t="b">
        <f>IFERROR(__xludf.DUMMYFUNCTION("""COMPUTED_VALUE"""),FALSE)</f>
        <v>0</v>
      </c>
    </row>
    <row r="1304">
      <c r="A1304" s="16"/>
      <c r="B1304" s="16"/>
      <c r="C1304" s="16"/>
      <c r="D1304" s="16"/>
      <c r="E1304" s="16">
        <f>IFERROR(__xludf.DUMMYFUNCTION("""COMPUTED_VALUE"""),1.0)</f>
        <v>1</v>
      </c>
      <c r="F1304" s="108">
        <f>IFERROR(__xludf.DUMMYFUNCTION("""COMPUTED_VALUE"""),0.0)</f>
        <v>0</v>
      </c>
      <c r="G1304" s="16"/>
      <c r="H1304" s="16"/>
      <c r="I1304" s="16"/>
      <c r="J1304" s="16"/>
      <c r="K1304" s="16"/>
      <c r="L1304" s="16"/>
      <c r="M1304" s="16"/>
      <c r="N1304" s="16"/>
      <c r="O1304" s="16"/>
      <c r="P1304" s="16"/>
      <c r="Q1304" s="16"/>
      <c r="R1304" s="16"/>
      <c r="S1304" s="16"/>
      <c r="T1304" s="16"/>
      <c r="U1304" s="16"/>
      <c r="V1304" s="16"/>
      <c r="W1304" s="16"/>
      <c r="X1304" s="16"/>
      <c r="Y1304" s="16"/>
      <c r="Z1304" s="16"/>
      <c r="AA1304" s="16"/>
      <c r="AB1304" s="16"/>
      <c r="AC1304" s="16"/>
      <c r="AD1304" s="16"/>
      <c r="AE1304" s="16"/>
      <c r="AF1304" s="16"/>
      <c r="AG1304" s="16"/>
      <c r="AH1304" s="16" t="b">
        <f>IFERROR(__xludf.DUMMYFUNCTION("""COMPUTED_VALUE"""),FALSE)</f>
        <v>0</v>
      </c>
    </row>
    <row r="1305">
      <c r="A1305" s="16"/>
      <c r="B1305" s="16"/>
      <c r="C1305" s="16"/>
      <c r="D1305" s="16"/>
      <c r="E1305" s="16">
        <f>IFERROR(__xludf.DUMMYFUNCTION("""COMPUTED_VALUE"""),1.0)</f>
        <v>1</v>
      </c>
      <c r="F1305" s="108">
        <f>IFERROR(__xludf.DUMMYFUNCTION("""COMPUTED_VALUE"""),0.0)</f>
        <v>0</v>
      </c>
      <c r="G1305" s="16"/>
      <c r="H1305" s="16"/>
      <c r="I1305" s="16"/>
      <c r="J1305" s="16"/>
      <c r="K1305" s="16"/>
      <c r="L1305" s="16"/>
      <c r="M1305" s="16"/>
      <c r="N1305" s="16"/>
      <c r="O1305" s="16"/>
      <c r="P1305" s="16"/>
      <c r="Q1305" s="16"/>
      <c r="R1305" s="16"/>
      <c r="S1305" s="16"/>
      <c r="T1305" s="16"/>
      <c r="U1305" s="16"/>
      <c r="V1305" s="16"/>
      <c r="W1305" s="16"/>
      <c r="X1305" s="16"/>
      <c r="Y1305" s="16"/>
      <c r="Z1305" s="16"/>
      <c r="AA1305" s="16"/>
      <c r="AB1305" s="16"/>
      <c r="AC1305" s="16"/>
      <c r="AD1305" s="16"/>
      <c r="AE1305" s="16"/>
      <c r="AF1305" s="16"/>
      <c r="AG1305" s="16"/>
      <c r="AH1305" s="16" t="b">
        <f>IFERROR(__xludf.DUMMYFUNCTION("""COMPUTED_VALUE"""),FALSE)</f>
        <v>0</v>
      </c>
    </row>
    <row r="1306">
      <c r="A1306" s="16"/>
      <c r="B1306" s="16"/>
      <c r="C1306" s="16"/>
      <c r="D1306" s="16"/>
      <c r="E1306" s="16">
        <f>IFERROR(__xludf.DUMMYFUNCTION("""COMPUTED_VALUE"""),1.0)</f>
        <v>1</v>
      </c>
      <c r="F1306" s="108">
        <f>IFERROR(__xludf.DUMMYFUNCTION("""COMPUTED_VALUE"""),0.0)</f>
        <v>0</v>
      </c>
      <c r="G1306" s="16"/>
      <c r="H1306" s="16"/>
      <c r="I1306" s="16"/>
      <c r="J1306" s="16"/>
      <c r="K1306" s="16"/>
      <c r="L1306" s="16"/>
      <c r="M1306" s="16"/>
      <c r="N1306" s="16"/>
      <c r="O1306" s="16"/>
      <c r="P1306" s="16"/>
      <c r="Q1306" s="16"/>
      <c r="R1306" s="16"/>
      <c r="S1306" s="16"/>
      <c r="T1306" s="16"/>
      <c r="U1306" s="16"/>
      <c r="V1306" s="16"/>
      <c r="W1306" s="16"/>
      <c r="X1306" s="16"/>
      <c r="Y1306" s="16"/>
      <c r="Z1306" s="16"/>
      <c r="AA1306" s="16"/>
      <c r="AB1306" s="16"/>
      <c r="AC1306" s="16"/>
      <c r="AD1306" s="16"/>
      <c r="AE1306" s="16"/>
      <c r="AF1306" s="16"/>
      <c r="AG1306" s="16"/>
      <c r="AH1306" s="16" t="b">
        <f>IFERROR(__xludf.DUMMYFUNCTION("""COMPUTED_VALUE"""),FALSE)</f>
        <v>0</v>
      </c>
    </row>
    <row r="1307">
      <c r="A1307" s="16"/>
      <c r="B1307" s="16"/>
      <c r="C1307" s="16"/>
      <c r="D1307" s="16"/>
      <c r="E1307" s="16">
        <f>IFERROR(__xludf.DUMMYFUNCTION("""COMPUTED_VALUE"""),1.0)</f>
        <v>1</v>
      </c>
      <c r="F1307" s="108">
        <f>IFERROR(__xludf.DUMMYFUNCTION("""COMPUTED_VALUE"""),0.0)</f>
        <v>0</v>
      </c>
      <c r="G1307" s="16"/>
      <c r="H1307" s="16"/>
      <c r="I1307" s="16"/>
      <c r="J1307" s="16"/>
      <c r="K1307" s="16"/>
      <c r="L1307" s="16"/>
      <c r="M1307" s="16"/>
      <c r="N1307" s="16"/>
      <c r="O1307" s="16"/>
      <c r="P1307" s="16"/>
      <c r="Q1307" s="16"/>
      <c r="R1307" s="16"/>
      <c r="S1307" s="16"/>
      <c r="T1307" s="16"/>
      <c r="U1307" s="16"/>
      <c r="V1307" s="16"/>
      <c r="W1307" s="16"/>
      <c r="X1307" s="16"/>
      <c r="Y1307" s="16"/>
      <c r="Z1307" s="16"/>
      <c r="AA1307" s="16"/>
      <c r="AB1307" s="16"/>
      <c r="AC1307" s="16"/>
      <c r="AD1307" s="16"/>
      <c r="AE1307" s="16"/>
      <c r="AF1307" s="16"/>
      <c r="AG1307" s="16"/>
      <c r="AH1307" s="16" t="b">
        <f>IFERROR(__xludf.DUMMYFUNCTION("""COMPUTED_VALUE"""),FALSE)</f>
        <v>0</v>
      </c>
    </row>
    <row r="1308">
      <c r="A1308" s="16"/>
      <c r="B1308" s="16"/>
      <c r="C1308" s="16"/>
      <c r="D1308" s="16"/>
      <c r="E1308" s="16">
        <f>IFERROR(__xludf.DUMMYFUNCTION("""COMPUTED_VALUE"""),1.0)</f>
        <v>1</v>
      </c>
      <c r="F1308" s="108">
        <f>IFERROR(__xludf.DUMMYFUNCTION("""COMPUTED_VALUE"""),0.0)</f>
        <v>0</v>
      </c>
      <c r="G1308" s="16"/>
      <c r="H1308" s="16"/>
      <c r="I1308" s="16"/>
      <c r="J1308" s="16"/>
      <c r="K1308" s="16"/>
      <c r="L1308" s="16"/>
      <c r="M1308" s="16"/>
      <c r="N1308" s="16"/>
      <c r="O1308" s="16"/>
      <c r="P1308" s="16"/>
      <c r="Q1308" s="16"/>
      <c r="R1308" s="16"/>
      <c r="S1308" s="16"/>
      <c r="T1308" s="16"/>
      <c r="U1308" s="16"/>
      <c r="V1308" s="16"/>
      <c r="W1308" s="16"/>
      <c r="X1308" s="16"/>
      <c r="Y1308" s="16"/>
      <c r="Z1308" s="16"/>
      <c r="AA1308" s="16"/>
      <c r="AB1308" s="16"/>
      <c r="AC1308" s="16"/>
      <c r="AD1308" s="16"/>
      <c r="AE1308" s="16"/>
      <c r="AF1308" s="16"/>
      <c r="AG1308" s="16"/>
      <c r="AH1308" s="16" t="b">
        <f>IFERROR(__xludf.DUMMYFUNCTION("""COMPUTED_VALUE"""),FALSE)</f>
        <v>0</v>
      </c>
    </row>
    <row r="1309">
      <c r="A1309" s="16"/>
      <c r="B1309" s="16"/>
      <c r="C1309" s="16"/>
      <c r="D1309" s="16"/>
      <c r="E1309" s="16">
        <f>IFERROR(__xludf.DUMMYFUNCTION("""COMPUTED_VALUE"""),1.0)</f>
        <v>1</v>
      </c>
      <c r="F1309" s="108">
        <f>IFERROR(__xludf.DUMMYFUNCTION("""COMPUTED_VALUE"""),0.0)</f>
        <v>0</v>
      </c>
      <c r="G1309" s="16"/>
      <c r="H1309" s="16"/>
      <c r="I1309" s="16"/>
      <c r="J1309" s="16"/>
      <c r="K1309" s="16"/>
      <c r="L1309" s="16"/>
      <c r="M1309" s="16"/>
      <c r="N1309" s="16"/>
      <c r="O1309" s="16"/>
      <c r="P1309" s="16"/>
      <c r="Q1309" s="16"/>
      <c r="R1309" s="16"/>
      <c r="S1309" s="16"/>
      <c r="T1309" s="16"/>
      <c r="U1309" s="16"/>
      <c r="V1309" s="16"/>
      <c r="W1309" s="16"/>
      <c r="X1309" s="16"/>
      <c r="Y1309" s="16"/>
      <c r="Z1309" s="16"/>
      <c r="AA1309" s="16"/>
      <c r="AB1309" s="16"/>
      <c r="AC1309" s="16"/>
      <c r="AD1309" s="16"/>
      <c r="AE1309" s="16"/>
      <c r="AF1309" s="16"/>
      <c r="AG1309" s="16"/>
      <c r="AH1309" s="16" t="b">
        <f>IFERROR(__xludf.DUMMYFUNCTION("""COMPUTED_VALUE"""),FALSE)</f>
        <v>0</v>
      </c>
    </row>
    <row r="1310">
      <c r="A1310" s="16"/>
      <c r="B1310" s="16"/>
      <c r="C1310" s="16"/>
      <c r="D1310" s="16"/>
      <c r="E1310" s="16">
        <f>IFERROR(__xludf.DUMMYFUNCTION("""COMPUTED_VALUE"""),1.0)</f>
        <v>1</v>
      </c>
      <c r="F1310" s="108">
        <f>IFERROR(__xludf.DUMMYFUNCTION("""COMPUTED_VALUE"""),0.0)</f>
        <v>0</v>
      </c>
      <c r="G1310" s="16"/>
      <c r="H1310" s="16"/>
      <c r="I1310" s="16"/>
      <c r="J1310" s="16"/>
      <c r="K1310" s="16"/>
      <c r="L1310" s="16"/>
      <c r="M1310" s="16"/>
      <c r="N1310" s="16"/>
      <c r="O1310" s="16"/>
      <c r="P1310" s="16"/>
      <c r="Q1310" s="16"/>
      <c r="R1310" s="16"/>
      <c r="S1310" s="16"/>
      <c r="T1310" s="16"/>
      <c r="U1310" s="16"/>
      <c r="V1310" s="16"/>
      <c r="W1310" s="16"/>
      <c r="X1310" s="16"/>
      <c r="Y1310" s="16"/>
      <c r="Z1310" s="16"/>
      <c r="AA1310" s="16"/>
      <c r="AB1310" s="16"/>
      <c r="AC1310" s="16"/>
      <c r="AD1310" s="16"/>
      <c r="AE1310" s="16"/>
      <c r="AF1310" s="16"/>
      <c r="AG1310" s="16"/>
      <c r="AH1310" s="16" t="b">
        <f>IFERROR(__xludf.DUMMYFUNCTION("""COMPUTED_VALUE"""),FALSE)</f>
        <v>0</v>
      </c>
    </row>
    <row r="1311">
      <c r="A1311" s="16"/>
      <c r="B1311" s="16"/>
      <c r="C1311" s="16"/>
      <c r="D1311" s="16"/>
      <c r="E1311" s="16">
        <f>IFERROR(__xludf.DUMMYFUNCTION("""COMPUTED_VALUE"""),1.0)</f>
        <v>1</v>
      </c>
      <c r="F1311" s="108">
        <f>IFERROR(__xludf.DUMMYFUNCTION("""COMPUTED_VALUE"""),0.0)</f>
        <v>0</v>
      </c>
      <c r="G1311" s="16"/>
      <c r="H1311" s="16"/>
      <c r="I1311" s="16"/>
      <c r="J1311" s="16"/>
      <c r="K1311" s="16"/>
      <c r="L1311" s="16"/>
      <c r="M1311" s="16"/>
      <c r="N1311" s="16"/>
      <c r="O1311" s="16"/>
      <c r="P1311" s="16"/>
      <c r="Q1311" s="16"/>
      <c r="R1311" s="16"/>
      <c r="S1311" s="16"/>
      <c r="T1311" s="16"/>
      <c r="U1311" s="16"/>
      <c r="V1311" s="16"/>
      <c r="W1311" s="16"/>
      <c r="X1311" s="16"/>
      <c r="Y1311" s="16"/>
      <c r="Z1311" s="16"/>
      <c r="AA1311" s="16"/>
      <c r="AB1311" s="16"/>
      <c r="AC1311" s="16"/>
      <c r="AD1311" s="16"/>
      <c r="AE1311" s="16"/>
      <c r="AF1311" s="16"/>
      <c r="AG1311" s="16"/>
      <c r="AH1311" s="16" t="b">
        <f>IFERROR(__xludf.DUMMYFUNCTION("""COMPUTED_VALUE"""),FALSE)</f>
        <v>0</v>
      </c>
    </row>
    <row r="1312">
      <c r="A1312" s="16"/>
      <c r="B1312" s="16"/>
      <c r="C1312" s="16"/>
      <c r="D1312" s="16"/>
      <c r="E1312" s="16">
        <f>IFERROR(__xludf.DUMMYFUNCTION("""COMPUTED_VALUE"""),1.0)</f>
        <v>1</v>
      </c>
      <c r="F1312" s="108">
        <f>IFERROR(__xludf.DUMMYFUNCTION("""COMPUTED_VALUE"""),0.0)</f>
        <v>0</v>
      </c>
      <c r="G1312" s="16"/>
      <c r="H1312" s="16"/>
      <c r="I1312" s="16"/>
      <c r="J1312" s="16"/>
      <c r="K1312" s="16"/>
      <c r="L1312" s="16"/>
      <c r="M1312" s="16"/>
      <c r="N1312" s="16"/>
      <c r="O1312" s="16"/>
      <c r="P1312" s="16"/>
      <c r="Q1312" s="16"/>
      <c r="R1312" s="16"/>
      <c r="S1312" s="16"/>
      <c r="T1312" s="16"/>
      <c r="U1312" s="16"/>
      <c r="V1312" s="16"/>
      <c r="W1312" s="16"/>
      <c r="X1312" s="16"/>
      <c r="Y1312" s="16"/>
      <c r="Z1312" s="16"/>
      <c r="AA1312" s="16"/>
      <c r="AB1312" s="16"/>
      <c r="AC1312" s="16"/>
      <c r="AD1312" s="16"/>
      <c r="AE1312" s="16"/>
      <c r="AF1312" s="16"/>
      <c r="AG1312" s="16"/>
      <c r="AH1312" s="16" t="b">
        <f>IFERROR(__xludf.DUMMYFUNCTION("""COMPUTED_VALUE"""),FALSE)</f>
        <v>0</v>
      </c>
    </row>
    <row r="1313">
      <c r="A1313" s="16"/>
      <c r="B1313" s="16"/>
      <c r="C1313" s="16"/>
      <c r="D1313" s="16"/>
      <c r="E1313" s="16">
        <f>IFERROR(__xludf.DUMMYFUNCTION("""COMPUTED_VALUE"""),1.0)</f>
        <v>1</v>
      </c>
      <c r="F1313" s="108">
        <f>IFERROR(__xludf.DUMMYFUNCTION("""COMPUTED_VALUE"""),0.0)</f>
        <v>0</v>
      </c>
      <c r="G1313" s="16"/>
      <c r="H1313" s="16"/>
      <c r="I1313" s="16"/>
      <c r="J1313" s="16"/>
      <c r="K1313" s="16"/>
      <c r="L1313" s="16"/>
      <c r="M1313" s="16"/>
      <c r="N1313" s="16"/>
      <c r="O1313" s="16"/>
      <c r="P1313" s="16"/>
      <c r="Q1313" s="16"/>
      <c r="R1313" s="16"/>
      <c r="S1313" s="16"/>
      <c r="T1313" s="16"/>
      <c r="U1313" s="16"/>
      <c r="V1313" s="16"/>
      <c r="W1313" s="16"/>
      <c r="X1313" s="16"/>
      <c r="Y1313" s="16"/>
      <c r="Z1313" s="16"/>
      <c r="AA1313" s="16"/>
      <c r="AB1313" s="16"/>
      <c r="AC1313" s="16"/>
      <c r="AD1313" s="16"/>
      <c r="AE1313" s="16"/>
      <c r="AF1313" s="16"/>
      <c r="AG1313" s="16"/>
      <c r="AH1313" s="16" t="b">
        <f>IFERROR(__xludf.DUMMYFUNCTION("""COMPUTED_VALUE"""),FALSE)</f>
        <v>0</v>
      </c>
    </row>
    <row r="1314">
      <c r="A1314" s="16"/>
      <c r="B1314" s="16"/>
      <c r="C1314" s="16"/>
      <c r="D1314" s="16"/>
      <c r="E1314" s="16">
        <f>IFERROR(__xludf.DUMMYFUNCTION("""COMPUTED_VALUE"""),1.0)</f>
        <v>1</v>
      </c>
      <c r="F1314" s="108">
        <f>IFERROR(__xludf.DUMMYFUNCTION("""COMPUTED_VALUE"""),0.0)</f>
        <v>0</v>
      </c>
      <c r="G1314" s="16"/>
      <c r="H1314" s="16"/>
      <c r="I1314" s="16"/>
      <c r="J1314" s="16"/>
      <c r="K1314" s="16"/>
      <c r="L1314" s="16"/>
      <c r="M1314" s="16"/>
      <c r="N1314" s="16"/>
      <c r="O1314" s="16"/>
      <c r="P1314" s="16"/>
      <c r="Q1314" s="16"/>
      <c r="R1314" s="16"/>
      <c r="S1314" s="16"/>
      <c r="T1314" s="16"/>
      <c r="U1314" s="16"/>
      <c r="V1314" s="16"/>
      <c r="W1314" s="16"/>
      <c r="X1314" s="16"/>
      <c r="Y1314" s="16"/>
      <c r="Z1314" s="16"/>
      <c r="AA1314" s="16"/>
      <c r="AB1314" s="16"/>
      <c r="AC1314" s="16"/>
      <c r="AD1314" s="16"/>
      <c r="AE1314" s="16"/>
      <c r="AF1314" s="16"/>
      <c r="AG1314" s="16"/>
      <c r="AH1314" s="16" t="b">
        <f>IFERROR(__xludf.DUMMYFUNCTION("""COMPUTED_VALUE"""),FALSE)</f>
        <v>0</v>
      </c>
    </row>
    <row r="1315">
      <c r="A1315" s="16"/>
      <c r="B1315" s="16"/>
      <c r="C1315" s="16"/>
      <c r="D1315" s="16"/>
      <c r="E1315" s="16">
        <f>IFERROR(__xludf.DUMMYFUNCTION("""COMPUTED_VALUE"""),1.0)</f>
        <v>1</v>
      </c>
      <c r="F1315" s="108">
        <f>IFERROR(__xludf.DUMMYFUNCTION("""COMPUTED_VALUE"""),0.0)</f>
        <v>0</v>
      </c>
      <c r="G1315" s="16"/>
      <c r="H1315" s="16"/>
      <c r="I1315" s="16"/>
      <c r="J1315" s="16"/>
      <c r="K1315" s="16"/>
      <c r="L1315" s="16"/>
      <c r="M1315" s="16"/>
      <c r="N1315" s="16"/>
      <c r="O1315" s="16"/>
      <c r="P1315" s="16"/>
      <c r="Q1315" s="16"/>
      <c r="R1315" s="16"/>
      <c r="S1315" s="16"/>
      <c r="T1315" s="16"/>
      <c r="U1315" s="16"/>
      <c r="V1315" s="16"/>
      <c r="W1315" s="16"/>
      <c r="X1315" s="16"/>
      <c r="Y1315" s="16"/>
      <c r="Z1315" s="16"/>
      <c r="AA1315" s="16"/>
      <c r="AB1315" s="16"/>
      <c r="AC1315" s="16"/>
      <c r="AD1315" s="16"/>
      <c r="AE1315" s="16"/>
      <c r="AF1315" s="16"/>
      <c r="AG1315" s="16"/>
      <c r="AH1315" s="16" t="b">
        <f>IFERROR(__xludf.DUMMYFUNCTION("""COMPUTED_VALUE"""),FALSE)</f>
        <v>0</v>
      </c>
    </row>
    <row r="1316">
      <c r="A1316" s="16"/>
      <c r="B1316" s="16"/>
      <c r="C1316" s="16"/>
      <c r="D1316" s="16"/>
      <c r="E1316" s="16">
        <f>IFERROR(__xludf.DUMMYFUNCTION("""COMPUTED_VALUE"""),1.0)</f>
        <v>1</v>
      </c>
      <c r="F1316" s="108">
        <f>IFERROR(__xludf.DUMMYFUNCTION("""COMPUTED_VALUE"""),0.0)</f>
        <v>0</v>
      </c>
      <c r="G1316" s="16"/>
      <c r="H1316" s="16"/>
      <c r="I1316" s="16"/>
      <c r="J1316" s="16"/>
      <c r="K1316" s="16"/>
      <c r="L1316" s="16"/>
      <c r="M1316" s="16"/>
      <c r="N1316" s="16"/>
      <c r="O1316" s="16"/>
      <c r="P1316" s="16"/>
      <c r="Q1316" s="16"/>
      <c r="R1316" s="16"/>
      <c r="S1316" s="16"/>
      <c r="T1316" s="16"/>
      <c r="U1316" s="16"/>
      <c r="V1316" s="16"/>
      <c r="W1316" s="16"/>
      <c r="X1316" s="16"/>
      <c r="Y1316" s="16"/>
      <c r="Z1316" s="16"/>
      <c r="AA1316" s="16"/>
      <c r="AB1316" s="16"/>
      <c r="AC1316" s="16"/>
      <c r="AD1316" s="16"/>
      <c r="AE1316" s="16"/>
      <c r="AF1316" s="16"/>
      <c r="AG1316" s="16"/>
      <c r="AH1316" s="16" t="b">
        <f>IFERROR(__xludf.DUMMYFUNCTION("""COMPUTED_VALUE"""),FALSE)</f>
        <v>0</v>
      </c>
    </row>
    <row r="1317">
      <c r="A1317" s="16"/>
      <c r="B1317" s="16"/>
      <c r="C1317" s="16"/>
      <c r="D1317" s="16"/>
      <c r="E1317" s="16">
        <f>IFERROR(__xludf.DUMMYFUNCTION("""COMPUTED_VALUE"""),1.0)</f>
        <v>1</v>
      </c>
      <c r="F1317" s="108">
        <f>IFERROR(__xludf.DUMMYFUNCTION("""COMPUTED_VALUE"""),0.0)</f>
        <v>0</v>
      </c>
      <c r="G1317" s="16"/>
      <c r="H1317" s="16"/>
      <c r="I1317" s="16"/>
      <c r="J1317" s="16"/>
      <c r="K1317" s="16"/>
      <c r="L1317" s="16"/>
      <c r="M1317" s="16"/>
      <c r="N1317" s="16"/>
      <c r="O1317" s="16"/>
      <c r="P1317" s="16"/>
      <c r="Q1317" s="16"/>
      <c r="R1317" s="16"/>
      <c r="S1317" s="16"/>
      <c r="T1317" s="16"/>
      <c r="U1317" s="16"/>
      <c r="V1317" s="16"/>
      <c r="W1317" s="16"/>
      <c r="X1317" s="16"/>
      <c r="Y1317" s="16"/>
      <c r="Z1317" s="16"/>
      <c r="AA1317" s="16"/>
      <c r="AB1317" s="16"/>
      <c r="AC1317" s="16"/>
      <c r="AD1317" s="16"/>
      <c r="AE1317" s="16"/>
      <c r="AF1317" s="16"/>
      <c r="AG1317" s="16"/>
      <c r="AH1317" s="16" t="b">
        <f>IFERROR(__xludf.DUMMYFUNCTION("""COMPUTED_VALUE"""),FALSE)</f>
        <v>0</v>
      </c>
    </row>
    <row r="1318">
      <c r="A1318" s="16"/>
      <c r="B1318" s="16"/>
      <c r="C1318" s="16"/>
      <c r="D1318" s="16"/>
      <c r="E1318" s="16">
        <f>IFERROR(__xludf.DUMMYFUNCTION("""COMPUTED_VALUE"""),1.0)</f>
        <v>1</v>
      </c>
      <c r="F1318" s="108">
        <f>IFERROR(__xludf.DUMMYFUNCTION("""COMPUTED_VALUE"""),0.0)</f>
        <v>0</v>
      </c>
      <c r="G1318" s="16"/>
      <c r="H1318" s="16"/>
      <c r="I1318" s="16"/>
      <c r="J1318" s="16"/>
      <c r="K1318" s="16"/>
      <c r="L1318" s="16"/>
      <c r="M1318" s="16"/>
      <c r="N1318" s="16"/>
      <c r="O1318" s="16"/>
      <c r="P1318" s="16"/>
      <c r="Q1318" s="16"/>
      <c r="R1318" s="16"/>
      <c r="S1318" s="16"/>
      <c r="T1318" s="16"/>
      <c r="U1318" s="16"/>
      <c r="V1318" s="16"/>
      <c r="W1318" s="16"/>
      <c r="X1318" s="16"/>
      <c r="Y1318" s="16"/>
      <c r="Z1318" s="16"/>
      <c r="AA1318" s="16"/>
      <c r="AB1318" s="16"/>
      <c r="AC1318" s="16"/>
      <c r="AD1318" s="16"/>
      <c r="AE1318" s="16"/>
      <c r="AF1318" s="16"/>
      <c r="AG1318" s="16"/>
      <c r="AH1318" s="16" t="b">
        <f>IFERROR(__xludf.DUMMYFUNCTION("""COMPUTED_VALUE"""),FALSE)</f>
        <v>0</v>
      </c>
    </row>
    <row r="1319">
      <c r="A1319" s="16"/>
      <c r="B1319" s="16"/>
      <c r="C1319" s="16"/>
      <c r="D1319" s="16"/>
      <c r="E1319" s="16">
        <f>IFERROR(__xludf.DUMMYFUNCTION("""COMPUTED_VALUE"""),1.0)</f>
        <v>1</v>
      </c>
      <c r="F1319" s="108">
        <f>IFERROR(__xludf.DUMMYFUNCTION("""COMPUTED_VALUE"""),0.0)</f>
        <v>0</v>
      </c>
      <c r="G1319" s="16"/>
      <c r="H1319" s="16"/>
      <c r="I1319" s="16"/>
      <c r="J1319" s="16"/>
      <c r="K1319" s="16"/>
      <c r="L1319" s="16"/>
      <c r="M1319" s="16"/>
      <c r="N1319" s="16"/>
      <c r="O1319" s="16"/>
      <c r="P1319" s="16"/>
      <c r="Q1319" s="16"/>
      <c r="R1319" s="16"/>
      <c r="S1319" s="16"/>
      <c r="T1319" s="16"/>
      <c r="U1319" s="16"/>
      <c r="V1319" s="16"/>
      <c r="W1319" s="16"/>
      <c r="X1319" s="16"/>
      <c r="Y1319" s="16"/>
      <c r="Z1319" s="16"/>
      <c r="AA1319" s="16"/>
      <c r="AB1319" s="16"/>
      <c r="AC1319" s="16"/>
      <c r="AD1319" s="16"/>
      <c r="AE1319" s="16"/>
      <c r="AF1319" s="16"/>
      <c r="AG1319" s="16"/>
      <c r="AH1319" s="16" t="b">
        <f>IFERROR(__xludf.DUMMYFUNCTION("""COMPUTED_VALUE"""),FALSE)</f>
        <v>0</v>
      </c>
    </row>
    <row r="1320">
      <c r="A1320" s="16"/>
      <c r="B1320" s="16"/>
      <c r="C1320" s="16"/>
      <c r="D1320" s="16"/>
      <c r="E1320" s="16">
        <f>IFERROR(__xludf.DUMMYFUNCTION("""COMPUTED_VALUE"""),1.0)</f>
        <v>1</v>
      </c>
      <c r="F1320" s="108">
        <f>IFERROR(__xludf.DUMMYFUNCTION("""COMPUTED_VALUE"""),0.0)</f>
        <v>0</v>
      </c>
      <c r="G1320" s="16"/>
      <c r="H1320" s="16"/>
      <c r="I1320" s="16"/>
      <c r="J1320" s="16"/>
      <c r="K1320" s="16"/>
      <c r="L1320" s="16"/>
      <c r="M1320" s="16"/>
      <c r="N1320" s="16"/>
      <c r="O1320" s="16"/>
      <c r="P1320" s="16"/>
      <c r="Q1320" s="16"/>
      <c r="R1320" s="16"/>
      <c r="S1320" s="16"/>
      <c r="T1320" s="16"/>
      <c r="U1320" s="16"/>
      <c r="V1320" s="16"/>
      <c r="W1320" s="16"/>
      <c r="X1320" s="16"/>
      <c r="Y1320" s="16"/>
      <c r="Z1320" s="16"/>
      <c r="AA1320" s="16"/>
      <c r="AB1320" s="16"/>
      <c r="AC1320" s="16"/>
      <c r="AD1320" s="16"/>
      <c r="AE1320" s="16"/>
      <c r="AF1320" s="16"/>
      <c r="AG1320" s="16"/>
      <c r="AH1320" s="16" t="b">
        <f>IFERROR(__xludf.DUMMYFUNCTION("""COMPUTED_VALUE"""),FALSE)</f>
        <v>0</v>
      </c>
    </row>
    <row r="1321">
      <c r="A1321" s="16"/>
      <c r="B1321" s="16"/>
      <c r="C1321" s="16"/>
      <c r="D1321" s="16"/>
      <c r="E1321" s="16">
        <f>IFERROR(__xludf.DUMMYFUNCTION("""COMPUTED_VALUE"""),1.0)</f>
        <v>1</v>
      </c>
      <c r="F1321" s="108">
        <f>IFERROR(__xludf.DUMMYFUNCTION("""COMPUTED_VALUE"""),0.0)</f>
        <v>0</v>
      </c>
      <c r="G1321" s="16"/>
      <c r="H1321" s="16"/>
      <c r="I1321" s="16"/>
      <c r="J1321" s="16"/>
      <c r="K1321" s="16"/>
      <c r="L1321" s="16"/>
      <c r="M1321" s="16"/>
      <c r="N1321" s="16"/>
      <c r="O1321" s="16"/>
      <c r="P1321" s="16"/>
      <c r="Q1321" s="16"/>
      <c r="R1321" s="16"/>
      <c r="S1321" s="16"/>
      <c r="T1321" s="16"/>
      <c r="U1321" s="16"/>
      <c r="V1321" s="16"/>
      <c r="W1321" s="16"/>
      <c r="X1321" s="16"/>
      <c r="Y1321" s="16"/>
      <c r="Z1321" s="16"/>
      <c r="AA1321" s="16"/>
      <c r="AB1321" s="16"/>
      <c r="AC1321" s="16"/>
      <c r="AD1321" s="16"/>
      <c r="AE1321" s="16"/>
      <c r="AF1321" s="16"/>
      <c r="AG1321" s="16"/>
      <c r="AH1321" s="16" t="b">
        <f>IFERROR(__xludf.DUMMYFUNCTION("""COMPUTED_VALUE"""),FALSE)</f>
        <v>0</v>
      </c>
    </row>
    <row r="1322">
      <c r="A1322" s="16"/>
      <c r="B1322" s="16"/>
      <c r="C1322" s="16"/>
      <c r="D1322" s="16"/>
      <c r="E1322" s="16">
        <f>IFERROR(__xludf.DUMMYFUNCTION("""COMPUTED_VALUE"""),1.0)</f>
        <v>1</v>
      </c>
      <c r="F1322" s="108">
        <f>IFERROR(__xludf.DUMMYFUNCTION("""COMPUTED_VALUE"""),0.0)</f>
        <v>0</v>
      </c>
      <c r="G1322" s="16"/>
      <c r="H1322" s="16"/>
      <c r="I1322" s="16"/>
      <c r="J1322" s="16"/>
      <c r="K1322" s="16"/>
      <c r="L1322" s="16"/>
      <c r="M1322" s="16"/>
      <c r="N1322" s="16"/>
      <c r="O1322" s="16"/>
      <c r="P1322" s="16"/>
      <c r="Q1322" s="16"/>
      <c r="R1322" s="16"/>
      <c r="S1322" s="16"/>
      <c r="T1322" s="16"/>
      <c r="U1322" s="16"/>
      <c r="V1322" s="16"/>
      <c r="W1322" s="16"/>
      <c r="X1322" s="16"/>
      <c r="Y1322" s="16"/>
      <c r="Z1322" s="16"/>
      <c r="AA1322" s="16"/>
      <c r="AB1322" s="16"/>
      <c r="AC1322" s="16"/>
      <c r="AD1322" s="16"/>
      <c r="AE1322" s="16"/>
      <c r="AF1322" s="16"/>
      <c r="AG1322" s="16"/>
      <c r="AH1322" s="16" t="b">
        <f>IFERROR(__xludf.DUMMYFUNCTION("""COMPUTED_VALUE"""),FALSE)</f>
        <v>0</v>
      </c>
    </row>
    <row r="1323">
      <c r="A1323" s="16"/>
      <c r="B1323" s="16"/>
      <c r="C1323" s="16"/>
      <c r="D1323" s="16"/>
      <c r="E1323" s="16">
        <f>IFERROR(__xludf.DUMMYFUNCTION("""COMPUTED_VALUE"""),1.0)</f>
        <v>1</v>
      </c>
      <c r="F1323" s="108">
        <f>IFERROR(__xludf.DUMMYFUNCTION("""COMPUTED_VALUE"""),0.0)</f>
        <v>0</v>
      </c>
      <c r="G1323" s="16"/>
      <c r="H1323" s="16"/>
      <c r="I1323" s="16"/>
      <c r="J1323" s="16"/>
      <c r="K1323" s="16"/>
      <c r="L1323" s="16"/>
      <c r="M1323" s="16"/>
      <c r="N1323" s="16"/>
      <c r="O1323" s="16"/>
      <c r="P1323" s="16"/>
      <c r="Q1323" s="16"/>
      <c r="R1323" s="16"/>
      <c r="S1323" s="16"/>
      <c r="T1323" s="16"/>
      <c r="U1323" s="16"/>
      <c r="V1323" s="16"/>
      <c r="W1323" s="16"/>
      <c r="X1323" s="16"/>
      <c r="Y1323" s="16"/>
      <c r="Z1323" s="16"/>
      <c r="AA1323" s="16"/>
      <c r="AB1323" s="16"/>
      <c r="AC1323" s="16"/>
      <c r="AD1323" s="16"/>
      <c r="AE1323" s="16"/>
      <c r="AF1323" s="16"/>
      <c r="AG1323" s="16"/>
      <c r="AH1323" s="16" t="b">
        <f>IFERROR(__xludf.DUMMYFUNCTION("""COMPUTED_VALUE"""),FALSE)</f>
        <v>0</v>
      </c>
    </row>
    <row r="1324">
      <c r="A1324" s="16"/>
      <c r="B1324" s="16"/>
      <c r="C1324" s="16"/>
      <c r="D1324" s="16"/>
      <c r="E1324" s="16">
        <f>IFERROR(__xludf.DUMMYFUNCTION("""COMPUTED_VALUE"""),1.0)</f>
        <v>1</v>
      </c>
      <c r="F1324" s="108">
        <f>IFERROR(__xludf.DUMMYFUNCTION("""COMPUTED_VALUE"""),0.0)</f>
        <v>0</v>
      </c>
      <c r="G1324" s="16"/>
      <c r="H1324" s="16"/>
      <c r="I1324" s="16"/>
      <c r="J1324" s="16"/>
      <c r="K1324" s="16"/>
      <c r="L1324" s="16"/>
      <c r="M1324" s="16"/>
      <c r="N1324" s="16"/>
      <c r="O1324" s="16"/>
      <c r="P1324" s="16"/>
      <c r="Q1324" s="16"/>
      <c r="R1324" s="16"/>
      <c r="S1324" s="16"/>
      <c r="T1324" s="16"/>
      <c r="U1324" s="16"/>
      <c r="V1324" s="16"/>
      <c r="W1324" s="16"/>
      <c r="X1324" s="16"/>
      <c r="Y1324" s="16"/>
      <c r="Z1324" s="16"/>
      <c r="AA1324" s="16"/>
      <c r="AB1324" s="16"/>
      <c r="AC1324" s="16"/>
      <c r="AD1324" s="16"/>
      <c r="AE1324" s="16"/>
      <c r="AF1324" s="16"/>
      <c r="AG1324" s="16"/>
      <c r="AH1324" s="16" t="b">
        <f>IFERROR(__xludf.DUMMYFUNCTION("""COMPUTED_VALUE"""),FALSE)</f>
        <v>0</v>
      </c>
    </row>
    <row r="1325">
      <c r="A1325" s="16"/>
      <c r="B1325" s="16"/>
      <c r="C1325" s="16"/>
      <c r="D1325" s="16"/>
      <c r="E1325" s="16">
        <f>IFERROR(__xludf.DUMMYFUNCTION("""COMPUTED_VALUE"""),1.0)</f>
        <v>1</v>
      </c>
      <c r="F1325" s="108">
        <f>IFERROR(__xludf.DUMMYFUNCTION("""COMPUTED_VALUE"""),0.0)</f>
        <v>0</v>
      </c>
      <c r="G1325" s="16"/>
      <c r="H1325" s="16"/>
      <c r="I1325" s="16"/>
      <c r="J1325" s="16"/>
      <c r="K1325" s="16"/>
      <c r="L1325" s="16"/>
      <c r="M1325" s="16"/>
      <c r="N1325" s="16"/>
      <c r="O1325" s="16"/>
      <c r="P1325" s="16"/>
      <c r="Q1325" s="16"/>
      <c r="R1325" s="16"/>
      <c r="S1325" s="16"/>
      <c r="T1325" s="16"/>
      <c r="U1325" s="16"/>
      <c r="V1325" s="16"/>
      <c r="W1325" s="16"/>
      <c r="X1325" s="16"/>
      <c r="Y1325" s="16"/>
      <c r="Z1325" s="16"/>
      <c r="AA1325" s="16"/>
      <c r="AB1325" s="16"/>
      <c r="AC1325" s="16"/>
      <c r="AD1325" s="16"/>
      <c r="AE1325" s="16"/>
      <c r="AF1325" s="16"/>
      <c r="AG1325" s="16"/>
      <c r="AH1325" s="16" t="b">
        <f>IFERROR(__xludf.DUMMYFUNCTION("""COMPUTED_VALUE"""),FALSE)</f>
        <v>0</v>
      </c>
    </row>
    <row r="1326">
      <c r="A1326" s="16"/>
      <c r="B1326" s="16"/>
      <c r="C1326" s="16"/>
      <c r="D1326" s="16"/>
      <c r="E1326" s="16">
        <f>IFERROR(__xludf.DUMMYFUNCTION("""COMPUTED_VALUE"""),1.0)</f>
        <v>1</v>
      </c>
      <c r="F1326" s="108">
        <f>IFERROR(__xludf.DUMMYFUNCTION("""COMPUTED_VALUE"""),0.0)</f>
        <v>0</v>
      </c>
      <c r="G1326" s="16"/>
      <c r="H1326" s="16"/>
      <c r="I1326" s="16"/>
      <c r="J1326" s="16"/>
      <c r="K1326" s="16"/>
      <c r="L1326" s="16"/>
      <c r="M1326" s="16"/>
      <c r="N1326" s="16"/>
      <c r="O1326" s="16"/>
      <c r="P1326" s="16"/>
      <c r="Q1326" s="16"/>
      <c r="R1326" s="16"/>
      <c r="S1326" s="16"/>
      <c r="T1326" s="16"/>
      <c r="U1326" s="16"/>
      <c r="V1326" s="16"/>
      <c r="W1326" s="16"/>
      <c r="X1326" s="16"/>
      <c r="Y1326" s="16"/>
      <c r="Z1326" s="16"/>
      <c r="AA1326" s="16"/>
      <c r="AB1326" s="16"/>
      <c r="AC1326" s="16"/>
      <c r="AD1326" s="16"/>
      <c r="AE1326" s="16"/>
      <c r="AF1326" s="16"/>
      <c r="AG1326" s="16"/>
      <c r="AH1326" s="16" t="b">
        <f>IFERROR(__xludf.DUMMYFUNCTION("""COMPUTED_VALUE"""),FALSE)</f>
        <v>0</v>
      </c>
    </row>
    <row r="1327">
      <c r="A1327" s="16"/>
      <c r="B1327" s="16"/>
      <c r="C1327" s="16"/>
      <c r="D1327" s="16"/>
      <c r="E1327" s="16">
        <f>IFERROR(__xludf.DUMMYFUNCTION("""COMPUTED_VALUE"""),1.0)</f>
        <v>1</v>
      </c>
      <c r="F1327" s="108">
        <f>IFERROR(__xludf.DUMMYFUNCTION("""COMPUTED_VALUE"""),0.0)</f>
        <v>0</v>
      </c>
      <c r="G1327" s="16"/>
      <c r="H1327" s="16"/>
      <c r="I1327" s="16"/>
      <c r="J1327" s="16"/>
      <c r="K1327" s="16"/>
      <c r="L1327" s="16"/>
      <c r="M1327" s="16"/>
      <c r="N1327" s="16"/>
      <c r="O1327" s="16"/>
      <c r="P1327" s="16"/>
      <c r="Q1327" s="16"/>
      <c r="R1327" s="16"/>
      <c r="S1327" s="16"/>
      <c r="T1327" s="16"/>
      <c r="U1327" s="16"/>
      <c r="V1327" s="16"/>
      <c r="W1327" s="16"/>
      <c r="X1327" s="16"/>
      <c r="Y1327" s="16"/>
      <c r="Z1327" s="16"/>
      <c r="AA1327" s="16"/>
      <c r="AB1327" s="16"/>
      <c r="AC1327" s="16"/>
      <c r="AD1327" s="16"/>
      <c r="AE1327" s="16"/>
      <c r="AF1327" s="16"/>
      <c r="AG1327" s="16"/>
      <c r="AH1327" s="16" t="b">
        <f>IFERROR(__xludf.DUMMYFUNCTION("""COMPUTED_VALUE"""),FALSE)</f>
        <v>0</v>
      </c>
    </row>
    <row r="1328">
      <c r="A1328" s="16"/>
      <c r="B1328" s="16"/>
      <c r="C1328" s="16"/>
      <c r="D1328" s="16"/>
      <c r="E1328" s="16">
        <f>IFERROR(__xludf.DUMMYFUNCTION("""COMPUTED_VALUE"""),1.0)</f>
        <v>1</v>
      </c>
      <c r="F1328" s="108">
        <f>IFERROR(__xludf.DUMMYFUNCTION("""COMPUTED_VALUE"""),0.0)</f>
        <v>0</v>
      </c>
      <c r="G1328" s="16"/>
      <c r="H1328" s="16"/>
      <c r="I1328" s="16"/>
      <c r="J1328" s="16"/>
      <c r="K1328" s="16"/>
      <c r="L1328" s="16"/>
      <c r="M1328" s="16"/>
      <c r="N1328" s="16"/>
      <c r="O1328" s="16"/>
      <c r="P1328" s="16"/>
      <c r="Q1328" s="16"/>
      <c r="R1328" s="16"/>
      <c r="S1328" s="16"/>
      <c r="T1328" s="16"/>
      <c r="U1328" s="16"/>
      <c r="V1328" s="16"/>
      <c r="W1328" s="16"/>
      <c r="X1328" s="16"/>
      <c r="Y1328" s="16"/>
      <c r="Z1328" s="16"/>
      <c r="AA1328" s="16"/>
      <c r="AB1328" s="16"/>
      <c r="AC1328" s="16"/>
      <c r="AD1328" s="16"/>
      <c r="AE1328" s="16"/>
      <c r="AF1328" s="16"/>
      <c r="AG1328" s="16"/>
      <c r="AH1328" s="16" t="b">
        <f>IFERROR(__xludf.DUMMYFUNCTION("""COMPUTED_VALUE"""),FALSE)</f>
        <v>0</v>
      </c>
    </row>
    <row r="1329">
      <c r="A1329" s="16"/>
      <c r="B1329" s="16"/>
      <c r="C1329" s="16"/>
      <c r="D1329" s="16"/>
      <c r="E1329" s="16">
        <f>IFERROR(__xludf.DUMMYFUNCTION("""COMPUTED_VALUE"""),1.0)</f>
        <v>1</v>
      </c>
      <c r="F1329" s="108">
        <f>IFERROR(__xludf.DUMMYFUNCTION("""COMPUTED_VALUE"""),0.0)</f>
        <v>0</v>
      </c>
      <c r="G1329" s="16"/>
      <c r="H1329" s="16"/>
      <c r="I1329" s="16"/>
      <c r="J1329" s="16"/>
      <c r="K1329" s="16"/>
      <c r="L1329" s="16"/>
      <c r="M1329" s="16"/>
      <c r="N1329" s="16"/>
      <c r="O1329" s="16"/>
      <c r="P1329" s="16"/>
      <c r="Q1329" s="16"/>
      <c r="R1329" s="16"/>
      <c r="S1329" s="16"/>
      <c r="T1329" s="16"/>
      <c r="U1329" s="16"/>
      <c r="V1329" s="16"/>
      <c r="W1329" s="16"/>
      <c r="X1329" s="16"/>
      <c r="Y1329" s="16"/>
      <c r="Z1329" s="16"/>
      <c r="AA1329" s="16"/>
      <c r="AB1329" s="16"/>
      <c r="AC1329" s="16"/>
      <c r="AD1329" s="16"/>
      <c r="AE1329" s="16"/>
      <c r="AF1329" s="16"/>
      <c r="AG1329" s="16"/>
      <c r="AH1329" s="16" t="b">
        <f>IFERROR(__xludf.DUMMYFUNCTION("""COMPUTED_VALUE"""),FALSE)</f>
        <v>0</v>
      </c>
    </row>
    <row r="1330">
      <c r="A1330" s="16"/>
      <c r="B1330" s="16"/>
      <c r="C1330" s="16"/>
      <c r="D1330" s="16"/>
      <c r="E1330" s="16">
        <f>IFERROR(__xludf.DUMMYFUNCTION("""COMPUTED_VALUE"""),1.0)</f>
        <v>1</v>
      </c>
      <c r="F1330" s="108">
        <f>IFERROR(__xludf.DUMMYFUNCTION("""COMPUTED_VALUE"""),0.0)</f>
        <v>0</v>
      </c>
      <c r="G1330" s="16"/>
      <c r="H1330" s="16"/>
      <c r="I1330" s="16"/>
      <c r="J1330" s="16"/>
      <c r="K1330" s="16"/>
      <c r="L1330" s="16"/>
      <c r="M1330" s="16"/>
      <c r="N1330" s="16"/>
      <c r="O1330" s="16"/>
      <c r="P1330" s="16"/>
      <c r="Q1330" s="16"/>
      <c r="R1330" s="16"/>
      <c r="S1330" s="16"/>
      <c r="T1330" s="16"/>
      <c r="U1330" s="16"/>
      <c r="V1330" s="16"/>
      <c r="W1330" s="16"/>
      <c r="X1330" s="16"/>
      <c r="Y1330" s="16"/>
      <c r="Z1330" s="16"/>
      <c r="AA1330" s="16"/>
      <c r="AB1330" s="16"/>
      <c r="AC1330" s="16"/>
      <c r="AD1330" s="16"/>
      <c r="AE1330" s="16"/>
      <c r="AF1330" s="16"/>
      <c r="AG1330" s="16"/>
      <c r="AH1330" s="16" t="b">
        <f>IFERROR(__xludf.DUMMYFUNCTION("""COMPUTED_VALUE"""),FALSE)</f>
        <v>0</v>
      </c>
    </row>
    <row r="1331">
      <c r="A1331" s="16"/>
      <c r="B1331" s="16"/>
      <c r="C1331" s="16"/>
      <c r="D1331" s="16"/>
      <c r="E1331" s="16">
        <f>IFERROR(__xludf.DUMMYFUNCTION("""COMPUTED_VALUE"""),1.0)</f>
        <v>1</v>
      </c>
      <c r="F1331" s="108">
        <f>IFERROR(__xludf.DUMMYFUNCTION("""COMPUTED_VALUE"""),0.0)</f>
        <v>0</v>
      </c>
      <c r="G1331" s="16"/>
      <c r="H1331" s="16"/>
      <c r="I1331" s="16"/>
      <c r="J1331" s="16"/>
      <c r="K1331" s="16"/>
      <c r="L1331" s="16"/>
      <c r="M1331" s="16"/>
      <c r="N1331" s="16"/>
      <c r="O1331" s="16"/>
      <c r="P1331" s="16"/>
      <c r="Q1331" s="16"/>
      <c r="R1331" s="16"/>
      <c r="S1331" s="16"/>
      <c r="T1331" s="16"/>
      <c r="U1331" s="16"/>
      <c r="V1331" s="16"/>
      <c r="W1331" s="16"/>
      <c r="X1331" s="16"/>
      <c r="Y1331" s="16"/>
      <c r="Z1331" s="16"/>
      <c r="AA1331" s="16"/>
      <c r="AB1331" s="16"/>
      <c r="AC1331" s="16"/>
      <c r="AD1331" s="16"/>
      <c r="AE1331" s="16"/>
      <c r="AF1331" s="16"/>
      <c r="AG1331" s="16"/>
      <c r="AH1331" s="16" t="b">
        <f>IFERROR(__xludf.DUMMYFUNCTION("""COMPUTED_VALUE"""),FALSE)</f>
        <v>0</v>
      </c>
    </row>
    <row r="1332">
      <c r="A1332" s="16"/>
      <c r="B1332" s="16"/>
      <c r="C1332" s="16"/>
      <c r="D1332" s="16"/>
      <c r="E1332" s="16">
        <f>IFERROR(__xludf.DUMMYFUNCTION("""COMPUTED_VALUE"""),1.0)</f>
        <v>1</v>
      </c>
      <c r="F1332" s="108">
        <f>IFERROR(__xludf.DUMMYFUNCTION("""COMPUTED_VALUE"""),0.0)</f>
        <v>0</v>
      </c>
      <c r="G1332" s="16"/>
      <c r="H1332" s="16"/>
      <c r="I1332" s="16"/>
      <c r="J1332" s="16"/>
      <c r="K1332" s="16"/>
      <c r="L1332" s="16"/>
      <c r="M1332" s="16"/>
      <c r="N1332" s="16"/>
      <c r="O1332" s="16"/>
      <c r="P1332" s="16"/>
      <c r="Q1332" s="16"/>
      <c r="R1332" s="16"/>
      <c r="S1332" s="16"/>
      <c r="T1332" s="16"/>
      <c r="U1332" s="16"/>
      <c r="V1332" s="16"/>
      <c r="W1332" s="16"/>
      <c r="X1332" s="16"/>
      <c r="Y1332" s="16"/>
      <c r="Z1332" s="16"/>
      <c r="AA1332" s="16"/>
      <c r="AB1332" s="16"/>
      <c r="AC1332" s="16"/>
      <c r="AD1332" s="16"/>
      <c r="AE1332" s="16"/>
      <c r="AF1332" s="16"/>
      <c r="AG1332" s="16"/>
      <c r="AH1332" s="16" t="b">
        <f>IFERROR(__xludf.DUMMYFUNCTION("""COMPUTED_VALUE"""),FALSE)</f>
        <v>0</v>
      </c>
    </row>
    <row r="1333">
      <c r="A1333" s="16"/>
      <c r="B1333" s="16"/>
      <c r="C1333" s="16"/>
      <c r="D1333" s="16"/>
      <c r="E1333" s="16">
        <f>IFERROR(__xludf.DUMMYFUNCTION("""COMPUTED_VALUE"""),1.0)</f>
        <v>1</v>
      </c>
      <c r="F1333" s="108">
        <f>IFERROR(__xludf.DUMMYFUNCTION("""COMPUTED_VALUE"""),0.0)</f>
        <v>0</v>
      </c>
      <c r="G1333" s="16"/>
      <c r="H1333" s="16"/>
      <c r="I1333" s="16"/>
      <c r="J1333" s="16"/>
      <c r="K1333" s="16"/>
      <c r="L1333" s="16"/>
      <c r="M1333" s="16"/>
      <c r="N1333" s="16"/>
      <c r="O1333" s="16"/>
      <c r="P1333" s="16"/>
      <c r="Q1333" s="16"/>
      <c r="R1333" s="16"/>
      <c r="S1333" s="16"/>
      <c r="T1333" s="16"/>
      <c r="U1333" s="16"/>
      <c r="V1333" s="16"/>
      <c r="W1333" s="16"/>
      <c r="X1333" s="16"/>
      <c r="Y1333" s="16"/>
      <c r="Z1333" s="16"/>
      <c r="AA1333" s="16"/>
      <c r="AB1333" s="16"/>
      <c r="AC1333" s="16"/>
      <c r="AD1333" s="16"/>
      <c r="AE1333" s="16"/>
      <c r="AF1333" s="16"/>
      <c r="AG1333" s="16"/>
      <c r="AH1333" s="16" t="b">
        <f>IFERROR(__xludf.DUMMYFUNCTION("""COMPUTED_VALUE"""),FALSE)</f>
        <v>0</v>
      </c>
    </row>
    <row r="1334">
      <c r="A1334" s="16"/>
      <c r="B1334" s="16"/>
      <c r="C1334" s="16"/>
      <c r="D1334" s="16"/>
      <c r="E1334" s="16">
        <f>IFERROR(__xludf.DUMMYFUNCTION("""COMPUTED_VALUE"""),1.0)</f>
        <v>1</v>
      </c>
      <c r="F1334" s="108">
        <f>IFERROR(__xludf.DUMMYFUNCTION("""COMPUTED_VALUE"""),0.0)</f>
        <v>0</v>
      </c>
      <c r="G1334" s="16"/>
      <c r="H1334" s="16"/>
      <c r="I1334" s="16"/>
      <c r="J1334" s="16"/>
      <c r="K1334" s="16"/>
      <c r="L1334" s="16"/>
      <c r="M1334" s="16"/>
      <c r="N1334" s="16"/>
      <c r="O1334" s="16"/>
      <c r="P1334" s="16"/>
      <c r="Q1334" s="16"/>
      <c r="R1334" s="16"/>
      <c r="S1334" s="16"/>
      <c r="T1334" s="16"/>
      <c r="U1334" s="16"/>
      <c r="V1334" s="16"/>
      <c r="W1334" s="16"/>
      <c r="X1334" s="16"/>
      <c r="Y1334" s="16"/>
      <c r="Z1334" s="16"/>
      <c r="AA1334" s="16"/>
      <c r="AB1334" s="16"/>
      <c r="AC1334" s="16"/>
      <c r="AD1334" s="16"/>
      <c r="AE1334" s="16"/>
      <c r="AF1334" s="16"/>
      <c r="AG1334" s="16"/>
      <c r="AH1334" s="16" t="b">
        <f>IFERROR(__xludf.DUMMYFUNCTION("""COMPUTED_VALUE"""),FALSE)</f>
        <v>0</v>
      </c>
    </row>
    <row r="1335">
      <c r="A1335" s="16"/>
      <c r="B1335" s="16"/>
      <c r="C1335" s="16"/>
      <c r="D1335" s="16"/>
      <c r="E1335" s="16">
        <f>IFERROR(__xludf.DUMMYFUNCTION("""COMPUTED_VALUE"""),1.0)</f>
        <v>1</v>
      </c>
      <c r="F1335" s="108">
        <f>IFERROR(__xludf.DUMMYFUNCTION("""COMPUTED_VALUE"""),0.0)</f>
        <v>0</v>
      </c>
      <c r="G1335" s="16"/>
      <c r="H1335" s="16"/>
      <c r="I1335" s="16"/>
      <c r="J1335" s="16"/>
      <c r="K1335" s="16"/>
      <c r="L1335" s="16"/>
      <c r="M1335" s="16"/>
      <c r="N1335" s="16"/>
      <c r="O1335" s="16"/>
      <c r="P1335" s="16"/>
      <c r="Q1335" s="16"/>
      <c r="R1335" s="16"/>
      <c r="S1335" s="16"/>
      <c r="T1335" s="16"/>
      <c r="U1335" s="16"/>
      <c r="V1335" s="16"/>
      <c r="W1335" s="16"/>
      <c r="X1335" s="16"/>
      <c r="Y1335" s="16"/>
      <c r="Z1335" s="16"/>
      <c r="AA1335" s="16"/>
      <c r="AB1335" s="16"/>
      <c r="AC1335" s="16"/>
      <c r="AD1335" s="16"/>
      <c r="AE1335" s="16"/>
      <c r="AF1335" s="16"/>
      <c r="AG1335" s="16"/>
      <c r="AH1335" s="16" t="b">
        <f>IFERROR(__xludf.DUMMYFUNCTION("""COMPUTED_VALUE"""),FALSE)</f>
        <v>0</v>
      </c>
    </row>
    <row r="1336">
      <c r="A1336" s="16"/>
      <c r="B1336" s="16"/>
      <c r="C1336" s="16"/>
      <c r="D1336" s="16"/>
      <c r="E1336" s="16">
        <f>IFERROR(__xludf.DUMMYFUNCTION("""COMPUTED_VALUE"""),1.0)</f>
        <v>1</v>
      </c>
      <c r="F1336" s="108">
        <f>IFERROR(__xludf.DUMMYFUNCTION("""COMPUTED_VALUE"""),0.0)</f>
        <v>0</v>
      </c>
      <c r="G1336" s="16"/>
      <c r="H1336" s="16"/>
      <c r="I1336" s="16"/>
      <c r="J1336" s="16"/>
      <c r="K1336" s="16"/>
      <c r="L1336" s="16"/>
      <c r="M1336" s="16"/>
      <c r="N1336" s="16"/>
      <c r="O1336" s="16"/>
      <c r="P1336" s="16"/>
      <c r="Q1336" s="16"/>
      <c r="R1336" s="16"/>
      <c r="S1336" s="16"/>
      <c r="T1336" s="16"/>
      <c r="U1336" s="16"/>
      <c r="V1336" s="16"/>
      <c r="W1336" s="16"/>
      <c r="X1336" s="16"/>
      <c r="Y1336" s="16"/>
      <c r="Z1336" s="16"/>
      <c r="AA1336" s="16"/>
      <c r="AB1336" s="16"/>
      <c r="AC1336" s="16"/>
      <c r="AD1336" s="16"/>
      <c r="AE1336" s="16"/>
      <c r="AF1336" s="16"/>
      <c r="AG1336" s="16"/>
      <c r="AH1336" s="16" t="b">
        <f>IFERROR(__xludf.DUMMYFUNCTION("""COMPUTED_VALUE"""),FALSE)</f>
        <v>0</v>
      </c>
    </row>
    <row r="1337">
      <c r="A1337" s="16"/>
      <c r="B1337" s="16"/>
      <c r="C1337" s="16"/>
      <c r="D1337" s="16"/>
      <c r="E1337" s="16">
        <f>IFERROR(__xludf.DUMMYFUNCTION("""COMPUTED_VALUE"""),1.0)</f>
        <v>1</v>
      </c>
      <c r="F1337" s="108">
        <f>IFERROR(__xludf.DUMMYFUNCTION("""COMPUTED_VALUE"""),0.0)</f>
        <v>0</v>
      </c>
      <c r="G1337" s="16"/>
      <c r="H1337" s="16"/>
      <c r="I1337" s="16"/>
      <c r="J1337" s="16"/>
      <c r="K1337" s="16"/>
      <c r="L1337" s="16"/>
      <c r="M1337" s="16"/>
      <c r="N1337" s="16"/>
      <c r="O1337" s="16"/>
      <c r="P1337" s="16"/>
      <c r="Q1337" s="16"/>
      <c r="R1337" s="16"/>
      <c r="S1337" s="16"/>
      <c r="T1337" s="16"/>
      <c r="U1337" s="16"/>
      <c r="V1337" s="16"/>
      <c r="W1337" s="16"/>
      <c r="X1337" s="16"/>
      <c r="Y1337" s="16"/>
      <c r="Z1337" s="16"/>
      <c r="AA1337" s="16"/>
      <c r="AB1337" s="16"/>
      <c r="AC1337" s="16"/>
      <c r="AD1337" s="16"/>
      <c r="AE1337" s="16"/>
      <c r="AF1337" s="16"/>
      <c r="AG1337" s="16"/>
      <c r="AH1337" s="16" t="b">
        <f>IFERROR(__xludf.DUMMYFUNCTION("""COMPUTED_VALUE"""),FALSE)</f>
        <v>0</v>
      </c>
    </row>
    <row r="1338">
      <c r="A1338" s="16"/>
      <c r="B1338" s="16"/>
      <c r="C1338" s="16"/>
      <c r="D1338" s="16"/>
      <c r="E1338" s="16">
        <f>IFERROR(__xludf.DUMMYFUNCTION("""COMPUTED_VALUE"""),1.0)</f>
        <v>1</v>
      </c>
      <c r="F1338" s="108">
        <f>IFERROR(__xludf.DUMMYFUNCTION("""COMPUTED_VALUE"""),0.0)</f>
        <v>0</v>
      </c>
      <c r="G1338" s="16"/>
      <c r="H1338" s="16"/>
      <c r="I1338" s="16"/>
      <c r="J1338" s="16"/>
      <c r="K1338" s="16"/>
      <c r="L1338" s="16"/>
      <c r="M1338" s="16"/>
      <c r="N1338" s="16"/>
      <c r="O1338" s="16"/>
      <c r="P1338" s="16"/>
      <c r="Q1338" s="16"/>
      <c r="R1338" s="16"/>
      <c r="S1338" s="16"/>
      <c r="T1338" s="16"/>
      <c r="U1338" s="16"/>
      <c r="V1338" s="16"/>
      <c r="W1338" s="16"/>
      <c r="X1338" s="16"/>
      <c r="Y1338" s="16"/>
      <c r="Z1338" s="16"/>
      <c r="AA1338" s="16"/>
      <c r="AB1338" s="16"/>
      <c r="AC1338" s="16"/>
      <c r="AD1338" s="16"/>
      <c r="AE1338" s="16"/>
      <c r="AF1338" s="16"/>
      <c r="AG1338" s="16"/>
      <c r="AH1338" s="16" t="b">
        <f>IFERROR(__xludf.DUMMYFUNCTION("""COMPUTED_VALUE"""),FALSE)</f>
        <v>0</v>
      </c>
    </row>
    <row r="1339">
      <c r="A1339" s="16"/>
      <c r="B1339" s="16"/>
      <c r="C1339" s="16"/>
      <c r="D1339" s="16"/>
      <c r="E1339" s="16">
        <f>IFERROR(__xludf.DUMMYFUNCTION("""COMPUTED_VALUE"""),1.0)</f>
        <v>1</v>
      </c>
      <c r="F1339" s="108">
        <f>IFERROR(__xludf.DUMMYFUNCTION("""COMPUTED_VALUE"""),0.0)</f>
        <v>0</v>
      </c>
      <c r="G1339" s="16"/>
      <c r="H1339" s="16"/>
      <c r="I1339" s="16"/>
      <c r="J1339" s="16"/>
      <c r="K1339" s="16"/>
      <c r="L1339" s="16"/>
      <c r="M1339" s="16"/>
      <c r="N1339" s="16"/>
      <c r="O1339" s="16"/>
      <c r="P1339" s="16"/>
      <c r="Q1339" s="16"/>
      <c r="R1339" s="16"/>
      <c r="S1339" s="16"/>
      <c r="T1339" s="16"/>
      <c r="U1339" s="16"/>
      <c r="V1339" s="16"/>
      <c r="W1339" s="16"/>
      <c r="X1339" s="16"/>
      <c r="Y1339" s="16"/>
      <c r="Z1339" s="16"/>
      <c r="AA1339" s="16"/>
      <c r="AB1339" s="16"/>
      <c r="AC1339" s="16"/>
      <c r="AD1339" s="16"/>
      <c r="AE1339" s="16"/>
      <c r="AF1339" s="16"/>
      <c r="AG1339" s="16"/>
      <c r="AH1339" s="16" t="b">
        <f>IFERROR(__xludf.DUMMYFUNCTION("""COMPUTED_VALUE"""),FALSE)</f>
        <v>0</v>
      </c>
    </row>
    <row r="1340">
      <c r="A1340" s="16"/>
      <c r="B1340" s="16"/>
      <c r="C1340" s="16"/>
      <c r="D1340" s="16"/>
      <c r="E1340" s="16">
        <f>IFERROR(__xludf.DUMMYFUNCTION("""COMPUTED_VALUE"""),1.0)</f>
        <v>1</v>
      </c>
      <c r="F1340" s="108">
        <f>IFERROR(__xludf.DUMMYFUNCTION("""COMPUTED_VALUE"""),0.0)</f>
        <v>0</v>
      </c>
      <c r="G1340" s="16"/>
      <c r="H1340" s="16"/>
      <c r="I1340" s="16"/>
      <c r="J1340" s="16"/>
      <c r="K1340" s="16"/>
      <c r="L1340" s="16"/>
      <c r="M1340" s="16"/>
      <c r="N1340" s="16"/>
      <c r="O1340" s="16"/>
      <c r="P1340" s="16"/>
      <c r="Q1340" s="16"/>
      <c r="R1340" s="16"/>
      <c r="S1340" s="16"/>
      <c r="T1340" s="16"/>
      <c r="U1340" s="16"/>
      <c r="V1340" s="16"/>
      <c r="W1340" s="16"/>
      <c r="X1340" s="16"/>
      <c r="Y1340" s="16"/>
      <c r="Z1340" s="16"/>
      <c r="AA1340" s="16"/>
      <c r="AB1340" s="16"/>
      <c r="AC1340" s="16"/>
      <c r="AD1340" s="16"/>
      <c r="AE1340" s="16"/>
      <c r="AF1340" s="16"/>
      <c r="AG1340" s="16"/>
      <c r="AH1340" s="16" t="b">
        <f>IFERROR(__xludf.DUMMYFUNCTION("""COMPUTED_VALUE"""),FALSE)</f>
        <v>0</v>
      </c>
    </row>
    <row r="1341">
      <c r="A1341" s="16"/>
      <c r="B1341" s="16"/>
      <c r="C1341" s="16"/>
      <c r="D1341" s="16"/>
      <c r="E1341" s="16">
        <f>IFERROR(__xludf.DUMMYFUNCTION("""COMPUTED_VALUE"""),1.0)</f>
        <v>1</v>
      </c>
      <c r="F1341" s="108">
        <f>IFERROR(__xludf.DUMMYFUNCTION("""COMPUTED_VALUE"""),0.0)</f>
        <v>0</v>
      </c>
      <c r="G1341" s="16"/>
      <c r="H1341" s="16"/>
      <c r="I1341" s="16"/>
      <c r="J1341" s="16"/>
      <c r="K1341" s="16"/>
      <c r="L1341" s="16"/>
      <c r="M1341" s="16"/>
      <c r="N1341" s="16"/>
      <c r="O1341" s="16"/>
      <c r="P1341" s="16"/>
      <c r="Q1341" s="16"/>
      <c r="R1341" s="16"/>
      <c r="S1341" s="16"/>
      <c r="T1341" s="16"/>
      <c r="U1341" s="16"/>
      <c r="V1341" s="16"/>
      <c r="W1341" s="16"/>
      <c r="X1341" s="16"/>
      <c r="Y1341" s="16"/>
      <c r="Z1341" s="16"/>
      <c r="AA1341" s="16"/>
      <c r="AB1341" s="16"/>
      <c r="AC1341" s="16"/>
      <c r="AD1341" s="16"/>
      <c r="AE1341" s="16"/>
      <c r="AF1341" s="16"/>
      <c r="AG1341" s="16"/>
      <c r="AH1341" s="16" t="b">
        <f>IFERROR(__xludf.DUMMYFUNCTION("""COMPUTED_VALUE"""),FALSE)</f>
        <v>0</v>
      </c>
    </row>
    <row r="1342">
      <c r="A1342" s="16"/>
      <c r="B1342" s="16"/>
      <c r="C1342" s="16"/>
      <c r="D1342" s="16"/>
      <c r="E1342" s="16">
        <f>IFERROR(__xludf.DUMMYFUNCTION("""COMPUTED_VALUE"""),1.0)</f>
        <v>1</v>
      </c>
      <c r="F1342" s="108">
        <f>IFERROR(__xludf.DUMMYFUNCTION("""COMPUTED_VALUE"""),0.0)</f>
        <v>0</v>
      </c>
      <c r="G1342" s="16"/>
      <c r="H1342" s="16"/>
      <c r="I1342" s="16"/>
      <c r="J1342" s="16"/>
      <c r="K1342" s="16"/>
      <c r="L1342" s="16"/>
      <c r="M1342" s="16"/>
      <c r="N1342" s="16"/>
      <c r="O1342" s="16"/>
      <c r="P1342" s="16"/>
      <c r="Q1342" s="16"/>
      <c r="R1342" s="16"/>
      <c r="S1342" s="16"/>
      <c r="T1342" s="16"/>
      <c r="U1342" s="16"/>
      <c r="V1342" s="16"/>
      <c r="W1342" s="16"/>
      <c r="X1342" s="16"/>
      <c r="Y1342" s="16"/>
      <c r="Z1342" s="16"/>
      <c r="AA1342" s="16"/>
      <c r="AB1342" s="16"/>
      <c r="AC1342" s="16"/>
      <c r="AD1342" s="16"/>
      <c r="AE1342" s="16"/>
      <c r="AF1342" s="16"/>
      <c r="AG1342" s="16"/>
      <c r="AH1342" s="16" t="b">
        <f>IFERROR(__xludf.DUMMYFUNCTION("""COMPUTED_VALUE"""),FALSE)</f>
        <v>0</v>
      </c>
    </row>
    <row r="1343">
      <c r="A1343" s="16"/>
      <c r="B1343" s="16"/>
      <c r="C1343" s="16"/>
      <c r="D1343" s="16"/>
      <c r="E1343" s="16">
        <f>IFERROR(__xludf.DUMMYFUNCTION("""COMPUTED_VALUE"""),1.0)</f>
        <v>1</v>
      </c>
      <c r="F1343" s="108">
        <f>IFERROR(__xludf.DUMMYFUNCTION("""COMPUTED_VALUE"""),0.0)</f>
        <v>0</v>
      </c>
      <c r="G1343" s="16"/>
      <c r="H1343" s="16"/>
      <c r="I1343" s="16"/>
      <c r="J1343" s="16"/>
      <c r="K1343" s="16"/>
      <c r="L1343" s="16"/>
      <c r="M1343" s="16"/>
      <c r="N1343" s="16"/>
      <c r="O1343" s="16"/>
      <c r="P1343" s="16"/>
      <c r="Q1343" s="16"/>
      <c r="R1343" s="16"/>
      <c r="S1343" s="16"/>
      <c r="T1343" s="16"/>
      <c r="U1343" s="16"/>
      <c r="V1343" s="16"/>
      <c r="W1343" s="16"/>
      <c r="X1343" s="16"/>
      <c r="Y1343" s="16"/>
      <c r="Z1343" s="16"/>
      <c r="AA1343" s="16"/>
      <c r="AB1343" s="16"/>
      <c r="AC1343" s="16"/>
      <c r="AD1343" s="16"/>
      <c r="AE1343" s="16"/>
      <c r="AF1343" s="16"/>
      <c r="AG1343" s="16"/>
      <c r="AH1343" s="16" t="b">
        <f>IFERROR(__xludf.DUMMYFUNCTION("""COMPUTED_VALUE"""),FALSE)</f>
        <v>0</v>
      </c>
    </row>
    <row r="1344">
      <c r="A1344" s="16"/>
      <c r="B1344" s="16"/>
      <c r="C1344" s="16"/>
      <c r="D1344" s="16"/>
      <c r="E1344" s="16">
        <f>IFERROR(__xludf.DUMMYFUNCTION("""COMPUTED_VALUE"""),1.0)</f>
        <v>1</v>
      </c>
      <c r="F1344" s="108">
        <f>IFERROR(__xludf.DUMMYFUNCTION("""COMPUTED_VALUE"""),0.0)</f>
        <v>0</v>
      </c>
      <c r="G1344" s="16"/>
      <c r="H1344" s="16"/>
      <c r="I1344" s="16"/>
      <c r="J1344" s="16"/>
      <c r="K1344" s="16"/>
      <c r="L1344" s="16"/>
      <c r="M1344" s="16"/>
      <c r="N1344" s="16"/>
      <c r="O1344" s="16"/>
      <c r="P1344" s="16"/>
      <c r="Q1344" s="16"/>
      <c r="R1344" s="16"/>
      <c r="S1344" s="16"/>
      <c r="T1344" s="16"/>
      <c r="U1344" s="16"/>
      <c r="V1344" s="16"/>
      <c r="W1344" s="16"/>
      <c r="X1344" s="16"/>
      <c r="Y1344" s="16"/>
      <c r="Z1344" s="16"/>
      <c r="AA1344" s="16"/>
      <c r="AB1344" s="16"/>
      <c r="AC1344" s="16"/>
      <c r="AD1344" s="16"/>
      <c r="AE1344" s="16"/>
      <c r="AF1344" s="16"/>
      <c r="AG1344" s="16"/>
      <c r="AH1344" s="16" t="b">
        <f>IFERROR(__xludf.DUMMYFUNCTION("""COMPUTED_VALUE"""),FALSE)</f>
        <v>0</v>
      </c>
    </row>
    <row r="1345">
      <c r="A1345" s="16"/>
      <c r="B1345" s="16"/>
      <c r="C1345" s="16"/>
      <c r="D1345" s="16"/>
      <c r="E1345" s="16">
        <f>IFERROR(__xludf.DUMMYFUNCTION("""COMPUTED_VALUE"""),1.0)</f>
        <v>1</v>
      </c>
      <c r="F1345" s="108">
        <f>IFERROR(__xludf.DUMMYFUNCTION("""COMPUTED_VALUE"""),0.0)</f>
        <v>0</v>
      </c>
      <c r="G1345" s="16"/>
      <c r="H1345" s="16"/>
      <c r="I1345" s="16"/>
      <c r="J1345" s="16"/>
      <c r="K1345" s="16"/>
      <c r="L1345" s="16"/>
      <c r="M1345" s="16"/>
      <c r="N1345" s="16"/>
      <c r="O1345" s="16"/>
      <c r="P1345" s="16"/>
      <c r="Q1345" s="16"/>
      <c r="R1345" s="16"/>
      <c r="S1345" s="16"/>
      <c r="T1345" s="16"/>
      <c r="U1345" s="16"/>
      <c r="V1345" s="16"/>
      <c r="W1345" s="16"/>
      <c r="X1345" s="16"/>
      <c r="Y1345" s="16"/>
      <c r="Z1345" s="16"/>
      <c r="AA1345" s="16"/>
      <c r="AB1345" s="16"/>
      <c r="AC1345" s="16"/>
      <c r="AD1345" s="16"/>
      <c r="AE1345" s="16"/>
      <c r="AF1345" s="16"/>
      <c r="AG1345" s="16"/>
      <c r="AH1345" s="16" t="b">
        <f>IFERROR(__xludf.DUMMYFUNCTION("""COMPUTED_VALUE"""),FALSE)</f>
        <v>0</v>
      </c>
    </row>
    <row r="1346">
      <c r="A1346" s="16"/>
      <c r="B1346" s="16"/>
      <c r="C1346" s="16"/>
      <c r="D1346" s="16"/>
      <c r="E1346" s="16">
        <f>IFERROR(__xludf.DUMMYFUNCTION("""COMPUTED_VALUE"""),1.0)</f>
        <v>1</v>
      </c>
      <c r="F1346" s="108">
        <f>IFERROR(__xludf.DUMMYFUNCTION("""COMPUTED_VALUE"""),0.0)</f>
        <v>0</v>
      </c>
      <c r="G1346" s="16"/>
      <c r="H1346" s="16"/>
      <c r="I1346" s="16"/>
      <c r="J1346" s="16"/>
      <c r="K1346" s="16"/>
      <c r="L1346" s="16"/>
      <c r="M1346" s="16"/>
      <c r="N1346" s="16"/>
      <c r="O1346" s="16"/>
      <c r="P1346" s="16"/>
      <c r="Q1346" s="16"/>
      <c r="R1346" s="16"/>
      <c r="S1346" s="16"/>
      <c r="T1346" s="16"/>
      <c r="U1346" s="16"/>
      <c r="V1346" s="16"/>
      <c r="W1346" s="16"/>
      <c r="X1346" s="16"/>
      <c r="Y1346" s="16"/>
      <c r="Z1346" s="16"/>
      <c r="AA1346" s="16"/>
      <c r="AB1346" s="16"/>
      <c r="AC1346" s="16"/>
      <c r="AD1346" s="16"/>
      <c r="AE1346" s="16"/>
      <c r="AF1346" s="16"/>
      <c r="AG1346" s="16"/>
      <c r="AH1346" s="16" t="b">
        <f>IFERROR(__xludf.DUMMYFUNCTION("""COMPUTED_VALUE"""),FALSE)</f>
        <v>0</v>
      </c>
    </row>
    <row r="1347">
      <c r="A1347" s="16"/>
      <c r="B1347" s="16"/>
      <c r="C1347" s="16"/>
      <c r="D1347" s="16"/>
      <c r="E1347" s="16">
        <f>IFERROR(__xludf.DUMMYFUNCTION("""COMPUTED_VALUE"""),1.0)</f>
        <v>1</v>
      </c>
      <c r="F1347" s="108">
        <f>IFERROR(__xludf.DUMMYFUNCTION("""COMPUTED_VALUE"""),0.0)</f>
        <v>0</v>
      </c>
      <c r="G1347" s="16"/>
      <c r="H1347" s="16"/>
      <c r="I1347" s="16"/>
      <c r="J1347" s="16"/>
      <c r="K1347" s="16"/>
      <c r="L1347" s="16"/>
      <c r="M1347" s="16"/>
      <c r="N1347" s="16"/>
      <c r="O1347" s="16"/>
      <c r="P1347" s="16"/>
      <c r="Q1347" s="16"/>
      <c r="R1347" s="16"/>
      <c r="S1347" s="16"/>
      <c r="T1347" s="16"/>
      <c r="U1347" s="16"/>
      <c r="V1347" s="16"/>
      <c r="W1347" s="16"/>
      <c r="X1347" s="16"/>
      <c r="Y1347" s="16"/>
      <c r="Z1347" s="16"/>
      <c r="AA1347" s="16"/>
      <c r="AB1347" s="16"/>
      <c r="AC1347" s="16"/>
      <c r="AD1347" s="16"/>
      <c r="AE1347" s="16"/>
      <c r="AF1347" s="16"/>
      <c r="AG1347" s="16"/>
      <c r="AH1347" s="16" t="b">
        <f>IFERROR(__xludf.DUMMYFUNCTION("""COMPUTED_VALUE"""),FALSE)</f>
        <v>0</v>
      </c>
    </row>
    <row r="1348">
      <c r="A1348" s="16"/>
      <c r="B1348" s="16"/>
      <c r="C1348" s="16"/>
      <c r="D1348" s="16"/>
      <c r="E1348" s="16">
        <f>IFERROR(__xludf.DUMMYFUNCTION("""COMPUTED_VALUE"""),1.0)</f>
        <v>1</v>
      </c>
      <c r="F1348" s="108">
        <f>IFERROR(__xludf.DUMMYFUNCTION("""COMPUTED_VALUE"""),0.0)</f>
        <v>0</v>
      </c>
      <c r="G1348" s="16"/>
      <c r="H1348" s="16"/>
      <c r="I1348" s="16"/>
      <c r="J1348" s="16"/>
      <c r="K1348" s="16"/>
      <c r="L1348" s="16"/>
      <c r="M1348" s="16"/>
      <c r="N1348" s="16"/>
      <c r="O1348" s="16"/>
      <c r="P1348" s="16"/>
      <c r="Q1348" s="16"/>
      <c r="R1348" s="16"/>
      <c r="S1348" s="16"/>
      <c r="T1348" s="16"/>
      <c r="U1348" s="16"/>
      <c r="V1348" s="16"/>
      <c r="W1348" s="16"/>
      <c r="X1348" s="16"/>
      <c r="Y1348" s="16"/>
      <c r="Z1348" s="16"/>
      <c r="AA1348" s="16"/>
      <c r="AB1348" s="16"/>
      <c r="AC1348" s="16"/>
      <c r="AD1348" s="16"/>
      <c r="AE1348" s="16"/>
      <c r="AF1348" s="16"/>
      <c r="AG1348" s="16"/>
      <c r="AH1348" s="16" t="b">
        <f>IFERROR(__xludf.DUMMYFUNCTION("""COMPUTED_VALUE"""),FALSE)</f>
        <v>0</v>
      </c>
    </row>
    <row r="1349">
      <c r="A1349" s="16"/>
      <c r="B1349" s="16"/>
      <c r="C1349" s="16"/>
      <c r="D1349" s="16"/>
      <c r="E1349" s="16">
        <f>IFERROR(__xludf.DUMMYFUNCTION("""COMPUTED_VALUE"""),1.0)</f>
        <v>1</v>
      </c>
      <c r="F1349" s="108">
        <f>IFERROR(__xludf.DUMMYFUNCTION("""COMPUTED_VALUE"""),0.0)</f>
        <v>0</v>
      </c>
      <c r="G1349" s="16"/>
      <c r="H1349" s="16"/>
      <c r="I1349" s="16"/>
      <c r="J1349" s="16"/>
      <c r="K1349" s="16"/>
      <c r="L1349" s="16"/>
      <c r="M1349" s="16"/>
      <c r="N1349" s="16"/>
      <c r="O1349" s="16"/>
      <c r="P1349" s="16"/>
      <c r="Q1349" s="16"/>
      <c r="R1349" s="16"/>
      <c r="S1349" s="16"/>
      <c r="T1349" s="16"/>
      <c r="U1349" s="16"/>
      <c r="V1349" s="16"/>
      <c r="W1349" s="16"/>
      <c r="X1349" s="16"/>
      <c r="Y1349" s="16"/>
      <c r="Z1349" s="16"/>
      <c r="AA1349" s="16"/>
      <c r="AB1349" s="16"/>
      <c r="AC1349" s="16"/>
      <c r="AD1349" s="16"/>
      <c r="AE1349" s="16"/>
      <c r="AF1349" s="16"/>
      <c r="AG1349" s="16"/>
      <c r="AH1349" s="16" t="b">
        <f>IFERROR(__xludf.DUMMYFUNCTION("""COMPUTED_VALUE"""),FALSE)</f>
        <v>0</v>
      </c>
    </row>
    <row r="1350">
      <c r="A1350" s="16"/>
      <c r="B1350" s="16"/>
      <c r="C1350" s="16"/>
      <c r="D1350" s="16"/>
      <c r="E1350" s="16">
        <f>IFERROR(__xludf.DUMMYFUNCTION("""COMPUTED_VALUE"""),1.0)</f>
        <v>1</v>
      </c>
      <c r="F1350" s="108">
        <f>IFERROR(__xludf.DUMMYFUNCTION("""COMPUTED_VALUE"""),0.0)</f>
        <v>0</v>
      </c>
      <c r="G1350" s="16"/>
      <c r="H1350" s="16"/>
      <c r="I1350" s="16"/>
      <c r="J1350" s="16"/>
      <c r="K1350" s="16"/>
      <c r="L1350" s="16"/>
      <c r="M1350" s="16"/>
      <c r="N1350" s="16"/>
      <c r="O1350" s="16"/>
      <c r="P1350" s="16"/>
      <c r="Q1350" s="16"/>
      <c r="R1350" s="16"/>
      <c r="S1350" s="16"/>
      <c r="T1350" s="16"/>
      <c r="U1350" s="16"/>
      <c r="V1350" s="16"/>
      <c r="W1350" s="16"/>
      <c r="X1350" s="16"/>
      <c r="Y1350" s="16"/>
      <c r="Z1350" s="16"/>
      <c r="AA1350" s="16"/>
      <c r="AB1350" s="16"/>
      <c r="AC1350" s="16"/>
      <c r="AD1350" s="16"/>
      <c r="AE1350" s="16"/>
      <c r="AF1350" s="16"/>
      <c r="AG1350" s="16"/>
      <c r="AH1350" s="16" t="b">
        <f>IFERROR(__xludf.DUMMYFUNCTION("""COMPUTED_VALUE"""),FALSE)</f>
        <v>0</v>
      </c>
    </row>
    <row r="1351">
      <c r="A1351" s="16"/>
      <c r="B1351" s="16"/>
      <c r="C1351" s="16"/>
      <c r="D1351" s="16"/>
      <c r="E1351" s="16">
        <f>IFERROR(__xludf.DUMMYFUNCTION("""COMPUTED_VALUE"""),1.0)</f>
        <v>1</v>
      </c>
      <c r="F1351" s="108">
        <f>IFERROR(__xludf.DUMMYFUNCTION("""COMPUTED_VALUE"""),0.0)</f>
        <v>0</v>
      </c>
      <c r="G1351" s="16"/>
      <c r="H1351" s="16"/>
      <c r="I1351" s="16"/>
      <c r="J1351" s="16"/>
      <c r="K1351" s="16"/>
      <c r="L1351" s="16"/>
      <c r="M1351" s="16"/>
      <c r="N1351" s="16"/>
      <c r="O1351" s="16"/>
      <c r="P1351" s="16"/>
      <c r="Q1351" s="16"/>
      <c r="R1351" s="16"/>
      <c r="S1351" s="16"/>
      <c r="T1351" s="16"/>
      <c r="U1351" s="16"/>
      <c r="V1351" s="16"/>
      <c r="W1351" s="16"/>
      <c r="X1351" s="16"/>
      <c r="Y1351" s="16"/>
      <c r="Z1351" s="16"/>
      <c r="AA1351" s="16"/>
      <c r="AB1351" s="16"/>
      <c r="AC1351" s="16"/>
      <c r="AD1351" s="16"/>
      <c r="AE1351" s="16"/>
      <c r="AF1351" s="16"/>
      <c r="AG1351" s="16"/>
      <c r="AH1351" s="16" t="b">
        <f>IFERROR(__xludf.DUMMYFUNCTION("""COMPUTED_VALUE"""),FALSE)</f>
        <v>0</v>
      </c>
    </row>
    <row r="1352">
      <c r="A1352" s="16"/>
      <c r="B1352" s="16"/>
      <c r="C1352" s="16"/>
      <c r="D1352" s="16"/>
      <c r="E1352" s="16">
        <f>IFERROR(__xludf.DUMMYFUNCTION("""COMPUTED_VALUE"""),1.0)</f>
        <v>1</v>
      </c>
      <c r="F1352" s="108">
        <f>IFERROR(__xludf.DUMMYFUNCTION("""COMPUTED_VALUE"""),0.0)</f>
        <v>0</v>
      </c>
      <c r="G1352" s="16"/>
      <c r="H1352" s="16"/>
      <c r="I1352" s="16"/>
      <c r="J1352" s="16"/>
      <c r="K1352" s="16"/>
      <c r="L1352" s="16"/>
      <c r="M1352" s="16"/>
      <c r="N1352" s="16"/>
      <c r="O1352" s="16"/>
      <c r="P1352" s="16"/>
      <c r="Q1352" s="16"/>
      <c r="R1352" s="16"/>
      <c r="S1352" s="16"/>
      <c r="T1352" s="16"/>
      <c r="U1352" s="16"/>
      <c r="V1352" s="16"/>
      <c r="W1352" s="16"/>
      <c r="X1352" s="16"/>
      <c r="Y1352" s="16"/>
      <c r="Z1352" s="16"/>
      <c r="AA1352" s="16"/>
      <c r="AB1352" s="16"/>
      <c r="AC1352" s="16"/>
      <c r="AD1352" s="16"/>
      <c r="AE1352" s="16"/>
      <c r="AF1352" s="16"/>
      <c r="AG1352" s="16"/>
      <c r="AH1352" s="16" t="b">
        <f>IFERROR(__xludf.DUMMYFUNCTION("""COMPUTED_VALUE"""),FALSE)</f>
        <v>0</v>
      </c>
    </row>
    <row r="1353">
      <c r="A1353" s="16"/>
      <c r="B1353" s="16"/>
      <c r="C1353" s="16"/>
      <c r="D1353" s="16"/>
      <c r="E1353" s="16">
        <f>IFERROR(__xludf.DUMMYFUNCTION("""COMPUTED_VALUE"""),1.0)</f>
        <v>1</v>
      </c>
      <c r="F1353" s="108">
        <f>IFERROR(__xludf.DUMMYFUNCTION("""COMPUTED_VALUE"""),0.0)</f>
        <v>0</v>
      </c>
      <c r="G1353" s="16"/>
      <c r="H1353" s="16"/>
      <c r="I1353" s="16"/>
      <c r="J1353" s="16"/>
      <c r="K1353" s="16"/>
      <c r="L1353" s="16"/>
      <c r="M1353" s="16"/>
      <c r="N1353" s="16"/>
      <c r="O1353" s="16"/>
      <c r="P1353" s="16"/>
      <c r="Q1353" s="16"/>
      <c r="R1353" s="16"/>
      <c r="S1353" s="16"/>
      <c r="T1353" s="16"/>
      <c r="U1353" s="16"/>
      <c r="V1353" s="16"/>
      <c r="W1353" s="16"/>
      <c r="X1353" s="16"/>
      <c r="Y1353" s="16"/>
      <c r="Z1353" s="16"/>
      <c r="AA1353" s="16"/>
      <c r="AB1353" s="16"/>
      <c r="AC1353" s="16"/>
      <c r="AD1353" s="16"/>
      <c r="AE1353" s="16"/>
      <c r="AF1353" s="16"/>
      <c r="AG1353" s="16"/>
      <c r="AH1353" s="16" t="b">
        <f>IFERROR(__xludf.DUMMYFUNCTION("""COMPUTED_VALUE"""),FALSE)</f>
        <v>0</v>
      </c>
    </row>
    <row r="1354">
      <c r="A1354" s="16"/>
      <c r="B1354" s="16"/>
      <c r="C1354" s="16"/>
      <c r="D1354" s="16"/>
      <c r="E1354" s="16">
        <f>IFERROR(__xludf.DUMMYFUNCTION("""COMPUTED_VALUE"""),1.0)</f>
        <v>1</v>
      </c>
      <c r="F1354" s="108">
        <f>IFERROR(__xludf.DUMMYFUNCTION("""COMPUTED_VALUE"""),0.0)</f>
        <v>0</v>
      </c>
      <c r="G1354" s="16"/>
      <c r="H1354" s="16"/>
      <c r="I1354" s="16"/>
      <c r="J1354" s="16"/>
      <c r="K1354" s="16"/>
      <c r="L1354" s="16"/>
      <c r="M1354" s="16"/>
      <c r="N1354" s="16"/>
      <c r="O1354" s="16"/>
      <c r="P1354" s="16"/>
      <c r="Q1354" s="16"/>
      <c r="R1354" s="16"/>
      <c r="S1354" s="16"/>
      <c r="T1354" s="16"/>
      <c r="U1354" s="16"/>
      <c r="V1354" s="16"/>
      <c r="W1354" s="16"/>
      <c r="X1354" s="16"/>
      <c r="Y1354" s="16"/>
      <c r="Z1354" s="16"/>
      <c r="AA1354" s="16"/>
      <c r="AB1354" s="16"/>
      <c r="AC1354" s="16"/>
      <c r="AD1354" s="16"/>
      <c r="AE1354" s="16"/>
      <c r="AF1354" s="16"/>
      <c r="AG1354" s="16"/>
      <c r="AH1354" s="16" t="b">
        <f>IFERROR(__xludf.DUMMYFUNCTION("""COMPUTED_VALUE"""),FALSE)</f>
        <v>0</v>
      </c>
    </row>
    <row r="1355">
      <c r="A1355" s="16"/>
      <c r="B1355" s="16"/>
      <c r="C1355" s="16"/>
      <c r="D1355" s="16"/>
      <c r="E1355" s="16">
        <f>IFERROR(__xludf.DUMMYFUNCTION("""COMPUTED_VALUE"""),1.0)</f>
        <v>1</v>
      </c>
      <c r="F1355" s="108">
        <f>IFERROR(__xludf.DUMMYFUNCTION("""COMPUTED_VALUE"""),0.0)</f>
        <v>0</v>
      </c>
      <c r="G1355" s="16"/>
      <c r="H1355" s="16"/>
      <c r="I1355" s="16"/>
      <c r="J1355" s="16"/>
      <c r="K1355" s="16"/>
      <c r="L1355" s="16"/>
      <c r="M1355" s="16"/>
      <c r="N1355" s="16"/>
      <c r="O1355" s="16"/>
      <c r="P1355" s="16"/>
      <c r="Q1355" s="16"/>
      <c r="R1355" s="16"/>
      <c r="S1355" s="16"/>
      <c r="T1355" s="16"/>
      <c r="U1355" s="16"/>
      <c r="V1355" s="16"/>
      <c r="W1355" s="16"/>
      <c r="X1355" s="16"/>
      <c r="Y1355" s="16"/>
      <c r="Z1355" s="16"/>
      <c r="AA1355" s="16"/>
      <c r="AB1355" s="16"/>
      <c r="AC1355" s="16"/>
      <c r="AD1355" s="16"/>
      <c r="AE1355" s="16"/>
      <c r="AF1355" s="16"/>
      <c r="AG1355" s="16"/>
      <c r="AH1355" s="16" t="b">
        <f>IFERROR(__xludf.DUMMYFUNCTION("""COMPUTED_VALUE"""),FALSE)</f>
        <v>0</v>
      </c>
    </row>
    <row r="1356">
      <c r="A1356" s="16"/>
      <c r="B1356" s="16"/>
      <c r="C1356" s="16"/>
      <c r="D1356" s="16"/>
      <c r="E1356" s="16">
        <f>IFERROR(__xludf.DUMMYFUNCTION("""COMPUTED_VALUE"""),1.0)</f>
        <v>1</v>
      </c>
      <c r="F1356" s="108">
        <f>IFERROR(__xludf.DUMMYFUNCTION("""COMPUTED_VALUE"""),0.0)</f>
        <v>0</v>
      </c>
      <c r="G1356" s="16"/>
      <c r="H1356" s="16"/>
      <c r="I1356" s="16"/>
      <c r="J1356" s="16"/>
      <c r="K1356" s="16"/>
      <c r="L1356" s="16"/>
      <c r="M1356" s="16"/>
      <c r="N1356" s="16"/>
      <c r="O1356" s="16"/>
      <c r="P1356" s="16"/>
      <c r="Q1356" s="16"/>
      <c r="R1356" s="16"/>
      <c r="S1356" s="16"/>
      <c r="T1356" s="16"/>
      <c r="U1356" s="16"/>
      <c r="V1356" s="16"/>
      <c r="W1356" s="16"/>
      <c r="X1356" s="16"/>
      <c r="Y1356" s="16"/>
      <c r="Z1356" s="16"/>
      <c r="AA1356" s="16"/>
      <c r="AB1356" s="16"/>
      <c r="AC1356" s="16"/>
      <c r="AD1356" s="16"/>
      <c r="AE1356" s="16"/>
      <c r="AF1356" s="16"/>
      <c r="AG1356" s="16"/>
      <c r="AH1356" s="16" t="b">
        <f>IFERROR(__xludf.DUMMYFUNCTION("""COMPUTED_VALUE"""),FALSE)</f>
        <v>0</v>
      </c>
    </row>
    <row r="1357">
      <c r="A1357" s="16"/>
      <c r="B1357" s="16"/>
      <c r="C1357" s="16"/>
      <c r="D1357" s="16"/>
      <c r="E1357" s="16">
        <f>IFERROR(__xludf.DUMMYFUNCTION("""COMPUTED_VALUE"""),1.0)</f>
        <v>1</v>
      </c>
      <c r="F1357" s="108">
        <f>IFERROR(__xludf.DUMMYFUNCTION("""COMPUTED_VALUE"""),0.0)</f>
        <v>0</v>
      </c>
      <c r="G1357" s="16"/>
      <c r="H1357" s="16"/>
      <c r="I1357" s="16"/>
      <c r="J1357" s="16"/>
      <c r="K1357" s="16"/>
      <c r="L1357" s="16"/>
      <c r="M1357" s="16"/>
      <c r="N1357" s="16"/>
      <c r="O1357" s="16"/>
      <c r="P1357" s="16"/>
      <c r="Q1357" s="16"/>
      <c r="R1357" s="16"/>
      <c r="S1357" s="16"/>
      <c r="T1357" s="16"/>
      <c r="U1357" s="16"/>
      <c r="V1357" s="16"/>
      <c r="W1357" s="16"/>
      <c r="X1357" s="16"/>
      <c r="Y1357" s="16"/>
      <c r="Z1357" s="16"/>
      <c r="AA1357" s="16"/>
      <c r="AB1357" s="16"/>
      <c r="AC1357" s="16"/>
      <c r="AD1357" s="16"/>
      <c r="AE1357" s="16"/>
      <c r="AF1357" s="16"/>
      <c r="AG1357" s="16"/>
      <c r="AH1357" s="16" t="b">
        <f>IFERROR(__xludf.DUMMYFUNCTION("""COMPUTED_VALUE"""),FALSE)</f>
        <v>0</v>
      </c>
    </row>
    <row r="1358">
      <c r="A1358" s="16"/>
      <c r="B1358" s="16"/>
      <c r="C1358" s="16"/>
      <c r="D1358" s="16"/>
      <c r="E1358" s="16">
        <f>IFERROR(__xludf.DUMMYFUNCTION("""COMPUTED_VALUE"""),1.0)</f>
        <v>1</v>
      </c>
      <c r="F1358" s="108">
        <f>IFERROR(__xludf.DUMMYFUNCTION("""COMPUTED_VALUE"""),0.0)</f>
        <v>0</v>
      </c>
      <c r="G1358" s="16"/>
      <c r="H1358" s="16"/>
      <c r="I1358" s="16"/>
      <c r="J1358" s="16"/>
      <c r="K1358" s="16"/>
      <c r="L1358" s="16"/>
      <c r="M1358" s="16"/>
      <c r="N1358" s="16"/>
      <c r="O1358" s="16"/>
      <c r="P1358" s="16"/>
      <c r="Q1358" s="16"/>
      <c r="R1358" s="16"/>
      <c r="S1358" s="16"/>
      <c r="T1358" s="16"/>
      <c r="U1358" s="16"/>
      <c r="V1358" s="16"/>
      <c r="W1358" s="16"/>
      <c r="X1358" s="16"/>
      <c r="Y1358" s="16"/>
      <c r="Z1358" s="16"/>
      <c r="AA1358" s="16"/>
      <c r="AB1358" s="16"/>
      <c r="AC1358" s="16"/>
      <c r="AD1358" s="16"/>
      <c r="AE1358" s="16"/>
      <c r="AF1358" s="16"/>
      <c r="AG1358" s="16"/>
      <c r="AH1358" s="16" t="b">
        <f>IFERROR(__xludf.DUMMYFUNCTION("""COMPUTED_VALUE"""),FALSE)</f>
        <v>0</v>
      </c>
    </row>
    <row r="1359">
      <c r="A1359" s="16"/>
      <c r="B1359" s="16"/>
      <c r="C1359" s="16"/>
      <c r="D1359" s="16"/>
      <c r="E1359" s="16">
        <f>IFERROR(__xludf.DUMMYFUNCTION("""COMPUTED_VALUE"""),1.0)</f>
        <v>1</v>
      </c>
      <c r="F1359" s="108">
        <f>IFERROR(__xludf.DUMMYFUNCTION("""COMPUTED_VALUE"""),0.0)</f>
        <v>0</v>
      </c>
      <c r="G1359" s="16"/>
      <c r="H1359" s="16"/>
      <c r="I1359" s="16"/>
      <c r="J1359" s="16"/>
      <c r="K1359" s="16"/>
      <c r="L1359" s="16"/>
      <c r="M1359" s="16"/>
      <c r="N1359" s="16"/>
      <c r="O1359" s="16"/>
      <c r="P1359" s="16"/>
      <c r="Q1359" s="16"/>
      <c r="R1359" s="16"/>
      <c r="S1359" s="16"/>
      <c r="T1359" s="16"/>
      <c r="U1359" s="16"/>
      <c r="V1359" s="16"/>
      <c r="W1359" s="16"/>
      <c r="X1359" s="16"/>
      <c r="Y1359" s="16"/>
      <c r="Z1359" s="16"/>
      <c r="AA1359" s="16"/>
      <c r="AB1359" s="16"/>
      <c r="AC1359" s="16"/>
      <c r="AD1359" s="16"/>
      <c r="AE1359" s="16"/>
      <c r="AF1359" s="16"/>
      <c r="AG1359" s="16"/>
      <c r="AH1359" s="16" t="b">
        <f>IFERROR(__xludf.DUMMYFUNCTION("""COMPUTED_VALUE"""),FALSE)</f>
        <v>0</v>
      </c>
    </row>
    <row r="1360">
      <c r="A1360" s="16"/>
      <c r="B1360" s="16"/>
      <c r="C1360" s="16"/>
      <c r="D1360" s="16"/>
      <c r="E1360" s="16">
        <f>IFERROR(__xludf.DUMMYFUNCTION("""COMPUTED_VALUE"""),1.0)</f>
        <v>1</v>
      </c>
      <c r="F1360" s="108">
        <f>IFERROR(__xludf.DUMMYFUNCTION("""COMPUTED_VALUE"""),0.0)</f>
        <v>0</v>
      </c>
      <c r="G1360" s="16"/>
      <c r="H1360" s="16"/>
      <c r="I1360" s="16"/>
      <c r="J1360" s="16"/>
      <c r="K1360" s="16"/>
      <c r="L1360" s="16"/>
      <c r="M1360" s="16"/>
      <c r="N1360" s="16"/>
      <c r="O1360" s="16"/>
      <c r="P1360" s="16"/>
      <c r="Q1360" s="16"/>
      <c r="R1360" s="16"/>
      <c r="S1360" s="16"/>
      <c r="T1360" s="16"/>
      <c r="U1360" s="16"/>
      <c r="V1360" s="16"/>
      <c r="W1360" s="16"/>
      <c r="X1360" s="16"/>
      <c r="Y1360" s="16"/>
      <c r="Z1360" s="16"/>
      <c r="AA1360" s="16"/>
      <c r="AB1360" s="16"/>
      <c r="AC1360" s="16"/>
      <c r="AD1360" s="16"/>
      <c r="AE1360" s="16"/>
      <c r="AF1360" s="16"/>
      <c r="AG1360" s="16"/>
      <c r="AH1360" s="16" t="b">
        <f>IFERROR(__xludf.DUMMYFUNCTION("""COMPUTED_VALUE"""),FALSE)</f>
        <v>0</v>
      </c>
    </row>
    <row r="1361">
      <c r="A1361" s="16"/>
      <c r="B1361" s="16"/>
      <c r="C1361" s="16"/>
      <c r="D1361" s="16"/>
      <c r="E1361" s="16">
        <f>IFERROR(__xludf.DUMMYFUNCTION("""COMPUTED_VALUE"""),1.0)</f>
        <v>1</v>
      </c>
      <c r="F1361" s="108">
        <f>IFERROR(__xludf.DUMMYFUNCTION("""COMPUTED_VALUE"""),0.0)</f>
        <v>0</v>
      </c>
      <c r="G1361" s="16"/>
      <c r="H1361" s="16"/>
      <c r="I1361" s="16"/>
      <c r="J1361" s="16"/>
      <c r="K1361" s="16"/>
      <c r="L1361" s="16"/>
      <c r="M1361" s="16"/>
      <c r="N1361" s="16"/>
      <c r="O1361" s="16"/>
      <c r="P1361" s="16"/>
      <c r="Q1361" s="16"/>
      <c r="R1361" s="16"/>
      <c r="S1361" s="16"/>
      <c r="T1361" s="16"/>
      <c r="U1361" s="16"/>
      <c r="V1361" s="16"/>
      <c r="W1361" s="16"/>
      <c r="X1361" s="16"/>
      <c r="Y1361" s="16"/>
      <c r="Z1361" s="16"/>
      <c r="AA1361" s="16"/>
      <c r="AB1361" s="16"/>
      <c r="AC1361" s="16"/>
      <c r="AD1361" s="16"/>
      <c r="AE1361" s="16"/>
      <c r="AF1361" s="16"/>
      <c r="AG1361" s="16"/>
      <c r="AH1361" s="16" t="b">
        <f>IFERROR(__xludf.DUMMYFUNCTION("""COMPUTED_VALUE"""),FALSE)</f>
        <v>0</v>
      </c>
    </row>
    <row r="1362">
      <c r="A1362" s="16"/>
      <c r="B1362" s="16"/>
      <c r="C1362" s="16"/>
      <c r="D1362" s="16"/>
      <c r="E1362" s="16">
        <f>IFERROR(__xludf.DUMMYFUNCTION("""COMPUTED_VALUE"""),1.0)</f>
        <v>1</v>
      </c>
      <c r="F1362" s="108">
        <f>IFERROR(__xludf.DUMMYFUNCTION("""COMPUTED_VALUE"""),0.0)</f>
        <v>0</v>
      </c>
      <c r="G1362" s="16"/>
      <c r="H1362" s="16"/>
      <c r="I1362" s="16"/>
      <c r="J1362" s="16"/>
      <c r="K1362" s="16"/>
      <c r="L1362" s="16"/>
      <c r="M1362" s="16"/>
      <c r="N1362" s="16"/>
      <c r="O1362" s="16"/>
      <c r="P1362" s="16"/>
      <c r="Q1362" s="16"/>
      <c r="R1362" s="16"/>
      <c r="S1362" s="16"/>
      <c r="T1362" s="16"/>
      <c r="U1362" s="16"/>
      <c r="V1362" s="16"/>
      <c r="W1362" s="16"/>
      <c r="X1362" s="16"/>
      <c r="Y1362" s="16"/>
      <c r="Z1362" s="16"/>
      <c r="AA1362" s="16"/>
      <c r="AB1362" s="16"/>
      <c r="AC1362" s="16"/>
      <c r="AD1362" s="16"/>
      <c r="AE1362" s="16"/>
      <c r="AF1362" s="16"/>
      <c r="AG1362" s="16"/>
      <c r="AH1362" s="16" t="b">
        <f>IFERROR(__xludf.DUMMYFUNCTION("""COMPUTED_VALUE"""),FALSE)</f>
        <v>0</v>
      </c>
    </row>
    <row r="1363">
      <c r="A1363" s="16"/>
      <c r="B1363" s="16"/>
      <c r="C1363" s="16"/>
      <c r="D1363" s="16"/>
      <c r="E1363" s="16">
        <f>IFERROR(__xludf.DUMMYFUNCTION("""COMPUTED_VALUE"""),1.0)</f>
        <v>1</v>
      </c>
      <c r="F1363" s="108">
        <f>IFERROR(__xludf.DUMMYFUNCTION("""COMPUTED_VALUE"""),0.0)</f>
        <v>0</v>
      </c>
      <c r="G1363" s="16"/>
      <c r="H1363" s="16"/>
      <c r="I1363" s="16"/>
      <c r="J1363" s="16"/>
      <c r="K1363" s="16"/>
      <c r="L1363" s="16"/>
      <c r="M1363" s="16"/>
      <c r="N1363" s="16"/>
      <c r="O1363" s="16"/>
      <c r="P1363" s="16"/>
      <c r="Q1363" s="16"/>
      <c r="R1363" s="16"/>
      <c r="S1363" s="16"/>
      <c r="T1363" s="16"/>
      <c r="U1363" s="16"/>
      <c r="V1363" s="16"/>
      <c r="W1363" s="16"/>
      <c r="X1363" s="16"/>
      <c r="Y1363" s="16"/>
      <c r="Z1363" s="16"/>
      <c r="AA1363" s="16"/>
      <c r="AB1363" s="16"/>
      <c r="AC1363" s="16"/>
      <c r="AD1363" s="16"/>
      <c r="AE1363" s="16"/>
      <c r="AF1363" s="16"/>
      <c r="AG1363" s="16"/>
      <c r="AH1363" s="16" t="b">
        <f>IFERROR(__xludf.DUMMYFUNCTION("""COMPUTED_VALUE"""),FALSE)</f>
        <v>0</v>
      </c>
    </row>
    <row r="1364">
      <c r="A1364" s="16"/>
      <c r="B1364" s="16"/>
      <c r="C1364" s="16"/>
      <c r="D1364" s="16"/>
      <c r="E1364" s="16">
        <f>IFERROR(__xludf.DUMMYFUNCTION("""COMPUTED_VALUE"""),1.0)</f>
        <v>1</v>
      </c>
      <c r="F1364" s="108">
        <f>IFERROR(__xludf.DUMMYFUNCTION("""COMPUTED_VALUE"""),0.0)</f>
        <v>0</v>
      </c>
      <c r="G1364" s="16"/>
      <c r="H1364" s="16"/>
      <c r="I1364" s="16"/>
      <c r="J1364" s="16"/>
      <c r="K1364" s="16"/>
      <c r="L1364" s="16"/>
      <c r="M1364" s="16"/>
      <c r="N1364" s="16"/>
      <c r="O1364" s="16"/>
      <c r="P1364" s="16"/>
      <c r="Q1364" s="16"/>
      <c r="R1364" s="16"/>
      <c r="S1364" s="16"/>
      <c r="T1364" s="16"/>
      <c r="U1364" s="16"/>
      <c r="V1364" s="16"/>
      <c r="W1364" s="16"/>
      <c r="X1364" s="16"/>
      <c r="Y1364" s="16"/>
      <c r="Z1364" s="16"/>
      <c r="AA1364" s="16"/>
      <c r="AB1364" s="16"/>
      <c r="AC1364" s="16"/>
      <c r="AD1364" s="16"/>
      <c r="AE1364" s="16"/>
      <c r="AF1364" s="16"/>
      <c r="AG1364" s="16"/>
      <c r="AH1364" s="16" t="b">
        <f>IFERROR(__xludf.DUMMYFUNCTION("""COMPUTED_VALUE"""),FALSE)</f>
        <v>0</v>
      </c>
    </row>
    <row r="1365">
      <c r="A1365" s="16"/>
      <c r="B1365" s="16"/>
      <c r="C1365" s="16"/>
      <c r="D1365" s="16"/>
      <c r="E1365" s="16">
        <f>IFERROR(__xludf.DUMMYFUNCTION("""COMPUTED_VALUE"""),1.0)</f>
        <v>1</v>
      </c>
      <c r="F1365" s="108">
        <f>IFERROR(__xludf.DUMMYFUNCTION("""COMPUTED_VALUE"""),0.0)</f>
        <v>0</v>
      </c>
      <c r="G1365" s="16"/>
      <c r="H1365" s="16"/>
      <c r="I1365" s="16"/>
      <c r="J1365" s="16"/>
      <c r="K1365" s="16"/>
      <c r="L1365" s="16"/>
      <c r="M1365" s="16"/>
      <c r="N1365" s="16"/>
      <c r="O1365" s="16"/>
      <c r="P1365" s="16"/>
      <c r="Q1365" s="16"/>
      <c r="R1365" s="16"/>
      <c r="S1365" s="16"/>
      <c r="T1365" s="16"/>
      <c r="U1365" s="16"/>
      <c r="V1365" s="16"/>
      <c r="W1365" s="16"/>
      <c r="X1365" s="16"/>
      <c r="Y1365" s="16"/>
      <c r="Z1365" s="16"/>
      <c r="AA1365" s="16"/>
      <c r="AB1365" s="16"/>
      <c r="AC1365" s="16"/>
      <c r="AD1365" s="16"/>
      <c r="AE1365" s="16"/>
      <c r="AF1365" s="16"/>
      <c r="AG1365" s="16"/>
      <c r="AH1365" s="16" t="b">
        <f>IFERROR(__xludf.DUMMYFUNCTION("""COMPUTED_VALUE"""),FALSE)</f>
        <v>0</v>
      </c>
    </row>
    <row r="1366">
      <c r="A1366" s="16"/>
      <c r="B1366" s="16"/>
      <c r="C1366" s="16"/>
      <c r="D1366" s="16"/>
      <c r="E1366" s="16">
        <f>IFERROR(__xludf.DUMMYFUNCTION("""COMPUTED_VALUE"""),1.0)</f>
        <v>1</v>
      </c>
      <c r="F1366" s="108">
        <f>IFERROR(__xludf.DUMMYFUNCTION("""COMPUTED_VALUE"""),0.0)</f>
        <v>0</v>
      </c>
      <c r="G1366" s="16"/>
      <c r="H1366" s="16"/>
      <c r="I1366" s="16"/>
      <c r="J1366" s="16"/>
      <c r="K1366" s="16"/>
      <c r="L1366" s="16"/>
      <c r="M1366" s="16"/>
      <c r="N1366" s="16"/>
      <c r="O1366" s="16"/>
      <c r="P1366" s="16"/>
      <c r="Q1366" s="16"/>
      <c r="R1366" s="16"/>
      <c r="S1366" s="16"/>
      <c r="T1366" s="16"/>
      <c r="U1366" s="16"/>
      <c r="V1366" s="16"/>
      <c r="W1366" s="16"/>
      <c r="X1366" s="16"/>
      <c r="Y1366" s="16"/>
      <c r="Z1366" s="16"/>
      <c r="AA1366" s="16"/>
      <c r="AB1366" s="16"/>
      <c r="AC1366" s="16"/>
      <c r="AD1366" s="16"/>
      <c r="AE1366" s="16"/>
      <c r="AF1366" s="16"/>
      <c r="AG1366" s="16"/>
      <c r="AH1366" s="16" t="b">
        <f>IFERROR(__xludf.DUMMYFUNCTION("""COMPUTED_VALUE"""),FALSE)</f>
        <v>0</v>
      </c>
    </row>
    <row r="1367">
      <c r="A1367" s="16"/>
      <c r="B1367" s="16"/>
      <c r="C1367" s="16"/>
      <c r="D1367" s="16"/>
      <c r="E1367" s="16">
        <f>IFERROR(__xludf.DUMMYFUNCTION("""COMPUTED_VALUE"""),1.0)</f>
        <v>1</v>
      </c>
      <c r="F1367" s="108">
        <f>IFERROR(__xludf.DUMMYFUNCTION("""COMPUTED_VALUE"""),0.0)</f>
        <v>0</v>
      </c>
      <c r="G1367" s="16"/>
      <c r="H1367" s="16"/>
      <c r="I1367" s="16"/>
      <c r="J1367" s="16"/>
      <c r="K1367" s="16"/>
      <c r="L1367" s="16"/>
      <c r="M1367" s="16"/>
      <c r="N1367" s="16"/>
      <c r="O1367" s="16"/>
      <c r="P1367" s="16"/>
      <c r="Q1367" s="16"/>
      <c r="R1367" s="16"/>
      <c r="S1367" s="16"/>
      <c r="T1367" s="16"/>
      <c r="U1367" s="16"/>
      <c r="V1367" s="16"/>
      <c r="W1367" s="16"/>
      <c r="X1367" s="16"/>
      <c r="Y1367" s="16"/>
      <c r="Z1367" s="16"/>
      <c r="AA1367" s="16"/>
      <c r="AB1367" s="16"/>
      <c r="AC1367" s="16"/>
      <c r="AD1367" s="16"/>
      <c r="AE1367" s="16"/>
      <c r="AF1367" s="16"/>
      <c r="AG1367" s="16"/>
      <c r="AH1367" s="16" t="b">
        <f>IFERROR(__xludf.DUMMYFUNCTION("""COMPUTED_VALUE"""),FALSE)</f>
        <v>0</v>
      </c>
    </row>
    <row r="1368">
      <c r="A1368" s="16"/>
      <c r="B1368" s="16"/>
      <c r="C1368" s="16"/>
      <c r="D1368" s="16"/>
      <c r="E1368" s="16">
        <f>IFERROR(__xludf.DUMMYFUNCTION("""COMPUTED_VALUE"""),1.0)</f>
        <v>1</v>
      </c>
      <c r="F1368" s="108">
        <f>IFERROR(__xludf.DUMMYFUNCTION("""COMPUTED_VALUE"""),0.0)</f>
        <v>0</v>
      </c>
      <c r="G1368" s="16"/>
      <c r="H1368" s="16"/>
      <c r="I1368" s="16"/>
      <c r="J1368" s="16"/>
      <c r="K1368" s="16"/>
      <c r="L1368" s="16"/>
      <c r="M1368" s="16"/>
      <c r="N1368" s="16"/>
      <c r="O1368" s="16"/>
      <c r="P1368" s="16"/>
      <c r="Q1368" s="16"/>
      <c r="R1368" s="16"/>
      <c r="S1368" s="16"/>
      <c r="T1368" s="16"/>
      <c r="U1368" s="16"/>
      <c r="V1368" s="16"/>
      <c r="W1368" s="16"/>
      <c r="X1368" s="16"/>
      <c r="Y1368" s="16"/>
      <c r="Z1368" s="16"/>
      <c r="AA1368" s="16"/>
      <c r="AB1368" s="16"/>
      <c r="AC1368" s="16"/>
      <c r="AD1368" s="16"/>
      <c r="AE1368" s="16"/>
      <c r="AF1368" s="16"/>
      <c r="AG1368" s="16"/>
      <c r="AH1368" s="16" t="b">
        <f>IFERROR(__xludf.DUMMYFUNCTION("""COMPUTED_VALUE"""),FALSE)</f>
        <v>0</v>
      </c>
    </row>
    <row r="1369">
      <c r="A1369" s="16"/>
      <c r="B1369" s="16"/>
      <c r="C1369" s="16"/>
      <c r="D1369" s="16"/>
      <c r="E1369" s="16">
        <f>IFERROR(__xludf.DUMMYFUNCTION("""COMPUTED_VALUE"""),1.0)</f>
        <v>1</v>
      </c>
      <c r="F1369" s="108">
        <f>IFERROR(__xludf.DUMMYFUNCTION("""COMPUTED_VALUE"""),0.0)</f>
        <v>0</v>
      </c>
      <c r="G1369" s="16"/>
      <c r="H1369" s="16"/>
      <c r="I1369" s="16"/>
      <c r="J1369" s="16"/>
      <c r="K1369" s="16"/>
      <c r="L1369" s="16"/>
      <c r="M1369" s="16"/>
      <c r="N1369" s="16"/>
      <c r="O1369" s="16"/>
      <c r="P1369" s="16"/>
      <c r="Q1369" s="16"/>
      <c r="R1369" s="16"/>
      <c r="S1369" s="16"/>
      <c r="T1369" s="16"/>
      <c r="U1369" s="16"/>
      <c r="V1369" s="16"/>
      <c r="W1369" s="16"/>
      <c r="X1369" s="16"/>
      <c r="Y1369" s="16"/>
      <c r="Z1369" s="16"/>
      <c r="AA1369" s="16"/>
      <c r="AB1369" s="16"/>
      <c r="AC1369" s="16"/>
      <c r="AD1369" s="16"/>
      <c r="AE1369" s="16"/>
      <c r="AF1369" s="16"/>
      <c r="AG1369" s="16"/>
      <c r="AH1369" s="16" t="b">
        <f>IFERROR(__xludf.DUMMYFUNCTION("""COMPUTED_VALUE"""),FALSE)</f>
        <v>0</v>
      </c>
    </row>
    <row r="1370">
      <c r="A1370" s="16"/>
      <c r="B1370" s="16"/>
      <c r="C1370" s="16"/>
      <c r="D1370" s="16"/>
      <c r="E1370" s="16">
        <f>IFERROR(__xludf.DUMMYFUNCTION("""COMPUTED_VALUE"""),1.0)</f>
        <v>1</v>
      </c>
      <c r="F1370" s="108">
        <f>IFERROR(__xludf.DUMMYFUNCTION("""COMPUTED_VALUE"""),0.0)</f>
        <v>0</v>
      </c>
      <c r="G1370" s="16"/>
      <c r="H1370" s="16"/>
      <c r="I1370" s="16"/>
      <c r="J1370" s="16"/>
      <c r="K1370" s="16"/>
      <c r="L1370" s="16"/>
      <c r="M1370" s="16"/>
      <c r="N1370" s="16"/>
      <c r="O1370" s="16"/>
      <c r="P1370" s="16"/>
      <c r="Q1370" s="16"/>
      <c r="R1370" s="16"/>
      <c r="S1370" s="16"/>
      <c r="T1370" s="16"/>
      <c r="U1370" s="16"/>
      <c r="V1370" s="16"/>
      <c r="W1370" s="16"/>
      <c r="X1370" s="16"/>
      <c r="Y1370" s="16"/>
      <c r="Z1370" s="16"/>
      <c r="AA1370" s="16"/>
      <c r="AB1370" s="16"/>
      <c r="AC1370" s="16"/>
      <c r="AD1370" s="16"/>
      <c r="AE1370" s="16"/>
      <c r="AF1370" s="16"/>
      <c r="AG1370" s="16"/>
      <c r="AH1370" s="16" t="b">
        <f>IFERROR(__xludf.DUMMYFUNCTION("""COMPUTED_VALUE"""),FALSE)</f>
        <v>0</v>
      </c>
    </row>
    <row r="1371">
      <c r="A1371" s="16"/>
      <c r="B1371" s="16"/>
      <c r="C1371" s="16"/>
      <c r="D1371" s="16"/>
      <c r="E1371" s="16">
        <f>IFERROR(__xludf.DUMMYFUNCTION("""COMPUTED_VALUE"""),1.0)</f>
        <v>1</v>
      </c>
      <c r="F1371" s="108">
        <f>IFERROR(__xludf.DUMMYFUNCTION("""COMPUTED_VALUE"""),0.0)</f>
        <v>0</v>
      </c>
      <c r="G1371" s="16"/>
      <c r="H1371" s="16"/>
      <c r="I1371" s="16"/>
      <c r="J1371" s="16"/>
      <c r="K1371" s="16"/>
      <c r="L1371" s="16"/>
      <c r="M1371" s="16"/>
      <c r="N1371" s="16"/>
      <c r="O1371" s="16"/>
      <c r="P1371" s="16"/>
      <c r="Q1371" s="16"/>
      <c r="R1371" s="16"/>
      <c r="S1371" s="16"/>
      <c r="T1371" s="16"/>
      <c r="U1371" s="16"/>
      <c r="V1371" s="16"/>
      <c r="W1371" s="16"/>
      <c r="X1371" s="16"/>
      <c r="Y1371" s="16"/>
      <c r="Z1371" s="16"/>
      <c r="AA1371" s="16"/>
      <c r="AB1371" s="16"/>
      <c r="AC1371" s="16"/>
      <c r="AD1371" s="16"/>
      <c r="AE1371" s="16"/>
      <c r="AF1371" s="16"/>
      <c r="AG1371" s="16"/>
      <c r="AH1371" s="16" t="b">
        <f>IFERROR(__xludf.DUMMYFUNCTION("""COMPUTED_VALUE"""),FALSE)</f>
        <v>0</v>
      </c>
    </row>
    <row r="1372">
      <c r="A1372" s="16"/>
      <c r="B1372" s="16"/>
      <c r="C1372" s="16"/>
      <c r="D1372" s="16"/>
      <c r="E1372" s="16">
        <f>IFERROR(__xludf.DUMMYFUNCTION("""COMPUTED_VALUE"""),1.0)</f>
        <v>1</v>
      </c>
      <c r="F1372" s="108">
        <f>IFERROR(__xludf.DUMMYFUNCTION("""COMPUTED_VALUE"""),0.0)</f>
        <v>0</v>
      </c>
      <c r="G1372" s="16"/>
      <c r="H1372" s="16"/>
      <c r="I1372" s="16"/>
      <c r="J1372" s="16"/>
      <c r="K1372" s="16"/>
      <c r="L1372" s="16"/>
      <c r="M1372" s="16"/>
      <c r="N1372" s="16"/>
      <c r="O1372" s="16"/>
      <c r="P1372" s="16"/>
      <c r="Q1372" s="16"/>
      <c r="R1372" s="16"/>
      <c r="S1372" s="16"/>
      <c r="T1372" s="16"/>
      <c r="U1372" s="16"/>
      <c r="V1372" s="16"/>
      <c r="W1372" s="16"/>
      <c r="X1372" s="16"/>
      <c r="Y1372" s="16"/>
      <c r="Z1372" s="16"/>
      <c r="AA1372" s="16"/>
      <c r="AB1372" s="16"/>
      <c r="AC1372" s="16"/>
      <c r="AD1372" s="16"/>
      <c r="AE1372" s="16"/>
      <c r="AF1372" s="16"/>
      <c r="AG1372" s="16"/>
      <c r="AH1372" s="16" t="b">
        <f>IFERROR(__xludf.DUMMYFUNCTION("""COMPUTED_VALUE"""),FALSE)</f>
        <v>0</v>
      </c>
    </row>
    <row r="1373">
      <c r="A1373" s="16"/>
      <c r="B1373" s="16"/>
      <c r="C1373" s="16"/>
      <c r="D1373" s="16"/>
      <c r="E1373" s="16">
        <f>IFERROR(__xludf.DUMMYFUNCTION("""COMPUTED_VALUE"""),1.0)</f>
        <v>1</v>
      </c>
      <c r="F1373" s="108">
        <f>IFERROR(__xludf.DUMMYFUNCTION("""COMPUTED_VALUE"""),0.0)</f>
        <v>0</v>
      </c>
      <c r="G1373" s="16"/>
      <c r="H1373" s="16"/>
      <c r="I1373" s="16"/>
      <c r="J1373" s="16"/>
      <c r="K1373" s="16"/>
      <c r="L1373" s="16"/>
      <c r="M1373" s="16"/>
      <c r="N1373" s="16"/>
      <c r="O1373" s="16"/>
      <c r="P1373" s="16"/>
      <c r="Q1373" s="16"/>
      <c r="R1373" s="16"/>
      <c r="S1373" s="16"/>
      <c r="T1373" s="16"/>
      <c r="U1373" s="16"/>
      <c r="V1373" s="16"/>
      <c r="W1373" s="16"/>
      <c r="X1373" s="16"/>
      <c r="Y1373" s="16"/>
      <c r="Z1373" s="16"/>
      <c r="AA1373" s="16"/>
      <c r="AB1373" s="16"/>
      <c r="AC1373" s="16"/>
      <c r="AD1373" s="16"/>
      <c r="AE1373" s="16"/>
      <c r="AF1373" s="16"/>
      <c r="AG1373" s="16"/>
      <c r="AH1373" s="16" t="b">
        <f>IFERROR(__xludf.DUMMYFUNCTION("""COMPUTED_VALUE"""),FALSE)</f>
        <v>0</v>
      </c>
    </row>
    <row r="1374">
      <c r="A1374" s="16"/>
      <c r="B1374" s="16"/>
      <c r="C1374" s="16"/>
      <c r="D1374" s="16"/>
      <c r="E1374" s="16">
        <f>IFERROR(__xludf.DUMMYFUNCTION("""COMPUTED_VALUE"""),1.0)</f>
        <v>1</v>
      </c>
      <c r="F1374" s="108">
        <f>IFERROR(__xludf.DUMMYFUNCTION("""COMPUTED_VALUE"""),0.0)</f>
        <v>0</v>
      </c>
      <c r="G1374" s="16"/>
      <c r="H1374" s="16"/>
      <c r="I1374" s="16"/>
      <c r="J1374" s="16"/>
      <c r="K1374" s="16"/>
      <c r="L1374" s="16"/>
      <c r="M1374" s="16"/>
      <c r="N1374" s="16"/>
      <c r="O1374" s="16"/>
      <c r="P1374" s="16"/>
      <c r="Q1374" s="16"/>
      <c r="R1374" s="16"/>
      <c r="S1374" s="16"/>
      <c r="T1374" s="16"/>
      <c r="U1374" s="16"/>
      <c r="V1374" s="16"/>
      <c r="W1374" s="16"/>
      <c r="X1374" s="16"/>
      <c r="Y1374" s="16"/>
      <c r="Z1374" s="16"/>
      <c r="AA1374" s="16"/>
      <c r="AB1374" s="16"/>
      <c r="AC1374" s="16"/>
      <c r="AD1374" s="16"/>
      <c r="AE1374" s="16"/>
      <c r="AF1374" s="16"/>
      <c r="AG1374" s="16"/>
      <c r="AH1374" s="16" t="b">
        <f>IFERROR(__xludf.DUMMYFUNCTION("""COMPUTED_VALUE"""),FALSE)</f>
        <v>0</v>
      </c>
    </row>
    <row r="1375">
      <c r="A1375" s="16"/>
      <c r="B1375" s="16"/>
      <c r="C1375" s="16"/>
      <c r="D1375" s="16"/>
      <c r="E1375" s="16">
        <f>IFERROR(__xludf.DUMMYFUNCTION("""COMPUTED_VALUE"""),1.0)</f>
        <v>1</v>
      </c>
      <c r="F1375" s="108">
        <f>IFERROR(__xludf.DUMMYFUNCTION("""COMPUTED_VALUE"""),0.0)</f>
        <v>0</v>
      </c>
      <c r="G1375" s="16"/>
      <c r="H1375" s="16"/>
      <c r="I1375" s="16"/>
      <c r="J1375" s="16"/>
      <c r="K1375" s="16"/>
      <c r="L1375" s="16"/>
      <c r="M1375" s="16"/>
      <c r="N1375" s="16"/>
      <c r="O1375" s="16"/>
      <c r="P1375" s="16"/>
      <c r="Q1375" s="16"/>
      <c r="R1375" s="16"/>
      <c r="S1375" s="16"/>
      <c r="T1375" s="16"/>
      <c r="U1375" s="16"/>
      <c r="V1375" s="16"/>
      <c r="W1375" s="16"/>
      <c r="X1375" s="16"/>
      <c r="Y1375" s="16"/>
      <c r="Z1375" s="16"/>
      <c r="AA1375" s="16"/>
      <c r="AB1375" s="16"/>
      <c r="AC1375" s="16"/>
      <c r="AD1375" s="16"/>
      <c r="AE1375" s="16"/>
      <c r="AF1375" s="16"/>
      <c r="AG1375" s="16"/>
      <c r="AH1375" s="16" t="b">
        <f>IFERROR(__xludf.DUMMYFUNCTION("""COMPUTED_VALUE"""),FALSE)</f>
        <v>0</v>
      </c>
    </row>
    <row r="1376">
      <c r="A1376" s="16"/>
      <c r="B1376" s="16"/>
      <c r="C1376" s="16"/>
      <c r="D1376" s="16"/>
      <c r="E1376" s="16">
        <f>IFERROR(__xludf.DUMMYFUNCTION("""COMPUTED_VALUE"""),1.0)</f>
        <v>1</v>
      </c>
      <c r="F1376" s="108">
        <f>IFERROR(__xludf.DUMMYFUNCTION("""COMPUTED_VALUE"""),0.0)</f>
        <v>0</v>
      </c>
      <c r="G1376" s="16"/>
      <c r="H1376" s="16"/>
      <c r="I1376" s="16"/>
      <c r="J1376" s="16"/>
      <c r="K1376" s="16"/>
      <c r="L1376" s="16"/>
      <c r="M1376" s="16"/>
      <c r="N1376" s="16"/>
      <c r="O1376" s="16"/>
      <c r="P1376" s="16"/>
      <c r="Q1376" s="16"/>
      <c r="R1376" s="16"/>
      <c r="S1376" s="16"/>
      <c r="T1376" s="16"/>
      <c r="U1376" s="16"/>
      <c r="V1376" s="16"/>
      <c r="W1376" s="16"/>
      <c r="X1376" s="16"/>
      <c r="Y1376" s="16"/>
      <c r="Z1376" s="16"/>
      <c r="AA1376" s="16"/>
      <c r="AB1376" s="16"/>
      <c r="AC1376" s="16"/>
      <c r="AD1376" s="16"/>
      <c r="AE1376" s="16"/>
      <c r="AF1376" s="16"/>
      <c r="AG1376" s="16"/>
      <c r="AH1376" s="16" t="b">
        <f>IFERROR(__xludf.DUMMYFUNCTION("""COMPUTED_VALUE"""),FALSE)</f>
        <v>0</v>
      </c>
    </row>
    <row r="1377">
      <c r="A1377" s="16"/>
      <c r="B1377" s="16"/>
      <c r="C1377" s="16"/>
      <c r="D1377" s="16"/>
      <c r="E1377" s="16">
        <f>IFERROR(__xludf.DUMMYFUNCTION("""COMPUTED_VALUE"""),1.0)</f>
        <v>1</v>
      </c>
      <c r="F1377" s="108">
        <f>IFERROR(__xludf.DUMMYFUNCTION("""COMPUTED_VALUE"""),0.0)</f>
        <v>0</v>
      </c>
      <c r="G1377" s="16"/>
      <c r="H1377" s="16"/>
      <c r="I1377" s="16"/>
      <c r="J1377" s="16"/>
      <c r="K1377" s="16"/>
      <c r="L1377" s="16"/>
      <c r="M1377" s="16"/>
      <c r="N1377" s="16"/>
      <c r="O1377" s="16"/>
      <c r="P1377" s="16"/>
      <c r="Q1377" s="16"/>
      <c r="R1377" s="16"/>
      <c r="S1377" s="16"/>
      <c r="T1377" s="16"/>
      <c r="U1377" s="16"/>
      <c r="V1377" s="16"/>
      <c r="W1377" s="16"/>
      <c r="X1377" s="16"/>
      <c r="Y1377" s="16"/>
      <c r="Z1377" s="16"/>
      <c r="AA1377" s="16"/>
      <c r="AB1377" s="16"/>
      <c r="AC1377" s="16"/>
      <c r="AD1377" s="16"/>
      <c r="AE1377" s="16"/>
      <c r="AF1377" s="16"/>
      <c r="AG1377" s="16"/>
      <c r="AH1377" s="16" t="b">
        <f>IFERROR(__xludf.DUMMYFUNCTION("""COMPUTED_VALUE"""),FALSE)</f>
        <v>0</v>
      </c>
    </row>
    <row r="1378">
      <c r="A1378" s="16"/>
      <c r="B1378" s="16"/>
      <c r="C1378" s="16"/>
      <c r="D1378" s="16"/>
      <c r="E1378" s="16">
        <f>IFERROR(__xludf.DUMMYFUNCTION("""COMPUTED_VALUE"""),1.0)</f>
        <v>1</v>
      </c>
      <c r="F1378" s="108">
        <f>IFERROR(__xludf.DUMMYFUNCTION("""COMPUTED_VALUE"""),0.0)</f>
        <v>0</v>
      </c>
      <c r="G1378" s="16"/>
      <c r="H1378" s="16"/>
      <c r="I1378" s="16"/>
      <c r="J1378" s="16"/>
      <c r="K1378" s="16"/>
      <c r="L1378" s="16"/>
      <c r="M1378" s="16"/>
      <c r="N1378" s="16"/>
      <c r="O1378" s="16"/>
      <c r="P1378" s="16"/>
      <c r="Q1378" s="16"/>
      <c r="R1378" s="16"/>
      <c r="S1378" s="16"/>
      <c r="T1378" s="16"/>
      <c r="U1378" s="16"/>
      <c r="V1378" s="16"/>
      <c r="W1378" s="16"/>
      <c r="X1378" s="16"/>
      <c r="Y1378" s="16"/>
      <c r="Z1378" s="16"/>
      <c r="AA1378" s="16"/>
      <c r="AB1378" s="16"/>
      <c r="AC1378" s="16"/>
      <c r="AD1378" s="16"/>
      <c r="AE1378" s="16"/>
      <c r="AF1378" s="16"/>
      <c r="AG1378" s="16"/>
      <c r="AH1378" s="16" t="b">
        <f>IFERROR(__xludf.DUMMYFUNCTION("""COMPUTED_VALUE"""),FALSE)</f>
        <v>0</v>
      </c>
    </row>
    <row r="1379">
      <c r="A1379" s="16"/>
      <c r="B1379" s="16"/>
      <c r="C1379" s="16"/>
      <c r="D1379" s="16"/>
      <c r="E1379" s="16">
        <f>IFERROR(__xludf.DUMMYFUNCTION("""COMPUTED_VALUE"""),1.0)</f>
        <v>1</v>
      </c>
      <c r="F1379" s="108">
        <f>IFERROR(__xludf.DUMMYFUNCTION("""COMPUTED_VALUE"""),0.0)</f>
        <v>0</v>
      </c>
      <c r="G1379" s="16"/>
      <c r="H1379" s="16"/>
      <c r="I1379" s="16"/>
      <c r="J1379" s="16"/>
      <c r="K1379" s="16"/>
      <c r="L1379" s="16"/>
      <c r="M1379" s="16"/>
      <c r="N1379" s="16"/>
      <c r="O1379" s="16"/>
      <c r="P1379" s="16"/>
      <c r="Q1379" s="16"/>
      <c r="R1379" s="16"/>
      <c r="S1379" s="16"/>
      <c r="T1379" s="16"/>
      <c r="U1379" s="16"/>
      <c r="V1379" s="16"/>
      <c r="W1379" s="16"/>
      <c r="X1379" s="16"/>
      <c r="Y1379" s="16"/>
      <c r="Z1379" s="16"/>
      <c r="AA1379" s="16"/>
      <c r="AB1379" s="16"/>
      <c r="AC1379" s="16"/>
      <c r="AD1379" s="16"/>
      <c r="AE1379" s="16"/>
      <c r="AF1379" s="16"/>
      <c r="AG1379" s="16"/>
      <c r="AH1379" s="16" t="b">
        <f>IFERROR(__xludf.DUMMYFUNCTION("""COMPUTED_VALUE"""),FALSE)</f>
        <v>0</v>
      </c>
    </row>
    <row r="1380">
      <c r="A1380" s="16"/>
      <c r="B1380" s="16"/>
      <c r="C1380" s="16"/>
      <c r="D1380" s="16"/>
      <c r="E1380" s="16">
        <f>IFERROR(__xludf.DUMMYFUNCTION("""COMPUTED_VALUE"""),1.0)</f>
        <v>1</v>
      </c>
      <c r="F1380" s="108">
        <f>IFERROR(__xludf.DUMMYFUNCTION("""COMPUTED_VALUE"""),0.0)</f>
        <v>0</v>
      </c>
      <c r="G1380" s="16"/>
      <c r="H1380" s="16"/>
      <c r="I1380" s="16"/>
      <c r="J1380" s="16"/>
      <c r="K1380" s="16"/>
      <c r="L1380" s="16"/>
      <c r="M1380" s="16"/>
      <c r="N1380" s="16"/>
      <c r="O1380" s="16"/>
      <c r="P1380" s="16"/>
      <c r="Q1380" s="16"/>
      <c r="R1380" s="16"/>
      <c r="S1380" s="16"/>
      <c r="T1380" s="16"/>
      <c r="U1380" s="16"/>
      <c r="V1380" s="16"/>
      <c r="W1380" s="16"/>
      <c r="X1380" s="16"/>
      <c r="Y1380" s="16"/>
      <c r="Z1380" s="16"/>
      <c r="AA1380" s="16"/>
      <c r="AB1380" s="16"/>
      <c r="AC1380" s="16"/>
      <c r="AD1380" s="16"/>
      <c r="AE1380" s="16"/>
      <c r="AF1380" s="16"/>
      <c r="AG1380" s="16"/>
      <c r="AH1380" s="16" t="b">
        <f>IFERROR(__xludf.DUMMYFUNCTION("""COMPUTED_VALUE"""),FALSE)</f>
        <v>0</v>
      </c>
    </row>
    <row r="1381">
      <c r="A1381" s="16"/>
      <c r="B1381" s="16"/>
      <c r="C1381" s="16"/>
      <c r="D1381" s="16"/>
      <c r="E1381" s="16">
        <f>IFERROR(__xludf.DUMMYFUNCTION("""COMPUTED_VALUE"""),1.0)</f>
        <v>1</v>
      </c>
      <c r="F1381" s="108">
        <f>IFERROR(__xludf.DUMMYFUNCTION("""COMPUTED_VALUE"""),0.0)</f>
        <v>0</v>
      </c>
      <c r="G1381" s="16"/>
      <c r="H1381" s="16"/>
      <c r="I1381" s="16"/>
      <c r="J1381" s="16"/>
      <c r="K1381" s="16"/>
      <c r="L1381" s="16"/>
      <c r="M1381" s="16"/>
      <c r="N1381" s="16"/>
      <c r="O1381" s="16"/>
      <c r="P1381" s="16"/>
      <c r="Q1381" s="16"/>
      <c r="R1381" s="16"/>
      <c r="S1381" s="16"/>
      <c r="T1381" s="16"/>
      <c r="U1381" s="16"/>
      <c r="V1381" s="16"/>
      <c r="W1381" s="16"/>
      <c r="X1381" s="16"/>
      <c r="Y1381" s="16"/>
      <c r="Z1381" s="16"/>
      <c r="AA1381" s="16"/>
      <c r="AB1381" s="16"/>
      <c r="AC1381" s="16"/>
      <c r="AD1381" s="16"/>
      <c r="AE1381" s="16"/>
      <c r="AF1381" s="16"/>
      <c r="AG1381" s="16"/>
      <c r="AH1381" s="16" t="b">
        <f>IFERROR(__xludf.DUMMYFUNCTION("""COMPUTED_VALUE"""),FALSE)</f>
        <v>0</v>
      </c>
    </row>
    <row r="1382">
      <c r="A1382" s="16"/>
      <c r="B1382" s="16"/>
      <c r="C1382" s="16"/>
      <c r="D1382" s="16"/>
      <c r="E1382" s="16">
        <f>IFERROR(__xludf.DUMMYFUNCTION("""COMPUTED_VALUE"""),1.0)</f>
        <v>1</v>
      </c>
      <c r="F1382" s="108">
        <f>IFERROR(__xludf.DUMMYFUNCTION("""COMPUTED_VALUE"""),0.0)</f>
        <v>0</v>
      </c>
      <c r="G1382" s="16"/>
      <c r="H1382" s="16"/>
      <c r="I1382" s="16"/>
      <c r="J1382" s="16"/>
      <c r="K1382" s="16"/>
      <c r="L1382" s="16"/>
      <c r="M1382" s="16"/>
      <c r="N1382" s="16"/>
      <c r="O1382" s="16"/>
      <c r="P1382" s="16"/>
      <c r="Q1382" s="16"/>
      <c r="R1382" s="16"/>
      <c r="S1382" s="16"/>
      <c r="T1382" s="16"/>
      <c r="U1382" s="16"/>
      <c r="V1382" s="16"/>
      <c r="W1382" s="16"/>
      <c r="X1382" s="16"/>
      <c r="Y1382" s="16"/>
      <c r="Z1382" s="16"/>
      <c r="AA1382" s="16"/>
      <c r="AB1382" s="16"/>
      <c r="AC1382" s="16"/>
      <c r="AD1382" s="16"/>
      <c r="AE1382" s="16"/>
      <c r="AF1382" s="16"/>
      <c r="AG1382" s="16"/>
      <c r="AH1382" s="16" t="b">
        <f>IFERROR(__xludf.DUMMYFUNCTION("""COMPUTED_VALUE"""),FALSE)</f>
        <v>0</v>
      </c>
    </row>
    <row r="1383">
      <c r="A1383" s="16"/>
      <c r="B1383" s="16"/>
      <c r="C1383" s="16"/>
      <c r="D1383" s="16"/>
      <c r="E1383" s="16">
        <f>IFERROR(__xludf.DUMMYFUNCTION("""COMPUTED_VALUE"""),1.0)</f>
        <v>1</v>
      </c>
      <c r="F1383" s="108">
        <f>IFERROR(__xludf.DUMMYFUNCTION("""COMPUTED_VALUE"""),0.0)</f>
        <v>0</v>
      </c>
      <c r="G1383" s="16"/>
      <c r="H1383" s="16"/>
      <c r="I1383" s="16"/>
      <c r="J1383" s="16"/>
      <c r="K1383" s="16"/>
      <c r="L1383" s="16"/>
      <c r="M1383" s="16"/>
      <c r="N1383" s="16"/>
      <c r="O1383" s="16"/>
      <c r="P1383" s="16"/>
      <c r="Q1383" s="16"/>
      <c r="R1383" s="16"/>
      <c r="S1383" s="16"/>
      <c r="T1383" s="16"/>
      <c r="U1383" s="16"/>
      <c r="V1383" s="16"/>
      <c r="W1383" s="16"/>
      <c r="X1383" s="16"/>
      <c r="Y1383" s="16"/>
      <c r="Z1383" s="16"/>
      <c r="AA1383" s="16"/>
      <c r="AB1383" s="16"/>
      <c r="AC1383" s="16"/>
      <c r="AD1383" s="16"/>
      <c r="AE1383" s="16"/>
      <c r="AF1383" s="16"/>
      <c r="AG1383" s="16"/>
      <c r="AH1383" s="16" t="b">
        <f>IFERROR(__xludf.DUMMYFUNCTION("""COMPUTED_VALUE"""),FALSE)</f>
        <v>0</v>
      </c>
    </row>
    <row r="1384">
      <c r="A1384" s="16"/>
      <c r="B1384" s="16"/>
      <c r="C1384" s="16"/>
      <c r="D1384" s="16"/>
      <c r="E1384" s="16">
        <f>IFERROR(__xludf.DUMMYFUNCTION("""COMPUTED_VALUE"""),1.0)</f>
        <v>1</v>
      </c>
      <c r="F1384" s="108">
        <f>IFERROR(__xludf.DUMMYFUNCTION("""COMPUTED_VALUE"""),0.0)</f>
        <v>0</v>
      </c>
      <c r="G1384" s="16"/>
      <c r="H1384" s="16"/>
      <c r="I1384" s="16"/>
      <c r="J1384" s="16"/>
      <c r="K1384" s="16"/>
      <c r="L1384" s="16"/>
      <c r="M1384" s="16"/>
      <c r="N1384" s="16"/>
      <c r="O1384" s="16"/>
      <c r="P1384" s="16"/>
      <c r="Q1384" s="16"/>
      <c r="R1384" s="16"/>
      <c r="S1384" s="16"/>
      <c r="T1384" s="16"/>
      <c r="U1384" s="16"/>
      <c r="V1384" s="16"/>
      <c r="W1384" s="16"/>
      <c r="X1384" s="16"/>
      <c r="Y1384" s="16"/>
      <c r="Z1384" s="16"/>
      <c r="AA1384" s="16"/>
      <c r="AB1384" s="16"/>
      <c r="AC1384" s="16"/>
      <c r="AD1384" s="16"/>
      <c r="AE1384" s="16"/>
      <c r="AF1384" s="16"/>
      <c r="AG1384" s="16"/>
      <c r="AH1384" s="16" t="b">
        <f>IFERROR(__xludf.DUMMYFUNCTION("""COMPUTED_VALUE"""),FALSE)</f>
        <v>0</v>
      </c>
    </row>
    <row r="1385">
      <c r="A1385" s="16"/>
      <c r="B1385" s="16"/>
      <c r="C1385" s="16"/>
      <c r="D1385" s="16"/>
      <c r="E1385" s="16">
        <f>IFERROR(__xludf.DUMMYFUNCTION("""COMPUTED_VALUE"""),1.0)</f>
        <v>1</v>
      </c>
      <c r="F1385" s="108">
        <f>IFERROR(__xludf.DUMMYFUNCTION("""COMPUTED_VALUE"""),0.0)</f>
        <v>0</v>
      </c>
      <c r="G1385" s="16"/>
      <c r="H1385" s="16"/>
      <c r="I1385" s="16"/>
      <c r="J1385" s="16"/>
      <c r="K1385" s="16"/>
      <c r="L1385" s="16"/>
      <c r="M1385" s="16"/>
      <c r="N1385" s="16"/>
      <c r="O1385" s="16"/>
      <c r="P1385" s="16"/>
      <c r="Q1385" s="16"/>
      <c r="R1385" s="16"/>
      <c r="S1385" s="16"/>
      <c r="T1385" s="16"/>
      <c r="U1385" s="16"/>
      <c r="V1385" s="16"/>
      <c r="W1385" s="16"/>
      <c r="X1385" s="16"/>
      <c r="Y1385" s="16"/>
      <c r="Z1385" s="16"/>
      <c r="AA1385" s="16"/>
      <c r="AB1385" s="16"/>
      <c r="AC1385" s="16"/>
      <c r="AD1385" s="16"/>
      <c r="AE1385" s="16"/>
      <c r="AF1385" s="16"/>
      <c r="AG1385" s="16"/>
      <c r="AH1385" s="16" t="b">
        <f>IFERROR(__xludf.DUMMYFUNCTION("""COMPUTED_VALUE"""),FALSE)</f>
        <v>0</v>
      </c>
    </row>
    <row r="1386">
      <c r="A1386" s="16"/>
      <c r="B1386" s="16"/>
      <c r="C1386" s="16"/>
      <c r="D1386" s="16"/>
      <c r="E1386" s="16">
        <f>IFERROR(__xludf.DUMMYFUNCTION("""COMPUTED_VALUE"""),1.0)</f>
        <v>1</v>
      </c>
      <c r="F1386" s="108">
        <f>IFERROR(__xludf.DUMMYFUNCTION("""COMPUTED_VALUE"""),0.0)</f>
        <v>0</v>
      </c>
      <c r="G1386" s="16"/>
      <c r="H1386" s="16"/>
      <c r="I1386" s="16"/>
      <c r="J1386" s="16"/>
      <c r="K1386" s="16"/>
      <c r="L1386" s="16"/>
      <c r="M1386" s="16"/>
      <c r="N1386" s="16"/>
      <c r="O1386" s="16"/>
      <c r="P1386" s="16"/>
      <c r="Q1386" s="16"/>
      <c r="R1386" s="16"/>
      <c r="S1386" s="16"/>
      <c r="T1386" s="16"/>
      <c r="U1386" s="16"/>
      <c r="V1386" s="16"/>
      <c r="W1386" s="16"/>
      <c r="X1386" s="16"/>
      <c r="Y1386" s="16"/>
      <c r="Z1386" s="16"/>
      <c r="AA1386" s="16"/>
      <c r="AB1386" s="16"/>
      <c r="AC1386" s="16"/>
      <c r="AD1386" s="16"/>
      <c r="AE1386" s="16"/>
      <c r="AF1386" s="16"/>
      <c r="AG1386" s="16"/>
      <c r="AH1386" s="16" t="b">
        <f>IFERROR(__xludf.DUMMYFUNCTION("""COMPUTED_VALUE"""),FALSE)</f>
        <v>0</v>
      </c>
    </row>
    <row r="1387">
      <c r="A1387" s="16"/>
      <c r="B1387" s="16"/>
      <c r="C1387" s="16"/>
      <c r="D1387" s="16"/>
      <c r="E1387" s="16">
        <f>IFERROR(__xludf.DUMMYFUNCTION("""COMPUTED_VALUE"""),1.0)</f>
        <v>1</v>
      </c>
      <c r="F1387" s="108">
        <f>IFERROR(__xludf.DUMMYFUNCTION("""COMPUTED_VALUE"""),0.0)</f>
        <v>0</v>
      </c>
      <c r="G1387" s="16"/>
      <c r="H1387" s="16"/>
      <c r="I1387" s="16"/>
      <c r="J1387" s="16"/>
      <c r="K1387" s="16"/>
      <c r="L1387" s="16"/>
      <c r="M1387" s="16"/>
      <c r="N1387" s="16"/>
      <c r="O1387" s="16"/>
      <c r="P1387" s="16"/>
      <c r="Q1387" s="16"/>
      <c r="R1387" s="16"/>
      <c r="S1387" s="16"/>
      <c r="T1387" s="16"/>
      <c r="U1387" s="16"/>
      <c r="V1387" s="16"/>
      <c r="W1387" s="16"/>
      <c r="X1387" s="16"/>
      <c r="Y1387" s="16"/>
      <c r="Z1387" s="16"/>
      <c r="AA1387" s="16"/>
      <c r="AB1387" s="16"/>
      <c r="AC1387" s="16"/>
      <c r="AD1387" s="16"/>
      <c r="AE1387" s="16"/>
      <c r="AF1387" s="16"/>
      <c r="AG1387" s="16"/>
      <c r="AH1387" s="16" t="b">
        <f>IFERROR(__xludf.DUMMYFUNCTION("""COMPUTED_VALUE"""),FALSE)</f>
        <v>0</v>
      </c>
    </row>
    <row r="1388">
      <c r="A1388" s="16"/>
      <c r="B1388" s="16"/>
      <c r="C1388" s="16"/>
      <c r="D1388" s="16"/>
      <c r="E1388" s="16">
        <f>IFERROR(__xludf.DUMMYFUNCTION("""COMPUTED_VALUE"""),1.0)</f>
        <v>1</v>
      </c>
      <c r="F1388" s="108">
        <f>IFERROR(__xludf.DUMMYFUNCTION("""COMPUTED_VALUE"""),0.0)</f>
        <v>0</v>
      </c>
      <c r="G1388" s="16"/>
      <c r="H1388" s="16"/>
      <c r="I1388" s="16"/>
      <c r="J1388" s="16"/>
      <c r="K1388" s="16"/>
      <c r="L1388" s="16"/>
      <c r="M1388" s="16"/>
      <c r="N1388" s="16"/>
      <c r="O1388" s="16"/>
      <c r="P1388" s="16"/>
      <c r="Q1388" s="16"/>
      <c r="R1388" s="16"/>
      <c r="S1388" s="16"/>
      <c r="T1388" s="16"/>
      <c r="U1388" s="16"/>
      <c r="V1388" s="16"/>
      <c r="W1388" s="16"/>
      <c r="X1388" s="16"/>
      <c r="Y1388" s="16"/>
      <c r="Z1388" s="16"/>
      <c r="AA1388" s="16"/>
      <c r="AB1388" s="16"/>
      <c r="AC1388" s="16"/>
      <c r="AD1388" s="16"/>
      <c r="AE1388" s="16"/>
      <c r="AF1388" s="16"/>
      <c r="AG1388" s="16"/>
      <c r="AH1388" s="16" t="b">
        <f>IFERROR(__xludf.DUMMYFUNCTION("""COMPUTED_VALUE"""),FALSE)</f>
        <v>0</v>
      </c>
    </row>
    <row r="1389">
      <c r="A1389" s="16"/>
      <c r="B1389" s="16"/>
      <c r="C1389" s="16"/>
      <c r="D1389" s="16"/>
      <c r="E1389" s="16">
        <f>IFERROR(__xludf.DUMMYFUNCTION("""COMPUTED_VALUE"""),1.0)</f>
        <v>1</v>
      </c>
      <c r="F1389" s="108">
        <f>IFERROR(__xludf.DUMMYFUNCTION("""COMPUTED_VALUE"""),0.0)</f>
        <v>0</v>
      </c>
      <c r="G1389" s="16"/>
      <c r="H1389" s="16"/>
      <c r="I1389" s="16"/>
      <c r="J1389" s="16"/>
      <c r="K1389" s="16"/>
      <c r="L1389" s="16"/>
      <c r="M1389" s="16"/>
      <c r="N1389" s="16"/>
      <c r="O1389" s="16"/>
      <c r="P1389" s="16"/>
      <c r="Q1389" s="16"/>
      <c r="R1389" s="16"/>
      <c r="S1389" s="16"/>
      <c r="T1389" s="16"/>
      <c r="U1389" s="16"/>
      <c r="V1389" s="16"/>
      <c r="W1389" s="16"/>
      <c r="X1389" s="16"/>
      <c r="Y1389" s="16"/>
      <c r="Z1389" s="16"/>
      <c r="AA1389" s="16"/>
      <c r="AB1389" s="16"/>
      <c r="AC1389" s="16"/>
      <c r="AD1389" s="16"/>
      <c r="AE1389" s="16"/>
      <c r="AF1389" s="16"/>
      <c r="AG1389" s="16"/>
      <c r="AH1389" s="16" t="b">
        <f>IFERROR(__xludf.DUMMYFUNCTION("""COMPUTED_VALUE"""),FALSE)</f>
        <v>0</v>
      </c>
    </row>
    <row r="1390">
      <c r="A1390" s="16"/>
      <c r="B1390" s="16"/>
      <c r="C1390" s="16"/>
      <c r="D1390" s="16"/>
      <c r="E1390" s="16">
        <f>IFERROR(__xludf.DUMMYFUNCTION("""COMPUTED_VALUE"""),1.0)</f>
        <v>1</v>
      </c>
      <c r="F1390" s="108">
        <f>IFERROR(__xludf.DUMMYFUNCTION("""COMPUTED_VALUE"""),0.0)</f>
        <v>0</v>
      </c>
      <c r="G1390" s="16"/>
      <c r="H1390" s="16"/>
      <c r="I1390" s="16"/>
      <c r="J1390" s="16"/>
      <c r="K1390" s="16"/>
      <c r="L1390" s="16"/>
      <c r="M1390" s="16"/>
      <c r="N1390" s="16"/>
      <c r="O1390" s="16"/>
      <c r="P1390" s="16"/>
      <c r="Q1390" s="16"/>
      <c r="R1390" s="16"/>
      <c r="S1390" s="16"/>
      <c r="T1390" s="16"/>
      <c r="U1390" s="16"/>
      <c r="V1390" s="16"/>
      <c r="W1390" s="16"/>
      <c r="X1390" s="16"/>
      <c r="Y1390" s="16"/>
      <c r="Z1390" s="16"/>
      <c r="AA1390" s="16"/>
      <c r="AB1390" s="16"/>
      <c r="AC1390" s="16"/>
      <c r="AD1390" s="16"/>
      <c r="AE1390" s="16"/>
      <c r="AF1390" s="16"/>
      <c r="AG1390" s="16"/>
      <c r="AH1390" s="16" t="b">
        <f>IFERROR(__xludf.DUMMYFUNCTION("""COMPUTED_VALUE"""),FALSE)</f>
        <v>0</v>
      </c>
    </row>
    <row r="1391">
      <c r="A1391" s="16"/>
      <c r="B1391" s="16"/>
      <c r="C1391" s="16"/>
      <c r="D1391" s="16"/>
      <c r="E1391" s="16">
        <f>IFERROR(__xludf.DUMMYFUNCTION("""COMPUTED_VALUE"""),1.0)</f>
        <v>1</v>
      </c>
      <c r="F1391" s="108">
        <f>IFERROR(__xludf.DUMMYFUNCTION("""COMPUTED_VALUE"""),0.0)</f>
        <v>0</v>
      </c>
      <c r="G1391" s="16"/>
      <c r="H1391" s="16"/>
      <c r="I1391" s="16"/>
      <c r="J1391" s="16"/>
      <c r="K1391" s="16"/>
      <c r="L1391" s="16"/>
      <c r="M1391" s="16"/>
      <c r="N1391" s="16"/>
      <c r="O1391" s="16"/>
      <c r="P1391" s="16"/>
      <c r="Q1391" s="16"/>
      <c r="R1391" s="16"/>
      <c r="S1391" s="16"/>
      <c r="T1391" s="16"/>
      <c r="U1391" s="16"/>
      <c r="V1391" s="16"/>
      <c r="W1391" s="16"/>
      <c r="X1391" s="16"/>
      <c r="Y1391" s="16"/>
      <c r="Z1391" s="16"/>
      <c r="AA1391" s="16"/>
      <c r="AB1391" s="16"/>
      <c r="AC1391" s="16"/>
      <c r="AD1391" s="16"/>
      <c r="AE1391" s="16"/>
      <c r="AF1391" s="16"/>
      <c r="AG1391" s="16"/>
      <c r="AH1391" s="16" t="b">
        <f>IFERROR(__xludf.DUMMYFUNCTION("""COMPUTED_VALUE"""),FALSE)</f>
        <v>0</v>
      </c>
    </row>
    <row r="1392">
      <c r="A1392" s="16"/>
      <c r="B1392" s="16"/>
      <c r="C1392" s="16"/>
      <c r="D1392" s="16"/>
      <c r="E1392" s="16">
        <f>IFERROR(__xludf.DUMMYFUNCTION("""COMPUTED_VALUE"""),1.0)</f>
        <v>1</v>
      </c>
      <c r="F1392" s="108">
        <f>IFERROR(__xludf.DUMMYFUNCTION("""COMPUTED_VALUE"""),0.0)</f>
        <v>0</v>
      </c>
      <c r="G1392" s="16"/>
      <c r="H1392" s="16"/>
      <c r="I1392" s="16"/>
      <c r="J1392" s="16"/>
      <c r="K1392" s="16"/>
      <c r="L1392" s="16"/>
      <c r="M1392" s="16"/>
      <c r="N1392" s="16"/>
      <c r="O1392" s="16"/>
      <c r="P1392" s="16"/>
      <c r="Q1392" s="16"/>
      <c r="R1392" s="16"/>
      <c r="S1392" s="16"/>
      <c r="T1392" s="16"/>
      <c r="U1392" s="16"/>
      <c r="V1392" s="16"/>
      <c r="W1392" s="16"/>
      <c r="X1392" s="16"/>
      <c r="Y1392" s="16"/>
      <c r="Z1392" s="16"/>
      <c r="AA1392" s="16"/>
      <c r="AB1392" s="16"/>
      <c r="AC1392" s="16"/>
      <c r="AD1392" s="16"/>
      <c r="AE1392" s="16"/>
      <c r="AF1392" s="16"/>
      <c r="AG1392" s="16"/>
      <c r="AH1392" s="16" t="b">
        <f>IFERROR(__xludf.DUMMYFUNCTION("""COMPUTED_VALUE"""),FALSE)</f>
        <v>0</v>
      </c>
    </row>
    <row r="1393">
      <c r="A1393" s="16"/>
      <c r="B1393" s="16"/>
      <c r="C1393" s="16"/>
      <c r="D1393" s="16"/>
      <c r="E1393" s="16">
        <f>IFERROR(__xludf.DUMMYFUNCTION("""COMPUTED_VALUE"""),1.0)</f>
        <v>1</v>
      </c>
      <c r="F1393" s="108">
        <f>IFERROR(__xludf.DUMMYFUNCTION("""COMPUTED_VALUE"""),0.0)</f>
        <v>0</v>
      </c>
      <c r="G1393" s="16"/>
      <c r="H1393" s="16"/>
      <c r="I1393" s="16"/>
      <c r="J1393" s="16"/>
      <c r="K1393" s="16"/>
      <c r="L1393" s="16"/>
      <c r="M1393" s="16"/>
      <c r="N1393" s="16"/>
      <c r="O1393" s="16"/>
      <c r="P1393" s="16"/>
      <c r="Q1393" s="16"/>
      <c r="R1393" s="16"/>
      <c r="S1393" s="16"/>
      <c r="T1393" s="16"/>
      <c r="U1393" s="16"/>
      <c r="V1393" s="16"/>
      <c r="W1393" s="16"/>
      <c r="X1393" s="16"/>
      <c r="Y1393" s="16"/>
      <c r="Z1393" s="16"/>
      <c r="AA1393" s="16"/>
      <c r="AB1393" s="16"/>
      <c r="AC1393" s="16"/>
      <c r="AD1393" s="16"/>
      <c r="AE1393" s="16"/>
      <c r="AF1393" s="16"/>
      <c r="AG1393" s="16"/>
      <c r="AH1393" s="16" t="b">
        <f>IFERROR(__xludf.DUMMYFUNCTION("""COMPUTED_VALUE"""),FALSE)</f>
        <v>0</v>
      </c>
    </row>
    <row r="1394">
      <c r="A1394" s="16"/>
      <c r="B1394" s="16"/>
      <c r="C1394" s="16"/>
      <c r="D1394" s="16"/>
      <c r="E1394" s="16">
        <f>IFERROR(__xludf.DUMMYFUNCTION("""COMPUTED_VALUE"""),1.0)</f>
        <v>1</v>
      </c>
      <c r="F1394" s="108">
        <f>IFERROR(__xludf.DUMMYFUNCTION("""COMPUTED_VALUE"""),0.0)</f>
        <v>0</v>
      </c>
      <c r="G1394" s="16"/>
      <c r="H1394" s="16"/>
      <c r="I1394" s="16"/>
      <c r="J1394" s="16"/>
      <c r="K1394" s="16"/>
      <c r="L1394" s="16"/>
      <c r="M1394" s="16"/>
      <c r="N1394" s="16"/>
      <c r="O1394" s="16"/>
      <c r="P1394" s="16"/>
      <c r="Q1394" s="16"/>
      <c r="R1394" s="16"/>
      <c r="S1394" s="16"/>
      <c r="T1394" s="16"/>
      <c r="U1394" s="16"/>
      <c r="V1394" s="16"/>
      <c r="W1394" s="16"/>
      <c r="X1394" s="16"/>
      <c r="Y1394" s="16"/>
      <c r="Z1394" s="16"/>
      <c r="AA1394" s="16"/>
      <c r="AB1394" s="16"/>
      <c r="AC1394" s="16"/>
      <c r="AD1394" s="16"/>
      <c r="AE1394" s="16"/>
      <c r="AF1394" s="16"/>
      <c r="AG1394" s="16"/>
      <c r="AH1394" s="16" t="b">
        <f>IFERROR(__xludf.DUMMYFUNCTION("""COMPUTED_VALUE"""),FALSE)</f>
        <v>0</v>
      </c>
    </row>
    <row r="1395">
      <c r="A1395" s="16"/>
      <c r="B1395" s="16"/>
      <c r="C1395" s="16"/>
      <c r="D1395" s="16"/>
      <c r="E1395" s="16">
        <f>IFERROR(__xludf.DUMMYFUNCTION("""COMPUTED_VALUE"""),1.0)</f>
        <v>1</v>
      </c>
      <c r="F1395" s="108">
        <f>IFERROR(__xludf.DUMMYFUNCTION("""COMPUTED_VALUE"""),0.0)</f>
        <v>0</v>
      </c>
      <c r="G1395" s="16"/>
      <c r="H1395" s="16"/>
      <c r="I1395" s="16"/>
      <c r="J1395" s="16"/>
      <c r="K1395" s="16"/>
      <c r="L1395" s="16"/>
      <c r="M1395" s="16"/>
      <c r="N1395" s="16"/>
      <c r="O1395" s="16"/>
      <c r="P1395" s="16"/>
      <c r="Q1395" s="16"/>
      <c r="R1395" s="16"/>
      <c r="S1395" s="16"/>
      <c r="T1395" s="16"/>
      <c r="U1395" s="16"/>
      <c r="V1395" s="16"/>
      <c r="W1395" s="16"/>
      <c r="X1395" s="16"/>
      <c r="Y1395" s="16"/>
      <c r="Z1395" s="16"/>
      <c r="AA1395" s="16"/>
      <c r="AB1395" s="16"/>
      <c r="AC1395" s="16"/>
      <c r="AD1395" s="16"/>
      <c r="AE1395" s="16"/>
      <c r="AF1395" s="16"/>
      <c r="AG1395" s="16"/>
      <c r="AH1395" s="16" t="b">
        <f>IFERROR(__xludf.DUMMYFUNCTION("""COMPUTED_VALUE"""),FALSE)</f>
        <v>0</v>
      </c>
    </row>
    <row r="1396">
      <c r="A1396" s="16"/>
      <c r="B1396" s="16"/>
      <c r="C1396" s="16"/>
      <c r="D1396" s="16"/>
      <c r="E1396" s="16">
        <f>IFERROR(__xludf.DUMMYFUNCTION("""COMPUTED_VALUE"""),1.0)</f>
        <v>1</v>
      </c>
      <c r="F1396" s="108">
        <f>IFERROR(__xludf.DUMMYFUNCTION("""COMPUTED_VALUE"""),0.0)</f>
        <v>0</v>
      </c>
      <c r="G1396" s="16"/>
      <c r="H1396" s="16"/>
      <c r="I1396" s="16"/>
      <c r="J1396" s="16"/>
      <c r="K1396" s="16"/>
      <c r="L1396" s="16"/>
      <c r="M1396" s="16"/>
      <c r="N1396" s="16"/>
      <c r="O1396" s="16"/>
      <c r="P1396" s="16"/>
      <c r="Q1396" s="16"/>
      <c r="R1396" s="16"/>
      <c r="S1396" s="16"/>
      <c r="T1396" s="16"/>
      <c r="U1396" s="16"/>
      <c r="V1396" s="16"/>
      <c r="W1396" s="16"/>
      <c r="X1396" s="16"/>
      <c r="Y1396" s="16"/>
      <c r="Z1396" s="16"/>
      <c r="AA1396" s="16"/>
      <c r="AB1396" s="16"/>
      <c r="AC1396" s="16"/>
      <c r="AD1396" s="16"/>
      <c r="AE1396" s="16"/>
      <c r="AF1396" s="16"/>
      <c r="AG1396" s="16"/>
      <c r="AH1396" s="16" t="b">
        <f>IFERROR(__xludf.DUMMYFUNCTION("""COMPUTED_VALUE"""),FALSE)</f>
        <v>0</v>
      </c>
    </row>
    <row r="1397">
      <c r="A1397" s="16"/>
      <c r="B1397" s="16"/>
      <c r="C1397" s="16"/>
      <c r="D1397" s="16"/>
      <c r="E1397" s="16">
        <f>IFERROR(__xludf.DUMMYFUNCTION("""COMPUTED_VALUE"""),1.0)</f>
        <v>1</v>
      </c>
      <c r="F1397" s="108">
        <f>IFERROR(__xludf.DUMMYFUNCTION("""COMPUTED_VALUE"""),0.0)</f>
        <v>0</v>
      </c>
      <c r="G1397" s="16"/>
      <c r="H1397" s="16"/>
      <c r="I1397" s="16"/>
      <c r="J1397" s="16"/>
      <c r="K1397" s="16"/>
      <c r="L1397" s="16"/>
      <c r="M1397" s="16"/>
      <c r="N1397" s="16"/>
      <c r="O1397" s="16"/>
      <c r="P1397" s="16"/>
      <c r="Q1397" s="16"/>
      <c r="R1397" s="16"/>
      <c r="S1397" s="16"/>
      <c r="T1397" s="16"/>
      <c r="U1397" s="16"/>
      <c r="V1397" s="16"/>
      <c r="W1397" s="16"/>
      <c r="X1397" s="16"/>
      <c r="Y1397" s="16"/>
      <c r="Z1397" s="16"/>
      <c r="AA1397" s="16"/>
      <c r="AB1397" s="16"/>
      <c r="AC1397" s="16"/>
      <c r="AD1397" s="16"/>
      <c r="AE1397" s="16"/>
      <c r="AF1397" s="16"/>
      <c r="AG1397" s="16"/>
      <c r="AH1397" s="16" t="b">
        <f>IFERROR(__xludf.DUMMYFUNCTION("""COMPUTED_VALUE"""),FALSE)</f>
        <v>0</v>
      </c>
    </row>
    <row r="1398">
      <c r="A1398" s="16"/>
      <c r="B1398" s="16"/>
      <c r="C1398" s="16"/>
      <c r="D1398" s="16"/>
      <c r="E1398" s="16">
        <f>IFERROR(__xludf.DUMMYFUNCTION("""COMPUTED_VALUE"""),1.0)</f>
        <v>1</v>
      </c>
      <c r="F1398" s="108">
        <f>IFERROR(__xludf.DUMMYFUNCTION("""COMPUTED_VALUE"""),0.0)</f>
        <v>0</v>
      </c>
      <c r="G1398" s="16"/>
      <c r="H1398" s="16"/>
      <c r="I1398" s="16"/>
      <c r="J1398" s="16"/>
      <c r="K1398" s="16"/>
      <c r="L1398" s="16"/>
      <c r="M1398" s="16"/>
      <c r="N1398" s="16"/>
      <c r="O1398" s="16"/>
      <c r="P1398" s="16"/>
      <c r="Q1398" s="16"/>
      <c r="R1398" s="16"/>
      <c r="S1398" s="16"/>
      <c r="T1398" s="16"/>
      <c r="U1398" s="16"/>
      <c r="V1398" s="16"/>
      <c r="W1398" s="16"/>
      <c r="X1398" s="16"/>
      <c r="Y1398" s="16"/>
      <c r="Z1398" s="16"/>
      <c r="AA1398" s="16"/>
      <c r="AB1398" s="16"/>
      <c r="AC1398" s="16"/>
      <c r="AD1398" s="16"/>
      <c r="AE1398" s="16"/>
      <c r="AF1398" s="16"/>
      <c r="AG1398" s="16"/>
      <c r="AH1398" s="16" t="b">
        <f>IFERROR(__xludf.DUMMYFUNCTION("""COMPUTED_VALUE"""),FALSE)</f>
        <v>0</v>
      </c>
    </row>
    <row r="1399">
      <c r="A1399" s="16"/>
      <c r="B1399" s="16"/>
      <c r="C1399" s="16"/>
      <c r="D1399" s="16"/>
      <c r="E1399" s="16">
        <f>IFERROR(__xludf.DUMMYFUNCTION("""COMPUTED_VALUE"""),1.0)</f>
        <v>1</v>
      </c>
      <c r="F1399" s="108">
        <f>IFERROR(__xludf.DUMMYFUNCTION("""COMPUTED_VALUE"""),0.0)</f>
        <v>0</v>
      </c>
      <c r="G1399" s="16"/>
      <c r="H1399" s="16"/>
      <c r="I1399" s="16"/>
      <c r="J1399" s="16"/>
      <c r="K1399" s="16"/>
      <c r="L1399" s="16"/>
      <c r="M1399" s="16"/>
      <c r="N1399" s="16"/>
      <c r="O1399" s="16"/>
      <c r="P1399" s="16"/>
      <c r="Q1399" s="16"/>
      <c r="R1399" s="16"/>
      <c r="S1399" s="16"/>
      <c r="T1399" s="16"/>
      <c r="U1399" s="16"/>
      <c r="V1399" s="16"/>
      <c r="W1399" s="16"/>
      <c r="X1399" s="16"/>
      <c r="Y1399" s="16"/>
      <c r="Z1399" s="16"/>
      <c r="AA1399" s="16"/>
      <c r="AB1399" s="16"/>
      <c r="AC1399" s="16"/>
      <c r="AD1399" s="16"/>
      <c r="AE1399" s="16"/>
      <c r="AF1399" s="16"/>
      <c r="AG1399" s="16"/>
      <c r="AH1399" s="16" t="b">
        <f>IFERROR(__xludf.DUMMYFUNCTION("""COMPUTED_VALUE"""),FALSE)</f>
        <v>0</v>
      </c>
    </row>
    <row r="1400">
      <c r="A1400" s="16"/>
      <c r="B1400" s="16"/>
      <c r="C1400" s="16"/>
      <c r="D1400" s="16"/>
      <c r="E1400" s="16">
        <f>IFERROR(__xludf.DUMMYFUNCTION("""COMPUTED_VALUE"""),1.0)</f>
        <v>1</v>
      </c>
      <c r="F1400" s="108">
        <f>IFERROR(__xludf.DUMMYFUNCTION("""COMPUTED_VALUE"""),0.0)</f>
        <v>0</v>
      </c>
      <c r="G1400" s="16"/>
      <c r="H1400" s="16"/>
      <c r="I1400" s="16"/>
      <c r="J1400" s="16"/>
      <c r="K1400" s="16"/>
      <c r="L1400" s="16"/>
      <c r="M1400" s="16"/>
      <c r="N1400" s="16"/>
      <c r="O1400" s="16"/>
      <c r="P1400" s="16"/>
      <c r="Q1400" s="16"/>
      <c r="R1400" s="16"/>
      <c r="S1400" s="16"/>
      <c r="T1400" s="16"/>
      <c r="U1400" s="16"/>
      <c r="V1400" s="16"/>
      <c r="W1400" s="16"/>
      <c r="X1400" s="16"/>
      <c r="Y1400" s="16"/>
      <c r="Z1400" s="16"/>
      <c r="AA1400" s="16"/>
      <c r="AB1400" s="16"/>
      <c r="AC1400" s="16"/>
      <c r="AD1400" s="16"/>
      <c r="AE1400" s="16"/>
      <c r="AF1400" s="16"/>
      <c r="AG1400" s="16"/>
      <c r="AH1400" s="16" t="b">
        <f>IFERROR(__xludf.DUMMYFUNCTION("""COMPUTED_VALUE"""),FALSE)</f>
        <v>0</v>
      </c>
    </row>
    <row r="1401">
      <c r="A1401" s="16"/>
      <c r="B1401" s="16"/>
      <c r="C1401" s="16"/>
      <c r="D1401" s="16"/>
      <c r="E1401" s="16">
        <f>IFERROR(__xludf.DUMMYFUNCTION("""COMPUTED_VALUE"""),1.0)</f>
        <v>1</v>
      </c>
      <c r="F1401" s="108">
        <f>IFERROR(__xludf.DUMMYFUNCTION("""COMPUTED_VALUE"""),0.0)</f>
        <v>0</v>
      </c>
      <c r="G1401" s="16"/>
      <c r="H1401" s="16"/>
      <c r="I1401" s="16"/>
      <c r="J1401" s="16"/>
      <c r="K1401" s="16"/>
      <c r="L1401" s="16"/>
      <c r="M1401" s="16"/>
      <c r="N1401" s="16"/>
      <c r="O1401" s="16"/>
      <c r="P1401" s="16"/>
      <c r="Q1401" s="16"/>
      <c r="R1401" s="16"/>
      <c r="S1401" s="16"/>
      <c r="T1401" s="16"/>
      <c r="U1401" s="16"/>
      <c r="V1401" s="16"/>
      <c r="W1401" s="16"/>
      <c r="X1401" s="16"/>
      <c r="Y1401" s="16"/>
      <c r="Z1401" s="16"/>
      <c r="AA1401" s="16"/>
      <c r="AB1401" s="16"/>
      <c r="AC1401" s="16"/>
      <c r="AD1401" s="16"/>
      <c r="AE1401" s="16"/>
      <c r="AF1401" s="16"/>
      <c r="AG1401" s="16"/>
      <c r="AH1401" s="16" t="b">
        <f>IFERROR(__xludf.DUMMYFUNCTION("""COMPUTED_VALUE"""),FALSE)</f>
        <v>0</v>
      </c>
    </row>
    <row r="1402">
      <c r="A1402" s="16"/>
      <c r="B1402" s="16"/>
      <c r="C1402" s="16"/>
      <c r="D1402" s="16"/>
      <c r="E1402" s="16">
        <f>IFERROR(__xludf.DUMMYFUNCTION("""COMPUTED_VALUE"""),1.0)</f>
        <v>1</v>
      </c>
      <c r="F1402" s="108">
        <f>IFERROR(__xludf.DUMMYFUNCTION("""COMPUTED_VALUE"""),0.0)</f>
        <v>0</v>
      </c>
      <c r="G1402" s="16"/>
      <c r="H1402" s="16"/>
      <c r="I1402" s="16"/>
      <c r="J1402" s="16"/>
      <c r="K1402" s="16"/>
      <c r="L1402" s="16"/>
      <c r="M1402" s="16"/>
      <c r="N1402" s="16"/>
      <c r="O1402" s="16"/>
      <c r="P1402" s="16"/>
      <c r="Q1402" s="16"/>
      <c r="R1402" s="16"/>
      <c r="S1402" s="16"/>
      <c r="T1402" s="16"/>
      <c r="U1402" s="16"/>
      <c r="V1402" s="16"/>
      <c r="W1402" s="16"/>
      <c r="X1402" s="16"/>
      <c r="Y1402" s="16"/>
      <c r="Z1402" s="16"/>
      <c r="AA1402" s="16"/>
      <c r="AB1402" s="16"/>
      <c r="AC1402" s="16"/>
      <c r="AD1402" s="16"/>
      <c r="AE1402" s="16"/>
      <c r="AF1402" s="16"/>
      <c r="AG1402" s="16"/>
      <c r="AH1402" s="16" t="b">
        <f>IFERROR(__xludf.DUMMYFUNCTION("""COMPUTED_VALUE"""),FALSE)</f>
        <v>0</v>
      </c>
    </row>
    <row r="1403">
      <c r="A1403" s="16"/>
      <c r="B1403" s="16"/>
      <c r="C1403" s="16"/>
      <c r="D1403" s="16"/>
      <c r="E1403" s="16">
        <f>IFERROR(__xludf.DUMMYFUNCTION("""COMPUTED_VALUE"""),1.0)</f>
        <v>1</v>
      </c>
      <c r="F1403" s="108">
        <f>IFERROR(__xludf.DUMMYFUNCTION("""COMPUTED_VALUE"""),0.0)</f>
        <v>0</v>
      </c>
      <c r="G1403" s="16"/>
      <c r="H1403" s="16"/>
      <c r="I1403" s="16"/>
      <c r="J1403" s="16"/>
      <c r="K1403" s="16"/>
      <c r="L1403" s="16"/>
      <c r="M1403" s="16"/>
      <c r="N1403" s="16"/>
      <c r="O1403" s="16"/>
      <c r="P1403" s="16"/>
      <c r="Q1403" s="16"/>
      <c r="R1403" s="16"/>
      <c r="S1403" s="16"/>
      <c r="T1403" s="16"/>
      <c r="U1403" s="16"/>
      <c r="V1403" s="16"/>
      <c r="W1403" s="16"/>
      <c r="X1403" s="16"/>
      <c r="Y1403" s="16"/>
      <c r="Z1403" s="16"/>
      <c r="AA1403" s="16"/>
      <c r="AB1403" s="16"/>
      <c r="AC1403" s="16"/>
      <c r="AD1403" s="16"/>
      <c r="AE1403" s="16"/>
      <c r="AF1403" s="16"/>
      <c r="AG1403" s="16"/>
      <c r="AH1403" s="16" t="b">
        <f>IFERROR(__xludf.DUMMYFUNCTION("""COMPUTED_VALUE"""),FALSE)</f>
        <v>0</v>
      </c>
    </row>
    <row r="1404">
      <c r="A1404" s="16"/>
      <c r="B1404" s="16"/>
      <c r="C1404" s="16"/>
      <c r="D1404" s="16"/>
      <c r="E1404" s="16">
        <f>IFERROR(__xludf.DUMMYFUNCTION("""COMPUTED_VALUE"""),1.0)</f>
        <v>1</v>
      </c>
      <c r="F1404" s="108">
        <f>IFERROR(__xludf.DUMMYFUNCTION("""COMPUTED_VALUE"""),0.0)</f>
        <v>0</v>
      </c>
      <c r="G1404" s="16"/>
      <c r="H1404" s="16"/>
      <c r="I1404" s="16"/>
      <c r="J1404" s="16"/>
      <c r="K1404" s="16"/>
      <c r="L1404" s="16"/>
      <c r="M1404" s="16"/>
      <c r="N1404" s="16"/>
      <c r="O1404" s="16"/>
      <c r="P1404" s="16"/>
      <c r="Q1404" s="16"/>
      <c r="R1404" s="16"/>
      <c r="S1404" s="16"/>
      <c r="T1404" s="16"/>
      <c r="U1404" s="16"/>
      <c r="V1404" s="16"/>
      <c r="W1404" s="16"/>
      <c r="X1404" s="16"/>
      <c r="Y1404" s="16"/>
      <c r="Z1404" s="16"/>
      <c r="AA1404" s="16"/>
      <c r="AB1404" s="16"/>
      <c r="AC1404" s="16"/>
      <c r="AD1404" s="16"/>
      <c r="AE1404" s="16"/>
      <c r="AF1404" s="16"/>
      <c r="AG1404" s="16"/>
      <c r="AH1404" s="16" t="b">
        <f>IFERROR(__xludf.DUMMYFUNCTION("""COMPUTED_VALUE"""),FALSE)</f>
        <v>0</v>
      </c>
    </row>
    <row r="1405">
      <c r="A1405" s="16"/>
      <c r="B1405" s="16"/>
      <c r="C1405" s="16"/>
      <c r="D1405" s="16"/>
      <c r="E1405" s="16">
        <f>IFERROR(__xludf.DUMMYFUNCTION("""COMPUTED_VALUE"""),1.0)</f>
        <v>1</v>
      </c>
      <c r="F1405" s="108">
        <f>IFERROR(__xludf.DUMMYFUNCTION("""COMPUTED_VALUE"""),0.0)</f>
        <v>0</v>
      </c>
      <c r="G1405" s="16"/>
      <c r="H1405" s="16"/>
      <c r="I1405" s="16"/>
      <c r="J1405" s="16"/>
      <c r="K1405" s="16"/>
      <c r="L1405" s="16"/>
      <c r="M1405" s="16"/>
      <c r="N1405" s="16"/>
      <c r="O1405" s="16"/>
      <c r="P1405" s="16"/>
      <c r="Q1405" s="16"/>
      <c r="R1405" s="16"/>
      <c r="S1405" s="16"/>
      <c r="T1405" s="16"/>
      <c r="U1405" s="16"/>
      <c r="V1405" s="16"/>
      <c r="W1405" s="16"/>
      <c r="X1405" s="16"/>
      <c r="Y1405" s="16"/>
      <c r="Z1405" s="16"/>
      <c r="AA1405" s="16"/>
      <c r="AB1405" s="16"/>
      <c r="AC1405" s="16"/>
      <c r="AD1405" s="16"/>
      <c r="AE1405" s="16"/>
      <c r="AF1405" s="16"/>
      <c r="AG1405" s="16"/>
      <c r="AH1405" s="16" t="b">
        <f>IFERROR(__xludf.DUMMYFUNCTION("""COMPUTED_VALUE"""),FALSE)</f>
        <v>0</v>
      </c>
    </row>
    <row r="1406">
      <c r="A1406" s="16"/>
      <c r="B1406" s="16"/>
      <c r="C1406" s="16"/>
      <c r="D1406" s="16"/>
      <c r="E1406" s="16">
        <f>IFERROR(__xludf.DUMMYFUNCTION("""COMPUTED_VALUE"""),1.0)</f>
        <v>1</v>
      </c>
      <c r="F1406" s="108">
        <f>IFERROR(__xludf.DUMMYFUNCTION("""COMPUTED_VALUE"""),0.0)</f>
        <v>0</v>
      </c>
      <c r="G1406" s="16"/>
      <c r="H1406" s="16"/>
      <c r="I1406" s="16"/>
      <c r="J1406" s="16"/>
      <c r="K1406" s="16"/>
      <c r="L1406" s="16"/>
      <c r="M1406" s="16"/>
      <c r="N1406" s="16"/>
      <c r="O1406" s="16"/>
      <c r="P1406" s="16"/>
      <c r="Q1406" s="16"/>
      <c r="R1406" s="16"/>
      <c r="S1406" s="16"/>
      <c r="T1406" s="16"/>
      <c r="U1406" s="16"/>
      <c r="V1406" s="16"/>
      <c r="W1406" s="16"/>
      <c r="X1406" s="16"/>
      <c r="Y1406" s="16"/>
      <c r="Z1406" s="16"/>
      <c r="AA1406" s="16"/>
      <c r="AB1406" s="16"/>
      <c r="AC1406" s="16"/>
      <c r="AD1406" s="16"/>
      <c r="AE1406" s="16"/>
      <c r="AF1406" s="16"/>
      <c r="AG1406" s="16"/>
      <c r="AH1406" s="16" t="b">
        <f>IFERROR(__xludf.DUMMYFUNCTION("""COMPUTED_VALUE"""),FALSE)</f>
        <v>0</v>
      </c>
    </row>
    <row r="1407">
      <c r="A1407" s="16"/>
      <c r="B1407" s="16"/>
      <c r="C1407" s="16"/>
      <c r="D1407" s="16"/>
      <c r="E1407" s="16">
        <f>IFERROR(__xludf.DUMMYFUNCTION("""COMPUTED_VALUE"""),1.0)</f>
        <v>1</v>
      </c>
      <c r="F1407" s="108">
        <f>IFERROR(__xludf.DUMMYFUNCTION("""COMPUTED_VALUE"""),0.0)</f>
        <v>0</v>
      </c>
      <c r="G1407" s="16"/>
      <c r="H1407" s="16"/>
      <c r="I1407" s="16"/>
      <c r="J1407" s="16"/>
      <c r="K1407" s="16"/>
      <c r="L1407" s="16"/>
      <c r="M1407" s="16"/>
      <c r="N1407" s="16"/>
      <c r="O1407" s="16"/>
      <c r="P1407" s="16"/>
      <c r="Q1407" s="16"/>
      <c r="R1407" s="16"/>
      <c r="S1407" s="16"/>
      <c r="T1407" s="16"/>
      <c r="U1407" s="16"/>
      <c r="V1407" s="16"/>
      <c r="W1407" s="16"/>
      <c r="X1407" s="16"/>
      <c r="Y1407" s="16"/>
      <c r="Z1407" s="16"/>
      <c r="AA1407" s="16"/>
      <c r="AB1407" s="16"/>
      <c r="AC1407" s="16"/>
      <c r="AD1407" s="16"/>
      <c r="AE1407" s="16"/>
      <c r="AF1407" s="16"/>
      <c r="AG1407" s="16"/>
      <c r="AH1407" s="16" t="b">
        <f>IFERROR(__xludf.DUMMYFUNCTION("""COMPUTED_VALUE"""),FALSE)</f>
        <v>0</v>
      </c>
    </row>
    <row r="1408">
      <c r="A1408" s="16"/>
      <c r="B1408" s="16"/>
      <c r="C1408" s="16"/>
      <c r="D1408" s="16"/>
      <c r="E1408" s="16">
        <f>IFERROR(__xludf.DUMMYFUNCTION("""COMPUTED_VALUE"""),1.0)</f>
        <v>1</v>
      </c>
      <c r="F1408" s="108">
        <f>IFERROR(__xludf.DUMMYFUNCTION("""COMPUTED_VALUE"""),0.0)</f>
        <v>0</v>
      </c>
      <c r="G1408" s="16"/>
      <c r="H1408" s="16"/>
      <c r="I1408" s="16"/>
      <c r="J1408" s="16"/>
      <c r="K1408" s="16"/>
      <c r="L1408" s="16"/>
      <c r="M1408" s="16"/>
      <c r="N1408" s="16"/>
      <c r="O1408" s="16"/>
      <c r="P1408" s="16"/>
      <c r="Q1408" s="16"/>
      <c r="R1408" s="16"/>
      <c r="S1408" s="16"/>
      <c r="T1408" s="16"/>
      <c r="U1408" s="16"/>
      <c r="V1408" s="16"/>
      <c r="W1408" s="16"/>
      <c r="X1408" s="16"/>
      <c r="Y1408" s="16"/>
      <c r="Z1408" s="16"/>
      <c r="AA1408" s="16"/>
      <c r="AB1408" s="16"/>
      <c r="AC1408" s="16"/>
      <c r="AD1408" s="16"/>
      <c r="AE1408" s="16"/>
      <c r="AF1408" s="16"/>
      <c r="AG1408" s="16"/>
      <c r="AH1408" s="16" t="b">
        <f>IFERROR(__xludf.DUMMYFUNCTION("""COMPUTED_VALUE"""),FALSE)</f>
        <v>0</v>
      </c>
    </row>
    <row r="1409">
      <c r="A1409" s="16"/>
      <c r="B1409" s="16"/>
      <c r="C1409" s="16"/>
      <c r="D1409" s="16"/>
      <c r="E1409" s="16">
        <f>IFERROR(__xludf.DUMMYFUNCTION("""COMPUTED_VALUE"""),1.0)</f>
        <v>1</v>
      </c>
      <c r="F1409" s="108">
        <f>IFERROR(__xludf.DUMMYFUNCTION("""COMPUTED_VALUE"""),0.0)</f>
        <v>0</v>
      </c>
      <c r="G1409" s="16"/>
      <c r="H1409" s="16"/>
      <c r="I1409" s="16"/>
      <c r="J1409" s="16"/>
      <c r="K1409" s="16"/>
      <c r="L1409" s="16"/>
      <c r="M1409" s="16"/>
      <c r="N1409" s="16"/>
      <c r="O1409" s="16"/>
      <c r="P1409" s="16"/>
      <c r="Q1409" s="16"/>
      <c r="R1409" s="16"/>
      <c r="S1409" s="16"/>
      <c r="T1409" s="16"/>
      <c r="U1409" s="16"/>
      <c r="V1409" s="16"/>
      <c r="W1409" s="16"/>
      <c r="X1409" s="16"/>
      <c r="Y1409" s="16"/>
      <c r="Z1409" s="16"/>
      <c r="AA1409" s="16"/>
      <c r="AB1409" s="16"/>
      <c r="AC1409" s="16"/>
      <c r="AD1409" s="16"/>
      <c r="AE1409" s="16"/>
      <c r="AF1409" s="16"/>
      <c r="AG1409" s="16"/>
      <c r="AH1409" s="16" t="b">
        <f>IFERROR(__xludf.DUMMYFUNCTION("""COMPUTED_VALUE"""),FALSE)</f>
        <v>0</v>
      </c>
    </row>
    <row r="1410">
      <c r="A1410" s="16"/>
      <c r="B1410" s="16"/>
      <c r="C1410" s="16"/>
      <c r="D1410" s="16"/>
      <c r="E1410" s="16">
        <f>IFERROR(__xludf.DUMMYFUNCTION("""COMPUTED_VALUE"""),1.0)</f>
        <v>1</v>
      </c>
      <c r="F1410" s="108">
        <f>IFERROR(__xludf.DUMMYFUNCTION("""COMPUTED_VALUE"""),0.0)</f>
        <v>0</v>
      </c>
      <c r="G1410" s="16"/>
      <c r="H1410" s="16"/>
      <c r="I1410" s="16"/>
      <c r="J1410" s="16"/>
      <c r="K1410" s="16"/>
      <c r="L1410" s="16"/>
      <c r="M1410" s="16"/>
      <c r="N1410" s="16"/>
      <c r="O1410" s="16"/>
      <c r="P1410" s="16"/>
      <c r="Q1410" s="16"/>
      <c r="R1410" s="16"/>
      <c r="S1410" s="16"/>
      <c r="T1410" s="16"/>
      <c r="U1410" s="16"/>
      <c r="V1410" s="16"/>
      <c r="W1410" s="16"/>
      <c r="X1410" s="16"/>
      <c r="Y1410" s="16"/>
      <c r="Z1410" s="16"/>
      <c r="AA1410" s="16"/>
      <c r="AB1410" s="16"/>
      <c r="AC1410" s="16"/>
      <c r="AD1410" s="16"/>
      <c r="AE1410" s="16"/>
      <c r="AF1410" s="16"/>
      <c r="AG1410" s="16"/>
      <c r="AH1410" s="16" t="b">
        <f>IFERROR(__xludf.DUMMYFUNCTION("""COMPUTED_VALUE"""),FALSE)</f>
        <v>0</v>
      </c>
    </row>
    <row r="1411">
      <c r="A1411" s="16"/>
      <c r="B1411" s="16"/>
      <c r="C1411" s="16"/>
      <c r="D1411" s="16"/>
      <c r="E1411" s="16">
        <f>IFERROR(__xludf.DUMMYFUNCTION("""COMPUTED_VALUE"""),1.0)</f>
        <v>1</v>
      </c>
      <c r="F1411" s="108">
        <f>IFERROR(__xludf.DUMMYFUNCTION("""COMPUTED_VALUE"""),0.0)</f>
        <v>0</v>
      </c>
      <c r="G1411" s="16"/>
      <c r="H1411" s="16"/>
      <c r="I1411" s="16"/>
      <c r="J1411" s="16"/>
      <c r="K1411" s="16"/>
      <c r="L1411" s="16"/>
      <c r="M1411" s="16"/>
      <c r="N1411" s="16"/>
      <c r="O1411" s="16"/>
      <c r="P1411" s="16"/>
      <c r="Q1411" s="16"/>
      <c r="R1411" s="16"/>
      <c r="S1411" s="16"/>
      <c r="T1411" s="16"/>
      <c r="U1411" s="16"/>
      <c r="V1411" s="16"/>
      <c r="W1411" s="16"/>
      <c r="X1411" s="16"/>
      <c r="Y1411" s="16"/>
      <c r="Z1411" s="16"/>
      <c r="AA1411" s="16"/>
      <c r="AB1411" s="16"/>
      <c r="AC1411" s="16"/>
      <c r="AD1411" s="16"/>
      <c r="AE1411" s="16"/>
      <c r="AF1411" s="16"/>
      <c r="AG1411" s="16"/>
      <c r="AH1411" s="16" t="b">
        <f>IFERROR(__xludf.DUMMYFUNCTION("""COMPUTED_VALUE"""),FALSE)</f>
        <v>0</v>
      </c>
    </row>
    <row r="1412">
      <c r="A1412" s="16"/>
      <c r="B1412" s="16"/>
      <c r="C1412" s="16"/>
      <c r="D1412" s="16"/>
      <c r="E1412" s="16">
        <f>IFERROR(__xludf.DUMMYFUNCTION("""COMPUTED_VALUE"""),1.0)</f>
        <v>1</v>
      </c>
      <c r="F1412" s="108">
        <f>IFERROR(__xludf.DUMMYFUNCTION("""COMPUTED_VALUE"""),0.0)</f>
        <v>0</v>
      </c>
      <c r="G1412" s="16"/>
      <c r="H1412" s="16"/>
      <c r="I1412" s="16"/>
      <c r="J1412" s="16"/>
      <c r="K1412" s="16"/>
      <c r="L1412" s="16"/>
      <c r="M1412" s="16"/>
      <c r="N1412" s="16"/>
      <c r="O1412" s="16"/>
      <c r="P1412" s="16"/>
      <c r="Q1412" s="16"/>
      <c r="R1412" s="16"/>
      <c r="S1412" s="16"/>
      <c r="T1412" s="16"/>
      <c r="U1412" s="16"/>
      <c r="V1412" s="16"/>
      <c r="W1412" s="16"/>
      <c r="X1412" s="16"/>
      <c r="Y1412" s="16"/>
      <c r="Z1412" s="16"/>
      <c r="AA1412" s="16"/>
      <c r="AB1412" s="16"/>
      <c r="AC1412" s="16"/>
      <c r="AD1412" s="16"/>
      <c r="AE1412" s="16"/>
      <c r="AF1412" s="16"/>
      <c r="AG1412" s="16"/>
      <c r="AH1412" s="16" t="b">
        <f>IFERROR(__xludf.DUMMYFUNCTION("""COMPUTED_VALUE"""),FALSE)</f>
        <v>0</v>
      </c>
    </row>
    <row r="1413">
      <c r="A1413" s="16"/>
      <c r="B1413" s="16"/>
      <c r="C1413" s="16"/>
      <c r="D1413" s="16"/>
      <c r="E1413" s="16">
        <f>IFERROR(__xludf.DUMMYFUNCTION("""COMPUTED_VALUE"""),1.0)</f>
        <v>1</v>
      </c>
      <c r="F1413" s="108">
        <f>IFERROR(__xludf.DUMMYFUNCTION("""COMPUTED_VALUE"""),0.0)</f>
        <v>0</v>
      </c>
      <c r="G1413" s="16"/>
      <c r="H1413" s="16"/>
      <c r="I1413" s="16"/>
      <c r="J1413" s="16"/>
      <c r="K1413" s="16"/>
      <c r="L1413" s="16"/>
      <c r="M1413" s="16"/>
      <c r="N1413" s="16"/>
      <c r="O1413" s="16"/>
      <c r="P1413" s="16"/>
      <c r="Q1413" s="16"/>
      <c r="R1413" s="16"/>
      <c r="S1413" s="16"/>
      <c r="T1413" s="16"/>
      <c r="U1413" s="16"/>
      <c r="V1413" s="16"/>
      <c r="W1413" s="16"/>
      <c r="X1413" s="16"/>
      <c r="Y1413" s="16"/>
      <c r="Z1413" s="16"/>
      <c r="AA1413" s="16"/>
      <c r="AB1413" s="16"/>
      <c r="AC1413" s="16"/>
      <c r="AD1413" s="16"/>
      <c r="AE1413" s="16"/>
      <c r="AF1413" s="16"/>
      <c r="AG1413" s="16"/>
      <c r="AH1413" s="16" t="b">
        <f>IFERROR(__xludf.DUMMYFUNCTION("""COMPUTED_VALUE"""),FALSE)</f>
        <v>0</v>
      </c>
    </row>
    <row r="1414">
      <c r="A1414" s="16"/>
      <c r="B1414" s="16"/>
      <c r="C1414" s="16"/>
      <c r="D1414" s="16"/>
      <c r="E1414" s="16">
        <f>IFERROR(__xludf.DUMMYFUNCTION("""COMPUTED_VALUE"""),1.0)</f>
        <v>1</v>
      </c>
      <c r="F1414" s="108">
        <f>IFERROR(__xludf.DUMMYFUNCTION("""COMPUTED_VALUE"""),0.0)</f>
        <v>0</v>
      </c>
      <c r="G1414" s="16"/>
      <c r="H1414" s="16"/>
      <c r="I1414" s="16"/>
      <c r="J1414" s="16"/>
      <c r="K1414" s="16"/>
      <c r="L1414" s="16"/>
      <c r="M1414" s="16"/>
      <c r="N1414" s="16"/>
      <c r="O1414" s="16"/>
      <c r="P1414" s="16"/>
      <c r="Q1414" s="16"/>
      <c r="R1414" s="16"/>
      <c r="S1414" s="16"/>
      <c r="T1414" s="16"/>
      <c r="U1414" s="16"/>
      <c r="V1414" s="16"/>
      <c r="W1414" s="16"/>
      <c r="X1414" s="16"/>
      <c r="Y1414" s="16"/>
      <c r="Z1414" s="16"/>
      <c r="AA1414" s="16"/>
      <c r="AB1414" s="16"/>
      <c r="AC1414" s="16"/>
      <c r="AD1414" s="16"/>
      <c r="AE1414" s="16"/>
      <c r="AF1414" s="16"/>
      <c r="AG1414" s="16"/>
      <c r="AH1414" s="16" t="b">
        <f>IFERROR(__xludf.DUMMYFUNCTION("""COMPUTED_VALUE"""),FALSE)</f>
        <v>0</v>
      </c>
    </row>
    <row r="1415">
      <c r="A1415" s="16"/>
      <c r="B1415" s="16"/>
      <c r="C1415" s="16"/>
      <c r="D1415" s="16"/>
      <c r="E1415" s="16">
        <f>IFERROR(__xludf.DUMMYFUNCTION("""COMPUTED_VALUE"""),1.0)</f>
        <v>1</v>
      </c>
      <c r="F1415" s="108">
        <f>IFERROR(__xludf.DUMMYFUNCTION("""COMPUTED_VALUE"""),0.0)</f>
        <v>0</v>
      </c>
      <c r="G1415" s="16"/>
      <c r="H1415" s="16"/>
      <c r="I1415" s="16"/>
      <c r="J1415" s="16"/>
      <c r="K1415" s="16"/>
      <c r="L1415" s="16"/>
      <c r="M1415" s="16"/>
      <c r="N1415" s="16"/>
      <c r="O1415" s="16"/>
      <c r="P1415" s="16"/>
      <c r="Q1415" s="16"/>
      <c r="R1415" s="16"/>
      <c r="S1415" s="16"/>
      <c r="T1415" s="16"/>
      <c r="U1415" s="16"/>
      <c r="V1415" s="16"/>
      <c r="W1415" s="16"/>
      <c r="X1415" s="16"/>
      <c r="Y1415" s="16"/>
      <c r="Z1415" s="16"/>
      <c r="AA1415" s="16"/>
      <c r="AB1415" s="16"/>
      <c r="AC1415" s="16"/>
      <c r="AD1415" s="16"/>
      <c r="AE1415" s="16"/>
      <c r="AF1415" s="16"/>
      <c r="AG1415" s="16"/>
      <c r="AH1415" s="16" t="b">
        <f>IFERROR(__xludf.DUMMYFUNCTION("""COMPUTED_VALUE"""),FALSE)</f>
        <v>0</v>
      </c>
    </row>
    <row r="1416">
      <c r="A1416" s="16"/>
      <c r="B1416" s="16"/>
      <c r="C1416" s="16"/>
      <c r="D1416" s="16"/>
      <c r="E1416" s="16">
        <f>IFERROR(__xludf.DUMMYFUNCTION("""COMPUTED_VALUE"""),1.0)</f>
        <v>1</v>
      </c>
      <c r="F1416" s="108">
        <f>IFERROR(__xludf.DUMMYFUNCTION("""COMPUTED_VALUE"""),0.0)</f>
        <v>0</v>
      </c>
      <c r="G1416" s="16"/>
      <c r="H1416" s="16"/>
      <c r="I1416" s="16"/>
      <c r="J1416" s="16"/>
      <c r="K1416" s="16"/>
      <c r="L1416" s="16"/>
      <c r="M1416" s="16"/>
      <c r="N1416" s="16"/>
      <c r="O1416" s="16"/>
      <c r="P1416" s="16"/>
      <c r="Q1416" s="16"/>
      <c r="R1416" s="16"/>
      <c r="S1416" s="16"/>
      <c r="T1416" s="16"/>
      <c r="U1416" s="16"/>
      <c r="V1416" s="16"/>
      <c r="W1416" s="16"/>
      <c r="X1416" s="16"/>
      <c r="Y1416" s="16"/>
      <c r="Z1416" s="16"/>
      <c r="AA1416" s="16"/>
      <c r="AB1416" s="16"/>
      <c r="AC1416" s="16"/>
      <c r="AD1416" s="16"/>
      <c r="AE1416" s="16"/>
      <c r="AF1416" s="16"/>
      <c r="AG1416" s="16"/>
      <c r="AH1416" s="16" t="b">
        <f>IFERROR(__xludf.DUMMYFUNCTION("""COMPUTED_VALUE"""),FALSE)</f>
        <v>0</v>
      </c>
    </row>
    <row r="1417">
      <c r="A1417" s="16"/>
      <c r="B1417" s="16"/>
      <c r="C1417" s="16"/>
      <c r="D1417" s="16"/>
      <c r="E1417" s="16">
        <f>IFERROR(__xludf.DUMMYFUNCTION("""COMPUTED_VALUE"""),1.0)</f>
        <v>1</v>
      </c>
      <c r="F1417" s="108">
        <f>IFERROR(__xludf.DUMMYFUNCTION("""COMPUTED_VALUE"""),0.0)</f>
        <v>0</v>
      </c>
      <c r="G1417" s="16"/>
      <c r="H1417" s="16"/>
      <c r="I1417" s="16"/>
      <c r="J1417" s="16"/>
      <c r="K1417" s="16"/>
      <c r="L1417" s="16"/>
      <c r="M1417" s="16"/>
      <c r="N1417" s="16"/>
      <c r="O1417" s="16"/>
      <c r="P1417" s="16"/>
      <c r="Q1417" s="16"/>
      <c r="R1417" s="16"/>
      <c r="S1417" s="16"/>
      <c r="T1417" s="16"/>
      <c r="U1417" s="16"/>
      <c r="V1417" s="16"/>
      <c r="W1417" s="16"/>
      <c r="X1417" s="16"/>
      <c r="Y1417" s="16"/>
      <c r="Z1417" s="16"/>
      <c r="AA1417" s="16"/>
      <c r="AB1417" s="16"/>
      <c r="AC1417" s="16"/>
      <c r="AD1417" s="16"/>
      <c r="AE1417" s="16"/>
      <c r="AF1417" s="16"/>
      <c r="AG1417" s="16"/>
      <c r="AH1417" s="16" t="b">
        <f>IFERROR(__xludf.DUMMYFUNCTION("""COMPUTED_VALUE"""),FALSE)</f>
        <v>0</v>
      </c>
    </row>
    <row r="1418">
      <c r="A1418" s="16"/>
      <c r="B1418" s="16"/>
      <c r="C1418" s="16"/>
      <c r="D1418" s="16"/>
      <c r="E1418" s="16">
        <f>IFERROR(__xludf.DUMMYFUNCTION("""COMPUTED_VALUE"""),1.0)</f>
        <v>1</v>
      </c>
      <c r="F1418" s="108">
        <f>IFERROR(__xludf.DUMMYFUNCTION("""COMPUTED_VALUE"""),0.0)</f>
        <v>0</v>
      </c>
      <c r="G1418" s="16"/>
      <c r="H1418" s="16"/>
      <c r="I1418" s="16"/>
      <c r="J1418" s="16"/>
      <c r="K1418" s="16"/>
      <c r="L1418" s="16"/>
      <c r="M1418" s="16"/>
      <c r="N1418" s="16"/>
      <c r="O1418" s="16"/>
      <c r="P1418" s="16"/>
      <c r="Q1418" s="16"/>
      <c r="R1418" s="16"/>
      <c r="S1418" s="16"/>
      <c r="T1418" s="16"/>
      <c r="U1418" s="16"/>
      <c r="V1418" s="16"/>
      <c r="W1418" s="16"/>
      <c r="X1418" s="16"/>
      <c r="Y1418" s="16"/>
      <c r="Z1418" s="16"/>
      <c r="AA1418" s="16"/>
      <c r="AB1418" s="16"/>
      <c r="AC1418" s="16"/>
      <c r="AD1418" s="16"/>
      <c r="AE1418" s="16"/>
      <c r="AF1418" s="16"/>
      <c r="AG1418" s="16"/>
      <c r="AH1418" s="16" t="b">
        <f>IFERROR(__xludf.DUMMYFUNCTION("""COMPUTED_VALUE"""),FALSE)</f>
        <v>0</v>
      </c>
    </row>
    <row r="1419">
      <c r="A1419" s="16"/>
      <c r="B1419" s="16"/>
      <c r="C1419" s="16"/>
      <c r="D1419" s="16"/>
      <c r="E1419" s="16">
        <f>IFERROR(__xludf.DUMMYFUNCTION("""COMPUTED_VALUE"""),1.0)</f>
        <v>1</v>
      </c>
      <c r="F1419" s="108">
        <f>IFERROR(__xludf.DUMMYFUNCTION("""COMPUTED_VALUE"""),0.0)</f>
        <v>0</v>
      </c>
      <c r="G1419" s="16"/>
      <c r="H1419" s="16"/>
      <c r="I1419" s="16"/>
      <c r="J1419" s="16"/>
      <c r="K1419" s="16"/>
      <c r="L1419" s="16"/>
      <c r="M1419" s="16"/>
      <c r="N1419" s="16"/>
      <c r="O1419" s="16"/>
      <c r="P1419" s="16"/>
      <c r="Q1419" s="16"/>
      <c r="R1419" s="16"/>
      <c r="S1419" s="16"/>
      <c r="T1419" s="16"/>
      <c r="U1419" s="16"/>
      <c r="V1419" s="16"/>
      <c r="W1419" s="16"/>
      <c r="X1419" s="16"/>
      <c r="Y1419" s="16"/>
      <c r="Z1419" s="16"/>
      <c r="AA1419" s="16"/>
      <c r="AB1419" s="16"/>
      <c r="AC1419" s="16"/>
      <c r="AD1419" s="16"/>
      <c r="AE1419" s="16"/>
      <c r="AF1419" s="16"/>
      <c r="AG1419" s="16"/>
      <c r="AH1419" s="16" t="b">
        <f>IFERROR(__xludf.DUMMYFUNCTION("""COMPUTED_VALUE"""),FALSE)</f>
        <v>0</v>
      </c>
    </row>
    <row r="1420">
      <c r="A1420" s="16"/>
      <c r="B1420" s="16"/>
      <c r="C1420" s="16"/>
      <c r="D1420" s="16"/>
      <c r="E1420" s="16">
        <f>IFERROR(__xludf.DUMMYFUNCTION("""COMPUTED_VALUE"""),1.0)</f>
        <v>1</v>
      </c>
      <c r="F1420" s="108">
        <f>IFERROR(__xludf.DUMMYFUNCTION("""COMPUTED_VALUE"""),0.0)</f>
        <v>0</v>
      </c>
      <c r="G1420" s="16"/>
      <c r="H1420" s="16"/>
      <c r="I1420" s="16"/>
      <c r="J1420" s="16"/>
      <c r="K1420" s="16"/>
      <c r="L1420" s="16"/>
      <c r="M1420" s="16"/>
      <c r="N1420" s="16"/>
      <c r="O1420" s="16"/>
      <c r="P1420" s="16"/>
      <c r="Q1420" s="16"/>
      <c r="R1420" s="16"/>
      <c r="S1420" s="16"/>
      <c r="T1420" s="16"/>
      <c r="U1420" s="16"/>
      <c r="V1420" s="16"/>
      <c r="W1420" s="16"/>
      <c r="X1420" s="16"/>
      <c r="Y1420" s="16"/>
      <c r="Z1420" s="16"/>
      <c r="AA1420" s="16"/>
      <c r="AB1420" s="16"/>
      <c r="AC1420" s="16"/>
      <c r="AD1420" s="16"/>
      <c r="AE1420" s="16"/>
      <c r="AF1420" s="16"/>
      <c r="AG1420" s="16"/>
      <c r="AH1420" s="16" t="b">
        <f>IFERROR(__xludf.DUMMYFUNCTION("""COMPUTED_VALUE"""),FALSE)</f>
        <v>0</v>
      </c>
    </row>
    <row r="1421">
      <c r="A1421" s="16"/>
      <c r="B1421" s="16"/>
      <c r="C1421" s="16"/>
      <c r="D1421" s="16"/>
      <c r="E1421" s="16">
        <f>IFERROR(__xludf.DUMMYFUNCTION("""COMPUTED_VALUE"""),1.0)</f>
        <v>1</v>
      </c>
      <c r="F1421" s="108">
        <f>IFERROR(__xludf.DUMMYFUNCTION("""COMPUTED_VALUE"""),0.0)</f>
        <v>0</v>
      </c>
      <c r="G1421" s="16"/>
      <c r="H1421" s="16"/>
      <c r="I1421" s="16"/>
      <c r="J1421" s="16"/>
      <c r="K1421" s="16"/>
      <c r="L1421" s="16"/>
      <c r="M1421" s="16"/>
      <c r="N1421" s="16"/>
      <c r="O1421" s="16"/>
      <c r="P1421" s="16"/>
      <c r="Q1421" s="16"/>
      <c r="R1421" s="16"/>
      <c r="S1421" s="16"/>
      <c r="T1421" s="16"/>
      <c r="U1421" s="16"/>
      <c r="V1421" s="16"/>
      <c r="W1421" s="16"/>
      <c r="X1421" s="16"/>
      <c r="Y1421" s="16"/>
      <c r="Z1421" s="16"/>
      <c r="AA1421" s="16"/>
      <c r="AB1421" s="16"/>
      <c r="AC1421" s="16"/>
      <c r="AD1421" s="16"/>
      <c r="AE1421" s="16"/>
      <c r="AF1421" s="16"/>
      <c r="AG1421" s="16"/>
      <c r="AH1421" s="16" t="b">
        <f>IFERROR(__xludf.DUMMYFUNCTION("""COMPUTED_VALUE"""),FALSE)</f>
        <v>0</v>
      </c>
    </row>
    <row r="1422">
      <c r="A1422" s="16"/>
      <c r="B1422" s="16"/>
      <c r="C1422" s="16"/>
      <c r="D1422" s="16"/>
      <c r="E1422" s="16">
        <f>IFERROR(__xludf.DUMMYFUNCTION("""COMPUTED_VALUE"""),1.0)</f>
        <v>1</v>
      </c>
      <c r="F1422" s="108">
        <f>IFERROR(__xludf.DUMMYFUNCTION("""COMPUTED_VALUE"""),0.0)</f>
        <v>0</v>
      </c>
      <c r="G1422" s="16"/>
      <c r="H1422" s="16"/>
      <c r="I1422" s="16"/>
      <c r="J1422" s="16"/>
      <c r="K1422" s="16"/>
      <c r="L1422" s="16"/>
      <c r="M1422" s="16"/>
      <c r="N1422" s="16"/>
      <c r="O1422" s="16"/>
      <c r="P1422" s="16"/>
      <c r="Q1422" s="16"/>
      <c r="R1422" s="16"/>
      <c r="S1422" s="16"/>
      <c r="T1422" s="16"/>
      <c r="U1422" s="16"/>
      <c r="V1422" s="16"/>
      <c r="W1422" s="16"/>
      <c r="X1422" s="16"/>
      <c r="Y1422" s="16"/>
      <c r="Z1422" s="16"/>
      <c r="AA1422" s="16"/>
      <c r="AB1422" s="16"/>
      <c r="AC1422" s="16"/>
      <c r="AD1422" s="16"/>
      <c r="AE1422" s="16"/>
      <c r="AF1422" s="16"/>
      <c r="AG1422" s="16"/>
      <c r="AH1422" s="16" t="b">
        <f>IFERROR(__xludf.DUMMYFUNCTION("""COMPUTED_VALUE"""),FALSE)</f>
        <v>0</v>
      </c>
    </row>
    <row r="1423">
      <c r="A1423" s="16"/>
      <c r="B1423" s="16"/>
      <c r="C1423" s="16"/>
      <c r="D1423" s="16"/>
      <c r="E1423" s="16">
        <f>IFERROR(__xludf.DUMMYFUNCTION("""COMPUTED_VALUE"""),1.0)</f>
        <v>1</v>
      </c>
      <c r="F1423" s="108">
        <f>IFERROR(__xludf.DUMMYFUNCTION("""COMPUTED_VALUE"""),0.0)</f>
        <v>0</v>
      </c>
      <c r="G1423" s="16"/>
      <c r="H1423" s="16"/>
      <c r="I1423" s="16"/>
      <c r="J1423" s="16"/>
      <c r="K1423" s="16"/>
      <c r="L1423" s="16"/>
      <c r="M1423" s="16"/>
      <c r="N1423" s="16"/>
      <c r="O1423" s="16"/>
      <c r="P1423" s="16"/>
      <c r="Q1423" s="16"/>
      <c r="R1423" s="16"/>
      <c r="S1423" s="16"/>
      <c r="T1423" s="16"/>
      <c r="U1423" s="16"/>
      <c r="V1423" s="16"/>
      <c r="W1423" s="16"/>
      <c r="X1423" s="16"/>
      <c r="Y1423" s="16"/>
      <c r="Z1423" s="16"/>
      <c r="AA1423" s="16"/>
      <c r="AB1423" s="16"/>
      <c r="AC1423" s="16"/>
      <c r="AD1423" s="16"/>
      <c r="AE1423" s="16"/>
      <c r="AF1423" s="16"/>
      <c r="AG1423" s="16"/>
      <c r="AH1423" s="16" t="b">
        <f>IFERROR(__xludf.DUMMYFUNCTION("""COMPUTED_VALUE"""),FALSE)</f>
        <v>0</v>
      </c>
    </row>
    <row r="1424">
      <c r="A1424" s="16"/>
      <c r="B1424" s="16"/>
      <c r="C1424" s="16"/>
      <c r="D1424" s="16"/>
      <c r="E1424" s="16">
        <f>IFERROR(__xludf.DUMMYFUNCTION("""COMPUTED_VALUE"""),1.0)</f>
        <v>1</v>
      </c>
      <c r="F1424" s="108">
        <f>IFERROR(__xludf.DUMMYFUNCTION("""COMPUTED_VALUE"""),0.0)</f>
        <v>0</v>
      </c>
      <c r="G1424" s="16"/>
      <c r="H1424" s="16"/>
      <c r="I1424" s="16"/>
      <c r="J1424" s="16"/>
      <c r="K1424" s="16"/>
      <c r="L1424" s="16"/>
      <c r="M1424" s="16"/>
      <c r="N1424" s="16"/>
      <c r="O1424" s="16"/>
      <c r="P1424" s="16"/>
      <c r="Q1424" s="16"/>
      <c r="R1424" s="16"/>
      <c r="S1424" s="16"/>
      <c r="T1424" s="16"/>
      <c r="U1424" s="16"/>
      <c r="V1424" s="16"/>
      <c r="W1424" s="16"/>
      <c r="X1424" s="16"/>
      <c r="Y1424" s="16"/>
      <c r="Z1424" s="16"/>
      <c r="AA1424" s="16"/>
      <c r="AB1424" s="16"/>
      <c r="AC1424" s="16"/>
      <c r="AD1424" s="16"/>
      <c r="AE1424" s="16"/>
      <c r="AF1424" s="16"/>
      <c r="AG1424" s="16"/>
      <c r="AH1424" s="16" t="b">
        <f>IFERROR(__xludf.DUMMYFUNCTION("""COMPUTED_VALUE"""),FALSE)</f>
        <v>0</v>
      </c>
    </row>
    <row r="1425">
      <c r="A1425" s="16"/>
      <c r="B1425" s="16"/>
      <c r="C1425" s="16"/>
      <c r="D1425" s="16"/>
      <c r="E1425" s="16">
        <f>IFERROR(__xludf.DUMMYFUNCTION("""COMPUTED_VALUE"""),1.0)</f>
        <v>1</v>
      </c>
      <c r="F1425" s="108">
        <f>IFERROR(__xludf.DUMMYFUNCTION("""COMPUTED_VALUE"""),0.0)</f>
        <v>0</v>
      </c>
      <c r="G1425" s="16"/>
      <c r="H1425" s="16"/>
      <c r="I1425" s="16"/>
      <c r="J1425" s="16"/>
      <c r="K1425" s="16"/>
      <c r="L1425" s="16"/>
      <c r="M1425" s="16"/>
      <c r="N1425" s="16"/>
      <c r="O1425" s="16"/>
      <c r="P1425" s="16"/>
      <c r="Q1425" s="16"/>
      <c r="R1425" s="16"/>
      <c r="S1425" s="16"/>
      <c r="T1425" s="16"/>
      <c r="U1425" s="16"/>
      <c r="V1425" s="16"/>
      <c r="W1425" s="16"/>
      <c r="X1425" s="16"/>
      <c r="Y1425" s="16"/>
      <c r="Z1425" s="16"/>
      <c r="AA1425" s="16"/>
      <c r="AB1425" s="16"/>
      <c r="AC1425" s="16"/>
      <c r="AD1425" s="16"/>
      <c r="AE1425" s="16"/>
      <c r="AF1425" s="16"/>
      <c r="AG1425" s="16"/>
      <c r="AH1425" s="16" t="b">
        <f>IFERROR(__xludf.DUMMYFUNCTION("""COMPUTED_VALUE"""),FALSE)</f>
        <v>0</v>
      </c>
    </row>
    <row r="1426">
      <c r="A1426" s="16"/>
      <c r="B1426" s="16"/>
      <c r="C1426" s="16"/>
      <c r="D1426" s="16"/>
      <c r="E1426" s="16">
        <f>IFERROR(__xludf.DUMMYFUNCTION("""COMPUTED_VALUE"""),1.0)</f>
        <v>1</v>
      </c>
      <c r="F1426" s="108">
        <f>IFERROR(__xludf.DUMMYFUNCTION("""COMPUTED_VALUE"""),0.0)</f>
        <v>0</v>
      </c>
      <c r="G1426" s="16"/>
      <c r="H1426" s="16"/>
      <c r="I1426" s="16"/>
      <c r="J1426" s="16"/>
      <c r="K1426" s="16"/>
      <c r="L1426" s="16"/>
      <c r="M1426" s="16"/>
      <c r="N1426" s="16"/>
      <c r="O1426" s="16"/>
      <c r="P1426" s="16"/>
      <c r="Q1426" s="16"/>
      <c r="R1426" s="16"/>
      <c r="S1426" s="16"/>
      <c r="T1426" s="16"/>
      <c r="U1426" s="16"/>
      <c r="V1426" s="16"/>
      <c r="W1426" s="16"/>
      <c r="X1426" s="16"/>
      <c r="Y1426" s="16"/>
      <c r="Z1426" s="16"/>
      <c r="AA1426" s="16"/>
      <c r="AB1426" s="16"/>
      <c r="AC1426" s="16"/>
      <c r="AD1426" s="16"/>
      <c r="AE1426" s="16"/>
      <c r="AF1426" s="16"/>
      <c r="AG1426" s="16"/>
      <c r="AH1426" s="16" t="b">
        <f>IFERROR(__xludf.DUMMYFUNCTION("""COMPUTED_VALUE"""),FALSE)</f>
        <v>0</v>
      </c>
    </row>
    <row r="1427">
      <c r="A1427" s="16"/>
      <c r="B1427" s="16"/>
      <c r="C1427" s="16"/>
      <c r="D1427" s="16"/>
      <c r="E1427" s="16">
        <f>IFERROR(__xludf.DUMMYFUNCTION("""COMPUTED_VALUE"""),1.0)</f>
        <v>1</v>
      </c>
      <c r="F1427" s="108">
        <f>IFERROR(__xludf.DUMMYFUNCTION("""COMPUTED_VALUE"""),0.0)</f>
        <v>0</v>
      </c>
      <c r="G1427" s="16"/>
      <c r="H1427" s="16"/>
      <c r="I1427" s="16"/>
      <c r="J1427" s="16"/>
      <c r="K1427" s="16"/>
      <c r="L1427" s="16"/>
      <c r="M1427" s="16"/>
      <c r="N1427" s="16"/>
      <c r="O1427" s="16"/>
      <c r="P1427" s="16"/>
      <c r="Q1427" s="16"/>
      <c r="R1427" s="16"/>
      <c r="S1427" s="16"/>
      <c r="T1427" s="16"/>
      <c r="U1427" s="16"/>
      <c r="V1427" s="16"/>
      <c r="W1427" s="16"/>
      <c r="X1427" s="16"/>
      <c r="Y1427" s="16"/>
      <c r="Z1427" s="16"/>
      <c r="AA1427" s="16"/>
      <c r="AB1427" s="16"/>
      <c r="AC1427" s="16"/>
      <c r="AD1427" s="16"/>
      <c r="AE1427" s="16"/>
      <c r="AF1427" s="16"/>
      <c r="AG1427" s="16"/>
      <c r="AH1427" s="16" t="b">
        <f>IFERROR(__xludf.DUMMYFUNCTION("""COMPUTED_VALUE"""),FALSE)</f>
        <v>0</v>
      </c>
    </row>
    <row r="1428">
      <c r="A1428" s="16"/>
      <c r="B1428" s="16"/>
      <c r="C1428" s="16"/>
      <c r="D1428" s="16"/>
      <c r="E1428" s="16">
        <f>IFERROR(__xludf.DUMMYFUNCTION("""COMPUTED_VALUE"""),1.0)</f>
        <v>1</v>
      </c>
      <c r="F1428" s="108">
        <f>IFERROR(__xludf.DUMMYFUNCTION("""COMPUTED_VALUE"""),0.0)</f>
        <v>0</v>
      </c>
      <c r="G1428" s="16"/>
      <c r="H1428" s="16"/>
      <c r="I1428" s="16"/>
      <c r="J1428" s="16"/>
      <c r="K1428" s="16"/>
      <c r="L1428" s="16"/>
      <c r="M1428" s="16"/>
      <c r="N1428" s="16"/>
      <c r="O1428" s="16"/>
      <c r="P1428" s="16"/>
      <c r="Q1428" s="16"/>
      <c r="R1428" s="16"/>
      <c r="S1428" s="16"/>
      <c r="T1428" s="16"/>
      <c r="U1428" s="16"/>
      <c r="V1428" s="16"/>
      <c r="W1428" s="16"/>
      <c r="X1428" s="16"/>
      <c r="Y1428" s="16"/>
      <c r="Z1428" s="16"/>
      <c r="AA1428" s="16"/>
      <c r="AB1428" s="16"/>
      <c r="AC1428" s="16"/>
      <c r="AD1428" s="16"/>
      <c r="AE1428" s="16"/>
      <c r="AF1428" s="16"/>
      <c r="AG1428" s="16"/>
      <c r="AH1428" s="16" t="b">
        <f>IFERROR(__xludf.DUMMYFUNCTION("""COMPUTED_VALUE"""),FALSE)</f>
        <v>0</v>
      </c>
    </row>
    <row r="1429">
      <c r="A1429" s="16"/>
      <c r="B1429" s="16"/>
      <c r="C1429" s="16"/>
      <c r="D1429" s="16"/>
      <c r="E1429" s="16">
        <f>IFERROR(__xludf.DUMMYFUNCTION("""COMPUTED_VALUE"""),1.0)</f>
        <v>1</v>
      </c>
      <c r="F1429" s="108">
        <f>IFERROR(__xludf.DUMMYFUNCTION("""COMPUTED_VALUE"""),0.0)</f>
        <v>0</v>
      </c>
      <c r="G1429" s="16"/>
      <c r="H1429" s="16"/>
      <c r="I1429" s="16"/>
      <c r="J1429" s="16"/>
      <c r="K1429" s="16"/>
      <c r="L1429" s="16"/>
      <c r="M1429" s="16"/>
      <c r="N1429" s="16"/>
      <c r="O1429" s="16"/>
      <c r="P1429" s="16"/>
      <c r="Q1429" s="16"/>
      <c r="R1429" s="16"/>
      <c r="S1429" s="16"/>
      <c r="T1429" s="16"/>
      <c r="U1429" s="16"/>
      <c r="V1429" s="16"/>
      <c r="W1429" s="16"/>
      <c r="X1429" s="16"/>
      <c r="Y1429" s="16"/>
      <c r="Z1429" s="16"/>
      <c r="AA1429" s="16"/>
      <c r="AB1429" s="16"/>
      <c r="AC1429" s="16"/>
      <c r="AD1429" s="16"/>
      <c r="AE1429" s="16"/>
      <c r="AF1429" s="16"/>
      <c r="AG1429" s="16"/>
      <c r="AH1429" s="16" t="b">
        <f>IFERROR(__xludf.DUMMYFUNCTION("""COMPUTED_VALUE"""),FALSE)</f>
        <v>0</v>
      </c>
    </row>
    <row r="1430">
      <c r="A1430" s="16"/>
      <c r="B1430" s="16"/>
      <c r="C1430" s="16"/>
      <c r="D1430" s="16"/>
      <c r="E1430" s="16">
        <f>IFERROR(__xludf.DUMMYFUNCTION("""COMPUTED_VALUE"""),1.0)</f>
        <v>1</v>
      </c>
      <c r="F1430" s="108">
        <f>IFERROR(__xludf.DUMMYFUNCTION("""COMPUTED_VALUE"""),0.0)</f>
        <v>0</v>
      </c>
      <c r="G1430" s="16"/>
      <c r="H1430" s="16"/>
      <c r="I1430" s="16"/>
      <c r="J1430" s="16"/>
      <c r="K1430" s="16"/>
      <c r="L1430" s="16"/>
      <c r="M1430" s="16"/>
      <c r="N1430" s="16"/>
      <c r="O1430" s="16"/>
      <c r="P1430" s="16"/>
      <c r="Q1430" s="16"/>
      <c r="R1430" s="16"/>
      <c r="S1430" s="16"/>
      <c r="T1430" s="16"/>
      <c r="U1430" s="16"/>
      <c r="V1430" s="16"/>
      <c r="W1430" s="16"/>
      <c r="X1430" s="16"/>
      <c r="Y1430" s="16"/>
      <c r="Z1430" s="16"/>
      <c r="AA1430" s="16"/>
      <c r="AB1430" s="16"/>
      <c r="AC1430" s="16"/>
      <c r="AD1430" s="16"/>
      <c r="AE1430" s="16"/>
      <c r="AF1430" s="16"/>
      <c r="AG1430" s="16"/>
      <c r="AH1430" s="16" t="b">
        <f>IFERROR(__xludf.DUMMYFUNCTION("""COMPUTED_VALUE"""),FALSE)</f>
        <v>0</v>
      </c>
    </row>
    <row r="1431">
      <c r="A1431" s="16"/>
      <c r="B1431" s="16"/>
      <c r="C1431" s="16"/>
      <c r="D1431" s="16"/>
      <c r="E1431" s="16">
        <f>IFERROR(__xludf.DUMMYFUNCTION("""COMPUTED_VALUE"""),1.0)</f>
        <v>1</v>
      </c>
      <c r="F1431" s="108">
        <f>IFERROR(__xludf.DUMMYFUNCTION("""COMPUTED_VALUE"""),0.0)</f>
        <v>0</v>
      </c>
      <c r="G1431" s="16"/>
      <c r="H1431" s="16"/>
      <c r="I1431" s="16"/>
      <c r="J1431" s="16"/>
      <c r="K1431" s="16"/>
      <c r="L1431" s="16"/>
      <c r="M1431" s="16"/>
      <c r="N1431" s="16"/>
      <c r="O1431" s="16"/>
      <c r="P1431" s="16"/>
      <c r="Q1431" s="16"/>
      <c r="R1431" s="16"/>
      <c r="S1431" s="16"/>
      <c r="T1431" s="16"/>
      <c r="U1431" s="16"/>
      <c r="V1431" s="16"/>
      <c r="W1431" s="16"/>
      <c r="X1431" s="16"/>
      <c r="Y1431" s="16"/>
      <c r="Z1431" s="16"/>
      <c r="AA1431" s="16"/>
      <c r="AB1431" s="16"/>
      <c r="AC1431" s="16"/>
      <c r="AD1431" s="16"/>
      <c r="AE1431" s="16"/>
      <c r="AF1431" s="16"/>
      <c r="AG1431" s="16"/>
      <c r="AH1431" s="16" t="b">
        <f>IFERROR(__xludf.DUMMYFUNCTION("""COMPUTED_VALUE"""),FALSE)</f>
        <v>0</v>
      </c>
    </row>
    <row r="1432">
      <c r="A1432" s="16"/>
      <c r="B1432" s="16"/>
      <c r="C1432" s="16"/>
      <c r="D1432" s="16"/>
      <c r="E1432" s="16">
        <f>IFERROR(__xludf.DUMMYFUNCTION("""COMPUTED_VALUE"""),1.0)</f>
        <v>1</v>
      </c>
      <c r="F1432" s="108">
        <f>IFERROR(__xludf.DUMMYFUNCTION("""COMPUTED_VALUE"""),0.0)</f>
        <v>0</v>
      </c>
      <c r="G1432" s="16"/>
      <c r="H1432" s="16"/>
      <c r="I1432" s="16"/>
      <c r="J1432" s="16"/>
      <c r="K1432" s="16"/>
      <c r="L1432" s="16"/>
      <c r="M1432" s="16"/>
      <c r="N1432" s="16"/>
      <c r="O1432" s="16"/>
      <c r="P1432" s="16"/>
      <c r="Q1432" s="16"/>
      <c r="R1432" s="16"/>
      <c r="S1432" s="16"/>
      <c r="T1432" s="16"/>
      <c r="U1432" s="16"/>
      <c r="V1432" s="16"/>
      <c r="W1432" s="16"/>
      <c r="X1432" s="16"/>
      <c r="Y1432" s="16"/>
      <c r="Z1432" s="16"/>
      <c r="AA1432" s="16"/>
      <c r="AB1432" s="16"/>
      <c r="AC1432" s="16"/>
      <c r="AD1432" s="16"/>
      <c r="AE1432" s="16"/>
      <c r="AF1432" s="16"/>
      <c r="AG1432" s="16"/>
      <c r="AH1432" s="16" t="b">
        <f>IFERROR(__xludf.DUMMYFUNCTION("""COMPUTED_VALUE"""),FALSE)</f>
        <v>0</v>
      </c>
    </row>
    <row r="1433">
      <c r="A1433" s="16"/>
      <c r="B1433" s="16"/>
      <c r="C1433" s="16"/>
      <c r="D1433" s="16"/>
      <c r="E1433" s="16">
        <f>IFERROR(__xludf.DUMMYFUNCTION("""COMPUTED_VALUE"""),1.0)</f>
        <v>1</v>
      </c>
      <c r="F1433" s="108">
        <f>IFERROR(__xludf.DUMMYFUNCTION("""COMPUTED_VALUE"""),0.0)</f>
        <v>0</v>
      </c>
      <c r="G1433" s="16"/>
      <c r="H1433" s="16"/>
      <c r="I1433" s="16"/>
      <c r="J1433" s="16"/>
      <c r="K1433" s="16"/>
      <c r="L1433" s="16"/>
      <c r="M1433" s="16"/>
      <c r="N1433" s="16"/>
      <c r="O1433" s="16"/>
      <c r="P1433" s="16"/>
      <c r="Q1433" s="16"/>
      <c r="R1433" s="16"/>
      <c r="S1433" s="16"/>
      <c r="T1433" s="16"/>
      <c r="U1433" s="16"/>
      <c r="V1433" s="16"/>
      <c r="W1433" s="16"/>
      <c r="X1433" s="16"/>
      <c r="Y1433" s="16"/>
      <c r="Z1433" s="16"/>
      <c r="AA1433" s="16"/>
      <c r="AB1433" s="16"/>
      <c r="AC1433" s="16"/>
      <c r="AD1433" s="16"/>
      <c r="AE1433" s="16"/>
      <c r="AF1433" s="16"/>
      <c r="AG1433" s="16"/>
      <c r="AH1433" s="16" t="b">
        <f>IFERROR(__xludf.DUMMYFUNCTION("""COMPUTED_VALUE"""),FALSE)</f>
        <v>0</v>
      </c>
    </row>
    <row r="1434">
      <c r="A1434" s="16"/>
      <c r="B1434" s="16"/>
      <c r="C1434" s="16"/>
      <c r="D1434" s="16"/>
      <c r="E1434" s="16">
        <f>IFERROR(__xludf.DUMMYFUNCTION("""COMPUTED_VALUE"""),1.0)</f>
        <v>1</v>
      </c>
      <c r="F1434" s="108">
        <f>IFERROR(__xludf.DUMMYFUNCTION("""COMPUTED_VALUE"""),0.0)</f>
        <v>0</v>
      </c>
      <c r="G1434" s="16"/>
      <c r="H1434" s="16"/>
      <c r="I1434" s="16"/>
      <c r="J1434" s="16"/>
      <c r="K1434" s="16"/>
      <c r="L1434" s="16"/>
      <c r="M1434" s="16"/>
      <c r="N1434" s="16"/>
      <c r="O1434" s="16"/>
      <c r="P1434" s="16"/>
      <c r="Q1434" s="16"/>
      <c r="R1434" s="16"/>
      <c r="S1434" s="16"/>
      <c r="T1434" s="16"/>
      <c r="U1434" s="16"/>
      <c r="V1434" s="16"/>
      <c r="W1434" s="16"/>
      <c r="X1434" s="16"/>
      <c r="Y1434" s="16"/>
      <c r="Z1434" s="16"/>
      <c r="AA1434" s="16"/>
      <c r="AB1434" s="16"/>
      <c r="AC1434" s="16"/>
      <c r="AD1434" s="16"/>
      <c r="AE1434" s="16"/>
      <c r="AF1434" s="16"/>
      <c r="AG1434" s="16"/>
      <c r="AH1434" s="16" t="b">
        <f>IFERROR(__xludf.DUMMYFUNCTION("""COMPUTED_VALUE"""),FALSE)</f>
        <v>0</v>
      </c>
    </row>
    <row r="1435">
      <c r="A1435" s="16"/>
      <c r="B1435" s="16"/>
      <c r="C1435" s="16"/>
      <c r="D1435" s="16"/>
      <c r="E1435" s="16">
        <f>IFERROR(__xludf.DUMMYFUNCTION("""COMPUTED_VALUE"""),1.0)</f>
        <v>1</v>
      </c>
      <c r="F1435" s="108">
        <f>IFERROR(__xludf.DUMMYFUNCTION("""COMPUTED_VALUE"""),0.0)</f>
        <v>0</v>
      </c>
      <c r="G1435" s="16"/>
      <c r="H1435" s="16"/>
      <c r="I1435" s="16"/>
      <c r="J1435" s="16"/>
      <c r="K1435" s="16"/>
      <c r="L1435" s="16"/>
      <c r="M1435" s="16"/>
      <c r="N1435" s="16"/>
      <c r="O1435" s="16"/>
      <c r="P1435" s="16"/>
      <c r="Q1435" s="16"/>
      <c r="R1435" s="16"/>
      <c r="S1435" s="16"/>
      <c r="T1435" s="16"/>
      <c r="U1435" s="16"/>
      <c r="V1435" s="16"/>
      <c r="W1435" s="16"/>
      <c r="X1435" s="16"/>
      <c r="Y1435" s="16"/>
      <c r="Z1435" s="16"/>
      <c r="AA1435" s="16"/>
      <c r="AB1435" s="16"/>
      <c r="AC1435" s="16"/>
      <c r="AD1435" s="16"/>
      <c r="AE1435" s="16"/>
      <c r="AF1435" s="16"/>
      <c r="AG1435" s="16"/>
      <c r="AH1435" s="16" t="b">
        <f>IFERROR(__xludf.DUMMYFUNCTION("""COMPUTED_VALUE"""),FALSE)</f>
        <v>0</v>
      </c>
    </row>
    <row r="1436">
      <c r="A1436" s="16"/>
      <c r="B1436" s="16"/>
      <c r="C1436" s="16"/>
      <c r="D1436" s="16"/>
      <c r="E1436" s="16">
        <f>IFERROR(__xludf.DUMMYFUNCTION("""COMPUTED_VALUE"""),1.0)</f>
        <v>1</v>
      </c>
      <c r="F1436" s="108">
        <f>IFERROR(__xludf.DUMMYFUNCTION("""COMPUTED_VALUE"""),0.0)</f>
        <v>0</v>
      </c>
      <c r="G1436" s="16"/>
      <c r="H1436" s="16"/>
      <c r="I1436" s="16"/>
      <c r="J1436" s="16"/>
      <c r="K1436" s="16"/>
      <c r="L1436" s="16"/>
      <c r="M1436" s="16"/>
      <c r="N1436" s="16"/>
      <c r="O1436" s="16"/>
      <c r="P1436" s="16"/>
      <c r="Q1436" s="16"/>
      <c r="R1436" s="16"/>
      <c r="S1436" s="16"/>
      <c r="T1436" s="16"/>
      <c r="U1436" s="16"/>
      <c r="V1436" s="16"/>
      <c r="W1436" s="16"/>
      <c r="X1436" s="16"/>
      <c r="Y1436" s="16"/>
      <c r="Z1436" s="16"/>
      <c r="AA1436" s="16"/>
      <c r="AB1436" s="16"/>
      <c r="AC1436" s="16"/>
      <c r="AD1436" s="16"/>
      <c r="AE1436" s="16"/>
      <c r="AF1436" s="16"/>
      <c r="AG1436" s="16"/>
      <c r="AH1436" s="16" t="b">
        <f>IFERROR(__xludf.DUMMYFUNCTION("""COMPUTED_VALUE"""),FALSE)</f>
        <v>0</v>
      </c>
    </row>
    <row r="1437">
      <c r="A1437" s="16"/>
      <c r="B1437" s="16"/>
      <c r="C1437" s="16"/>
      <c r="D1437" s="16"/>
      <c r="E1437" s="16">
        <f>IFERROR(__xludf.DUMMYFUNCTION("""COMPUTED_VALUE"""),1.0)</f>
        <v>1</v>
      </c>
      <c r="F1437" s="108">
        <f>IFERROR(__xludf.DUMMYFUNCTION("""COMPUTED_VALUE"""),0.0)</f>
        <v>0</v>
      </c>
      <c r="G1437" s="16"/>
      <c r="H1437" s="16"/>
      <c r="I1437" s="16"/>
      <c r="J1437" s="16"/>
      <c r="K1437" s="16"/>
      <c r="L1437" s="16"/>
      <c r="M1437" s="16"/>
      <c r="N1437" s="16"/>
      <c r="O1437" s="16"/>
      <c r="P1437" s="16"/>
      <c r="Q1437" s="16"/>
      <c r="R1437" s="16"/>
      <c r="S1437" s="16"/>
      <c r="T1437" s="16"/>
      <c r="U1437" s="16"/>
      <c r="V1437" s="16"/>
      <c r="W1437" s="16"/>
      <c r="X1437" s="16"/>
      <c r="Y1437" s="16"/>
      <c r="Z1437" s="16"/>
      <c r="AA1437" s="16"/>
      <c r="AB1437" s="16"/>
      <c r="AC1437" s="16"/>
      <c r="AD1437" s="16"/>
      <c r="AE1437" s="16"/>
      <c r="AF1437" s="16"/>
      <c r="AG1437" s="16"/>
      <c r="AH1437" s="16" t="b">
        <f>IFERROR(__xludf.DUMMYFUNCTION("""COMPUTED_VALUE"""),FALSE)</f>
        <v>0</v>
      </c>
    </row>
    <row r="1438">
      <c r="A1438" s="16"/>
      <c r="B1438" s="16"/>
      <c r="C1438" s="16"/>
      <c r="D1438" s="16"/>
      <c r="E1438" s="16">
        <f>IFERROR(__xludf.DUMMYFUNCTION("""COMPUTED_VALUE"""),1.0)</f>
        <v>1</v>
      </c>
      <c r="F1438" s="108">
        <f>IFERROR(__xludf.DUMMYFUNCTION("""COMPUTED_VALUE"""),0.0)</f>
        <v>0</v>
      </c>
      <c r="G1438" s="16"/>
      <c r="H1438" s="16"/>
      <c r="I1438" s="16"/>
      <c r="J1438" s="16"/>
      <c r="K1438" s="16"/>
      <c r="L1438" s="16"/>
      <c r="M1438" s="16"/>
      <c r="N1438" s="16"/>
      <c r="O1438" s="16"/>
      <c r="P1438" s="16"/>
      <c r="Q1438" s="16"/>
      <c r="R1438" s="16"/>
      <c r="S1438" s="16"/>
      <c r="T1438" s="16"/>
      <c r="U1438" s="16"/>
      <c r="V1438" s="16"/>
      <c r="W1438" s="16"/>
      <c r="X1438" s="16"/>
      <c r="Y1438" s="16"/>
      <c r="Z1438" s="16"/>
      <c r="AA1438" s="16"/>
      <c r="AB1438" s="16"/>
      <c r="AC1438" s="16"/>
      <c r="AD1438" s="16"/>
      <c r="AE1438" s="16"/>
      <c r="AF1438" s="16"/>
      <c r="AG1438" s="16"/>
      <c r="AH1438" s="16" t="b">
        <f>IFERROR(__xludf.DUMMYFUNCTION("""COMPUTED_VALUE"""),FALSE)</f>
        <v>0</v>
      </c>
    </row>
    <row r="1439">
      <c r="A1439" s="16"/>
      <c r="B1439" s="16"/>
      <c r="C1439" s="16"/>
      <c r="D1439" s="16"/>
      <c r="E1439" s="16">
        <f>IFERROR(__xludf.DUMMYFUNCTION("""COMPUTED_VALUE"""),1.0)</f>
        <v>1</v>
      </c>
      <c r="F1439" s="108">
        <f>IFERROR(__xludf.DUMMYFUNCTION("""COMPUTED_VALUE"""),0.0)</f>
        <v>0</v>
      </c>
      <c r="G1439" s="16"/>
      <c r="H1439" s="16"/>
      <c r="I1439" s="16"/>
      <c r="J1439" s="16"/>
      <c r="K1439" s="16"/>
      <c r="L1439" s="16"/>
      <c r="M1439" s="16"/>
      <c r="N1439" s="16"/>
      <c r="O1439" s="16"/>
      <c r="P1439" s="16"/>
      <c r="Q1439" s="16"/>
      <c r="R1439" s="16"/>
      <c r="S1439" s="16"/>
      <c r="T1439" s="16"/>
      <c r="U1439" s="16"/>
      <c r="V1439" s="16"/>
      <c r="W1439" s="16"/>
      <c r="X1439" s="16"/>
      <c r="Y1439" s="16"/>
      <c r="Z1439" s="16"/>
      <c r="AA1439" s="16"/>
      <c r="AB1439" s="16"/>
      <c r="AC1439" s="16"/>
      <c r="AD1439" s="16"/>
      <c r="AE1439" s="16"/>
      <c r="AF1439" s="16"/>
      <c r="AG1439" s="16"/>
      <c r="AH1439" s="16" t="b">
        <f>IFERROR(__xludf.DUMMYFUNCTION("""COMPUTED_VALUE"""),FALSE)</f>
        <v>0</v>
      </c>
    </row>
    <row r="1440">
      <c r="A1440" s="16"/>
      <c r="B1440" s="16"/>
      <c r="C1440" s="16"/>
      <c r="D1440" s="16"/>
      <c r="E1440" s="16">
        <f>IFERROR(__xludf.DUMMYFUNCTION("""COMPUTED_VALUE"""),1.0)</f>
        <v>1</v>
      </c>
      <c r="F1440" s="108">
        <f>IFERROR(__xludf.DUMMYFUNCTION("""COMPUTED_VALUE"""),0.0)</f>
        <v>0</v>
      </c>
      <c r="G1440" s="16"/>
      <c r="H1440" s="16"/>
      <c r="I1440" s="16"/>
      <c r="J1440" s="16"/>
      <c r="K1440" s="16"/>
      <c r="L1440" s="16"/>
      <c r="M1440" s="16"/>
      <c r="N1440" s="16"/>
      <c r="O1440" s="16"/>
      <c r="P1440" s="16"/>
      <c r="Q1440" s="16"/>
      <c r="R1440" s="16"/>
      <c r="S1440" s="16"/>
      <c r="T1440" s="16"/>
      <c r="U1440" s="16"/>
      <c r="V1440" s="16"/>
      <c r="W1440" s="16"/>
      <c r="X1440" s="16"/>
      <c r="Y1440" s="16"/>
      <c r="Z1440" s="16"/>
      <c r="AA1440" s="16"/>
      <c r="AB1440" s="16"/>
      <c r="AC1440" s="16"/>
      <c r="AD1440" s="16"/>
      <c r="AE1440" s="16"/>
      <c r="AF1440" s="16"/>
      <c r="AG1440" s="16"/>
      <c r="AH1440" s="16" t="b">
        <f>IFERROR(__xludf.DUMMYFUNCTION("""COMPUTED_VALUE"""),FALSE)</f>
        <v>0</v>
      </c>
    </row>
    <row r="1441">
      <c r="A1441" s="16"/>
      <c r="B1441" s="16"/>
      <c r="C1441" s="16"/>
      <c r="D1441" s="16"/>
      <c r="E1441" s="16">
        <f>IFERROR(__xludf.DUMMYFUNCTION("""COMPUTED_VALUE"""),1.0)</f>
        <v>1</v>
      </c>
      <c r="F1441" s="108">
        <f>IFERROR(__xludf.DUMMYFUNCTION("""COMPUTED_VALUE"""),0.0)</f>
        <v>0</v>
      </c>
      <c r="G1441" s="16"/>
      <c r="H1441" s="16"/>
      <c r="I1441" s="16"/>
      <c r="J1441" s="16"/>
      <c r="K1441" s="16"/>
      <c r="L1441" s="16"/>
      <c r="M1441" s="16"/>
      <c r="N1441" s="16"/>
      <c r="O1441" s="16"/>
      <c r="P1441" s="16"/>
      <c r="Q1441" s="16"/>
      <c r="R1441" s="16"/>
      <c r="S1441" s="16"/>
      <c r="T1441" s="16"/>
      <c r="U1441" s="16"/>
      <c r="V1441" s="16"/>
      <c r="W1441" s="16"/>
      <c r="X1441" s="16"/>
      <c r="Y1441" s="16"/>
      <c r="Z1441" s="16"/>
      <c r="AA1441" s="16"/>
      <c r="AB1441" s="16"/>
      <c r="AC1441" s="16"/>
      <c r="AD1441" s="16"/>
      <c r="AE1441" s="16"/>
      <c r="AF1441" s="16"/>
      <c r="AG1441" s="16"/>
      <c r="AH1441" s="16" t="b">
        <f>IFERROR(__xludf.DUMMYFUNCTION("""COMPUTED_VALUE"""),FALSE)</f>
        <v>0</v>
      </c>
    </row>
    <row r="1442">
      <c r="A1442" s="16"/>
      <c r="B1442" s="16"/>
      <c r="C1442" s="16"/>
      <c r="D1442" s="16"/>
      <c r="E1442" s="16">
        <f>IFERROR(__xludf.DUMMYFUNCTION("""COMPUTED_VALUE"""),1.0)</f>
        <v>1</v>
      </c>
      <c r="F1442" s="108">
        <f>IFERROR(__xludf.DUMMYFUNCTION("""COMPUTED_VALUE"""),0.0)</f>
        <v>0</v>
      </c>
      <c r="G1442" s="16"/>
      <c r="H1442" s="16"/>
      <c r="I1442" s="16"/>
      <c r="J1442" s="16"/>
      <c r="K1442" s="16"/>
      <c r="L1442" s="16"/>
      <c r="M1442" s="16"/>
      <c r="N1442" s="16"/>
      <c r="O1442" s="16"/>
      <c r="P1442" s="16"/>
      <c r="Q1442" s="16"/>
      <c r="R1442" s="16"/>
      <c r="S1442" s="16"/>
      <c r="T1442" s="16"/>
      <c r="U1442" s="16"/>
      <c r="V1442" s="16"/>
      <c r="W1442" s="16"/>
      <c r="X1442" s="16"/>
      <c r="Y1442" s="16"/>
      <c r="Z1442" s="16"/>
      <c r="AA1442" s="16"/>
      <c r="AB1442" s="16"/>
      <c r="AC1442" s="16"/>
      <c r="AD1442" s="16"/>
      <c r="AE1442" s="16"/>
      <c r="AF1442" s="16"/>
      <c r="AG1442" s="16"/>
      <c r="AH1442" s="16" t="b">
        <f>IFERROR(__xludf.DUMMYFUNCTION("""COMPUTED_VALUE"""),FALSE)</f>
        <v>0</v>
      </c>
    </row>
    <row r="1443">
      <c r="A1443" s="16"/>
      <c r="B1443" s="16"/>
      <c r="C1443" s="16"/>
      <c r="D1443" s="16"/>
      <c r="E1443" s="16">
        <f>IFERROR(__xludf.DUMMYFUNCTION("""COMPUTED_VALUE"""),1.0)</f>
        <v>1</v>
      </c>
      <c r="F1443" s="108">
        <f>IFERROR(__xludf.DUMMYFUNCTION("""COMPUTED_VALUE"""),0.0)</f>
        <v>0</v>
      </c>
      <c r="G1443" s="16"/>
      <c r="H1443" s="16"/>
      <c r="I1443" s="16"/>
      <c r="J1443" s="16"/>
      <c r="K1443" s="16"/>
      <c r="L1443" s="16"/>
      <c r="M1443" s="16"/>
      <c r="N1443" s="16"/>
      <c r="O1443" s="16"/>
      <c r="P1443" s="16"/>
      <c r="Q1443" s="16"/>
      <c r="R1443" s="16"/>
      <c r="S1443" s="16"/>
      <c r="T1443" s="16"/>
      <c r="U1443" s="16"/>
      <c r="V1443" s="16"/>
      <c r="W1443" s="16"/>
      <c r="X1443" s="16"/>
      <c r="Y1443" s="16"/>
      <c r="Z1443" s="16"/>
      <c r="AA1443" s="16"/>
      <c r="AB1443" s="16"/>
      <c r="AC1443" s="16"/>
      <c r="AD1443" s="16"/>
      <c r="AE1443" s="16"/>
      <c r="AF1443" s="16"/>
      <c r="AG1443" s="16"/>
      <c r="AH1443" s="16" t="b">
        <f>IFERROR(__xludf.DUMMYFUNCTION("""COMPUTED_VALUE"""),FALSE)</f>
        <v>0</v>
      </c>
    </row>
    <row r="1444">
      <c r="A1444" s="16"/>
      <c r="B1444" s="16"/>
      <c r="C1444" s="16"/>
      <c r="D1444" s="16"/>
      <c r="E1444" s="16">
        <f>IFERROR(__xludf.DUMMYFUNCTION("""COMPUTED_VALUE"""),1.0)</f>
        <v>1</v>
      </c>
      <c r="F1444" s="108">
        <f>IFERROR(__xludf.DUMMYFUNCTION("""COMPUTED_VALUE"""),0.0)</f>
        <v>0</v>
      </c>
      <c r="G1444" s="16"/>
      <c r="H1444" s="16"/>
      <c r="I1444" s="16"/>
      <c r="J1444" s="16"/>
      <c r="K1444" s="16"/>
      <c r="L1444" s="16"/>
      <c r="M1444" s="16"/>
      <c r="N1444" s="16"/>
      <c r="O1444" s="16"/>
      <c r="P1444" s="16"/>
      <c r="Q1444" s="16"/>
      <c r="R1444" s="16"/>
      <c r="S1444" s="16"/>
      <c r="T1444" s="16"/>
      <c r="U1444" s="16"/>
      <c r="V1444" s="16"/>
      <c r="W1444" s="16"/>
      <c r="X1444" s="16"/>
      <c r="Y1444" s="16"/>
      <c r="Z1444" s="16"/>
      <c r="AA1444" s="16"/>
      <c r="AB1444" s="16"/>
      <c r="AC1444" s="16"/>
      <c r="AD1444" s="16"/>
      <c r="AE1444" s="16"/>
      <c r="AF1444" s="16"/>
      <c r="AG1444" s="16"/>
      <c r="AH1444" s="16" t="b">
        <f>IFERROR(__xludf.DUMMYFUNCTION("""COMPUTED_VALUE"""),FALSE)</f>
        <v>0</v>
      </c>
    </row>
    <row r="1445">
      <c r="A1445" s="16"/>
      <c r="B1445" s="16"/>
      <c r="C1445" s="16"/>
      <c r="D1445" s="16"/>
      <c r="E1445" s="16">
        <f>IFERROR(__xludf.DUMMYFUNCTION("""COMPUTED_VALUE"""),1.0)</f>
        <v>1</v>
      </c>
      <c r="F1445" s="108">
        <f>IFERROR(__xludf.DUMMYFUNCTION("""COMPUTED_VALUE"""),0.0)</f>
        <v>0</v>
      </c>
      <c r="G1445" s="16"/>
      <c r="H1445" s="16"/>
      <c r="I1445" s="16"/>
      <c r="J1445" s="16"/>
      <c r="K1445" s="16"/>
      <c r="L1445" s="16"/>
      <c r="M1445" s="16"/>
      <c r="N1445" s="16"/>
      <c r="O1445" s="16"/>
      <c r="P1445" s="16"/>
      <c r="Q1445" s="16"/>
      <c r="R1445" s="16"/>
      <c r="S1445" s="16"/>
      <c r="T1445" s="16"/>
      <c r="U1445" s="16"/>
      <c r="V1445" s="16"/>
      <c r="W1445" s="16"/>
      <c r="X1445" s="16"/>
      <c r="Y1445" s="16"/>
      <c r="Z1445" s="16"/>
      <c r="AA1445" s="16"/>
      <c r="AB1445" s="16"/>
      <c r="AC1445" s="16"/>
      <c r="AD1445" s="16"/>
      <c r="AE1445" s="16"/>
      <c r="AF1445" s="16"/>
      <c r="AG1445" s="16"/>
      <c r="AH1445" s="16" t="b">
        <f>IFERROR(__xludf.DUMMYFUNCTION("""COMPUTED_VALUE"""),FALSE)</f>
        <v>0</v>
      </c>
    </row>
    <row r="1446">
      <c r="A1446" s="16"/>
      <c r="B1446" s="16"/>
      <c r="C1446" s="16"/>
      <c r="D1446" s="16"/>
      <c r="E1446" s="16">
        <f>IFERROR(__xludf.DUMMYFUNCTION("""COMPUTED_VALUE"""),1.0)</f>
        <v>1</v>
      </c>
      <c r="F1446" s="108">
        <f>IFERROR(__xludf.DUMMYFUNCTION("""COMPUTED_VALUE"""),0.0)</f>
        <v>0</v>
      </c>
      <c r="G1446" s="16"/>
      <c r="H1446" s="16"/>
      <c r="I1446" s="16"/>
      <c r="J1446" s="16"/>
      <c r="K1446" s="16"/>
      <c r="L1446" s="16"/>
      <c r="M1446" s="16"/>
      <c r="N1446" s="16"/>
      <c r="O1446" s="16"/>
      <c r="P1446" s="16"/>
      <c r="Q1446" s="16"/>
      <c r="R1446" s="16"/>
      <c r="S1446" s="16"/>
      <c r="T1446" s="16"/>
      <c r="U1446" s="16"/>
      <c r="V1446" s="16"/>
      <c r="W1446" s="16"/>
      <c r="X1446" s="16"/>
      <c r="Y1446" s="16"/>
      <c r="Z1446" s="16"/>
      <c r="AA1446" s="16"/>
      <c r="AB1446" s="16"/>
      <c r="AC1446" s="16"/>
      <c r="AD1446" s="16"/>
      <c r="AE1446" s="16"/>
      <c r="AF1446" s="16"/>
      <c r="AG1446" s="16"/>
      <c r="AH1446" s="16" t="b">
        <f>IFERROR(__xludf.DUMMYFUNCTION("""COMPUTED_VALUE"""),FALSE)</f>
        <v>0</v>
      </c>
    </row>
    <row r="1447">
      <c r="A1447" s="16"/>
      <c r="B1447" s="16"/>
      <c r="C1447" s="16"/>
      <c r="D1447" s="16"/>
      <c r="E1447" s="16">
        <f>IFERROR(__xludf.DUMMYFUNCTION("""COMPUTED_VALUE"""),1.0)</f>
        <v>1</v>
      </c>
      <c r="F1447" s="108">
        <f>IFERROR(__xludf.DUMMYFUNCTION("""COMPUTED_VALUE"""),0.0)</f>
        <v>0</v>
      </c>
      <c r="G1447" s="16"/>
      <c r="H1447" s="16"/>
      <c r="I1447" s="16"/>
      <c r="J1447" s="16"/>
      <c r="K1447" s="16"/>
      <c r="L1447" s="16"/>
      <c r="M1447" s="16"/>
      <c r="N1447" s="16"/>
      <c r="O1447" s="16"/>
      <c r="P1447" s="16"/>
      <c r="Q1447" s="16"/>
      <c r="R1447" s="16"/>
      <c r="S1447" s="16"/>
      <c r="T1447" s="16"/>
      <c r="U1447" s="16"/>
      <c r="V1447" s="16"/>
      <c r="W1447" s="16"/>
      <c r="X1447" s="16"/>
      <c r="Y1447" s="16"/>
      <c r="Z1447" s="16"/>
      <c r="AA1447" s="16"/>
      <c r="AB1447" s="16"/>
      <c r="AC1447" s="16"/>
      <c r="AD1447" s="16"/>
      <c r="AE1447" s="16"/>
      <c r="AF1447" s="16"/>
      <c r="AG1447" s="16"/>
      <c r="AH1447" s="16" t="b">
        <f>IFERROR(__xludf.DUMMYFUNCTION("""COMPUTED_VALUE"""),FALSE)</f>
        <v>0</v>
      </c>
    </row>
    <row r="1448">
      <c r="A1448" s="16"/>
      <c r="B1448" s="16"/>
      <c r="C1448" s="16"/>
      <c r="D1448" s="16"/>
      <c r="E1448" s="16">
        <f>IFERROR(__xludf.DUMMYFUNCTION("""COMPUTED_VALUE"""),1.0)</f>
        <v>1</v>
      </c>
      <c r="F1448" s="108">
        <f>IFERROR(__xludf.DUMMYFUNCTION("""COMPUTED_VALUE"""),0.0)</f>
        <v>0</v>
      </c>
      <c r="G1448" s="16"/>
      <c r="H1448" s="16"/>
      <c r="I1448" s="16"/>
      <c r="J1448" s="16"/>
      <c r="K1448" s="16"/>
      <c r="L1448" s="16"/>
      <c r="M1448" s="16"/>
      <c r="N1448" s="16"/>
      <c r="O1448" s="16"/>
      <c r="P1448" s="16"/>
      <c r="Q1448" s="16"/>
      <c r="R1448" s="16"/>
      <c r="S1448" s="16"/>
      <c r="T1448" s="16"/>
      <c r="U1448" s="16"/>
      <c r="V1448" s="16"/>
      <c r="W1448" s="16"/>
      <c r="X1448" s="16"/>
      <c r="Y1448" s="16"/>
      <c r="Z1448" s="16"/>
      <c r="AA1448" s="16"/>
      <c r="AB1448" s="16"/>
      <c r="AC1448" s="16"/>
      <c r="AD1448" s="16"/>
      <c r="AE1448" s="16"/>
      <c r="AF1448" s="16"/>
      <c r="AG1448" s="16"/>
      <c r="AH1448" s="16" t="b">
        <f>IFERROR(__xludf.DUMMYFUNCTION("""COMPUTED_VALUE"""),FALSE)</f>
        <v>0</v>
      </c>
    </row>
    <row r="1449">
      <c r="A1449" s="16"/>
      <c r="B1449" s="16"/>
      <c r="C1449" s="16"/>
      <c r="D1449" s="16"/>
      <c r="E1449" s="16">
        <f>IFERROR(__xludf.DUMMYFUNCTION("""COMPUTED_VALUE"""),1.0)</f>
        <v>1</v>
      </c>
      <c r="F1449" s="108">
        <f>IFERROR(__xludf.DUMMYFUNCTION("""COMPUTED_VALUE"""),0.0)</f>
        <v>0</v>
      </c>
      <c r="G1449" s="16"/>
      <c r="H1449" s="16"/>
      <c r="I1449" s="16"/>
      <c r="J1449" s="16"/>
      <c r="K1449" s="16"/>
      <c r="L1449" s="16"/>
      <c r="M1449" s="16"/>
      <c r="N1449" s="16"/>
      <c r="O1449" s="16"/>
      <c r="P1449" s="16"/>
      <c r="Q1449" s="16"/>
      <c r="R1449" s="16"/>
      <c r="S1449" s="16"/>
      <c r="T1449" s="16"/>
      <c r="U1449" s="16"/>
      <c r="V1449" s="16"/>
      <c r="W1449" s="16"/>
      <c r="X1449" s="16"/>
      <c r="Y1449" s="16"/>
      <c r="Z1449" s="16"/>
      <c r="AA1449" s="16"/>
      <c r="AB1449" s="16"/>
      <c r="AC1449" s="16"/>
      <c r="AD1449" s="16"/>
      <c r="AE1449" s="16"/>
      <c r="AF1449" s="16"/>
      <c r="AG1449" s="16"/>
      <c r="AH1449" s="16" t="b">
        <f>IFERROR(__xludf.DUMMYFUNCTION("""COMPUTED_VALUE"""),FALSE)</f>
        <v>0</v>
      </c>
    </row>
    <row r="1450">
      <c r="A1450" s="16"/>
      <c r="B1450" s="16"/>
      <c r="C1450" s="16"/>
      <c r="D1450" s="16"/>
      <c r="E1450" s="16">
        <f>IFERROR(__xludf.DUMMYFUNCTION("""COMPUTED_VALUE"""),1.0)</f>
        <v>1</v>
      </c>
      <c r="F1450" s="108">
        <f>IFERROR(__xludf.DUMMYFUNCTION("""COMPUTED_VALUE"""),0.0)</f>
        <v>0</v>
      </c>
      <c r="G1450" s="16"/>
      <c r="H1450" s="16"/>
      <c r="I1450" s="16"/>
      <c r="J1450" s="16"/>
      <c r="K1450" s="16"/>
      <c r="L1450" s="16"/>
      <c r="M1450" s="16"/>
      <c r="N1450" s="16"/>
      <c r="O1450" s="16"/>
      <c r="P1450" s="16"/>
      <c r="Q1450" s="16"/>
      <c r="R1450" s="16"/>
      <c r="S1450" s="16"/>
      <c r="T1450" s="16"/>
      <c r="U1450" s="16"/>
      <c r="V1450" s="16"/>
      <c r="W1450" s="16"/>
      <c r="X1450" s="16"/>
      <c r="Y1450" s="16"/>
      <c r="Z1450" s="16"/>
      <c r="AA1450" s="16"/>
      <c r="AB1450" s="16"/>
      <c r="AC1450" s="16"/>
      <c r="AD1450" s="16"/>
      <c r="AE1450" s="16"/>
      <c r="AF1450" s="16"/>
      <c r="AG1450" s="16"/>
      <c r="AH1450" s="16" t="b">
        <f>IFERROR(__xludf.DUMMYFUNCTION("""COMPUTED_VALUE"""),FALSE)</f>
        <v>0</v>
      </c>
    </row>
    <row r="1451">
      <c r="A1451" s="16"/>
      <c r="B1451" s="16"/>
      <c r="C1451" s="16"/>
      <c r="D1451" s="16"/>
      <c r="E1451" s="16">
        <f>IFERROR(__xludf.DUMMYFUNCTION("""COMPUTED_VALUE"""),1.0)</f>
        <v>1</v>
      </c>
      <c r="F1451" s="108">
        <f>IFERROR(__xludf.DUMMYFUNCTION("""COMPUTED_VALUE"""),0.0)</f>
        <v>0</v>
      </c>
      <c r="G1451" s="16"/>
      <c r="H1451" s="16"/>
      <c r="I1451" s="16"/>
      <c r="J1451" s="16"/>
      <c r="K1451" s="16"/>
      <c r="L1451" s="16"/>
      <c r="M1451" s="16"/>
      <c r="N1451" s="16"/>
      <c r="O1451" s="16"/>
      <c r="P1451" s="16"/>
      <c r="Q1451" s="16"/>
      <c r="R1451" s="16"/>
      <c r="S1451" s="16"/>
      <c r="T1451" s="16"/>
      <c r="U1451" s="16"/>
      <c r="V1451" s="16"/>
      <c r="W1451" s="16"/>
      <c r="X1451" s="16"/>
      <c r="Y1451" s="16"/>
      <c r="Z1451" s="16"/>
      <c r="AA1451" s="16"/>
      <c r="AB1451" s="16"/>
      <c r="AC1451" s="16"/>
      <c r="AD1451" s="16"/>
      <c r="AE1451" s="16"/>
      <c r="AF1451" s="16"/>
      <c r="AG1451" s="16"/>
      <c r="AH1451" s="16" t="b">
        <f>IFERROR(__xludf.DUMMYFUNCTION("""COMPUTED_VALUE"""),FALSE)</f>
        <v>0</v>
      </c>
    </row>
    <row r="1452">
      <c r="A1452" s="16"/>
      <c r="B1452" s="16"/>
      <c r="C1452" s="16"/>
      <c r="D1452" s="16"/>
      <c r="E1452" s="16">
        <f>IFERROR(__xludf.DUMMYFUNCTION("""COMPUTED_VALUE"""),1.0)</f>
        <v>1</v>
      </c>
      <c r="F1452" s="108">
        <f>IFERROR(__xludf.DUMMYFUNCTION("""COMPUTED_VALUE"""),0.0)</f>
        <v>0</v>
      </c>
      <c r="G1452" s="16"/>
      <c r="H1452" s="16"/>
      <c r="I1452" s="16"/>
      <c r="J1452" s="16"/>
      <c r="K1452" s="16"/>
      <c r="L1452" s="16"/>
      <c r="M1452" s="16"/>
      <c r="N1452" s="16"/>
      <c r="O1452" s="16"/>
      <c r="P1452" s="16"/>
      <c r="Q1452" s="16"/>
      <c r="R1452" s="16"/>
      <c r="S1452" s="16"/>
      <c r="T1452" s="16"/>
      <c r="U1452" s="16"/>
      <c r="V1452" s="16"/>
      <c r="W1452" s="16"/>
      <c r="X1452" s="16"/>
      <c r="Y1452" s="16"/>
      <c r="Z1452" s="16"/>
      <c r="AA1452" s="16"/>
      <c r="AB1452" s="16"/>
      <c r="AC1452" s="16"/>
      <c r="AD1452" s="16"/>
      <c r="AE1452" s="16"/>
      <c r="AF1452" s="16"/>
      <c r="AG1452" s="16"/>
      <c r="AH1452" s="16" t="b">
        <f>IFERROR(__xludf.DUMMYFUNCTION("""COMPUTED_VALUE"""),FALSE)</f>
        <v>0</v>
      </c>
    </row>
    <row r="1453">
      <c r="A1453" s="16"/>
      <c r="B1453" s="16"/>
      <c r="C1453" s="16"/>
      <c r="D1453" s="16"/>
      <c r="E1453" s="16">
        <f>IFERROR(__xludf.DUMMYFUNCTION("""COMPUTED_VALUE"""),1.0)</f>
        <v>1</v>
      </c>
      <c r="F1453" s="108">
        <f>IFERROR(__xludf.DUMMYFUNCTION("""COMPUTED_VALUE"""),0.0)</f>
        <v>0</v>
      </c>
      <c r="G1453" s="16"/>
      <c r="H1453" s="16"/>
      <c r="I1453" s="16"/>
      <c r="J1453" s="16"/>
      <c r="K1453" s="16"/>
      <c r="L1453" s="16"/>
      <c r="M1453" s="16"/>
      <c r="N1453" s="16"/>
      <c r="O1453" s="16"/>
      <c r="P1453" s="16"/>
      <c r="Q1453" s="16"/>
      <c r="R1453" s="16"/>
      <c r="S1453" s="16"/>
      <c r="T1453" s="16"/>
      <c r="U1453" s="16"/>
      <c r="V1453" s="16"/>
      <c r="W1453" s="16"/>
      <c r="X1453" s="16"/>
      <c r="Y1453" s="16"/>
      <c r="Z1453" s="16"/>
      <c r="AA1453" s="16"/>
      <c r="AB1453" s="16"/>
      <c r="AC1453" s="16"/>
      <c r="AD1453" s="16"/>
      <c r="AE1453" s="16"/>
      <c r="AF1453" s="16"/>
      <c r="AG1453" s="16"/>
      <c r="AH1453" s="16" t="b">
        <f>IFERROR(__xludf.DUMMYFUNCTION("""COMPUTED_VALUE"""),FALSE)</f>
        <v>0</v>
      </c>
    </row>
    <row r="1454">
      <c r="A1454" s="16"/>
      <c r="B1454" s="16"/>
      <c r="C1454" s="16"/>
      <c r="D1454" s="16"/>
      <c r="E1454" s="16">
        <f>IFERROR(__xludf.DUMMYFUNCTION("""COMPUTED_VALUE"""),1.0)</f>
        <v>1</v>
      </c>
      <c r="F1454" s="108">
        <f>IFERROR(__xludf.DUMMYFUNCTION("""COMPUTED_VALUE"""),0.0)</f>
        <v>0</v>
      </c>
      <c r="G1454" s="16"/>
      <c r="H1454" s="16"/>
      <c r="I1454" s="16"/>
      <c r="J1454" s="16"/>
      <c r="K1454" s="16"/>
      <c r="L1454" s="16"/>
      <c r="M1454" s="16"/>
      <c r="N1454" s="16"/>
      <c r="O1454" s="16"/>
      <c r="P1454" s="16"/>
      <c r="Q1454" s="16"/>
      <c r="R1454" s="16"/>
      <c r="S1454" s="16"/>
      <c r="T1454" s="16"/>
      <c r="U1454" s="16"/>
      <c r="V1454" s="16"/>
      <c r="W1454" s="16"/>
      <c r="X1454" s="16"/>
      <c r="Y1454" s="16"/>
      <c r="Z1454" s="16"/>
      <c r="AA1454" s="16"/>
      <c r="AB1454" s="16"/>
      <c r="AC1454" s="16"/>
      <c r="AD1454" s="16"/>
      <c r="AE1454" s="16"/>
      <c r="AF1454" s="16"/>
      <c r="AG1454" s="16"/>
      <c r="AH1454" s="16" t="b">
        <f>IFERROR(__xludf.DUMMYFUNCTION("""COMPUTED_VALUE"""),FALSE)</f>
        <v>0</v>
      </c>
    </row>
    <row r="1455">
      <c r="A1455" s="16"/>
      <c r="B1455" s="16"/>
      <c r="C1455" s="16"/>
      <c r="D1455" s="16"/>
      <c r="E1455" s="16">
        <f>IFERROR(__xludf.DUMMYFUNCTION("""COMPUTED_VALUE"""),1.0)</f>
        <v>1</v>
      </c>
      <c r="F1455" s="108">
        <f>IFERROR(__xludf.DUMMYFUNCTION("""COMPUTED_VALUE"""),0.0)</f>
        <v>0</v>
      </c>
      <c r="G1455" s="16"/>
      <c r="H1455" s="16"/>
      <c r="I1455" s="16"/>
      <c r="J1455" s="16"/>
      <c r="K1455" s="16"/>
      <c r="L1455" s="16"/>
      <c r="M1455" s="16"/>
      <c r="N1455" s="16"/>
      <c r="O1455" s="16"/>
      <c r="P1455" s="16"/>
      <c r="Q1455" s="16"/>
      <c r="R1455" s="16"/>
      <c r="S1455" s="16"/>
      <c r="T1455" s="16"/>
      <c r="U1455" s="16"/>
      <c r="V1455" s="16"/>
      <c r="W1455" s="16"/>
      <c r="X1455" s="16"/>
      <c r="Y1455" s="16"/>
      <c r="Z1455" s="16"/>
      <c r="AA1455" s="16"/>
      <c r="AB1455" s="16"/>
      <c r="AC1455" s="16"/>
      <c r="AD1455" s="16"/>
      <c r="AE1455" s="16"/>
      <c r="AF1455" s="16"/>
      <c r="AG1455" s="16"/>
      <c r="AH1455" s="16" t="b">
        <f>IFERROR(__xludf.DUMMYFUNCTION("""COMPUTED_VALUE"""),FALSE)</f>
        <v>0</v>
      </c>
    </row>
    <row r="1456">
      <c r="A1456" s="16"/>
      <c r="B1456" s="16"/>
      <c r="C1456" s="16"/>
      <c r="D1456" s="16"/>
      <c r="E1456" s="16">
        <f>IFERROR(__xludf.DUMMYFUNCTION("""COMPUTED_VALUE"""),1.0)</f>
        <v>1</v>
      </c>
      <c r="F1456" s="108">
        <f>IFERROR(__xludf.DUMMYFUNCTION("""COMPUTED_VALUE"""),0.0)</f>
        <v>0</v>
      </c>
      <c r="G1456" s="16"/>
      <c r="H1456" s="16"/>
      <c r="I1456" s="16"/>
      <c r="J1456" s="16"/>
      <c r="K1456" s="16"/>
      <c r="L1456" s="16"/>
      <c r="M1456" s="16"/>
      <c r="N1456" s="16"/>
      <c r="O1456" s="16"/>
      <c r="P1456" s="16"/>
      <c r="Q1456" s="16"/>
      <c r="R1456" s="16"/>
      <c r="S1456" s="16"/>
      <c r="T1456" s="16"/>
      <c r="U1456" s="16"/>
      <c r="V1456" s="16"/>
      <c r="W1456" s="16"/>
      <c r="X1456" s="16"/>
      <c r="Y1456" s="16"/>
      <c r="Z1456" s="16"/>
      <c r="AA1456" s="16"/>
      <c r="AB1456" s="16"/>
      <c r="AC1456" s="16"/>
      <c r="AD1456" s="16"/>
      <c r="AE1456" s="16"/>
      <c r="AF1456" s="16"/>
      <c r="AG1456" s="16"/>
      <c r="AH1456" s="16" t="b">
        <f>IFERROR(__xludf.DUMMYFUNCTION("""COMPUTED_VALUE"""),FALSE)</f>
        <v>0</v>
      </c>
    </row>
    <row r="1457">
      <c r="A1457" s="16"/>
      <c r="B1457" s="16"/>
      <c r="C1457" s="16"/>
      <c r="D1457" s="16"/>
      <c r="E1457" s="16">
        <f>IFERROR(__xludf.DUMMYFUNCTION("""COMPUTED_VALUE"""),1.0)</f>
        <v>1</v>
      </c>
      <c r="F1457" s="108">
        <f>IFERROR(__xludf.DUMMYFUNCTION("""COMPUTED_VALUE"""),0.0)</f>
        <v>0</v>
      </c>
      <c r="G1457" s="16"/>
      <c r="H1457" s="16"/>
      <c r="I1457" s="16"/>
      <c r="J1457" s="16"/>
      <c r="K1457" s="16"/>
      <c r="L1457" s="16"/>
      <c r="M1457" s="16"/>
      <c r="N1457" s="16"/>
      <c r="O1457" s="16"/>
      <c r="P1457" s="16"/>
      <c r="Q1457" s="16"/>
      <c r="R1457" s="16"/>
      <c r="S1457" s="16"/>
      <c r="T1457" s="16"/>
      <c r="U1457" s="16"/>
      <c r="V1457" s="16"/>
      <c r="W1457" s="16"/>
      <c r="X1457" s="16"/>
      <c r="Y1457" s="16"/>
      <c r="Z1457" s="16"/>
      <c r="AA1457" s="16"/>
      <c r="AB1457" s="16"/>
      <c r="AC1457" s="16"/>
      <c r="AD1457" s="16"/>
      <c r="AE1457" s="16"/>
      <c r="AF1457" s="16"/>
      <c r="AG1457" s="16"/>
      <c r="AH1457" s="16" t="b">
        <f>IFERROR(__xludf.DUMMYFUNCTION("""COMPUTED_VALUE"""),FALSE)</f>
        <v>0</v>
      </c>
    </row>
    <row r="1458">
      <c r="A1458" s="16"/>
      <c r="B1458" s="16"/>
      <c r="C1458" s="16"/>
      <c r="D1458" s="16"/>
      <c r="E1458" s="16">
        <f>IFERROR(__xludf.DUMMYFUNCTION("""COMPUTED_VALUE"""),1.0)</f>
        <v>1</v>
      </c>
      <c r="F1458" s="108">
        <f>IFERROR(__xludf.DUMMYFUNCTION("""COMPUTED_VALUE"""),0.0)</f>
        <v>0</v>
      </c>
      <c r="G1458" s="16"/>
      <c r="H1458" s="16"/>
      <c r="I1458" s="16"/>
      <c r="J1458" s="16"/>
      <c r="K1458" s="16"/>
      <c r="L1458" s="16"/>
      <c r="M1458" s="16"/>
      <c r="N1458" s="16"/>
      <c r="O1458" s="16"/>
      <c r="P1458" s="16"/>
      <c r="Q1458" s="16"/>
      <c r="R1458" s="16"/>
      <c r="S1458" s="16"/>
      <c r="T1458" s="16"/>
      <c r="U1458" s="16"/>
      <c r="V1458" s="16"/>
      <c r="W1458" s="16"/>
      <c r="X1458" s="16"/>
      <c r="Y1458" s="16"/>
      <c r="Z1458" s="16"/>
      <c r="AA1458" s="16"/>
      <c r="AB1458" s="16"/>
      <c r="AC1458" s="16"/>
      <c r="AD1458" s="16"/>
      <c r="AE1458" s="16"/>
      <c r="AF1458" s="16"/>
      <c r="AG1458" s="16"/>
      <c r="AH1458" s="16" t="b">
        <f>IFERROR(__xludf.DUMMYFUNCTION("""COMPUTED_VALUE"""),FALSE)</f>
        <v>0</v>
      </c>
    </row>
    <row r="1459">
      <c r="A1459" s="16"/>
      <c r="B1459" s="16"/>
      <c r="C1459" s="16"/>
      <c r="D1459" s="16"/>
      <c r="E1459" s="16">
        <f>IFERROR(__xludf.DUMMYFUNCTION("""COMPUTED_VALUE"""),1.0)</f>
        <v>1</v>
      </c>
      <c r="F1459" s="108">
        <f>IFERROR(__xludf.DUMMYFUNCTION("""COMPUTED_VALUE"""),0.0)</f>
        <v>0</v>
      </c>
      <c r="G1459" s="16"/>
      <c r="H1459" s="16"/>
      <c r="I1459" s="16"/>
      <c r="J1459" s="16"/>
      <c r="K1459" s="16"/>
      <c r="L1459" s="16"/>
      <c r="M1459" s="16"/>
      <c r="N1459" s="16"/>
      <c r="O1459" s="16"/>
      <c r="P1459" s="16"/>
      <c r="Q1459" s="16"/>
      <c r="R1459" s="16"/>
      <c r="S1459" s="16"/>
      <c r="T1459" s="16"/>
      <c r="U1459" s="16"/>
      <c r="V1459" s="16"/>
      <c r="W1459" s="16"/>
      <c r="X1459" s="16"/>
      <c r="Y1459" s="16"/>
      <c r="Z1459" s="16"/>
      <c r="AA1459" s="16"/>
      <c r="AB1459" s="16"/>
      <c r="AC1459" s="16"/>
      <c r="AD1459" s="16"/>
      <c r="AE1459" s="16"/>
      <c r="AF1459" s="16"/>
      <c r="AG1459" s="16"/>
      <c r="AH1459" s="16" t="b">
        <f>IFERROR(__xludf.DUMMYFUNCTION("""COMPUTED_VALUE"""),FALSE)</f>
        <v>0</v>
      </c>
    </row>
    <row r="1460">
      <c r="A1460" s="16"/>
      <c r="B1460" s="16"/>
      <c r="C1460" s="16"/>
      <c r="D1460" s="16"/>
      <c r="E1460" s="16">
        <f>IFERROR(__xludf.DUMMYFUNCTION("""COMPUTED_VALUE"""),1.0)</f>
        <v>1</v>
      </c>
      <c r="F1460" s="108">
        <f>IFERROR(__xludf.DUMMYFUNCTION("""COMPUTED_VALUE"""),0.0)</f>
        <v>0</v>
      </c>
      <c r="G1460" s="16"/>
      <c r="H1460" s="16"/>
      <c r="I1460" s="16"/>
      <c r="J1460" s="16"/>
      <c r="K1460" s="16"/>
      <c r="L1460" s="16"/>
      <c r="M1460" s="16"/>
      <c r="N1460" s="16"/>
      <c r="O1460" s="16"/>
      <c r="P1460" s="16"/>
      <c r="Q1460" s="16"/>
      <c r="R1460" s="16"/>
      <c r="S1460" s="16"/>
      <c r="T1460" s="16"/>
      <c r="U1460" s="16"/>
      <c r="V1460" s="16"/>
      <c r="W1460" s="16"/>
      <c r="X1460" s="16"/>
      <c r="Y1460" s="16"/>
      <c r="Z1460" s="16"/>
      <c r="AA1460" s="16"/>
      <c r="AB1460" s="16"/>
      <c r="AC1460" s="16"/>
      <c r="AD1460" s="16"/>
      <c r="AE1460" s="16"/>
      <c r="AF1460" s="16"/>
      <c r="AG1460" s="16"/>
      <c r="AH1460" s="16" t="b">
        <f>IFERROR(__xludf.DUMMYFUNCTION("""COMPUTED_VALUE"""),FALSE)</f>
        <v>0</v>
      </c>
    </row>
    <row r="1461">
      <c r="A1461" s="16"/>
      <c r="B1461" s="16"/>
      <c r="C1461" s="16"/>
      <c r="D1461" s="16"/>
      <c r="E1461" s="16">
        <f>IFERROR(__xludf.DUMMYFUNCTION("""COMPUTED_VALUE"""),1.0)</f>
        <v>1</v>
      </c>
      <c r="F1461" s="108">
        <f>IFERROR(__xludf.DUMMYFUNCTION("""COMPUTED_VALUE"""),0.0)</f>
        <v>0</v>
      </c>
      <c r="G1461" s="16"/>
      <c r="H1461" s="16"/>
      <c r="I1461" s="16"/>
      <c r="J1461" s="16"/>
      <c r="K1461" s="16"/>
      <c r="L1461" s="16"/>
      <c r="M1461" s="16"/>
      <c r="N1461" s="16"/>
      <c r="O1461" s="16"/>
      <c r="P1461" s="16"/>
      <c r="Q1461" s="16"/>
      <c r="R1461" s="16"/>
      <c r="S1461" s="16"/>
      <c r="T1461" s="16"/>
      <c r="U1461" s="16"/>
      <c r="V1461" s="16"/>
      <c r="W1461" s="16"/>
      <c r="X1461" s="16"/>
      <c r="Y1461" s="16"/>
      <c r="Z1461" s="16"/>
      <c r="AA1461" s="16"/>
      <c r="AB1461" s="16"/>
      <c r="AC1461" s="16"/>
      <c r="AD1461" s="16"/>
      <c r="AE1461" s="16"/>
      <c r="AF1461" s="16"/>
      <c r="AG1461" s="16"/>
      <c r="AH1461" s="16" t="b">
        <f>IFERROR(__xludf.DUMMYFUNCTION("""COMPUTED_VALUE"""),FALSE)</f>
        <v>0</v>
      </c>
    </row>
    <row r="1462">
      <c r="A1462" s="16"/>
      <c r="B1462" s="16"/>
      <c r="C1462" s="16"/>
      <c r="D1462" s="16"/>
      <c r="E1462" s="16">
        <f>IFERROR(__xludf.DUMMYFUNCTION("""COMPUTED_VALUE"""),1.0)</f>
        <v>1</v>
      </c>
      <c r="F1462" s="108">
        <f>IFERROR(__xludf.DUMMYFUNCTION("""COMPUTED_VALUE"""),0.0)</f>
        <v>0</v>
      </c>
      <c r="G1462" s="16"/>
      <c r="H1462" s="16"/>
      <c r="I1462" s="16"/>
      <c r="J1462" s="16"/>
      <c r="K1462" s="16"/>
      <c r="L1462" s="16"/>
      <c r="M1462" s="16"/>
      <c r="N1462" s="16"/>
      <c r="O1462" s="16"/>
      <c r="P1462" s="16"/>
      <c r="Q1462" s="16"/>
      <c r="R1462" s="16"/>
      <c r="S1462" s="16"/>
      <c r="T1462" s="16"/>
      <c r="U1462" s="16"/>
      <c r="V1462" s="16"/>
      <c r="W1462" s="16"/>
      <c r="X1462" s="16"/>
      <c r="Y1462" s="16"/>
      <c r="Z1462" s="16"/>
      <c r="AA1462" s="16"/>
      <c r="AB1462" s="16"/>
      <c r="AC1462" s="16"/>
      <c r="AD1462" s="16"/>
      <c r="AE1462" s="16"/>
      <c r="AF1462" s="16"/>
      <c r="AG1462" s="16"/>
      <c r="AH1462" s="16" t="b">
        <f>IFERROR(__xludf.DUMMYFUNCTION("""COMPUTED_VALUE"""),FALSE)</f>
        <v>0</v>
      </c>
    </row>
    <row r="1463">
      <c r="A1463" s="16"/>
      <c r="B1463" s="16"/>
      <c r="C1463" s="16"/>
      <c r="D1463" s="16"/>
      <c r="E1463" s="16">
        <f>IFERROR(__xludf.DUMMYFUNCTION("""COMPUTED_VALUE"""),1.0)</f>
        <v>1</v>
      </c>
      <c r="F1463" s="108">
        <f>IFERROR(__xludf.DUMMYFUNCTION("""COMPUTED_VALUE"""),0.0)</f>
        <v>0</v>
      </c>
      <c r="G1463" s="16"/>
      <c r="H1463" s="16"/>
      <c r="I1463" s="16"/>
      <c r="J1463" s="16"/>
      <c r="K1463" s="16"/>
      <c r="L1463" s="16"/>
      <c r="M1463" s="16"/>
      <c r="N1463" s="16"/>
      <c r="O1463" s="16"/>
      <c r="P1463" s="16"/>
      <c r="Q1463" s="16"/>
      <c r="R1463" s="16"/>
      <c r="S1463" s="16"/>
      <c r="T1463" s="16"/>
      <c r="U1463" s="16"/>
      <c r="V1463" s="16"/>
      <c r="W1463" s="16"/>
      <c r="X1463" s="16"/>
      <c r="Y1463" s="16"/>
      <c r="Z1463" s="16"/>
      <c r="AA1463" s="16"/>
      <c r="AB1463" s="16"/>
      <c r="AC1463" s="16"/>
      <c r="AD1463" s="16"/>
      <c r="AE1463" s="16"/>
      <c r="AF1463" s="16"/>
      <c r="AG1463" s="16"/>
      <c r="AH1463" s="16" t="b">
        <f>IFERROR(__xludf.DUMMYFUNCTION("""COMPUTED_VALUE"""),FALSE)</f>
        <v>0</v>
      </c>
    </row>
    <row r="1464">
      <c r="A1464" s="16"/>
      <c r="B1464" s="16"/>
      <c r="C1464" s="16"/>
      <c r="D1464" s="16"/>
      <c r="E1464" s="16">
        <f>IFERROR(__xludf.DUMMYFUNCTION("""COMPUTED_VALUE"""),1.0)</f>
        <v>1</v>
      </c>
      <c r="F1464" s="108">
        <f>IFERROR(__xludf.DUMMYFUNCTION("""COMPUTED_VALUE"""),0.0)</f>
        <v>0</v>
      </c>
      <c r="G1464" s="16"/>
      <c r="H1464" s="16"/>
      <c r="I1464" s="16"/>
      <c r="J1464" s="16"/>
      <c r="K1464" s="16"/>
      <c r="L1464" s="16"/>
      <c r="M1464" s="16"/>
      <c r="N1464" s="16"/>
      <c r="O1464" s="16"/>
      <c r="P1464" s="16"/>
      <c r="Q1464" s="16"/>
      <c r="R1464" s="16"/>
      <c r="S1464" s="16"/>
      <c r="T1464" s="16"/>
      <c r="U1464" s="16"/>
      <c r="V1464" s="16"/>
      <c r="W1464" s="16"/>
      <c r="X1464" s="16"/>
      <c r="Y1464" s="16"/>
      <c r="Z1464" s="16"/>
      <c r="AA1464" s="16"/>
      <c r="AB1464" s="16"/>
      <c r="AC1464" s="16"/>
      <c r="AD1464" s="16"/>
      <c r="AE1464" s="16"/>
      <c r="AF1464" s="16"/>
      <c r="AG1464" s="16"/>
      <c r="AH1464" s="16" t="b">
        <f>IFERROR(__xludf.DUMMYFUNCTION("""COMPUTED_VALUE"""),FALSE)</f>
        <v>0</v>
      </c>
    </row>
    <row r="1465">
      <c r="A1465" s="16"/>
      <c r="B1465" s="16"/>
      <c r="C1465" s="16"/>
      <c r="D1465" s="16"/>
      <c r="E1465" s="16">
        <f>IFERROR(__xludf.DUMMYFUNCTION("""COMPUTED_VALUE"""),1.0)</f>
        <v>1</v>
      </c>
      <c r="F1465" s="108">
        <f>IFERROR(__xludf.DUMMYFUNCTION("""COMPUTED_VALUE"""),0.0)</f>
        <v>0</v>
      </c>
      <c r="G1465" s="16"/>
      <c r="H1465" s="16"/>
      <c r="I1465" s="16"/>
      <c r="J1465" s="16"/>
      <c r="K1465" s="16"/>
      <c r="L1465" s="16"/>
      <c r="M1465" s="16"/>
      <c r="N1465" s="16"/>
      <c r="O1465" s="16"/>
      <c r="P1465" s="16"/>
      <c r="Q1465" s="16"/>
      <c r="R1465" s="16"/>
      <c r="S1465" s="16"/>
      <c r="T1465" s="16"/>
      <c r="U1465" s="16"/>
      <c r="V1465" s="16"/>
      <c r="W1465" s="16"/>
      <c r="X1465" s="16"/>
      <c r="Y1465" s="16"/>
      <c r="Z1465" s="16"/>
      <c r="AA1465" s="16"/>
      <c r="AB1465" s="16"/>
      <c r="AC1465" s="16"/>
      <c r="AD1465" s="16"/>
      <c r="AE1465" s="16"/>
      <c r="AF1465" s="16"/>
      <c r="AG1465" s="16"/>
      <c r="AH1465" s="16" t="b">
        <f>IFERROR(__xludf.DUMMYFUNCTION("""COMPUTED_VALUE"""),FALSE)</f>
        <v>0</v>
      </c>
    </row>
    <row r="1466">
      <c r="A1466" s="16"/>
      <c r="B1466" s="16"/>
      <c r="C1466" s="16"/>
      <c r="D1466" s="16"/>
      <c r="E1466" s="16">
        <f>IFERROR(__xludf.DUMMYFUNCTION("""COMPUTED_VALUE"""),1.0)</f>
        <v>1</v>
      </c>
      <c r="F1466" s="108">
        <f>IFERROR(__xludf.DUMMYFUNCTION("""COMPUTED_VALUE"""),0.0)</f>
        <v>0</v>
      </c>
      <c r="G1466" s="16"/>
      <c r="H1466" s="16"/>
      <c r="I1466" s="16"/>
      <c r="J1466" s="16"/>
      <c r="K1466" s="16"/>
      <c r="L1466" s="16"/>
      <c r="M1466" s="16"/>
      <c r="N1466" s="16"/>
      <c r="O1466" s="16"/>
      <c r="P1466" s="16"/>
      <c r="Q1466" s="16"/>
      <c r="R1466" s="16"/>
      <c r="S1466" s="16"/>
      <c r="T1466" s="16"/>
      <c r="U1466" s="16"/>
      <c r="V1466" s="16"/>
      <c r="W1466" s="16"/>
      <c r="X1466" s="16"/>
      <c r="Y1466" s="16"/>
      <c r="Z1466" s="16"/>
      <c r="AA1466" s="16"/>
      <c r="AB1466" s="16"/>
      <c r="AC1466" s="16"/>
      <c r="AD1466" s="16"/>
      <c r="AE1466" s="16"/>
      <c r="AF1466" s="16"/>
      <c r="AG1466" s="16"/>
      <c r="AH1466" s="16" t="b">
        <f>IFERROR(__xludf.DUMMYFUNCTION("""COMPUTED_VALUE"""),FALSE)</f>
        <v>0</v>
      </c>
    </row>
    <row r="1467">
      <c r="A1467" s="16"/>
      <c r="B1467" s="16"/>
      <c r="C1467" s="16"/>
      <c r="D1467" s="16"/>
      <c r="E1467" s="16">
        <f>IFERROR(__xludf.DUMMYFUNCTION("""COMPUTED_VALUE"""),1.0)</f>
        <v>1</v>
      </c>
      <c r="F1467" s="108">
        <f>IFERROR(__xludf.DUMMYFUNCTION("""COMPUTED_VALUE"""),0.0)</f>
        <v>0</v>
      </c>
      <c r="G1467" s="16"/>
      <c r="H1467" s="16"/>
      <c r="I1467" s="16"/>
      <c r="J1467" s="16"/>
      <c r="K1467" s="16"/>
      <c r="L1467" s="16"/>
      <c r="M1467" s="16"/>
      <c r="N1467" s="16"/>
      <c r="O1467" s="16"/>
      <c r="P1467" s="16"/>
      <c r="Q1467" s="16"/>
      <c r="R1467" s="16"/>
      <c r="S1467" s="16"/>
      <c r="T1467" s="16"/>
      <c r="U1467" s="16"/>
      <c r="V1467" s="16"/>
      <c r="W1467" s="16"/>
      <c r="X1467" s="16"/>
      <c r="Y1467" s="16"/>
      <c r="Z1467" s="16"/>
      <c r="AA1467" s="16"/>
      <c r="AB1467" s="16"/>
      <c r="AC1467" s="16"/>
      <c r="AD1467" s="16"/>
      <c r="AE1467" s="16"/>
      <c r="AF1467" s="16"/>
      <c r="AG1467" s="16"/>
      <c r="AH1467" s="16" t="b">
        <f>IFERROR(__xludf.DUMMYFUNCTION("""COMPUTED_VALUE"""),FALSE)</f>
        <v>0</v>
      </c>
    </row>
    <row r="1468">
      <c r="A1468" s="16"/>
      <c r="B1468" s="16"/>
      <c r="C1468" s="16"/>
      <c r="D1468" s="16"/>
      <c r="E1468" s="16">
        <f>IFERROR(__xludf.DUMMYFUNCTION("""COMPUTED_VALUE"""),1.0)</f>
        <v>1</v>
      </c>
      <c r="F1468" s="108">
        <f>IFERROR(__xludf.DUMMYFUNCTION("""COMPUTED_VALUE"""),0.0)</f>
        <v>0</v>
      </c>
      <c r="G1468" s="16"/>
      <c r="H1468" s="16"/>
      <c r="I1468" s="16"/>
      <c r="J1468" s="16"/>
      <c r="K1468" s="16"/>
      <c r="L1468" s="16"/>
      <c r="M1468" s="16"/>
      <c r="N1468" s="16"/>
      <c r="O1468" s="16"/>
      <c r="P1468" s="16"/>
      <c r="Q1468" s="16"/>
      <c r="R1468" s="16"/>
      <c r="S1468" s="16"/>
      <c r="T1468" s="16"/>
      <c r="U1468" s="16"/>
      <c r="V1468" s="16"/>
      <c r="W1468" s="16"/>
      <c r="X1468" s="16"/>
      <c r="Y1468" s="16"/>
      <c r="Z1468" s="16"/>
      <c r="AA1468" s="16"/>
      <c r="AB1468" s="16"/>
      <c r="AC1468" s="16"/>
      <c r="AD1468" s="16"/>
      <c r="AE1468" s="16"/>
      <c r="AF1468" s="16"/>
      <c r="AG1468" s="16"/>
      <c r="AH1468" s="16" t="b">
        <f>IFERROR(__xludf.DUMMYFUNCTION("""COMPUTED_VALUE"""),FALSE)</f>
        <v>0</v>
      </c>
    </row>
    <row r="1469">
      <c r="A1469" s="16"/>
      <c r="B1469" s="16"/>
      <c r="C1469" s="16"/>
      <c r="D1469" s="16"/>
      <c r="E1469" s="16">
        <f>IFERROR(__xludf.DUMMYFUNCTION("""COMPUTED_VALUE"""),1.0)</f>
        <v>1</v>
      </c>
      <c r="F1469" s="108">
        <f>IFERROR(__xludf.DUMMYFUNCTION("""COMPUTED_VALUE"""),0.0)</f>
        <v>0</v>
      </c>
      <c r="G1469" s="16"/>
      <c r="H1469" s="16"/>
      <c r="I1469" s="16"/>
      <c r="J1469" s="16"/>
      <c r="K1469" s="16"/>
      <c r="L1469" s="16"/>
      <c r="M1469" s="16"/>
      <c r="N1469" s="16"/>
      <c r="O1469" s="16"/>
      <c r="P1469" s="16"/>
      <c r="Q1469" s="16"/>
      <c r="R1469" s="16"/>
      <c r="S1469" s="16"/>
      <c r="T1469" s="16"/>
      <c r="U1469" s="16"/>
      <c r="V1469" s="16"/>
      <c r="W1469" s="16"/>
      <c r="X1469" s="16"/>
      <c r="Y1469" s="16"/>
      <c r="Z1469" s="16"/>
      <c r="AA1469" s="16"/>
      <c r="AB1469" s="16"/>
      <c r="AC1469" s="16"/>
      <c r="AD1469" s="16"/>
      <c r="AE1469" s="16"/>
      <c r="AF1469" s="16"/>
      <c r="AG1469" s="16"/>
      <c r="AH1469" s="16" t="b">
        <f>IFERROR(__xludf.DUMMYFUNCTION("""COMPUTED_VALUE"""),FALSE)</f>
        <v>0</v>
      </c>
    </row>
    <row r="1470">
      <c r="A1470" s="16"/>
      <c r="B1470" s="16"/>
      <c r="C1470" s="16"/>
      <c r="D1470" s="16"/>
      <c r="E1470" s="16">
        <f>IFERROR(__xludf.DUMMYFUNCTION("""COMPUTED_VALUE"""),1.0)</f>
        <v>1</v>
      </c>
      <c r="F1470" s="108">
        <f>IFERROR(__xludf.DUMMYFUNCTION("""COMPUTED_VALUE"""),0.0)</f>
        <v>0</v>
      </c>
      <c r="G1470" s="16"/>
      <c r="H1470" s="16"/>
      <c r="I1470" s="16"/>
      <c r="J1470" s="16"/>
      <c r="K1470" s="16"/>
      <c r="L1470" s="16"/>
      <c r="M1470" s="16"/>
      <c r="N1470" s="16"/>
      <c r="O1470" s="16"/>
      <c r="P1470" s="16"/>
      <c r="Q1470" s="16"/>
      <c r="R1470" s="16"/>
      <c r="S1470" s="16"/>
      <c r="T1470" s="16"/>
      <c r="U1470" s="16"/>
      <c r="V1470" s="16"/>
      <c r="W1470" s="16"/>
      <c r="X1470" s="16"/>
      <c r="Y1470" s="16"/>
      <c r="Z1470" s="16"/>
      <c r="AA1470" s="16"/>
      <c r="AB1470" s="16"/>
      <c r="AC1470" s="16"/>
      <c r="AD1470" s="16"/>
      <c r="AE1470" s="16"/>
      <c r="AF1470" s="16"/>
      <c r="AG1470" s="16"/>
      <c r="AH1470" s="16" t="b">
        <f>IFERROR(__xludf.DUMMYFUNCTION("""COMPUTED_VALUE"""),FALSE)</f>
        <v>0</v>
      </c>
    </row>
    <row r="1471">
      <c r="A1471" s="16"/>
      <c r="B1471" s="16"/>
      <c r="C1471" s="16"/>
      <c r="D1471" s="16"/>
      <c r="E1471" s="16">
        <f>IFERROR(__xludf.DUMMYFUNCTION("""COMPUTED_VALUE"""),1.0)</f>
        <v>1</v>
      </c>
      <c r="F1471" s="108">
        <f>IFERROR(__xludf.DUMMYFUNCTION("""COMPUTED_VALUE"""),0.0)</f>
        <v>0</v>
      </c>
      <c r="G1471" s="16"/>
      <c r="H1471" s="16"/>
      <c r="I1471" s="16"/>
      <c r="J1471" s="16"/>
      <c r="K1471" s="16"/>
      <c r="L1471" s="16"/>
      <c r="M1471" s="16"/>
      <c r="N1471" s="16"/>
      <c r="O1471" s="16"/>
      <c r="P1471" s="16"/>
      <c r="Q1471" s="16"/>
      <c r="R1471" s="16"/>
      <c r="S1471" s="16"/>
      <c r="T1471" s="16"/>
      <c r="U1471" s="16"/>
      <c r="V1471" s="16"/>
      <c r="W1471" s="16"/>
      <c r="X1471" s="16"/>
      <c r="Y1471" s="16"/>
      <c r="Z1471" s="16"/>
      <c r="AA1471" s="16"/>
      <c r="AB1471" s="16"/>
      <c r="AC1471" s="16"/>
      <c r="AD1471" s="16"/>
      <c r="AE1471" s="16"/>
      <c r="AF1471" s="16"/>
      <c r="AG1471" s="16"/>
      <c r="AH1471" s="16" t="b">
        <f>IFERROR(__xludf.DUMMYFUNCTION("""COMPUTED_VALUE"""),FALSE)</f>
        <v>0</v>
      </c>
    </row>
    <row r="1472">
      <c r="A1472" s="16"/>
      <c r="B1472" s="16"/>
      <c r="C1472" s="16"/>
      <c r="D1472" s="16"/>
      <c r="E1472" s="16">
        <f>IFERROR(__xludf.DUMMYFUNCTION("""COMPUTED_VALUE"""),1.0)</f>
        <v>1</v>
      </c>
      <c r="F1472" s="108">
        <f>IFERROR(__xludf.DUMMYFUNCTION("""COMPUTED_VALUE"""),0.0)</f>
        <v>0</v>
      </c>
      <c r="G1472" s="16"/>
      <c r="H1472" s="16"/>
      <c r="I1472" s="16"/>
      <c r="J1472" s="16"/>
      <c r="K1472" s="16"/>
      <c r="L1472" s="16"/>
      <c r="M1472" s="16"/>
      <c r="N1472" s="16"/>
      <c r="O1472" s="16"/>
      <c r="P1472" s="16"/>
      <c r="Q1472" s="16"/>
      <c r="R1472" s="16"/>
      <c r="S1472" s="16"/>
      <c r="T1472" s="16"/>
      <c r="U1472" s="16"/>
      <c r="V1472" s="16"/>
      <c r="W1472" s="16"/>
      <c r="X1472" s="16"/>
      <c r="Y1472" s="16"/>
      <c r="Z1472" s="16"/>
      <c r="AA1472" s="16"/>
      <c r="AB1472" s="16"/>
      <c r="AC1472" s="16"/>
      <c r="AD1472" s="16"/>
      <c r="AE1472" s="16"/>
      <c r="AF1472" s="16"/>
      <c r="AG1472" s="16"/>
      <c r="AH1472" s="16" t="b">
        <f>IFERROR(__xludf.DUMMYFUNCTION("""COMPUTED_VALUE"""),FALSE)</f>
        <v>0</v>
      </c>
    </row>
    <row r="1473">
      <c r="A1473" s="16"/>
      <c r="B1473" s="16"/>
      <c r="C1473" s="16"/>
      <c r="D1473" s="16"/>
      <c r="E1473" s="16">
        <f>IFERROR(__xludf.DUMMYFUNCTION("""COMPUTED_VALUE"""),1.0)</f>
        <v>1</v>
      </c>
      <c r="F1473" s="108">
        <f>IFERROR(__xludf.DUMMYFUNCTION("""COMPUTED_VALUE"""),0.0)</f>
        <v>0</v>
      </c>
      <c r="G1473" s="16"/>
      <c r="H1473" s="16"/>
      <c r="I1473" s="16"/>
      <c r="J1473" s="16"/>
      <c r="K1473" s="16"/>
      <c r="L1473" s="16"/>
      <c r="M1473" s="16"/>
      <c r="N1473" s="16"/>
      <c r="O1473" s="16"/>
      <c r="P1473" s="16"/>
      <c r="Q1473" s="16"/>
      <c r="R1473" s="16"/>
      <c r="S1473" s="16"/>
      <c r="T1473" s="16"/>
      <c r="U1473" s="16"/>
      <c r="V1473" s="16"/>
      <c r="W1473" s="16"/>
      <c r="X1473" s="16"/>
      <c r="Y1473" s="16"/>
      <c r="Z1473" s="16"/>
      <c r="AA1473" s="16"/>
      <c r="AB1473" s="16"/>
      <c r="AC1473" s="16"/>
      <c r="AD1473" s="16"/>
      <c r="AE1473" s="16"/>
      <c r="AF1473" s="16"/>
      <c r="AG1473" s="16"/>
      <c r="AH1473" s="16" t="b">
        <f>IFERROR(__xludf.DUMMYFUNCTION("""COMPUTED_VALUE"""),FALSE)</f>
        <v>0</v>
      </c>
    </row>
    <row r="1474">
      <c r="A1474" s="16"/>
      <c r="B1474" s="16"/>
      <c r="C1474" s="16"/>
      <c r="D1474" s="16"/>
      <c r="E1474" s="16">
        <f>IFERROR(__xludf.DUMMYFUNCTION("""COMPUTED_VALUE"""),1.0)</f>
        <v>1</v>
      </c>
      <c r="F1474" s="108">
        <f>IFERROR(__xludf.DUMMYFUNCTION("""COMPUTED_VALUE"""),0.0)</f>
        <v>0</v>
      </c>
      <c r="G1474" s="16"/>
      <c r="H1474" s="16"/>
      <c r="I1474" s="16"/>
      <c r="J1474" s="16"/>
      <c r="K1474" s="16"/>
      <c r="L1474" s="16"/>
      <c r="M1474" s="16"/>
      <c r="N1474" s="16"/>
      <c r="O1474" s="16"/>
      <c r="P1474" s="16"/>
      <c r="Q1474" s="16"/>
      <c r="R1474" s="16"/>
      <c r="S1474" s="16"/>
      <c r="T1474" s="16"/>
      <c r="U1474" s="16"/>
      <c r="V1474" s="16"/>
      <c r="W1474" s="16"/>
      <c r="X1474" s="16"/>
      <c r="Y1474" s="16"/>
      <c r="Z1474" s="16"/>
      <c r="AA1474" s="16"/>
      <c r="AB1474" s="16"/>
      <c r="AC1474" s="16"/>
      <c r="AD1474" s="16"/>
      <c r="AE1474" s="16"/>
      <c r="AF1474" s="16"/>
      <c r="AG1474" s="16"/>
      <c r="AH1474" s="16" t="b">
        <f>IFERROR(__xludf.DUMMYFUNCTION("""COMPUTED_VALUE"""),FALSE)</f>
        <v>0</v>
      </c>
    </row>
    <row r="1475">
      <c r="A1475" s="16"/>
      <c r="B1475" s="16"/>
      <c r="C1475" s="16"/>
      <c r="D1475" s="16"/>
      <c r="E1475" s="16">
        <f>IFERROR(__xludf.DUMMYFUNCTION("""COMPUTED_VALUE"""),1.0)</f>
        <v>1</v>
      </c>
      <c r="F1475" s="108">
        <f>IFERROR(__xludf.DUMMYFUNCTION("""COMPUTED_VALUE"""),0.0)</f>
        <v>0</v>
      </c>
      <c r="G1475" s="16"/>
      <c r="H1475" s="16"/>
      <c r="I1475" s="16"/>
      <c r="J1475" s="16"/>
      <c r="K1475" s="16"/>
      <c r="L1475" s="16"/>
      <c r="M1475" s="16"/>
      <c r="N1475" s="16"/>
      <c r="O1475" s="16"/>
      <c r="P1475" s="16"/>
      <c r="Q1475" s="16"/>
      <c r="R1475" s="16"/>
      <c r="S1475" s="16"/>
      <c r="T1475" s="16"/>
      <c r="U1475" s="16"/>
      <c r="V1475" s="16"/>
      <c r="W1475" s="16"/>
      <c r="X1475" s="16"/>
      <c r="Y1475" s="16"/>
      <c r="Z1475" s="16"/>
      <c r="AA1475" s="16"/>
      <c r="AB1475" s="16"/>
      <c r="AC1475" s="16"/>
      <c r="AD1475" s="16"/>
      <c r="AE1475" s="16"/>
      <c r="AF1475" s="16"/>
      <c r="AG1475" s="16"/>
      <c r="AH1475" s="16" t="b">
        <f>IFERROR(__xludf.DUMMYFUNCTION("""COMPUTED_VALUE"""),FALSE)</f>
        <v>0</v>
      </c>
    </row>
    <row r="1476">
      <c r="A1476" s="16"/>
      <c r="B1476" s="16"/>
      <c r="C1476" s="16"/>
      <c r="D1476" s="16"/>
      <c r="E1476" s="16">
        <f>IFERROR(__xludf.DUMMYFUNCTION("""COMPUTED_VALUE"""),1.0)</f>
        <v>1</v>
      </c>
      <c r="F1476" s="108">
        <f>IFERROR(__xludf.DUMMYFUNCTION("""COMPUTED_VALUE"""),0.0)</f>
        <v>0</v>
      </c>
      <c r="G1476" s="16"/>
      <c r="H1476" s="16"/>
      <c r="I1476" s="16"/>
      <c r="J1476" s="16"/>
      <c r="K1476" s="16"/>
      <c r="L1476" s="16"/>
      <c r="M1476" s="16"/>
      <c r="N1476" s="16"/>
      <c r="O1476" s="16"/>
      <c r="P1476" s="16"/>
      <c r="Q1476" s="16"/>
      <c r="R1476" s="16"/>
      <c r="S1476" s="16"/>
      <c r="T1476" s="16"/>
      <c r="U1476" s="16"/>
      <c r="V1476" s="16"/>
      <c r="W1476" s="16"/>
      <c r="X1476" s="16"/>
      <c r="Y1476" s="16"/>
      <c r="Z1476" s="16"/>
      <c r="AA1476" s="16"/>
      <c r="AB1476" s="16"/>
      <c r="AC1476" s="16"/>
      <c r="AD1476" s="16"/>
      <c r="AE1476" s="16"/>
      <c r="AF1476" s="16"/>
      <c r="AG1476" s="16"/>
      <c r="AH1476" s="16" t="b">
        <f>IFERROR(__xludf.DUMMYFUNCTION("""COMPUTED_VALUE"""),FALSE)</f>
        <v>0</v>
      </c>
    </row>
    <row r="1477">
      <c r="A1477" s="16"/>
      <c r="B1477" s="16"/>
      <c r="C1477" s="16"/>
      <c r="D1477" s="16"/>
      <c r="E1477" s="16">
        <f>IFERROR(__xludf.DUMMYFUNCTION("""COMPUTED_VALUE"""),1.0)</f>
        <v>1</v>
      </c>
      <c r="F1477" s="108">
        <f>IFERROR(__xludf.DUMMYFUNCTION("""COMPUTED_VALUE"""),0.0)</f>
        <v>0</v>
      </c>
      <c r="G1477" s="16"/>
      <c r="H1477" s="16"/>
      <c r="I1477" s="16"/>
      <c r="J1477" s="16"/>
      <c r="K1477" s="16"/>
      <c r="L1477" s="16"/>
      <c r="M1477" s="16"/>
      <c r="N1477" s="16"/>
      <c r="O1477" s="16"/>
      <c r="P1477" s="16"/>
      <c r="Q1477" s="16"/>
      <c r="R1477" s="16"/>
      <c r="S1477" s="16"/>
      <c r="T1477" s="16"/>
      <c r="U1477" s="16"/>
      <c r="V1477" s="16"/>
      <c r="W1477" s="16"/>
      <c r="X1477" s="16"/>
      <c r="Y1477" s="16"/>
      <c r="Z1477" s="16"/>
      <c r="AA1477" s="16"/>
      <c r="AB1477" s="16"/>
      <c r="AC1477" s="16"/>
      <c r="AD1477" s="16"/>
      <c r="AE1477" s="16"/>
      <c r="AF1477" s="16"/>
      <c r="AG1477" s="16"/>
      <c r="AH1477" s="16" t="b">
        <f>IFERROR(__xludf.DUMMYFUNCTION("""COMPUTED_VALUE"""),FALSE)</f>
        <v>0</v>
      </c>
    </row>
    <row r="1478">
      <c r="A1478" s="16"/>
      <c r="B1478" s="16"/>
      <c r="C1478" s="16"/>
      <c r="D1478" s="16"/>
      <c r="E1478" s="16">
        <f>IFERROR(__xludf.DUMMYFUNCTION("""COMPUTED_VALUE"""),1.0)</f>
        <v>1</v>
      </c>
      <c r="F1478" s="108">
        <f>IFERROR(__xludf.DUMMYFUNCTION("""COMPUTED_VALUE"""),0.0)</f>
        <v>0</v>
      </c>
      <c r="G1478" s="16"/>
      <c r="H1478" s="16"/>
      <c r="I1478" s="16"/>
      <c r="J1478" s="16"/>
      <c r="K1478" s="16"/>
      <c r="L1478" s="16"/>
      <c r="M1478" s="16"/>
      <c r="N1478" s="16"/>
      <c r="O1478" s="16"/>
      <c r="P1478" s="16"/>
      <c r="Q1478" s="16"/>
      <c r="R1478" s="16"/>
      <c r="S1478" s="16"/>
      <c r="T1478" s="16"/>
      <c r="U1478" s="16"/>
      <c r="V1478" s="16"/>
      <c r="W1478" s="16"/>
      <c r="X1478" s="16"/>
      <c r="Y1478" s="16"/>
      <c r="Z1478" s="16"/>
      <c r="AA1478" s="16"/>
      <c r="AB1478" s="16"/>
      <c r="AC1478" s="16"/>
      <c r="AD1478" s="16"/>
      <c r="AE1478" s="16"/>
      <c r="AF1478" s="16"/>
      <c r="AG1478" s="16"/>
      <c r="AH1478" s="16" t="b">
        <f>IFERROR(__xludf.DUMMYFUNCTION("""COMPUTED_VALUE"""),FALSE)</f>
        <v>0</v>
      </c>
    </row>
    <row r="1479">
      <c r="A1479" s="16"/>
      <c r="B1479" s="16"/>
      <c r="C1479" s="16"/>
      <c r="D1479" s="16"/>
      <c r="E1479" s="16">
        <f>IFERROR(__xludf.DUMMYFUNCTION("""COMPUTED_VALUE"""),1.0)</f>
        <v>1</v>
      </c>
      <c r="F1479" s="108">
        <f>IFERROR(__xludf.DUMMYFUNCTION("""COMPUTED_VALUE"""),0.0)</f>
        <v>0</v>
      </c>
      <c r="G1479" s="16"/>
      <c r="H1479" s="16"/>
      <c r="I1479" s="16"/>
      <c r="J1479" s="16"/>
      <c r="K1479" s="16"/>
      <c r="L1479" s="16"/>
      <c r="M1479" s="16"/>
      <c r="N1479" s="16"/>
      <c r="O1479" s="16"/>
      <c r="P1479" s="16"/>
      <c r="Q1479" s="16"/>
      <c r="R1479" s="16"/>
      <c r="S1479" s="16"/>
      <c r="T1479" s="16"/>
      <c r="U1479" s="16"/>
      <c r="V1479" s="16"/>
      <c r="W1479" s="16"/>
      <c r="X1479" s="16"/>
      <c r="Y1479" s="16"/>
      <c r="Z1479" s="16"/>
      <c r="AA1479" s="16"/>
      <c r="AB1479" s="16"/>
      <c r="AC1479" s="16"/>
      <c r="AD1479" s="16"/>
      <c r="AE1479" s="16"/>
      <c r="AF1479" s="16"/>
      <c r="AG1479" s="16"/>
      <c r="AH1479" s="16" t="b">
        <f>IFERROR(__xludf.DUMMYFUNCTION("""COMPUTED_VALUE"""),FALSE)</f>
        <v>0</v>
      </c>
    </row>
    <row r="1480">
      <c r="A1480" s="16"/>
      <c r="B1480" s="16"/>
      <c r="C1480" s="16"/>
      <c r="D1480" s="16"/>
      <c r="E1480" s="16">
        <f>IFERROR(__xludf.DUMMYFUNCTION("""COMPUTED_VALUE"""),1.0)</f>
        <v>1</v>
      </c>
      <c r="F1480" s="108">
        <f>IFERROR(__xludf.DUMMYFUNCTION("""COMPUTED_VALUE"""),0.0)</f>
        <v>0</v>
      </c>
      <c r="G1480" s="16"/>
      <c r="H1480" s="16"/>
      <c r="I1480" s="16"/>
      <c r="J1480" s="16"/>
      <c r="K1480" s="16"/>
      <c r="L1480" s="16"/>
      <c r="M1480" s="16"/>
      <c r="N1480" s="16"/>
      <c r="O1480" s="16"/>
      <c r="P1480" s="16"/>
      <c r="Q1480" s="16"/>
      <c r="R1480" s="16"/>
      <c r="S1480" s="16"/>
      <c r="T1480" s="16"/>
      <c r="U1480" s="16"/>
      <c r="V1480" s="16"/>
      <c r="W1480" s="16"/>
      <c r="X1480" s="16"/>
      <c r="Y1480" s="16"/>
      <c r="Z1480" s="16"/>
      <c r="AA1480" s="16"/>
      <c r="AB1480" s="16"/>
      <c r="AC1480" s="16"/>
      <c r="AD1480" s="16"/>
      <c r="AE1480" s="16"/>
      <c r="AF1480" s="16"/>
      <c r="AG1480" s="16"/>
      <c r="AH1480" s="16" t="b">
        <f>IFERROR(__xludf.DUMMYFUNCTION("""COMPUTED_VALUE"""),FALSE)</f>
        <v>0</v>
      </c>
    </row>
    <row r="1481">
      <c r="A1481" s="16"/>
      <c r="B1481" s="16"/>
      <c r="C1481" s="16"/>
      <c r="D1481" s="16"/>
      <c r="E1481" s="16">
        <f>IFERROR(__xludf.DUMMYFUNCTION("""COMPUTED_VALUE"""),1.0)</f>
        <v>1</v>
      </c>
      <c r="F1481" s="108">
        <f>IFERROR(__xludf.DUMMYFUNCTION("""COMPUTED_VALUE"""),0.0)</f>
        <v>0</v>
      </c>
      <c r="G1481" s="16"/>
      <c r="H1481" s="16"/>
      <c r="I1481" s="16"/>
      <c r="J1481" s="16"/>
      <c r="K1481" s="16"/>
      <c r="L1481" s="16"/>
      <c r="M1481" s="16"/>
      <c r="N1481" s="16"/>
      <c r="O1481" s="16"/>
      <c r="P1481" s="16"/>
      <c r="Q1481" s="16"/>
      <c r="R1481" s="16"/>
      <c r="S1481" s="16"/>
      <c r="T1481" s="16"/>
      <c r="U1481" s="16"/>
      <c r="V1481" s="16"/>
      <c r="W1481" s="16"/>
      <c r="X1481" s="16"/>
      <c r="Y1481" s="16"/>
      <c r="Z1481" s="16"/>
      <c r="AA1481" s="16"/>
      <c r="AB1481" s="16"/>
      <c r="AC1481" s="16"/>
      <c r="AD1481" s="16"/>
      <c r="AE1481" s="16"/>
      <c r="AF1481" s="16"/>
      <c r="AG1481" s="16"/>
      <c r="AH1481" s="16" t="b">
        <f>IFERROR(__xludf.DUMMYFUNCTION("""COMPUTED_VALUE"""),FALSE)</f>
        <v>0</v>
      </c>
    </row>
    <row r="1482">
      <c r="A1482" s="16"/>
      <c r="B1482" s="16"/>
      <c r="C1482" s="16"/>
      <c r="D1482" s="16"/>
      <c r="E1482" s="16">
        <f>IFERROR(__xludf.DUMMYFUNCTION("""COMPUTED_VALUE"""),1.0)</f>
        <v>1</v>
      </c>
      <c r="F1482" s="108">
        <f>IFERROR(__xludf.DUMMYFUNCTION("""COMPUTED_VALUE"""),0.0)</f>
        <v>0</v>
      </c>
      <c r="G1482" s="16"/>
      <c r="H1482" s="16"/>
      <c r="I1482" s="16"/>
      <c r="J1482" s="16"/>
      <c r="K1482" s="16"/>
      <c r="L1482" s="16"/>
      <c r="M1482" s="16"/>
      <c r="N1482" s="16"/>
      <c r="O1482" s="16"/>
      <c r="P1482" s="16"/>
      <c r="Q1482" s="16"/>
      <c r="R1482" s="16"/>
      <c r="S1482" s="16"/>
      <c r="T1482" s="16"/>
      <c r="U1482" s="16"/>
      <c r="V1482" s="16"/>
      <c r="W1482" s="16"/>
      <c r="X1482" s="16"/>
      <c r="Y1482" s="16"/>
      <c r="Z1482" s="16"/>
      <c r="AA1482" s="16"/>
      <c r="AB1482" s="16"/>
      <c r="AC1482" s="16"/>
      <c r="AD1482" s="16"/>
      <c r="AE1482" s="16"/>
      <c r="AF1482" s="16"/>
      <c r="AG1482" s="16"/>
      <c r="AH1482" s="16" t="b">
        <f>IFERROR(__xludf.DUMMYFUNCTION("""COMPUTED_VALUE"""),FALSE)</f>
        <v>0</v>
      </c>
    </row>
    <row r="1483">
      <c r="A1483" s="16"/>
      <c r="B1483" s="16"/>
      <c r="C1483" s="16"/>
      <c r="D1483" s="16"/>
      <c r="E1483" s="16">
        <f>IFERROR(__xludf.DUMMYFUNCTION("""COMPUTED_VALUE"""),1.0)</f>
        <v>1</v>
      </c>
      <c r="F1483" s="108">
        <f>IFERROR(__xludf.DUMMYFUNCTION("""COMPUTED_VALUE"""),0.0)</f>
        <v>0</v>
      </c>
      <c r="G1483" s="16"/>
      <c r="H1483" s="16"/>
      <c r="I1483" s="16"/>
      <c r="J1483" s="16"/>
      <c r="K1483" s="16"/>
      <c r="L1483" s="16"/>
      <c r="M1483" s="16"/>
      <c r="N1483" s="16"/>
      <c r="O1483" s="16"/>
      <c r="P1483" s="16"/>
      <c r="Q1483" s="16"/>
      <c r="R1483" s="16"/>
      <c r="S1483" s="16"/>
      <c r="T1483" s="16"/>
      <c r="U1483" s="16"/>
      <c r="V1483" s="16"/>
      <c r="W1483" s="16"/>
      <c r="X1483" s="16"/>
      <c r="Y1483" s="16"/>
      <c r="Z1483" s="16"/>
      <c r="AA1483" s="16"/>
      <c r="AB1483" s="16"/>
      <c r="AC1483" s="16"/>
      <c r="AD1483" s="16"/>
      <c r="AE1483" s="16"/>
      <c r="AF1483" s="16"/>
      <c r="AG1483" s="16"/>
      <c r="AH1483" s="16" t="b">
        <f>IFERROR(__xludf.DUMMYFUNCTION("""COMPUTED_VALUE"""),FALSE)</f>
        <v>0</v>
      </c>
    </row>
    <row r="1484">
      <c r="A1484" s="16"/>
      <c r="B1484" s="16"/>
      <c r="C1484" s="16"/>
      <c r="D1484" s="16"/>
      <c r="E1484" s="16">
        <f>IFERROR(__xludf.DUMMYFUNCTION("""COMPUTED_VALUE"""),1.0)</f>
        <v>1</v>
      </c>
      <c r="F1484" s="108">
        <f>IFERROR(__xludf.DUMMYFUNCTION("""COMPUTED_VALUE"""),0.0)</f>
        <v>0</v>
      </c>
      <c r="G1484" s="16"/>
      <c r="H1484" s="16"/>
      <c r="I1484" s="16"/>
      <c r="J1484" s="16"/>
      <c r="K1484" s="16"/>
      <c r="L1484" s="16"/>
      <c r="M1484" s="16"/>
      <c r="N1484" s="16"/>
      <c r="O1484" s="16"/>
      <c r="P1484" s="16"/>
      <c r="Q1484" s="16"/>
      <c r="R1484" s="16"/>
      <c r="S1484" s="16"/>
      <c r="T1484" s="16"/>
      <c r="U1484" s="16"/>
      <c r="V1484" s="16"/>
      <c r="W1484" s="16"/>
      <c r="X1484" s="16"/>
      <c r="Y1484" s="16"/>
      <c r="Z1484" s="16"/>
      <c r="AA1484" s="16"/>
      <c r="AB1484" s="16"/>
      <c r="AC1484" s="16"/>
      <c r="AD1484" s="16"/>
      <c r="AE1484" s="16"/>
      <c r="AF1484" s="16"/>
      <c r="AG1484" s="16"/>
      <c r="AH1484" s="16" t="b">
        <f>IFERROR(__xludf.DUMMYFUNCTION("""COMPUTED_VALUE"""),FALSE)</f>
        <v>0</v>
      </c>
    </row>
    <row r="1485">
      <c r="A1485" s="16"/>
      <c r="B1485" s="16"/>
      <c r="C1485" s="16"/>
      <c r="D1485" s="16"/>
      <c r="E1485" s="16">
        <f>IFERROR(__xludf.DUMMYFUNCTION("""COMPUTED_VALUE"""),1.0)</f>
        <v>1</v>
      </c>
      <c r="F1485" s="108">
        <f>IFERROR(__xludf.DUMMYFUNCTION("""COMPUTED_VALUE"""),0.0)</f>
        <v>0</v>
      </c>
      <c r="G1485" s="16"/>
      <c r="H1485" s="16"/>
      <c r="I1485" s="16"/>
      <c r="J1485" s="16"/>
      <c r="K1485" s="16"/>
      <c r="L1485" s="16"/>
      <c r="M1485" s="16"/>
      <c r="N1485" s="16"/>
      <c r="O1485" s="16"/>
      <c r="P1485" s="16"/>
      <c r="Q1485" s="16"/>
      <c r="R1485" s="16"/>
      <c r="S1485" s="16"/>
      <c r="T1485" s="16"/>
      <c r="U1485" s="16"/>
      <c r="V1485" s="16"/>
      <c r="W1485" s="16"/>
      <c r="X1485" s="16"/>
      <c r="Y1485" s="16"/>
      <c r="Z1485" s="16"/>
      <c r="AA1485" s="16"/>
      <c r="AB1485" s="16"/>
      <c r="AC1485" s="16"/>
      <c r="AD1485" s="16"/>
      <c r="AE1485" s="16"/>
      <c r="AF1485" s="16"/>
      <c r="AG1485" s="16"/>
      <c r="AH1485" s="16" t="b">
        <f>IFERROR(__xludf.DUMMYFUNCTION("""COMPUTED_VALUE"""),FALSE)</f>
        <v>0</v>
      </c>
    </row>
    <row r="1486">
      <c r="A1486" s="16"/>
      <c r="B1486" s="16"/>
      <c r="C1486" s="16"/>
      <c r="D1486" s="16"/>
      <c r="E1486" s="16">
        <f>IFERROR(__xludf.DUMMYFUNCTION("""COMPUTED_VALUE"""),1.0)</f>
        <v>1</v>
      </c>
      <c r="F1486" s="108">
        <f>IFERROR(__xludf.DUMMYFUNCTION("""COMPUTED_VALUE"""),0.0)</f>
        <v>0</v>
      </c>
      <c r="G1486" s="16"/>
      <c r="H1486" s="16"/>
      <c r="I1486" s="16"/>
      <c r="J1486" s="16"/>
      <c r="K1486" s="16"/>
      <c r="L1486" s="16"/>
      <c r="M1486" s="16"/>
      <c r="N1486" s="16"/>
      <c r="O1486" s="16"/>
      <c r="P1486" s="16"/>
      <c r="Q1486" s="16"/>
      <c r="R1486" s="16"/>
      <c r="S1486" s="16"/>
      <c r="T1486" s="16"/>
      <c r="U1486" s="16"/>
      <c r="V1486" s="16"/>
      <c r="W1486" s="16"/>
      <c r="X1486" s="16"/>
      <c r="Y1486" s="16"/>
      <c r="Z1486" s="16"/>
      <c r="AA1486" s="16"/>
      <c r="AB1486" s="16"/>
      <c r="AC1486" s="16"/>
      <c r="AD1486" s="16"/>
      <c r="AE1486" s="16"/>
      <c r="AF1486" s="16"/>
      <c r="AG1486" s="16"/>
      <c r="AH1486" s="16" t="b">
        <f>IFERROR(__xludf.DUMMYFUNCTION("""COMPUTED_VALUE"""),FALSE)</f>
        <v>0</v>
      </c>
    </row>
    <row r="1487">
      <c r="A1487" s="16"/>
      <c r="B1487" s="16"/>
      <c r="C1487" s="16"/>
      <c r="D1487" s="16"/>
      <c r="E1487" s="16">
        <f>IFERROR(__xludf.DUMMYFUNCTION("""COMPUTED_VALUE"""),1.0)</f>
        <v>1</v>
      </c>
      <c r="F1487" s="108">
        <f>IFERROR(__xludf.DUMMYFUNCTION("""COMPUTED_VALUE"""),0.0)</f>
        <v>0</v>
      </c>
      <c r="G1487" s="16"/>
      <c r="H1487" s="16"/>
      <c r="I1487" s="16"/>
      <c r="J1487" s="16"/>
      <c r="K1487" s="16"/>
      <c r="L1487" s="16"/>
      <c r="M1487" s="16"/>
      <c r="N1487" s="16"/>
      <c r="O1487" s="16"/>
      <c r="P1487" s="16"/>
      <c r="Q1487" s="16"/>
      <c r="R1487" s="16"/>
      <c r="S1487" s="16"/>
      <c r="T1487" s="16"/>
      <c r="U1487" s="16"/>
      <c r="V1487" s="16"/>
      <c r="W1487" s="16"/>
      <c r="X1487" s="16"/>
      <c r="Y1487" s="16"/>
      <c r="Z1487" s="16"/>
      <c r="AA1487" s="16"/>
      <c r="AB1487" s="16"/>
      <c r="AC1487" s="16"/>
      <c r="AD1487" s="16"/>
      <c r="AE1487" s="16"/>
      <c r="AF1487" s="16"/>
      <c r="AG1487" s="16"/>
      <c r="AH1487" s="16" t="b">
        <f>IFERROR(__xludf.DUMMYFUNCTION("""COMPUTED_VALUE"""),FALSE)</f>
        <v>0</v>
      </c>
    </row>
    <row r="1488">
      <c r="A1488" s="16"/>
      <c r="B1488" s="16"/>
      <c r="C1488" s="16"/>
      <c r="D1488" s="16"/>
      <c r="E1488" s="16">
        <f>IFERROR(__xludf.DUMMYFUNCTION("""COMPUTED_VALUE"""),1.0)</f>
        <v>1</v>
      </c>
      <c r="F1488" s="108">
        <f>IFERROR(__xludf.DUMMYFUNCTION("""COMPUTED_VALUE"""),0.0)</f>
        <v>0</v>
      </c>
      <c r="G1488" s="16"/>
      <c r="H1488" s="16"/>
      <c r="I1488" s="16"/>
      <c r="J1488" s="16"/>
      <c r="K1488" s="16"/>
      <c r="L1488" s="16"/>
      <c r="M1488" s="16"/>
      <c r="N1488" s="16"/>
      <c r="O1488" s="16"/>
      <c r="P1488" s="16"/>
      <c r="Q1488" s="16"/>
      <c r="R1488" s="16"/>
      <c r="S1488" s="16"/>
      <c r="T1488" s="16"/>
      <c r="U1488" s="16"/>
      <c r="V1488" s="16"/>
      <c r="W1488" s="16"/>
      <c r="X1488" s="16"/>
      <c r="Y1488" s="16"/>
      <c r="Z1488" s="16"/>
      <c r="AA1488" s="16"/>
      <c r="AB1488" s="16"/>
      <c r="AC1488" s="16"/>
      <c r="AD1488" s="16"/>
      <c r="AE1488" s="16"/>
      <c r="AF1488" s="16"/>
      <c r="AG1488" s="16"/>
      <c r="AH1488" s="16" t="b">
        <f>IFERROR(__xludf.DUMMYFUNCTION("""COMPUTED_VALUE"""),FALSE)</f>
        <v>0</v>
      </c>
    </row>
    <row r="1489">
      <c r="A1489" s="16"/>
      <c r="B1489" s="16"/>
      <c r="C1489" s="16"/>
      <c r="D1489" s="16"/>
      <c r="E1489" s="16">
        <f>IFERROR(__xludf.DUMMYFUNCTION("""COMPUTED_VALUE"""),1.0)</f>
        <v>1</v>
      </c>
      <c r="F1489" s="108">
        <f>IFERROR(__xludf.DUMMYFUNCTION("""COMPUTED_VALUE"""),0.0)</f>
        <v>0</v>
      </c>
      <c r="G1489" s="16"/>
      <c r="H1489" s="16"/>
      <c r="I1489" s="16"/>
      <c r="J1489" s="16"/>
      <c r="K1489" s="16"/>
      <c r="L1489" s="16"/>
      <c r="M1489" s="16"/>
      <c r="N1489" s="16"/>
      <c r="O1489" s="16"/>
      <c r="P1489" s="16"/>
      <c r="Q1489" s="16"/>
      <c r="R1489" s="16"/>
      <c r="S1489" s="16"/>
      <c r="T1489" s="16"/>
      <c r="U1489" s="16"/>
      <c r="V1489" s="16"/>
      <c r="W1489" s="16"/>
      <c r="X1489" s="16"/>
      <c r="Y1489" s="16"/>
      <c r="Z1489" s="16"/>
      <c r="AA1489" s="16"/>
      <c r="AB1489" s="16"/>
      <c r="AC1489" s="16"/>
      <c r="AD1489" s="16"/>
      <c r="AE1489" s="16"/>
      <c r="AF1489" s="16"/>
      <c r="AG1489" s="16"/>
      <c r="AH1489" s="16" t="b">
        <f>IFERROR(__xludf.DUMMYFUNCTION("""COMPUTED_VALUE"""),FALSE)</f>
        <v>0</v>
      </c>
    </row>
    <row r="1490">
      <c r="A1490" s="16"/>
      <c r="B1490" s="16"/>
      <c r="C1490" s="16"/>
      <c r="D1490" s="16"/>
      <c r="E1490" s="16">
        <f>IFERROR(__xludf.DUMMYFUNCTION("""COMPUTED_VALUE"""),1.0)</f>
        <v>1</v>
      </c>
      <c r="F1490" s="108">
        <f>IFERROR(__xludf.DUMMYFUNCTION("""COMPUTED_VALUE"""),0.0)</f>
        <v>0</v>
      </c>
      <c r="G1490" s="16"/>
      <c r="H1490" s="16"/>
      <c r="I1490" s="16"/>
      <c r="J1490" s="16"/>
      <c r="K1490" s="16"/>
      <c r="L1490" s="16"/>
      <c r="M1490" s="16"/>
      <c r="N1490" s="16"/>
      <c r="O1490" s="16"/>
      <c r="P1490" s="16"/>
      <c r="Q1490" s="16"/>
      <c r="R1490" s="16"/>
      <c r="S1490" s="16"/>
      <c r="T1490" s="16"/>
      <c r="U1490" s="16"/>
      <c r="V1490" s="16"/>
      <c r="W1490" s="16"/>
      <c r="X1490" s="16"/>
      <c r="Y1490" s="16"/>
      <c r="Z1490" s="16"/>
      <c r="AA1490" s="16"/>
      <c r="AB1490" s="16"/>
      <c r="AC1490" s="16"/>
      <c r="AD1490" s="16"/>
      <c r="AE1490" s="16"/>
      <c r="AF1490" s="16"/>
      <c r="AG1490" s="16"/>
      <c r="AH1490" s="16" t="b">
        <f>IFERROR(__xludf.DUMMYFUNCTION("""COMPUTED_VALUE"""),FALSE)</f>
        <v>0</v>
      </c>
    </row>
    <row r="1491">
      <c r="A1491" s="16"/>
      <c r="B1491" s="16"/>
      <c r="C1491" s="16"/>
      <c r="D1491" s="16"/>
      <c r="E1491" s="16">
        <f>IFERROR(__xludf.DUMMYFUNCTION("""COMPUTED_VALUE"""),1.0)</f>
        <v>1</v>
      </c>
      <c r="F1491" s="108">
        <f>IFERROR(__xludf.DUMMYFUNCTION("""COMPUTED_VALUE"""),0.0)</f>
        <v>0</v>
      </c>
      <c r="G1491" s="16"/>
      <c r="H1491" s="16"/>
      <c r="I1491" s="16"/>
      <c r="J1491" s="16"/>
      <c r="K1491" s="16"/>
      <c r="L1491" s="16"/>
      <c r="M1491" s="16"/>
      <c r="N1491" s="16"/>
      <c r="O1491" s="16"/>
      <c r="P1491" s="16"/>
      <c r="Q1491" s="16"/>
      <c r="R1491" s="16"/>
      <c r="S1491" s="16"/>
      <c r="T1491" s="16"/>
      <c r="U1491" s="16"/>
      <c r="V1491" s="16"/>
      <c r="W1491" s="16"/>
      <c r="X1491" s="16"/>
      <c r="Y1491" s="16"/>
      <c r="Z1491" s="16"/>
      <c r="AA1491" s="16"/>
      <c r="AB1491" s="16"/>
      <c r="AC1491" s="16"/>
      <c r="AD1491" s="16"/>
      <c r="AE1491" s="16"/>
      <c r="AF1491" s="16"/>
      <c r="AG1491" s="16"/>
      <c r="AH1491" s="16" t="b">
        <f>IFERROR(__xludf.DUMMYFUNCTION("""COMPUTED_VALUE"""),FALSE)</f>
        <v>0</v>
      </c>
    </row>
    <row r="1492">
      <c r="A1492" s="16"/>
      <c r="B1492" s="16"/>
      <c r="C1492" s="16"/>
      <c r="D1492" s="16"/>
      <c r="E1492" s="16">
        <f>IFERROR(__xludf.DUMMYFUNCTION("""COMPUTED_VALUE"""),1.0)</f>
        <v>1</v>
      </c>
      <c r="F1492" s="108">
        <f>IFERROR(__xludf.DUMMYFUNCTION("""COMPUTED_VALUE"""),0.0)</f>
        <v>0</v>
      </c>
      <c r="G1492" s="16"/>
      <c r="H1492" s="16"/>
      <c r="I1492" s="16"/>
      <c r="J1492" s="16"/>
      <c r="K1492" s="16"/>
      <c r="L1492" s="16"/>
      <c r="M1492" s="16"/>
      <c r="N1492" s="16"/>
      <c r="O1492" s="16"/>
      <c r="P1492" s="16"/>
      <c r="Q1492" s="16"/>
      <c r="R1492" s="16"/>
      <c r="S1492" s="16"/>
      <c r="T1492" s="16"/>
      <c r="U1492" s="16"/>
      <c r="V1492" s="16"/>
      <c r="W1492" s="16"/>
      <c r="X1492" s="16"/>
      <c r="Y1492" s="16"/>
      <c r="Z1492" s="16"/>
      <c r="AA1492" s="16"/>
      <c r="AB1492" s="16"/>
      <c r="AC1492" s="16"/>
      <c r="AD1492" s="16"/>
      <c r="AE1492" s="16"/>
      <c r="AF1492" s="16"/>
      <c r="AG1492" s="16"/>
      <c r="AH1492" s="16" t="b">
        <f>IFERROR(__xludf.DUMMYFUNCTION("""COMPUTED_VALUE"""),FALSE)</f>
        <v>0</v>
      </c>
    </row>
    <row r="1493">
      <c r="A1493" s="16"/>
      <c r="B1493" s="16"/>
      <c r="C1493" s="16"/>
      <c r="D1493" s="16"/>
      <c r="E1493" s="16">
        <f>IFERROR(__xludf.DUMMYFUNCTION("""COMPUTED_VALUE"""),1.0)</f>
        <v>1</v>
      </c>
      <c r="F1493" s="108">
        <f>IFERROR(__xludf.DUMMYFUNCTION("""COMPUTED_VALUE"""),0.0)</f>
        <v>0</v>
      </c>
      <c r="G1493" s="16"/>
      <c r="H1493" s="16"/>
      <c r="I1493" s="16"/>
      <c r="J1493" s="16"/>
      <c r="K1493" s="16"/>
      <c r="L1493" s="16"/>
      <c r="M1493" s="16"/>
      <c r="N1493" s="16"/>
      <c r="O1493" s="16"/>
      <c r="P1493" s="16"/>
      <c r="Q1493" s="16"/>
      <c r="R1493" s="16"/>
      <c r="S1493" s="16"/>
      <c r="T1493" s="16"/>
      <c r="U1493" s="16"/>
      <c r="V1493" s="16"/>
      <c r="W1493" s="16"/>
      <c r="X1493" s="16"/>
      <c r="Y1493" s="16"/>
      <c r="Z1493" s="16"/>
      <c r="AA1493" s="16"/>
      <c r="AB1493" s="16"/>
      <c r="AC1493" s="16"/>
      <c r="AD1493" s="16"/>
      <c r="AE1493" s="16"/>
      <c r="AF1493" s="16"/>
      <c r="AG1493" s="16"/>
      <c r="AH1493" s="16" t="b">
        <f>IFERROR(__xludf.DUMMYFUNCTION("""COMPUTED_VALUE"""),FALSE)</f>
        <v>0</v>
      </c>
    </row>
    <row r="1494">
      <c r="A1494" s="16"/>
      <c r="B1494" s="16"/>
      <c r="C1494" s="16"/>
      <c r="D1494" s="16"/>
      <c r="E1494" s="16">
        <f>IFERROR(__xludf.DUMMYFUNCTION("""COMPUTED_VALUE"""),1.0)</f>
        <v>1</v>
      </c>
      <c r="F1494" s="108">
        <f>IFERROR(__xludf.DUMMYFUNCTION("""COMPUTED_VALUE"""),0.0)</f>
        <v>0</v>
      </c>
      <c r="G1494" s="16"/>
      <c r="H1494" s="16"/>
      <c r="I1494" s="16"/>
      <c r="J1494" s="16"/>
      <c r="K1494" s="16"/>
      <c r="L1494" s="16"/>
      <c r="M1494" s="16"/>
      <c r="N1494" s="16"/>
      <c r="O1494" s="16"/>
      <c r="P1494" s="16"/>
      <c r="Q1494" s="16"/>
      <c r="R1494" s="16"/>
      <c r="S1494" s="16"/>
      <c r="T1494" s="16"/>
      <c r="U1494" s="16"/>
      <c r="V1494" s="16"/>
      <c r="W1494" s="16"/>
      <c r="X1494" s="16"/>
      <c r="Y1494" s="16"/>
      <c r="Z1494" s="16"/>
      <c r="AA1494" s="16"/>
      <c r="AB1494" s="16"/>
      <c r="AC1494" s="16"/>
      <c r="AD1494" s="16"/>
      <c r="AE1494" s="16"/>
      <c r="AF1494" s="16"/>
      <c r="AG1494" s="16"/>
      <c r="AH1494" s="16" t="b">
        <f>IFERROR(__xludf.DUMMYFUNCTION("""COMPUTED_VALUE"""),FALSE)</f>
        <v>0</v>
      </c>
    </row>
    <row r="1495">
      <c r="A1495" s="16"/>
      <c r="B1495" s="16"/>
      <c r="C1495" s="16"/>
      <c r="D1495" s="16"/>
      <c r="E1495" s="16">
        <f>IFERROR(__xludf.DUMMYFUNCTION("""COMPUTED_VALUE"""),1.0)</f>
        <v>1</v>
      </c>
      <c r="F1495" s="108">
        <f>IFERROR(__xludf.DUMMYFUNCTION("""COMPUTED_VALUE"""),0.0)</f>
        <v>0</v>
      </c>
      <c r="G1495" s="16"/>
      <c r="H1495" s="16"/>
      <c r="I1495" s="16"/>
      <c r="J1495" s="16"/>
      <c r="K1495" s="16"/>
      <c r="L1495" s="16"/>
      <c r="M1495" s="16"/>
      <c r="N1495" s="16"/>
      <c r="O1495" s="16"/>
      <c r="P1495" s="16"/>
      <c r="Q1495" s="16"/>
      <c r="R1495" s="16"/>
      <c r="S1495" s="16"/>
      <c r="T1495" s="16"/>
      <c r="U1495" s="16"/>
      <c r="V1495" s="16"/>
      <c r="W1495" s="16"/>
      <c r="X1495" s="16"/>
      <c r="Y1495" s="16"/>
      <c r="Z1495" s="16"/>
      <c r="AA1495" s="16"/>
      <c r="AB1495" s="16"/>
      <c r="AC1495" s="16"/>
      <c r="AD1495" s="16"/>
      <c r="AE1495" s="16"/>
      <c r="AF1495" s="16"/>
      <c r="AG1495" s="16"/>
      <c r="AH1495" s="16" t="b">
        <f>IFERROR(__xludf.DUMMYFUNCTION("""COMPUTED_VALUE"""),FALSE)</f>
        <v>0</v>
      </c>
    </row>
    <row r="1496">
      <c r="A1496" s="16"/>
      <c r="B1496" s="16"/>
      <c r="C1496" s="16"/>
      <c r="D1496" s="16"/>
      <c r="E1496" s="16">
        <f>IFERROR(__xludf.DUMMYFUNCTION("""COMPUTED_VALUE"""),1.0)</f>
        <v>1</v>
      </c>
      <c r="F1496" s="108">
        <f>IFERROR(__xludf.DUMMYFUNCTION("""COMPUTED_VALUE"""),0.0)</f>
        <v>0</v>
      </c>
      <c r="G1496" s="16"/>
      <c r="H1496" s="16"/>
      <c r="I1496" s="16"/>
      <c r="J1496" s="16"/>
      <c r="K1496" s="16"/>
      <c r="L1496" s="16"/>
      <c r="M1496" s="16"/>
      <c r="N1496" s="16"/>
      <c r="O1496" s="16"/>
      <c r="P1496" s="16"/>
      <c r="Q1496" s="16"/>
      <c r="R1496" s="16"/>
      <c r="S1496" s="16"/>
      <c r="T1496" s="16"/>
      <c r="U1496" s="16"/>
      <c r="V1496" s="16"/>
      <c r="W1496" s="16"/>
      <c r="X1496" s="16"/>
      <c r="Y1496" s="16"/>
      <c r="Z1496" s="16"/>
      <c r="AA1496" s="16"/>
      <c r="AB1496" s="16"/>
      <c r="AC1496" s="16"/>
      <c r="AD1496" s="16"/>
      <c r="AE1496" s="16"/>
      <c r="AF1496" s="16"/>
      <c r="AG1496" s="16"/>
      <c r="AH1496" s="16" t="b">
        <f>IFERROR(__xludf.DUMMYFUNCTION("""COMPUTED_VALUE"""),FALSE)</f>
        <v>0</v>
      </c>
    </row>
    <row r="1497">
      <c r="A1497" s="16"/>
      <c r="B1497" s="16"/>
      <c r="C1497" s="16"/>
      <c r="D1497" s="16"/>
      <c r="E1497" s="16">
        <f>IFERROR(__xludf.DUMMYFUNCTION("""COMPUTED_VALUE"""),1.0)</f>
        <v>1</v>
      </c>
      <c r="F1497" s="108">
        <f>IFERROR(__xludf.DUMMYFUNCTION("""COMPUTED_VALUE"""),0.0)</f>
        <v>0</v>
      </c>
      <c r="G1497" s="16"/>
      <c r="H1497" s="16"/>
      <c r="I1497" s="16"/>
      <c r="J1497" s="16"/>
      <c r="K1497" s="16"/>
      <c r="L1497" s="16"/>
      <c r="M1497" s="16"/>
      <c r="N1497" s="16"/>
      <c r="O1497" s="16"/>
      <c r="P1497" s="16"/>
      <c r="Q1497" s="16"/>
      <c r="R1497" s="16"/>
      <c r="S1497" s="16"/>
      <c r="T1497" s="16"/>
      <c r="U1497" s="16"/>
      <c r="V1497" s="16"/>
      <c r="W1497" s="16"/>
      <c r="X1497" s="16"/>
      <c r="Y1497" s="16"/>
      <c r="Z1497" s="16"/>
      <c r="AA1497" s="16"/>
      <c r="AB1497" s="16"/>
      <c r="AC1497" s="16"/>
      <c r="AD1497" s="16"/>
      <c r="AE1497" s="16"/>
      <c r="AF1497" s="16"/>
      <c r="AG1497" s="16"/>
      <c r="AH1497" s="16" t="b">
        <f>IFERROR(__xludf.DUMMYFUNCTION("""COMPUTED_VALUE"""),FALSE)</f>
        <v>0</v>
      </c>
    </row>
    <row r="1498">
      <c r="A1498" s="16"/>
      <c r="B1498" s="16"/>
      <c r="C1498" s="16"/>
      <c r="D1498" s="16"/>
      <c r="E1498" s="16">
        <f>IFERROR(__xludf.DUMMYFUNCTION("""COMPUTED_VALUE"""),1.0)</f>
        <v>1</v>
      </c>
      <c r="F1498" s="108">
        <f>IFERROR(__xludf.DUMMYFUNCTION("""COMPUTED_VALUE"""),0.0)</f>
        <v>0</v>
      </c>
      <c r="G1498" s="16"/>
      <c r="H1498" s="16"/>
      <c r="I1498" s="16"/>
      <c r="J1498" s="16"/>
      <c r="K1498" s="16"/>
      <c r="L1498" s="16"/>
      <c r="M1498" s="16"/>
      <c r="N1498" s="16"/>
      <c r="O1498" s="16"/>
      <c r="P1498" s="16"/>
      <c r="Q1498" s="16"/>
      <c r="R1498" s="16"/>
      <c r="S1498" s="16"/>
      <c r="T1498" s="16"/>
      <c r="U1498" s="16"/>
      <c r="V1498" s="16"/>
      <c r="W1498" s="16"/>
      <c r="X1498" s="16"/>
      <c r="Y1498" s="16"/>
      <c r="Z1498" s="16"/>
      <c r="AA1498" s="16"/>
      <c r="AB1498" s="16"/>
      <c r="AC1498" s="16"/>
      <c r="AD1498" s="16"/>
      <c r="AE1498" s="16"/>
      <c r="AF1498" s="16"/>
      <c r="AG1498" s="16"/>
      <c r="AH1498" s="16" t="b">
        <f>IFERROR(__xludf.DUMMYFUNCTION("""COMPUTED_VALUE"""),FALSE)</f>
        <v>0</v>
      </c>
    </row>
    <row r="1499">
      <c r="A1499" s="16"/>
      <c r="B1499" s="16"/>
      <c r="C1499" s="16"/>
      <c r="D1499" s="16"/>
      <c r="E1499" s="16">
        <f>IFERROR(__xludf.DUMMYFUNCTION("""COMPUTED_VALUE"""),1.0)</f>
        <v>1</v>
      </c>
      <c r="F1499" s="108">
        <f>IFERROR(__xludf.DUMMYFUNCTION("""COMPUTED_VALUE"""),0.0)</f>
        <v>0</v>
      </c>
      <c r="G1499" s="16"/>
      <c r="H1499" s="16"/>
      <c r="I1499" s="16"/>
      <c r="J1499" s="16"/>
      <c r="K1499" s="16"/>
      <c r="L1499" s="16"/>
      <c r="M1499" s="16"/>
      <c r="N1499" s="16"/>
      <c r="O1499" s="16"/>
      <c r="P1499" s="16"/>
      <c r="Q1499" s="16"/>
      <c r="R1499" s="16"/>
      <c r="S1499" s="16"/>
      <c r="T1499" s="16"/>
      <c r="U1499" s="16"/>
      <c r="V1499" s="16"/>
      <c r="W1499" s="16"/>
      <c r="X1499" s="16"/>
      <c r="Y1499" s="16"/>
      <c r="Z1499" s="16"/>
      <c r="AA1499" s="16"/>
      <c r="AB1499" s="16"/>
      <c r="AC1499" s="16"/>
      <c r="AD1499" s="16"/>
      <c r="AE1499" s="16"/>
      <c r="AF1499" s="16"/>
      <c r="AG1499" s="16"/>
      <c r="AH1499" s="16" t="b">
        <f>IFERROR(__xludf.DUMMYFUNCTION("""COMPUTED_VALUE"""),FALSE)</f>
        <v>0</v>
      </c>
    </row>
    <row r="1500">
      <c r="A1500" s="16"/>
      <c r="B1500" s="16"/>
      <c r="C1500" s="16"/>
      <c r="D1500" s="16"/>
      <c r="E1500" s="16">
        <f>IFERROR(__xludf.DUMMYFUNCTION("""COMPUTED_VALUE"""),1.0)</f>
        <v>1</v>
      </c>
      <c r="F1500" s="108">
        <f>IFERROR(__xludf.DUMMYFUNCTION("""COMPUTED_VALUE"""),0.0)</f>
        <v>0</v>
      </c>
      <c r="G1500" s="16"/>
      <c r="H1500" s="16"/>
      <c r="I1500" s="16"/>
      <c r="J1500" s="16"/>
      <c r="K1500" s="16"/>
      <c r="L1500" s="16"/>
      <c r="M1500" s="16"/>
      <c r="N1500" s="16"/>
      <c r="O1500" s="16"/>
      <c r="P1500" s="16"/>
      <c r="Q1500" s="16"/>
      <c r="R1500" s="16"/>
      <c r="S1500" s="16"/>
      <c r="T1500" s="16"/>
      <c r="U1500" s="16"/>
      <c r="V1500" s="16"/>
      <c r="W1500" s="16"/>
      <c r="X1500" s="16"/>
      <c r="Y1500" s="16"/>
      <c r="Z1500" s="16"/>
      <c r="AA1500" s="16"/>
      <c r="AB1500" s="16"/>
      <c r="AC1500" s="16"/>
      <c r="AD1500" s="16"/>
      <c r="AE1500" s="16"/>
      <c r="AF1500" s="16"/>
      <c r="AG1500" s="16"/>
      <c r="AH1500" s="16" t="b">
        <f>IFERROR(__xludf.DUMMYFUNCTION("""COMPUTED_VALUE"""),FALSE)</f>
        <v>0</v>
      </c>
    </row>
    <row r="1501">
      <c r="A1501" s="16"/>
      <c r="B1501" s="16"/>
      <c r="C1501" s="16"/>
      <c r="D1501" s="16"/>
      <c r="E1501" s="16">
        <f>IFERROR(__xludf.DUMMYFUNCTION("""COMPUTED_VALUE"""),1.0)</f>
        <v>1</v>
      </c>
      <c r="F1501" s="108">
        <f>IFERROR(__xludf.DUMMYFUNCTION("""COMPUTED_VALUE"""),0.0)</f>
        <v>0</v>
      </c>
      <c r="G1501" s="16"/>
      <c r="H1501" s="16"/>
      <c r="I1501" s="16"/>
      <c r="J1501" s="16"/>
      <c r="K1501" s="16"/>
      <c r="L1501" s="16"/>
      <c r="M1501" s="16"/>
      <c r="N1501" s="16"/>
      <c r="O1501" s="16"/>
      <c r="P1501" s="16"/>
      <c r="Q1501" s="16"/>
      <c r="R1501" s="16"/>
      <c r="S1501" s="16"/>
      <c r="T1501" s="16"/>
      <c r="U1501" s="16"/>
      <c r="V1501" s="16"/>
      <c r="W1501" s="16"/>
      <c r="X1501" s="16"/>
      <c r="Y1501" s="16"/>
      <c r="Z1501" s="16"/>
      <c r="AA1501" s="16"/>
      <c r="AB1501" s="16"/>
      <c r="AC1501" s="16"/>
      <c r="AD1501" s="16"/>
      <c r="AE1501" s="16"/>
      <c r="AF1501" s="16"/>
      <c r="AG1501" s="16"/>
      <c r="AH1501" s="16" t="b">
        <f>IFERROR(__xludf.DUMMYFUNCTION("""COMPUTED_VALUE"""),FALSE)</f>
        <v>0</v>
      </c>
    </row>
    <row r="1502">
      <c r="A1502" s="16"/>
      <c r="B1502" s="16"/>
      <c r="C1502" s="16"/>
      <c r="D1502" s="16"/>
      <c r="E1502" s="16">
        <f>IFERROR(__xludf.DUMMYFUNCTION("""COMPUTED_VALUE"""),1.0)</f>
        <v>1</v>
      </c>
      <c r="F1502" s="108">
        <f>IFERROR(__xludf.DUMMYFUNCTION("""COMPUTED_VALUE"""),0.0)</f>
        <v>0</v>
      </c>
      <c r="G1502" s="16"/>
      <c r="H1502" s="16"/>
      <c r="I1502" s="16"/>
      <c r="J1502" s="16"/>
      <c r="K1502" s="16"/>
      <c r="L1502" s="16"/>
      <c r="M1502" s="16"/>
      <c r="N1502" s="16"/>
      <c r="O1502" s="16"/>
      <c r="P1502" s="16"/>
      <c r="Q1502" s="16"/>
      <c r="R1502" s="16"/>
      <c r="S1502" s="16"/>
      <c r="T1502" s="16"/>
      <c r="U1502" s="16"/>
      <c r="V1502" s="16"/>
      <c r="W1502" s="16"/>
      <c r="X1502" s="16"/>
      <c r="Y1502" s="16"/>
      <c r="Z1502" s="16"/>
      <c r="AA1502" s="16"/>
      <c r="AB1502" s="16"/>
      <c r="AC1502" s="16"/>
      <c r="AD1502" s="16"/>
      <c r="AE1502" s="16"/>
      <c r="AF1502" s="16"/>
      <c r="AG1502" s="16"/>
      <c r="AH1502" s="16" t="b">
        <f>IFERROR(__xludf.DUMMYFUNCTION("""COMPUTED_VALUE"""),FALSE)</f>
        <v>0</v>
      </c>
    </row>
    <row r="1503">
      <c r="A1503" s="16"/>
      <c r="B1503" s="16"/>
      <c r="C1503" s="16"/>
      <c r="D1503" s="16"/>
      <c r="E1503" s="16">
        <f>IFERROR(__xludf.DUMMYFUNCTION("""COMPUTED_VALUE"""),1.0)</f>
        <v>1</v>
      </c>
      <c r="F1503" s="108">
        <f>IFERROR(__xludf.DUMMYFUNCTION("""COMPUTED_VALUE"""),0.0)</f>
        <v>0</v>
      </c>
      <c r="G1503" s="16"/>
      <c r="H1503" s="16"/>
      <c r="I1503" s="16"/>
      <c r="J1503" s="16"/>
      <c r="K1503" s="16"/>
      <c r="L1503" s="16"/>
      <c r="M1503" s="16"/>
      <c r="N1503" s="16"/>
      <c r="O1503" s="16"/>
      <c r="P1503" s="16"/>
      <c r="Q1503" s="16"/>
      <c r="R1503" s="16"/>
      <c r="S1503" s="16"/>
      <c r="T1503" s="16"/>
      <c r="U1503" s="16"/>
      <c r="V1503" s="16"/>
      <c r="W1503" s="16"/>
      <c r="X1503" s="16"/>
      <c r="Y1503" s="16"/>
      <c r="Z1503" s="16"/>
      <c r="AA1503" s="16"/>
      <c r="AB1503" s="16"/>
      <c r="AC1503" s="16"/>
      <c r="AD1503" s="16"/>
      <c r="AE1503" s="16"/>
      <c r="AF1503" s="16"/>
      <c r="AG1503" s="16"/>
      <c r="AH1503" s="16" t="b">
        <f>IFERROR(__xludf.DUMMYFUNCTION("""COMPUTED_VALUE"""),FALSE)</f>
        <v>0</v>
      </c>
    </row>
    <row r="1504">
      <c r="A1504" s="16"/>
      <c r="B1504" s="16"/>
      <c r="C1504" s="16"/>
      <c r="D1504" s="16"/>
      <c r="E1504" s="16">
        <f>IFERROR(__xludf.DUMMYFUNCTION("""COMPUTED_VALUE"""),1.0)</f>
        <v>1</v>
      </c>
      <c r="F1504" s="108">
        <f>IFERROR(__xludf.DUMMYFUNCTION("""COMPUTED_VALUE"""),0.0)</f>
        <v>0</v>
      </c>
      <c r="G1504" s="16"/>
      <c r="H1504" s="16"/>
      <c r="I1504" s="16"/>
      <c r="J1504" s="16"/>
      <c r="K1504" s="16"/>
      <c r="L1504" s="16"/>
      <c r="M1504" s="16"/>
      <c r="N1504" s="16"/>
      <c r="O1504" s="16"/>
      <c r="P1504" s="16"/>
      <c r="Q1504" s="16"/>
      <c r="R1504" s="16"/>
      <c r="S1504" s="16"/>
      <c r="T1504" s="16"/>
      <c r="U1504" s="16"/>
      <c r="V1504" s="16"/>
      <c r="W1504" s="16"/>
      <c r="X1504" s="16"/>
      <c r="Y1504" s="16"/>
      <c r="Z1504" s="16"/>
      <c r="AA1504" s="16"/>
      <c r="AB1504" s="16"/>
      <c r="AC1504" s="16"/>
      <c r="AD1504" s="16"/>
      <c r="AE1504" s="16"/>
      <c r="AF1504" s="16"/>
      <c r="AG1504" s="16"/>
      <c r="AH1504" s="16" t="b">
        <f>IFERROR(__xludf.DUMMYFUNCTION("""COMPUTED_VALUE"""),FALSE)</f>
        <v>0</v>
      </c>
    </row>
    <row r="1505">
      <c r="A1505" s="16"/>
      <c r="B1505" s="16"/>
      <c r="C1505" s="16"/>
      <c r="D1505" s="16"/>
      <c r="E1505" s="16">
        <f>IFERROR(__xludf.DUMMYFUNCTION("""COMPUTED_VALUE"""),1.0)</f>
        <v>1</v>
      </c>
      <c r="F1505" s="108">
        <f>IFERROR(__xludf.DUMMYFUNCTION("""COMPUTED_VALUE"""),0.0)</f>
        <v>0</v>
      </c>
      <c r="G1505" s="16"/>
      <c r="H1505" s="16"/>
      <c r="I1505" s="16"/>
      <c r="J1505" s="16"/>
      <c r="K1505" s="16"/>
      <c r="L1505" s="16"/>
      <c r="M1505" s="16"/>
      <c r="N1505" s="16"/>
      <c r="O1505" s="16"/>
      <c r="P1505" s="16"/>
      <c r="Q1505" s="16"/>
      <c r="R1505" s="16"/>
      <c r="S1505" s="16"/>
      <c r="T1505" s="16"/>
      <c r="U1505" s="16"/>
      <c r="V1505" s="16"/>
      <c r="W1505" s="16"/>
      <c r="X1505" s="16"/>
      <c r="Y1505" s="16"/>
      <c r="Z1505" s="16"/>
      <c r="AA1505" s="16"/>
      <c r="AB1505" s="16"/>
      <c r="AC1505" s="16"/>
      <c r="AD1505" s="16"/>
      <c r="AE1505" s="16"/>
      <c r="AF1505" s="16"/>
      <c r="AG1505" s="16"/>
      <c r="AH1505" s="16" t="b">
        <f>IFERROR(__xludf.DUMMYFUNCTION("""COMPUTED_VALUE"""),FALSE)</f>
        <v>0</v>
      </c>
    </row>
    <row r="1506">
      <c r="A1506" s="16"/>
      <c r="B1506" s="16"/>
      <c r="C1506" s="16"/>
      <c r="D1506" s="16"/>
      <c r="E1506" s="16">
        <f>IFERROR(__xludf.DUMMYFUNCTION("""COMPUTED_VALUE"""),1.0)</f>
        <v>1</v>
      </c>
      <c r="F1506" s="108">
        <f>IFERROR(__xludf.DUMMYFUNCTION("""COMPUTED_VALUE"""),0.0)</f>
        <v>0</v>
      </c>
      <c r="G1506" s="16"/>
      <c r="H1506" s="16"/>
      <c r="I1506" s="16"/>
      <c r="J1506" s="16"/>
      <c r="K1506" s="16"/>
      <c r="L1506" s="16"/>
      <c r="M1506" s="16"/>
      <c r="N1506" s="16"/>
      <c r="O1506" s="16"/>
      <c r="P1506" s="16"/>
      <c r="Q1506" s="16"/>
      <c r="R1506" s="16"/>
      <c r="S1506" s="16"/>
      <c r="T1506" s="16"/>
      <c r="U1506" s="16"/>
      <c r="V1506" s="16"/>
      <c r="W1506" s="16"/>
      <c r="X1506" s="16"/>
      <c r="Y1506" s="16"/>
      <c r="Z1506" s="16"/>
      <c r="AA1506" s="16"/>
      <c r="AB1506" s="16"/>
      <c r="AC1506" s="16"/>
      <c r="AD1506" s="16"/>
      <c r="AE1506" s="16"/>
      <c r="AF1506" s="16"/>
      <c r="AG1506" s="16"/>
      <c r="AH1506" s="16" t="b">
        <f>IFERROR(__xludf.DUMMYFUNCTION("""COMPUTED_VALUE"""),FALSE)</f>
        <v>0</v>
      </c>
    </row>
    <row r="1507">
      <c r="A1507" s="16"/>
      <c r="B1507" s="16"/>
      <c r="C1507" s="16"/>
      <c r="D1507" s="16"/>
      <c r="E1507" s="16">
        <f>IFERROR(__xludf.DUMMYFUNCTION("""COMPUTED_VALUE"""),1.0)</f>
        <v>1</v>
      </c>
      <c r="F1507" s="108">
        <f>IFERROR(__xludf.DUMMYFUNCTION("""COMPUTED_VALUE"""),0.0)</f>
        <v>0</v>
      </c>
      <c r="G1507" s="16"/>
      <c r="H1507" s="16"/>
      <c r="I1507" s="16"/>
      <c r="J1507" s="16"/>
      <c r="K1507" s="16"/>
      <c r="L1507" s="16"/>
      <c r="M1507" s="16"/>
      <c r="N1507" s="16"/>
      <c r="O1507" s="16"/>
      <c r="P1507" s="16"/>
      <c r="Q1507" s="16"/>
      <c r="R1507" s="16"/>
      <c r="S1507" s="16"/>
      <c r="T1507" s="16"/>
      <c r="U1507" s="16"/>
      <c r="V1507" s="16"/>
      <c r="W1507" s="16"/>
      <c r="X1507" s="16"/>
      <c r="Y1507" s="16"/>
      <c r="Z1507" s="16"/>
      <c r="AA1507" s="16"/>
      <c r="AB1507" s="16"/>
      <c r="AC1507" s="16"/>
      <c r="AD1507" s="16"/>
      <c r="AE1507" s="16"/>
      <c r="AF1507" s="16"/>
      <c r="AG1507" s="16"/>
      <c r="AH1507" s="16" t="b">
        <f>IFERROR(__xludf.DUMMYFUNCTION("""COMPUTED_VALUE"""),FALSE)</f>
        <v>0</v>
      </c>
    </row>
    <row r="1508">
      <c r="A1508" s="16"/>
      <c r="B1508" s="16"/>
      <c r="C1508" s="16"/>
      <c r="D1508" s="16"/>
      <c r="E1508" s="16">
        <f>IFERROR(__xludf.DUMMYFUNCTION("""COMPUTED_VALUE"""),1.0)</f>
        <v>1</v>
      </c>
      <c r="F1508" s="108">
        <f>IFERROR(__xludf.DUMMYFUNCTION("""COMPUTED_VALUE"""),0.0)</f>
        <v>0</v>
      </c>
      <c r="G1508" s="16"/>
      <c r="H1508" s="16"/>
      <c r="I1508" s="16"/>
      <c r="J1508" s="16"/>
      <c r="K1508" s="16"/>
      <c r="L1508" s="16"/>
      <c r="M1508" s="16"/>
      <c r="N1508" s="16"/>
      <c r="O1508" s="16"/>
      <c r="P1508" s="16"/>
      <c r="Q1508" s="16"/>
      <c r="R1508" s="16"/>
      <c r="S1508" s="16"/>
      <c r="T1508" s="16"/>
      <c r="U1508" s="16"/>
      <c r="V1508" s="16"/>
      <c r="W1508" s="16"/>
      <c r="X1508" s="16"/>
      <c r="Y1508" s="16"/>
      <c r="Z1508" s="16"/>
      <c r="AA1508" s="16"/>
      <c r="AB1508" s="16"/>
      <c r="AC1508" s="16"/>
      <c r="AD1508" s="16"/>
      <c r="AE1508" s="16"/>
      <c r="AF1508" s="16"/>
      <c r="AG1508" s="16"/>
      <c r="AH1508" s="16" t="b">
        <f>IFERROR(__xludf.DUMMYFUNCTION("""COMPUTED_VALUE"""),FALSE)</f>
        <v>0</v>
      </c>
    </row>
    <row r="1509">
      <c r="A1509" s="16"/>
      <c r="B1509" s="16"/>
      <c r="C1509" s="16"/>
      <c r="D1509" s="16"/>
      <c r="E1509" s="16">
        <f>IFERROR(__xludf.DUMMYFUNCTION("""COMPUTED_VALUE"""),1.0)</f>
        <v>1</v>
      </c>
      <c r="F1509" s="108">
        <f>IFERROR(__xludf.DUMMYFUNCTION("""COMPUTED_VALUE"""),0.0)</f>
        <v>0</v>
      </c>
      <c r="G1509" s="16"/>
      <c r="H1509" s="16"/>
      <c r="I1509" s="16"/>
      <c r="J1509" s="16"/>
      <c r="K1509" s="16"/>
      <c r="L1509" s="16"/>
      <c r="M1509" s="16"/>
      <c r="N1509" s="16"/>
      <c r="O1509" s="16"/>
      <c r="P1509" s="16"/>
      <c r="Q1509" s="16"/>
      <c r="R1509" s="16"/>
      <c r="S1509" s="16"/>
      <c r="T1509" s="16"/>
      <c r="U1509" s="16"/>
      <c r="V1509" s="16"/>
      <c r="W1509" s="16"/>
      <c r="X1509" s="16"/>
      <c r="Y1509" s="16"/>
      <c r="Z1509" s="16"/>
      <c r="AA1509" s="16"/>
      <c r="AB1509" s="16"/>
      <c r="AC1509" s="16"/>
      <c r="AD1509" s="16"/>
      <c r="AE1509" s="16"/>
      <c r="AF1509" s="16"/>
      <c r="AG1509" s="16"/>
      <c r="AH1509" s="16" t="b">
        <f>IFERROR(__xludf.DUMMYFUNCTION("""COMPUTED_VALUE"""),FALSE)</f>
        <v>0</v>
      </c>
    </row>
    <row r="1510">
      <c r="A1510" s="16"/>
      <c r="B1510" s="16"/>
      <c r="C1510" s="16"/>
      <c r="D1510" s="16"/>
      <c r="E1510" s="16">
        <f>IFERROR(__xludf.DUMMYFUNCTION("""COMPUTED_VALUE"""),1.0)</f>
        <v>1</v>
      </c>
      <c r="F1510" s="108">
        <f>IFERROR(__xludf.DUMMYFUNCTION("""COMPUTED_VALUE"""),0.0)</f>
        <v>0</v>
      </c>
      <c r="G1510" s="16"/>
      <c r="H1510" s="16"/>
      <c r="I1510" s="16"/>
      <c r="J1510" s="16"/>
      <c r="K1510" s="16"/>
      <c r="L1510" s="16"/>
      <c r="M1510" s="16"/>
      <c r="N1510" s="16"/>
      <c r="O1510" s="16"/>
      <c r="P1510" s="16"/>
      <c r="Q1510" s="16"/>
      <c r="R1510" s="16"/>
      <c r="S1510" s="16"/>
      <c r="T1510" s="16"/>
      <c r="U1510" s="16"/>
      <c r="V1510" s="16"/>
      <c r="W1510" s="16"/>
      <c r="X1510" s="16"/>
      <c r="Y1510" s="16"/>
      <c r="Z1510" s="16"/>
      <c r="AA1510" s="16"/>
      <c r="AB1510" s="16"/>
      <c r="AC1510" s="16"/>
      <c r="AD1510" s="16"/>
      <c r="AE1510" s="16"/>
      <c r="AF1510" s="16"/>
      <c r="AG1510" s="16"/>
      <c r="AH1510" s="16" t="b">
        <f>IFERROR(__xludf.DUMMYFUNCTION("""COMPUTED_VALUE"""),FALSE)</f>
        <v>0</v>
      </c>
    </row>
    <row r="1511">
      <c r="A1511" s="16"/>
      <c r="B1511" s="16"/>
      <c r="C1511" s="16"/>
      <c r="D1511" s="16"/>
      <c r="E1511" s="16">
        <f>IFERROR(__xludf.DUMMYFUNCTION("""COMPUTED_VALUE"""),1.0)</f>
        <v>1</v>
      </c>
      <c r="F1511" s="108">
        <f>IFERROR(__xludf.DUMMYFUNCTION("""COMPUTED_VALUE"""),0.0)</f>
        <v>0</v>
      </c>
      <c r="G1511" s="16"/>
      <c r="H1511" s="16"/>
      <c r="I1511" s="16"/>
      <c r="J1511" s="16"/>
      <c r="K1511" s="16"/>
      <c r="L1511" s="16"/>
      <c r="M1511" s="16"/>
      <c r="N1511" s="16"/>
      <c r="O1511" s="16"/>
      <c r="P1511" s="16"/>
      <c r="Q1511" s="16"/>
      <c r="R1511" s="16"/>
      <c r="S1511" s="16"/>
      <c r="T1511" s="16"/>
      <c r="U1511" s="16"/>
      <c r="V1511" s="16"/>
      <c r="W1511" s="16"/>
      <c r="X1511" s="16"/>
      <c r="Y1511" s="16"/>
      <c r="Z1511" s="16"/>
      <c r="AA1511" s="16"/>
      <c r="AB1511" s="16"/>
      <c r="AC1511" s="16"/>
      <c r="AD1511" s="16"/>
      <c r="AE1511" s="16"/>
      <c r="AF1511" s="16"/>
      <c r="AG1511" s="16"/>
      <c r="AH1511" s="16" t="b">
        <f>IFERROR(__xludf.DUMMYFUNCTION("""COMPUTED_VALUE"""),FALSE)</f>
        <v>0</v>
      </c>
    </row>
    <row r="1512">
      <c r="A1512" s="16"/>
      <c r="B1512" s="16"/>
      <c r="C1512" s="16"/>
      <c r="D1512" s="16"/>
      <c r="E1512" s="16">
        <f>IFERROR(__xludf.DUMMYFUNCTION("""COMPUTED_VALUE"""),1.0)</f>
        <v>1</v>
      </c>
      <c r="F1512" s="108">
        <f>IFERROR(__xludf.DUMMYFUNCTION("""COMPUTED_VALUE"""),0.0)</f>
        <v>0</v>
      </c>
      <c r="G1512" s="16"/>
      <c r="H1512" s="16"/>
      <c r="I1512" s="16"/>
      <c r="J1512" s="16"/>
      <c r="K1512" s="16"/>
      <c r="L1512" s="16"/>
      <c r="M1512" s="16"/>
      <c r="N1512" s="16"/>
      <c r="O1512" s="16"/>
      <c r="P1512" s="16"/>
      <c r="Q1512" s="16"/>
      <c r="R1512" s="16"/>
      <c r="S1512" s="16"/>
      <c r="T1512" s="16"/>
      <c r="U1512" s="16"/>
      <c r="V1512" s="16"/>
      <c r="W1512" s="16"/>
      <c r="X1512" s="16"/>
      <c r="Y1512" s="16"/>
      <c r="Z1512" s="16"/>
      <c r="AA1512" s="16"/>
      <c r="AB1512" s="16"/>
      <c r="AC1512" s="16"/>
      <c r="AD1512" s="16"/>
      <c r="AE1512" s="16"/>
      <c r="AF1512" s="16"/>
      <c r="AG1512" s="16"/>
      <c r="AH1512" s="16" t="b">
        <f>IFERROR(__xludf.DUMMYFUNCTION("""COMPUTED_VALUE"""),FALSE)</f>
        <v>0</v>
      </c>
    </row>
    <row r="1513">
      <c r="A1513" s="16"/>
      <c r="B1513" s="16"/>
      <c r="C1513" s="16"/>
      <c r="D1513" s="16"/>
      <c r="E1513" s="16">
        <f>IFERROR(__xludf.DUMMYFUNCTION("""COMPUTED_VALUE"""),1.0)</f>
        <v>1</v>
      </c>
      <c r="F1513" s="108">
        <f>IFERROR(__xludf.DUMMYFUNCTION("""COMPUTED_VALUE"""),0.0)</f>
        <v>0</v>
      </c>
      <c r="G1513" s="16"/>
      <c r="H1513" s="16"/>
      <c r="I1513" s="16"/>
      <c r="J1513" s="16"/>
      <c r="K1513" s="16"/>
      <c r="L1513" s="16"/>
      <c r="M1513" s="16"/>
      <c r="N1513" s="16"/>
      <c r="O1513" s="16"/>
      <c r="P1513" s="16"/>
      <c r="Q1513" s="16"/>
      <c r="R1513" s="16"/>
      <c r="S1513" s="16"/>
      <c r="T1513" s="16"/>
      <c r="U1513" s="16"/>
      <c r="V1513" s="16"/>
      <c r="W1513" s="16"/>
      <c r="X1513" s="16"/>
      <c r="Y1513" s="16"/>
      <c r="Z1513" s="16"/>
      <c r="AA1513" s="16"/>
      <c r="AB1513" s="16"/>
      <c r="AC1513" s="16"/>
      <c r="AD1513" s="16"/>
      <c r="AE1513" s="16"/>
      <c r="AF1513" s="16"/>
      <c r="AG1513" s="16"/>
      <c r="AH1513" s="16" t="b">
        <f>IFERROR(__xludf.DUMMYFUNCTION("""COMPUTED_VALUE"""),FALSE)</f>
        <v>0</v>
      </c>
    </row>
    <row r="1514">
      <c r="A1514" s="16"/>
      <c r="B1514" s="16"/>
      <c r="C1514" s="16"/>
      <c r="D1514" s="16"/>
      <c r="E1514" s="16">
        <f>IFERROR(__xludf.DUMMYFUNCTION("""COMPUTED_VALUE"""),1.0)</f>
        <v>1</v>
      </c>
      <c r="F1514" s="108">
        <f>IFERROR(__xludf.DUMMYFUNCTION("""COMPUTED_VALUE"""),0.0)</f>
        <v>0</v>
      </c>
      <c r="G1514" s="16"/>
      <c r="H1514" s="16"/>
      <c r="I1514" s="16"/>
      <c r="J1514" s="16"/>
      <c r="K1514" s="16"/>
      <c r="L1514" s="16"/>
      <c r="M1514" s="16"/>
      <c r="N1514" s="16"/>
      <c r="O1514" s="16"/>
      <c r="P1514" s="16"/>
      <c r="Q1514" s="16"/>
      <c r="R1514" s="16"/>
      <c r="S1514" s="16"/>
      <c r="T1514" s="16"/>
      <c r="U1514" s="16"/>
      <c r="V1514" s="16"/>
      <c r="W1514" s="16"/>
      <c r="X1514" s="16"/>
      <c r="Y1514" s="16"/>
      <c r="Z1514" s="16"/>
      <c r="AA1514" s="16"/>
      <c r="AB1514" s="16"/>
      <c r="AC1514" s="16"/>
      <c r="AD1514" s="16"/>
      <c r="AE1514" s="16"/>
      <c r="AF1514" s="16"/>
      <c r="AG1514" s="16"/>
      <c r="AH1514" s="16" t="b">
        <f>IFERROR(__xludf.DUMMYFUNCTION("""COMPUTED_VALUE"""),FALSE)</f>
        <v>0</v>
      </c>
    </row>
    <row r="1515">
      <c r="A1515" s="16"/>
      <c r="B1515" s="16"/>
      <c r="C1515" s="16"/>
      <c r="D1515" s="16"/>
      <c r="E1515" s="16">
        <f>IFERROR(__xludf.DUMMYFUNCTION("""COMPUTED_VALUE"""),1.0)</f>
        <v>1</v>
      </c>
      <c r="F1515" s="108">
        <f>IFERROR(__xludf.DUMMYFUNCTION("""COMPUTED_VALUE"""),0.0)</f>
        <v>0</v>
      </c>
      <c r="G1515" s="16"/>
      <c r="H1515" s="16"/>
      <c r="I1515" s="16"/>
      <c r="J1515" s="16"/>
      <c r="K1515" s="16"/>
      <c r="L1515" s="16"/>
      <c r="M1515" s="16"/>
      <c r="N1515" s="16"/>
      <c r="O1515" s="16"/>
      <c r="P1515" s="16"/>
      <c r="Q1515" s="16"/>
      <c r="R1515" s="16"/>
      <c r="S1515" s="16"/>
      <c r="T1515" s="16"/>
      <c r="U1515" s="16"/>
      <c r="V1515" s="16"/>
      <c r="W1515" s="16"/>
      <c r="X1515" s="16"/>
      <c r="Y1515" s="16"/>
      <c r="Z1515" s="16"/>
      <c r="AA1515" s="16"/>
      <c r="AB1515" s="16"/>
      <c r="AC1515" s="16"/>
      <c r="AD1515" s="16"/>
      <c r="AE1515" s="16"/>
      <c r="AF1515" s="16"/>
      <c r="AG1515" s="16"/>
      <c r="AH1515" s="16" t="b">
        <f>IFERROR(__xludf.DUMMYFUNCTION("""COMPUTED_VALUE"""),FALSE)</f>
        <v>0</v>
      </c>
    </row>
    <row r="1516">
      <c r="A1516" s="16"/>
      <c r="B1516" s="16"/>
      <c r="C1516" s="16"/>
      <c r="D1516" s="16"/>
      <c r="E1516" s="16">
        <f>IFERROR(__xludf.DUMMYFUNCTION("""COMPUTED_VALUE"""),1.0)</f>
        <v>1</v>
      </c>
      <c r="F1516" s="108">
        <f>IFERROR(__xludf.DUMMYFUNCTION("""COMPUTED_VALUE"""),0.0)</f>
        <v>0</v>
      </c>
      <c r="G1516" s="16"/>
      <c r="H1516" s="16"/>
      <c r="I1516" s="16"/>
      <c r="J1516" s="16"/>
      <c r="K1516" s="16"/>
      <c r="L1516" s="16"/>
      <c r="M1516" s="16"/>
      <c r="N1516" s="16"/>
      <c r="O1516" s="16"/>
      <c r="P1516" s="16"/>
      <c r="Q1516" s="16"/>
      <c r="R1516" s="16"/>
      <c r="S1516" s="16"/>
      <c r="T1516" s="16"/>
      <c r="U1516" s="16"/>
      <c r="V1516" s="16"/>
      <c r="W1516" s="16"/>
      <c r="X1516" s="16"/>
      <c r="Y1516" s="16"/>
      <c r="Z1516" s="16"/>
      <c r="AA1516" s="16"/>
      <c r="AB1516" s="16"/>
      <c r="AC1516" s="16"/>
      <c r="AD1516" s="16"/>
      <c r="AE1516" s="16"/>
      <c r="AF1516" s="16"/>
      <c r="AG1516" s="16"/>
      <c r="AH1516" s="16" t="b">
        <f>IFERROR(__xludf.DUMMYFUNCTION("""COMPUTED_VALUE"""),FALSE)</f>
        <v>0</v>
      </c>
    </row>
    <row r="1517">
      <c r="A1517" s="16"/>
      <c r="B1517" s="16"/>
      <c r="C1517" s="16"/>
      <c r="D1517" s="16"/>
      <c r="E1517" s="16">
        <f>IFERROR(__xludf.DUMMYFUNCTION("""COMPUTED_VALUE"""),1.0)</f>
        <v>1</v>
      </c>
      <c r="F1517" s="108">
        <f>IFERROR(__xludf.DUMMYFUNCTION("""COMPUTED_VALUE"""),0.0)</f>
        <v>0</v>
      </c>
      <c r="G1517" s="16"/>
      <c r="H1517" s="16"/>
      <c r="I1517" s="16"/>
      <c r="J1517" s="16"/>
      <c r="K1517" s="16"/>
      <c r="L1517" s="16"/>
      <c r="M1517" s="16"/>
      <c r="N1517" s="16"/>
      <c r="O1517" s="16"/>
      <c r="P1517" s="16"/>
      <c r="Q1517" s="16"/>
      <c r="R1517" s="16"/>
      <c r="S1517" s="16"/>
      <c r="T1517" s="16"/>
      <c r="U1517" s="16"/>
      <c r="V1517" s="16"/>
      <c r="W1517" s="16"/>
      <c r="X1517" s="16"/>
      <c r="Y1517" s="16"/>
      <c r="Z1517" s="16"/>
      <c r="AA1517" s="16"/>
      <c r="AB1517" s="16"/>
      <c r="AC1517" s="16"/>
      <c r="AD1517" s="16"/>
      <c r="AE1517" s="16"/>
      <c r="AF1517" s="16"/>
      <c r="AG1517" s="16"/>
      <c r="AH1517" s="16" t="b">
        <f>IFERROR(__xludf.DUMMYFUNCTION("""COMPUTED_VALUE"""),FALSE)</f>
        <v>0</v>
      </c>
    </row>
    <row r="1518">
      <c r="A1518" s="16"/>
      <c r="B1518" s="16"/>
      <c r="C1518" s="16"/>
      <c r="D1518" s="16"/>
      <c r="E1518" s="16">
        <f>IFERROR(__xludf.DUMMYFUNCTION("""COMPUTED_VALUE"""),1.0)</f>
        <v>1</v>
      </c>
      <c r="F1518" s="108">
        <f>IFERROR(__xludf.DUMMYFUNCTION("""COMPUTED_VALUE"""),0.0)</f>
        <v>0</v>
      </c>
      <c r="G1518" s="16"/>
      <c r="H1518" s="16"/>
      <c r="I1518" s="16"/>
      <c r="J1518" s="16"/>
      <c r="K1518" s="16"/>
      <c r="L1518" s="16"/>
      <c r="M1518" s="16"/>
      <c r="N1518" s="16"/>
      <c r="O1518" s="16"/>
      <c r="P1518" s="16"/>
      <c r="Q1518" s="16"/>
      <c r="R1518" s="16"/>
      <c r="S1518" s="16"/>
      <c r="T1518" s="16"/>
      <c r="U1518" s="16"/>
      <c r="V1518" s="16"/>
      <c r="W1518" s="16"/>
      <c r="X1518" s="16"/>
      <c r="Y1518" s="16"/>
      <c r="Z1518" s="16"/>
      <c r="AA1518" s="16"/>
      <c r="AB1518" s="16"/>
      <c r="AC1518" s="16"/>
      <c r="AD1518" s="16"/>
      <c r="AE1518" s="16"/>
      <c r="AF1518" s="16"/>
      <c r="AG1518" s="16"/>
      <c r="AH1518" s="16" t="b">
        <f>IFERROR(__xludf.DUMMYFUNCTION("""COMPUTED_VALUE"""),FALSE)</f>
        <v>0</v>
      </c>
    </row>
    <row r="1519">
      <c r="A1519" s="16"/>
      <c r="B1519" s="16"/>
      <c r="C1519" s="16"/>
      <c r="D1519" s="16"/>
      <c r="E1519" s="16">
        <f>IFERROR(__xludf.DUMMYFUNCTION("""COMPUTED_VALUE"""),1.0)</f>
        <v>1</v>
      </c>
      <c r="F1519" s="108">
        <f>IFERROR(__xludf.DUMMYFUNCTION("""COMPUTED_VALUE"""),0.0)</f>
        <v>0</v>
      </c>
      <c r="G1519" s="16"/>
      <c r="H1519" s="16"/>
      <c r="I1519" s="16"/>
      <c r="J1519" s="16"/>
      <c r="K1519" s="16"/>
      <c r="L1519" s="16"/>
      <c r="M1519" s="16"/>
      <c r="N1519" s="16"/>
      <c r="O1519" s="16"/>
      <c r="P1519" s="16"/>
      <c r="Q1519" s="16"/>
      <c r="R1519" s="16"/>
      <c r="S1519" s="16"/>
      <c r="T1519" s="16"/>
      <c r="U1519" s="16"/>
      <c r="V1519" s="16"/>
      <c r="W1519" s="16"/>
      <c r="X1519" s="16"/>
      <c r="Y1519" s="16"/>
      <c r="Z1519" s="16"/>
      <c r="AA1519" s="16"/>
      <c r="AB1519" s="16"/>
      <c r="AC1519" s="16"/>
      <c r="AD1519" s="16"/>
      <c r="AE1519" s="16"/>
      <c r="AF1519" s="16"/>
      <c r="AG1519" s="16"/>
      <c r="AH1519" s="16" t="b">
        <f>IFERROR(__xludf.DUMMYFUNCTION("""COMPUTED_VALUE"""),FALSE)</f>
        <v>0</v>
      </c>
    </row>
    <row r="1520">
      <c r="A1520" s="16"/>
      <c r="B1520" s="16"/>
      <c r="C1520" s="16"/>
      <c r="D1520" s="16"/>
      <c r="E1520" s="16">
        <f>IFERROR(__xludf.DUMMYFUNCTION("""COMPUTED_VALUE"""),1.0)</f>
        <v>1</v>
      </c>
      <c r="F1520" s="108">
        <f>IFERROR(__xludf.DUMMYFUNCTION("""COMPUTED_VALUE"""),0.0)</f>
        <v>0</v>
      </c>
      <c r="G1520" s="16"/>
      <c r="H1520" s="16"/>
      <c r="I1520" s="16"/>
      <c r="J1520" s="16"/>
      <c r="K1520" s="16"/>
      <c r="L1520" s="16"/>
      <c r="M1520" s="16"/>
      <c r="N1520" s="16"/>
      <c r="O1520" s="16"/>
      <c r="P1520" s="16"/>
      <c r="Q1520" s="16"/>
      <c r="R1520" s="16"/>
      <c r="S1520" s="16"/>
      <c r="T1520" s="16"/>
      <c r="U1520" s="16"/>
      <c r="V1520" s="16"/>
      <c r="W1520" s="16"/>
      <c r="X1520" s="16"/>
      <c r="Y1520" s="16"/>
      <c r="Z1520" s="16"/>
      <c r="AA1520" s="16"/>
      <c r="AB1520" s="16"/>
      <c r="AC1520" s="16"/>
      <c r="AD1520" s="16"/>
      <c r="AE1520" s="16"/>
      <c r="AF1520" s="16"/>
      <c r="AG1520" s="16"/>
      <c r="AH1520" s="16" t="b">
        <f>IFERROR(__xludf.DUMMYFUNCTION("""COMPUTED_VALUE"""),FALSE)</f>
        <v>0</v>
      </c>
    </row>
    <row r="1521">
      <c r="A1521" s="16"/>
      <c r="B1521" s="16"/>
      <c r="C1521" s="16"/>
      <c r="D1521" s="16"/>
      <c r="E1521" s="16">
        <f>IFERROR(__xludf.DUMMYFUNCTION("""COMPUTED_VALUE"""),1.0)</f>
        <v>1</v>
      </c>
      <c r="F1521" s="108">
        <f>IFERROR(__xludf.DUMMYFUNCTION("""COMPUTED_VALUE"""),0.0)</f>
        <v>0</v>
      </c>
      <c r="G1521" s="16"/>
      <c r="H1521" s="16"/>
      <c r="I1521" s="16"/>
      <c r="J1521" s="16"/>
      <c r="K1521" s="16"/>
      <c r="L1521" s="16"/>
      <c r="M1521" s="16"/>
      <c r="N1521" s="16"/>
      <c r="O1521" s="16"/>
      <c r="P1521" s="16"/>
      <c r="Q1521" s="16"/>
      <c r="R1521" s="16"/>
      <c r="S1521" s="16"/>
      <c r="T1521" s="16"/>
      <c r="U1521" s="16"/>
      <c r="V1521" s="16"/>
      <c r="W1521" s="16"/>
      <c r="X1521" s="16"/>
      <c r="Y1521" s="16"/>
      <c r="Z1521" s="16"/>
      <c r="AA1521" s="16"/>
      <c r="AB1521" s="16"/>
      <c r="AC1521" s="16"/>
      <c r="AD1521" s="16"/>
      <c r="AE1521" s="16"/>
      <c r="AF1521" s="16"/>
      <c r="AG1521" s="16"/>
      <c r="AH1521" s="16" t="b">
        <f>IFERROR(__xludf.DUMMYFUNCTION("""COMPUTED_VALUE"""),FALSE)</f>
        <v>0</v>
      </c>
    </row>
    <row r="1522">
      <c r="A1522" s="16"/>
      <c r="B1522" s="16"/>
      <c r="C1522" s="16"/>
      <c r="D1522" s="16"/>
      <c r="E1522" s="16">
        <f>IFERROR(__xludf.DUMMYFUNCTION("""COMPUTED_VALUE"""),1.0)</f>
        <v>1</v>
      </c>
      <c r="F1522" s="108">
        <f>IFERROR(__xludf.DUMMYFUNCTION("""COMPUTED_VALUE"""),0.0)</f>
        <v>0</v>
      </c>
      <c r="G1522" s="16"/>
      <c r="H1522" s="16"/>
      <c r="I1522" s="16"/>
      <c r="J1522" s="16"/>
      <c r="K1522" s="16"/>
      <c r="L1522" s="16"/>
      <c r="M1522" s="16"/>
      <c r="N1522" s="16"/>
      <c r="O1522" s="16"/>
      <c r="P1522" s="16"/>
      <c r="Q1522" s="16"/>
      <c r="R1522" s="16"/>
      <c r="S1522" s="16"/>
      <c r="T1522" s="16"/>
      <c r="U1522" s="16"/>
      <c r="V1522" s="16"/>
      <c r="W1522" s="16"/>
      <c r="X1522" s="16"/>
      <c r="Y1522" s="16"/>
      <c r="Z1522" s="16"/>
      <c r="AA1522" s="16"/>
      <c r="AB1522" s="16"/>
      <c r="AC1522" s="16"/>
      <c r="AD1522" s="16"/>
      <c r="AE1522" s="16"/>
      <c r="AF1522" s="16"/>
      <c r="AG1522" s="16"/>
      <c r="AH1522" s="16" t="b">
        <f>IFERROR(__xludf.DUMMYFUNCTION("""COMPUTED_VALUE"""),FALSE)</f>
        <v>0</v>
      </c>
    </row>
    <row r="1523">
      <c r="A1523" s="16"/>
      <c r="B1523" s="16"/>
      <c r="C1523" s="16"/>
      <c r="D1523" s="16"/>
      <c r="E1523" s="16">
        <f>IFERROR(__xludf.DUMMYFUNCTION("""COMPUTED_VALUE"""),1.0)</f>
        <v>1</v>
      </c>
      <c r="F1523" s="108">
        <f>IFERROR(__xludf.DUMMYFUNCTION("""COMPUTED_VALUE"""),0.0)</f>
        <v>0</v>
      </c>
      <c r="G1523" s="16"/>
      <c r="H1523" s="16"/>
      <c r="I1523" s="16"/>
      <c r="J1523" s="16"/>
      <c r="K1523" s="16"/>
      <c r="L1523" s="16"/>
      <c r="M1523" s="16"/>
      <c r="N1523" s="16"/>
      <c r="O1523" s="16"/>
      <c r="P1523" s="16"/>
      <c r="Q1523" s="16"/>
      <c r="R1523" s="16"/>
      <c r="S1523" s="16"/>
      <c r="T1523" s="16"/>
      <c r="U1523" s="16"/>
      <c r="V1523" s="16"/>
      <c r="W1523" s="16"/>
      <c r="X1523" s="16"/>
      <c r="Y1523" s="16"/>
      <c r="Z1523" s="16"/>
      <c r="AA1523" s="16"/>
      <c r="AB1523" s="16"/>
      <c r="AC1523" s="16"/>
      <c r="AD1523" s="16"/>
      <c r="AE1523" s="16"/>
      <c r="AF1523" s="16"/>
      <c r="AG1523" s="16"/>
      <c r="AH1523" s="16" t="b">
        <f>IFERROR(__xludf.DUMMYFUNCTION("""COMPUTED_VALUE"""),FALSE)</f>
        <v>0</v>
      </c>
    </row>
    <row r="1524">
      <c r="A1524" s="16"/>
      <c r="B1524" s="16"/>
      <c r="C1524" s="16"/>
      <c r="D1524" s="16"/>
      <c r="E1524" s="16">
        <f>IFERROR(__xludf.DUMMYFUNCTION("""COMPUTED_VALUE"""),1.0)</f>
        <v>1</v>
      </c>
      <c r="F1524" s="108">
        <f>IFERROR(__xludf.DUMMYFUNCTION("""COMPUTED_VALUE"""),0.0)</f>
        <v>0</v>
      </c>
      <c r="G1524" s="16"/>
      <c r="H1524" s="16"/>
      <c r="I1524" s="16"/>
      <c r="J1524" s="16"/>
      <c r="K1524" s="16"/>
      <c r="L1524" s="16"/>
      <c r="M1524" s="16"/>
      <c r="N1524" s="16"/>
      <c r="O1524" s="16"/>
      <c r="P1524" s="16"/>
      <c r="Q1524" s="16"/>
      <c r="R1524" s="16"/>
      <c r="S1524" s="16"/>
      <c r="T1524" s="16"/>
      <c r="U1524" s="16"/>
      <c r="V1524" s="16"/>
      <c r="W1524" s="16"/>
      <c r="X1524" s="16"/>
      <c r="Y1524" s="16"/>
      <c r="Z1524" s="16"/>
      <c r="AA1524" s="16"/>
      <c r="AB1524" s="16"/>
      <c r="AC1524" s="16"/>
      <c r="AD1524" s="16"/>
      <c r="AE1524" s="16"/>
      <c r="AF1524" s="16"/>
      <c r="AG1524" s="16"/>
      <c r="AH1524" s="16" t="b">
        <f>IFERROR(__xludf.DUMMYFUNCTION("""COMPUTED_VALUE"""),FALSE)</f>
        <v>0</v>
      </c>
    </row>
    <row r="1525">
      <c r="A1525" s="16"/>
      <c r="B1525" s="16"/>
      <c r="C1525" s="16"/>
      <c r="D1525" s="16"/>
      <c r="E1525" s="16">
        <f>IFERROR(__xludf.DUMMYFUNCTION("""COMPUTED_VALUE"""),1.0)</f>
        <v>1</v>
      </c>
      <c r="F1525" s="108">
        <f>IFERROR(__xludf.DUMMYFUNCTION("""COMPUTED_VALUE"""),0.0)</f>
        <v>0</v>
      </c>
      <c r="G1525" s="16"/>
      <c r="H1525" s="16"/>
      <c r="I1525" s="16"/>
      <c r="J1525" s="16"/>
      <c r="K1525" s="16"/>
      <c r="L1525" s="16"/>
      <c r="M1525" s="16"/>
      <c r="N1525" s="16"/>
      <c r="O1525" s="16"/>
      <c r="P1525" s="16"/>
      <c r="Q1525" s="16"/>
      <c r="R1525" s="16"/>
      <c r="S1525" s="16"/>
      <c r="T1525" s="16"/>
      <c r="U1525" s="16"/>
      <c r="V1525" s="16"/>
      <c r="W1525" s="16"/>
      <c r="X1525" s="16"/>
      <c r="Y1525" s="16"/>
      <c r="Z1525" s="16"/>
      <c r="AA1525" s="16"/>
      <c r="AB1525" s="16"/>
      <c r="AC1525" s="16"/>
      <c r="AD1525" s="16"/>
      <c r="AE1525" s="16"/>
      <c r="AF1525" s="16"/>
      <c r="AG1525" s="16"/>
      <c r="AH1525" s="16" t="b">
        <f>IFERROR(__xludf.DUMMYFUNCTION("""COMPUTED_VALUE"""),FALSE)</f>
        <v>0</v>
      </c>
    </row>
    <row r="1526">
      <c r="A1526" s="16"/>
      <c r="B1526" s="16"/>
      <c r="C1526" s="16"/>
      <c r="D1526" s="16"/>
      <c r="E1526" s="16">
        <f>IFERROR(__xludf.DUMMYFUNCTION("""COMPUTED_VALUE"""),1.0)</f>
        <v>1</v>
      </c>
      <c r="F1526" s="108">
        <f>IFERROR(__xludf.DUMMYFUNCTION("""COMPUTED_VALUE"""),0.0)</f>
        <v>0</v>
      </c>
      <c r="G1526" s="16"/>
      <c r="H1526" s="16"/>
      <c r="I1526" s="16"/>
      <c r="J1526" s="16"/>
      <c r="K1526" s="16"/>
      <c r="L1526" s="16"/>
      <c r="M1526" s="16"/>
      <c r="N1526" s="16"/>
      <c r="O1526" s="16"/>
      <c r="P1526" s="16"/>
      <c r="Q1526" s="16"/>
      <c r="R1526" s="16"/>
      <c r="S1526" s="16"/>
      <c r="T1526" s="16"/>
      <c r="U1526" s="16"/>
      <c r="V1526" s="16"/>
      <c r="W1526" s="16"/>
      <c r="X1526" s="16"/>
      <c r="Y1526" s="16"/>
      <c r="Z1526" s="16"/>
      <c r="AA1526" s="16"/>
      <c r="AB1526" s="16"/>
      <c r="AC1526" s="16"/>
      <c r="AD1526" s="16"/>
      <c r="AE1526" s="16"/>
      <c r="AF1526" s="16"/>
      <c r="AG1526" s="16"/>
      <c r="AH1526" s="16" t="b">
        <f>IFERROR(__xludf.DUMMYFUNCTION("""COMPUTED_VALUE"""),FALSE)</f>
        <v>0</v>
      </c>
    </row>
    <row r="1527">
      <c r="A1527" s="16"/>
      <c r="B1527" s="16"/>
      <c r="C1527" s="16"/>
      <c r="D1527" s="16"/>
      <c r="E1527" s="16">
        <f>IFERROR(__xludf.DUMMYFUNCTION("""COMPUTED_VALUE"""),1.0)</f>
        <v>1</v>
      </c>
      <c r="F1527" s="108">
        <f>IFERROR(__xludf.DUMMYFUNCTION("""COMPUTED_VALUE"""),0.0)</f>
        <v>0</v>
      </c>
      <c r="G1527" s="16"/>
      <c r="H1527" s="16"/>
      <c r="I1527" s="16"/>
      <c r="J1527" s="16"/>
      <c r="K1527" s="16"/>
      <c r="L1527" s="16"/>
      <c r="M1527" s="16"/>
      <c r="N1527" s="16"/>
      <c r="O1527" s="16"/>
      <c r="P1527" s="16"/>
      <c r="Q1527" s="16"/>
      <c r="R1527" s="16"/>
      <c r="S1527" s="16"/>
      <c r="T1527" s="16"/>
      <c r="U1527" s="16"/>
      <c r="V1527" s="16"/>
      <c r="W1527" s="16"/>
      <c r="X1527" s="16"/>
      <c r="Y1527" s="16"/>
      <c r="Z1527" s="16"/>
      <c r="AA1527" s="16"/>
      <c r="AB1527" s="16"/>
      <c r="AC1527" s="16"/>
      <c r="AD1527" s="16"/>
      <c r="AE1527" s="16"/>
      <c r="AF1527" s="16"/>
      <c r="AG1527" s="16"/>
      <c r="AH1527" s="16" t="b">
        <f>IFERROR(__xludf.DUMMYFUNCTION("""COMPUTED_VALUE"""),FALSE)</f>
        <v>0</v>
      </c>
    </row>
    <row r="1528">
      <c r="A1528" s="16"/>
      <c r="B1528" s="16"/>
      <c r="C1528" s="16"/>
      <c r="D1528" s="16"/>
      <c r="E1528" s="16">
        <f>IFERROR(__xludf.DUMMYFUNCTION("""COMPUTED_VALUE"""),1.0)</f>
        <v>1</v>
      </c>
      <c r="F1528" s="108">
        <f>IFERROR(__xludf.DUMMYFUNCTION("""COMPUTED_VALUE"""),0.0)</f>
        <v>0</v>
      </c>
      <c r="G1528" s="16"/>
      <c r="H1528" s="16"/>
      <c r="I1528" s="16"/>
      <c r="J1528" s="16"/>
      <c r="K1528" s="16"/>
      <c r="L1528" s="16"/>
      <c r="M1528" s="16"/>
      <c r="N1528" s="16"/>
      <c r="O1528" s="16"/>
      <c r="P1528" s="16"/>
      <c r="Q1528" s="16"/>
      <c r="R1528" s="16"/>
      <c r="S1528" s="16"/>
      <c r="T1528" s="16"/>
      <c r="U1528" s="16"/>
      <c r="V1528" s="16"/>
      <c r="W1528" s="16"/>
      <c r="X1528" s="16"/>
      <c r="Y1528" s="16"/>
      <c r="Z1528" s="16"/>
      <c r="AA1528" s="16"/>
      <c r="AB1528" s="16"/>
      <c r="AC1528" s="16"/>
      <c r="AD1528" s="16"/>
      <c r="AE1528" s="16"/>
      <c r="AF1528" s="16"/>
      <c r="AG1528" s="16"/>
      <c r="AH1528" s="16" t="b">
        <f>IFERROR(__xludf.DUMMYFUNCTION("""COMPUTED_VALUE"""),FALSE)</f>
        <v>0</v>
      </c>
    </row>
    <row r="1529">
      <c r="A1529" s="16"/>
      <c r="B1529" s="16"/>
      <c r="C1529" s="16"/>
      <c r="D1529" s="16"/>
      <c r="E1529" s="16">
        <f>IFERROR(__xludf.DUMMYFUNCTION("""COMPUTED_VALUE"""),1.0)</f>
        <v>1</v>
      </c>
      <c r="F1529" s="108">
        <f>IFERROR(__xludf.DUMMYFUNCTION("""COMPUTED_VALUE"""),0.0)</f>
        <v>0</v>
      </c>
      <c r="G1529" s="16"/>
      <c r="H1529" s="16"/>
      <c r="I1529" s="16"/>
      <c r="J1529" s="16"/>
      <c r="K1529" s="16"/>
      <c r="L1529" s="16"/>
      <c r="M1529" s="16"/>
      <c r="N1529" s="16"/>
      <c r="O1529" s="16"/>
      <c r="P1529" s="16"/>
      <c r="Q1529" s="16"/>
      <c r="R1529" s="16"/>
      <c r="S1529" s="16"/>
      <c r="T1529" s="16"/>
      <c r="U1529" s="16"/>
      <c r="V1529" s="16"/>
      <c r="W1529" s="16"/>
      <c r="X1529" s="16"/>
      <c r="Y1529" s="16"/>
      <c r="Z1529" s="16"/>
      <c r="AA1529" s="16"/>
      <c r="AB1529" s="16"/>
      <c r="AC1529" s="16"/>
      <c r="AD1529" s="16"/>
      <c r="AE1529" s="16"/>
      <c r="AF1529" s="16"/>
      <c r="AG1529" s="16"/>
      <c r="AH1529" s="16" t="b">
        <f>IFERROR(__xludf.DUMMYFUNCTION("""COMPUTED_VALUE"""),FALSE)</f>
        <v>0</v>
      </c>
    </row>
    <row r="1530">
      <c r="A1530" s="16"/>
      <c r="B1530" s="16"/>
      <c r="C1530" s="16"/>
      <c r="D1530" s="16"/>
      <c r="E1530" s="16">
        <f>IFERROR(__xludf.DUMMYFUNCTION("""COMPUTED_VALUE"""),1.0)</f>
        <v>1</v>
      </c>
      <c r="F1530" s="108">
        <f>IFERROR(__xludf.DUMMYFUNCTION("""COMPUTED_VALUE"""),0.0)</f>
        <v>0</v>
      </c>
      <c r="G1530" s="16"/>
      <c r="H1530" s="16"/>
      <c r="I1530" s="16"/>
      <c r="J1530" s="16"/>
      <c r="K1530" s="16"/>
      <c r="L1530" s="16"/>
      <c r="M1530" s="16"/>
      <c r="N1530" s="16"/>
      <c r="O1530" s="16"/>
      <c r="P1530" s="16"/>
      <c r="Q1530" s="16"/>
      <c r="R1530" s="16"/>
      <c r="S1530" s="16"/>
      <c r="T1530" s="16"/>
      <c r="U1530" s="16"/>
      <c r="V1530" s="16"/>
      <c r="W1530" s="16"/>
      <c r="X1530" s="16"/>
      <c r="Y1530" s="16"/>
      <c r="Z1530" s="16"/>
      <c r="AA1530" s="16"/>
      <c r="AB1530" s="16"/>
      <c r="AC1530" s="16"/>
      <c r="AD1530" s="16"/>
      <c r="AE1530" s="16"/>
      <c r="AF1530" s="16"/>
      <c r="AG1530" s="16"/>
      <c r="AH1530" s="16" t="b">
        <f>IFERROR(__xludf.DUMMYFUNCTION("""COMPUTED_VALUE"""),FALSE)</f>
        <v>0</v>
      </c>
    </row>
    <row r="1531">
      <c r="A1531" s="16"/>
      <c r="B1531" s="16"/>
      <c r="C1531" s="16"/>
      <c r="D1531" s="16"/>
      <c r="E1531" s="16">
        <f>IFERROR(__xludf.DUMMYFUNCTION("""COMPUTED_VALUE"""),1.0)</f>
        <v>1</v>
      </c>
      <c r="F1531" s="108">
        <f>IFERROR(__xludf.DUMMYFUNCTION("""COMPUTED_VALUE"""),0.0)</f>
        <v>0</v>
      </c>
      <c r="G1531" s="16"/>
      <c r="H1531" s="16"/>
      <c r="I1531" s="16"/>
      <c r="J1531" s="16"/>
      <c r="K1531" s="16"/>
      <c r="L1531" s="16"/>
      <c r="M1531" s="16"/>
      <c r="N1531" s="16"/>
      <c r="O1531" s="16"/>
      <c r="P1531" s="16"/>
      <c r="Q1531" s="16"/>
      <c r="R1531" s="16"/>
      <c r="S1531" s="16"/>
      <c r="T1531" s="16"/>
      <c r="U1531" s="16"/>
      <c r="V1531" s="16"/>
      <c r="W1531" s="16"/>
      <c r="X1531" s="16"/>
      <c r="Y1531" s="16"/>
      <c r="Z1531" s="16"/>
      <c r="AA1531" s="16"/>
      <c r="AB1531" s="16"/>
      <c r="AC1531" s="16"/>
      <c r="AD1531" s="16"/>
      <c r="AE1531" s="16"/>
      <c r="AF1531" s="16"/>
      <c r="AG1531" s="16"/>
      <c r="AH1531" s="16" t="b">
        <f>IFERROR(__xludf.DUMMYFUNCTION("""COMPUTED_VALUE"""),FALSE)</f>
        <v>0</v>
      </c>
    </row>
    <row r="1532">
      <c r="A1532" s="16"/>
      <c r="B1532" s="16"/>
      <c r="C1532" s="16"/>
      <c r="D1532" s="16"/>
      <c r="E1532" s="16">
        <f>IFERROR(__xludf.DUMMYFUNCTION("""COMPUTED_VALUE"""),1.0)</f>
        <v>1</v>
      </c>
      <c r="F1532" s="108">
        <f>IFERROR(__xludf.DUMMYFUNCTION("""COMPUTED_VALUE"""),0.0)</f>
        <v>0</v>
      </c>
      <c r="G1532" s="16"/>
      <c r="H1532" s="16"/>
      <c r="I1532" s="16"/>
      <c r="J1532" s="16"/>
      <c r="K1532" s="16"/>
      <c r="L1532" s="16"/>
      <c r="M1532" s="16"/>
      <c r="N1532" s="16"/>
      <c r="O1532" s="16"/>
      <c r="P1532" s="16"/>
      <c r="Q1532" s="16"/>
      <c r="R1532" s="16"/>
      <c r="S1532" s="16"/>
      <c r="T1532" s="16"/>
      <c r="U1532" s="16"/>
      <c r="V1532" s="16"/>
      <c r="W1532" s="16"/>
      <c r="X1532" s="16"/>
      <c r="Y1532" s="16"/>
      <c r="Z1532" s="16"/>
      <c r="AA1532" s="16"/>
      <c r="AB1532" s="16"/>
      <c r="AC1532" s="16"/>
      <c r="AD1532" s="16"/>
      <c r="AE1532" s="16"/>
      <c r="AF1532" s="16"/>
      <c r="AG1532" s="16"/>
      <c r="AH1532" s="16" t="b">
        <f>IFERROR(__xludf.DUMMYFUNCTION("""COMPUTED_VALUE"""),FALSE)</f>
        <v>0</v>
      </c>
    </row>
    <row r="1533">
      <c r="A1533" s="16"/>
      <c r="B1533" s="16"/>
      <c r="C1533" s="16"/>
      <c r="D1533" s="16"/>
      <c r="E1533" s="16">
        <f>IFERROR(__xludf.DUMMYFUNCTION("""COMPUTED_VALUE"""),1.0)</f>
        <v>1</v>
      </c>
      <c r="F1533" s="108">
        <f>IFERROR(__xludf.DUMMYFUNCTION("""COMPUTED_VALUE"""),0.0)</f>
        <v>0</v>
      </c>
      <c r="G1533" s="16"/>
      <c r="H1533" s="16"/>
      <c r="I1533" s="16"/>
      <c r="J1533" s="16"/>
      <c r="K1533" s="16"/>
      <c r="L1533" s="16"/>
      <c r="M1533" s="16"/>
      <c r="N1533" s="16"/>
      <c r="O1533" s="16"/>
      <c r="P1533" s="16"/>
      <c r="Q1533" s="16"/>
      <c r="R1533" s="16"/>
      <c r="S1533" s="16"/>
      <c r="T1533" s="16"/>
      <c r="U1533" s="16"/>
      <c r="V1533" s="16"/>
      <c r="W1533" s="16"/>
      <c r="X1533" s="16"/>
      <c r="Y1533" s="16"/>
      <c r="Z1533" s="16"/>
      <c r="AA1533" s="16"/>
      <c r="AB1533" s="16"/>
      <c r="AC1533" s="16"/>
      <c r="AD1533" s="16"/>
      <c r="AE1533" s="16"/>
      <c r="AF1533" s="16"/>
      <c r="AG1533" s="16"/>
      <c r="AH1533" s="16" t="b">
        <f>IFERROR(__xludf.DUMMYFUNCTION("""COMPUTED_VALUE"""),FALSE)</f>
        <v>0</v>
      </c>
    </row>
    <row r="1534">
      <c r="A1534" s="16"/>
      <c r="B1534" s="16"/>
      <c r="C1534" s="16"/>
      <c r="D1534" s="16"/>
      <c r="E1534" s="16">
        <f>IFERROR(__xludf.DUMMYFUNCTION("""COMPUTED_VALUE"""),1.0)</f>
        <v>1</v>
      </c>
      <c r="F1534" s="108">
        <f>IFERROR(__xludf.DUMMYFUNCTION("""COMPUTED_VALUE"""),0.0)</f>
        <v>0</v>
      </c>
      <c r="G1534" s="16"/>
      <c r="H1534" s="16"/>
      <c r="I1534" s="16"/>
      <c r="J1534" s="16"/>
      <c r="K1534" s="16"/>
      <c r="L1534" s="16"/>
      <c r="M1534" s="16"/>
      <c r="N1534" s="16"/>
      <c r="O1534" s="16"/>
      <c r="P1534" s="16"/>
      <c r="Q1534" s="16"/>
      <c r="R1534" s="16"/>
      <c r="S1534" s="16"/>
      <c r="T1534" s="16"/>
      <c r="U1534" s="16"/>
      <c r="V1534" s="16"/>
      <c r="W1534" s="16"/>
      <c r="X1534" s="16"/>
      <c r="Y1534" s="16"/>
      <c r="Z1534" s="16"/>
      <c r="AA1534" s="16"/>
      <c r="AB1534" s="16"/>
      <c r="AC1534" s="16"/>
      <c r="AD1534" s="16"/>
      <c r="AE1534" s="16"/>
      <c r="AF1534" s="16"/>
      <c r="AG1534" s="16"/>
      <c r="AH1534" s="16" t="b">
        <f>IFERROR(__xludf.DUMMYFUNCTION("""COMPUTED_VALUE"""),FALSE)</f>
        <v>0</v>
      </c>
    </row>
    <row r="1535">
      <c r="A1535" s="16"/>
      <c r="B1535" s="16"/>
      <c r="C1535" s="16"/>
      <c r="D1535" s="16"/>
      <c r="E1535" s="16">
        <f>IFERROR(__xludf.DUMMYFUNCTION("""COMPUTED_VALUE"""),1.0)</f>
        <v>1</v>
      </c>
      <c r="F1535" s="108">
        <f>IFERROR(__xludf.DUMMYFUNCTION("""COMPUTED_VALUE"""),0.0)</f>
        <v>0</v>
      </c>
      <c r="G1535" s="16"/>
      <c r="H1535" s="16"/>
      <c r="I1535" s="16"/>
      <c r="J1535" s="16"/>
      <c r="K1535" s="16"/>
      <c r="L1535" s="16"/>
      <c r="M1535" s="16"/>
      <c r="N1535" s="16"/>
      <c r="O1535" s="16"/>
      <c r="P1535" s="16"/>
      <c r="Q1535" s="16"/>
      <c r="R1535" s="16"/>
      <c r="S1535" s="16"/>
      <c r="T1535" s="16"/>
      <c r="U1535" s="16"/>
      <c r="V1535" s="16"/>
      <c r="W1535" s="16"/>
      <c r="X1535" s="16"/>
      <c r="Y1535" s="16"/>
      <c r="Z1535" s="16"/>
      <c r="AA1535" s="16"/>
      <c r="AB1535" s="16"/>
      <c r="AC1535" s="16"/>
      <c r="AD1535" s="16"/>
      <c r="AE1535" s="16"/>
      <c r="AF1535" s="16"/>
      <c r="AG1535" s="16"/>
      <c r="AH1535" s="16" t="b">
        <f>IFERROR(__xludf.DUMMYFUNCTION("""COMPUTED_VALUE"""),FALSE)</f>
        <v>0</v>
      </c>
    </row>
    <row r="1536">
      <c r="A1536" s="16"/>
      <c r="B1536" s="16"/>
      <c r="C1536" s="16"/>
      <c r="D1536" s="16"/>
      <c r="E1536" s="16">
        <f>IFERROR(__xludf.DUMMYFUNCTION("""COMPUTED_VALUE"""),1.0)</f>
        <v>1</v>
      </c>
      <c r="F1536" s="108">
        <f>IFERROR(__xludf.DUMMYFUNCTION("""COMPUTED_VALUE"""),0.0)</f>
        <v>0</v>
      </c>
      <c r="G1536" s="16"/>
      <c r="H1536" s="16"/>
      <c r="I1536" s="16"/>
      <c r="J1536" s="16"/>
      <c r="K1536" s="16"/>
      <c r="L1536" s="16"/>
      <c r="M1536" s="16"/>
      <c r="N1536" s="16"/>
      <c r="O1536" s="16"/>
      <c r="P1536" s="16"/>
      <c r="Q1536" s="16"/>
      <c r="R1536" s="16"/>
      <c r="S1536" s="16"/>
      <c r="T1536" s="16"/>
      <c r="U1536" s="16"/>
      <c r="V1536" s="16"/>
      <c r="W1536" s="16"/>
      <c r="X1536" s="16"/>
      <c r="Y1536" s="16"/>
      <c r="Z1536" s="16"/>
      <c r="AA1536" s="16"/>
      <c r="AB1536" s="16"/>
      <c r="AC1536" s="16"/>
      <c r="AD1536" s="16"/>
      <c r="AE1536" s="16"/>
      <c r="AF1536" s="16"/>
      <c r="AG1536" s="16"/>
      <c r="AH1536" s="16" t="b">
        <f>IFERROR(__xludf.DUMMYFUNCTION("""COMPUTED_VALUE"""),FALSE)</f>
        <v>0</v>
      </c>
    </row>
    <row r="1537">
      <c r="A1537" s="16"/>
      <c r="B1537" s="16"/>
      <c r="C1537" s="16"/>
      <c r="D1537" s="16"/>
      <c r="E1537" s="16">
        <f>IFERROR(__xludf.DUMMYFUNCTION("""COMPUTED_VALUE"""),1.0)</f>
        <v>1</v>
      </c>
      <c r="F1537" s="108">
        <f>IFERROR(__xludf.DUMMYFUNCTION("""COMPUTED_VALUE"""),0.0)</f>
        <v>0</v>
      </c>
      <c r="G1537" s="16"/>
      <c r="H1537" s="16"/>
      <c r="I1537" s="16"/>
      <c r="J1537" s="16"/>
      <c r="K1537" s="16"/>
      <c r="L1537" s="16"/>
      <c r="M1537" s="16"/>
      <c r="N1537" s="16"/>
      <c r="O1537" s="16"/>
      <c r="P1537" s="16"/>
      <c r="Q1537" s="16"/>
      <c r="R1537" s="16"/>
      <c r="S1537" s="16"/>
      <c r="T1537" s="16"/>
      <c r="U1537" s="16"/>
      <c r="V1537" s="16"/>
      <c r="W1537" s="16"/>
      <c r="X1537" s="16"/>
      <c r="Y1537" s="16"/>
      <c r="Z1537" s="16"/>
      <c r="AA1537" s="16"/>
      <c r="AB1537" s="16"/>
      <c r="AC1537" s="16"/>
      <c r="AD1537" s="16"/>
      <c r="AE1537" s="16"/>
      <c r="AF1537" s="16"/>
      <c r="AG1537" s="16"/>
      <c r="AH1537" s="16" t="b">
        <f>IFERROR(__xludf.DUMMYFUNCTION("""COMPUTED_VALUE"""),FALSE)</f>
        <v>0</v>
      </c>
    </row>
    <row r="1538">
      <c r="A1538" s="16"/>
      <c r="B1538" s="16"/>
      <c r="C1538" s="16"/>
      <c r="D1538" s="16"/>
      <c r="E1538" s="16">
        <f>IFERROR(__xludf.DUMMYFUNCTION("""COMPUTED_VALUE"""),1.0)</f>
        <v>1</v>
      </c>
      <c r="F1538" s="108">
        <f>IFERROR(__xludf.DUMMYFUNCTION("""COMPUTED_VALUE"""),0.0)</f>
        <v>0</v>
      </c>
      <c r="G1538" s="16"/>
      <c r="H1538" s="16"/>
      <c r="I1538" s="16"/>
      <c r="J1538" s="16"/>
      <c r="K1538" s="16"/>
      <c r="L1538" s="16"/>
      <c r="M1538" s="16"/>
      <c r="N1538" s="16"/>
      <c r="O1538" s="16"/>
      <c r="P1538" s="16"/>
      <c r="Q1538" s="16"/>
      <c r="R1538" s="16"/>
      <c r="S1538" s="16"/>
      <c r="T1538" s="16"/>
      <c r="U1538" s="16"/>
      <c r="V1538" s="16"/>
      <c r="W1538" s="16"/>
      <c r="X1538" s="16"/>
      <c r="Y1538" s="16"/>
      <c r="Z1538" s="16"/>
      <c r="AA1538" s="16"/>
      <c r="AB1538" s="16"/>
      <c r="AC1538" s="16"/>
      <c r="AD1538" s="16"/>
      <c r="AE1538" s="16"/>
      <c r="AF1538" s="16"/>
      <c r="AG1538" s="16"/>
      <c r="AH1538" s="16" t="b">
        <f>IFERROR(__xludf.DUMMYFUNCTION("""COMPUTED_VALUE"""),FALSE)</f>
        <v>0</v>
      </c>
    </row>
    <row r="1539">
      <c r="A1539" s="16"/>
      <c r="B1539" s="16"/>
      <c r="C1539" s="16"/>
      <c r="D1539" s="16"/>
      <c r="E1539" s="16">
        <f>IFERROR(__xludf.DUMMYFUNCTION("""COMPUTED_VALUE"""),1.0)</f>
        <v>1</v>
      </c>
      <c r="F1539" s="108">
        <f>IFERROR(__xludf.DUMMYFUNCTION("""COMPUTED_VALUE"""),0.0)</f>
        <v>0</v>
      </c>
      <c r="G1539" s="16"/>
      <c r="H1539" s="16"/>
      <c r="I1539" s="16"/>
      <c r="J1539" s="16"/>
      <c r="K1539" s="16"/>
      <c r="L1539" s="16"/>
      <c r="M1539" s="16"/>
      <c r="N1539" s="16"/>
      <c r="O1539" s="16"/>
      <c r="P1539" s="16"/>
      <c r="Q1539" s="16"/>
      <c r="R1539" s="16"/>
      <c r="S1539" s="16"/>
      <c r="T1539" s="16"/>
      <c r="U1539" s="16"/>
      <c r="V1539" s="16"/>
      <c r="W1539" s="16"/>
      <c r="X1539" s="16"/>
      <c r="Y1539" s="16"/>
      <c r="Z1539" s="16"/>
      <c r="AA1539" s="16"/>
      <c r="AB1539" s="16"/>
      <c r="AC1539" s="16"/>
      <c r="AD1539" s="16"/>
      <c r="AE1539" s="16"/>
      <c r="AF1539" s="16"/>
      <c r="AG1539" s="16"/>
      <c r="AH1539" s="16" t="b">
        <f>IFERROR(__xludf.DUMMYFUNCTION("""COMPUTED_VALUE"""),FALSE)</f>
        <v>0</v>
      </c>
    </row>
    <row r="1540">
      <c r="A1540" s="16"/>
      <c r="B1540" s="16"/>
      <c r="C1540" s="16"/>
      <c r="D1540" s="16"/>
      <c r="E1540" s="16">
        <f>IFERROR(__xludf.DUMMYFUNCTION("""COMPUTED_VALUE"""),1.0)</f>
        <v>1</v>
      </c>
      <c r="F1540" s="108">
        <f>IFERROR(__xludf.DUMMYFUNCTION("""COMPUTED_VALUE"""),0.0)</f>
        <v>0</v>
      </c>
      <c r="G1540" s="16"/>
      <c r="H1540" s="16"/>
      <c r="I1540" s="16"/>
      <c r="J1540" s="16"/>
      <c r="K1540" s="16"/>
      <c r="L1540" s="16"/>
      <c r="M1540" s="16"/>
      <c r="N1540" s="16"/>
      <c r="O1540" s="16"/>
      <c r="P1540" s="16"/>
      <c r="Q1540" s="16"/>
      <c r="R1540" s="16"/>
      <c r="S1540" s="16"/>
      <c r="T1540" s="16"/>
      <c r="U1540" s="16"/>
      <c r="V1540" s="16"/>
      <c r="W1540" s="16"/>
      <c r="X1540" s="16"/>
      <c r="Y1540" s="16"/>
      <c r="Z1540" s="16"/>
      <c r="AA1540" s="16"/>
      <c r="AB1540" s="16"/>
      <c r="AC1540" s="16"/>
      <c r="AD1540" s="16"/>
      <c r="AE1540" s="16"/>
      <c r="AF1540" s="16"/>
      <c r="AG1540" s="16"/>
      <c r="AH1540" s="16" t="b">
        <f>IFERROR(__xludf.DUMMYFUNCTION("""COMPUTED_VALUE"""),FALSE)</f>
        <v>0</v>
      </c>
    </row>
    <row r="1541">
      <c r="A1541" s="16"/>
      <c r="B1541" s="16"/>
      <c r="C1541" s="16"/>
      <c r="D1541" s="16"/>
      <c r="E1541" s="16">
        <f>IFERROR(__xludf.DUMMYFUNCTION("""COMPUTED_VALUE"""),1.0)</f>
        <v>1</v>
      </c>
      <c r="F1541" s="108">
        <f>IFERROR(__xludf.DUMMYFUNCTION("""COMPUTED_VALUE"""),0.0)</f>
        <v>0</v>
      </c>
      <c r="G1541" s="16"/>
      <c r="H1541" s="16"/>
      <c r="I1541" s="16"/>
      <c r="J1541" s="16"/>
      <c r="K1541" s="16"/>
      <c r="L1541" s="16"/>
      <c r="M1541" s="16"/>
      <c r="N1541" s="16"/>
      <c r="O1541" s="16"/>
      <c r="P1541" s="16"/>
      <c r="Q1541" s="16"/>
      <c r="R1541" s="16"/>
      <c r="S1541" s="16"/>
      <c r="T1541" s="16"/>
      <c r="U1541" s="16"/>
      <c r="V1541" s="16"/>
      <c r="W1541" s="16"/>
      <c r="X1541" s="16"/>
      <c r="Y1541" s="16"/>
      <c r="Z1541" s="16"/>
      <c r="AA1541" s="16"/>
      <c r="AB1541" s="16"/>
      <c r="AC1541" s="16"/>
      <c r="AD1541" s="16"/>
      <c r="AE1541" s="16"/>
      <c r="AF1541" s="16"/>
      <c r="AG1541" s="16"/>
      <c r="AH1541" s="16" t="b">
        <f>IFERROR(__xludf.DUMMYFUNCTION("""COMPUTED_VALUE"""),FALSE)</f>
        <v>0</v>
      </c>
    </row>
    <row r="1542">
      <c r="A1542" s="16"/>
      <c r="B1542" s="16"/>
      <c r="C1542" s="16"/>
      <c r="D1542" s="16"/>
      <c r="E1542" s="16">
        <f>IFERROR(__xludf.DUMMYFUNCTION("""COMPUTED_VALUE"""),1.0)</f>
        <v>1</v>
      </c>
      <c r="F1542" s="108">
        <f>IFERROR(__xludf.DUMMYFUNCTION("""COMPUTED_VALUE"""),0.0)</f>
        <v>0</v>
      </c>
      <c r="G1542" s="16"/>
      <c r="H1542" s="16"/>
      <c r="I1542" s="16"/>
      <c r="J1542" s="16"/>
      <c r="K1542" s="16"/>
      <c r="L1542" s="16"/>
      <c r="M1542" s="16"/>
      <c r="N1542" s="16"/>
      <c r="O1542" s="16"/>
      <c r="P1542" s="16"/>
      <c r="Q1542" s="16"/>
      <c r="R1542" s="16"/>
      <c r="S1542" s="16"/>
      <c r="T1542" s="16"/>
      <c r="U1542" s="16"/>
      <c r="V1542" s="16"/>
      <c r="W1542" s="16"/>
      <c r="X1542" s="16"/>
      <c r="Y1542" s="16"/>
      <c r="Z1542" s="16"/>
      <c r="AA1542" s="16"/>
      <c r="AB1542" s="16"/>
      <c r="AC1542" s="16"/>
      <c r="AD1542" s="16"/>
      <c r="AE1542" s="16"/>
      <c r="AF1542" s="16"/>
      <c r="AG1542" s="16"/>
      <c r="AH1542" s="16" t="b">
        <f>IFERROR(__xludf.DUMMYFUNCTION("""COMPUTED_VALUE"""),FALSE)</f>
        <v>0</v>
      </c>
    </row>
    <row r="1543">
      <c r="A1543" s="16"/>
      <c r="B1543" s="16"/>
      <c r="C1543" s="16"/>
      <c r="D1543" s="16"/>
      <c r="E1543" s="16">
        <f>IFERROR(__xludf.DUMMYFUNCTION("""COMPUTED_VALUE"""),1.0)</f>
        <v>1</v>
      </c>
      <c r="F1543" s="108">
        <f>IFERROR(__xludf.DUMMYFUNCTION("""COMPUTED_VALUE"""),0.0)</f>
        <v>0</v>
      </c>
      <c r="G1543" s="16"/>
      <c r="H1543" s="16"/>
      <c r="I1543" s="16"/>
      <c r="J1543" s="16"/>
      <c r="K1543" s="16"/>
      <c r="L1543" s="16"/>
      <c r="M1543" s="16"/>
      <c r="N1543" s="16"/>
      <c r="O1543" s="16"/>
      <c r="P1543" s="16"/>
      <c r="Q1543" s="16"/>
      <c r="R1543" s="16"/>
      <c r="S1543" s="16"/>
      <c r="T1543" s="16"/>
      <c r="U1543" s="16"/>
      <c r="V1543" s="16"/>
      <c r="W1543" s="16"/>
      <c r="X1543" s="16"/>
      <c r="Y1543" s="16"/>
      <c r="Z1543" s="16"/>
      <c r="AA1543" s="16"/>
      <c r="AB1543" s="16"/>
      <c r="AC1543" s="16"/>
      <c r="AD1543" s="16"/>
      <c r="AE1543" s="16"/>
      <c r="AF1543" s="16"/>
      <c r="AG1543" s="16"/>
      <c r="AH1543" s="16" t="b">
        <f>IFERROR(__xludf.DUMMYFUNCTION("""COMPUTED_VALUE"""),FALSE)</f>
        <v>0</v>
      </c>
    </row>
    <row r="1544">
      <c r="A1544" s="16"/>
      <c r="B1544" s="16"/>
      <c r="C1544" s="16"/>
      <c r="D1544" s="16"/>
      <c r="E1544" s="16">
        <f>IFERROR(__xludf.DUMMYFUNCTION("""COMPUTED_VALUE"""),1.0)</f>
        <v>1</v>
      </c>
      <c r="F1544" s="108">
        <f>IFERROR(__xludf.DUMMYFUNCTION("""COMPUTED_VALUE"""),0.0)</f>
        <v>0</v>
      </c>
      <c r="G1544" s="16"/>
      <c r="H1544" s="16"/>
      <c r="I1544" s="16"/>
      <c r="J1544" s="16"/>
      <c r="K1544" s="16"/>
      <c r="L1544" s="16"/>
      <c r="M1544" s="16"/>
      <c r="N1544" s="16"/>
      <c r="O1544" s="16"/>
      <c r="P1544" s="16"/>
      <c r="Q1544" s="16"/>
      <c r="R1544" s="16"/>
      <c r="S1544" s="16"/>
      <c r="T1544" s="16"/>
      <c r="U1544" s="16"/>
      <c r="V1544" s="16"/>
      <c r="W1544" s="16"/>
      <c r="X1544" s="16"/>
      <c r="Y1544" s="16"/>
      <c r="Z1544" s="16"/>
      <c r="AA1544" s="16"/>
      <c r="AB1544" s="16"/>
      <c r="AC1544" s="16"/>
      <c r="AD1544" s="16"/>
      <c r="AE1544" s="16"/>
      <c r="AF1544" s="16"/>
      <c r="AG1544" s="16"/>
      <c r="AH1544" s="16" t="b">
        <f>IFERROR(__xludf.DUMMYFUNCTION("""COMPUTED_VALUE"""),FALSE)</f>
        <v>0</v>
      </c>
    </row>
    <row r="1545">
      <c r="A1545" s="16"/>
      <c r="B1545" s="16"/>
      <c r="C1545" s="16"/>
      <c r="D1545" s="16"/>
      <c r="E1545" s="16">
        <f>IFERROR(__xludf.DUMMYFUNCTION("""COMPUTED_VALUE"""),1.0)</f>
        <v>1</v>
      </c>
      <c r="F1545" s="108">
        <f>IFERROR(__xludf.DUMMYFUNCTION("""COMPUTED_VALUE"""),0.0)</f>
        <v>0</v>
      </c>
      <c r="G1545" s="16"/>
      <c r="H1545" s="16"/>
      <c r="I1545" s="16"/>
      <c r="J1545" s="16"/>
      <c r="K1545" s="16"/>
      <c r="L1545" s="16"/>
      <c r="M1545" s="16"/>
      <c r="N1545" s="16"/>
      <c r="O1545" s="16"/>
      <c r="P1545" s="16"/>
      <c r="Q1545" s="16"/>
      <c r="R1545" s="16"/>
      <c r="S1545" s="16"/>
      <c r="T1545" s="16"/>
      <c r="U1545" s="16"/>
      <c r="V1545" s="16"/>
      <c r="W1545" s="16"/>
      <c r="X1545" s="16"/>
      <c r="Y1545" s="16"/>
      <c r="Z1545" s="16"/>
      <c r="AA1545" s="16"/>
      <c r="AB1545" s="16"/>
      <c r="AC1545" s="16"/>
      <c r="AD1545" s="16"/>
      <c r="AE1545" s="16"/>
      <c r="AF1545" s="16"/>
      <c r="AG1545" s="16"/>
      <c r="AH1545" s="16" t="b">
        <f>IFERROR(__xludf.DUMMYFUNCTION("""COMPUTED_VALUE"""),FALSE)</f>
        <v>0</v>
      </c>
    </row>
    <row r="1546">
      <c r="A1546" s="16"/>
      <c r="B1546" s="16"/>
      <c r="C1546" s="16"/>
      <c r="D1546" s="16"/>
      <c r="E1546" s="16">
        <f>IFERROR(__xludf.DUMMYFUNCTION("""COMPUTED_VALUE"""),1.0)</f>
        <v>1</v>
      </c>
      <c r="F1546" s="108">
        <f>IFERROR(__xludf.DUMMYFUNCTION("""COMPUTED_VALUE"""),0.0)</f>
        <v>0</v>
      </c>
      <c r="G1546" s="16"/>
      <c r="H1546" s="16"/>
      <c r="I1546" s="16"/>
      <c r="J1546" s="16"/>
      <c r="K1546" s="16"/>
      <c r="L1546" s="16"/>
      <c r="M1546" s="16"/>
      <c r="N1546" s="16"/>
      <c r="O1546" s="16"/>
      <c r="P1546" s="16"/>
      <c r="Q1546" s="16"/>
      <c r="R1546" s="16"/>
      <c r="S1546" s="16"/>
      <c r="T1546" s="16"/>
      <c r="U1546" s="16"/>
      <c r="V1546" s="16"/>
      <c r="W1546" s="16"/>
      <c r="X1546" s="16"/>
      <c r="Y1546" s="16"/>
      <c r="Z1546" s="16"/>
      <c r="AA1546" s="16"/>
      <c r="AB1546" s="16"/>
      <c r="AC1546" s="16"/>
      <c r="AD1546" s="16"/>
      <c r="AE1546" s="16"/>
      <c r="AF1546" s="16"/>
      <c r="AG1546" s="16"/>
      <c r="AH1546" s="16" t="b">
        <f>IFERROR(__xludf.DUMMYFUNCTION("""COMPUTED_VALUE"""),FALSE)</f>
        <v>0</v>
      </c>
    </row>
    <row r="1547">
      <c r="A1547" s="16"/>
      <c r="B1547" s="16"/>
      <c r="C1547" s="16"/>
      <c r="D1547" s="16"/>
      <c r="E1547" s="16">
        <f>IFERROR(__xludf.DUMMYFUNCTION("""COMPUTED_VALUE"""),1.0)</f>
        <v>1</v>
      </c>
      <c r="F1547" s="108">
        <f>IFERROR(__xludf.DUMMYFUNCTION("""COMPUTED_VALUE"""),0.0)</f>
        <v>0</v>
      </c>
      <c r="G1547" s="16"/>
      <c r="H1547" s="16"/>
      <c r="I1547" s="16"/>
      <c r="J1547" s="16"/>
      <c r="K1547" s="16"/>
      <c r="L1547" s="16"/>
      <c r="M1547" s="16"/>
      <c r="N1547" s="16"/>
      <c r="O1547" s="16"/>
      <c r="P1547" s="16"/>
      <c r="Q1547" s="16"/>
      <c r="R1547" s="16"/>
      <c r="S1547" s="16"/>
      <c r="T1547" s="16"/>
      <c r="U1547" s="16"/>
      <c r="V1547" s="16"/>
      <c r="W1547" s="16"/>
      <c r="X1547" s="16"/>
      <c r="Y1547" s="16"/>
      <c r="Z1547" s="16"/>
      <c r="AA1547" s="16"/>
      <c r="AB1547" s="16"/>
      <c r="AC1547" s="16"/>
      <c r="AD1547" s="16"/>
      <c r="AE1547" s="16"/>
      <c r="AF1547" s="16"/>
      <c r="AG1547" s="16"/>
      <c r="AH1547" s="16" t="b">
        <f>IFERROR(__xludf.DUMMYFUNCTION("""COMPUTED_VALUE"""),FALSE)</f>
        <v>0</v>
      </c>
    </row>
    <row r="1548">
      <c r="A1548" s="16"/>
      <c r="B1548" s="16"/>
      <c r="C1548" s="16"/>
      <c r="D1548" s="16"/>
      <c r="E1548" s="16">
        <f>IFERROR(__xludf.DUMMYFUNCTION("""COMPUTED_VALUE"""),1.0)</f>
        <v>1</v>
      </c>
      <c r="F1548" s="108">
        <f>IFERROR(__xludf.DUMMYFUNCTION("""COMPUTED_VALUE"""),0.0)</f>
        <v>0</v>
      </c>
      <c r="G1548" s="16"/>
      <c r="H1548" s="16"/>
      <c r="I1548" s="16"/>
      <c r="J1548" s="16"/>
      <c r="K1548" s="16"/>
      <c r="L1548" s="16"/>
      <c r="M1548" s="16"/>
      <c r="N1548" s="16"/>
      <c r="O1548" s="16"/>
      <c r="P1548" s="16"/>
      <c r="Q1548" s="16"/>
      <c r="R1548" s="16"/>
      <c r="S1548" s="16"/>
      <c r="T1548" s="16"/>
      <c r="U1548" s="16"/>
      <c r="V1548" s="16"/>
      <c r="W1548" s="16"/>
      <c r="X1548" s="16"/>
      <c r="Y1548" s="16"/>
      <c r="Z1548" s="16"/>
      <c r="AA1548" s="16"/>
      <c r="AB1548" s="16"/>
      <c r="AC1548" s="16"/>
      <c r="AD1548" s="16"/>
      <c r="AE1548" s="16"/>
      <c r="AF1548" s="16"/>
      <c r="AG1548" s="16"/>
      <c r="AH1548" s="16" t="b">
        <f>IFERROR(__xludf.DUMMYFUNCTION("""COMPUTED_VALUE"""),FALSE)</f>
        <v>0</v>
      </c>
    </row>
    <row r="1549">
      <c r="A1549" s="16"/>
      <c r="B1549" s="16"/>
      <c r="C1549" s="16"/>
      <c r="D1549" s="16"/>
      <c r="E1549" s="16">
        <f>IFERROR(__xludf.DUMMYFUNCTION("""COMPUTED_VALUE"""),1.0)</f>
        <v>1</v>
      </c>
      <c r="F1549" s="108">
        <f>IFERROR(__xludf.DUMMYFUNCTION("""COMPUTED_VALUE"""),0.0)</f>
        <v>0</v>
      </c>
      <c r="G1549" s="16"/>
      <c r="H1549" s="16"/>
      <c r="I1549" s="16"/>
      <c r="J1549" s="16"/>
      <c r="K1549" s="16"/>
      <c r="L1549" s="16"/>
      <c r="M1549" s="16"/>
      <c r="N1549" s="16"/>
      <c r="O1549" s="16"/>
      <c r="P1549" s="16"/>
      <c r="Q1549" s="16"/>
      <c r="R1549" s="16"/>
      <c r="S1549" s="16"/>
      <c r="T1549" s="16"/>
      <c r="U1549" s="16"/>
      <c r="V1549" s="16"/>
      <c r="W1549" s="16"/>
      <c r="X1549" s="16"/>
      <c r="Y1549" s="16"/>
      <c r="Z1549" s="16"/>
      <c r="AA1549" s="16"/>
      <c r="AB1549" s="16"/>
      <c r="AC1549" s="16"/>
      <c r="AD1549" s="16"/>
      <c r="AE1549" s="16"/>
      <c r="AF1549" s="16"/>
      <c r="AG1549" s="16"/>
      <c r="AH1549" s="16" t="b">
        <f>IFERROR(__xludf.DUMMYFUNCTION("""COMPUTED_VALUE"""),FALSE)</f>
        <v>0</v>
      </c>
    </row>
    <row r="1550">
      <c r="A1550" s="16"/>
      <c r="B1550" s="16"/>
      <c r="C1550" s="16"/>
      <c r="D1550" s="16"/>
      <c r="E1550" s="16">
        <f>IFERROR(__xludf.DUMMYFUNCTION("""COMPUTED_VALUE"""),1.0)</f>
        <v>1</v>
      </c>
      <c r="F1550" s="108">
        <f>IFERROR(__xludf.DUMMYFUNCTION("""COMPUTED_VALUE"""),0.0)</f>
        <v>0</v>
      </c>
      <c r="G1550" s="16"/>
      <c r="H1550" s="16"/>
      <c r="I1550" s="16"/>
      <c r="J1550" s="16"/>
      <c r="K1550" s="16"/>
      <c r="L1550" s="16"/>
      <c r="M1550" s="16"/>
      <c r="N1550" s="16"/>
      <c r="O1550" s="16"/>
      <c r="P1550" s="16"/>
      <c r="Q1550" s="16"/>
      <c r="R1550" s="16"/>
      <c r="S1550" s="16"/>
      <c r="T1550" s="16"/>
      <c r="U1550" s="16"/>
      <c r="V1550" s="16"/>
      <c r="W1550" s="16"/>
      <c r="X1550" s="16"/>
      <c r="Y1550" s="16"/>
      <c r="Z1550" s="16"/>
      <c r="AA1550" s="16"/>
      <c r="AB1550" s="16"/>
      <c r="AC1550" s="16"/>
      <c r="AD1550" s="16"/>
      <c r="AE1550" s="16"/>
      <c r="AF1550" s="16"/>
      <c r="AG1550" s="16"/>
      <c r="AH1550" s="16" t="b">
        <f>IFERROR(__xludf.DUMMYFUNCTION("""COMPUTED_VALUE"""),FALSE)</f>
        <v>0</v>
      </c>
    </row>
    <row r="1551">
      <c r="A1551" s="16"/>
      <c r="B1551" s="16"/>
      <c r="C1551" s="16"/>
      <c r="D1551" s="16"/>
      <c r="E1551" s="16">
        <f>IFERROR(__xludf.DUMMYFUNCTION("""COMPUTED_VALUE"""),1.0)</f>
        <v>1</v>
      </c>
      <c r="F1551" s="108">
        <f>IFERROR(__xludf.DUMMYFUNCTION("""COMPUTED_VALUE"""),0.0)</f>
        <v>0</v>
      </c>
      <c r="G1551" s="16"/>
      <c r="H1551" s="16"/>
      <c r="I1551" s="16"/>
      <c r="J1551" s="16"/>
      <c r="K1551" s="16"/>
      <c r="L1551" s="16"/>
      <c r="M1551" s="16"/>
      <c r="N1551" s="16"/>
      <c r="O1551" s="16"/>
      <c r="P1551" s="16"/>
      <c r="Q1551" s="16"/>
      <c r="R1551" s="16"/>
      <c r="S1551" s="16"/>
      <c r="T1551" s="16"/>
      <c r="U1551" s="16"/>
      <c r="V1551" s="16"/>
      <c r="W1551" s="16"/>
      <c r="X1551" s="16"/>
      <c r="Y1551" s="16"/>
      <c r="Z1551" s="16"/>
      <c r="AA1551" s="16"/>
      <c r="AB1551" s="16"/>
      <c r="AC1551" s="16"/>
      <c r="AD1551" s="16"/>
      <c r="AE1551" s="16"/>
      <c r="AF1551" s="16"/>
      <c r="AG1551" s="16"/>
      <c r="AH1551" s="16" t="b">
        <f>IFERROR(__xludf.DUMMYFUNCTION("""COMPUTED_VALUE"""),FALSE)</f>
        <v>0</v>
      </c>
    </row>
    <row r="1552">
      <c r="A1552" s="16"/>
      <c r="B1552" s="16"/>
      <c r="C1552" s="16"/>
      <c r="D1552" s="16"/>
      <c r="E1552" s="16">
        <f>IFERROR(__xludf.DUMMYFUNCTION("""COMPUTED_VALUE"""),1.0)</f>
        <v>1</v>
      </c>
      <c r="F1552" s="108">
        <f>IFERROR(__xludf.DUMMYFUNCTION("""COMPUTED_VALUE"""),0.0)</f>
        <v>0</v>
      </c>
      <c r="G1552" s="16"/>
      <c r="H1552" s="16"/>
      <c r="I1552" s="16"/>
      <c r="J1552" s="16"/>
      <c r="K1552" s="16"/>
      <c r="L1552" s="16"/>
      <c r="M1552" s="16"/>
      <c r="N1552" s="16"/>
      <c r="O1552" s="16"/>
      <c r="P1552" s="16"/>
      <c r="Q1552" s="16"/>
      <c r="R1552" s="16"/>
      <c r="S1552" s="16"/>
      <c r="T1552" s="16"/>
      <c r="U1552" s="16"/>
      <c r="V1552" s="16"/>
      <c r="W1552" s="16"/>
      <c r="X1552" s="16"/>
      <c r="Y1552" s="16"/>
      <c r="Z1552" s="16"/>
      <c r="AA1552" s="16"/>
      <c r="AB1552" s="16"/>
      <c r="AC1552" s="16"/>
      <c r="AD1552" s="16"/>
      <c r="AE1552" s="16"/>
      <c r="AF1552" s="16"/>
      <c r="AG1552" s="16"/>
      <c r="AH1552" s="16" t="b">
        <f>IFERROR(__xludf.DUMMYFUNCTION("""COMPUTED_VALUE"""),FALSE)</f>
        <v>0</v>
      </c>
    </row>
    <row r="1553">
      <c r="A1553" s="16"/>
      <c r="B1553" s="16"/>
      <c r="C1553" s="16"/>
      <c r="D1553" s="16"/>
      <c r="E1553" s="16">
        <f>IFERROR(__xludf.DUMMYFUNCTION("""COMPUTED_VALUE"""),1.0)</f>
        <v>1</v>
      </c>
      <c r="F1553" s="108">
        <f>IFERROR(__xludf.DUMMYFUNCTION("""COMPUTED_VALUE"""),0.0)</f>
        <v>0</v>
      </c>
      <c r="G1553" s="16"/>
      <c r="H1553" s="16"/>
      <c r="I1553" s="16"/>
      <c r="J1553" s="16"/>
      <c r="K1553" s="16"/>
      <c r="L1553" s="16"/>
      <c r="M1553" s="16"/>
      <c r="N1553" s="16"/>
      <c r="O1553" s="16"/>
      <c r="P1553" s="16"/>
      <c r="Q1553" s="16"/>
      <c r="R1553" s="16"/>
      <c r="S1553" s="16"/>
      <c r="T1553" s="16"/>
      <c r="U1553" s="16"/>
      <c r="V1553" s="16"/>
      <c r="W1553" s="16"/>
      <c r="X1553" s="16"/>
      <c r="Y1553" s="16"/>
      <c r="Z1553" s="16"/>
      <c r="AA1553" s="16"/>
      <c r="AB1553" s="16"/>
      <c r="AC1553" s="16"/>
      <c r="AD1553" s="16"/>
      <c r="AE1553" s="16"/>
      <c r="AF1553" s="16"/>
      <c r="AG1553" s="16"/>
      <c r="AH1553" s="16" t="b">
        <f>IFERROR(__xludf.DUMMYFUNCTION("""COMPUTED_VALUE"""),FALSE)</f>
        <v>0</v>
      </c>
    </row>
    <row r="1554">
      <c r="A1554" s="16"/>
      <c r="B1554" s="16"/>
      <c r="C1554" s="16"/>
      <c r="D1554" s="16"/>
      <c r="E1554" s="16">
        <f>IFERROR(__xludf.DUMMYFUNCTION("""COMPUTED_VALUE"""),1.0)</f>
        <v>1</v>
      </c>
      <c r="F1554" s="108">
        <f>IFERROR(__xludf.DUMMYFUNCTION("""COMPUTED_VALUE"""),0.0)</f>
        <v>0</v>
      </c>
      <c r="G1554" s="16"/>
      <c r="H1554" s="16"/>
      <c r="I1554" s="16"/>
      <c r="J1554" s="16"/>
      <c r="K1554" s="16"/>
      <c r="L1554" s="16"/>
      <c r="M1554" s="16"/>
      <c r="N1554" s="16"/>
      <c r="O1554" s="16"/>
      <c r="P1554" s="16"/>
      <c r="Q1554" s="16"/>
      <c r="R1554" s="16"/>
      <c r="S1554" s="16"/>
      <c r="T1554" s="16"/>
      <c r="U1554" s="16"/>
      <c r="V1554" s="16"/>
      <c r="W1554" s="16"/>
      <c r="X1554" s="16"/>
      <c r="Y1554" s="16"/>
      <c r="Z1554" s="16"/>
      <c r="AA1554" s="16"/>
      <c r="AB1554" s="16"/>
      <c r="AC1554" s="16"/>
      <c r="AD1554" s="16"/>
      <c r="AE1554" s="16"/>
      <c r="AF1554" s="16"/>
      <c r="AG1554" s="16"/>
      <c r="AH1554" s="16" t="b">
        <f>IFERROR(__xludf.DUMMYFUNCTION("""COMPUTED_VALUE"""),FALSE)</f>
        <v>0</v>
      </c>
    </row>
    <row r="1555">
      <c r="A1555" s="16"/>
      <c r="B1555" s="16"/>
      <c r="C1555" s="16"/>
      <c r="D1555" s="16"/>
      <c r="E1555" s="16">
        <f>IFERROR(__xludf.DUMMYFUNCTION("""COMPUTED_VALUE"""),1.0)</f>
        <v>1</v>
      </c>
      <c r="F1555" s="108">
        <f>IFERROR(__xludf.DUMMYFUNCTION("""COMPUTED_VALUE"""),0.0)</f>
        <v>0</v>
      </c>
      <c r="G1555" s="16"/>
      <c r="H1555" s="16"/>
      <c r="I1555" s="16"/>
      <c r="J1555" s="16"/>
      <c r="K1555" s="16"/>
      <c r="L1555" s="16"/>
      <c r="M1555" s="16"/>
      <c r="N1555" s="16"/>
      <c r="O1555" s="16"/>
      <c r="P1555" s="16"/>
      <c r="Q1555" s="16"/>
      <c r="R1555" s="16"/>
      <c r="S1555" s="16"/>
      <c r="T1555" s="16"/>
      <c r="U1555" s="16"/>
      <c r="V1555" s="16"/>
      <c r="W1555" s="16"/>
      <c r="X1555" s="16"/>
      <c r="Y1555" s="16"/>
      <c r="Z1555" s="16"/>
      <c r="AA1555" s="16"/>
      <c r="AB1555" s="16"/>
      <c r="AC1555" s="16"/>
      <c r="AD1555" s="16"/>
      <c r="AE1555" s="16"/>
      <c r="AF1555" s="16"/>
      <c r="AG1555" s="16"/>
      <c r="AH1555" s="16" t="b">
        <f>IFERROR(__xludf.DUMMYFUNCTION("""COMPUTED_VALUE"""),FALSE)</f>
        <v>0</v>
      </c>
    </row>
    <row r="1556">
      <c r="A1556" s="16"/>
      <c r="B1556" s="16"/>
      <c r="C1556" s="16"/>
      <c r="D1556" s="16"/>
      <c r="E1556" s="16">
        <f>IFERROR(__xludf.DUMMYFUNCTION("""COMPUTED_VALUE"""),1.0)</f>
        <v>1</v>
      </c>
      <c r="F1556" s="108">
        <f>IFERROR(__xludf.DUMMYFUNCTION("""COMPUTED_VALUE"""),0.0)</f>
        <v>0</v>
      </c>
      <c r="G1556" s="16"/>
      <c r="H1556" s="16"/>
      <c r="I1556" s="16"/>
      <c r="J1556" s="16"/>
      <c r="K1556" s="16"/>
      <c r="L1556" s="16"/>
      <c r="M1556" s="16"/>
      <c r="N1556" s="16"/>
      <c r="O1556" s="16"/>
      <c r="P1556" s="16"/>
      <c r="Q1556" s="16"/>
      <c r="R1556" s="16"/>
      <c r="S1556" s="16"/>
      <c r="T1556" s="16"/>
      <c r="U1556" s="16"/>
      <c r="V1556" s="16"/>
      <c r="W1556" s="16"/>
      <c r="X1556" s="16"/>
      <c r="Y1556" s="16"/>
      <c r="Z1556" s="16"/>
      <c r="AA1556" s="16"/>
      <c r="AB1556" s="16"/>
      <c r="AC1556" s="16"/>
      <c r="AD1556" s="16"/>
      <c r="AE1556" s="16"/>
      <c r="AF1556" s="16"/>
      <c r="AG1556" s="16"/>
      <c r="AH1556" s="16" t="b">
        <f>IFERROR(__xludf.DUMMYFUNCTION("""COMPUTED_VALUE"""),FALSE)</f>
        <v>0</v>
      </c>
    </row>
    <row r="1557">
      <c r="A1557" s="16"/>
      <c r="B1557" s="16"/>
      <c r="C1557" s="16"/>
      <c r="D1557" s="16"/>
      <c r="E1557" s="16">
        <f>IFERROR(__xludf.DUMMYFUNCTION("""COMPUTED_VALUE"""),1.0)</f>
        <v>1</v>
      </c>
      <c r="F1557" s="108">
        <f>IFERROR(__xludf.DUMMYFUNCTION("""COMPUTED_VALUE"""),0.0)</f>
        <v>0</v>
      </c>
      <c r="G1557" s="16"/>
      <c r="H1557" s="16"/>
      <c r="I1557" s="16"/>
      <c r="J1557" s="16"/>
      <c r="K1557" s="16"/>
      <c r="L1557" s="16"/>
      <c r="M1557" s="16"/>
      <c r="N1557" s="16"/>
      <c r="O1557" s="16"/>
      <c r="P1557" s="16"/>
      <c r="Q1557" s="16"/>
      <c r="R1557" s="16"/>
      <c r="S1557" s="16"/>
      <c r="T1557" s="16"/>
      <c r="U1557" s="16"/>
      <c r="V1557" s="16"/>
      <c r="W1557" s="16"/>
      <c r="X1557" s="16"/>
      <c r="Y1557" s="16"/>
      <c r="Z1557" s="16"/>
      <c r="AA1557" s="16"/>
      <c r="AB1557" s="16"/>
      <c r="AC1557" s="16"/>
      <c r="AD1557" s="16"/>
      <c r="AE1557" s="16"/>
      <c r="AF1557" s="16"/>
      <c r="AG1557" s="16"/>
      <c r="AH1557" s="16" t="b">
        <f>IFERROR(__xludf.DUMMYFUNCTION("""COMPUTED_VALUE"""),FALSE)</f>
        <v>0</v>
      </c>
    </row>
    <row r="1558">
      <c r="A1558" s="16"/>
      <c r="B1558" s="16"/>
      <c r="C1558" s="16"/>
      <c r="D1558" s="16"/>
      <c r="E1558" s="16">
        <f>IFERROR(__xludf.DUMMYFUNCTION("""COMPUTED_VALUE"""),1.0)</f>
        <v>1</v>
      </c>
      <c r="F1558" s="108">
        <f>IFERROR(__xludf.DUMMYFUNCTION("""COMPUTED_VALUE"""),0.0)</f>
        <v>0</v>
      </c>
      <c r="G1558" s="16"/>
      <c r="H1558" s="16"/>
      <c r="I1558" s="16"/>
      <c r="J1558" s="16"/>
      <c r="K1558" s="16"/>
      <c r="L1558" s="16"/>
      <c r="M1558" s="16"/>
      <c r="N1558" s="16"/>
      <c r="O1558" s="16"/>
      <c r="P1558" s="16"/>
      <c r="Q1558" s="16"/>
      <c r="R1558" s="16"/>
      <c r="S1558" s="16"/>
      <c r="T1558" s="16"/>
      <c r="U1558" s="16"/>
      <c r="V1558" s="16"/>
      <c r="W1558" s="16"/>
      <c r="X1558" s="16"/>
      <c r="Y1558" s="16"/>
      <c r="Z1558" s="16"/>
      <c r="AA1558" s="16"/>
      <c r="AB1558" s="16"/>
      <c r="AC1558" s="16"/>
      <c r="AD1558" s="16"/>
      <c r="AE1558" s="16"/>
      <c r="AF1558" s="16"/>
      <c r="AG1558" s="16"/>
      <c r="AH1558" s="16" t="b">
        <f>IFERROR(__xludf.DUMMYFUNCTION("""COMPUTED_VALUE"""),FALSE)</f>
        <v>0</v>
      </c>
    </row>
    <row r="1559">
      <c r="A1559" s="16"/>
      <c r="B1559" s="16"/>
      <c r="C1559" s="16"/>
      <c r="D1559" s="16"/>
      <c r="E1559" s="16">
        <f>IFERROR(__xludf.DUMMYFUNCTION("""COMPUTED_VALUE"""),1.0)</f>
        <v>1</v>
      </c>
      <c r="F1559" s="108">
        <f>IFERROR(__xludf.DUMMYFUNCTION("""COMPUTED_VALUE"""),0.0)</f>
        <v>0</v>
      </c>
      <c r="G1559" s="16"/>
      <c r="H1559" s="16"/>
      <c r="I1559" s="16"/>
      <c r="J1559" s="16"/>
      <c r="K1559" s="16"/>
      <c r="L1559" s="16"/>
      <c r="M1559" s="16"/>
      <c r="N1559" s="16"/>
      <c r="O1559" s="16"/>
      <c r="P1559" s="16"/>
      <c r="Q1559" s="16"/>
      <c r="R1559" s="16"/>
      <c r="S1559" s="16"/>
      <c r="T1559" s="16"/>
      <c r="U1559" s="16"/>
      <c r="V1559" s="16"/>
      <c r="W1559" s="16"/>
      <c r="X1559" s="16"/>
      <c r="Y1559" s="16"/>
      <c r="Z1559" s="16"/>
      <c r="AA1559" s="16"/>
      <c r="AB1559" s="16"/>
      <c r="AC1559" s="16"/>
      <c r="AD1559" s="16"/>
      <c r="AE1559" s="16"/>
      <c r="AF1559" s="16"/>
      <c r="AG1559" s="16"/>
      <c r="AH1559" s="16" t="b">
        <f>IFERROR(__xludf.DUMMYFUNCTION("""COMPUTED_VALUE"""),FALSE)</f>
        <v>0</v>
      </c>
    </row>
    <row r="1560">
      <c r="A1560" s="16"/>
      <c r="B1560" s="16"/>
      <c r="C1560" s="16"/>
      <c r="D1560" s="16"/>
      <c r="E1560" s="16">
        <f>IFERROR(__xludf.DUMMYFUNCTION("""COMPUTED_VALUE"""),1.0)</f>
        <v>1</v>
      </c>
      <c r="F1560" s="108">
        <f>IFERROR(__xludf.DUMMYFUNCTION("""COMPUTED_VALUE"""),0.0)</f>
        <v>0</v>
      </c>
      <c r="G1560" s="16"/>
      <c r="H1560" s="16"/>
      <c r="I1560" s="16"/>
      <c r="J1560" s="16"/>
      <c r="K1560" s="16"/>
      <c r="L1560" s="16"/>
      <c r="M1560" s="16"/>
      <c r="N1560" s="16"/>
      <c r="O1560" s="16"/>
      <c r="P1560" s="16"/>
      <c r="Q1560" s="16"/>
      <c r="R1560" s="16"/>
      <c r="S1560" s="16"/>
      <c r="T1560" s="16"/>
      <c r="U1560" s="16"/>
      <c r="V1560" s="16"/>
      <c r="W1560" s="16"/>
      <c r="X1560" s="16"/>
      <c r="Y1560" s="16"/>
      <c r="Z1560" s="16"/>
      <c r="AA1560" s="16"/>
      <c r="AB1560" s="16"/>
      <c r="AC1560" s="16"/>
      <c r="AD1560" s="16"/>
      <c r="AE1560" s="16"/>
      <c r="AF1560" s="16"/>
      <c r="AG1560" s="16"/>
      <c r="AH1560" s="16" t="b">
        <f>IFERROR(__xludf.DUMMYFUNCTION("""COMPUTED_VALUE"""),FALSE)</f>
        <v>0</v>
      </c>
    </row>
    <row r="1561">
      <c r="A1561" s="16"/>
      <c r="B1561" s="16"/>
      <c r="C1561" s="16"/>
      <c r="D1561" s="16"/>
      <c r="E1561" s="16">
        <f>IFERROR(__xludf.DUMMYFUNCTION("""COMPUTED_VALUE"""),1.0)</f>
        <v>1</v>
      </c>
      <c r="F1561" s="108">
        <f>IFERROR(__xludf.DUMMYFUNCTION("""COMPUTED_VALUE"""),0.0)</f>
        <v>0</v>
      </c>
      <c r="G1561" s="16"/>
      <c r="H1561" s="16"/>
      <c r="I1561" s="16"/>
      <c r="J1561" s="16"/>
      <c r="K1561" s="16"/>
      <c r="L1561" s="16"/>
      <c r="M1561" s="16"/>
      <c r="N1561" s="16"/>
      <c r="O1561" s="16"/>
      <c r="P1561" s="16"/>
      <c r="Q1561" s="16"/>
      <c r="R1561" s="16"/>
      <c r="S1561" s="16"/>
      <c r="T1561" s="16"/>
      <c r="U1561" s="16"/>
      <c r="V1561" s="16"/>
      <c r="W1561" s="16"/>
      <c r="X1561" s="16"/>
      <c r="Y1561" s="16"/>
      <c r="Z1561" s="16"/>
      <c r="AA1561" s="16"/>
      <c r="AB1561" s="16"/>
      <c r="AC1561" s="16"/>
      <c r="AD1561" s="16"/>
      <c r="AE1561" s="16"/>
      <c r="AF1561" s="16"/>
      <c r="AG1561" s="16"/>
      <c r="AH1561" s="16" t="b">
        <f>IFERROR(__xludf.DUMMYFUNCTION("""COMPUTED_VALUE"""),FALSE)</f>
        <v>0</v>
      </c>
    </row>
    <row r="1562">
      <c r="A1562" s="16"/>
      <c r="B1562" s="16"/>
      <c r="C1562" s="16"/>
      <c r="D1562" s="16"/>
      <c r="E1562" s="16">
        <f>IFERROR(__xludf.DUMMYFUNCTION("""COMPUTED_VALUE"""),1.0)</f>
        <v>1</v>
      </c>
      <c r="F1562" s="108">
        <f>IFERROR(__xludf.DUMMYFUNCTION("""COMPUTED_VALUE"""),0.0)</f>
        <v>0</v>
      </c>
      <c r="G1562" s="16"/>
      <c r="H1562" s="16"/>
      <c r="I1562" s="16"/>
      <c r="J1562" s="16"/>
      <c r="K1562" s="16"/>
      <c r="L1562" s="16"/>
      <c r="M1562" s="16"/>
      <c r="N1562" s="16"/>
      <c r="O1562" s="16"/>
      <c r="P1562" s="16"/>
      <c r="Q1562" s="16"/>
      <c r="R1562" s="16"/>
      <c r="S1562" s="16"/>
      <c r="T1562" s="16"/>
      <c r="U1562" s="16"/>
      <c r="V1562" s="16"/>
      <c r="W1562" s="16"/>
      <c r="X1562" s="16"/>
      <c r="Y1562" s="16"/>
      <c r="Z1562" s="16"/>
      <c r="AA1562" s="16"/>
      <c r="AB1562" s="16"/>
      <c r="AC1562" s="16"/>
      <c r="AD1562" s="16"/>
      <c r="AE1562" s="16"/>
      <c r="AF1562" s="16"/>
      <c r="AG1562" s="16"/>
      <c r="AH1562" s="16" t="b">
        <f>IFERROR(__xludf.DUMMYFUNCTION("""COMPUTED_VALUE"""),FALSE)</f>
        <v>0</v>
      </c>
    </row>
    <row r="1563">
      <c r="A1563" s="16"/>
      <c r="B1563" s="16"/>
      <c r="C1563" s="16"/>
      <c r="D1563" s="16"/>
      <c r="E1563" s="16">
        <f>IFERROR(__xludf.DUMMYFUNCTION("""COMPUTED_VALUE"""),1.0)</f>
        <v>1</v>
      </c>
      <c r="F1563" s="108">
        <f>IFERROR(__xludf.DUMMYFUNCTION("""COMPUTED_VALUE"""),0.0)</f>
        <v>0</v>
      </c>
      <c r="G1563" s="16"/>
      <c r="H1563" s="16"/>
      <c r="I1563" s="16"/>
      <c r="J1563" s="16"/>
      <c r="K1563" s="16"/>
      <c r="L1563" s="16"/>
      <c r="M1563" s="16"/>
      <c r="N1563" s="16"/>
      <c r="O1563" s="16"/>
      <c r="P1563" s="16"/>
      <c r="Q1563" s="16"/>
      <c r="R1563" s="16"/>
      <c r="S1563" s="16"/>
      <c r="T1563" s="16"/>
      <c r="U1563" s="16"/>
      <c r="V1563" s="16"/>
      <c r="W1563" s="16"/>
      <c r="X1563" s="16"/>
      <c r="Y1563" s="16"/>
      <c r="Z1563" s="16"/>
      <c r="AA1563" s="16"/>
      <c r="AB1563" s="16"/>
      <c r="AC1563" s="16"/>
      <c r="AD1563" s="16"/>
      <c r="AE1563" s="16"/>
      <c r="AF1563" s="16"/>
      <c r="AG1563" s="16"/>
      <c r="AH1563" s="16" t="b">
        <f>IFERROR(__xludf.DUMMYFUNCTION("""COMPUTED_VALUE"""),FALSE)</f>
        <v>0</v>
      </c>
    </row>
    <row r="1564">
      <c r="A1564" s="16"/>
      <c r="B1564" s="16"/>
      <c r="C1564" s="16"/>
      <c r="D1564" s="16"/>
      <c r="E1564" s="16">
        <f>IFERROR(__xludf.DUMMYFUNCTION("""COMPUTED_VALUE"""),1.0)</f>
        <v>1</v>
      </c>
      <c r="F1564" s="108">
        <f>IFERROR(__xludf.DUMMYFUNCTION("""COMPUTED_VALUE"""),0.0)</f>
        <v>0</v>
      </c>
      <c r="G1564" s="16"/>
      <c r="H1564" s="16"/>
      <c r="I1564" s="16"/>
      <c r="J1564" s="16"/>
      <c r="K1564" s="16"/>
      <c r="L1564" s="16"/>
      <c r="M1564" s="16"/>
      <c r="N1564" s="16"/>
      <c r="O1564" s="16"/>
      <c r="P1564" s="16"/>
      <c r="Q1564" s="16"/>
      <c r="R1564" s="16"/>
      <c r="S1564" s="16"/>
      <c r="T1564" s="16"/>
      <c r="U1564" s="16"/>
      <c r="V1564" s="16"/>
      <c r="W1564" s="16"/>
      <c r="X1564" s="16"/>
      <c r="Y1564" s="16"/>
      <c r="Z1564" s="16"/>
      <c r="AA1564" s="16"/>
      <c r="AB1564" s="16"/>
      <c r="AC1564" s="16"/>
      <c r="AD1564" s="16"/>
      <c r="AE1564" s="16"/>
      <c r="AF1564" s="16"/>
      <c r="AG1564" s="16"/>
      <c r="AH1564" s="16" t="b">
        <f>IFERROR(__xludf.DUMMYFUNCTION("""COMPUTED_VALUE"""),FALSE)</f>
        <v>0</v>
      </c>
    </row>
    <row r="1565">
      <c r="A1565" s="16"/>
      <c r="B1565" s="16"/>
      <c r="C1565" s="16"/>
      <c r="D1565" s="16"/>
      <c r="E1565" s="16">
        <f>IFERROR(__xludf.DUMMYFUNCTION("""COMPUTED_VALUE"""),1.0)</f>
        <v>1</v>
      </c>
      <c r="F1565" s="108">
        <f>IFERROR(__xludf.DUMMYFUNCTION("""COMPUTED_VALUE"""),0.0)</f>
        <v>0</v>
      </c>
      <c r="G1565" s="16"/>
      <c r="H1565" s="16"/>
      <c r="I1565" s="16"/>
      <c r="J1565" s="16"/>
      <c r="K1565" s="16"/>
      <c r="L1565" s="16"/>
      <c r="M1565" s="16"/>
      <c r="N1565" s="16"/>
      <c r="O1565" s="16"/>
      <c r="P1565" s="16"/>
      <c r="Q1565" s="16"/>
      <c r="R1565" s="16"/>
      <c r="S1565" s="16"/>
      <c r="T1565" s="16"/>
      <c r="U1565" s="16"/>
      <c r="V1565" s="16"/>
      <c r="W1565" s="16"/>
      <c r="X1565" s="16"/>
      <c r="Y1565" s="16"/>
      <c r="Z1565" s="16"/>
      <c r="AA1565" s="16"/>
      <c r="AB1565" s="16"/>
      <c r="AC1565" s="16"/>
      <c r="AD1565" s="16"/>
      <c r="AE1565" s="16"/>
      <c r="AF1565" s="16"/>
      <c r="AG1565" s="16"/>
      <c r="AH1565" s="16" t="b">
        <f>IFERROR(__xludf.DUMMYFUNCTION("""COMPUTED_VALUE"""),FALSE)</f>
        <v>0</v>
      </c>
    </row>
    <row r="1566">
      <c r="A1566" s="16"/>
      <c r="B1566" s="16"/>
      <c r="C1566" s="16"/>
      <c r="D1566" s="16"/>
      <c r="E1566" s="16">
        <f>IFERROR(__xludf.DUMMYFUNCTION("""COMPUTED_VALUE"""),1.0)</f>
        <v>1</v>
      </c>
      <c r="F1566" s="108">
        <f>IFERROR(__xludf.DUMMYFUNCTION("""COMPUTED_VALUE"""),0.0)</f>
        <v>0</v>
      </c>
      <c r="G1566" s="16"/>
      <c r="H1566" s="16"/>
      <c r="I1566" s="16"/>
      <c r="J1566" s="16"/>
      <c r="K1566" s="16"/>
      <c r="L1566" s="16"/>
      <c r="M1566" s="16"/>
      <c r="N1566" s="16"/>
      <c r="O1566" s="16"/>
      <c r="P1566" s="16"/>
      <c r="Q1566" s="16"/>
      <c r="R1566" s="16"/>
      <c r="S1566" s="16"/>
      <c r="T1566" s="16"/>
      <c r="U1566" s="16"/>
      <c r="V1566" s="16"/>
      <c r="W1566" s="16"/>
      <c r="X1566" s="16"/>
      <c r="Y1566" s="16"/>
      <c r="Z1566" s="16"/>
      <c r="AA1566" s="16"/>
      <c r="AB1566" s="16"/>
      <c r="AC1566" s="16"/>
      <c r="AD1566" s="16"/>
      <c r="AE1566" s="16"/>
      <c r="AF1566" s="16"/>
      <c r="AG1566" s="16"/>
      <c r="AH1566" s="16" t="b">
        <f>IFERROR(__xludf.DUMMYFUNCTION("""COMPUTED_VALUE"""),FALSE)</f>
        <v>0</v>
      </c>
    </row>
    <row r="1567">
      <c r="A1567" s="16"/>
      <c r="B1567" s="16"/>
      <c r="C1567" s="16"/>
      <c r="D1567" s="16"/>
      <c r="E1567" s="16">
        <f>IFERROR(__xludf.DUMMYFUNCTION("""COMPUTED_VALUE"""),1.0)</f>
        <v>1</v>
      </c>
      <c r="F1567" s="108">
        <f>IFERROR(__xludf.DUMMYFUNCTION("""COMPUTED_VALUE"""),0.0)</f>
        <v>0</v>
      </c>
      <c r="G1567" s="16"/>
      <c r="H1567" s="16"/>
      <c r="I1567" s="16"/>
      <c r="J1567" s="16"/>
      <c r="K1567" s="16"/>
      <c r="L1567" s="16"/>
      <c r="M1567" s="16"/>
      <c r="N1567" s="16"/>
      <c r="O1567" s="16"/>
      <c r="P1567" s="16"/>
      <c r="Q1567" s="16"/>
      <c r="R1567" s="16"/>
      <c r="S1567" s="16"/>
      <c r="T1567" s="16"/>
      <c r="U1567" s="16"/>
      <c r="V1567" s="16"/>
      <c r="W1567" s="16"/>
      <c r="X1567" s="16"/>
      <c r="Y1567" s="16"/>
      <c r="Z1567" s="16"/>
      <c r="AA1567" s="16"/>
      <c r="AB1567" s="16"/>
      <c r="AC1567" s="16"/>
      <c r="AD1567" s="16"/>
      <c r="AE1567" s="16"/>
      <c r="AF1567" s="16"/>
      <c r="AG1567" s="16"/>
      <c r="AH1567" s="16" t="b">
        <f>IFERROR(__xludf.DUMMYFUNCTION("""COMPUTED_VALUE"""),FALSE)</f>
        <v>0</v>
      </c>
    </row>
    <row r="1568">
      <c r="A1568" s="16"/>
      <c r="B1568" s="16"/>
      <c r="C1568" s="16"/>
      <c r="D1568" s="16"/>
      <c r="E1568" s="16">
        <f>IFERROR(__xludf.DUMMYFUNCTION("""COMPUTED_VALUE"""),1.0)</f>
        <v>1</v>
      </c>
      <c r="F1568" s="108">
        <f>IFERROR(__xludf.DUMMYFUNCTION("""COMPUTED_VALUE"""),0.0)</f>
        <v>0</v>
      </c>
      <c r="G1568" s="16"/>
      <c r="H1568" s="16"/>
      <c r="I1568" s="16"/>
      <c r="J1568" s="16"/>
      <c r="K1568" s="16"/>
      <c r="L1568" s="16"/>
      <c r="M1568" s="16"/>
      <c r="N1568" s="16"/>
      <c r="O1568" s="16"/>
      <c r="P1568" s="16"/>
      <c r="Q1568" s="16"/>
      <c r="R1568" s="16"/>
      <c r="S1568" s="16"/>
      <c r="T1568" s="16"/>
      <c r="U1568" s="16"/>
      <c r="V1568" s="16"/>
      <c r="W1568" s="16"/>
      <c r="X1568" s="16"/>
      <c r="Y1568" s="16"/>
      <c r="Z1568" s="16"/>
      <c r="AA1568" s="16"/>
      <c r="AB1568" s="16"/>
      <c r="AC1568" s="16"/>
      <c r="AD1568" s="16"/>
      <c r="AE1568" s="16"/>
      <c r="AF1568" s="16"/>
      <c r="AG1568" s="16"/>
      <c r="AH1568" s="16" t="b">
        <f>IFERROR(__xludf.DUMMYFUNCTION("""COMPUTED_VALUE"""),FALSE)</f>
        <v>0</v>
      </c>
    </row>
    <row r="1569">
      <c r="A1569" s="16"/>
      <c r="B1569" s="16"/>
      <c r="C1569" s="16"/>
      <c r="D1569" s="16"/>
      <c r="E1569" s="16">
        <f>IFERROR(__xludf.DUMMYFUNCTION("""COMPUTED_VALUE"""),1.0)</f>
        <v>1</v>
      </c>
      <c r="F1569" s="108">
        <f>IFERROR(__xludf.DUMMYFUNCTION("""COMPUTED_VALUE"""),0.0)</f>
        <v>0</v>
      </c>
      <c r="G1569" s="16"/>
      <c r="H1569" s="16"/>
      <c r="I1569" s="16"/>
      <c r="J1569" s="16"/>
      <c r="K1569" s="16"/>
      <c r="L1569" s="16"/>
      <c r="M1569" s="16"/>
      <c r="N1569" s="16"/>
      <c r="O1569" s="16"/>
      <c r="P1569" s="16"/>
      <c r="Q1569" s="16"/>
      <c r="R1569" s="16"/>
      <c r="S1569" s="16"/>
      <c r="T1569" s="16"/>
      <c r="U1569" s="16"/>
      <c r="V1569" s="16"/>
      <c r="W1569" s="16"/>
      <c r="X1569" s="16"/>
      <c r="Y1569" s="16"/>
      <c r="Z1569" s="16"/>
      <c r="AA1569" s="16"/>
      <c r="AB1569" s="16"/>
      <c r="AC1569" s="16"/>
      <c r="AD1569" s="16"/>
      <c r="AE1569" s="16"/>
      <c r="AF1569" s="16"/>
      <c r="AG1569" s="16"/>
      <c r="AH1569" s="16" t="b">
        <f>IFERROR(__xludf.DUMMYFUNCTION("""COMPUTED_VALUE"""),FALSE)</f>
        <v>0</v>
      </c>
    </row>
    <row r="1570">
      <c r="A1570" s="16"/>
      <c r="B1570" s="16"/>
      <c r="C1570" s="16"/>
      <c r="D1570" s="16"/>
      <c r="E1570" s="16">
        <f>IFERROR(__xludf.DUMMYFUNCTION("""COMPUTED_VALUE"""),1.0)</f>
        <v>1</v>
      </c>
      <c r="F1570" s="108">
        <f>IFERROR(__xludf.DUMMYFUNCTION("""COMPUTED_VALUE"""),0.0)</f>
        <v>0</v>
      </c>
      <c r="G1570" s="16"/>
      <c r="H1570" s="16"/>
      <c r="I1570" s="16"/>
      <c r="J1570" s="16"/>
      <c r="K1570" s="16"/>
      <c r="L1570" s="16"/>
      <c r="M1570" s="16"/>
      <c r="N1570" s="16"/>
      <c r="O1570" s="16"/>
      <c r="P1570" s="16"/>
      <c r="Q1570" s="16"/>
      <c r="R1570" s="16"/>
      <c r="S1570" s="16"/>
      <c r="T1570" s="16"/>
      <c r="U1570" s="16"/>
      <c r="V1570" s="16"/>
      <c r="W1570" s="16"/>
      <c r="X1570" s="16"/>
      <c r="Y1570" s="16"/>
      <c r="Z1570" s="16"/>
      <c r="AA1570" s="16"/>
      <c r="AB1570" s="16"/>
      <c r="AC1570" s="16"/>
      <c r="AD1570" s="16"/>
      <c r="AE1570" s="16"/>
      <c r="AF1570" s="16"/>
      <c r="AG1570" s="16"/>
      <c r="AH1570" s="16" t="b">
        <f>IFERROR(__xludf.DUMMYFUNCTION("""COMPUTED_VALUE"""),FALSE)</f>
        <v>0</v>
      </c>
    </row>
    <row r="1571">
      <c r="A1571" s="16"/>
      <c r="B1571" s="16"/>
      <c r="C1571" s="16"/>
      <c r="D1571" s="16"/>
      <c r="E1571" s="16">
        <f>IFERROR(__xludf.DUMMYFUNCTION("""COMPUTED_VALUE"""),1.0)</f>
        <v>1</v>
      </c>
      <c r="F1571" s="108">
        <f>IFERROR(__xludf.DUMMYFUNCTION("""COMPUTED_VALUE"""),0.0)</f>
        <v>0</v>
      </c>
      <c r="G1571" s="16"/>
      <c r="H1571" s="16"/>
      <c r="I1571" s="16"/>
      <c r="J1571" s="16"/>
      <c r="K1571" s="16"/>
      <c r="L1571" s="16"/>
      <c r="M1571" s="16"/>
      <c r="N1571" s="16"/>
      <c r="O1571" s="16"/>
      <c r="P1571" s="16"/>
      <c r="Q1571" s="16"/>
      <c r="R1571" s="16"/>
      <c r="S1571" s="16"/>
      <c r="T1571" s="16"/>
      <c r="U1571" s="16"/>
      <c r="V1571" s="16"/>
      <c r="W1571" s="16"/>
      <c r="X1571" s="16"/>
      <c r="Y1571" s="16"/>
      <c r="Z1571" s="16"/>
      <c r="AA1571" s="16"/>
      <c r="AB1571" s="16"/>
      <c r="AC1571" s="16"/>
      <c r="AD1571" s="16"/>
      <c r="AE1571" s="16"/>
      <c r="AF1571" s="16"/>
      <c r="AG1571" s="16"/>
      <c r="AH1571" s="16" t="b">
        <f>IFERROR(__xludf.DUMMYFUNCTION("""COMPUTED_VALUE"""),FALSE)</f>
        <v>0</v>
      </c>
    </row>
    <row r="1572">
      <c r="A1572" s="16"/>
      <c r="B1572" s="16"/>
      <c r="C1572" s="16"/>
      <c r="D1572" s="16"/>
      <c r="E1572" s="16">
        <f>IFERROR(__xludf.DUMMYFUNCTION("""COMPUTED_VALUE"""),1.0)</f>
        <v>1</v>
      </c>
      <c r="F1572" s="108">
        <f>IFERROR(__xludf.DUMMYFUNCTION("""COMPUTED_VALUE"""),0.0)</f>
        <v>0</v>
      </c>
      <c r="G1572" s="16"/>
      <c r="H1572" s="16"/>
      <c r="I1572" s="16"/>
      <c r="J1572" s="16"/>
      <c r="K1572" s="16"/>
      <c r="L1572" s="16"/>
      <c r="M1572" s="16"/>
      <c r="N1572" s="16"/>
      <c r="O1572" s="16"/>
      <c r="P1572" s="16"/>
      <c r="Q1572" s="16"/>
      <c r="R1572" s="16"/>
      <c r="S1572" s="16"/>
      <c r="T1572" s="16"/>
      <c r="U1572" s="16"/>
      <c r="V1572" s="16"/>
      <c r="W1572" s="16"/>
      <c r="X1572" s="16"/>
      <c r="Y1572" s="16"/>
      <c r="Z1572" s="16"/>
      <c r="AA1572" s="16"/>
      <c r="AB1572" s="16"/>
      <c r="AC1572" s="16"/>
      <c r="AD1572" s="16"/>
      <c r="AE1572" s="16"/>
      <c r="AF1572" s="16"/>
      <c r="AG1572" s="16"/>
      <c r="AH1572" s="16" t="b">
        <f>IFERROR(__xludf.DUMMYFUNCTION("""COMPUTED_VALUE"""),FALSE)</f>
        <v>0</v>
      </c>
    </row>
    <row r="1573">
      <c r="A1573" s="16"/>
      <c r="B1573" s="16"/>
      <c r="C1573" s="16"/>
      <c r="D1573" s="16"/>
      <c r="E1573" s="16">
        <f>IFERROR(__xludf.DUMMYFUNCTION("""COMPUTED_VALUE"""),1.0)</f>
        <v>1</v>
      </c>
      <c r="F1573" s="108">
        <f>IFERROR(__xludf.DUMMYFUNCTION("""COMPUTED_VALUE"""),0.0)</f>
        <v>0</v>
      </c>
      <c r="G1573" s="16"/>
      <c r="H1573" s="16"/>
      <c r="I1573" s="16"/>
      <c r="J1573" s="16"/>
      <c r="K1573" s="16"/>
      <c r="L1573" s="16"/>
      <c r="M1573" s="16"/>
      <c r="N1573" s="16"/>
      <c r="O1573" s="16"/>
      <c r="P1573" s="16"/>
      <c r="Q1573" s="16"/>
      <c r="R1573" s="16"/>
      <c r="S1573" s="16"/>
      <c r="T1573" s="16"/>
      <c r="U1573" s="16"/>
      <c r="V1573" s="16"/>
      <c r="W1573" s="16"/>
      <c r="X1573" s="16"/>
      <c r="Y1573" s="16"/>
      <c r="Z1573" s="16"/>
      <c r="AA1573" s="16"/>
      <c r="AB1573" s="16"/>
      <c r="AC1573" s="16"/>
      <c r="AD1573" s="16"/>
      <c r="AE1573" s="16"/>
      <c r="AF1573" s="16"/>
      <c r="AG1573" s="16"/>
      <c r="AH1573" s="16" t="b">
        <f>IFERROR(__xludf.DUMMYFUNCTION("""COMPUTED_VALUE"""),FALSE)</f>
        <v>0</v>
      </c>
    </row>
    <row r="1574">
      <c r="A1574" s="16"/>
      <c r="B1574" s="16"/>
      <c r="C1574" s="16"/>
      <c r="D1574" s="16"/>
      <c r="E1574" s="16">
        <f>IFERROR(__xludf.DUMMYFUNCTION("""COMPUTED_VALUE"""),1.0)</f>
        <v>1</v>
      </c>
      <c r="F1574" s="108">
        <f>IFERROR(__xludf.DUMMYFUNCTION("""COMPUTED_VALUE"""),0.0)</f>
        <v>0</v>
      </c>
      <c r="G1574" s="16"/>
      <c r="H1574" s="16"/>
      <c r="I1574" s="16"/>
      <c r="J1574" s="16"/>
      <c r="K1574" s="16"/>
      <c r="L1574" s="16"/>
      <c r="M1574" s="16"/>
      <c r="N1574" s="16"/>
      <c r="O1574" s="16"/>
      <c r="P1574" s="16"/>
      <c r="Q1574" s="16"/>
      <c r="R1574" s="16"/>
      <c r="S1574" s="16"/>
      <c r="T1574" s="16"/>
      <c r="U1574" s="16"/>
      <c r="V1574" s="16"/>
      <c r="W1574" s="16"/>
      <c r="X1574" s="16"/>
      <c r="Y1574" s="16"/>
      <c r="Z1574" s="16"/>
      <c r="AA1574" s="16"/>
      <c r="AB1574" s="16"/>
      <c r="AC1574" s="16"/>
      <c r="AD1574" s="16"/>
      <c r="AE1574" s="16"/>
      <c r="AF1574" s="16"/>
      <c r="AG1574" s="16"/>
      <c r="AH1574" s="16" t="b">
        <f>IFERROR(__xludf.DUMMYFUNCTION("""COMPUTED_VALUE"""),FALSE)</f>
        <v>0</v>
      </c>
    </row>
    <row r="1575">
      <c r="A1575" s="16"/>
      <c r="B1575" s="16"/>
      <c r="C1575" s="16"/>
      <c r="D1575" s="16"/>
      <c r="E1575" s="16">
        <f>IFERROR(__xludf.DUMMYFUNCTION("""COMPUTED_VALUE"""),1.0)</f>
        <v>1</v>
      </c>
      <c r="F1575" s="108">
        <f>IFERROR(__xludf.DUMMYFUNCTION("""COMPUTED_VALUE"""),0.0)</f>
        <v>0</v>
      </c>
      <c r="G1575" s="16"/>
      <c r="H1575" s="16"/>
      <c r="I1575" s="16"/>
      <c r="J1575" s="16"/>
      <c r="K1575" s="16"/>
      <c r="L1575" s="16"/>
      <c r="M1575" s="16"/>
      <c r="N1575" s="16"/>
      <c r="O1575" s="16"/>
      <c r="P1575" s="16"/>
      <c r="Q1575" s="16"/>
      <c r="R1575" s="16"/>
      <c r="S1575" s="16"/>
      <c r="T1575" s="16"/>
      <c r="U1575" s="16"/>
      <c r="V1575" s="16"/>
      <c r="W1575" s="16"/>
      <c r="X1575" s="16"/>
      <c r="Y1575" s="16"/>
      <c r="Z1575" s="16"/>
      <c r="AA1575" s="16"/>
      <c r="AB1575" s="16"/>
      <c r="AC1575" s="16"/>
      <c r="AD1575" s="16"/>
      <c r="AE1575" s="16"/>
      <c r="AF1575" s="16"/>
      <c r="AG1575" s="16"/>
      <c r="AH1575" s="16" t="b">
        <f>IFERROR(__xludf.DUMMYFUNCTION("""COMPUTED_VALUE"""),FALSE)</f>
        <v>0</v>
      </c>
    </row>
    <row r="1576">
      <c r="A1576" s="16"/>
      <c r="B1576" s="16"/>
      <c r="C1576" s="16"/>
      <c r="D1576" s="16"/>
      <c r="E1576" s="16">
        <f>IFERROR(__xludf.DUMMYFUNCTION("""COMPUTED_VALUE"""),1.0)</f>
        <v>1</v>
      </c>
      <c r="F1576" s="108">
        <f>IFERROR(__xludf.DUMMYFUNCTION("""COMPUTED_VALUE"""),0.0)</f>
        <v>0</v>
      </c>
      <c r="G1576" s="16"/>
      <c r="H1576" s="16"/>
      <c r="I1576" s="16"/>
      <c r="J1576" s="16"/>
      <c r="K1576" s="16"/>
      <c r="L1576" s="16"/>
      <c r="M1576" s="16"/>
      <c r="N1576" s="16"/>
      <c r="O1576" s="16"/>
      <c r="P1576" s="16"/>
      <c r="Q1576" s="16"/>
      <c r="R1576" s="16"/>
      <c r="S1576" s="16"/>
      <c r="T1576" s="16"/>
      <c r="U1576" s="16"/>
      <c r="V1576" s="16"/>
      <c r="W1576" s="16"/>
      <c r="X1576" s="16"/>
      <c r="Y1576" s="16"/>
      <c r="Z1576" s="16"/>
      <c r="AA1576" s="16"/>
      <c r="AB1576" s="16"/>
      <c r="AC1576" s="16"/>
      <c r="AD1576" s="16"/>
      <c r="AE1576" s="16"/>
      <c r="AF1576" s="16"/>
      <c r="AG1576" s="16"/>
      <c r="AH1576" s="16" t="b">
        <f>IFERROR(__xludf.DUMMYFUNCTION("""COMPUTED_VALUE"""),FALSE)</f>
        <v>0</v>
      </c>
    </row>
    <row r="1577">
      <c r="A1577" s="16"/>
      <c r="B1577" s="16"/>
      <c r="C1577" s="16"/>
      <c r="D1577" s="16"/>
      <c r="E1577" s="16">
        <f>IFERROR(__xludf.DUMMYFUNCTION("""COMPUTED_VALUE"""),1.0)</f>
        <v>1</v>
      </c>
      <c r="F1577" s="108">
        <f>IFERROR(__xludf.DUMMYFUNCTION("""COMPUTED_VALUE"""),0.0)</f>
        <v>0</v>
      </c>
      <c r="G1577" s="16"/>
      <c r="H1577" s="16"/>
      <c r="I1577" s="16"/>
      <c r="J1577" s="16"/>
      <c r="K1577" s="16"/>
      <c r="L1577" s="16"/>
      <c r="M1577" s="16"/>
      <c r="N1577" s="16"/>
      <c r="O1577" s="16"/>
      <c r="P1577" s="16"/>
      <c r="Q1577" s="16"/>
      <c r="R1577" s="16"/>
      <c r="S1577" s="16"/>
      <c r="T1577" s="16"/>
      <c r="U1577" s="16"/>
      <c r="V1577" s="16"/>
      <c r="W1577" s="16"/>
      <c r="X1577" s="16"/>
      <c r="Y1577" s="16"/>
      <c r="Z1577" s="16"/>
      <c r="AA1577" s="16"/>
      <c r="AB1577" s="16"/>
      <c r="AC1577" s="16"/>
      <c r="AD1577" s="16"/>
      <c r="AE1577" s="16"/>
      <c r="AF1577" s="16"/>
      <c r="AG1577" s="16"/>
      <c r="AH1577" s="16" t="b">
        <f>IFERROR(__xludf.DUMMYFUNCTION("""COMPUTED_VALUE"""),FALSE)</f>
        <v>0</v>
      </c>
    </row>
    <row r="1578">
      <c r="A1578" s="16"/>
      <c r="B1578" s="16"/>
      <c r="C1578" s="16"/>
      <c r="D1578" s="16"/>
      <c r="E1578" s="16">
        <f>IFERROR(__xludf.DUMMYFUNCTION("""COMPUTED_VALUE"""),1.0)</f>
        <v>1</v>
      </c>
      <c r="F1578" s="108">
        <f>IFERROR(__xludf.DUMMYFUNCTION("""COMPUTED_VALUE"""),0.0)</f>
        <v>0</v>
      </c>
      <c r="G1578" s="16"/>
      <c r="H1578" s="16"/>
      <c r="I1578" s="16"/>
      <c r="J1578" s="16"/>
      <c r="K1578" s="16"/>
      <c r="L1578" s="16"/>
      <c r="M1578" s="16"/>
      <c r="N1578" s="16"/>
      <c r="O1578" s="16"/>
      <c r="P1578" s="16"/>
      <c r="Q1578" s="16"/>
      <c r="R1578" s="16"/>
      <c r="S1578" s="16"/>
      <c r="T1578" s="16"/>
      <c r="U1578" s="16"/>
      <c r="V1578" s="16"/>
      <c r="W1578" s="16"/>
      <c r="X1578" s="16"/>
      <c r="Y1578" s="16"/>
      <c r="Z1578" s="16"/>
      <c r="AA1578" s="16"/>
      <c r="AB1578" s="16"/>
      <c r="AC1578" s="16"/>
      <c r="AD1578" s="16"/>
      <c r="AE1578" s="16"/>
      <c r="AF1578" s="16"/>
      <c r="AG1578" s="16"/>
      <c r="AH1578" s="16" t="b">
        <f>IFERROR(__xludf.DUMMYFUNCTION("""COMPUTED_VALUE"""),FALSE)</f>
        <v>0</v>
      </c>
    </row>
    <row r="1579">
      <c r="A1579" s="16"/>
      <c r="B1579" s="16"/>
      <c r="C1579" s="16"/>
      <c r="D1579" s="16"/>
      <c r="E1579" s="16">
        <f>IFERROR(__xludf.DUMMYFUNCTION("""COMPUTED_VALUE"""),1.0)</f>
        <v>1</v>
      </c>
      <c r="F1579" s="108">
        <f>IFERROR(__xludf.DUMMYFUNCTION("""COMPUTED_VALUE"""),0.0)</f>
        <v>0</v>
      </c>
      <c r="G1579" s="16"/>
      <c r="H1579" s="16"/>
      <c r="I1579" s="16"/>
      <c r="J1579" s="16"/>
      <c r="K1579" s="16"/>
      <c r="L1579" s="16"/>
      <c r="M1579" s="16"/>
      <c r="N1579" s="16"/>
      <c r="O1579" s="16"/>
      <c r="P1579" s="16"/>
      <c r="Q1579" s="16"/>
      <c r="R1579" s="16"/>
      <c r="S1579" s="16"/>
      <c r="T1579" s="16"/>
      <c r="U1579" s="16"/>
      <c r="V1579" s="16"/>
      <c r="W1579" s="16"/>
      <c r="X1579" s="16"/>
      <c r="Y1579" s="16"/>
      <c r="Z1579" s="16"/>
      <c r="AA1579" s="16"/>
      <c r="AB1579" s="16"/>
      <c r="AC1579" s="16"/>
      <c r="AD1579" s="16"/>
      <c r="AE1579" s="16"/>
      <c r="AF1579" s="16"/>
      <c r="AG1579" s="16"/>
      <c r="AH1579" s="16" t="b">
        <f>IFERROR(__xludf.DUMMYFUNCTION("""COMPUTED_VALUE"""),FALSE)</f>
        <v>0</v>
      </c>
    </row>
    <row r="1580">
      <c r="A1580" s="16"/>
      <c r="B1580" s="16"/>
      <c r="C1580" s="16"/>
      <c r="D1580" s="16"/>
      <c r="E1580" s="16">
        <f>IFERROR(__xludf.DUMMYFUNCTION("""COMPUTED_VALUE"""),1.0)</f>
        <v>1</v>
      </c>
      <c r="F1580" s="108">
        <f>IFERROR(__xludf.DUMMYFUNCTION("""COMPUTED_VALUE"""),0.0)</f>
        <v>0</v>
      </c>
      <c r="G1580" s="16"/>
      <c r="H1580" s="16"/>
      <c r="I1580" s="16"/>
      <c r="J1580" s="16"/>
      <c r="K1580" s="16"/>
      <c r="L1580" s="16"/>
      <c r="M1580" s="16"/>
      <c r="N1580" s="16"/>
      <c r="O1580" s="16"/>
      <c r="P1580" s="16"/>
      <c r="Q1580" s="16"/>
      <c r="R1580" s="16"/>
      <c r="S1580" s="16"/>
      <c r="T1580" s="16"/>
      <c r="U1580" s="16"/>
      <c r="V1580" s="16"/>
      <c r="W1580" s="16"/>
      <c r="X1580" s="16"/>
      <c r="Y1580" s="16"/>
      <c r="Z1580" s="16"/>
      <c r="AA1580" s="16"/>
      <c r="AB1580" s="16"/>
      <c r="AC1580" s="16"/>
      <c r="AD1580" s="16"/>
      <c r="AE1580" s="16"/>
      <c r="AF1580" s="16"/>
      <c r="AG1580" s="16"/>
      <c r="AH1580" s="16" t="b">
        <f>IFERROR(__xludf.DUMMYFUNCTION("""COMPUTED_VALUE"""),FALSE)</f>
        <v>0</v>
      </c>
    </row>
    <row r="1581">
      <c r="A1581" s="16"/>
      <c r="B1581" s="16"/>
      <c r="C1581" s="16"/>
      <c r="D1581" s="16"/>
      <c r="E1581" s="16">
        <f>IFERROR(__xludf.DUMMYFUNCTION("""COMPUTED_VALUE"""),1.0)</f>
        <v>1</v>
      </c>
      <c r="F1581" s="108">
        <f>IFERROR(__xludf.DUMMYFUNCTION("""COMPUTED_VALUE"""),0.0)</f>
        <v>0</v>
      </c>
      <c r="G1581" s="16"/>
      <c r="H1581" s="16"/>
      <c r="I1581" s="16"/>
      <c r="J1581" s="16"/>
      <c r="K1581" s="16"/>
      <c r="L1581" s="16"/>
      <c r="M1581" s="16"/>
      <c r="N1581" s="16"/>
      <c r="O1581" s="16"/>
      <c r="P1581" s="16"/>
      <c r="Q1581" s="16"/>
      <c r="R1581" s="16"/>
      <c r="S1581" s="16"/>
      <c r="T1581" s="16"/>
      <c r="U1581" s="16"/>
      <c r="V1581" s="16"/>
      <c r="W1581" s="16"/>
      <c r="X1581" s="16"/>
      <c r="Y1581" s="16"/>
      <c r="Z1581" s="16"/>
      <c r="AA1581" s="16"/>
      <c r="AB1581" s="16"/>
      <c r="AC1581" s="16"/>
      <c r="AD1581" s="16"/>
      <c r="AE1581" s="16"/>
      <c r="AF1581" s="16"/>
      <c r="AG1581" s="16"/>
      <c r="AH1581" s="16" t="b">
        <f>IFERROR(__xludf.DUMMYFUNCTION("""COMPUTED_VALUE"""),FALSE)</f>
        <v>0</v>
      </c>
    </row>
    <row r="1582">
      <c r="A1582" s="16"/>
      <c r="B1582" s="16"/>
      <c r="C1582" s="16"/>
      <c r="D1582" s="16"/>
      <c r="E1582" s="16">
        <f>IFERROR(__xludf.DUMMYFUNCTION("""COMPUTED_VALUE"""),1.0)</f>
        <v>1</v>
      </c>
      <c r="F1582" s="108">
        <f>IFERROR(__xludf.DUMMYFUNCTION("""COMPUTED_VALUE"""),0.0)</f>
        <v>0</v>
      </c>
      <c r="G1582" s="16"/>
      <c r="H1582" s="16"/>
      <c r="I1582" s="16"/>
      <c r="J1582" s="16"/>
      <c r="K1582" s="16"/>
      <c r="L1582" s="16"/>
      <c r="M1582" s="16"/>
      <c r="N1582" s="16"/>
      <c r="O1582" s="16"/>
      <c r="P1582" s="16"/>
      <c r="Q1582" s="16"/>
      <c r="R1582" s="16"/>
      <c r="S1582" s="16"/>
      <c r="T1582" s="16"/>
      <c r="U1582" s="16"/>
      <c r="V1582" s="16"/>
      <c r="W1582" s="16"/>
      <c r="X1582" s="16"/>
      <c r="Y1582" s="16"/>
      <c r="Z1582" s="16"/>
      <c r="AA1582" s="16"/>
      <c r="AB1582" s="16"/>
      <c r="AC1582" s="16"/>
      <c r="AD1582" s="16"/>
      <c r="AE1582" s="16"/>
      <c r="AF1582" s="16"/>
      <c r="AG1582" s="16"/>
      <c r="AH1582" s="16" t="b">
        <f>IFERROR(__xludf.DUMMYFUNCTION("""COMPUTED_VALUE"""),FALSE)</f>
        <v>0</v>
      </c>
    </row>
    <row r="1583">
      <c r="A1583" s="16"/>
      <c r="B1583" s="16"/>
      <c r="C1583" s="16"/>
      <c r="D1583" s="16"/>
      <c r="E1583" s="16">
        <f>IFERROR(__xludf.DUMMYFUNCTION("""COMPUTED_VALUE"""),1.0)</f>
        <v>1</v>
      </c>
      <c r="F1583" s="108">
        <f>IFERROR(__xludf.DUMMYFUNCTION("""COMPUTED_VALUE"""),0.0)</f>
        <v>0</v>
      </c>
      <c r="G1583" s="16"/>
      <c r="H1583" s="16"/>
      <c r="I1583" s="16"/>
      <c r="J1583" s="16"/>
      <c r="K1583" s="16"/>
      <c r="L1583" s="16"/>
      <c r="M1583" s="16"/>
      <c r="N1583" s="16"/>
      <c r="O1583" s="16"/>
      <c r="P1583" s="16"/>
      <c r="Q1583" s="16"/>
      <c r="R1583" s="16"/>
      <c r="S1583" s="16"/>
      <c r="T1583" s="16"/>
      <c r="U1583" s="16"/>
      <c r="V1583" s="16"/>
      <c r="W1583" s="16"/>
      <c r="X1583" s="16"/>
      <c r="Y1583" s="16"/>
      <c r="Z1583" s="16"/>
      <c r="AA1583" s="16"/>
      <c r="AB1583" s="16"/>
      <c r="AC1583" s="16"/>
      <c r="AD1583" s="16"/>
      <c r="AE1583" s="16"/>
      <c r="AF1583" s="16"/>
      <c r="AG1583" s="16"/>
      <c r="AH1583" s="16" t="b">
        <f>IFERROR(__xludf.DUMMYFUNCTION("""COMPUTED_VALUE"""),FALSE)</f>
        <v>0</v>
      </c>
    </row>
    <row r="1584">
      <c r="A1584" s="16"/>
      <c r="B1584" s="16"/>
      <c r="C1584" s="16"/>
      <c r="D1584" s="16"/>
      <c r="E1584" s="16">
        <f>IFERROR(__xludf.DUMMYFUNCTION("""COMPUTED_VALUE"""),1.0)</f>
        <v>1</v>
      </c>
      <c r="F1584" s="108">
        <f>IFERROR(__xludf.DUMMYFUNCTION("""COMPUTED_VALUE"""),0.0)</f>
        <v>0</v>
      </c>
      <c r="G1584" s="16"/>
      <c r="H1584" s="16"/>
      <c r="I1584" s="16"/>
      <c r="J1584" s="16"/>
      <c r="K1584" s="16"/>
      <c r="L1584" s="16"/>
      <c r="M1584" s="16"/>
      <c r="N1584" s="16"/>
      <c r="O1584" s="16"/>
      <c r="P1584" s="16"/>
      <c r="Q1584" s="16"/>
      <c r="R1584" s="16"/>
      <c r="S1584" s="16"/>
      <c r="T1584" s="16"/>
      <c r="U1584" s="16"/>
      <c r="V1584" s="16"/>
      <c r="W1584" s="16"/>
      <c r="X1584" s="16"/>
      <c r="Y1584" s="16"/>
      <c r="Z1584" s="16"/>
      <c r="AA1584" s="16"/>
      <c r="AB1584" s="16"/>
      <c r="AC1584" s="16"/>
      <c r="AD1584" s="16"/>
      <c r="AE1584" s="16"/>
      <c r="AF1584" s="16"/>
      <c r="AG1584" s="16"/>
      <c r="AH1584" s="16" t="b">
        <f>IFERROR(__xludf.DUMMYFUNCTION("""COMPUTED_VALUE"""),FALSE)</f>
        <v>0</v>
      </c>
    </row>
    <row r="1585">
      <c r="A1585" s="16"/>
      <c r="B1585" s="16"/>
      <c r="C1585" s="16"/>
      <c r="D1585" s="16"/>
      <c r="E1585" s="16">
        <f>IFERROR(__xludf.DUMMYFUNCTION("""COMPUTED_VALUE"""),1.0)</f>
        <v>1</v>
      </c>
      <c r="F1585" s="108">
        <f>IFERROR(__xludf.DUMMYFUNCTION("""COMPUTED_VALUE"""),0.0)</f>
        <v>0</v>
      </c>
      <c r="G1585" s="16"/>
      <c r="H1585" s="16"/>
      <c r="I1585" s="16"/>
      <c r="J1585" s="16"/>
      <c r="K1585" s="16"/>
      <c r="L1585" s="16"/>
      <c r="M1585" s="16"/>
      <c r="N1585" s="16"/>
      <c r="O1585" s="16"/>
      <c r="P1585" s="16"/>
      <c r="Q1585" s="16"/>
      <c r="R1585" s="16"/>
      <c r="S1585" s="16"/>
      <c r="T1585" s="16"/>
      <c r="U1585" s="16"/>
      <c r="V1585" s="16"/>
      <c r="W1585" s="16"/>
      <c r="X1585" s="16"/>
      <c r="Y1585" s="16"/>
      <c r="Z1585" s="16"/>
      <c r="AA1585" s="16"/>
      <c r="AB1585" s="16"/>
      <c r="AC1585" s="16"/>
      <c r="AD1585" s="16"/>
      <c r="AE1585" s="16"/>
      <c r="AF1585" s="16"/>
      <c r="AG1585" s="16"/>
      <c r="AH1585" s="16" t="b">
        <f>IFERROR(__xludf.DUMMYFUNCTION("""COMPUTED_VALUE"""),FALSE)</f>
        <v>0</v>
      </c>
    </row>
    <row r="1586">
      <c r="A1586" s="16"/>
      <c r="B1586" s="16"/>
      <c r="C1586" s="16"/>
      <c r="D1586" s="16"/>
      <c r="E1586" s="16">
        <f>IFERROR(__xludf.DUMMYFUNCTION("""COMPUTED_VALUE"""),1.0)</f>
        <v>1</v>
      </c>
      <c r="F1586" s="108">
        <f>IFERROR(__xludf.DUMMYFUNCTION("""COMPUTED_VALUE"""),0.0)</f>
        <v>0</v>
      </c>
      <c r="G1586" s="16"/>
      <c r="H1586" s="16"/>
      <c r="I1586" s="16"/>
      <c r="J1586" s="16"/>
      <c r="K1586" s="16"/>
      <c r="L1586" s="16"/>
      <c r="M1586" s="16"/>
      <c r="N1586" s="16"/>
      <c r="O1586" s="16"/>
      <c r="P1586" s="16"/>
      <c r="Q1586" s="16"/>
      <c r="R1586" s="16"/>
      <c r="S1586" s="16"/>
      <c r="T1586" s="16"/>
      <c r="U1586" s="16"/>
      <c r="V1586" s="16"/>
      <c r="W1586" s="16"/>
      <c r="X1586" s="16"/>
      <c r="Y1586" s="16"/>
      <c r="Z1586" s="16"/>
      <c r="AA1586" s="16"/>
      <c r="AB1586" s="16"/>
      <c r="AC1586" s="16"/>
      <c r="AD1586" s="16"/>
      <c r="AE1586" s="16"/>
      <c r="AF1586" s="16"/>
      <c r="AG1586" s="16"/>
      <c r="AH1586" s="16" t="b">
        <f>IFERROR(__xludf.DUMMYFUNCTION("""COMPUTED_VALUE"""),FALSE)</f>
        <v>0</v>
      </c>
    </row>
    <row r="1587">
      <c r="A1587" s="16"/>
      <c r="B1587" s="16"/>
      <c r="C1587" s="16"/>
      <c r="D1587" s="16"/>
      <c r="E1587" s="16">
        <f>IFERROR(__xludf.DUMMYFUNCTION("""COMPUTED_VALUE"""),1.0)</f>
        <v>1</v>
      </c>
      <c r="F1587" s="108">
        <f>IFERROR(__xludf.DUMMYFUNCTION("""COMPUTED_VALUE"""),0.0)</f>
        <v>0</v>
      </c>
      <c r="G1587" s="16"/>
      <c r="H1587" s="16"/>
      <c r="I1587" s="16"/>
      <c r="J1587" s="16"/>
      <c r="K1587" s="16"/>
      <c r="L1587" s="16"/>
      <c r="M1587" s="16"/>
      <c r="N1587" s="16"/>
      <c r="O1587" s="16"/>
      <c r="P1587" s="16"/>
      <c r="Q1587" s="16"/>
      <c r="R1587" s="16"/>
      <c r="S1587" s="16"/>
      <c r="T1587" s="16"/>
      <c r="U1587" s="16"/>
      <c r="V1587" s="16"/>
      <c r="W1587" s="16"/>
      <c r="X1587" s="16"/>
      <c r="Y1587" s="16"/>
      <c r="Z1587" s="16"/>
      <c r="AA1587" s="16"/>
      <c r="AB1587" s="16"/>
      <c r="AC1587" s="16"/>
      <c r="AD1587" s="16"/>
      <c r="AE1587" s="16"/>
      <c r="AF1587" s="16"/>
      <c r="AG1587" s="16"/>
      <c r="AH1587" s="16" t="b">
        <f>IFERROR(__xludf.DUMMYFUNCTION("""COMPUTED_VALUE"""),FALSE)</f>
        <v>0</v>
      </c>
    </row>
    <row r="1588">
      <c r="A1588" s="16"/>
      <c r="B1588" s="16"/>
      <c r="C1588" s="16"/>
      <c r="D1588" s="16"/>
      <c r="E1588" s="16">
        <f>IFERROR(__xludf.DUMMYFUNCTION("""COMPUTED_VALUE"""),1.0)</f>
        <v>1</v>
      </c>
      <c r="F1588" s="108">
        <f>IFERROR(__xludf.DUMMYFUNCTION("""COMPUTED_VALUE"""),0.0)</f>
        <v>0</v>
      </c>
      <c r="G1588" s="16"/>
      <c r="H1588" s="16"/>
      <c r="I1588" s="16"/>
      <c r="J1588" s="16"/>
      <c r="K1588" s="16"/>
      <c r="L1588" s="16"/>
      <c r="M1588" s="16"/>
      <c r="N1588" s="16"/>
      <c r="O1588" s="16"/>
      <c r="P1588" s="16"/>
      <c r="Q1588" s="16"/>
      <c r="R1588" s="16"/>
      <c r="S1588" s="16"/>
      <c r="T1588" s="16"/>
      <c r="U1588" s="16"/>
      <c r="V1588" s="16"/>
      <c r="W1588" s="16"/>
      <c r="X1588" s="16"/>
      <c r="Y1588" s="16"/>
      <c r="Z1588" s="16"/>
      <c r="AA1588" s="16"/>
      <c r="AB1588" s="16"/>
      <c r="AC1588" s="16"/>
      <c r="AD1588" s="16"/>
      <c r="AE1588" s="16"/>
      <c r="AF1588" s="16"/>
      <c r="AG1588" s="16"/>
      <c r="AH1588" s="16" t="b">
        <f>IFERROR(__xludf.DUMMYFUNCTION("""COMPUTED_VALUE"""),FALSE)</f>
        <v>0</v>
      </c>
    </row>
    <row r="1589">
      <c r="A1589" s="16"/>
      <c r="B1589" s="16"/>
      <c r="C1589" s="16"/>
      <c r="D1589" s="16"/>
      <c r="E1589" s="16">
        <f>IFERROR(__xludf.DUMMYFUNCTION("""COMPUTED_VALUE"""),1.0)</f>
        <v>1</v>
      </c>
      <c r="F1589" s="108">
        <f>IFERROR(__xludf.DUMMYFUNCTION("""COMPUTED_VALUE"""),0.0)</f>
        <v>0</v>
      </c>
      <c r="G1589" s="16"/>
      <c r="H1589" s="16"/>
      <c r="I1589" s="16"/>
      <c r="J1589" s="16"/>
      <c r="K1589" s="16"/>
      <c r="L1589" s="16"/>
      <c r="M1589" s="16"/>
      <c r="N1589" s="16"/>
      <c r="O1589" s="16"/>
      <c r="P1589" s="16"/>
      <c r="Q1589" s="16"/>
      <c r="R1589" s="16"/>
      <c r="S1589" s="16"/>
      <c r="T1589" s="16"/>
      <c r="U1589" s="16"/>
      <c r="V1589" s="16"/>
      <c r="W1589" s="16"/>
      <c r="X1589" s="16"/>
      <c r="Y1589" s="16"/>
      <c r="Z1589" s="16"/>
      <c r="AA1589" s="16"/>
      <c r="AB1589" s="16"/>
      <c r="AC1589" s="16"/>
      <c r="AD1589" s="16"/>
      <c r="AE1589" s="16"/>
      <c r="AF1589" s="16"/>
      <c r="AG1589" s="16"/>
      <c r="AH1589" s="16" t="b">
        <f>IFERROR(__xludf.DUMMYFUNCTION("""COMPUTED_VALUE"""),FALSE)</f>
        <v>0</v>
      </c>
    </row>
    <row r="1590">
      <c r="A1590" s="16"/>
      <c r="B1590" s="16"/>
      <c r="C1590" s="16"/>
      <c r="D1590" s="16"/>
      <c r="E1590" s="16">
        <f>IFERROR(__xludf.DUMMYFUNCTION("""COMPUTED_VALUE"""),1.0)</f>
        <v>1</v>
      </c>
      <c r="F1590" s="108">
        <f>IFERROR(__xludf.DUMMYFUNCTION("""COMPUTED_VALUE"""),0.0)</f>
        <v>0</v>
      </c>
      <c r="G1590" s="16"/>
      <c r="H1590" s="16"/>
      <c r="I1590" s="16"/>
      <c r="J1590" s="16"/>
      <c r="K1590" s="16"/>
      <c r="L1590" s="16"/>
      <c r="M1590" s="16"/>
      <c r="N1590" s="16"/>
      <c r="O1590" s="16"/>
      <c r="P1590" s="16"/>
      <c r="Q1590" s="16"/>
      <c r="R1590" s="16"/>
      <c r="S1590" s="16"/>
      <c r="T1590" s="16"/>
      <c r="U1590" s="16"/>
      <c r="V1590" s="16"/>
      <c r="W1590" s="16"/>
      <c r="X1590" s="16"/>
      <c r="Y1590" s="16"/>
      <c r="Z1590" s="16"/>
      <c r="AA1590" s="16"/>
      <c r="AB1590" s="16"/>
      <c r="AC1590" s="16"/>
      <c r="AD1590" s="16"/>
      <c r="AE1590" s="16"/>
      <c r="AF1590" s="16"/>
      <c r="AG1590" s="16"/>
      <c r="AH1590" s="16" t="b">
        <f>IFERROR(__xludf.DUMMYFUNCTION("""COMPUTED_VALUE"""),FALSE)</f>
        <v>0</v>
      </c>
    </row>
    <row r="1591">
      <c r="A1591" s="16"/>
      <c r="B1591" s="16"/>
      <c r="C1591" s="16"/>
      <c r="D1591" s="16"/>
      <c r="E1591" s="16">
        <f>IFERROR(__xludf.DUMMYFUNCTION("""COMPUTED_VALUE"""),1.0)</f>
        <v>1</v>
      </c>
      <c r="F1591" s="108">
        <f>IFERROR(__xludf.DUMMYFUNCTION("""COMPUTED_VALUE"""),0.0)</f>
        <v>0</v>
      </c>
      <c r="G1591" s="16"/>
      <c r="H1591" s="16"/>
      <c r="I1591" s="16"/>
      <c r="J1591" s="16"/>
      <c r="K1591" s="16"/>
      <c r="L1591" s="16"/>
      <c r="M1591" s="16"/>
      <c r="N1591" s="16"/>
      <c r="O1591" s="16"/>
      <c r="P1591" s="16"/>
      <c r="Q1591" s="16"/>
      <c r="R1591" s="16"/>
      <c r="S1591" s="16"/>
      <c r="T1591" s="16"/>
      <c r="U1591" s="16"/>
      <c r="V1591" s="16"/>
      <c r="W1591" s="16"/>
      <c r="X1591" s="16"/>
      <c r="Y1591" s="16"/>
      <c r="Z1591" s="16"/>
      <c r="AA1591" s="16"/>
      <c r="AB1591" s="16"/>
      <c r="AC1591" s="16"/>
      <c r="AD1591" s="16"/>
      <c r="AE1591" s="16"/>
      <c r="AF1591" s="16"/>
      <c r="AG1591" s="16"/>
      <c r="AH1591" s="16" t="b">
        <f>IFERROR(__xludf.DUMMYFUNCTION("""COMPUTED_VALUE"""),FALSE)</f>
        <v>0</v>
      </c>
    </row>
    <row r="1592">
      <c r="A1592" s="16"/>
      <c r="B1592" s="16"/>
      <c r="C1592" s="16"/>
      <c r="D1592" s="16"/>
      <c r="E1592" s="16">
        <f>IFERROR(__xludf.DUMMYFUNCTION("""COMPUTED_VALUE"""),1.0)</f>
        <v>1</v>
      </c>
      <c r="F1592" s="108">
        <f>IFERROR(__xludf.DUMMYFUNCTION("""COMPUTED_VALUE"""),0.0)</f>
        <v>0</v>
      </c>
      <c r="G1592" s="16"/>
      <c r="H1592" s="16"/>
      <c r="I1592" s="16"/>
      <c r="J1592" s="16"/>
      <c r="K1592" s="16"/>
      <c r="L1592" s="16"/>
      <c r="M1592" s="16"/>
      <c r="N1592" s="16"/>
      <c r="O1592" s="16"/>
      <c r="P1592" s="16"/>
      <c r="Q1592" s="16"/>
      <c r="R1592" s="16"/>
      <c r="S1592" s="16"/>
      <c r="T1592" s="16"/>
      <c r="U1592" s="16"/>
      <c r="V1592" s="16"/>
      <c r="W1592" s="16"/>
      <c r="X1592" s="16"/>
      <c r="Y1592" s="16"/>
      <c r="Z1592" s="16"/>
      <c r="AA1592" s="16"/>
      <c r="AB1592" s="16"/>
      <c r="AC1592" s="16"/>
      <c r="AD1592" s="16"/>
      <c r="AE1592" s="16"/>
      <c r="AF1592" s="16"/>
      <c r="AG1592" s="16"/>
      <c r="AH1592" s="16" t="b">
        <f>IFERROR(__xludf.DUMMYFUNCTION("""COMPUTED_VALUE"""),FALSE)</f>
        <v>0</v>
      </c>
    </row>
    <row r="1593">
      <c r="A1593" s="16"/>
      <c r="B1593" s="16"/>
      <c r="C1593" s="16"/>
      <c r="D1593" s="16"/>
      <c r="E1593" s="16">
        <f>IFERROR(__xludf.DUMMYFUNCTION("""COMPUTED_VALUE"""),1.0)</f>
        <v>1</v>
      </c>
      <c r="F1593" s="108">
        <f>IFERROR(__xludf.DUMMYFUNCTION("""COMPUTED_VALUE"""),0.0)</f>
        <v>0</v>
      </c>
      <c r="G1593" s="16"/>
      <c r="H1593" s="16"/>
      <c r="I1593" s="16"/>
      <c r="J1593" s="16"/>
      <c r="K1593" s="16"/>
      <c r="L1593" s="16"/>
      <c r="M1593" s="16"/>
      <c r="N1593" s="16"/>
      <c r="O1593" s="16"/>
      <c r="P1593" s="16"/>
      <c r="Q1593" s="16"/>
      <c r="R1593" s="16"/>
      <c r="S1593" s="16"/>
      <c r="T1593" s="16"/>
      <c r="U1593" s="16"/>
      <c r="V1593" s="16"/>
      <c r="W1593" s="16"/>
      <c r="X1593" s="16"/>
      <c r="Y1593" s="16"/>
      <c r="Z1593" s="16"/>
      <c r="AA1593" s="16"/>
      <c r="AB1593" s="16"/>
      <c r="AC1593" s="16"/>
      <c r="AD1593" s="16"/>
      <c r="AE1593" s="16"/>
      <c r="AF1593" s="16"/>
      <c r="AG1593" s="16"/>
      <c r="AH1593" s="16" t="b">
        <f>IFERROR(__xludf.DUMMYFUNCTION("""COMPUTED_VALUE"""),FALSE)</f>
        <v>0</v>
      </c>
    </row>
    <row r="1594">
      <c r="A1594" s="16"/>
      <c r="B1594" s="16"/>
      <c r="C1594" s="16"/>
      <c r="D1594" s="16"/>
      <c r="E1594" s="16">
        <f>IFERROR(__xludf.DUMMYFUNCTION("""COMPUTED_VALUE"""),1.0)</f>
        <v>1</v>
      </c>
      <c r="F1594" s="108">
        <f>IFERROR(__xludf.DUMMYFUNCTION("""COMPUTED_VALUE"""),0.0)</f>
        <v>0</v>
      </c>
      <c r="G1594" s="16"/>
      <c r="H1594" s="16"/>
      <c r="I1594" s="16"/>
      <c r="J1594" s="16"/>
      <c r="K1594" s="16"/>
      <c r="L1594" s="16"/>
      <c r="M1594" s="16"/>
      <c r="N1594" s="16"/>
      <c r="O1594" s="16"/>
      <c r="P1594" s="16"/>
      <c r="Q1594" s="16"/>
      <c r="R1594" s="16"/>
      <c r="S1594" s="16"/>
      <c r="T1594" s="16"/>
      <c r="U1594" s="16"/>
      <c r="V1594" s="16"/>
      <c r="W1594" s="16"/>
      <c r="X1594" s="16"/>
      <c r="Y1594" s="16"/>
      <c r="Z1594" s="16"/>
      <c r="AA1594" s="16"/>
      <c r="AB1594" s="16"/>
      <c r="AC1594" s="16"/>
      <c r="AD1594" s="16"/>
      <c r="AE1594" s="16"/>
      <c r="AF1594" s="16"/>
      <c r="AG1594" s="16"/>
      <c r="AH1594" s="16" t="b">
        <f>IFERROR(__xludf.DUMMYFUNCTION("""COMPUTED_VALUE"""),FALSE)</f>
        <v>0</v>
      </c>
    </row>
    <row r="1595">
      <c r="A1595" s="16"/>
      <c r="B1595" s="16"/>
      <c r="C1595" s="16"/>
      <c r="D1595" s="16"/>
      <c r="E1595" s="16">
        <f>IFERROR(__xludf.DUMMYFUNCTION("""COMPUTED_VALUE"""),1.0)</f>
        <v>1</v>
      </c>
      <c r="F1595" s="108">
        <f>IFERROR(__xludf.DUMMYFUNCTION("""COMPUTED_VALUE"""),0.0)</f>
        <v>0</v>
      </c>
      <c r="G1595" s="16"/>
      <c r="H1595" s="16"/>
      <c r="I1595" s="16"/>
      <c r="J1595" s="16"/>
      <c r="K1595" s="16"/>
      <c r="L1595" s="16"/>
      <c r="M1595" s="16"/>
      <c r="N1595" s="16"/>
      <c r="O1595" s="16"/>
      <c r="P1595" s="16"/>
      <c r="Q1595" s="16"/>
      <c r="R1595" s="16"/>
      <c r="S1595" s="16"/>
      <c r="T1595" s="16"/>
      <c r="U1595" s="16"/>
      <c r="V1595" s="16"/>
      <c r="W1595" s="16"/>
      <c r="X1595" s="16"/>
      <c r="Y1595" s="16"/>
      <c r="Z1595" s="16"/>
      <c r="AA1595" s="16"/>
      <c r="AB1595" s="16"/>
      <c r="AC1595" s="16"/>
      <c r="AD1595" s="16"/>
      <c r="AE1595" s="16"/>
      <c r="AF1595" s="16"/>
      <c r="AG1595" s="16"/>
      <c r="AH1595" s="16" t="b">
        <f>IFERROR(__xludf.DUMMYFUNCTION("""COMPUTED_VALUE"""),FALSE)</f>
        <v>0</v>
      </c>
    </row>
    <row r="1596">
      <c r="A1596" s="16"/>
      <c r="B1596" s="16"/>
      <c r="C1596" s="16"/>
      <c r="D1596" s="16"/>
      <c r="E1596" s="16">
        <f>IFERROR(__xludf.DUMMYFUNCTION("""COMPUTED_VALUE"""),1.0)</f>
        <v>1</v>
      </c>
      <c r="F1596" s="108">
        <f>IFERROR(__xludf.DUMMYFUNCTION("""COMPUTED_VALUE"""),0.0)</f>
        <v>0</v>
      </c>
      <c r="G1596" s="16"/>
      <c r="H1596" s="16"/>
      <c r="I1596" s="16"/>
      <c r="J1596" s="16"/>
      <c r="K1596" s="16"/>
      <c r="L1596" s="16"/>
      <c r="M1596" s="16"/>
      <c r="N1596" s="16"/>
      <c r="O1596" s="16"/>
      <c r="P1596" s="16"/>
      <c r="Q1596" s="16"/>
      <c r="R1596" s="16"/>
      <c r="S1596" s="16"/>
      <c r="T1596" s="16"/>
      <c r="U1596" s="16"/>
      <c r="V1596" s="16"/>
      <c r="W1596" s="16"/>
      <c r="X1596" s="16"/>
      <c r="Y1596" s="16"/>
      <c r="Z1596" s="16"/>
      <c r="AA1596" s="16"/>
      <c r="AB1596" s="16"/>
      <c r="AC1596" s="16"/>
      <c r="AD1596" s="16"/>
      <c r="AE1596" s="16"/>
      <c r="AF1596" s="16"/>
      <c r="AG1596" s="16"/>
      <c r="AH1596" s="16" t="b">
        <f>IFERROR(__xludf.DUMMYFUNCTION("""COMPUTED_VALUE"""),FALSE)</f>
        <v>0</v>
      </c>
    </row>
    <row r="1597">
      <c r="A1597" s="16"/>
      <c r="B1597" s="16"/>
      <c r="C1597" s="16"/>
      <c r="D1597" s="16"/>
      <c r="E1597" s="16">
        <f>IFERROR(__xludf.DUMMYFUNCTION("""COMPUTED_VALUE"""),1.0)</f>
        <v>1</v>
      </c>
      <c r="F1597" s="108">
        <f>IFERROR(__xludf.DUMMYFUNCTION("""COMPUTED_VALUE"""),0.0)</f>
        <v>0</v>
      </c>
      <c r="G1597" s="16"/>
      <c r="H1597" s="16"/>
      <c r="I1597" s="16"/>
      <c r="J1597" s="16"/>
      <c r="K1597" s="16"/>
      <c r="L1597" s="16"/>
      <c r="M1597" s="16"/>
      <c r="N1597" s="16"/>
      <c r="O1597" s="16"/>
      <c r="P1597" s="16"/>
      <c r="Q1597" s="16"/>
      <c r="R1597" s="16"/>
      <c r="S1597" s="16"/>
      <c r="T1597" s="16"/>
      <c r="U1597" s="16"/>
      <c r="V1597" s="16"/>
      <c r="W1597" s="16"/>
      <c r="X1597" s="16"/>
      <c r="Y1597" s="16"/>
      <c r="Z1597" s="16"/>
      <c r="AA1597" s="16"/>
      <c r="AB1597" s="16"/>
      <c r="AC1597" s="16"/>
      <c r="AD1597" s="16"/>
      <c r="AE1597" s="16"/>
      <c r="AF1597" s="16"/>
      <c r="AG1597" s="16"/>
      <c r="AH1597" s="16" t="b">
        <f>IFERROR(__xludf.DUMMYFUNCTION("""COMPUTED_VALUE"""),FALSE)</f>
        <v>0</v>
      </c>
    </row>
    <row r="1598">
      <c r="A1598" s="16"/>
      <c r="B1598" s="16"/>
      <c r="C1598" s="16"/>
      <c r="D1598" s="16"/>
      <c r="E1598" s="16">
        <f>IFERROR(__xludf.DUMMYFUNCTION("""COMPUTED_VALUE"""),1.0)</f>
        <v>1</v>
      </c>
      <c r="F1598" s="108">
        <f>IFERROR(__xludf.DUMMYFUNCTION("""COMPUTED_VALUE"""),0.0)</f>
        <v>0</v>
      </c>
      <c r="G1598" s="16"/>
      <c r="H1598" s="16"/>
      <c r="I1598" s="16"/>
      <c r="J1598" s="16"/>
      <c r="K1598" s="16"/>
      <c r="L1598" s="16"/>
      <c r="M1598" s="16"/>
      <c r="N1598" s="16"/>
      <c r="O1598" s="16"/>
      <c r="P1598" s="16"/>
      <c r="Q1598" s="16"/>
      <c r="R1598" s="16"/>
      <c r="S1598" s="16"/>
      <c r="T1598" s="16"/>
      <c r="U1598" s="16"/>
      <c r="V1598" s="16"/>
      <c r="W1598" s="16"/>
      <c r="X1598" s="16"/>
      <c r="Y1598" s="16"/>
      <c r="Z1598" s="16"/>
      <c r="AA1598" s="16"/>
      <c r="AB1598" s="16"/>
      <c r="AC1598" s="16"/>
      <c r="AD1598" s="16"/>
      <c r="AE1598" s="16"/>
      <c r="AF1598" s="16"/>
      <c r="AG1598" s="16"/>
      <c r="AH1598" s="16" t="b">
        <f>IFERROR(__xludf.DUMMYFUNCTION("""COMPUTED_VALUE"""),FALSE)</f>
        <v>0</v>
      </c>
    </row>
    <row r="1599">
      <c r="A1599" s="16"/>
      <c r="B1599" s="16"/>
      <c r="C1599" s="16"/>
      <c r="D1599" s="16"/>
      <c r="E1599" s="16">
        <f>IFERROR(__xludf.DUMMYFUNCTION("""COMPUTED_VALUE"""),1.0)</f>
        <v>1</v>
      </c>
      <c r="F1599" s="108">
        <f>IFERROR(__xludf.DUMMYFUNCTION("""COMPUTED_VALUE"""),0.0)</f>
        <v>0</v>
      </c>
      <c r="G1599" s="16"/>
      <c r="H1599" s="16"/>
      <c r="I1599" s="16"/>
      <c r="J1599" s="16"/>
      <c r="K1599" s="16"/>
      <c r="L1599" s="16"/>
      <c r="M1599" s="16"/>
      <c r="N1599" s="16"/>
      <c r="O1599" s="16"/>
      <c r="P1599" s="16"/>
      <c r="Q1599" s="16"/>
      <c r="R1599" s="16"/>
      <c r="S1599" s="16"/>
      <c r="T1599" s="16"/>
      <c r="U1599" s="16"/>
      <c r="V1599" s="16"/>
      <c r="W1599" s="16"/>
      <c r="X1599" s="16"/>
      <c r="Y1599" s="16"/>
      <c r="Z1599" s="16"/>
      <c r="AA1599" s="16"/>
      <c r="AB1599" s="16"/>
      <c r="AC1599" s="16"/>
      <c r="AD1599" s="16"/>
      <c r="AE1599" s="16"/>
      <c r="AF1599" s="16"/>
      <c r="AG1599" s="16"/>
      <c r="AH1599" s="16" t="b">
        <f>IFERROR(__xludf.DUMMYFUNCTION("""COMPUTED_VALUE"""),FALSE)</f>
        <v>0</v>
      </c>
    </row>
    <row r="1600">
      <c r="A1600" s="16"/>
      <c r="B1600" s="16"/>
      <c r="C1600" s="16"/>
      <c r="D1600" s="16"/>
      <c r="E1600" s="16">
        <f>IFERROR(__xludf.DUMMYFUNCTION("""COMPUTED_VALUE"""),1.0)</f>
        <v>1</v>
      </c>
      <c r="F1600" s="108">
        <f>IFERROR(__xludf.DUMMYFUNCTION("""COMPUTED_VALUE"""),0.0)</f>
        <v>0</v>
      </c>
      <c r="G1600" s="16"/>
      <c r="H1600" s="16"/>
      <c r="I1600" s="16"/>
      <c r="J1600" s="16"/>
      <c r="K1600" s="16"/>
      <c r="L1600" s="16"/>
      <c r="M1600" s="16"/>
      <c r="N1600" s="16"/>
      <c r="O1600" s="16"/>
      <c r="P1600" s="16"/>
      <c r="Q1600" s="16"/>
      <c r="R1600" s="16"/>
      <c r="S1600" s="16"/>
      <c r="T1600" s="16"/>
      <c r="U1600" s="16"/>
      <c r="V1600" s="16"/>
      <c r="W1600" s="16"/>
      <c r="X1600" s="16"/>
      <c r="Y1600" s="16"/>
      <c r="Z1600" s="16"/>
      <c r="AA1600" s="16"/>
      <c r="AB1600" s="16"/>
      <c r="AC1600" s="16"/>
      <c r="AD1600" s="16"/>
      <c r="AE1600" s="16"/>
      <c r="AF1600" s="16"/>
      <c r="AG1600" s="16"/>
      <c r="AH1600" s="16" t="b">
        <f>IFERROR(__xludf.DUMMYFUNCTION("""COMPUTED_VALUE"""),FALSE)</f>
        <v>0</v>
      </c>
    </row>
    <row r="1601">
      <c r="A1601" s="16"/>
      <c r="B1601" s="16"/>
      <c r="C1601" s="16"/>
      <c r="D1601" s="16"/>
      <c r="E1601" s="16">
        <f>IFERROR(__xludf.DUMMYFUNCTION("""COMPUTED_VALUE"""),1.0)</f>
        <v>1</v>
      </c>
      <c r="F1601" s="108">
        <f>IFERROR(__xludf.DUMMYFUNCTION("""COMPUTED_VALUE"""),0.0)</f>
        <v>0</v>
      </c>
      <c r="G1601" s="16"/>
      <c r="H1601" s="16"/>
      <c r="I1601" s="16"/>
      <c r="J1601" s="16"/>
      <c r="K1601" s="16"/>
      <c r="L1601" s="16"/>
      <c r="M1601" s="16"/>
      <c r="N1601" s="16"/>
      <c r="O1601" s="16"/>
      <c r="P1601" s="16"/>
      <c r="Q1601" s="16"/>
      <c r="R1601" s="16"/>
      <c r="S1601" s="16"/>
      <c r="T1601" s="16"/>
      <c r="U1601" s="16"/>
      <c r="V1601" s="16"/>
      <c r="W1601" s="16"/>
      <c r="X1601" s="16"/>
      <c r="Y1601" s="16"/>
      <c r="Z1601" s="16"/>
      <c r="AA1601" s="16"/>
      <c r="AB1601" s="16"/>
      <c r="AC1601" s="16"/>
      <c r="AD1601" s="16"/>
      <c r="AE1601" s="16"/>
      <c r="AF1601" s="16"/>
      <c r="AG1601" s="16"/>
      <c r="AH1601" s="16" t="b">
        <f>IFERROR(__xludf.DUMMYFUNCTION("""COMPUTED_VALUE"""),FALSE)</f>
        <v>0</v>
      </c>
    </row>
    <row r="1602">
      <c r="A1602" s="16"/>
      <c r="B1602" s="16"/>
      <c r="C1602" s="16"/>
      <c r="D1602" s="16"/>
      <c r="E1602" s="16">
        <f>IFERROR(__xludf.DUMMYFUNCTION("""COMPUTED_VALUE"""),1.0)</f>
        <v>1</v>
      </c>
      <c r="F1602" s="108">
        <f>IFERROR(__xludf.DUMMYFUNCTION("""COMPUTED_VALUE"""),0.0)</f>
        <v>0</v>
      </c>
      <c r="G1602" s="16"/>
      <c r="H1602" s="16"/>
      <c r="I1602" s="16"/>
      <c r="J1602" s="16"/>
      <c r="K1602" s="16"/>
      <c r="L1602" s="16"/>
      <c r="M1602" s="16"/>
      <c r="N1602" s="16"/>
      <c r="O1602" s="16"/>
      <c r="P1602" s="16"/>
      <c r="Q1602" s="16"/>
      <c r="R1602" s="16"/>
      <c r="S1602" s="16"/>
      <c r="T1602" s="16"/>
      <c r="U1602" s="16"/>
      <c r="V1602" s="16"/>
      <c r="W1602" s="16"/>
      <c r="X1602" s="16"/>
      <c r="Y1602" s="16"/>
      <c r="Z1602" s="16"/>
      <c r="AA1602" s="16"/>
      <c r="AB1602" s="16"/>
      <c r="AC1602" s="16"/>
      <c r="AD1602" s="16"/>
      <c r="AE1602" s="16"/>
      <c r="AF1602" s="16"/>
      <c r="AG1602" s="16"/>
      <c r="AH1602" s="16" t="b">
        <f>IFERROR(__xludf.DUMMYFUNCTION("""COMPUTED_VALUE"""),FALSE)</f>
        <v>0</v>
      </c>
    </row>
    <row r="1603">
      <c r="A1603" s="16"/>
      <c r="B1603" s="16"/>
      <c r="C1603" s="16"/>
      <c r="D1603" s="16"/>
      <c r="E1603" s="16">
        <f>IFERROR(__xludf.DUMMYFUNCTION("""COMPUTED_VALUE"""),1.0)</f>
        <v>1</v>
      </c>
      <c r="F1603" s="108">
        <f>IFERROR(__xludf.DUMMYFUNCTION("""COMPUTED_VALUE"""),0.0)</f>
        <v>0</v>
      </c>
      <c r="G1603" s="16"/>
      <c r="H1603" s="16"/>
      <c r="I1603" s="16"/>
      <c r="J1603" s="16"/>
      <c r="K1603" s="16"/>
      <c r="L1603" s="16"/>
      <c r="M1603" s="16"/>
      <c r="N1603" s="16"/>
      <c r="O1603" s="16"/>
      <c r="P1603" s="16"/>
      <c r="Q1603" s="16"/>
      <c r="R1603" s="16"/>
      <c r="S1603" s="16"/>
      <c r="T1603" s="16"/>
      <c r="U1603" s="16"/>
      <c r="V1603" s="16"/>
      <c r="W1603" s="16"/>
      <c r="X1603" s="16"/>
      <c r="Y1603" s="16"/>
      <c r="Z1603" s="16"/>
      <c r="AA1603" s="16"/>
      <c r="AB1603" s="16"/>
      <c r="AC1603" s="16"/>
      <c r="AD1603" s="16"/>
      <c r="AE1603" s="16"/>
      <c r="AF1603" s="16"/>
      <c r="AG1603" s="16"/>
      <c r="AH1603" s="16" t="b">
        <f>IFERROR(__xludf.DUMMYFUNCTION("""COMPUTED_VALUE"""),FALSE)</f>
        <v>0</v>
      </c>
    </row>
    <row r="1604">
      <c r="A1604" s="16"/>
      <c r="B1604" s="16"/>
      <c r="C1604" s="16"/>
      <c r="D1604" s="16"/>
      <c r="E1604" s="16">
        <f>IFERROR(__xludf.DUMMYFUNCTION("""COMPUTED_VALUE"""),1.0)</f>
        <v>1</v>
      </c>
      <c r="F1604" s="108">
        <f>IFERROR(__xludf.DUMMYFUNCTION("""COMPUTED_VALUE"""),0.0)</f>
        <v>0</v>
      </c>
      <c r="G1604" s="16"/>
      <c r="H1604" s="16"/>
      <c r="I1604" s="16"/>
      <c r="J1604" s="16"/>
      <c r="K1604" s="16"/>
      <c r="L1604" s="16"/>
      <c r="M1604" s="16"/>
      <c r="N1604" s="16"/>
      <c r="O1604" s="16"/>
      <c r="P1604" s="16"/>
      <c r="Q1604" s="16"/>
      <c r="R1604" s="16"/>
      <c r="S1604" s="16"/>
      <c r="T1604" s="16"/>
      <c r="U1604" s="16"/>
      <c r="V1604" s="16"/>
      <c r="W1604" s="16"/>
      <c r="X1604" s="16"/>
      <c r="Y1604" s="16"/>
      <c r="Z1604" s="16"/>
      <c r="AA1604" s="16"/>
      <c r="AB1604" s="16"/>
      <c r="AC1604" s="16"/>
      <c r="AD1604" s="16"/>
      <c r="AE1604" s="16"/>
      <c r="AF1604" s="16"/>
      <c r="AG1604" s="16"/>
      <c r="AH1604" s="16" t="b">
        <f>IFERROR(__xludf.DUMMYFUNCTION("""COMPUTED_VALUE"""),FALSE)</f>
        <v>0</v>
      </c>
    </row>
    <row r="1605">
      <c r="A1605" s="16"/>
      <c r="B1605" s="16"/>
      <c r="C1605" s="16"/>
      <c r="D1605" s="16"/>
      <c r="E1605" s="16">
        <f>IFERROR(__xludf.DUMMYFUNCTION("""COMPUTED_VALUE"""),1.0)</f>
        <v>1</v>
      </c>
      <c r="F1605" s="108">
        <f>IFERROR(__xludf.DUMMYFUNCTION("""COMPUTED_VALUE"""),0.0)</f>
        <v>0</v>
      </c>
      <c r="G1605" s="16"/>
      <c r="H1605" s="16"/>
      <c r="I1605" s="16"/>
      <c r="J1605" s="16"/>
      <c r="K1605" s="16"/>
      <c r="L1605" s="16"/>
      <c r="M1605" s="16"/>
      <c r="N1605" s="16"/>
      <c r="O1605" s="16"/>
      <c r="P1605" s="16"/>
      <c r="Q1605" s="16"/>
      <c r="R1605" s="16"/>
      <c r="S1605" s="16"/>
      <c r="T1605" s="16"/>
      <c r="U1605" s="16"/>
      <c r="V1605" s="16"/>
      <c r="W1605" s="16"/>
      <c r="X1605" s="16"/>
      <c r="Y1605" s="16"/>
      <c r="Z1605" s="16"/>
      <c r="AA1605" s="16"/>
      <c r="AB1605" s="16"/>
      <c r="AC1605" s="16"/>
      <c r="AD1605" s="16"/>
      <c r="AE1605" s="16"/>
      <c r="AF1605" s="16"/>
      <c r="AG1605" s="16"/>
      <c r="AH1605" s="16" t="b">
        <f>IFERROR(__xludf.DUMMYFUNCTION("""COMPUTED_VALUE"""),FALSE)</f>
        <v>0</v>
      </c>
    </row>
    <row r="1606">
      <c r="A1606" s="16"/>
      <c r="B1606" s="16"/>
      <c r="C1606" s="16"/>
      <c r="D1606" s="16"/>
      <c r="E1606" s="16">
        <f>IFERROR(__xludf.DUMMYFUNCTION("""COMPUTED_VALUE"""),1.0)</f>
        <v>1</v>
      </c>
      <c r="F1606" s="108">
        <f>IFERROR(__xludf.DUMMYFUNCTION("""COMPUTED_VALUE"""),0.0)</f>
        <v>0</v>
      </c>
      <c r="G1606" s="16"/>
      <c r="H1606" s="16"/>
      <c r="I1606" s="16"/>
      <c r="J1606" s="16"/>
      <c r="K1606" s="16"/>
      <c r="L1606" s="16"/>
      <c r="M1606" s="16"/>
      <c r="N1606" s="16"/>
      <c r="O1606" s="16"/>
      <c r="P1606" s="16"/>
      <c r="Q1606" s="16"/>
      <c r="R1606" s="16"/>
      <c r="S1606" s="16"/>
      <c r="T1606" s="16"/>
      <c r="U1606" s="16"/>
      <c r="V1606" s="16"/>
      <c r="W1606" s="16"/>
      <c r="X1606" s="16"/>
      <c r="Y1606" s="16"/>
      <c r="Z1606" s="16"/>
      <c r="AA1606" s="16"/>
      <c r="AB1606" s="16"/>
      <c r="AC1606" s="16"/>
      <c r="AD1606" s="16"/>
      <c r="AE1606" s="16"/>
      <c r="AF1606" s="16"/>
      <c r="AG1606" s="16"/>
      <c r="AH1606" s="16" t="b">
        <f>IFERROR(__xludf.DUMMYFUNCTION("""COMPUTED_VALUE"""),FALSE)</f>
        <v>0</v>
      </c>
    </row>
    <row r="1607">
      <c r="A1607" s="16"/>
      <c r="B1607" s="16"/>
      <c r="C1607" s="16"/>
      <c r="D1607" s="16"/>
      <c r="E1607" s="16">
        <f>IFERROR(__xludf.DUMMYFUNCTION("""COMPUTED_VALUE"""),1.0)</f>
        <v>1</v>
      </c>
      <c r="F1607" s="108">
        <f>IFERROR(__xludf.DUMMYFUNCTION("""COMPUTED_VALUE"""),0.0)</f>
        <v>0</v>
      </c>
      <c r="G1607" s="16"/>
      <c r="H1607" s="16"/>
      <c r="I1607" s="16"/>
      <c r="J1607" s="16"/>
      <c r="K1607" s="16"/>
      <c r="L1607" s="16"/>
      <c r="M1607" s="16"/>
      <c r="N1607" s="16"/>
      <c r="O1607" s="16"/>
      <c r="P1607" s="16"/>
      <c r="Q1607" s="16"/>
      <c r="R1607" s="16"/>
      <c r="S1607" s="16"/>
      <c r="T1607" s="16"/>
      <c r="U1607" s="16"/>
      <c r="V1607" s="16"/>
      <c r="W1607" s="16"/>
      <c r="X1607" s="16"/>
      <c r="Y1607" s="16"/>
      <c r="Z1607" s="16"/>
      <c r="AA1607" s="16"/>
      <c r="AB1607" s="16"/>
      <c r="AC1607" s="16"/>
      <c r="AD1607" s="16"/>
      <c r="AE1607" s="16"/>
      <c r="AF1607" s="16"/>
      <c r="AG1607" s="16"/>
      <c r="AH1607" s="16" t="b">
        <f>IFERROR(__xludf.DUMMYFUNCTION("""COMPUTED_VALUE"""),FALSE)</f>
        <v>0</v>
      </c>
    </row>
    <row r="1608">
      <c r="A1608" s="16"/>
      <c r="B1608" s="16"/>
      <c r="C1608" s="16"/>
      <c r="D1608" s="16"/>
      <c r="E1608" s="16">
        <f>IFERROR(__xludf.DUMMYFUNCTION("""COMPUTED_VALUE"""),1.0)</f>
        <v>1</v>
      </c>
      <c r="F1608" s="108">
        <f>IFERROR(__xludf.DUMMYFUNCTION("""COMPUTED_VALUE"""),0.0)</f>
        <v>0</v>
      </c>
      <c r="G1608" s="16"/>
      <c r="H1608" s="16"/>
      <c r="I1608" s="16"/>
      <c r="J1608" s="16"/>
      <c r="K1608" s="16"/>
      <c r="L1608" s="16"/>
      <c r="M1608" s="16"/>
      <c r="N1608" s="16"/>
      <c r="O1608" s="16"/>
      <c r="P1608" s="16"/>
      <c r="Q1608" s="16"/>
      <c r="R1608" s="16"/>
      <c r="S1608" s="16"/>
      <c r="T1608" s="16"/>
      <c r="U1608" s="16"/>
      <c r="V1608" s="16"/>
      <c r="W1608" s="16"/>
      <c r="X1608" s="16"/>
      <c r="Y1608" s="16"/>
      <c r="Z1608" s="16"/>
      <c r="AA1608" s="16"/>
      <c r="AB1608" s="16"/>
      <c r="AC1608" s="16"/>
      <c r="AD1608" s="16"/>
      <c r="AE1608" s="16"/>
      <c r="AF1608" s="16"/>
      <c r="AG1608" s="16"/>
      <c r="AH1608" s="16" t="b">
        <f>IFERROR(__xludf.DUMMYFUNCTION("""COMPUTED_VALUE"""),FALSE)</f>
        <v>0</v>
      </c>
    </row>
    <row r="1609">
      <c r="A1609" s="16"/>
      <c r="B1609" s="16"/>
      <c r="C1609" s="16"/>
      <c r="D1609" s="16"/>
      <c r="E1609" s="16">
        <f>IFERROR(__xludf.DUMMYFUNCTION("""COMPUTED_VALUE"""),1.0)</f>
        <v>1</v>
      </c>
      <c r="F1609" s="108">
        <f>IFERROR(__xludf.DUMMYFUNCTION("""COMPUTED_VALUE"""),0.0)</f>
        <v>0</v>
      </c>
      <c r="G1609" s="16"/>
      <c r="H1609" s="16"/>
      <c r="I1609" s="16"/>
      <c r="J1609" s="16"/>
      <c r="K1609" s="16"/>
      <c r="L1609" s="16"/>
      <c r="M1609" s="16"/>
      <c r="N1609" s="16"/>
      <c r="O1609" s="16"/>
      <c r="P1609" s="16"/>
      <c r="Q1609" s="16"/>
      <c r="R1609" s="16"/>
      <c r="S1609" s="16"/>
      <c r="T1609" s="16"/>
      <c r="U1609" s="16"/>
      <c r="V1609" s="16"/>
      <c r="W1609" s="16"/>
      <c r="X1609" s="16"/>
      <c r="Y1609" s="16"/>
      <c r="Z1609" s="16"/>
      <c r="AA1609" s="16"/>
      <c r="AB1609" s="16"/>
      <c r="AC1609" s="16"/>
      <c r="AD1609" s="16"/>
      <c r="AE1609" s="16"/>
      <c r="AF1609" s="16"/>
      <c r="AG1609" s="16"/>
      <c r="AH1609" s="16" t="b">
        <f>IFERROR(__xludf.DUMMYFUNCTION("""COMPUTED_VALUE"""),FALSE)</f>
        <v>0</v>
      </c>
    </row>
    <row r="1610">
      <c r="A1610" s="16"/>
      <c r="B1610" s="16"/>
      <c r="C1610" s="16"/>
      <c r="D1610" s="16"/>
      <c r="E1610" s="16">
        <f>IFERROR(__xludf.DUMMYFUNCTION("""COMPUTED_VALUE"""),1.0)</f>
        <v>1</v>
      </c>
      <c r="F1610" s="108">
        <f>IFERROR(__xludf.DUMMYFUNCTION("""COMPUTED_VALUE"""),0.0)</f>
        <v>0</v>
      </c>
      <c r="G1610" s="16"/>
      <c r="H1610" s="16"/>
      <c r="I1610" s="16"/>
      <c r="J1610" s="16"/>
      <c r="K1610" s="16"/>
      <c r="L1610" s="16"/>
      <c r="M1610" s="16"/>
      <c r="N1610" s="16"/>
      <c r="O1610" s="16"/>
      <c r="P1610" s="16"/>
      <c r="Q1610" s="16"/>
      <c r="R1610" s="16"/>
      <c r="S1610" s="16"/>
      <c r="T1610" s="16"/>
      <c r="U1610" s="16"/>
      <c r="V1610" s="16"/>
      <c r="W1610" s="16"/>
      <c r="X1610" s="16"/>
      <c r="Y1610" s="16"/>
      <c r="Z1610" s="16"/>
      <c r="AA1610" s="16"/>
      <c r="AB1610" s="16"/>
      <c r="AC1610" s="16"/>
      <c r="AD1610" s="16"/>
      <c r="AE1610" s="16"/>
      <c r="AF1610" s="16"/>
      <c r="AG1610" s="16"/>
      <c r="AH1610" s="16" t="b">
        <f>IFERROR(__xludf.DUMMYFUNCTION("""COMPUTED_VALUE"""),FALSE)</f>
        <v>0</v>
      </c>
    </row>
    <row r="1611">
      <c r="A1611" s="16"/>
      <c r="B1611" s="16"/>
      <c r="C1611" s="16"/>
      <c r="D1611" s="16"/>
      <c r="E1611" s="16">
        <f>IFERROR(__xludf.DUMMYFUNCTION("""COMPUTED_VALUE"""),1.0)</f>
        <v>1</v>
      </c>
      <c r="F1611" s="108">
        <f>IFERROR(__xludf.DUMMYFUNCTION("""COMPUTED_VALUE"""),0.0)</f>
        <v>0</v>
      </c>
      <c r="G1611" s="16"/>
      <c r="H1611" s="16"/>
      <c r="I1611" s="16"/>
      <c r="J1611" s="16"/>
      <c r="K1611" s="16"/>
      <c r="L1611" s="16"/>
      <c r="M1611" s="16"/>
      <c r="N1611" s="16"/>
      <c r="O1611" s="16"/>
      <c r="P1611" s="16"/>
      <c r="Q1611" s="16"/>
      <c r="R1611" s="16"/>
      <c r="S1611" s="16"/>
      <c r="T1611" s="16"/>
      <c r="U1611" s="16"/>
      <c r="V1611" s="16"/>
      <c r="W1611" s="16"/>
      <c r="X1611" s="16"/>
      <c r="Y1611" s="16"/>
      <c r="Z1611" s="16"/>
      <c r="AA1611" s="16"/>
      <c r="AB1611" s="16"/>
      <c r="AC1611" s="16"/>
      <c r="AD1611" s="16"/>
      <c r="AE1611" s="16"/>
      <c r="AF1611" s="16"/>
      <c r="AG1611" s="16"/>
      <c r="AH1611" s="16" t="b">
        <f>IFERROR(__xludf.DUMMYFUNCTION("""COMPUTED_VALUE"""),FALSE)</f>
        <v>0</v>
      </c>
    </row>
    <row r="1612">
      <c r="A1612" s="16"/>
      <c r="B1612" s="16"/>
      <c r="C1612" s="16"/>
      <c r="D1612" s="16"/>
      <c r="E1612" s="16">
        <f>IFERROR(__xludf.DUMMYFUNCTION("""COMPUTED_VALUE"""),1.0)</f>
        <v>1</v>
      </c>
      <c r="F1612" s="108">
        <f>IFERROR(__xludf.DUMMYFUNCTION("""COMPUTED_VALUE"""),0.0)</f>
        <v>0</v>
      </c>
      <c r="G1612" s="16"/>
      <c r="H1612" s="16"/>
      <c r="I1612" s="16"/>
      <c r="J1612" s="16"/>
      <c r="K1612" s="16"/>
      <c r="L1612" s="16"/>
      <c r="M1612" s="16"/>
      <c r="N1612" s="16"/>
      <c r="O1612" s="16"/>
      <c r="P1612" s="16"/>
      <c r="Q1612" s="16"/>
      <c r="R1612" s="16"/>
      <c r="S1612" s="16"/>
      <c r="T1612" s="16"/>
      <c r="U1612" s="16"/>
      <c r="V1612" s="16"/>
      <c r="W1612" s="16"/>
      <c r="X1612" s="16"/>
      <c r="Y1612" s="16"/>
      <c r="Z1612" s="16"/>
      <c r="AA1612" s="16"/>
      <c r="AB1612" s="16"/>
      <c r="AC1612" s="16"/>
      <c r="AD1612" s="16"/>
      <c r="AE1612" s="16"/>
      <c r="AF1612" s="16"/>
      <c r="AG1612" s="16"/>
      <c r="AH1612" s="16" t="b">
        <f>IFERROR(__xludf.DUMMYFUNCTION("""COMPUTED_VALUE"""),FALSE)</f>
        <v>0</v>
      </c>
    </row>
    <row r="1613">
      <c r="A1613" s="16"/>
      <c r="B1613" s="16"/>
      <c r="C1613" s="16"/>
      <c r="D1613" s="16"/>
      <c r="E1613" s="16">
        <f>IFERROR(__xludf.DUMMYFUNCTION("""COMPUTED_VALUE"""),1.0)</f>
        <v>1</v>
      </c>
      <c r="F1613" s="108">
        <f>IFERROR(__xludf.DUMMYFUNCTION("""COMPUTED_VALUE"""),0.0)</f>
        <v>0</v>
      </c>
      <c r="G1613" s="16"/>
      <c r="H1613" s="16"/>
      <c r="I1613" s="16"/>
      <c r="J1613" s="16"/>
      <c r="K1613" s="16"/>
      <c r="L1613" s="16"/>
      <c r="M1613" s="16"/>
      <c r="N1613" s="16"/>
      <c r="O1613" s="16"/>
      <c r="P1613" s="16"/>
      <c r="Q1613" s="16"/>
      <c r="R1613" s="16"/>
      <c r="S1613" s="16"/>
      <c r="T1613" s="16"/>
      <c r="U1613" s="16"/>
      <c r="V1613" s="16"/>
      <c r="W1613" s="16"/>
      <c r="X1613" s="16"/>
      <c r="Y1613" s="16"/>
      <c r="Z1613" s="16"/>
      <c r="AA1613" s="16"/>
      <c r="AB1613" s="16"/>
      <c r="AC1613" s="16"/>
      <c r="AD1613" s="16"/>
      <c r="AE1613" s="16"/>
      <c r="AF1613" s="16"/>
      <c r="AG1613" s="16"/>
      <c r="AH1613" s="16" t="b">
        <f>IFERROR(__xludf.DUMMYFUNCTION("""COMPUTED_VALUE"""),FALSE)</f>
        <v>0</v>
      </c>
    </row>
    <row r="1614">
      <c r="A1614" s="16"/>
      <c r="B1614" s="16"/>
      <c r="C1614" s="16"/>
      <c r="D1614" s="16"/>
      <c r="E1614" s="16">
        <f>IFERROR(__xludf.DUMMYFUNCTION("""COMPUTED_VALUE"""),1.0)</f>
        <v>1</v>
      </c>
      <c r="F1614" s="108">
        <f>IFERROR(__xludf.DUMMYFUNCTION("""COMPUTED_VALUE"""),0.0)</f>
        <v>0</v>
      </c>
      <c r="G1614" s="16"/>
      <c r="H1614" s="16"/>
      <c r="I1614" s="16"/>
      <c r="J1614" s="16"/>
      <c r="K1614" s="16"/>
      <c r="L1614" s="16"/>
      <c r="M1614" s="16"/>
      <c r="N1614" s="16"/>
      <c r="O1614" s="16"/>
      <c r="P1614" s="16"/>
      <c r="Q1614" s="16"/>
      <c r="R1614" s="16"/>
      <c r="S1614" s="16"/>
      <c r="T1614" s="16"/>
      <c r="U1614" s="16"/>
      <c r="V1614" s="16"/>
      <c r="W1614" s="16"/>
      <c r="X1614" s="16"/>
      <c r="Y1614" s="16"/>
      <c r="Z1614" s="16"/>
      <c r="AA1614" s="16"/>
      <c r="AB1614" s="16"/>
      <c r="AC1614" s="16"/>
      <c r="AD1614" s="16"/>
      <c r="AE1614" s="16"/>
      <c r="AF1614" s="16"/>
      <c r="AG1614" s="16"/>
      <c r="AH1614" s="16" t="b">
        <f>IFERROR(__xludf.DUMMYFUNCTION("""COMPUTED_VALUE"""),FALSE)</f>
        <v>0</v>
      </c>
    </row>
    <row r="1615">
      <c r="A1615" s="16"/>
      <c r="B1615" s="16"/>
      <c r="C1615" s="16"/>
      <c r="D1615" s="16"/>
      <c r="E1615" s="16">
        <f>IFERROR(__xludf.DUMMYFUNCTION("""COMPUTED_VALUE"""),1.0)</f>
        <v>1</v>
      </c>
      <c r="F1615" s="108">
        <f>IFERROR(__xludf.DUMMYFUNCTION("""COMPUTED_VALUE"""),0.0)</f>
        <v>0</v>
      </c>
      <c r="G1615" s="16"/>
      <c r="H1615" s="16"/>
      <c r="I1615" s="16"/>
      <c r="J1615" s="16"/>
      <c r="K1615" s="16"/>
      <c r="L1615" s="16"/>
      <c r="M1615" s="16"/>
      <c r="N1615" s="16"/>
      <c r="O1615" s="16"/>
      <c r="P1615" s="16"/>
      <c r="Q1615" s="16"/>
      <c r="R1615" s="16"/>
      <c r="S1615" s="16"/>
      <c r="T1615" s="16"/>
      <c r="U1615" s="16"/>
      <c r="V1615" s="16"/>
      <c r="W1615" s="16"/>
      <c r="X1615" s="16"/>
      <c r="Y1615" s="16"/>
      <c r="Z1615" s="16"/>
      <c r="AA1615" s="16"/>
      <c r="AB1615" s="16"/>
      <c r="AC1615" s="16"/>
      <c r="AD1615" s="16"/>
      <c r="AE1615" s="16"/>
      <c r="AF1615" s="16"/>
      <c r="AG1615" s="16"/>
      <c r="AH1615" s="16" t="b">
        <f>IFERROR(__xludf.DUMMYFUNCTION("""COMPUTED_VALUE"""),FALSE)</f>
        <v>0</v>
      </c>
    </row>
    <row r="1616">
      <c r="A1616" s="16"/>
      <c r="B1616" s="16"/>
      <c r="C1616" s="16"/>
      <c r="D1616" s="16"/>
      <c r="E1616" s="16">
        <f>IFERROR(__xludf.DUMMYFUNCTION("""COMPUTED_VALUE"""),1.0)</f>
        <v>1</v>
      </c>
      <c r="F1616" s="108">
        <f>IFERROR(__xludf.DUMMYFUNCTION("""COMPUTED_VALUE"""),0.0)</f>
        <v>0</v>
      </c>
      <c r="G1616" s="16"/>
      <c r="H1616" s="16"/>
      <c r="I1616" s="16"/>
      <c r="J1616" s="16"/>
      <c r="K1616" s="16"/>
      <c r="L1616" s="16"/>
      <c r="M1616" s="16"/>
      <c r="N1616" s="16"/>
      <c r="O1616" s="16"/>
      <c r="P1616" s="16"/>
      <c r="Q1616" s="16"/>
      <c r="R1616" s="16"/>
      <c r="S1616" s="16"/>
      <c r="T1616" s="16"/>
      <c r="U1616" s="16"/>
      <c r="V1616" s="16"/>
      <c r="W1616" s="16"/>
      <c r="X1616" s="16"/>
      <c r="Y1616" s="16"/>
      <c r="Z1616" s="16"/>
      <c r="AA1616" s="16"/>
      <c r="AB1616" s="16"/>
      <c r="AC1616" s="16"/>
      <c r="AD1616" s="16"/>
      <c r="AE1616" s="16"/>
      <c r="AF1616" s="16"/>
      <c r="AG1616" s="16"/>
      <c r="AH1616" s="16" t="b">
        <f>IFERROR(__xludf.DUMMYFUNCTION("""COMPUTED_VALUE"""),FALSE)</f>
        <v>0</v>
      </c>
    </row>
    <row r="1617">
      <c r="A1617" s="16"/>
      <c r="B1617" s="16"/>
      <c r="C1617" s="16"/>
      <c r="D1617" s="16"/>
      <c r="E1617" s="16">
        <f>IFERROR(__xludf.DUMMYFUNCTION("""COMPUTED_VALUE"""),1.0)</f>
        <v>1</v>
      </c>
      <c r="F1617" s="108">
        <f>IFERROR(__xludf.DUMMYFUNCTION("""COMPUTED_VALUE"""),0.0)</f>
        <v>0</v>
      </c>
      <c r="G1617" s="16"/>
      <c r="H1617" s="16"/>
      <c r="I1617" s="16"/>
      <c r="J1617" s="16"/>
      <c r="K1617" s="16"/>
      <c r="L1617" s="16"/>
      <c r="M1617" s="16"/>
      <c r="N1617" s="16"/>
      <c r="O1617" s="16"/>
      <c r="P1617" s="16"/>
      <c r="Q1617" s="16"/>
      <c r="R1617" s="16"/>
      <c r="S1617" s="16"/>
      <c r="T1617" s="16"/>
      <c r="U1617" s="16"/>
      <c r="V1617" s="16"/>
      <c r="W1617" s="16"/>
      <c r="X1617" s="16"/>
      <c r="Y1617" s="16"/>
      <c r="Z1617" s="16"/>
      <c r="AA1617" s="16"/>
      <c r="AB1617" s="16"/>
      <c r="AC1617" s="16"/>
      <c r="AD1617" s="16"/>
      <c r="AE1617" s="16"/>
      <c r="AF1617" s="16"/>
      <c r="AG1617" s="16"/>
      <c r="AH1617" s="16" t="b">
        <f>IFERROR(__xludf.DUMMYFUNCTION("""COMPUTED_VALUE"""),FALSE)</f>
        <v>0</v>
      </c>
    </row>
    <row r="1618">
      <c r="A1618" s="16"/>
      <c r="B1618" s="16"/>
      <c r="C1618" s="16"/>
      <c r="D1618" s="16"/>
      <c r="E1618" s="16">
        <f>IFERROR(__xludf.DUMMYFUNCTION("""COMPUTED_VALUE"""),1.0)</f>
        <v>1</v>
      </c>
      <c r="F1618" s="108">
        <f>IFERROR(__xludf.DUMMYFUNCTION("""COMPUTED_VALUE"""),0.0)</f>
        <v>0</v>
      </c>
      <c r="G1618" s="16"/>
      <c r="H1618" s="16"/>
      <c r="I1618" s="16"/>
      <c r="J1618" s="16"/>
      <c r="K1618" s="16"/>
      <c r="L1618" s="16"/>
      <c r="M1618" s="16"/>
      <c r="N1618" s="16"/>
      <c r="O1618" s="16"/>
      <c r="P1618" s="16"/>
      <c r="Q1618" s="16"/>
      <c r="R1618" s="16"/>
      <c r="S1618" s="16"/>
      <c r="T1618" s="16"/>
      <c r="U1618" s="16"/>
      <c r="V1618" s="16"/>
      <c r="W1618" s="16"/>
      <c r="X1618" s="16"/>
      <c r="Y1618" s="16"/>
      <c r="Z1618" s="16"/>
      <c r="AA1618" s="16"/>
      <c r="AB1618" s="16"/>
      <c r="AC1618" s="16"/>
      <c r="AD1618" s="16"/>
      <c r="AE1618" s="16"/>
      <c r="AF1618" s="16"/>
      <c r="AG1618" s="16"/>
      <c r="AH1618" s="16" t="b">
        <f>IFERROR(__xludf.DUMMYFUNCTION("""COMPUTED_VALUE"""),FALSE)</f>
        <v>0</v>
      </c>
    </row>
    <row r="1619">
      <c r="A1619" s="16"/>
      <c r="B1619" s="16"/>
      <c r="C1619" s="16"/>
      <c r="D1619" s="16"/>
      <c r="E1619" s="16">
        <f>IFERROR(__xludf.DUMMYFUNCTION("""COMPUTED_VALUE"""),1.0)</f>
        <v>1</v>
      </c>
      <c r="F1619" s="108">
        <f>IFERROR(__xludf.DUMMYFUNCTION("""COMPUTED_VALUE"""),0.0)</f>
        <v>0</v>
      </c>
      <c r="G1619" s="16"/>
      <c r="H1619" s="16"/>
      <c r="I1619" s="16"/>
      <c r="J1619" s="16"/>
      <c r="K1619" s="16"/>
      <c r="L1619" s="16"/>
      <c r="M1619" s="16"/>
      <c r="N1619" s="16"/>
      <c r="O1619" s="16"/>
      <c r="P1619" s="16"/>
      <c r="Q1619" s="16"/>
      <c r="R1619" s="16"/>
      <c r="S1619" s="16"/>
      <c r="T1619" s="16"/>
      <c r="U1619" s="16"/>
      <c r="V1619" s="16"/>
      <c r="W1619" s="16"/>
      <c r="X1619" s="16"/>
      <c r="Y1619" s="16"/>
      <c r="Z1619" s="16"/>
      <c r="AA1619" s="16"/>
      <c r="AB1619" s="16"/>
      <c r="AC1619" s="16"/>
      <c r="AD1619" s="16"/>
      <c r="AE1619" s="16"/>
      <c r="AF1619" s="16"/>
      <c r="AG1619" s="16"/>
      <c r="AH1619" s="16" t="b">
        <f>IFERROR(__xludf.DUMMYFUNCTION("""COMPUTED_VALUE"""),FALSE)</f>
        <v>0</v>
      </c>
    </row>
    <row r="1620">
      <c r="A1620" s="16"/>
      <c r="B1620" s="16"/>
      <c r="C1620" s="16"/>
      <c r="D1620" s="16"/>
      <c r="E1620" s="16">
        <f>IFERROR(__xludf.DUMMYFUNCTION("""COMPUTED_VALUE"""),1.0)</f>
        <v>1</v>
      </c>
      <c r="F1620" s="108">
        <f>IFERROR(__xludf.DUMMYFUNCTION("""COMPUTED_VALUE"""),0.0)</f>
        <v>0</v>
      </c>
      <c r="G1620" s="16"/>
      <c r="H1620" s="16"/>
      <c r="I1620" s="16"/>
      <c r="J1620" s="16"/>
      <c r="K1620" s="16"/>
      <c r="L1620" s="16"/>
      <c r="M1620" s="16"/>
      <c r="N1620" s="16"/>
      <c r="O1620" s="16"/>
      <c r="P1620" s="16"/>
      <c r="Q1620" s="16"/>
      <c r="R1620" s="16"/>
      <c r="S1620" s="16"/>
      <c r="T1620" s="16"/>
      <c r="U1620" s="16"/>
      <c r="V1620" s="16"/>
      <c r="W1620" s="16"/>
      <c r="X1620" s="16"/>
      <c r="Y1620" s="16"/>
      <c r="Z1620" s="16"/>
      <c r="AA1620" s="16"/>
      <c r="AB1620" s="16"/>
      <c r="AC1620" s="16"/>
      <c r="AD1620" s="16"/>
      <c r="AE1620" s="16"/>
      <c r="AF1620" s="16"/>
      <c r="AG1620" s="16"/>
      <c r="AH1620" s="16" t="b">
        <f>IFERROR(__xludf.DUMMYFUNCTION("""COMPUTED_VALUE"""),FALSE)</f>
        <v>0</v>
      </c>
    </row>
    <row r="1621">
      <c r="A1621" s="16"/>
      <c r="B1621" s="16"/>
      <c r="C1621" s="16"/>
      <c r="D1621" s="16"/>
      <c r="E1621" s="16">
        <f>IFERROR(__xludf.DUMMYFUNCTION("""COMPUTED_VALUE"""),1.0)</f>
        <v>1</v>
      </c>
      <c r="F1621" s="108">
        <f>IFERROR(__xludf.DUMMYFUNCTION("""COMPUTED_VALUE"""),0.0)</f>
        <v>0</v>
      </c>
      <c r="G1621" s="16"/>
      <c r="H1621" s="16"/>
      <c r="I1621" s="16"/>
      <c r="J1621" s="16"/>
      <c r="K1621" s="16"/>
      <c r="L1621" s="16"/>
      <c r="M1621" s="16"/>
      <c r="N1621" s="16"/>
      <c r="O1621" s="16"/>
      <c r="P1621" s="16"/>
      <c r="Q1621" s="16"/>
      <c r="R1621" s="16"/>
      <c r="S1621" s="16"/>
      <c r="T1621" s="16"/>
      <c r="U1621" s="16"/>
      <c r="V1621" s="16"/>
      <c r="W1621" s="16"/>
      <c r="X1621" s="16"/>
      <c r="Y1621" s="16"/>
      <c r="Z1621" s="16"/>
      <c r="AA1621" s="16"/>
      <c r="AB1621" s="16"/>
      <c r="AC1621" s="16"/>
      <c r="AD1621" s="16"/>
      <c r="AE1621" s="16"/>
      <c r="AF1621" s="16"/>
      <c r="AG1621" s="16"/>
      <c r="AH1621" s="16" t="b">
        <f>IFERROR(__xludf.DUMMYFUNCTION("""COMPUTED_VALUE"""),FALSE)</f>
        <v>0</v>
      </c>
    </row>
    <row r="1622">
      <c r="A1622" s="16"/>
      <c r="B1622" s="16"/>
      <c r="C1622" s="16"/>
      <c r="D1622" s="16"/>
      <c r="E1622" s="16">
        <f>IFERROR(__xludf.DUMMYFUNCTION("""COMPUTED_VALUE"""),1.0)</f>
        <v>1</v>
      </c>
      <c r="F1622" s="108">
        <f>IFERROR(__xludf.DUMMYFUNCTION("""COMPUTED_VALUE"""),0.0)</f>
        <v>0</v>
      </c>
      <c r="G1622" s="16"/>
      <c r="H1622" s="16"/>
      <c r="I1622" s="16"/>
      <c r="J1622" s="16"/>
      <c r="K1622" s="16"/>
      <c r="L1622" s="16"/>
      <c r="M1622" s="16"/>
      <c r="N1622" s="16"/>
      <c r="O1622" s="16"/>
      <c r="P1622" s="16"/>
      <c r="Q1622" s="16"/>
      <c r="R1622" s="16"/>
      <c r="S1622" s="16"/>
      <c r="T1622" s="16"/>
      <c r="U1622" s="16"/>
      <c r="V1622" s="16"/>
      <c r="W1622" s="16"/>
      <c r="X1622" s="16"/>
      <c r="Y1622" s="16"/>
      <c r="Z1622" s="16"/>
      <c r="AA1622" s="16"/>
      <c r="AB1622" s="16"/>
      <c r="AC1622" s="16"/>
      <c r="AD1622" s="16"/>
      <c r="AE1622" s="16"/>
      <c r="AF1622" s="16"/>
      <c r="AG1622" s="16"/>
      <c r="AH1622" s="16" t="b">
        <f>IFERROR(__xludf.DUMMYFUNCTION("""COMPUTED_VALUE"""),FALSE)</f>
        <v>0</v>
      </c>
    </row>
    <row r="1623">
      <c r="A1623" s="16"/>
      <c r="B1623" s="16"/>
      <c r="C1623" s="16"/>
      <c r="D1623" s="16"/>
      <c r="E1623" s="16">
        <f>IFERROR(__xludf.DUMMYFUNCTION("""COMPUTED_VALUE"""),1.0)</f>
        <v>1</v>
      </c>
      <c r="F1623" s="108">
        <f>IFERROR(__xludf.DUMMYFUNCTION("""COMPUTED_VALUE"""),0.0)</f>
        <v>0</v>
      </c>
      <c r="G1623" s="16"/>
      <c r="H1623" s="16"/>
      <c r="I1623" s="16"/>
      <c r="J1623" s="16"/>
      <c r="K1623" s="16"/>
      <c r="L1623" s="16"/>
      <c r="M1623" s="16"/>
      <c r="N1623" s="16"/>
      <c r="O1623" s="16"/>
      <c r="P1623" s="16"/>
      <c r="Q1623" s="16"/>
      <c r="R1623" s="16"/>
      <c r="S1623" s="16"/>
      <c r="T1623" s="16"/>
      <c r="U1623" s="16"/>
      <c r="V1623" s="16"/>
      <c r="W1623" s="16"/>
      <c r="X1623" s="16"/>
      <c r="Y1623" s="16"/>
      <c r="Z1623" s="16"/>
      <c r="AA1623" s="16"/>
      <c r="AB1623" s="16"/>
      <c r="AC1623" s="16"/>
      <c r="AD1623" s="16"/>
      <c r="AE1623" s="16"/>
      <c r="AF1623" s="16"/>
      <c r="AG1623" s="16"/>
      <c r="AH1623" s="16" t="b">
        <f>IFERROR(__xludf.DUMMYFUNCTION("""COMPUTED_VALUE"""),FALSE)</f>
        <v>0</v>
      </c>
    </row>
    <row r="1624">
      <c r="A1624" s="16"/>
      <c r="B1624" s="16"/>
      <c r="C1624" s="16"/>
      <c r="D1624" s="16"/>
      <c r="E1624" s="16">
        <f>IFERROR(__xludf.DUMMYFUNCTION("""COMPUTED_VALUE"""),1.0)</f>
        <v>1</v>
      </c>
      <c r="F1624" s="108">
        <f>IFERROR(__xludf.DUMMYFUNCTION("""COMPUTED_VALUE"""),0.0)</f>
        <v>0</v>
      </c>
      <c r="G1624" s="16"/>
      <c r="H1624" s="16"/>
      <c r="I1624" s="16"/>
      <c r="J1624" s="16"/>
      <c r="K1624" s="16"/>
      <c r="L1624" s="16"/>
      <c r="M1624" s="16"/>
      <c r="N1624" s="16"/>
      <c r="O1624" s="16"/>
      <c r="P1624" s="16"/>
      <c r="Q1624" s="16"/>
      <c r="R1624" s="16"/>
      <c r="S1624" s="16"/>
      <c r="T1624" s="16"/>
      <c r="U1624" s="16"/>
      <c r="V1624" s="16"/>
      <c r="W1624" s="16"/>
      <c r="X1624" s="16"/>
      <c r="Y1624" s="16"/>
      <c r="Z1624" s="16"/>
      <c r="AA1624" s="16"/>
      <c r="AB1624" s="16"/>
      <c r="AC1624" s="16"/>
      <c r="AD1624" s="16"/>
      <c r="AE1624" s="16"/>
      <c r="AF1624" s="16"/>
      <c r="AG1624" s="16"/>
      <c r="AH1624" s="16" t="b">
        <f>IFERROR(__xludf.DUMMYFUNCTION("""COMPUTED_VALUE"""),FALSE)</f>
        <v>0</v>
      </c>
    </row>
    <row r="1625">
      <c r="A1625" s="16"/>
      <c r="B1625" s="16"/>
      <c r="C1625" s="16"/>
      <c r="D1625" s="16"/>
      <c r="E1625" s="16">
        <f>IFERROR(__xludf.DUMMYFUNCTION("""COMPUTED_VALUE"""),1.0)</f>
        <v>1</v>
      </c>
      <c r="F1625" s="108">
        <f>IFERROR(__xludf.DUMMYFUNCTION("""COMPUTED_VALUE"""),0.0)</f>
        <v>0</v>
      </c>
      <c r="G1625" s="16"/>
      <c r="H1625" s="16"/>
      <c r="I1625" s="16"/>
      <c r="J1625" s="16"/>
      <c r="K1625" s="16"/>
      <c r="L1625" s="16"/>
      <c r="M1625" s="16"/>
      <c r="N1625" s="16"/>
      <c r="O1625" s="16"/>
      <c r="P1625" s="16"/>
      <c r="Q1625" s="16"/>
      <c r="R1625" s="16"/>
      <c r="S1625" s="16"/>
      <c r="T1625" s="16"/>
      <c r="U1625" s="16"/>
      <c r="V1625" s="16"/>
      <c r="W1625" s="16"/>
      <c r="X1625" s="16"/>
      <c r="Y1625" s="16"/>
      <c r="Z1625" s="16"/>
      <c r="AA1625" s="16"/>
      <c r="AB1625" s="16"/>
      <c r="AC1625" s="16"/>
      <c r="AD1625" s="16"/>
      <c r="AE1625" s="16"/>
      <c r="AF1625" s="16"/>
      <c r="AG1625" s="16"/>
      <c r="AH1625" s="16" t="b">
        <f>IFERROR(__xludf.DUMMYFUNCTION("""COMPUTED_VALUE"""),FALSE)</f>
        <v>0</v>
      </c>
    </row>
    <row r="1626">
      <c r="A1626" s="16"/>
      <c r="B1626" s="16"/>
      <c r="C1626" s="16"/>
      <c r="D1626" s="16"/>
      <c r="E1626" s="16">
        <f>IFERROR(__xludf.DUMMYFUNCTION("""COMPUTED_VALUE"""),1.0)</f>
        <v>1</v>
      </c>
      <c r="F1626" s="108">
        <f>IFERROR(__xludf.DUMMYFUNCTION("""COMPUTED_VALUE"""),0.0)</f>
        <v>0</v>
      </c>
      <c r="G1626" s="16"/>
      <c r="H1626" s="16"/>
      <c r="I1626" s="16"/>
      <c r="J1626" s="16"/>
      <c r="K1626" s="16"/>
      <c r="L1626" s="16"/>
      <c r="M1626" s="16"/>
      <c r="N1626" s="16"/>
      <c r="O1626" s="16"/>
      <c r="P1626" s="16"/>
      <c r="Q1626" s="16"/>
      <c r="R1626" s="16"/>
      <c r="S1626" s="16"/>
      <c r="T1626" s="16"/>
      <c r="U1626" s="16"/>
      <c r="V1626" s="16"/>
      <c r="W1626" s="16"/>
      <c r="X1626" s="16"/>
      <c r="Y1626" s="16"/>
      <c r="Z1626" s="16"/>
      <c r="AA1626" s="16"/>
      <c r="AB1626" s="16"/>
      <c r="AC1626" s="16"/>
      <c r="AD1626" s="16"/>
      <c r="AE1626" s="16"/>
      <c r="AF1626" s="16"/>
      <c r="AG1626" s="16"/>
      <c r="AH1626" s="16" t="b">
        <f>IFERROR(__xludf.DUMMYFUNCTION("""COMPUTED_VALUE"""),FALSE)</f>
        <v>0</v>
      </c>
    </row>
    <row r="1627">
      <c r="A1627" s="16"/>
      <c r="B1627" s="16"/>
      <c r="C1627" s="16"/>
      <c r="D1627" s="16"/>
      <c r="E1627" s="16">
        <f>IFERROR(__xludf.DUMMYFUNCTION("""COMPUTED_VALUE"""),1.0)</f>
        <v>1</v>
      </c>
      <c r="F1627" s="108">
        <f>IFERROR(__xludf.DUMMYFUNCTION("""COMPUTED_VALUE"""),0.0)</f>
        <v>0</v>
      </c>
      <c r="G1627" s="16"/>
      <c r="H1627" s="16"/>
      <c r="I1627" s="16"/>
      <c r="J1627" s="16"/>
      <c r="K1627" s="16"/>
      <c r="L1627" s="16"/>
      <c r="M1627" s="16"/>
      <c r="N1627" s="16"/>
      <c r="O1627" s="16"/>
      <c r="P1627" s="16"/>
      <c r="Q1627" s="16"/>
      <c r="R1627" s="16"/>
      <c r="S1627" s="16"/>
      <c r="T1627" s="16"/>
      <c r="U1627" s="16"/>
      <c r="V1627" s="16"/>
      <c r="W1627" s="16"/>
      <c r="X1627" s="16"/>
      <c r="Y1627" s="16"/>
      <c r="Z1627" s="16"/>
      <c r="AA1627" s="16"/>
      <c r="AB1627" s="16"/>
      <c r="AC1627" s="16"/>
      <c r="AD1627" s="16"/>
      <c r="AE1627" s="16"/>
      <c r="AF1627" s="16"/>
      <c r="AG1627" s="16"/>
      <c r="AH1627" s="16" t="b">
        <f>IFERROR(__xludf.DUMMYFUNCTION("""COMPUTED_VALUE"""),FALSE)</f>
        <v>0</v>
      </c>
    </row>
    <row r="1628">
      <c r="A1628" s="16"/>
      <c r="B1628" s="16"/>
      <c r="C1628" s="16"/>
      <c r="D1628" s="16"/>
      <c r="E1628" s="16">
        <f>IFERROR(__xludf.DUMMYFUNCTION("""COMPUTED_VALUE"""),1.0)</f>
        <v>1</v>
      </c>
      <c r="F1628" s="108">
        <f>IFERROR(__xludf.DUMMYFUNCTION("""COMPUTED_VALUE"""),0.0)</f>
        <v>0</v>
      </c>
      <c r="G1628" s="16"/>
      <c r="H1628" s="16"/>
      <c r="I1628" s="16"/>
      <c r="J1628" s="16"/>
      <c r="K1628" s="16"/>
      <c r="L1628" s="16"/>
      <c r="M1628" s="16"/>
      <c r="N1628" s="16"/>
      <c r="O1628" s="16"/>
      <c r="P1628" s="16"/>
      <c r="Q1628" s="16"/>
      <c r="R1628" s="16"/>
      <c r="S1628" s="16"/>
      <c r="T1628" s="16"/>
      <c r="U1628" s="16"/>
      <c r="V1628" s="16"/>
      <c r="W1628" s="16"/>
      <c r="X1628" s="16"/>
      <c r="Y1628" s="16"/>
      <c r="Z1628" s="16"/>
      <c r="AA1628" s="16"/>
      <c r="AB1628" s="16"/>
      <c r="AC1628" s="16"/>
      <c r="AD1628" s="16"/>
      <c r="AE1628" s="16"/>
      <c r="AF1628" s="16"/>
      <c r="AG1628" s="16"/>
      <c r="AH1628" s="16" t="b">
        <f>IFERROR(__xludf.DUMMYFUNCTION("""COMPUTED_VALUE"""),FALSE)</f>
        <v>0</v>
      </c>
    </row>
    <row r="1629">
      <c r="A1629" s="16"/>
      <c r="B1629" s="16"/>
      <c r="C1629" s="16"/>
      <c r="D1629" s="16"/>
      <c r="E1629" s="16">
        <f>IFERROR(__xludf.DUMMYFUNCTION("""COMPUTED_VALUE"""),1.0)</f>
        <v>1</v>
      </c>
      <c r="F1629" s="108">
        <f>IFERROR(__xludf.DUMMYFUNCTION("""COMPUTED_VALUE"""),0.0)</f>
        <v>0</v>
      </c>
      <c r="G1629" s="16"/>
      <c r="H1629" s="16"/>
      <c r="I1629" s="16"/>
      <c r="J1629" s="16"/>
      <c r="K1629" s="16"/>
      <c r="L1629" s="16"/>
      <c r="M1629" s="16"/>
      <c r="N1629" s="16"/>
      <c r="O1629" s="16"/>
      <c r="P1629" s="16"/>
      <c r="Q1629" s="16"/>
      <c r="R1629" s="16"/>
      <c r="S1629" s="16"/>
      <c r="T1629" s="16"/>
      <c r="U1629" s="16"/>
      <c r="V1629" s="16"/>
      <c r="W1629" s="16"/>
      <c r="X1629" s="16"/>
      <c r="Y1629" s="16"/>
      <c r="Z1629" s="16"/>
      <c r="AA1629" s="16"/>
      <c r="AB1629" s="16"/>
      <c r="AC1629" s="16"/>
      <c r="AD1629" s="16"/>
      <c r="AE1629" s="16"/>
      <c r="AF1629" s="16"/>
      <c r="AG1629" s="16"/>
      <c r="AH1629" s="16" t="b">
        <f>IFERROR(__xludf.DUMMYFUNCTION("""COMPUTED_VALUE"""),FALSE)</f>
        <v>0</v>
      </c>
    </row>
    <row r="1630">
      <c r="A1630" s="16"/>
      <c r="B1630" s="16"/>
      <c r="C1630" s="16"/>
      <c r="D1630" s="16"/>
      <c r="E1630" s="16">
        <f>IFERROR(__xludf.DUMMYFUNCTION("""COMPUTED_VALUE"""),1.0)</f>
        <v>1</v>
      </c>
      <c r="F1630" s="108">
        <f>IFERROR(__xludf.DUMMYFUNCTION("""COMPUTED_VALUE"""),0.0)</f>
        <v>0</v>
      </c>
      <c r="G1630" s="16"/>
      <c r="H1630" s="16"/>
      <c r="I1630" s="16"/>
      <c r="J1630" s="16"/>
      <c r="K1630" s="16"/>
      <c r="L1630" s="16"/>
      <c r="M1630" s="16"/>
      <c r="N1630" s="16"/>
      <c r="O1630" s="16"/>
      <c r="P1630" s="16"/>
      <c r="Q1630" s="16"/>
      <c r="R1630" s="16"/>
      <c r="S1630" s="16"/>
      <c r="T1630" s="16"/>
      <c r="U1630" s="16"/>
      <c r="V1630" s="16"/>
      <c r="W1630" s="16"/>
      <c r="X1630" s="16"/>
      <c r="Y1630" s="16"/>
      <c r="Z1630" s="16"/>
      <c r="AA1630" s="16"/>
      <c r="AB1630" s="16"/>
      <c r="AC1630" s="16"/>
      <c r="AD1630" s="16"/>
      <c r="AE1630" s="16"/>
      <c r="AF1630" s="16"/>
      <c r="AG1630" s="16"/>
      <c r="AH1630" s="16" t="b">
        <f>IFERROR(__xludf.DUMMYFUNCTION("""COMPUTED_VALUE"""),FALSE)</f>
        <v>0</v>
      </c>
    </row>
    <row r="1631">
      <c r="A1631" s="16"/>
      <c r="B1631" s="16"/>
      <c r="C1631" s="16"/>
      <c r="D1631" s="16"/>
      <c r="E1631" s="16">
        <f>IFERROR(__xludf.DUMMYFUNCTION("""COMPUTED_VALUE"""),1.0)</f>
        <v>1</v>
      </c>
      <c r="F1631" s="108">
        <f>IFERROR(__xludf.DUMMYFUNCTION("""COMPUTED_VALUE"""),0.0)</f>
        <v>0</v>
      </c>
      <c r="G1631" s="16"/>
      <c r="H1631" s="16"/>
      <c r="I1631" s="16"/>
      <c r="J1631" s="16"/>
      <c r="K1631" s="16"/>
      <c r="L1631" s="16"/>
      <c r="M1631" s="16"/>
      <c r="N1631" s="16"/>
      <c r="O1631" s="16"/>
      <c r="P1631" s="16"/>
      <c r="Q1631" s="16"/>
      <c r="R1631" s="16"/>
      <c r="S1631" s="16"/>
      <c r="T1631" s="16"/>
      <c r="U1631" s="16"/>
      <c r="V1631" s="16"/>
      <c r="W1631" s="16"/>
      <c r="X1631" s="16"/>
      <c r="Y1631" s="16"/>
      <c r="Z1631" s="16"/>
      <c r="AA1631" s="16"/>
      <c r="AB1631" s="16"/>
      <c r="AC1631" s="16"/>
      <c r="AD1631" s="16"/>
      <c r="AE1631" s="16"/>
      <c r="AF1631" s="16"/>
      <c r="AG1631" s="16"/>
      <c r="AH1631" s="16" t="b">
        <f>IFERROR(__xludf.DUMMYFUNCTION("""COMPUTED_VALUE"""),FALSE)</f>
        <v>0</v>
      </c>
    </row>
    <row r="1632">
      <c r="A1632" s="16"/>
      <c r="B1632" s="16"/>
      <c r="C1632" s="16"/>
      <c r="D1632" s="16"/>
      <c r="E1632" s="16">
        <f>IFERROR(__xludf.DUMMYFUNCTION("""COMPUTED_VALUE"""),1.0)</f>
        <v>1</v>
      </c>
      <c r="F1632" s="108">
        <f>IFERROR(__xludf.DUMMYFUNCTION("""COMPUTED_VALUE"""),0.0)</f>
        <v>0</v>
      </c>
      <c r="G1632" s="16"/>
      <c r="H1632" s="16"/>
      <c r="I1632" s="16"/>
      <c r="J1632" s="16"/>
      <c r="K1632" s="16"/>
      <c r="L1632" s="16"/>
      <c r="M1632" s="16"/>
      <c r="N1632" s="16"/>
      <c r="O1632" s="16"/>
      <c r="P1632" s="16"/>
      <c r="Q1632" s="16"/>
      <c r="R1632" s="16"/>
      <c r="S1632" s="16"/>
      <c r="T1632" s="16"/>
      <c r="U1632" s="16"/>
      <c r="V1632" s="16"/>
      <c r="W1632" s="16"/>
      <c r="X1632" s="16"/>
      <c r="Y1632" s="16"/>
      <c r="Z1632" s="16"/>
      <c r="AA1632" s="16"/>
      <c r="AB1632" s="16"/>
      <c r="AC1632" s="16"/>
      <c r="AD1632" s="16"/>
      <c r="AE1632" s="16"/>
      <c r="AF1632" s="16"/>
      <c r="AG1632" s="16"/>
      <c r="AH1632" s="16" t="b">
        <f>IFERROR(__xludf.DUMMYFUNCTION("""COMPUTED_VALUE"""),FALSE)</f>
        <v>0</v>
      </c>
    </row>
    <row r="1633">
      <c r="A1633" s="16"/>
      <c r="B1633" s="16"/>
      <c r="C1633" s="16"/>
      <c r="D1633" s="16"/>
      <c r="E1633" s="16">
        <f>IFERROR(__xludf.DUMMYFUNCTION("""COMPUTED_VALUE"""),1.0)</f>
        <v>1</v>
      </c>
      <c r="F1633" s="108">
        <f>IFERROR(__xludf.DUMMYFUNCTION("""COMPUTED_VALUE"""),0.0)</f>
        <v>0</v>
      </c>
      <c r="G1633" s="16"/>
      <c r="H1633" s="16"/>
      <c r="I1633" s="16"/>
      <c r="J1633" s="16"/>
      <c r="K1633" s="16"/>
      <c r="L1633" s="16"/>
      <c r="M1633" s="16"/>
      <c r="N1633" s="16"/>
      <c r="O1633" s="16"/>
      <c r="P1633" s="16"/>
      <c r="Q1633" s="16"/>
      <c r="R1633" s="16"/>
      <c r="S1633" s="16"/>
      <c r="T1633" s="16"/>
      <c r="U1633" s="16"/>
      <c r="V1633" s="16"/>
      <c r="W1633" s="16"/>
      <c r="X1633" s="16"/>
      <c r="Y1633" s="16"/>
      <c r="Z1633" s="16"/>
      <c r="AA1633" s="16"/>
      <c r="AB1633" s="16"/>
      <c r="AC1633" s="16"/>
      <c r="AD1633" s="16"/>
      <c r="AE1633" s="16"/>
      <c r="AF1633" s="16"/>
      <c r="AG1633" s="16"/>
      <c r="AH1633" s="16" t="b">
        <f>IFERROR(__xludf.DUMMYFUNCTION("""COMPUTED_VALUE"""),FALSE)</f>
        <v>0</v>
      </c>
    </row>
    <row r="1634">
      <c r="A1634" s="16"/>
      <c r="B1634" s="16"/>
      <c r="C1634" s="16"/>
      <c r="D1634" s="16"/>
      <c r="E1634" s="16">
        <f>IFERROR(__xludf.DUMMYFUNCTION("""COMPUTED_VALUE"""),1.0)</f>
        <v>1</v>
      </c>
      <c r="F1634" s="108">
        <f>IFERROR(__xludf.DUMMYFUNCTION("""COMPUTED_VALUE"""),0.0)</f>
        <v>0</v>
      </c>
      <c r="G1634" s="16"/>
      <c r="H1634" s="16"/>
      <c r="I1634" s="16"/>
      <c r="J1634" s="16"/>
      <c r="K1634" s="16"/>
      <c r="L1634" s="16"/>
      <c r="M1634" s="16"/>
      <c r="N1634" s="16"/>
      <c r="O1634" s="16"/>
      <c r="P1634" s="16"/>
      <c r="Q1634" s="16"/>
      <c r="R1634" s="16"/>
      <c r="S1634" s="16"/>
      <c r="T1634" s="16"/>
      <c r="U1634" s="16"/>
      <c r="V1634" s="16"/>
      <c r="W1634" s="16"/>
      <c r="X1634" s="16"/>
      <c r="Y1634" s="16"/>
      <c r="Z1634" s="16"/>
      <c r="AA1634" s="16"/>
      <c r="AB1634" s="16"/>
      <c r="AC1634" s="16"/>
      <c r="AD1634" s="16"/>
      <c r="AE1634" s="16"/>
      <c r="AF1634" s="16"/>
      <c r="AG1634" s="16"/>
      <c r="AH1634" s="16" t="b">
        <f>IFERROR(__xludf.DUMMYFUNCTION("""COMPUTED_VALUE"""),FALSE)</f>
        <v>0</v>
      </c>
    </row>
    <row r="1635">
      <c r="A1635" s="16"/>
      <c r="B1635" s="16"/>
      <c r="C1635" s="16"/>
      <c r="D1635" s="16"/>
      <c r="E1635" s="16">
        <f>IFERROR(__xludf.DUMMYFUNCTION("""COMPUTED_VALUE"""),1.0)</f>
        <v>1</v>
      </c>
      <c r="F1635" s="108">
        <f>IFERROR(__xludf.DUMMYFUNCTION("""COMPUTED_VALUE"""),0.0)</f>
        <v>0</v>
      </c>
      <c r="G1635" s="16"/>
      <c r="H1635" s="16"/>
      <c r="I1635" s="16"/>
      <c r="J1635" s="16"/>
      <c r="K1635" s="16"/>
      <c r="L1635" s="16"/>
      <c r="M1635" s="16"/>
      <c r="N1635" s="16"/>
      <c r="O1635" s="16"/>
      <c r="P1635" s="16"/>
      <c r="Q1635" s="16"/>
      <c r="R1635" s="16"/>
      <c r="S1635" s="16"/>
      <c r="T1635" s="16"/>
      <c r="U1635" s="16"/>
      <c r="V1635" s="16"/>
      <c r="W1635" s="16"/>
      <c r="X1635" s="16"/>
      <c r="Y1635" s="16"/>
      <c r="Z1635" s="16"/>
      <c r="AA1635" s="16"/>
      <c r="AB1635" s="16"/>
      <c r="AC1635" s="16"/>
      <c r="AD1635" s="16"/>
      <c r="AE1635" s="16"/>
      <c r="AF1635" s="16"/>
      <c r="AG1635" s="16"/>
      <c r="AH1635" s="16" t="b">
        <f>IFERROR(__xludf.DUMMYFUNCTION("""COMPUTED_VALUE"""),FALSE)</f>
        <v>0</v>
      </c>
    </row>
    <row r="1636">
      <c r="A1636" s="16"/>
      <c r="B1636" s="16"/>
      <c r="C1636" s="16"/>
      <c r="D1636" s="16"/>
      <c r="E1636" s="16">
        <f>IFERROR(__xludf.DUMMYFUNCTION("""COMPUTED_VALUE"""),1.0)</f>
        <v>1</v>
      </c>
      <c r="F1636" s="108">
        <f>IFERROR(__xludf.DUMMYFUNCTION("""COMPUTED_VALUE"""),0.0)</f>
        <v>0</v>
      </c>
      <c r="G1636" s="16"/>
      <c r="H1636" s="16"/>
      <c r="I1636" s="16"/>
      <c r="J1636" s="16"/>
      <c r="K1636" s="16"/>
      <c r="L1636" s="16"/>
      <c r="M1636" s="16"/>
      <c r="N1636" s="16"/>
      <c r="O1636" s="16"/>
      <c r="P1636" s="16"/>
      <c r="Q1636" s="16"/>
      <c r="R1636" s="16"/>
      <c r="S1636" s="16"/>
      <c r="T1636" s="16"/>
      <c r="U1636" s="16"/>
      <c r="V1636" s="16"/>
      <c r="W1636" s="16"/>
      <c r="X1636" s="16"/>
      <c r="Y1636" s="16"/>
      <c r="Z1636" s="16"/>
      <c r="AA1636" s="16"/>
      <c r="AB1636" s="16"/>
      <c r="AC1636" s="16"/>
      <c r="AD1636" s="16"/>
      <c r="AE1636" s="16"/>
      <c r="AF1636" s="16"/>
      <c r="AG1636" s="16"/>
      <c r="AH1636" s="16" t="b">
        <f>IFERROR(__xludf.DUMMYFUNCTION("""COMPUTED_VALUE"""),FALSE)</f>
        <v>0</v>
      </c>
    </row>
    <row r="1637">
      <c r="A1637" s="16"/>
      <c r="B1637" s="16"/>
      <c r="C1637" s="16"/>
      <c r="D1637" s="16"/>
      <c r="E1637" s="16">
        <f>IFERROR(__xludf.DUMMYFUNCTION("""COMPUTED_VALUE"""),1.0)</f>
        <v>1</v>
      </c>
      <c r="F1637" s="108">
        <f>IFERROR(__xludf.DUMMYFUNCTION("""COMPUTED_VALUE"""),0.0)</f>
        <v>0</v>
      </c>
      <c r="G1637" s="16"/>
      <c r="H1637" s="16"/>
      <c r="I1637" s="16"/>
      <c r="J1637" s="16"/>
      <c r="K1637" s="16"/>
      <c r="L1637" s="16"/>
      <c r="M1637" s="16"/>
      <c r="N1637" s="16"/>
      <c r="O1637" s="16"/>
      <c r="P1637" s="16"/>
      <c r="Q1637" s="16"/>
      <c r="R1637" s="16"/>
      <c r="S1637" s="16"/>
      <c r="T1637" s="16"/>
      <c r="U1637" s="16"/>
      <c r="V1637" s="16"/>
      <c r="W1637" s="16"/>
      <c r="X1637" s="16"/>
      <c r="Y1637" s="16"/>
      <c r="Z1637" s="16"/>
      <c r="AA1637" s="16"/>
      <c r="AB1637" s="16"/>
      <c r="AC1637" s="16"/>
      <c r="AD1637" s="16"/>
      <c r="AE1637" s="16"/>
      <c r="AF1637" s="16"/>
      <c r="AG1637" s="16"/>
      <c r="AH1637" s="16" t="b">
        <f>IFERROR(__xludf.DUMMYFUNCTION("""COMPUTED_VALUE"""),FALSE)</f>
        <v>0</v>
      </c>
    </row>
    <row r="1638">
      <c r="A1638" s="16"/>
      <c r="B1638" s="16"/>
      <c r="C1638" s="16"/>
      <c r="D1638" s="16"/>
      <c r="E1638" s="16">
        <f>IFERROR(__xludf.DUMMYFUNCTION("""COMPUTED_VALUE"""),1.0)</f>
        <v>1</v>
      </c>
      <c r="F1638" s="108">
        <f>IFERROR(__xludf.DUMMYFUNCTION("""COMPUTED_VALUE"""),0.0)</f>
        <v>0</v>
      </c>
      <c r="G1638" s="16"/>
      <c r="H1638" s="16"/>
      <c r="I1638" s="16"/>
      <c r="J1638" s="16"/>
      <c r="K1638" s="16"/>
      <c r="L1638" s="16"/>
      <c r="M1638" s="16"/>
      <c r="N1638" s="16"/>
      <c r="O1638" s="16"/>
      <c r="P1638" s="16"/>
      <c r="Q1638" s="16"/>
      <c r="R1638" s="16"/>
      <c r="S1638" s="16"/>
      <c r="T1638" s="16"/>
      <c r="U1638" s="16"/>
      <c r="V1638" s="16"/>
      <c r="W1638" s="16"/>
      <c r="X1638" s="16"/>
      <c r="Y1638" s="16"/>
      <c r="Z1638" s="16"/>
      <c r="AA1638" s="16"/>
      <c r="AB1638" s="16"/>
      <c r="AC1638" s="16"/>
      <c r="AD1638" s="16"/>
      <c r="AE1638" s="16"/>
      <c r="AF1638" s="16"/>
      <c r="AG1638" s="16"/>
      <c r="AH1638" s="16" t="b">
        <f>IFERROR(__xludf.DUMMYFUNCTION("""COMPUTED_VALUE"""),FALSE)</f>
        <v>0</v>
      </c>
    </row>
    <row r="1639">
      <c r="A1639" s="16"/>
      <c r="B1639" s="16"/>
      <c r="C1639" s="16"/>
      <c r="D1639" s="16"/>
      <c r="E1639" s="16">
        <f>IFERROR(__xludf.DUMMYFUNCTION("""COMPUTED_VALUE"""),1.0)</f>
        <v>1</v>
      </c>
      <c r="F1639" s="108">
        <f>IFERROR(__xludf.DUMMYFUNCTION("""COMPUTED_VALUE"""),0.0)</f>
        <v>0</v>
      </c>
      <c r="G1639" s="16"/>
      <c r="H1639" s="16"/>
      <c r="I1639" s="16"/>
      <c r="J1639" s="16"/>
      <c r="K1639" s="16"/>
      <c r="L1639" s="16"/>
      <c r="M1639" s="16"/>
      <c r="N1639" s="16"/>
      <c r="O1639" s="16"/>
      <c r="P1639" s="16"/>
      <c r="Q1639" s="16"/>
      <c r="R1639" s="16"/>
      <c r="S1639" s="16"/>
      <c r="T1639" s="16"/>
      <c r="U1639" s="16"/>
      <c r="V1639" s="16"/>
      <c r="W1639" s="16"/>
      <c r="X1639" s="16"/>
      <c r="Y1639" s="16"/>
      <c r="Z1639" s="16"/>
      <c r="AA1639" s="16"/>
      <c r="AB1639" s="16"/>
      <c r="AC1639" s="16"/>
      <c r="AD1639" s="16"/>
      <c r="AE1639" s="16"/>
      <c r="AF1639" s="16"/>
      <c r="AG1639" s="16"/>
      <c r="AH1639" s="16" t="b">
        <f>IFERROR(__xludf.DUMMYFUNCTION("""COMPUTED_VALUE"""),FALSE)</f>
        <v>0</v>
      </c>
    </row>
    <row r="1640">
      <c r="A1640" s="16"/>
      <c r="B1640" s="16"/>
      <c r="C1640" s="16"/>
      <c r="D1640" s="16"/>
      <c r="E1640" s="16">
        <f>IFERROR(__xludf.DUMMYFUNCTION("""COMPUTED_VALUE"""),1.0)</f>
        <v>1</v>
      </c>
      <c r="F1640" s="108">
        <f>IFERROR(__xludf.DUMMYFUNCTION("""COMPUTED_VALUE"""),0.0)</f>
        <v>0</v>
      </c>
      <c r="G1640" s="16"/>
      <c r="H1640" s="16"/>
      <c r="I1640" s="16"/>
      <c r="J1640" s="16"/>
      <c r="K1640" s="16"/>
      <c r="L1640" s="16"/>
      <c r="M1640" s="16"/>
      <c r="N1640" s="16"/>
      <c r="O1640" s="16"/>
      <c r="P1640" s="16"/>
      <c r="Q1640" s="16"/>
      <c r="R1640" s="16"/>
      <c r="S1640" s="16"/>
      <c r="T1640" s="16"/>
      <c r="U1640" s="16"/>
      <c r="V1640" s="16"/>
      <c r="W1640" s="16"/>
      <c r="X1640" s="16"/>
      <c r="Y1640" s="16"/>
      <c r="Z1640" s="16"/>
      <c r="AA1640" s="16"/>
      <c r="AB1640" s="16"/>
      <c r="AC1640" s="16"/>
      <c r="AD1640" s="16"/>
      <c r="AE1640" s="16"/>
      <c r="AF1640" s="16"/>
      <c r="AG1640" s="16"/>
      <c r="AH1640" s="16" t="b">
        <f>IFERROR(__xludf.DUMMYFUNCTION("""COMPUTED_VALUE"""),FALSE)</f>
        <v>0</v>
      </c>
    </row>
    <row r="1641">
      <c r="A1641" s="16"/>
      <c r="B1641" s="16"/>
      <c r="C1641" s="16"/>
      <c r="D1641" s="16"/>
      <c r="E1641" s="16">
        <f>IFERROR(__xludf.DUMMYFUNCTION("""COMPUTED_VALUE"""),1.0)</f>
        <v>1</v>
      </c>
      <c r="F1641" s="108">
        <f>IFERROR(__xludf.DUMMYFUNCTION("""COMPUTED_VALUE"""),0.0)</f>
        <v>0</v>
      </c>
      <c r="G1641" s="16"/>
      <c r="H1641" s="16"/>
      <c r="I1641" s="16"/>
      <c r="J1641" s="16"/>
      <c r="K1641" s="16"/>
      <c r="L1641" s="16"/>
      <c r="M1641" s="16"/>
      <c r="N1641" s="16"/>
      <c r="O1641" s="16"/>
      <c r="P1641" s="16"/>
      <c r="Q1641" s="16"/>
      <c r="R1641" s="16"/>
      <c r="S1641" s="16"/>
      <c r="T1641" s="16"/>
      <c r="U1641" s="16"/>
      <c r="V1641" s="16"/>
      <c r="W1641" s="16"/>
      <c r="X1641" s="16"/>
      <c r="Y1641" s="16"/>
      <c r="Z1641" s="16"/>
      <c r="AA1641" s="16"/>
      <c r="AB1641" s="16"/>
      <c r="AC1641" s="16"/>
      <c r="AD1641" s="16"/>
      <c r="AE1641" s="16"/>
      <c r="AF1641" s="16"/>
      <c r="AG1641" s="16"/>
      <c r="AH1641" s="16" t="b">
        <f>IFERROR(__xludf.DUMMYFUNCTION("""COMPUTED_VALUE"""),FALSE)</f>
        <v>0</v>
      </c>
    </row>
    <row r="1642">
      <c r="A1642" s="16"/>
      <c r="B1642" s="16"/>
      <c r="C1642" s="16"/>
      <c r="D1642" s="16"/>
      <c r="E1642" s="16">
        <f>IFERROR(__xludf.DUMMYFUNCTION("""COMPUTED_VALUE"""),1.0)</f>
        <v>1</v>
      </c>
      <c r="F1642" s="108">
        <f>IFERROR(__xludf.DUMMYFUNCTION("""COMPUTED_VALUE"""),0.0)</f>
        <v>0</v>
      </c>
      <c r="G1642" s="16"/>
      <c r="H1642" s="16"/>
      <c r="I1642" s="16"/>
      <c r="J1642" s="16"/>
      <c r="K1642" s="16"/>
      <c r="L1642" s="16"/>
      <c r="M1642" s="16"/>
      <c r="N1642" s="16"/>
      <c r="O1642" s="16"/>
      <c r="P1642" s="16"/>
      <c r="Q1642" s="16"/>
      <c r="R1642" s="16"/>
      <c r="S1642" s="16"/>
      <c r="T1642" s="16"/>
      <c r="U1642" s="16"/>
      <c r="V1642" s="16"/>
      <c r="W1642" s="16"/>
      <c r="X1642" s="16"/>
      <c r="Y1642" s="16"/>
      <c r="Z1642" s="16"/>
      <c r="AA1642" s="16"/>
      <c r="AB1642" s="16"/>
      <c r="AC1642" s="16"/>
      <c r="AD1642" s="16"/>
      <c r="AE1642" s="16"/>
      <c r="AF1642" s="16"/>
      <c r="AG1642" s="16"/>
      <c r="AH1642" s="16" t="b">
        <f>IFERROR(__xludf.DUMMYFUNCTION("""COMPUTED_VALUE"""),FALSE)</f>
        <v>0</v>
      </c>
    </row>
    <row r="1643">
      <c r="A1643" s="16"/>
      <c r="B1643" s="16"/>
      <c r="C1643" s="16"/>
      <c r="D1643" s="16"/>
      <c r="E1643" s="16">
        <f>IFERROR(__xludf.DUMMYFUNCTION("""COMPUTED_VALUE"""),1.0)</f>
        <v>1</v>
      </c>
      <c r="F1643" s="108">
        <f>IFERROR(__xludf.DUMMYFUNCTION("""COMPUTED_VALUE"""),0.0)</f>
        <v>0</v>
      </c>
      <c r="G1643" s="16"/>
      <c r="H1643" s="16"/>
      <c r="I1643" s="16"/>
      <c r="J1643" s="16"/>
      <c r="K1643" s="16"/>
      <c r="L1643" s="16"/>
      <c r="M1643" s="16"/>
      <c r="N1643" s="16"/>
      <c r="O1643" s="16"/>
      <c r="P1643" s="16"/>
      <c r="Q1643" s="16"/>
      <c r="R1643" s="16"/>
      <c r="S1643" s="16"/>
      <c r="T1643" s="16"/>
      <c r="U1643" s="16"/>
      <c r="V1643" s="16"/>
      <c r="W1643" s="16"/>
      <c r="X1643" s="16"/>
      <c r="Y1643" s="16"/>
      <c r="Z1643" s="16"/>
      <c r="AA1643" s="16"/>
      <c r="AB1643" s="16"/>
      <c r="AC1643" s="16"/>
      <c r="AD1643" s="16"/>
      <c r="AE1643" s="16"/>
      <c r="AF1643" s="16"/>
      <c r="AG1643" s="16"/>
      <c r="AH1643" s="16" t="b">
        <f>IFERROR(__xludf.DUMMYFUNCTION("""COMPUTED_VALUE"""),FALSE)</f>
        <v>0</v>
      </c>
    </row>
    <row r="1644">
      <c r="A1644" s="16"/>
      <c r="B1644" s="16"/>
      <c r="C1644" s="16"/>
      <c r="D1644" s="16"/>
      <c r="E1644" s="16">
        <f>IFERROR(__xludf.DUMMYFUNCTION("""COMPUTED_VALUE"""),1.0)</f>
        <v>1</v>
      </c>
      <c r="F1644" s="108">
        <f>IFERROR(__xludf.DUMMYFUNCTION("""COMPUTED_VALUE"""),0.0)</f>
        <v>0</v>
      </c>
      <c r="G1644" s="16"/>
      <c r="H1644" s="16"/>
      <c r="I1644" s="16"/>
      <c r="J1644" s="16"/>
      <c r="K1644" s="16"/>
      <c r="L1644" s="16"/>
      <c r="M1644" s="16"/>
      <c r="N1644" s="16"/>
      <c r="O1644" s="16"/>
      <c r="P1644" s="16"/>
      <c r="Q1644" s="16"/>
      <c r="R1644" s="16"/>
      <c r="S1644" s="16"/>
      <c r="T1644" s="16"/>
      <c r="U1644" s="16"/>
      <c r="V1644" s="16"/>
      <c r="W1644" s="16"/>
      <c r="X1644" s="16"/>
      <c r="Y1644" s="16"/>
      <c r="Z1644" s="16"/>
      <c r="AA1644" s="16"/>
      <c r="AB1644" s="16"/>
      <c r="AC1644" s="16"/>
      <c r="AD1644" s="16"/>
      <c r="AE1644" s="16"/>
      <c r="AF1644" s="16"/>
      <c r="AG1644" s="16"/>
      <c r="AH1644" s="16" t="b">
        <f>IFERROR(__xludf.DUMMYFUNCTION("""COMPUTED_VALUE"""),FALSE)</f>
        <v>0</v>
      </c>
    </row>
    <row r="1645">
      <c r="A1645" s="16"/>
      <c r="B1645" s="16"/>
      <c r="C1645" s="16"/>
      <c r="D1645" s="16"/>
      <c r="E1645" s="16">
        <f>IFERROR(__xludf.DUMMYFUNCTION("""COMPUTED_VALUE"""),1.0)</f>
        <v>1</v>
      </c>
      <c r="F1645" s="108">
        <f>IFERROR(__xludf.DUMMYFUNCTION("""COMPUTED_VALUE"""),0.0)</f>
        <v>0</v>
      </c>
      <c r="G1645" s="16"/>
      <c r="H1645" s="16"/>
      <c r="I1645" s="16"/>
      <c r="J1645" s="16"/>
      <c r="K1645" s="16"/>
      <c r="L1645" s="16"/>
      <c r="M1645" s="16"/>
      <c r="N1645" s="16"/>
      <c r="O1645" s="16"/>
      <c r="P1645" s="16"/>
      <c r="Q1645" s="16"/>
      <c r="R1645" s="16"/>
      <c r="S1645" s="16"/>
      <c r="T1645" s="16"/>
      <c r="U1645" s="16"/>
      <c r="V1645" s="16"/>
      <c r="W1645" s="16"/>
      <c r="X1645" s="16"/>
      <c r="Y1645" s="16"/>
      <c r="Z1645" s="16"/>
      <c r="AA1645" s="16"/>
      <c r="AB1645" s="16"/>
      <c r="AC1645" s="16"/>
      <c r="AD1645" s="16"/>
      <c r="AE1645" s="16"/>
      <c r="AF1645" s="16"/>
      <c r="AG1645" s="16"/>
      <c r="AH1645" s="16" t="b">
        <f>IFERROR(__xludf.DUMMYFUNCTION("""COMPUTED_VALUE"""),FALSE)</f>
        <v>0</v>
      </c>
    </row>
    <row r="1646">
      <c r="A1646" s="16"/>
      <c r="B1646" s="16"/>
      <c r="C1646" s="16"/>
      <c r="D1646" s="16"/>
      <c r="E1646" s="16">
        <f>IFERROR(__xludf.DUMMYFUNCTION("""COMPUTED_VALUE"""),1.0)</f>
        <v>1</v>
      </c>
      <c r="F1646" s="108">
        <f>IFERROR(__xludf.DUMMYFUNCTION("""COMPUTED_VALUE"""),0.0)</f>
        <v>0</v>
      </c>
      <c r="G1646" s="16"/>
      <c r="H1646" s="16"/>
      <c r="I1646" s="16"/>
      <c r="J1646" s="16"/>
      <c r="K1646" s="16"/>
      <c r="L1646" s="16"/>
      <c r="M1646" s="16"/>
      <c r="N1646" s="16"/>
      <c r="O1646" s="16"/>
      <c r="P1646" s="16"/>
      <c r="Q1646" s="16"/>
      <c r="R1646" s="16"/>
      <c r="S1646" s="16"/>
      <c r="T1646" s="16"/>
      <c r="U1646" s="16"/>
      <c r="V1646" s="16"/>
      <c r="W1646" s="16"/>
      <c r="X1646" s="16"/>
      <c r="Y1646" s="16"/>
      <c r="Z1646" s="16"/>
      <c r="AA1646" s="16"/>
      <c r="AB1646" s="16"/>
      <c r="AC1646" s="16"/>
      <c r="AD1646" s="16"/>
      <c r="AE1646" s="16"/>
      <c r="AF1646" s="16"/>
      <c r="AG1646" s="16"/>
      <c r="AH1646" s="16" t="b">
        <f>IFERROR(__xludf.DUMMYFUNCTION("""COMPUTED_VALUE"""),FALSE)</f>
        <v>0</v>
      </c>
    </row>
    <row r="1647">
      <c r="A1647" s="16"/>
      <c r="B1647" s="16"/>
      <c r="C1647" s="16"/>
      <c r="D1647" s="16"/>
      <c r="E1647" s="16">
        <f>IFERROR(__xludf.DUMMYFUNCTION("""COMPUTED_VALUE"""),1.0)</f>
        <v>1</v>
      </c>
      <c r="F1647" s="108">
        <f>IFERROR(__xludf.DUMMYFUNCTION("""COMPUTED_VALUE"""),0.0)</f>
        <v>0</v>
      </c>
      <c r="G1647" s="16"/>
      <c r="H1647" s="16"/>
      <c r="I1647" s="16"/>
      <c r="J1647" s="16"/>
      <c r="K1647" s="16"/>
      <c r="L1647" s="16"/>
      <c r="M1647" s="16"/>
      <c r="N1647" s="16"/>
      <c r="O1647" s="16"/>
      <c r="P1647" s="16"/>
      <c r="Q1647" s="16"/>
      <c r="R1647" s="16"/>
      <c r="S1647" s="16"/>
      <c r="T1647" s="16"/>
      <c r="U1647" s="16"/>
      <c r="V1647" s="16"/>
      <c r="W1647" s="16"/>
      <c r="X1647" s="16"/>
      <c r="Y1647" s="16"/>
      <c r="Z1647" s="16"/>
      <c r="AA1647" s="16"/>
      <c r="AB1647" s="16"/>
      <c r="AC1647" s="16"/>
      <c r="AD1647" s="16"/>
      <c r="AE1647" s="16"/>
      <c r="AF1647" s="16"/>
      <c r="AG1647" s="16"/>
      <c r="AH1647" s="16" t="b">
        <f>IFERROR(__xludf.DUMMYFUNCTION("""COMPUTED_VALUE"""),FALSE)</f>
        <v>0</v>
      </c>
    </row>
    <row r="1648">
      <c r="A1648" s="16"/>
      <c r="B1648" s="16"/>
      <c r="C1648" s="16"/>
      <c r="D1648" s="16"/>
      <c r="E1648" s="16">
        <f>IFERROR(__xludf.DUMMYFUNCTION("""COMPUTED_VALUE"""),1.0)</f>
        <v>1</v>
      </c>
      <c r="F1648" s="108">
        <f>IFERROR(__xludf.DUMMYFUNCTION("""COMPUTED_VALUE"""),0.0)</f>
        <v>0</v>
      </c>
      <c r="G1648" s="16"/>
      <c r="H1648" s="16"/>
      <c r="I1648" s="16"/>
      <c r="J1648" s="16"/>
      <c r="K1648" s="16"/>
      <c r="L1648" s="16"/>
      <c r="M1648" s="16"/>
      <c r="N1648" s="16"/>
      <c r="O1648" s="16"/>
      <c r="P1648" s="16"/>
      <c r="Q1648" s="16"/>
      <c r="R1648" s="16"/>
      <c r="S1648" s="16"/>
      <c r="T1648" s="16"/>
      <c r="U1648" s="16"/>
      <c r="V1648" s="16"/>
      <c r="W1648" s="16"/>
      <c r="X1648" s="16"/>
      <c r="Y1648" s="16"/>
      <c r="Z1648" s="16"/>
      <c r="AA1648" s="16"/>
      <c r="AB1648" s="16"/>
      <c r="AC1648" s="16"/>
      <c r="AD1648" s="16"/>
      <c r="AE1648" s="16"/>
      <c r="AF1648" s="16"/>
      <c r="AG1648" s="16"/>
      <c r="AH1648" s="16" t="b">
        <f>IFERROR(__xludf.DUMMYFUNCTION("""COMPUTED_VALUE"""),FALSE)</f>
        <v>0</v>
      </c>
    </row>
    <row r="1649">
      <c r="A1649" s="16"/>
      <c r="B1649" s="16"/>
      <c r="C1649" s="16"/>
      <c r="D1649" s="16"/>
      <c r="E1649" s="16">
        <f>IFERROR(__xludf.DUMMYFUNCTION("""COMPUTED_VALUE"""),1.0)</f>
        <v>1</v>
      </c>
      <c r="F1649" s="108">
        <f>IFERROR(__xludf.DUMMYFUNCTION("""COMPUTED_VALUE"""),0.0)</f>
        <v>0</v>
      </c>
      <c r="G1649" s="16"/>
      <c r="H1649" s="16"/>
      <c r="I1649" s="16"/>
      <c r="J1649" s="16"/>
      <c r="K1649" s="16"/>
      <c r="L1649" s="16"/>
      <c r="M1649" s="16"/>
      <c r="N1649" s="16"/>
      <c r="O1649" s="16"/>
      <c r="P1649" s="16"/>
      <c r="Q1649" s="16"/>
      <c r="R1649" s="16"/>
      <c r="S1649" s="16"/>
      <c r="T1649" s="16"/>
      <c r="U1649" s="16"/>
      <c r="V1649" s="16"/>
      <c r="W1649" s="16"/>
      <c r="X1649" s="16"/>
      <c r="Y1649" s="16"/>
      <c r="Z1649" s="16"/>
      <c r="AA1649" s="16"/>
      <c r="AB1649" s="16"/>
      <c r="AC1649" s="16"/>
      <c r="AD1649" s="16"/>
      <c r="AE1649" s="16"/>
      <c r="AF1649" s="16"/>
      <c r="AG1649" s="16"/>
      <c r="AH1649" s="16" t="b">
        <f>IFERROR(__xludf.DUMMYFUNCTION("""COMPUTED_VALUE"""),FALSE)</f>
        <v>0</v>
      </c>
    </row>
    <row r="1650">
      <c r="A1650" s="16"/>
      <c r="B1650" s="16"/>
      <c r="C1650" s="16"/>
      <c r="D1650" s="16"/>
      <c r="E1650" s="16">
        <f>IFERROR(__xludf.DUMMYFUNCTION("""COMPUTED_VALUE"""),1.0)</f>
        <v>1</v>
      </c>
      <c r="F1650" s="108">
        <f>IFERROR(__xludf.DUMMYFUNCTION("""COMPUTED_VALUE"""),0.0)</f>
        <v>0</v>
      </c>
      <c r="G1650" s="16"/>
      <c r="H1650" s="16"/>
      <c r="I1650" s="16"/>
      <c r="J1650" s="16"/>
      <c r="K1650" s="16"/>
      <c r="L1650" s="16"/>
      <c r="M1650" s="16"/>
      <c r="N1650" s="16"/>
      <c r="O1650" s="16"/>
      <c r="P1650" s="16"/>
      <c r="Q1650" s="16"/>
      <c r="R1650" s="16"/>
      <c r="S1650" s="16"/>
      <c r="T1650" s="16"/>
      <c r="U1650" s="16"/>
      <c r="V1650" s="16"/>
      <c r="W1650" s="16"/>
      <c r="X1650" s="16"/>
      <c r="Y1650" s="16"/>
      <c r="Z1650" s="16"/>
      <c r="AA1650" s="16"/>
      <c r="AB1650" s="16"/>
      <c r="AC1650" s="16"/>
      <c r="AD1650" s="16"/>
      <c r="AE1650" s="16"/>
      <c r="AF1650" s="16"/>
      <c r="AG1650" s="16"/>
      <c r="AH1650" s="16" t="b">
        <f>IFERROR(__xludf.DUMMYFUNCTION("""COMPUTED_VALUE"""),FALSE)</f>
        <v>0</v>
      </c>
    </row>
    <row r="1651">
      <c r="A1651" s="16"/>
      <c r="B1651" s="16"/>
      <c r="C1651" s="16"/>
      <c r="D1651" s="16"/>
      <c r="E1651" s="16">
        <f>IFERROR(__xludf.DUMMYFUNCTION("""COMPUTED_VALUE"""),1.0)</f>
        <v>1</v>
      </c>
      <c r="F1651" s="108">
        <f>IFERROR(__xludf.DUMMYFUNCTION("""COMPUTED_VALUE"""),0.0)</f>
        <v>0</v>
      </c>
      <c r="G1651" s="16"/>
      <c r="H1651" s="16"/>
      <c r="I1651" s="16"/>
      <c r="J1651" s="16"/>
      <c r="K1651" s="16"/>
      <c r="L1651" s="16"/>
      <c r="M1651" s="16"/>
      <c r="N1651" s="16"/>
      <c r="O1651" s="16"/>
      <c r="P1651" s="16"/>
      <c r="Q1651" s="16"/>
      <c r="R1651" s="16"/>
      <c r="S1651" s="16"/>
      <c r="T1651" s="16"/>
      <c r="U1651" s="16"/>
      <c r="V1651" s="16"/>
      <c r="W1651" s="16"/>
      <c r="X1651" s="16"/>
      <c r="Y1651" s="16"/>
      <c r="Z1651" s="16"/>
      <c r="AA1651" s="16"/>
      <c r="AB1651" s="16"/>
      <c r="AC1651" s="16"/>
      <c r="AD1651" s="16"/>
      <c r="AE1651" s="16"/>
      <c r="AF1651" s="16"/>
      <c r="AG1651" s="16"/>
      <c r="AH1651" s="16" t="b">
        <f>IFERROR(__xludf.DUMMYFUNCTION("""COMPUTED_VALUE"""),FALSE)</f>
        <v>0</v>
      </c>
    </row>
    <row r="1652">
      <c r="A1652" s="16"/>
      <c r="B1652" s="16"/>
      <c r="C1652" s="16"/>
      <c r="D1652" s="16"/>
      <c r="E1652" s="16">
        <f>IFERROR(__xludf.DUMMYFUNCTION("""COMPUTED_VALUE"""),1.0)</f>
        <v>1</v>
      </c>
      <c r="F1652" s="108">
        <f>IFERROR(__xludf.DUMMYFUNCTION("""COMPUTED_VALUE"""),0.0)</f>
        <v>0</v>
      </c>
      <c r="G1652" s="16"/>
      <c r="H1652" s="16"/>
      <c r="I1652" s="16"/>
      <c r="J1652" s="16"/>
      <c r="K1652" s="16"/>
      <c r="L1652" s="16"/>
      <c r="M1652" s="16"/>
      <c r="N1652" s="16"/>
      <c r="O1652" s="16"/>
      <c r="P1652" s="16"/>
      <c r="Q1652" s="16"/>
      <c r="R1652" s="16"/>
      <c r="S1652" s="16"/>
      <c r="T1652" s="16"/>
      <c r="U1652" s="16"/>
      <c r="V1652" s="16"/>
      <c r="W1652" s="16"/>
      <c r="X1652" s="16"/>
      <c r="Y1652" s="16"/>
      <c r="Z1652" s="16"/>
      <c r="AA1652" s="16"/>
      <c r="AB1652" s="16"/>
      <c r="AC1652" s="16"/>
      <c r="AD1652" s="16"/>
      <c r="AE1652" s="16"/>
      <c r="AF1652" s="16"/>
      <c r="AG1652" s="16"/>
      <c r="AH1652" s="16" t="b">
        <f>IFERROR(__xludf.DUMMYFUNCTION("""COMPUTED_VALUE"""),FALSE)</f>
        <v>0</v>
      </c>
    </row>
    <row r="1653">
      <c r="A1653" s="16"/>
      <c r="B1653" s="16"/>
      <c r="C1653" s="16"/>
      <c r="D1653" s="16"/>
      <c r="E1653" s="16">
        <f>IFERROR(__xludf.DUMMYFUNCTION("""COMPUTED_VALUE"""),1.0)</f>
        <v>1</v>
      </c>
      <c r="F1653" s="108">
        <f>IFERROR(__xludf.DUMMYFUNCTION("""COMPUTED_VALUE"""),0.0)</f>
        <v>0</v>
      </c>
      <c r="G1653" s="16"/>
      <c r="H1653" s="16"/>
      <c r="I1653" s="16"/>
      <c r="J1653" s="16"/>
      <c r="K1653" s="16"/>
      <c r="L1653" s="16"/>
      <c r="M1653" s="16"/>
      <c r="N1653" s="16"/>
      <c r="O1653" s="16"/>
      <c r="P1653" s="16"/>
      <c r="Q1653" s="16"/>
      <c r="R1653" s="16"/>
      <c r="S1653" s="16"/>
      <c r="T1653" s="16"/>
      <c r="U1653" s="16"/>
      <c r="V1653" s="16"/>
      <c r="W1653" s="16"/>
      <c r="X1653" s="16"/>
      <c r="Y1653" s="16"/>
      <c r="Z1653" s="16"/>
      <c r="AA1653" s="16"/>
      <c r="AB1653" s="16"/>
      <c r="AC1653" s="16"/>
      <c r="AD1653" s="16"/>
      <c r="AE1653" s="16"/>
      <c r="AF1653" s="16"/>
      <c r="AG1653" s="16"/>
      <c r="AH1653" s="16" t="b">
        <f>IFERROR(__xludf.DUMMYFUNCTION("""COMPUTED_VALUE"""),FALSE)</f>
        <v>0</v>
      </c>
    </row>
    <row r="1654">
      <c r="A1654" s="16"/>
      <c r="B1654" s="16"/>
      <c r="C1654" s="16"/>
      <c r="D1654" s="16"/>
      <c r="E1654" s="16">
        <f>IFERROR(__xludf.DUMMYFUNCTION("""COMPUTED_VALUE"""),1.0)</f>
        <v>1</v>
      </c>
      <c r="F1654" s="108">
        <f>IFERROR(__xludf.DUMMYFUNCTION("""COMPUTED_VALUE"""),0.0)</f>
        <v>0</v>
      </c>
      <c r="G1654" s="16"/>
      <c r="H1654" s="16"/>
      <c r="I1654" s="16"/>
      <c r="J1654" s="16"/>
      <c r="K1654" s="16"/>
      <c r="L1654" s="16"/>
      <c r="M1654" s="16"/>
      <c r="N1654" s="16"/>
      <c r="O1654" s="16"/>
      <c r="P1654" s="16"/>
      <c r="Q1654" s="16"/>
      <c r="R1654" s="16"/>
      <c r="S1654" s="16"/>
      <c r="T1654" s="16"/>
      <c r="U1654" s="16"/>
      <c r="V1654" s="16"/>
      <c r="W1654" s="16"/>
      <c r="X1654" s="16"/>
      <c r="Y1654" s="16"/>
      <c r="Z1654" s="16"/>
      <c r="AA1654" s="16"/>
      <c r="AB1654" s="16"/>
      <c r="AC1654" s="16"/>
      <c r="AD1654" s="16"/>
      <c r="AE1654" s="16"/>
      <c r="AF1654" s="16"/>
      <c r="AG1654" s="16"/>
      <c r="AH1654" s="16" t="b">
        <f>IFERROR(__xludf.DUMMYFUNCTION("""COMPUTED_VALUE"""),FALSE)</f>
        <v>0</v>
      </c>
    </row>
    <row r="1655">
      <c r="A1655" s="16"/>
      <c r="B1655" s="16"/>
      <c r="C1655" s="16"/>
      <c r="D1655" s="16"/>
      <c r="E1655" s="16">
        <f>IFERROR(__xludf.DUMMYFUNCTION("""COMPUTED_VALUE"""),1.0)</f>
        <v>1</v>
      </c>
      <c r="F1655" s="108">
        <f>IFERROR(__xludf.DUMMYFUNCTION("""COMPUTED_VALUE"""),0.0)</f>
        <v>0</v>
      </c>
      <c r="G1655" s="16"/>
      <c r="H1655" s="16"/>
      <c r="I1655" s="16"/>
      <c r="J1655" s="16"/>
      <c r="K1655" s="16"/>
      <c r="L1655" s="16"/>
      <c r="M1655" s="16"/>
      <c r="N1655" s="16"/>
      <c r="O1655" s="16"/>
      <c r="P1655" s="16"/>
      <c r="Q1655" s="16"/>
      <c r="R1655" s="16"/>
      <c r="S1655" s="16"/>
      <c r="T1655" s="16"/>
      <c r="U1655" s="16"/>
      <c r="V1655" s="16"/>
      <c r="W1655" s="16"/>
      <c r="X1655" s="16"/>
      <c r="Y1655" s="16"/>
      <c r="Z1655" s="16"/>
      <c r="AA1655" s="16"/>
      <c r="AB1655" s="16"/>
      <c r="AC1655" s="16"/>
      <c r="AD1655" s="16"/>
      <c r="AE1655" s="16"/>
      <c r="AF1655" s="16"/>
      <c r="AG1655" s="16"/>
      <c r="AH1655" s="16" t="b">
        <f>IFERROR(__xludf.DUMMYFUNCTION("""COMPUTED_VALUE"""),FALSE)</f>
        <v>0</v>
      </c>
    </row>
    <row r="1656">
      <c r="A1656" s="16"/>
      <c r="B1656" s="16"/>
      <c r="C1656" s="16"/>
      <c r="D1656" s="16"/>
      <c r="E1656" s="16">
        <f>IFERROR(__xludf.DUMMYFUNCTION("""COMPUTED_VALUE"""),1.0)</f>
        <v>1</v>
      </c>
      <c r="F1656" s="108">
        <f>IFERROR(__xludf.DUMMYFUNCTION("""COMPUTED_VALUE"""),0.0)</f>
        <v>0</v>
      </c>
      <c r="G1656" s="16"/>
      <c r="H1656" s="16"/>
      <c r="I1656" s="16"/>
      <c r="J1656" s="16"/>
      <c r="K1656" s="16"/>
      <c r="L1656" s="16"/>
      <c r="M1656" s="16"/>
      <c r="N1656" s="16"/>
      <c r="O1656" s="16"/>
      <c r="P1656" s="16"/>
      <c r="Q1656" s="16"/>
      <c r="R1656" s="16"/>
      <c r="S1656" s="16"/>
      <c r="T1656" s="16"/>
      <c r="U1656" s="16"/>
      <c r="V1656" s="16"/>
      <c r="W1656" s="16"/>
      <c r="X1656" s="16"/>
      <c r="Y1656" s="16"/>
      <c r="Z1656" s="16"/>
      <c r="AA1656" s="16"/>
      <c r="AB1656" s="16"/>
      <c r="AC1656" s="16"/>
      <c r="AD1656" s="16"/>
      <c r="AE1656" s="16"/>
      <c r="AF1656" s="16"/>
      <c r="AG1656" s="16"/>
      <c r="AH1656" s="16" t="b">
        <f>IFERROR(__xludf.DUMMYFUNCTION("""COMPUTED_VALUE"""),FALSE)</f>
        <v>0</v>
      </c>
    </row>
    <row r="1657">
      <c r="A1657" s="16"/>
      <c r="B1657" s="16"/>
      <c r="C1657" s="16"/>
      <c r="D1657" s="16"/>
      <c r="E1657" s="16">
        <f>IFERROR(__xludf.DUMMYFUNCTION("""COMPUTED_VALUE"""),1.0)</f>
        <v>1</v>
      </c>
      <c r="F1657" s="108">
        <f>IFERROR(__xludf.DUMMYFUNCTION("""COMPUTED_VALUE"""),0.0)</f>
        <v>0</v>
      </c>
      <c r="G1657" s="16"/>
      <c r="H1657" s="16"/>
      <c r="I1657" s="16"/>
      <c r="J1657" s="16"/>
      <c r="K1657" s="16"/>
      <c r="L1657" s="16"/>
      <c r="M1657" s="16"/>
      <c r="N1657" s="16"/>
      <c r="O1657" s="16"/>
      <c r="P1657" s="16"/>
      <c r="Q1657" s="16"/>
      <c r="R1657" s="16"/>
      <c r="S1657" s="16"/>
      <c r="T1657" s="16"/>
      <c r="U1657" s="16"/>
      <c r="V1657" s="16"/>
      <c r="W1657" s="16"/>
      <c r="X1657" s="16"/>
      <c r="Y1657" s="16"/>
      <c r="Z1657" s="16"/>
      <c r="AA1657" s="16"/>
      <c r="AB1657" s="16"/>
      <c r="AC1657" s="16"/>
      <c r="AD1657" s="16"/>
      <c r="AE1657" s="16"/>
      <c r="AF1657" s="16"/>
      <c r="AG1657" s="16"/>
      <c r="AH1657" s="16" t="b">
        <f>IFERROR(__xludf.DUMMYFUNCTION("""COMPUTED_VALUE"""),FALSE)</f>
        <v>0</v>
      </c>
    </row>
    <row r="1658">
      <c r="A1658" s="16"/>
      <c r="B1658" s="16"/>
      <c r="C1658" s="16"/>
      <c r="D1658" s="16"/>
      <c r="E1658" s="16">
        <f>IFERROR(__xludf.DUMMYFUNCTION("""COMPUTED_VALUE"""),1.0)</f>
        <v>1</v>
      </c>
      <c r="F1658" s="108">
        <f>IFERROR(__xludf.DUMMYFUNCTION("""COMPUTED_VALUE"""),0.0)</f>
        <v>0</v>
      </c>
      <c r="G1658" s="16"/>
      <c r="H1658" s="16"/>
      <c r="I1658" s="16"/>
      <c r="J1658" s="16"/>
      <c r="K1658" s="16"/>
      <c r="L1658" s="16"/>
      <c r="M1658" s="16"/>
      <c r="N1658" s="16"/>
      <c r="O1658" s="16"/>
      <c r="P1658" s="16"/>
      <c r="Q1658" s="16"/>
      <c r="R1658" s="16"/>
      <c r="S1658" s="16"/>
      <c r="T1658" s="16"/>
      <c r="U1658" s="16"/>
      <c r="V1658" s="16"/>
      <c r="W1658" s="16"/>
      <c r="X1658" s="16"/>
      <c r="Y1658" s="16"/>
      <c r="Z1658" s="16"/>
      <c r="AA1658" s="16"/>
      <c r="AB1658" s="16"/>
      <c r="AC1658" s="16"/>
      <c r="AD1658" s="16"/>
      <c r="AE1658" s="16"/>
      <c r="AF1658" s="16"/>
      <c r="AG1658" s="16"/>
      <c r="AH1658" s="16" t="b">
        <f>IFERROR(__xludf.DUMMYFUNCTION("""COMPUTED_VALUE"""),FALSE)</f>
        <v>0</v>
      </c>
    </row>
    <row r="1659">
      <c r="A1659" s="16"/>
      <c r="B1659" s="16"/>
      <c r="C1659" s="16"/>
      <c r="D1659" s="16"/>
      <c r="E1659" s="16">
        <f>IFERROR(__xludf.DUMMYFUNCTION("""COMPUTED_VALUE"""),1.0)</f>
        <v>1</v>
      </c>
      <c r="F1659" s="108">
        <f>IFERROR(__xludf.DUMMYFUNCTION("""COMPUTED_VALUE"""),0.0)</f>
        <v>0</v>
      </c>
      <c r="G1659" s="16"/>
      <c r="H1659" s="16"/>
      <c r="I1659" s="16"/>
      <c r="J1659" s="16"/>
      <c r="K1659" s="16"/>
      <c r="L1659" s="16"/>
      <c r="M1659" s="16"/>
      <c r="N1659" s="16"/>
      <c r="O1659" s="16"/>
      <c r="P1659" s="16"/>
      <c r="Q1659" s="16"/>
      <c r="R1659" s="16"/>
      <c r="S1659" s="16"/>
      <c r="T1659" s="16"/>
      <c r="U1659" s="16"/>
      <c r="V1659" s="16"/>
      <c r="W1659" s="16"/>
      <c r="X1659" s="16"/>
      <c r="Y1659" s="16"/>
      <c r="Z1659" s="16"/>
      <c r="AA1659" s="16"/>
      <c r="AB1659" s="16"/>
      <c r="AC1659" s="16"/>
      <c r="AD1659" s="16"/>
      <c r="AE1659" s="16"/>
      <c r="AF1659" s="16"/>
      <c r="AG1659" s="16"/>
      <c r="AH1659" s="16" t="b">
        <f>IFERROR(__xludf.DUMMYFUNCTION("""COMPUTED_VALUE"""),FALSE)</f>
        <v>0</v>
      </c>
    </row>
    <row r="1660">
      <c r="A1660" s="16"/>
      <c r="B1660" s="16"/>
      <c r="C1660" s="16"/>
      <c r="D1660" s="16"/>
      <c r="E1660" s="16">
        <f>IFERROR(__xludf.DUMMYFUNCTION("""COMPUTED_VALUE"""),1.0)</f>
        <v>1</v>
      </c>
      <c r="F1660" s="108">
        <f>IFERROR(__xludf.DUMMYFUNCTION("""COMPUTED_VALUE"""),0.0)</f>
        <v>0</v>
      </c>
      <c r="G1660" s="16"/>
      <c r="H1660" s="16"/>
      <c r="I1660" s="16"/>
      <c r="J1660" s="16"/>
      <c r="K1660" s="16"/>
      <c r="L1660" s="16"/>
      <c r="M1660" s="16"/>
      <c r="N1660" s="16"/>
      <c r="O1660" s="16"/>
      <c r="P1660" s="16"/>
      <c r="Q1660" s="16"/>
      <c r="R1660" s="16"/>
      <c r="S1660" s="16"/>
      <c r="T1660" s="16"/>
      <c r="U1660" s="16"/>
      <c r="V1660" s="16"/>
      <c r="W1660" s="16"/>
      <c r="X1660" s="16"/>
      <c r="Y1660" s="16"/>
      <c r="Z1660" s="16"/>
      <c r="AA1660" s="16"/>
      <c r="AB1660" s="16"/>
      <c r="AC1660" s="16"/>
      <c r="AD1660" s="16"/>
      <c r="AE1660" s="16"/>
      <c r="AF1660" s="16"/>
      <c r="AG1660" s="16"/>
      <c r="AH1660" s="16" t="b">
        <f>IFERROR(__xludf.DUMMYFUNCTION("""COMPUTED_VALUE"""),FALSE)</f>
        <v>0</v>
      </c>
    </row>
    <row r="1661">
      <c r="A1661" s="16"/>
      <c r="B1661" s="16"/>
      <c r="C1661" s="16"/>
      <c r="D1661" s="16"/>
      <c r="E1661" s="16">
        <f>IFERROR(__xludf.DUMMYFUNCTION("""COMPUTED_VALUE"""),1.0)</f>
        <v>1</v>
      </c>
      <c r="F1661" s="108">
        <f>IFERROR(__xludf.DUMMYFUNCTION("""COMPUTED_VALUE"""),0.0)</f>
        <v>0</v>
      </c>
      <c r="G1661" s="16"/>
      <c r="H1661" s="16"/>
      <c r="I1661" s="16"/>
      <c r="J1661" s="16"/>
      <c r="K1661" s="16"/>
      <c r="L1661" s="16"/>
      <c r="M1661" s="16"/>
      <c r="N1661" s="16"/>
      <c r="O1661" s="16"/>
      <c r="P1661" s="16"/>
      <c r="Q1661" s="16"/>
      <c r="R1661" s="16"/>
      <c r="S1661" s="16"/>
      <c r="T1661" s="16"/>
      <c r="U1661" s="16"/>
      <c r="V1661" s="16"/>
      <c r="W1661" s="16"/>
      <c r="X1661" s="16"/>
      <c r="Y1661" s="16"/>
      <c r="Z1661" s="16"/>
      <c r="AA1661" s="16"/>
      <c r="AB1661" s="16"/>
      <c r="AC1661" s="16"/>
      <c r="AD1661" s="16"/>
      <c r="AE1661" s="16"/>
      <c r="AF1661" s="16"/>
      <c r="AG1661" s="16"/>
      <c r="AH1661" s="16" t="b">
        <f>IFERROR(__xludf.DUMMYFUNCTION("""COMPUTED_VALUE"""),FALSE)</f>
        <v>0</v>
      </c>
    </row>
    <row r="1662">
      <c r="A1662" s="16"/>
      <c r="B1662" s="16"/>
      <c r="C1662" s="16"/>
      <c r="D1662" s="16"/>
      <c r="E1662" s="16">
        <f>IFERROR(__xludf.DUMMYFUNCTION("""COMPUTED_VALUE"""),1.0)</f>
        <v>1</v>
      </c>
      <c r="F1662" s="108">
        <f>IFERROR(__xludf.DUMMYFUNCTION("""COMPUTED_VALUE"""),0.0)</f>
        <v>0</v>
      </c>
      <c r="G1662" s="16"/>
      <c r="H1662" s="16"/>
      <c r="I1662" s="16"/>
      <c r="J1662" s="16"/>
      <c r="K1662" s="16"/>
      <c r="L1662" s="16"/>
      <c r="M1662" s="16"/>
      <c r="N1662" s="16"/>
      <c r="O1662" s="16"/>
      <c r="P1662" s="16"/>
      <c r="Q1662" s="16"/>
      <c r="R1662" s="16"/>
      <c r="S1662" s="16"/>
      <c r="T1662" s="16"/>
      <c r="U1662" s="16"/>
      <c r="V1662" s="16"/>
      <c r="W1662" s="16"/>
      <c r="X1662" s="16"/>
      <c r="Y1662" s="16"/>
      <c r="Z1662" s="16"/>
      <c r="AA1662" s="16"/>
      <c r="AB1662" s="16"/>
      <c r="AC1662" s="16"/>
      <c r="AD1662" s="16"/>
      <c r="AE1662" s="16"/>
      <c r="AF1662" s="16"/>
      <c r="AG1662" s="16"/>
      <c r="AH1662" s="16" t="b">
        <f>IFERROR(__xludf.DUMMYFUNCTION("""COMPUTED_VALUE"""),FALSE)</f>
        <v>0</v>
      </c>
    </row>
    <row r="1663">
      <c r="A1663" s="16"/>
      <c r="B1663" s="16"/>
      <c r="C1663" s="16"/>
      <c r="D1663" s="16"/>
      <c r="E1663" s="16">
        <f>IFERROR(__xludf.DUMMYFUNCTION("""COMPUTED_VALUE"""),1.0)</f>
        <v>1</v>
      </c>
      <c r="F1663" s="108">
        <f>IFERROR(__xludf.DUMMYFUNCTION("""COMPUTED_VALUE"""),0.0)</f>
        <v>0</v>
      </c>
      <c r="G1663" s="16"/>
      <c r="H1663" s="16"/>
      <c r="I1663" s="16"/>
      <c r="J1663" s="16"/>
      <c r="K1663" s="16"/>
      <c r="L1663" s="16"/>
      <c r="M1663" s="16"/>
      <c r="N1663" s="16"/>
      <c r="O1663" s="16"/>
      <c r="P1663" s="16"/>
      <c r="Q1663" s="16"/>
      <c r="R1663" s="16"/>
      <c r="S1663" s="16"/>
      <c r="T1663" s="16"/>
      <c r="U1663" s="16"/>
      <c r="V1663" s="16"/>
      <c r="W1663" s="16"/>
      <c r="X1663" s="16"/>
      <c r="Y1663" s="16"/>
      <c r="Z1663" s="16"/>
      <c r="AA1663" s="16"/>
      <c r="AB1663" s="16"/>
      <c r="AC1663" s="16"/>
      <c r="AD1663" s="16"/>
      <c r="AE1663" s="16"/>
      <c r="AF1663" s="16"/>
      <c r="AG1663" s="16"/>
      <c r="AH1663" s="16" t="b">
        <f>IFERROR(__xludf.DUMMYFUNCTION("""COMPUTED_VALUE"""),FALSE)</f>
        <v>0</v>
      </c>
    </row>
    <row r="1664">
      <c r="A1664" s="16"/>
      <c r="B1664" s="16"/>
      <c r="C1664" s="16"/>
      <c r="D1664" s="16"/>
      <c r="E1664" s="16">
        <f>IFERROR(__xludf.DUMMYFUNCTION("""COMPUTED_VALUE"""),1.0)</f>
        <v>1</v>
      </c>
      <c r="F1664" s="108">
        <f>IFERROR(__xludf.DUMMYFUNCTION("""COMPUTED_VALUE"""),0.0)</f>
        <v>0</v>
      </c>
      <c r="G1664" s="16"/>
      <c r="H1664" s="16"/>
      <c r="I1664" s="16"/>
      <c r="J1664" s="16"/>
      <c r="K1664" s="16"/>
      <c r="L1664" s="16"/>
      <c r="M1664" s="16"/>
      <c r="N1664" s="16"/>
      <c r="O1664" s="16"/>
      <c r="P1664" s="16"/>
      <c r="Q1664" s="16"/>
      <c r="R1664" s="16"/>
      <c r="S1664" s="16"/>
      <c r="T1664" s="16"/>
      <c r="U1664" s="16"/>
      <c r="V1664" s="16"/>
      <c r="W1664" s="16"/>
      <c r="X1664" s="16"/>
      <c r="Y1664" s="16"/>
      <c r="Z1664" s="16"/>
      <c r="AA1664" s="16"/>
      <c r="AB1664" s="16"/>
      <c r="AC1664" s="16"/>
      <c r="AD1664" s="16"/>
      <c r="AE1664" s="16"/>
      <c r="AF1664" s="16"/>
      <c r="AG1664" s="16"/>
      <c r="AH1664" s="16" t="b">
        <f>IFERROR(__xludf.DUMMYFUNCTION("""COMPUTED_VALUE"""),FALSE)</f>
        <v>0</v>
      </c>
    </row>
    <row r="1665">
      <c r="A1665" s="16"/>
      <c r="B1665" s="16"/>
      <c r="C1665" s="16"/>
      <c r="D1665" s="16"/>
      <c r="E1665" s="16">
        <f>IFERROR(__xludf.DUMMYFUNCTION("""COMPUTED_VALUE"""),1.0)</f>
        <v>1</v>
      </c>
      <c r="F1665" s="108">
        <f>IFERROR(__xludf.DUMMYFUNCTION("""COMPUTED_VALUE"""),0.0)</f>
        <v>0</v>
      </c>
      <c r="G1665" s="16"/>
      <c r="H1665" s="16"/>
      <c r="I1665" s="16"/>
      <c r="J1665" s="16"/>
      <c r="K1665" s="16"/>
      <c r="L1665" s="16"/>
      <c r="M1665" s="16"/>
      <c r="N1665" s="16"/>
      <c r="O1665" s="16"/>
      <c r="P1665" s="16"/>
      <c r="Q1665" s="16"/>
      <c r="R1665" s="16"/>
      <c r="S1665" s="16"/>
      <c r="T1665" s="16"/>
      <c r="U1665" s="16"/>
      <c r="V1665" s="16"/>
      <c r="W1665" s="16"/>
      <c r="X1665" s="16"/>
      <c r="Y1665" s="16"/>
      <c r="Z1665" s="16"/>
      <c r="AA1665" s="16"/>
      <c r="AB1665" s="16"/>
      <c r="AC1665" s="16"/>
      <c r="AD1665" s="16"/>
      <c r="AE1665" s="16"/>
      <c r="AF1665" s="16"/>
      <c r="AG1665" s="16"/>
      <c r="AH1665" s="16" t="b">
        <f>IFERROR(__xludf.DUMMYFUNCTION("""COMPUTED_VALUE"""),FALSE)</f>
        <v>0</v>
      </c>
    </row>
    <row r="1666">
      <c r="A1666" s="16"/>
      <c r="B1666" s="16"/>
      <c r="C1666" s="16"/>
      <c r="D1666" s="16"/>
      <c r="E1666" s="16">
        <f>IFERROR(__xludf.DUMMYFUNCTION("""COMPUTED_VALUE"""),1.0)</f>
        <v>1</v>
      </c>
      <c r="F1666" s="108">
        <f>IFERROR(__xludf.DUMMYFUNCTION("""COMPUTED_VALUE"""),0.0)</f>
        <v>0</v>
      </c>
      <c r="G1666" s="16"/>
      <c r="H1666" s="16"/>
      <c r="I1666" s="16"/>
      <c r="J1666" s="16"/>
      <c r="K1666" s="16"/>
      <c r="L1666" s="16"/>
      <c r="M1666" s="16"/>
      <c r="N1666" s="16"/>
      <c r="O1666" s="16"/>
      <c r="P1666" s="16"/>
      <c r="Q1666" s="16"/>
      <c r="R1666" s="16"/>
      <c r="S1666" s="16"/>
      <c r="T1666" s="16"/>
      <c r="U1666" s="16"/>
      <c r="V1666" s="16"/>
      <c r="W1666" s="16"/>
      <c r="X1666" s="16"/>
      <c r="Y1666" s="16"/>
      <c r="Z1666" s="16"/>
      <c r="AA1666" s="16"/>
      <c r="AB1666" s="16"/>
      <c r="AC1666" s="16"/>
      <c r="AD1666" s="16"/>
      <c r="AE1666" s="16"/>
      <c r="AF1666" s="16"/>
      <c r="AG1666" s="16"/>
      <c r="AH1666" s="16" t="b">
        <f>IFERROR(__xludf.DUMMYFUNCTION("""COMPUTED_VALUE"""),FALSE)</f>
        <v>0</v>
      </c>
    </row>
    <row r="1667">
      <c r="A1667" s="16"/>
      <c r="B1667" s="16"/>
      <c r="C1667" s="16"/>
      <c r="D1667" s="16"/>
      <c r="E1667" s="16">
        <f>IFERROR(__xludf.DUMMYFUNCTION("""COMPUTED_VALUE"""),1.0)</f>
        <v>1</v>
      </c>
      <c r="F1667" s="108">
        <f>IFERROR(__xludf.DUMMYFUNCTION("""COMPUTED_VALUE"""),0.0)</f>
        <v>0</v>
      </c>
      <c r="G1667" s="16"/>
      <c r="H1667" s="16"/>
      <c r="I1667" s="16"/>
      <c r="J1667" s="16"/>
      <c r="K1667" s="16"/>
      <c r="L1667" s="16"/>
      <c r="M1667" s="16"/>
      <c r="N1667" s="16"/>
      <c r="O1667" s="16"/>
      <c r="P1667" s="16"/>
      <c r="Q1667" s="16"/>
      <c r="R1667" s="16"/>
      <c r="S1667" s="16"/>
      <c r="T1667" s="16"/>
      <c r="U1667" s="16"/>
      <c r="V1667" s="16"/>
      <c r="W1667" s="16"/>
      <c r="X1667" s="16"/>
      <c r="Y1667" s="16"/>
      <c r="Z1667" s="16"/>
      <c r="AA1667" s="16"/>
      <c r="AB1667" s="16"/>
      <c r="AC1667" s="16"/>
      <c r="AD1667" s="16"/>
      <c r="AE1667" s="16"/>
      <c r="AF1667" s="16"/>
      <c r="AG1667" s="16"/>
      <c r="AH1667" s="16" t="b">
        <f>IFERROR(__xludf.DUMMYFUNCTION("""COMPUTED_VALUE"""),FALSE)</f>
        <v>0</v>
      </c>
    </row>
    <row r="1668">
      <c r="A1668" s="16"/>
      <c r="B1668" s="16"/>
      <c r="C1668" s="16"/>
      <c r="D1668" s="16"/>
      <c r="E1668" s="16">
        <f>IFERROR(__xludf.DUMMYFUNCTION("""COMPUTED_VALUE"""),1.0)</f>
        <v>1</v>
      </c>
      <c r="F1668" s="108">
        <f>IFERROR(__xludf.DUMMYFUNCTION("""COMPUTED_VALUE"""),0.0)</f>
        <v>0</v>
      </c>
      <c r="G1668" s="16"/>
      <c r="H1668" s="16"/>
      <c r="I1668" s="16"/>
      <c r="J1668" s="16"/>
      <c r="K1668" s="16"/>
      <c r="L1668" s="16"/>
      <c r="M1668" s="16"/>
      <c r="N1668" s="16"/>
      <c r="O1668" s="16"/>
      <c r="P1668" s="16"/>
      <c r="Q1668" s="16"/>
      <c r="R1668" s="16"/>
      <c r="S1668" s="16"/>
      <c r="T1668" s="16"/>
      <c r="U1668" s="16"/>
      <c r="V1668" s="16"/>
      <c r="W1668" s="16"/>
      <c r="X1668" s="16"/>
      <c r="Y1668" s="16"/>
      <c r="Z1668" s="16"/>
      <c r="AA1668" s="16"/>
      <c r="AB1668" s="16"/>
      <c r="AC1668" s="16"/>
      <c r="AD1668" s="16"/>
      <c r="AE1668" s="16"/>
      <c r="AF1668" s="16"/>
      <c r="AG1668" s="16"/>
      <c r="AH1668" s="16" t="b">
        <f>IFERROR(__xludf.DUMMYFUNCTION("""COMPUTED_VALUE"""),FALSE)</f>
        <v>0</v>
      </c>
    </row>
    <row r="1669">
      <c r="A1669" s="16"/>
      <c r="B1669" s="16"/>
      <c r="C1669" s="16"/>
      <c r="D1669" s="16"/>
      <c r="E1669" s="16">
        <f>IFERROR(__xludf.DUMMYFUNCTION("""COMPUTED_VALUE"""),1.0)</f>
        <v>1</v>
      </c>
      <c r="F1669" s="108">
        <f>IFERROR(__xludf.DUMMYFUNCTION("""COMPUTED_VALUE"""),0.0)</f>
        <v>0</v>
      </c>
      <c r="G1669" s="16"/>
      <c r="H1669" s="16"/>
      <c r="I1669" s="16"/>
      <c r="J1669" s="16"/>
      <c r="K1669" s="16"/>
      <c r="L1669" s="16"/>
      <c r="M1669" s="16"/>
      <c r="N1669" s="16"/>
      <c r="O1669" s="16"/>
      <c r="P1669" s="16"/>
      <c r="Q1669" s="16"/>
      <c r="R1669" s="16"/>
      <c r="S1669" s="16"/>
      <c r="T1669" s="16"/>
      <c r="U1669" s="16"/>
      <c r="V1669" s="16"/>
      <c r="W1669" s="16"/>
      <c r="X1669" s="16"/>
      <c r="Y1669" s="16"/>
      <c r="Z1669" s="16"/>
      <c r="AA1669" s="16"/>
      <c r="AB1669" s="16"/>
      <c r="AC1669" s="16"/>
      <c r="AD1669" s="16"/>
      <c r="AE1669" s="16"/>
      <c r="AF1669" s="16"/>
      <c r="AG1669" s="16"/>
      <c r="AH1669" s="16" t="b">
        <f>IFERROR(__xludf.DUMMYFUNCTION("""COMPUTED_VALUE"""),FALSE)</f>
        <v>0</v>
      </c>
    </row>
    <row r="1670">
      <c r="A1670" s="16"/>
      <c r="B1670" s="16"/>
      <c r="C1670" s="16"/>
      <c r="D1670" s="16"/>
      <c r="E1670" s="16">
        <f>IFERROR(__xludf.DUMMYFUNCTION("""COMPUTED_VALUE"""),1.0)</f>
        <v>1</v>
      </c>
      <c r="F1670" s="108">
        <f>IFERROR(__xludf.DUMMYFUNCTION("""COMPUTED_VALUE"""),0.0)</f>
        <v>0</v>
      </c>
      <c r="G1670" s="16"/>
      <c r="H1670" s="16"/>
      <c r="I1670" s="16"/>
      <c r="J1670" s="16"/>
      <c r="K1670" s="16"/>
      <c r="L1670" s="16"/>
      <c r="M1670" s="16"/>
      <c r="N1670" s="16"/>
      <c r="O1670" s="16"/>
      <c r="P1670" s="16"/>
      <c r="Q1670" s="16"/>
      <c r="R1670" s="16"/>
      <c r="S1670" s="16"/>
      <c r="T1670" s="16"/>
      <c r="U1670" s="16"/>
      <c r="V1670" s="16"/>
      <c r="W1670" s="16"/>
      <c r="X1670" s="16"/>
      <c r="Y1670" s="16"/>
      <c r="Z1670" s="16"/>
      <c r="AA1670" s="16"/>
      <c r="AB1670" s="16"/>
      <c r="AC1670" s="16"/>
      <c r="AD1670" s="16"/>
      <c r="AE1670" s="16"/>
      <c r="AF1670" s="16"/>
      <c r="AG1670" s="16"/>
      <c r="AH1670" s="16" t="b">
        <f>IFERROR(__xludf.DUMMYFUNCTION("""COMPUTED_VALUE"""),FALSE)</f>
        <v>0</v>
      </c>
    </row>
    <row r="1671">
      <c r="A1671" s="16"/>
      <c r="B1671" s="16"/>
      <c r="C1671" s="16"/>
      <c r="D1671" s="16"/>
      <c r="E1671" s="16">
        <f>IFERROR(__xludf.DUMMYFUNCTION("""COMPUTED_VALUE"""),1.0)</f>
        <v>1</v>
      </c>
      <c r="F1671" s="108">
        <f>IFERROR(__xludf.DUMMYFUNCTION("""COMPUTED_VALUE"""),0.0)</f>
        <v>0</v>
      </c>
      <c r="G1671" s="16"/>
      <c r="H1671" s="16"/>
      <c r="I1671" s="16"/>
      <c r="J1671" s="16"/>
      <c r="K1671" s="16"/>
      <c r="L1671" s="16"/>
      <c r="M1671" s="16"/>
      <c r="N1671" s="16"/>
      <c r="O1671" s="16"/>
      <c r="P1671" s="16"/>
      <c r="Q1671" s="16"/>
      <c r="R1671" s="16"/>
      <c r="S1671" s="16"/>
      <c r="T1671" s="16"/>
      <c r="U1671" s="16"/>
      <c r="V1671" s="16"/>
      <c r="W1671" s="16"/>
      <c r="X1671" s="16"/>
      <c r="Y1671" s="16"/>
      <c r="Z1671" s="16"/>
      <c r="AA1671" s="16"/>
      <c r="AB1671" s="16"/>
      <c r="AC1671" s="16"/>
      <c r="AD1671" s="16"/>
      <c r="AE1671" s="16"/>
      <c r="AF1671" s="16"/>
      <c r="AG1671" s="16"/>
      <c r="AH1671" s="16" t="b">
        <f>IFERROR(__xludf.DUMMYFUNCTION("""COMPUTED_VALUE"""),FALSE)</f>
        <v>0</v>
      </c>
    </row>
    <row r="1672">
      <c r="A1672" s="16"/>
      <c r="B1672" s="16"/>
      <c r="C1672" s="16"/>
      <c r="D1672" s="16"/>
      <c r="E1672" s="16">
        <f>IFERROR(__xludf.DUMMYFUNCTION("""COMPUTED_VALUE"""),1.0)</f>
        <v>1</v>
      </c>
      <c r="F1672" s="108">
        <f>IFERROR(__xludf.DUMMYFUNCTION("""COMPUTED_VALUE"""),0.0)</f>
        <v>0</v>
      </c>
      <c r="G1672" s="16"/>
      <c r="H1672" s="16"/>
      <c r="I1672" s="16"/>
      <c r="J1672" s="16"/>
      <c r="K1672" s="16"/>
      <c r="L1672" s="16"/>
      <c r="M1672" s="16"/>
      <c r="N1672" s="16"/>
      <c r="O1672" s="16"/>
      <c r="P1672" s="16"/>
      <c r="Q1672" s="16"/>
      <c r="R1672" s="16"/>
      <c r="S1672" s="16"/>
      <c r="T1672" s="16"/>
      <c r="U1672" s="16"/>
      <c r="V1672" s="16"/>
      <c r="W1672" s="16"/>
      <c r="X1672" s="16"/>
      <c r="Y1672" s="16"/>
      <c r="Z1672" s="16"/>
      <c r="AA1672" s="16"/>
      <c r="AB1672" s="16"/>
      <c r="AC1672" s="16"/>
      <c r="AD1672" s="16"/>
      <c r="AE1672" s="16"/>
      <c r="AF1672" s="16"/>
      <c r="AG1672" s="16"/>
      <c r="AH1672" s="16" t="b">
        <f>IFERROR(__xludf.DUMMYFUNCTION("""COMPUTED_VALUE"""),FALSE)</f>
        <v>0</v>
      </c>
    </row>
    <row r="1673">
      <c r="A1673" s="16"/>
      <c r="B1673" s="16"/>
      <c r="C1673" s="16"/>
      <c r="D1673" s="16"/>
      <c r="E1673" s="16">
        <f>IFERROR(__xludf.DUMMYFUNCTION("""COMPUTED_VALUE"""),1.0)</f>
        <v>1</v>
      </c>
      <c r="F1673" s="108">
        <f>IFERROR(__xludf.DUMMYFUNCTION("""COMPUTED_VALUE"""),0.0)</f>
        <v>0</v>
      </c>
      <c r="G1673" s="16"/>
      <c r="H1673" s="16"/>
      <c r="I1673" s="16"/>
      <c r="J1673" s="16"/>
      <c r="K1673" s="16"/>
      <c r="L1673" s="16"/>
      <c r="M1673" s="16"/>
      <c r="N1673" s="16"/>
      <c r="O1673" s="16"/>
      <c r="P1673" s="16"/>
      <c r="Q1673" s="16"/>
      <c r="R1673" s="16"/>
      <c r="S1673" s="16"/>
      <c r="T1673" s="16"/>
      <c r="U1673" s="16"/>
      <c r="V1673" s="16"/>
      <c r="W1673" s="16"/>
      <c r="X1673" s="16"/>
      <c r="Y1673" s="16"/>
      <c r="Z1673" s="16"/>
      <c r="AA1673" s="16"/>
      <c r="AB1673" s="16"/>
      <c r="AC1673" s="16"/>
      <c r="AD1673" s="16"/>
      <c r="AE1673" s="16"/>
      <c r="AF1673" s="16"/>
      <c r="AG1673" s="16"/>
      <c r="AH1673" s="16" t="b">
        <f>IFERROR(__xludf.DUMMYFUNCTION("""COMPUTED_VALUE"""),FALSE)</f>
        <v>0</v>
      </c>
    </row>
    <row r="1674">
      <c r="A1674" s="16"/>
      <c r="B1674" s="16"/>
      <c r="C1674" s="16"/>
      <c r="D1674" s="16"/>
      <c r="E1674" s="16">
        <f>IFERROR(__xludf.DUMMYFUNCTION("""COMPUTED_VALUE"""),1.0)</f>
        <v>1</v>
      </c>
      <c r="F1674" s="108">
        <f>IFERROR(__xludf.DUMMYFUNCTION("""COMPUTED_VALUE"""),0.0)</f>
        <v>0</v>
      </c>
      <c r="G1674" s="16"/>
      <c r="H1674" s="16"/>
      <c r="I1674" s="16"/>
      <c r="J1674" s="16"/>
      <c r="K1674" s="16"/>
      <c r="L1674" s="16"/>
      <c r="M1674" s="16"/>
      <c r="N1674" s="16"/>
      <c r="O1674" s="16"/>
      <c r="P1674" s="16"/>
      <c r="Q1674" s="16"/>
      <c r="R1674" s="16"/>
      <c r="S1674" s="16"/>
      <c r="T1674" s="16"/>
      <c r="U1674" s="16"/>
      <c r="V1674" s="16"/>
      <c r="W1674" s="16"/>
      <c r="X1674" s="16"/>
      <c r="Y1674" s="16"/>
      <c r="Z1674" s="16"/>
      <c r="AA1674" s="16"/>
      <c r="AB1674" s="16"/>
      <c r="AC1674" s="16"/>
      <c r="AD1674" s="16"/>
      <c r="AE1674" s="16"/>
      <c r="AF1674" s="16"/>
      <c r="AG1674" s="16"/>
      <c r="AH1674" s="16" t="b">
        <f>IFERROR(__xludf.DUMMYFUNCTION("""COMPUTED_VALUE"""),FALSE)</f>
        <v>0</v>
      </c>
    </row>
    <row r="1675">
      <c r="A1675" s="16"/>
      <c r="B1675" s="16"/>
      <c r="C1675" s="16"/>
      <c r="D1675" s="16"/>
      <c r="E1675" s="16">
        <f>IFERROR(__xludf.DUMMYFUNCTION("""COMPUTED_VALUE"""),1.0)</f>
        <v>1</v>
      </c>
      <c r="F1675" s="108">
        <f>IFERROR(__xludf.DUMMYFUNCTION("""COMPUTED_VALUE"""),0.0)</f>
        <v>0</v>
      </c>
      <c r="G1675" s="16"/>
      <c r="H1675" s="16"/>
      <c r="I1675" s="16"/>
      <c r="J1675" s="16"/>
      <c r="K1675" s="16"/>
      <c r="L1675" s="16"/>
      <c r="M1675" s="16"/>
      <c r="N1675" s="16"/>
      <c r="O1675" s="16"/>
      <c r="P1675" s="16"/>
      <c r="Q1675" s="16"/>
      <c r="R1675" s="16"/>
      <c r="S1675" s="16"/>
      <c r="T1675" s="16"/>
      <c r="U1675" s="16"/>
      <c r="V1675" s="16"/>
      <c r="W1675" s="16"/>
      <c r="X1675" s="16"/>
      <c r="Y1675" s="16"/>
      <c r="Z1675" s="16"/>
      <c r="AA1675" s="16"/>
      <c r="AB1675" s="16"/>
      <c r="AC1675" s="16"/>
      <c r="AD1675" s="16"/>
      <c r="AE1675" s="16"/>
      <c r="AF1675" s="16"/>
      <c r="AG1675" s="16"/>
      <c r="AH1675" s="16" t="b">
        <f>IFERROR(__xludf.DUMMYFUNCTION("""COMPUTED_VALUE"""),FALSE)</f>
        <v>0</v>
      </c>
    </row>
    <row r="1676">
      <c r="A1676" s="16"/>
      <c r="B1676" s="16"/>
      <c r="C1676" s="16"/>
      <c r="D1676" s="16"/>
      <c r="E1676" s="16">
        <f>IFERROR(__xludf.DUMMYFUNCTION("""COMPUTED_VALUE"""),1.0)</f>
        <v>1</v>
      </c>
      <c r="F1676" s="108">
        <f>IFERROR(__xludf.DUMMYFUNCTION("""COMPUTED_VALUE"""),0.0)</f>
        <v>0</v>
      </c>
      <c r="G1676" s="16"/>
      <c r="H1676" s="16"/>
      <c r="I1676" s="16"/>
      <c r="J1676" s="16"/>
      <c r="K1676" s="16"/>
      <c r="L1676" s="16"/>
      <c r="M1676" s="16"/>
      <c r="N1676" s="16"/>
      <c r="O1676" s="16"/>
      <c r="P1676" s="16"/>
      <c r="Q1676" s="16"/>
      <c r="R1676" s="16"/>
      <c r="S1676" s="16"/>
      <c r="T1676" s="16"/>
      <c r="U1676" s="16"/>
      <c r="V1676" s="16"/>
      <c r="W1676" s="16"/>
      <c r="X1676" s="16"/>
      <c r="Y1676" s="16"/>
      <c r="Z1676" s="16"/>
      <c r="AA1676" s="16"/>
      <c r="AB1676" s="16"/>
      <c r="AC1676" s="16"/>
      <c r="AD1676" s="16"/>
      <c r="AE1676" s="16"/>
      <c r="AF1676" s="16"/>
      <c r="AG1676" s="16"/>
      <c r="AH1676" s="16" t="b">
        <f>IFERROR(__xludf.DUMMYFUNCTION("""COMPUTED_VALUE"""),FALSE)</f>
        <v>0</v>
      </c>
    </row>
    <row r="1677">
      <c r="A1677" s="16"/>
      <c r="B1677" s="16"/>
      <c r="C1677" s="16"/>
      <c r="D1677" s="16"/>
      <c r="E1677" s="16">
        <f>IFERROR(__xludf.DUMMYFUNCTION("""COMPUTED_VALUE"""),1.0)</f>
        <v>1</v>
      </c>
      <c r="F1677" s="108">
        <f>IFERROR(__xludf.DUMMYFUNCTION("""COMPUTED_VALUE"""),0.0)</f>
        <v>0</v>
      </c>
      <c r="G1677" s="16"/>
      <c r="H1677" s="16"/>
      <c r="I1677" s="16"/>
      <c r="J1677" s="16"/>
      <c r="K1677" s="16"/>
      <c r="L1677" s="16"/>
      <c r="M1677" s="16"/>
      <c r="N1677" s="16"/>
      <c r="O1677" s="16"/>
      <c r="P1677" s="16"/>
      <c r="Q1677" s="16"/>
      <c r="R1677" s="16"/>
      <c r="S1677" s="16"/>
      <c r="T1677" s="16"/>
      <c r="U1677" s="16"/>
      <c r="V1677" s="16"/>
      <c r="W1677" s="16"/>
      <c r="X1677" s="16"/>
      <c r="Y1677" s="16"/>
      <c r="Z1677" s="16"/>
      <c r="AA1677" s="16"/>
      <c r="AB1677" s="16"/>
      <c r="AC1677" s="16"/>
      <c r="AD1677" s="16"/>
      <c r="AE1677" s="16"/>
      <c r="AF1677" s="16"/>
      <c r="AG1677" s="16"/>
      <c r="AH1677" s="16" t="b">
        <f>IFERROR(__xludf.DUMMYFUNCTION("""COMPUTED_VALUE"""),FALSE)</f>
        <v>0</v>
      </c>
    </row>
    <row r="1678">
      <c r="A1678" s="16"/>
      <c r="B1678" s="16"/>
      <c r="C1678" s="16"/>
      <c r="D1678" s="16"/>
      <c r="E1678" s="16">
        <f>IFERROR(__xludf.DUMMYFUNCTION("""COMPUTED_VALUE"""),1.0)</f>
        <v>1</v>
      </c>
      <c r="F1678" s="108">
        <f>IFERROR(__xludf.DUMMYFUNCTION("""COMPUTED_VALUE"""),0.0)</f>
        <v>0</v>
      </c>
      <c r="G1678" s="16"/>
      <c r="H1678" s="16"/>
      <c r="I1678" s="16"/>
      <c r="J1678" s="16"/>
      <c r="K1678" s="16"/>
      <c r="L1678" s="16"/>
      <c r="M1678" s="16"/>
      <c r="N1678" s="16"/>
      <c r="O1678" s="16"/>
      <c r="P1678" s="16"/>
      <c r="Q1678" s="16"/>
      <c r="R1678" s="16"/>
      <c r="S1678" s="16"/>
      <c r="T1678" s="16"/>
      <c r="U1678" s="16"/>
      <c r="V1678" s="16"/>
      <c r="W1678" s="16"/>
      <c r="X1678" s="16"/>
      <c r="Y1678" s="16"/>
      <c r="Z1678" s="16"/>
      <c r="AA1678" s="16"/>
      <c r="AB1678" s="16"/>
      <c r="AC1678" s="16"/>
      <c r="AD1678" s="16"/>
      <c r="AE1678" s="16"/>
      <c r="AF1678" s="16"/>
      <c r="AG1678" s="16"/>
      <c r="AH1678" s="16" t="b">
        <f>IFERROR(__xludf.DUMMYFUNCTION("""COMPUTED_VALUE"""),FALSE)</f>
        <v>0</v>
      </c>
    </row>
    <row r="1679">
      <c r="A1679" s="16"/>
      <c r="B1679" s="16"/>
      <c r="C1679" s="16"/>
      <c r="D1679" s="16"/>
      <c r="E1679" s="16">
        <f>IFERROR(__xludf.DUMMYFUNCTION("""COMPUTED_VALUE"""),1.0)</f>
        <v>1</v>
      </c>
      <c r="F1679" s="108">
        <f>IFERROR(__xludf.DUMMYFUNCTION("""COMPUTED_VALUE"""),0.0)</f>
        <v>0</v>
      </c>
      <c r="G1679" s="16"/>
      <c r="H1679" s="16"/>
      <c r="I1679" s="16"/>
      <c r="J1679" s="16"/>
      <c r="K1679" s="16"/>
      <c r="L1679" s="16"/>
      <c r="M1679" s="16"/>
      <c r="N1679" s="16"/>
      <c r="O1679" s="16"/>
      <c r="P1679" s="16"/>
      <c r="Q1679" s="16"/>
      <c r="R1679" s="16"/>
      <c r="S1679" s="16"/>
      <c r="T1679" s="16"/>
      <c r="U1679" s="16"/>
      <c r="V1679" s="16"/>
      <c r="W1679" s="16"/>
      <c r="X1679" s="16"/>
      <c r="Y1679" s="16"/>
      <c r="Z1679" s="16"/>
      <c r="AA1679" s="16"/>
      <c r="AB1679" s="16"/>
      <c r="AC1679" s="16"/>
      <c r="AD1679" s="16"/>
      <c r="AE1679" s="16"/>
      <c r="AF1679" s="16"/>
      <c r="AG1679" s="16"/>
      <c r="AH1679" s="16" t="b">
        <f>IFERROR(__xludf.DUMMYFUNCTION("""COMPUTED_VALUE"""),FALSE)</f>
        <v>0</v>
      </c>
    </row>
    <row r="1680">
      <c r="A1680" s="16"/>
      <c r="B1680" s="16"/>
      <c r="C1680" s="16"/>
      <c r="D1680" s="16"/>
      <c r="E1680" s="16">
        <f>IFERROR(__xludf.DUMMYFUNCTION("""COMPUTED_VALUE"""),1.0)</f>
        <v>1</v>
      </c>
      <c r="F1680" s="108">
        <f>IFERROR(__xludf.DUMMYFUNCTION("""COMPUTED_VALUE"""),0.0)</f>
        <v>0</v>
      </c>
      <c r="G1680" s="16"/>
      <c r="H1680" s="16"/>
      <c r="I1680" s="16"/>
      <c r="J1680" s="16"/>
      <c r="K1680" s="16"/>
      <c r="L1680" s="16"/>
      <c r="M1680" s="16"/>
      <c r="N1680" s="16"/>
      <c r="O1680" s="16"/>
      <c r="P1680" s="16"/>
      <c r="Q1680" s="16"/>
      <c r="R1680" s="16"/>
      <c r="S1680" s="16"/>
      <c r="T1680" s="16"/>
      <c r="U1680" s="16"/>
      <c r="V1680" s="16"/>
      <c r="W1680" s="16"/>
      <c r="X1680" s="16"/>
      <c r="Y1680" s="16"/>
      <c r="Z1680" s="16"/>
      <c r="AA1680" s="16"/>
      <c r="AB1680" s="16"/>
      <c r="AC1680" s="16"/>
      <c r="AD1680" s="16"/>
      <c r="AE1680" s="16"/>
      <c r="AF1680" s="16"/>
      <c r="AG1680" s="16"/>
      <c r="AH1680" s="16" t="b">
        <f>IFERROR(__xludf.DUMMYFUNCTION("""COMPUTED_VALUE"""),FALSE)</f>
        <v>0</v>
      </c>
    </row>
    <row r="1681">
      <c r="A1681" s="16"/>
      <c r="B1681" s="16"/>
      <c r="C1681" s="16"/>
      <c r="D1681" s="16"/>
      <c r="E1681" s="16">
        <f>IFERROR(__xludf.DUMMYFUNCTION("""COMPUTED_VALUE"""),1.0)</f>
        <v>1</v>
      </c>
      <c r="F1681" s="108">
        <f>IFERROR(__xludf.DUMMYFUNCTION("""COMPUTED_VALUE"""),0.0)</f>
        <v>0</v>
      </c>
      <c r="G1681" s="16"/>
      <c r="H1681" s="16"/>
      <c r="I1681" s="16"/>
      <c r="J1681" s="16"/>
      <c r="K1681" s="16"/>
      <c r="L1681" s="16"/>
      <c r="M1681" s="16"/>
      <c r="N1681" s="16"/>
      <c r="O1681" s="16"/>
      <c r="P1681" s="16"/>
      <c r="Q1681" s="16"/>
      <c r="R1681" s="16"/>
      <c r="S1681" s="16"/>
      <c r="T1681" s="16"/>
      <c r="U1681" s="16"/>
      <c r="V1681" s="16"/>
      <c r="W1681" s="16"/>
      <c r="X1681" s="16"/>
      <c r="Y1681" s="16"/>
      <c r="Z1681" s="16"/>
      <c r="AA1681" s="16"/>
      <c r="AB1681" s="16"/>
      <c r="AC1681" s="16"/>
      <c r="AD1681" s="16"/>
      <c r="AE1681" s="16"/>
      <c r="AF1681" s="16"/>
      <c r="AG1681" s="16"/>
      <c r="AH1681" s="16" t="b">
        <f>IFERROR(__xludf.DUMMYFUNCTION("""COMPUTED_VALUE"""),FALSE)</f>
        <v>0</v>
      </c>
    </row>
    <row r="1682">
      <c r="A1682" s="16"/>
      <c r="B1682" s="16"/>
      <c r="C1682" s="16"/>
      <c r="D1682" s="16"/>
      <c r="E1682" s="16">
        <f>IFERROR(__xludf.DUMMYFUNCTION("""COMPUTED_VALUE"""),1.0)</f>
        <v>1</v>
      </c>
      <c r="F1682" s="108">
        <f>IFERROR(__xludf.DUMMYFUNCTION("""COMPUTED_VALUE"""),0.0)</f>
        <v>0</v>
      </c>
      <c r="G1682" s="16"/>
      <c r="H1682" s="16"/>
      <c r="I1682" s="16"/>
      <c r="J1682" s="16"/>
      <c r="K1682" s="16"/>
      <c r="L1682" s="16"/>
      <c r="M1682" s="16"/>
      <c r="N1682" s="16"/>
      <c r="O1682" s="16"/>
      <c r="P1682" s="16"/>
      <c r="Q1682" s="16"/>
      <c r="R1682" s="16"/>
      <c r="S1682" s="16"/>
      <c r="T1682" s="16"/>
      <c r="U1682" s="16"/>
      <c r="V1682" s="16"/>
      <c r="W1682" s="16"/>
      <c r="X1682" s="16"/>
      <c r="Y1682" s="16"/>
      <c r="Z1682" s="16"/>
      <c r="AA1682" s="16"/>
      <c r="AB1682" s="16"/>
      <c r="AC1682" s="16"/>
      <c r="AD1682" s="16"/>
      <c r="AE1682" s="16"/>
      <c r="AF1682" s="16"/>
      <c r="AG1682" s="16"/>
      <c r="AH1682" s="16" t="b">
        <f>IFERROR(__xludf.DUMMYFUNCTION("""COMPUTED_VALUE"""),FALSE)</f>
        <v>0</v>
      </c>
    </row>
    <row r="1683">
      <c r="A1683" s="16"/>
      <c r="B1683" s="16"/>
      <c r="C1683" s="16"/>
      <c r="D1683" s="16"/>
      <c r="E1683" s="16">
        <f>IFERROR(__xludf.DUMMYFUNCTION("""COMPUTED_VALUE"""),1.0)</f>
        <v>1</v>
      </c>
      <c r="F1683" s="108">
        <f>IFERROR(__xludf.DUMMYFUNCTION("""COMPUTED_VALUE"""),0.0)</f>
        <v>0</v>
      </c>
      <c r="G1683" s="16"/>
      <c r="H1683" s="16"/>
      <c r="I1683" s="16"/>
      <c r="J1683" s="16"/>
      <c r="K1683" s="16"/>
      <c r="L1683" s="16"/>
      <c r="M1683" s="16"/>
      <c r="N1683" s="16"/>
      <c r="O1683" s="16"/>
      <c r="P1683" s="16"/>
      <c r="Q1683" s="16"/>
      <c r="R1683" s="16"/>
      <c r="S1683" s="16"/>
      <c r="T1683" s="16"/>
      <c r="U1683" s="16"/>
      <c r="V1683" s="16"/>
      <c r="W1683" s="16"/>
      <c r="X1683" s="16"/>
      <c r="Y1683" s="16"/>
      <c r="Z1683" s="16"/>
      <c r="AA1683" s="16"/>
      <c r="AB1683" s="16"/>
      <c r="AC1683" s="16"/>
      <c r="AD1683" s="16"/>
      <c r="AE1683" s="16"/>
      <c r="AF1683" s="16"/>
      <c r="AG1683" s="16"/>
      <c r="AH1683" s="16" t="b">
        <f>IFERROR(__xludf.DUMMYFUNCTION("""COMPUTED_VALUE"""),FALSE)</f>
        <v>0</v>
      </c>
    </row>
    <row r="1684">
      <c r="A1684" s="16"/>
      <c r="B1684" s="16"/>
      <c r="C1684" s="16"/>
      <c r="D1684" s="16"/>
      <c r="E1684" s="16">
        <f>IFERROR(__xludf.DUMMYFUNCTION("""COMPUTED_VALUE"""),1.0)</f>
        <v>1</v>
      </c>
      <c r="F1684" s="108">
        <f>IFERROR(__xludf.DUMMYFUNCTION("""COMPUTED_VALUE"""),0.0)</f>
        <v>0</v>
      </c>
      <c r="G1684" s="16"/>
      <c r="H1684" s="16"/>
      <c r="I1684" s="16"/>
      <c r="J1684" s="16"/>
      <c r="K1684" s="16"/>
      <c r="L1684" s="16"/>
      <c r="M1684" s="16"/>
      <c r="N1684" s="16"/>
      <c r="O1684" s="16"/>
      <c r="P1684" s="16"/>
      <c r="Q1684" s="16"/>
      <c r="R1684" s="16"/>
      <c r="S1684" s="16"/>
      <c r="T1684" s="16"/>
      <c r="U1684" s="16"/>
      <c r="V1684" s="16"/>
      <c r="W1684" s="16"/>
      <c r="X1684" s="16"/>
      <c r="Y1684" s="16"/>
      <c r="Z1684" s="16"/>
      <c r="AA1684" s="16"/>
      <c r="AB1684" s="16"/>
      <c r="AC1684" s="16"/>
      <c r="AD1684" s="16"/>
      <c r="AE1684" s="16"/>
      <c r="AF1684" s="16"/>
      <c r="AG1684" s="16"/>
      <c r="AH1684" s="16" t="b">
        <f>IFERROR(__xludf.DUMMYFUNCTION("""COMPUTED_VALUE"""),FALSE)</f>
        <v>0</v>
      </c>
    </row>
    <row r="1685">
      <c r="A1685" s="16"/>
      <c r="B1685" s="16"/>
      <c r="C1685" s="16"/>
      <c r="D1685" s="16"/>
      <c r="E1685" s="16">
        <f>IFERROR(__xludf.DUMMYFUNCTION("""COMPUTED_VALUE"""),1.0)</f>
        <v>1</v>
      </c>
      <c r="F1685" s="108">
        <f>IFERROR(__xludf.DUMMYFUNCTION("""COMPUTED_VALUE"""),0.0)</f>
        <v>0</v>
      </c>
      <c r="G1685" s="16"/>
      <c r="H1685" s="16"/>
      <c r="I1685" s="16"/>
      <c r="J1685" s="16"/>
      <c r="K1685" s="16"/>
      <c r="L1685" s="16"/>
      <c r="M1685" s="16"/>
      <c r="N1685" s="16"/>
      <c r="O1685" s="16"/>
      <c r="P1685" s="16"/>
      <c r="Q1685" s="16"/>
      <c r="R1685" s="16"/>
      <c r="S1685" s="16"/>
      <c r="T1685" s="16"/>
      <c r="U1685" s="16"/>
      <c r="V1685" s="16"/>
      <c r="W1685" s="16"/>
      <c r="X1685" s="16"/>
      <c r="Y1685" s="16"/>
      <c r="Z1685" s="16"/>
      <c r="AA1685" s="16"/>
      <c r="AB1685" s="16"/>
      <c r="AC1685" s="16"/>
      <c r="AD1685" s="16"/>
      <c r="AE1685" s="16"/>
      <c r="AF1685" s="16"/>
      <c r="AG1685" s="16"/>
      <c r="AH1685" s="16" t="b">
        <f>IFERROR(__xludf.DUMMYFUNCTION("""COMPUTED_VALUE"""),FALSE)</f>
        <v>0</v>
      </c>
    </row>
    <row r="1686">
      <c r="A1686" s="16"/>
      <c r="B1686" s="16"/>
      <c r="C1686" s="16"/>
      <c r="D1686" s="16"/>
      <c r="E1686" s="16">
        <f>IFERROR(__xludf.DUMMYFUNCTION("""COMPUTED_VALUE"""),1.0)</f>
        <v>1</v>
      </c>
      <c r="F1686" s="108">
        <f>IFERROR(__xludf.DUMMYFUNCTION("""COMPUTED_VALUE"""),0.0)</f>
        <v>0</v>
      </c>
      <c r="G1686" s="16"/>
      <c r="H1686" s="16"/>
      <c r="I1686" s="16"/>
      <c r="J1686" s="16"/>
      <c r="K1686" s="16"/>
      <c r="L1686" s="16"/>
      <c r="M1686" s="16"/>
      <c r="N1686" s="16"/>
      <c r="O1686" s="16"/>
      <c r="P1686" s="16"/>
      <c r="Q1686" s="16"/>
      <c r="R1686" s="16"/>
      <c r="S1686" s="16"/>
      <c r="T1686" s="16"/>
      <c r="U1686" s="16"/>
      <c r="V1686" s="16"/>
      <c r="W1686" s="16"/>
      <c r="X1686" s="16"/>
      <c r="Y1686" s="16"/>
      <c r="Z1686" s="16"/>
      <c r="AA1686" s="16"/>
      <c r="AB1686" s="16"/>
      <c r="AC1686" s="16"/>
      <c r="AD1686" s="16"/>
      <c r="AE1686" s="16"/>
      <c r="AF1686" s="16"/>
      <c r="AG1686" s="16"/>
      <c r="AH1686" s="16" t="b">
        <f>IFERROR(__xludf.DUMMYFUNCTION("""COMPUTED_VALUE"""),FALSE)</f>
        <v>0</v>
      </c>
    </row>
    <row r="1687">
      <c r="A1687" s="16"/>
      <c r="B1687" s="16"/>
      <c r="C1687" s="16"/>
      <c r="D1687" s="16"/>
      <c r="E1687" s="16">
        <f>IFERROR(__xludf.DUMMYFUNCTION("""COMPUTED_VALUE"""),1.0)</f>
        <v>1</v>
      </c>
      <c r="F1687" s="108">
        <f>IFERROR(__xludf.DUMMYFUNCTION("""COMPUTED_VALUE"""),0.0)</f>
        <v>0</v>
      </c>
      <c r="G1687" s="16"/>
      <c r="H1687" s="16"/>
      <c r="I1687" s="16"/>
      <c r="J1687" s="16"/>
      <c r="K1687" s="16"/>
      <c r="L1687" s="16"/>
      <c r="M1687" s="16"/>
      <c r="N1687" s="16"/>
      <c r="O1687" s="16"/>
      <c r="P1687" s="16"/>
      <c r="Q1687" s="16"/>
      <c r="R1687" s="16"/>
      <c r="S1687" s="16"/>
      <c r="T1687" s="16"/>
      <c r="U1687" s="16"/>
      <c r="V1687" s="16"/>
      <c r="W1687" s="16"/>
      <c r="X1687" s="16"/>
      <c r="Y1687" s="16"/>
      <c r="Z1687" s="16"/>
      <c r="AA1687" s="16"/>
      <c r="AB1687" s="16"/>
      <c r="AC1687" s="16"/>
      <c r="AD1687" s="16"/>
      <c r="AE1687" s="16"/>
      <c r="AF1687" s="16"/>
      <c r="AG1687" s="16"/>
      <c r="AH1687" s="16" t="b">
        <f>IFERROR(__xludf.DUMMYFUNCTION("""COMPUTED_VALUE"""),FALSE)</f>
        <v>0</v>
      </c>
    </row>
    <row r="1688">
      <c r="A1688" s="16"/>
      <c r="B1688" s="16"/>
      <c r="C1688" s="16"/>
      <c r="D1688" s="16"/>
      <c r="E1688" s="16">
        <f>IFERROR(__xludf.DUMMYFUNCTION("""COMPUTED_VALUE"""),1.0)</f>
        <v>1</v>
      </c>
      <c r="F1688" s="108">
        <f>IFERROR(__xludf.DUMMYFUNCTION("""COMPUTED_VALUE"""),0.0)</f>
        <v>0</v>
      </c>
      <c r="G1688" s="16"/>
      <c r="H1688" s="16"/>
      <c r="I1688" s="16"/>
      <c r="J1688" s="16"/>
      <c r="K1688" s="16"/>
      <c r="L1688" s="16"/>
      <c r="M1688" s="16"/>
      <c r="N1688" s="16"/>
      <c r="O1688" s="16"/>
      <c r="P1688" s="16"/>
      <c r="Q1688" s="16"/>
      <c r="R1688" s="16"/>
      <c r="S1688" s="16"/>
      <c r="T1688" s="16"/>
      <c r="U1688" s="16"/>
      <c r="V1688" s="16"/>
      <c r="W1688" s="16"/>
      <c r="X1688" s="16"/>
      <c r="Y1688" s="16"/>
      <c r="Z1688" s="16"/>
      <c r="AA1688" s="16"/>
      <c r="AB1688" s="16"/>
      <c r="AC1688" s="16"/>
      <c r="AD1688" s="16"/>
      <c r="AE1688" s="16"/>
      <c r="AF1688" s="16"/>
      <c r="AG1688" s="16"/>
      <c r="AH1688" s="16" t="b">
        <f>IFERROR(__xludf.DUMMYFUNCTION("""COMPUTED_VALUE"""),FALSE)</f>
        <v>0</v>
      </c>
    </row>
    <row r="1689">
      <c r="A1689" s="16"/>
      <c r="B1689" s="16"/>
      <c r="C1689" s="16"/>
      <c r="D1689" s="16"/>
      <c r="E1689" s="16">
        <f>IFERROR(__xludf.DUMMYFUNCTION("""COMPUTED_VALUE"""),1.0)</f>
        <v>1</v>
      </c>
      <c r="F1689" s="108">
        <f>IFERROR(__xludf.DUMMYFUNCTION("""COMPUTED_VALUE"""),0.0)</f>
        <v>0</v>
      </c>
      <c r="G1689" s="16"/>
      <c r="H1689" s="16"/>
      <c r="I1689" s="16"/>
      <c r="J1689" s="16"/>
      <c r="K1689" s="16"/>
      <c r="L1689" s="16"/>
      <c r="M1689" s="16"/>
      <c r="N1689" s="16"/>
      <c r="O1689" s="16"/>
      <c r="P1689" s="16"/>
      <c r="Q1689" s="16"/>
      <c r="R1689" s="16"/>
      <c r="S1689" s="16"/>
      <c r="T1689" s="16"/>
      <c r="U1689" s="16"/>
      <c r="V1689" s="16"/>
      <c r="W1689" s="16"/>
      <c r="X1689" s="16"/>
      <c r="Y1689" s="16"/>
      <c r="Z1689" s="16"/>
      <c r="AA1689" s="16"/>
      <c r="AB1689" s="16"/>
      <c r="AC1689" s="16"/>
      <c r="AD1689" s="16"/>
      <c r="AE1689" s="16"/>
      <c r="AF1689" s="16"/>
      <c r="AG1689" s="16"/>
      <c r="AH1689" s="16" t="b">
        <f>IFERROR(__xludf.DUMMYFUNCTION("""COMPUTED_VALUE"""),FALSE)</f>
        <v>0</v>
      </c>
    </row>
    <row r="1690">
      <c r="A1690" s="16"/>
      <c r="B1690" s="16"/>
      <c r="C1690" s="16"/>
      <c r="D1690" s="16"/>
      <c r="E1690" s="16">
        <f>IFERROR(__xludf.DUMMYFUNCTION("""COMPUTED_VALUE"""),1.0)</f>
        <v>1</v>
      </c>
      <c r="F1690" s="108">
        <f>IFERROR(__xludf.DUMMYFUNCTION("""COMPUTED_VALUE"""),0.0)</f>
        <v>0</v>
      </c>
      <c r="G1690" s="16"/>
      <c r="H1690" s="16"/>
      <c r="I1690" s="16"/>
      <c r="J1690" s="16"/>
      <c r="K1690" s="16"/>
      <c r="L1690" s="16"/>
      <c r="M1690" s="16"/>
      <c r="N1690" s="16"/>
      <c r="O1690" s="16"/>
      <c r="P1690" s="16"/>
      <c r="Q1690" s="16"/>
      <c r="R1690" s="16"/>
      <c r="S1690" s="16"/>
      <c r="T1690" s="16"/>
      <c r="U1690" s="16"/>
      <c r="V1690" s="16"/>
      <c r="W1690" s="16"/>
      <c r="X1690" s="16"/>
      <c r="Y1690" s="16"/>
      <c r="Z1690" s="16"/>
      <c r="AA1690" s="16"/>
      <c r="AB1690" s="16"/>
      <c r="AC1690" s="16"/>
      <c r="AD1690" s="16"/>
      <c r="AE1690" s="16"/>
      <c r="AF1690" s="16"/>
      <c r="AG1690" s="16"/>
      <c r="AH1690" s="16" t="b">
        <f>IFERROR(__xludf.DUMMYFUNCTION("""COMPUTED_VALUE"""),FALSE)</f>
        <v>0</v>
      </c>
    </row>
    <row r="1691">
      <c r="A1691" s="16"/>
      <c r="B1691" s="16"/>
      <c r="C1691" s="16"/>
      <c r="D1691" s="16"/>
      <c r="E1691" s="16">
        <f>IFERROR(__xludf.DUMMYFUNCTION("""COMPUTED_VALUE"""),1.0)</f>
        <v>1</v>
      </c>
      <c r="F1691" s="108">
        <f>IFERROR(__xludf.DUMMYFUNCTION("""COMPUTED_VALUE"""),0.0)</f>
        <v>0</v>
      </c>
      <c r="G1691" s="16"/>
      <c r="H1691" s="16"/>
      <c r="I1691" s="16"/>
      <c r="J1691" s="16"/>
      <c r="K1691" s="16"/>
      <c r="L1691" s="16"/>
      <c r="M1691" s="16"/>
      <c r="N1691" s="16"/>
      <c r="O1691" s="16"/>
      <c r="P1691" s="16"/>
      <c r="Q1691" s="16"/>
      <c r="R1691" s="16"/>
      <c r="S1691" s="16"/>
      <c r="T1691" s="16"/>
      <c r="U1691" s="16"/>
      <c r="V1691" s="16"/>
      <c r="W1691" s="16"/>
      <c r="X1691" s="16"/>
      <c r="Y1691" s="16"/>
      <c r="Z1691" s="16"/>
      <c r="AA1691" s="16"/>
      <c r="AB1691" s="16"/>
      <c r="AC1691" s="16"/>
      <c r="AD1691" s="16"/>
      <c r="AE1691" s="16"/>
      <c r="AF1691" s="16"/>
      <c r="AG1691" s="16"/>
      <c r="AH1691" s="16" t="b">
        <f>IFERROR(__xludf.DUMMYFUNCTION("""COMPUTED_VALUE"""),FALSE)</f>
        <v>0</v>
      </c>
    </row>
    <row r="1692">
      <c r="A1692" s="16"/>
      <c r="B1692" s="16"/>
      <c r="C1692" s="16"/>
      <c r="D1692" s="16"/>
      <c r="E1692" s="16">
        <f>IFERROR(__xludf.DUMMYFUNCTION("""COMPUTED_VALUE"""),1.0)</f>
        <v>1</v>
      </c>
      <c r="F1692" s="108">
        <f>IFERROR(__xludf.DUMMYFUNCTION("""COMPUTED_VALUE"""),0.0)</f>
        <v>0</v>
      </c>
      <c r="G1692" s="16"/>
      <c r="H1692" s="16"/>
      <c r="I1692" s="16"/>
      <c r="J1692" s="16"/>
      <c r="K1692" s="16"/>
      <c r="L1692" s="16"/>
      <c r="M1692" s="16"/>
      <c r="N1692" s="16"/>
      <c r="O1692" s="16"/>
      <c r="P1692" s="16"/>
      <c r="Q1692" s="16"/>
      <c r="R1692" s="16"/>
      <c r="S1692" s="16"/>
      <c r="T1692" s="16"/>
      <c r="U1692" s="16"/>
      <c r="V1692" s="16"/>
      <c r="W1692" s="16"/>
      <c r="X1692" s="16"/>
      <c r="Y1692" s="16"/>
      <c r="Z1692" s="16"/>
      <c r="AA1692" s="16"/>
      <c r="AB1692" s="16"/>
      <c r="AC1692" s="16"/>
      <c r="AD1692" s="16"/>
      <c r="AE1692" s="16"/>
      <c r="AF1692" s="16"/>
      <c r="AG1692" s="16"/>
      <c r="AH1692" s="16" t="b">
        <f>IFERROR(__xludf.DUMMYFUNCTION("""COMPUTED_VALUE"""),FALSE)</f>
        <v>0</v>
      </c>
    </row>
    <row r="1693">
      <c r="A1693" s="16"/>
      <c r="B1693" s="16"/>
      <c r="C1693" s="16"/>
      <c r="D1693" s="16"/>
      <c r="E1693" s="16">
        <f>IFERROR(__xludf.DUMMYFUNCTION("""COMPUTED_VALUE"""),1.0)</f>
        <v>1</v>
      </c>
      <c r="F1693" s="108">
        <f>IFERROR(__xludf.DUMMYFUNCTION("""COMPUTED_VALUE"""),0.0)</f>
        <v>0</v>
      </c>
      <c r="G1693" s="16"/>
      <c r="H1693" s="16"/>
      <c r="I1693" s="16"/>
      <c r="J1693" s="16"/>
      <c r="K1693" s="16"/>
      <c r="L1693" s="16"/>
      <c r="M1693" s="16"/>
      <c r="N1693" s="16"/>
      <c r="O1693" s="16"/>
      <c r="P1693" s="16"/>
      <c r="Q1693" s="16"/>
      <c r="R1693" s="16"/>
      <c r="S1693" s="16"/>
      <c r="T1693" s="16"/>
      <c r="U1693" s="16"/>
      <c r="V1693" s="16"/>
      <c r="W1693" s="16"/>
      <c r="X1693" s="16"/>
      <c r="Y1693" s="16"/>
      <c r="Z1693" s="16"/>
      <c r="AA1693" s="16"/>
      <c r="AB1693" s="16"/>
      <c r="AC1693" s="16"/>
      <c r="AD1693" s="16"/>
      <c r="AE1693" s="16"/>
      <c r="AF1693" s="16"/>
      <c r="AG1693" s="16"/>
      <c r="AH1693" s="16" t="b">
        <f>IFERROR(__xludf.DUMMYFUNCTION("""COMPUTED_VALUE"""),FALSE)</f>
        <v>0</v>
      </c>
    </row>
    <row r="1694">
      <c r="A1694" s="16"/>
      <c r="B1694" s="16"/>
      <c r="C1694" s="16"/>
      <c r="D1694" s="16"/>
      <c r="E1694" s="16">
        <f>IFERROR(__xludf.DUMMYFUNCTION("""COMPUTED_VALUE"""),1.0)</f>
        <v>1</v>
      </c>
      <c r="F1694" s="108">
        <f>IFERROR(__xludf.DUMMYFUNCTION("""COMPUTED_VALUE"""),0.0)</f>
        <v>0</v>
      </c>
      <c r="G1694" s="16"/>
      <c r="H1694" s="16"/>
      <c r="I1694" s="16"/>
      <c r="J1694" s="16"/>
      <c r="K1694" s="16"/>
      <c r="L1694" s="16"/>
      <c r="M1694" s="16"/>
      <c r="N1694" s="16"/>
      <c r="O1694" s="16"/>
      <c r="P1694" s="16"/>
      <c r="Q1694" s="16"/>
      <c r="R1694" s="16"/>
      <c r="S1694" s="16"/>
      <c r="T1694" s="16"/>
      <c r="U1694" s="16"/>
      <c r="V1694" s="16"/>
      <c r="W1694" s="16"/>
      <c r="X1694" s="16"/>
      <c r="Y1694" s="16"/>
      <c r="Z1694" s="16"/>
      <c r="AA1694" s="16"/>
      <c r="AB1694" s="16"/>
      <c r="AC1694" s="16"/>
      <c r="AD1694" s="16"/>
      <c r="AE1694" s="16"/>
      <c r="AF1694" s="16"/>
      <c r="AG1694" s="16"/>
      <c r="AH1694" s="16" t="b">
        <f>IFERROR(__xludf.DUMMYFUNCTION("""COMPUTED_VALUE"""),FALSE)</f>
        <v>0</v>
      </c>
    </row>
    <row r="1695">
      <c r="A1695" s="16"/>
      <c r="B1695" s="16"/>
      <c r="C1695" s="16"/>
      <c r="D1695" s="16"/>
      <c r="E1695" s="16">
        <f>IFERROR(__xludf.DUMMYFUNCTION("""COMPUTED_VALUE"""),1.0)</f>
        <v>1</v>
      </c>
      <c r="F1695" s="108">
        <f>IFERROR(__xludf.DUMMYFUNCTION("""COMPUTED_VALUE"""),0.0)</f>
        <v>0</v>
      </c>
      <c r="G1695" s="16"/>
      <c r="H1695" s="16"/>
      <c r="I1695" s="16"/>
      <c r="J1695" s="16"/>
      <c r="K1695" s="16"/>
      <c r="L1695" s="16"/>
      <c r="M1695" s="16"/>
      <c r="N1695" s="16"/>
      <c r="O1695" s="16"/>
      <c r="P1695" s="16"/>
      <c r="Q1695" s="16"/>
      <c r="R1695" s="16"/>
      <c r="S1695" s="16"/>
      <c r="T1695" s="16"/>
      <c r="U1695" s="16"/>
      <c r="V1695" s="16"/>
      <c r="W1695" s="16"/>
      <c r="X1695" s="16"/>
      <c r="Y1695" s="16"/>
      <c r="Z1695" s="16"/>
      <c r="AA1695" s="16"/>
      <c r="AB1695" s="16"/>
      <c r="AC1695" s="16"/>
      <c r="AD1695" s="16"/>
      <c r="AE1695" s="16"/>
      <c r="AF1695" s="16"/>
      <c r="AG1695" s="16"/>
      <c r="AH1695" s="16" t="b">
        <f>IFERROR(__xludf.DUMMYFUNCTION("""COMPUTED_VALUE"""),FALSE)</f>
        <v>0</v>
      </c>
    </row>
    <row r="1696">
      <c r="A1696" s="16"/>
      <c r="B1696" s="16"/>
      <c r="C1696" s="16"/>
      <c r="D1696" s="16"/>
      <c r="E1696" s="16">
        <f>IFERROR(__xludf.DUMMYFUNCTION("""COMPUTED_VALUE"""),1.0)</f>
        <v>1</v>
      </c>
      <c r="F1696" s="108">
        <f>IFERROR(__xludf.DUMMYFUNCTION("""COMPUTED_VALUE"""),0.0)</f>
        <v>0</v>
      </c>
      <c r="G1696" s="16"/>
      <c r="H1696" s="16"/>
      <c r="I1696" s="16"/>
      <c r="J1696" s="16"/>
      <c r="K1696" s="16"/>
      <c r="L1696" s="16"/>
      <c r="M1696" s="16"/>
      <c r="N1696" s="16"/>
      <c r="O1696" s="16"/>
      <c r="P1696" s="16"/>
      <c r="Q1696" s="16"/>
      <c r="R1696" s="16"/>
      <c r="S1696" s="16"/>
      <c r="T1696" s="16"/>
      <c r="U1696" s="16"/>
      <c r="V1696" s="16"/>
      <c r="W1696" s="16"/>
      <c r="X1696" s="16"/>
      <c r="Y1696" s="16"/>
      <c r="Z1696" s="16"/>
      <c r="AA1696" s="16"/>
      <c r="AB1696" s="16"/>
      <c r="AC1696" s="16"/>
      <c r="AD1696" s="16"/>
      <c r="AE1696" s="16"/>
      <c r="AF1696" s="16"/>
      <c r="AG1696" s="16"/>
      <c r="AH1696" s="16" t="b">
        <f>IFERROR(__xludf.DUMMYFUNCTION("""COMPUTED_VALUE"""),FALSE)</f>
        <v>0</v>
      </c>
    </row>
    <row r="1697">
      <c r="A1697" s="16"/>
      <c r="B1697" s="16"/>
      <c r="C1697" s="16"/>
      <c r="D1697" s="16"/>
      <c r="E1697" s="16">
        <f>IFERROR(__xludf.DUMMYFUNCTION("""COMPUTED_VALUE"""),1.0)</f>
        <v>1</v>
      </c>
      <c r="F1697" s="108">
        <f>IFERROR(__xludf.DUMMYFUNCTION("""COMPUTED_VALUE"""),0.0)</f>
        <v>0</v>
      </c>
      <c r="G1697" s="16"/>
      <c r="H1697" s="16"/>
      <c r="I1697" s="16"/>
      <c r="J1697" s="16"/>
      <c r="K1697" s="16"/>
      <c r="L1697" s="16"/>
      <c r="M1697" s="16"/>
      <c r="N1697" s="16"/>
      <c r="O1697" s="16"/>
      <c r="P1697" s="16"/>
      <c r="Q1697" s="16"/>
      <c r="R1697" s="16"/>
      <c r="S1697" s="16"/>
      <c r="T1697" s="16"/>
      <c r="U1697" s="16"/>
      <c r="V1697" s="16"/>
      <c r="W1697" s="16"/>
      <c r="X1697" s="16"/>
      <c r="Y1697" s="16"/>
      <c r="Z1697" s="16"/>
      <c r="AA1697" s="16"/>
      <c r="AB1697" s="16"/>
      <c r="AC1697" s="16"/>
      <c r="AD1697" s="16"/>
      <c r="AE1697" s="16"/>
      <c r="AF1697" s="16"/>
      <c r="AG1697" s="16"/>
      <c r="AH1697" s="16" t="b">
        <f>IFERROR(__xludf.DUMMYFUNCTION("""COMPUTED_VALUE"""),FALSE)</f>
        <v>0</v>
      </c>
    </row>
    <row r="1698">
      <c r="A1698" s="16"/>
      <c r="B1698" s="16"/>
      <c r="C1698" s="16"/>
      <c r="D1698" s="16"/>
      <c r="E1698" s="16">
        <f>IFERROR(__xludf.DUMMYFUNCTION("""COMPUTED_VALUE"""),1.0)</f>
        <v>1</v>
      </c>
      <c r="F1698" s="108">
        <f>IFERROR(__xludf.DUMMYFUNCTION("""COMPUTED_VALUE"""),0.0)</f>
        <v>0</v>
      </c>
      <c r="G1698" s="16"/>
      <c r="H1698" s="16"/>
      <c r="I1698" s="16"/>
      <c r="J1698" s="16"/>
      <c r="K1698" s="16"/>
      <c r="L1698" s="16"/>
      <c r="M1698" s="16"/>
      <c r="N1698" s="16"/>
      <c r="O1698" s="16"/>
      <c r="P1698" s="16"/>
      <c r="Q1698" s="16"/>
      <c r="R1698" s="16"/>
      <c r="S1698" s="16"/>
      <c r="T1698" s="16"/>
      <c r="U1698" s="16"/>
      <c r="V1698" s="16"/>
      <c r="W1698" s="16"/>
      <c r="X1698" s="16"/>
      <c r="Y1698" s="16"/>
      <c r="Z1698" s="16"/>
      <c r="AA1698" s="16"/>
      <c r="AB1698" s="16"/>
      <c r="AC1698" s="16"/>
      <c r="AD1698" s="16"/>
      <c r="AE1698" s="16"/>
      <c r="AF1698" s="16"/>
      <c r="AG1698" s="16"/>
      <c r="AH1698" s="16" t="b">
        <f>IFERROR(__xludf.DUMMYFUNCTION("""COMPUTED_VALUE"""),FALSE)</f>
        <v>0</v>
      </c>
    </row>
    <row r="1699">
      <c r="A1699" s="16"/>
      <c r="B1699" s="16"/>
      <c r="C1699" s="16"/>
      <c r="D1699" s="16"/>
      <c r="E1699" s="16">
        <f>IFERROR(__xludf.DUMMYFUNCTION("""COMPUTED_VALUE"""),1.0)</f>
        <v>1</v>
      </c>
      <c r="F1699" s="108">
        <f>IFERROR(__xludf.DUMMYFUNCTION("""COMPUTED_VALUE"""),0.0)</f>
        <v>0</v>
      </c>
      <c r="G1699" s="16"/>
      <c r="H1699" s="16"/>
      <c r="I1699" s="16"/>
      <c r="J1699" s="16"/>
      <c r="K1699" s="16"/>
      <c r="L1699" s="16"/>
      <c r="M1699" s="16"/>
      <c r="N1699" s="16"/>
      <c r="O1699" s="16"/>
      <c r="P1699" s="16"/>
      <c r="Q1699" s="16"/>
      <c r="R1699" s="16"/>
      <c r="S1699" s="16"/>
      <c r="T1699" s="16"/>
      <c r="U1699" s="16"/>
      <c r="V1699" s="16"/>
      <c r="W1699" s="16"/>
      <c r="X1699" s="16"/>
      <c r="Y1699" s="16"/>
      <c r="Z1699" s="16"/>
      <c r="AA1699" s="16"/>
      <c r="AB1699" s="16"/>
      <c r="AC1699" s="16"/>
      <c r="AD1699" s="16"/>
      <c r="AE1699" s="16"/>
      <c r="AF1699" s="16"/>
      <c r="AG1699" s="16"/>
      <c r="AH1699" s="16" t="b">
        <f>IFERROR(__xludf.DUMMYFUNCTION("""COMPUTED_VALUE"""),FALSE)</f>
        <v>0</v>
      </c>
    </row>
    <row r="1700">
      <c r="A1700" s="16"/>
      <c r="B1700" s="16"/>
      <c r="C1700" s="16"/>
      <c r="D1700" s="16"/>
      <c r="E1700" s="16">
        <f>IFERROR(__xludf.DUMMYFUNCTION("""COMPUTED_VALUE"""),1.0)</f>
        <v>1</v>
      </c>
      <c r="F1700" s="108">
        <f>IFERROR(__xludf.DUMMYFUNCTION("""COMPUTED_VALUE"""),0.0)</f>
        <v>0</v>
      </c>
      <c r="G1700" s="16"/>
      <c r="H1700" s="16"/>
      <c r="I1700" s="16"/>
      <c r="J1700" s="16"/>
      <c r="K1700" s="16"/>
      <c r="L1700" s="16"/>
      <c r="M1700" s="16"/>
      <c r="N1700" s="16"/>
      <c r="O1700" s="16"/>
      <c r="P1700" s="16"/>
      <c r="Q1700" s="16"/>
      <c r="R1700" s="16"/>
      <c r="S1700" s="16"/>
      <c r="T1700" s="16"/>
      <c r="U1700" s="16"/>
      <c r="V1700" s="16"/>
      <c r="W1700" s="16"/>
      <c r="X1700" s="16"/>
      <c r="Y1700" s="16"/>
      <c r="Z1700" s="16"/>
      <c r="AA1700" s="16"/>
      <c r="AB1700" s="16"/>
      <c r="AC1700" s="16"/>
      <c r="AD1700" s="16"/>
      <c r="AE1700" s="16"/>
      <c r="AF1700" s="16"/>
      <c r="AG1700" s="16"/>
      <c r="AH1700" s="16" t="b">
        <f>IFERROR(__xludf.DUMMYFUNCTION("""COMPUTED_VALUE"""),FALSE)</f>
        <v>0</v>
      </c>
    </row>
    <row r="1701">
      <c r="A1701" s="16"/>
      <c r="B1701" s="16"/>
      <c r="C1701" s="16"/>
      <c r="D1701" s="16"/>
      <c r="E1701" s="16">
        <f>IFERROR(__xludf.DUMMYFUNCTION("""COMPUTED_VALUE"""),1.0)</f>
        <v>1</v>
      </c>
      <c r="F1701" s="108">
        <f>IFERROR(__xludf.DUMMYFUNCTION("""COMPUTED_VALUE"""),0.0)</f>
        <v>0</v>
      </c>
      <c r="G1701" s="16"/>
      <c r="H1701" s="16"/>
      <c r="I1701" s="16"/>
      <c r="J1701" s="16"/>
      <c r="K1701" s="16"/>
      <c r="L1701" s="16"/>
      <c r="M1701" s="16"/>
      <c r="N1701" s="16"/>
      <c r="O1701" s="16"/>
      <c r="P1701" s="16"/>
      <c r="Q1701" s="16"/>
      <c r="R1701" s="16"/>
      <c r="S1701" s="16"/>
      <c r="T1701" s="16"/>
      <c r="U1701" s="16"/>
      <c r="V1701" s="16"/>
      <c r="W1701" s="16"/>
      <c r="X1701" s="16"/>
      <c r="Y1701" s="16"/>
      <c r="Z1701" s="16"/>
      <c r="AA1701" s="16"/>
      <c r="AB1701" s="16"/>
      <c r="AC1701" s="16"/>
      <c r="AD1701" s="16"/>
      <c r="AE1701" s="16"/>
      <c r="AF1701" s="16"/>
      <c r="AG1701" s="16"/>
      <c r="AH1701" s="16" t="b">
        <f>IFERROR(__xludf.DUMMYFUNCTION("""COMPUTED_VALUE"""),FALSE)</f>
        <v>0</v>
      </c>
    </row>
    <row r="1702">
      <c r="A1702" s="16"/>
      <c r="B1702" s="16"/>
      <c r="C1702" s="16"/>
      <c r="D1702" s="16"/>
      <c r="E1702" s="16">
        <f>IFERROR(__xludf.DUMMYFUNCTION("""COMPUTED_VALUE"""),1.0)</f>
        <v>1</v>
      </c>
      <c r="F1702" s="108">
        <f>IFERROR(__xludf.DUMMYFUNCTION("""COMPUTED_VALUE"""),0.0)</f>
        <v>0</v>
      </c>
      <c r="G1702" s="16"/>
      <c r="H1702" s="16"/>
      <c r="I1702" s="16"/>
      <c r="J1702" s="16"/>
      <c r="K1702" s="16"/>
      <c r="L1702" s="16"/>
      <c r="M1702" s="16"/>
      <c r="N1702" s="16"/>
      <c r="O1702" s="16"/>
      <c r="P1702" s="16"/>
      <c r="Q1702" s="16"/>
      <c r="R1702" s="16"/>
      <c r="S1702" s="16"/>
      <c r="T1702" s="16"/>
      <c r="U1702" s="16"/>
      <c r="V1702" s="16"/>
      <c r="W1702" s="16"/>
      <c r="X1702" s="16"/>
      <c r="Y1702" s="16"/>
      <c r="Z1702" s="16"/>
      <c r="AA1702" s="16"/>
      <c r="AB1702" s="16"/>
      <c r="AC1702" s="16"/>
      <c r="AD1702" s="16"/>
      <c r="AE1702" s="16"/>
      <c r="AF1702" s="16"/>
      <c r="AG1702" s="16"/>
      <c r="AH1702" s="16" t="b">
        <f>IFERROR(__xludf.DUMMYFUNCTION("""COMPUTED_VALUE"""),FALSE)</f>
        <v>0</v>
      </c>
    </row>
    <row r="1703">
      <c r="A1703" s="16"/>
      <c r="B1703" s="16"/>
      <c r="C1703" s="16"/>
      <c r="D1703" s="16"/>
      <c r="E1703" s="16">
        <f>IFERROR(__xludf.DUMMYFUNCTION("""COMPUTED_VALUE"""),1.0)</f>
        <v>1</v>
      </c>
      <c r="F1703" s="108">
        <f>IFERROR(__xludf.DUMMYFUNCTION("""COMPUTED_VALUE"""),0.0)</f>
        <v>0</v>
      </c>
      <c r="G1703" s="16"/>
      <c r="H1703" s="16"/>
      <c r="I1703" s="16"/>
      <c r="J1703" s="16"/>
      <c r="K1703" s="16"/>
      <c r="L1703" s="16"/>
      <c r="M1703" s="16"/>
      <c r="N1703" s="16"/>
      <c r="O1703" s="16"/>
      <c r="P1703" s="16"/>
      <c r="Q1703" s="16"/>
      <c r="R1703" s="16"/>
      <c r="S1703" s="16"/>
      <c r="T1703" s="16"/>
      <c r="U1703" s="16"/>
      <c r="V1703" s="16"/>
      <c r="W1703" s="16"/>
      <c r="X1703" s="16"/>
      <c r="Y1703" s="16"/>
      <c r="Z1703" s="16"/>
      <c r="AA1703" s="16"/>
      <c r="AB1703" s="16"/>
      <c r="AC1703" s="16"/>
      <c r="AD1703" s="16"/>
      <c r="AE1703" s="16"/>
      <c r="AF1703" s="16"/>
      <c r="AG1703" s="16"/>
      <c r="AH1703" s="16" t="b">
        <f>IFERROR(__xludf.DUMMYFUNCTION("""COMPUTED_VALUE"""),FALSE)</f>
        <v>0</v>
      </c>
    </row>
    <row r="1704">
      <c r="A1704" s="16"/>
      <c r="B1704" s="16"/>
      <c r="C1704" s="16"/>
      <c r="D1704" s="16"/>
      <c r="E1704" s="16">
        <f>IFERROR(__xludf.DUMMYFUNCTION("""COMPUTED_VALUE"""),1.0)</f>
        <v>1</v>
      </c>
      <c r="F1704" s="108">
        <f>IFERROR(__xludf.DUMMYFUNCTION("""COMPUTED_VALUE"""),0.0)</f>
        <v>0</v>
      </c>
      <c r="G1704" s="16"/>
      <c r="H1704" s="16"/>
      <c r="I1704" s="16"/>
      <c r="J1704" s="16"/>
      <c r="K1704" s="16"/>
      <c r="L1704" s="16"/>
      <c r="M1704" s="16"/>
      <c r="N1704" s="16"/>
      <c r="O1704" s="16"/>
      <c r="P1704" s="16"/>
      <c r="Q1704" s="16"/>
      <c r="R1704" s="16"/>
      <c r="S1704" s="16"/>
      <c r="T1704" s="16"/>
      <c r="U1704" s="16"/>
      <c r="V1704" s="16"/>
      <c r="W1704" s="16"/>
      <c r="X1704" s="16"/>
      <c r="Y1704" s="16"/>
      <c r="Z1704" s="16"/>
      <c r="AA1704" s="16"/>
      <c r="AB1704" s="16"/>
      <c r="AC1704" s="16"/>
      <c r="AD1704" s="16"/>
      <c r="AE1704" s="16"/>
      <c r="AF1704" s="16"/>
      <c r="AG1704" s="16"/>
      <c r="AH1704" s="16" t="b">
        <f>IFERROR(__xludf.DUMMYFUNCTION("""COMPUTED_VALUE"""),FALSE)</f>
        <v>0</v>
      </c>
    </row>
    <row r="1705">
      <c r="A1705" s="16"/>
      <c r="B1705" s="16"/>
      <c r="C1705" s="16"/>
      <c r="D1705" s="16"/>
      <c r="E1705" s="16">
        <f>IFERROR(__xludf.DUMMYFUNCTION("""COMPUTED_VALUE"""),1.0)</f>
        <v>1</v>
      </c>
      <c r="F1705" s="108">
        <f>IFERROR(__xludf.DUMMYFUNCTION("""COMPUTED_VALUE"""),0.0)</f>
        <v>0</v>
      </c>
      <c r="G1705" s="16"/>
      <c r="H1705" s="16"/>
      <c r="I1705" s="16"/>
      <c r="J1705" s="16"/>
      <c r="K1705" s="16"/>
      <c r="L1705" s="16"/>
      <c r="M1705" s="16"/>
      <c r="N1705" s="16"/>
      <c r="O1705" s="16"/>
      <c r="P1705" s="16"/>
      <c r="Q1705" s="16"/>
      <c r="R1705" s="16"/>
      <c r="S1705" s="16"/>
      <c r="T1705" s="16"/>
      <c r="U1705" s="16"/>
      <c r="V1705" s="16"/>
      <c r="W1705" s="16"/>
      <c r="X1705" s="16"/>
      <c r="Y1705" s="16"/>
      <c r="Z1705" s="16"/>
      <c r="AA1705" s="16"/>
      <c r="AB1705" s="16"/>
      <c r="AC1705" s="16"/>
      <c r="AD1705" s="16"/>
      <c r="AE1705" s="16"/>
      <c r="AF1705" s="16"/>
      <c r="AG1705" s="16"/>
      <c r="AH1705" s="16" t="b">
        <f>IFERROR(__xludf.DUMMYFUNCTION("""COMPUTED_VALUE"""),FALSE)</f>
        <v>0</v>
      </c>
    </row>
    <row r="1706">
      <c r="A1706" s="16"/>
      <c r="B1706" s="16"/>
      <c r="C1706" s="16"/>
      <c r="D1706" s="16"/>
      <c r="E1706" s="16">
        <f>IFERROR(__xludf.DUMMYFUNCTION("""COMPUTED_VALUE"""),1.0)</f>
        <v>1</v>
      </c>
      <c r="F1706" s="108">
        <f>IFERROR(__xludf.DUMMYFUNCTION("""COMPUTED_VALUE"""),0.0)</f>
        <v>0</v>
      </c>
      <c r="G1706" s="16"/>
      <c r="H1706" s="16"/>
      <c r="I1706" s="16"/>
      <c r="J1706" s="16"/>
      <c r="K1706" s="16"/>
      <c r="L1706" s="16"/>
      <c r="M1706" s="16"/>
      <c r="N1706" s="16"/>
      <c r="O1706" s="16"/>
      <c r="P1706" s="16"/>
      <c r="Q1706" s="16"/>
      <c r="R1706" s="16"/>
      <c r="S1706" s="16"/>
      <c r="T1706" s="16"/>
      <c r="U1706" s="16"/>
      <c r="V1706" s="16"/>
      <c r="W1706" s="16"/>
      <c r="X1706" s="16"/>
      <c r="Y1706" s="16"/>
      <c r="Z1706" s="16"/>
      <c r="AA1706" s="16"/>
      <c r="AB1706" s="16"/>
      <c r="AC1706" s="16"/>
      <c r="AD1706" s="16"/>
      <c r="AE1706" s="16"/>
      <c r="AF1706" s="16"/>
      <c r="AG1706" s="16"/>
      <c r="AH1706" s="16" t="b">
        <f>IFERROR(__xludf.DUMMYFUNCTION("""COMPUTED_VALUE"""),FALSE)</f>
        <v>0</v>
      </c>
    </row>
    <row r="1707">
      <c r="A1707" s="16"/>
      <c r="B1707" s="16"/>
      <c r="C1707" s="16"/>
      <c r="D1707" s="16"/>
      <c r="E1707" s="16">
        <f>IFERROR(__xludf.DUMMYFUNCTION("""COMPUTED_VALUE"""),1.0)</f>
        <v>1</v>
      </c>
      <c r="F1707" s="108">
        <f>IFERROR(__xludf.DUMMYFUNCTION("""COMPUTED_VALUE"""),0.0)</f>
        <v>0</v>
      </c>
      <c r="G1707" s="16"/>
      <c r="H1707" s="16"/>
      <c r="I1707" s="16"/>
      <c r="J1707" s="16"/>
      <c r="K1707" s="16"/>
      <c r="L1707" s="16"/>
      <c r="M1707" s="16"/>
      <c r="N1707" s="16"/>
      <c r="O1707" s="16"/>
      <c r="P1707" s="16"/>
      <c r="Q1707" s="16"/>
      <c r="R1707" s="16"/>
      <c r="S1707" s="16"/>
      <c r="T1707" s="16"/>
      <c r="U1707" s="16"/>
      <c r="V1707" s="16"/>
      <c r="W1707" s="16"/>
      <c r="X1707" s="16"/>
      <c r="Y1707" s="16"/>
      <c r="Z1707" s="16"/>
      <c r="AA1707" s="16"/>
      <c r="AB1707" s="16"/>
      <c r="AC1707" s="16"/>
      <c r="AD1707" s="16"/>
      <c r="AE1707" s="16"/>
      <c r="AF1707" s="16"/>
      <c r="AG1707" s="16"/>
      <c r="AH1707" s="16" t="b">
        <f>IFERROR(__xludf.DUMMYFUNCTION("""COMPUTED_VALUE"""),FALSE)</f>
        <v>0</v>
      </c>
    </row>
    <row r="1708">
      <c r="A1708" s="16"/>
      <c r="B1708" s="16"/>
      <c r="C1708" s="16"/>
      <c r="D1708" s="16"/>
      <c r="E1708" s="16">
        <f>IFERROR(__xludf.DUMMYFUNCTION("""COMPUTED_VALUE"""),1.0)</f>
        <v>1</v>
      </c>
      <c r="F1708" s="108">
        <f>IFERROR(__xludf.DUMMYFUNCTION("""COMPUTED_VALUE"""),0.0)</f>
        <v>0</v>
      </c>
      <c r="G1708" s="16"/>
      <c r="H1708" s="16"/>
      <c r="I1708" s="16"/>
      <c r="J1708" s="16"/>
      <c r="K1708" s="16"/>
      <c r="L1708" s="16"/>
      <c r="M1708" s="16"/>
      <c r="N1708" s="16"/>
      <c r="O1708" s="16"/>
      <c r="P1708" s="16"/>
      <c r="Q1708" s="16"/>
      <c r="R1708" s="16"/>
      <c r="S1708" s="16"/>
      <c r="T1708" s="16"/>
      <c r="U1708" s="16"/>
      <c r="V1708" s="16"/>
      <c r="W1708" s="16"/>
      <c r="X1708" s="16"/>
      <c r="Y1708" s="16"/>
      <c r="Z1708" s="16"/>
      <c r="AA1708" s="16"/>
      <c r="AB1708" s="16"/>
      <c r="AC1708" s="16"/>
      <c r="AD1708" s="16"/>
      <c r="AE1708" s="16"/>
      <c r="AF1708" s="16"/>
      <c r="AG1708" s="16"/>
      <c r="AH1708" s="16" t="b">
        <f>IFERROR(__xludf.DUMMYFUNCTION("""COMPUTED_VALUE"""),FALSE)</f>
        <v>0</v>
      </c>
    </row>
    <row r="1709">
      <c r="A1709" s="16"/>
      <c r="B1709" s="16"/>
      <c r="C1709" s="16"/>
      <c r="D1709" s="16"/>
      <c r="E1709" s="16">
        <f>IFERROR(__xludf.DUMMYFUNCTION("""COMPUTED_VALUE"""),1.0)</f>
        <v>1</v>
      </c>
      <c r="F1709" s="108">
        <f>IFERROR(__xludf.DUMMYFUNCTION("""COMPUTED_VALUE"""),0.0)</f>
        <v>0</v>
      </c>
      <c r="G1709" s="16"/>
      <c r="H1709" s="16"/>
      <c r="I1709" s="16"/>
      <c r="J1709" s="16"/>
      <c r="K1709" s="16"/>
      <c r="L1709" s="16"/>
      <c r="M1709" s="16"/>
      <c r="N1709" s="16"/>
      <c r="O1709" s="16"/>
      <c r="P1709" s="16"/>
      <c r="Q1709" s="16"/>
      <c r="R1709" s="16"/>
      <c r="S1709" s="16"/>
      <c r="T1709" s="16"/>
      <c r="U1709" s="16"/>
      <c r="V1709" s="16"/>
      <c r="W1709" s="16"/>
      <c r="X1709" s="16"/>
      <c r="Y1709" s="16"/>
      <c r="Z1709" s="16"/>
      <c r="AA1709" s="16"/>
      <c r="AB1709" s="16"/>
      <c r="AC1709" s="16"/>
      <c r="AD1709" s="16"/>
      <c r="AE1709" s="16"/>
      <c r="AF1709" s="16"/>
      <c r="AG1709" s="16"/>
      <c r="AH1709" s="16" t="b">
        <f>IFERROR(__xludf.DUMMYFUNCTION("""COMPUTED_VALUE"""),FALSE)</f>
        <v>0</v>
      </c>
    </row>
    <row r="1710">
      <c r="A1710" s="16"/>
      <c r="B1710" s="16"/>
      <c r="C1710" s="16"/>
      <c r="D1710" s="16"/>
      <c r="E1710" s="16">
        <f>IFERROR(__xludf.DUMMYFUNCTION("""COMPUTED_VALUE"""),1.0)</f>
        <v>1</v>
      </c>
      <c r="F1710" s="108">
        <f>IFERROR(__xludf.DUMMYFUNCTION("""COMPUTED_VALUE"""),0.0)</f>
        <v>0</v>
      </c>
      <c r="G1710" s="16"/>
      <c r="H1710" s="16"/>
      <c r="I1710" s="16"/>
      <c r="J1710" s="16"/>
      <c r="K1710" s="16"/>
      <c r="L1710" s="16"/>
      <c r="M1710" s="16"/>
      <c r="N1710" s="16"/>
      <c r="O1710" s="16"/>
      <c r="P1710" s="16"/>
      <c r="Q1710" s="16"/>
      <c r="R1710" s="16"/>
      <c r="S1710" s="16"/>
      <c r="T1710" s="16"/>
      <c r="U1710" s="16"/>
      <c r="V1710" s="16"/>
      <c r="W1710" s="16"/>
      <c r="X1710" s="16"/>
      <c r="Y1710" s="16"/>
      <c r="Z1710" s="16"/>
      <c r="AA1710" s="16"/>
      <c r="AB1710" s="16"/>
      <c r="AC1710" s="16"/>
      <c r="AD1710" s="16"/>
      <c r="AE1710" s="16"/>
      <c r="AF1710" s="16"/>
      <c r="AG1710" s="16"/>
      <c r="AH1710" s="16" t="b">
        <f>IFERROR(__xludf.DUMMYFUNCTION("""COMPUTED_VALUE"""),FALSE)</f>
        <v>0</v>
      </c>
    </row>
    <row r="1711">
      <c r="A1711" s="16"/>
      <c r="B1711" s="16"/>
      <c r="C1711" s="16"/>
      <c r="D1711" s="16"/>
      <c r="E1711" s="16">
        <f>IFERROR(__xludf.DUMMYFUNCTION("""COMPUTED_VALUE"""),1.0)</f>
        <v>1</v>
      </c>
      <c r="F1711" s="108">
        <f>IFERROR(__xludf.DUMMYFUNCTION("""COMPUTED_VALUE"""),0.0)</f>
        <v>0</v>
      </c>
      <c r="G1711" s="16"/>
      <c r="H1711" s="16"/>
      <c r="I1711" s="16"/>
      <c r="J1711" s="16"/>
      <c r="K1711" s="16"/>
      <c r="L1711" s="16"/>
      <c r="M1711" s="16"/>
      <c r="N1711" s="16"/>
      <c r="O1711" s="16"/>
      <c r="P1711" s="16"/>
      <c r="Q1711" s="16"/>
      <c r="R1711" s="16"/>
      <c r="S1711" s="16"/>
      <c r="T1711" s="16"/>
      <c r="U1711" s="16"/>
      <c r="V1711" s="16"/>
      <c r="W1711" s="16"/>
      <c r="X1711" s="16"/>
      <c r="Y1711" s="16"/>
      <c r="Z1711" s="16"/>
      <c r="AA1711" s="16"/>
      <c r="AB1711" s="16"/>
      <c r="AC1711" s="16"/>
      <c r="AD1711" s="16"/>
      <c r="AE1711" s="16"/>
      <c r="AF1711" s="16"/>
      <c r="AG1711" s="16"/>
      <c r="AH1711" s="16" t="b">
        <f>IFERROR(__xludf.DUMMYFUNCTION("""COMPUTED_VALUE"""),FALSE)</f>
        <v>0</v>
      </c>
    </row>
    <row r="1712">
      <c r="A1712" s="16"/>
      <c r="B1712" s="16"/>
      <c r="C1712" s="16"/>
      <c r="D1712" s="16"/>
      <c r="E1712" s="16">
        <f>IFERROR(__xludf.DUMMYFUNCTION("""COMPUTED_VALUE"""),1.0)</f>
        <v>1</v>
      </c>
      <c r="F1712" s="108">
        <f>IFERROR(__xludf.DUMMYFUNCTION("""COMPUTED_VALUE"""),0.0)</f>
        <v>0</v>
      </c>
      <c r="G1712" s="16"/>
      <c r="H1712" s="16"/>
      <c r="I1712" s="16"/>
      <c r="J1712" s="16"/>
      <c r="K1712" s="16"/>
      <c r="L1712" s="16"/>
      <c r="M1712" s="16"/>
      <c r="N1712" s="16"/>
      <c r="O1712" s="16"/>
      <c r="P1712" s="16"/>
      <c r="Q1712" s="16"/>
      <c r="R1712" s="16"/>
      <c r="S1712" s="16"/>
      <c r="T1712" s="16"/>
      <c r="U1712" s="16"/>
      <c r="V1712" s="16"/>
      <c r="W1712" s="16"/>
      <c r="X1712" s="16"/>
      <c r="Y1712" s="16"/>
      <c r="Z1712" s="16"/>
      <c r="AA1712" s="16"/>
      <c r="AB1712" s="16"/>
      <c r="AC1712" s="16"/>
      <c r="AD1712" s="16"/>
      <c r="AE1712" s="16"/>
      <c r="AF1712" s="16"/>
      <c r="AG1712" s="16"/>
      <c r="AH1712" s="16" t="b">
        <f>IFERROR(__xludf.DUMMYFUNCTION("""COMPUTED_VALUE"""),FALSE)</f>
        <v>0</v>
      </c>
    </row>
    <row r="1713">
      <c r="A1713" s="16"/>
      <c r="B1713" s="16"/>
      <c r="C1713" s="16"/>
      <c r="D1713" s="16"/>
      <c r="E1713" s="16">
        <f>IFERROR(__xludf.DUMMYFUNCTION("""COMPUTED_VALUE"""),1.0)</f>
        <v>1</v>
      </c>
      <c r="F1713" s="108">
        <f>IFERROR(__xludf.DUMMYFUNCTION("""COMPUTED_VALUE"""),0.0)</f>
        <v>0</v>
      </c>
      <c r="G1713" s="16"/>
      <c r="H1713" s="16"/>
      <c r="I1713" s="16"/>
      <c r="J1713" s="16"/>
      <c r="K1713" s="16"/>
      <c r="L1713" s="16"/>
      <c r="M1713" s="16"/>
      <c r="N1713" s="16"/>
      <c r="O1713" s="16"/>
      <c r="P1713" s="16"/>
      <c r="Q1713" s="16"/>
      <c r="R1713" s="16"/>
      <c r="S1713" s="16"/>
      <c r="T1713" s="16"/>
      <c r="U1713" s="16"/>
      <c r="V1713" s="16"/>
      <c r="W1713" s="16"/>
      <c r="X1713" s="16"/>
      <c r="Y1713" s="16"/>
      <c r="Z1713" s="16"/>
      <c r="AA1713" s="16"/>
      <c r="AB1713" s="16"/>
      <c r="AC1713" s="16"/>
      <c r="AD1713" s="16"/>
      <c r="AE1713" s="16"/>
      <c r="AF1713" s="16"/>
      <c r="AG1713" s="16"/>
      <c r="AH1713" s="16" t="b">
        <f>IFERROR(__xludf.DUMMYFUNCTION("""COMPUTED_VALUE"""),FALSE)</f>
        <v>0</v>
      </c>
    </row>
    <row r="1714">
      <c r="A1714" s="16"/>
      <c r="B1714" s="16"/>
      <c r="C1714" s="16"/>
      <c r="D1714" s="16"/>
      <c r="E1714" s="16">
        <f>IFERROR(__xludf.DUMMYFUNCTION("""COMPUTED_VALUE"""),1.0)</f>
        <v>1</v>
      </c>
      <c r="F1714" s="108">
        <f>IFERROR(__xludf.DUMMYFUNCTION("""COMPUTED_VALUE"""),0.0)</f>
        <v>0</v>
      </c>
      <c r="G1714" s="16"/>
      <c r="H1714" s="16"/>
      <c r="I1714" s="16"/>
      <c r="J1714" s="16"/>
      <c r="K1714" s="16"/>
      <c r="L1714" s="16"/>
      <c r="M1714" s="16"/>
      <c r="N1714" s="16"/>
      <c r="O1714" s="16"/>
      <c r="P1714" s="16"/>
      <c r="Q1714" s="16"/>
      <c r="R1714" s="16"/>
      <c r="S1714" s="16"/>
      <c r="T1714" s="16"/>
      <c r="U1714" s="16"/>
      <c r="V1714" s="16"/>
      <c r="W1714" s="16"/>
      <c r="X1714" s="16"/>
      <c r="Y1714" s="16"/>
      <c r="Z1714" s="16"/>
      <c r="AA1714" s="16"/>
      <c r="AB1714" s="16"/>
      <c r="AC1714" s="16"/>
      <c r="AD1714" s="16"/>
      <c r="AE1714" s="16"/>
      <c r="AF1714" s="16"/>
      <c r="AG1714" s="16"/>
      <c r="AH1714" s="16" t="b">
        <f>IFERROR(__xludf.DUMMYFUNCTION("""COMPUTED_VALUE"""),FALSE)</f>
        <v>0</v>
      </c>
    </row>
    <row r="1715">
      <c r="A1715" s="16"/>
      <c r="B1715" s="16"/>
      <c r="C1715" s="16"/>
      <c r="D1715" s="16"/>
      <c r="E1715" s="16">
        <f>IFERROR(__xludf.DUMMYFUNCTION("""COMPUTED_VALUE"""),1.0)</f>
        <v>1</v>
      </c>
      <c r="F1715" s="108">
        <f>IFERROR(__xludf.DUMMYFUNCTION("""COMPUTED_VALUE"""),0.0)</f>
        <v>0</v>
      </c>
      <c r="G1715" s="16"/>
      <c r="H1715" s="16"/>
      <c r="I1715" s="16"/>
      <c r="J1715" s="16"/>
      <c r="K1715" s="16"/>
      <c r="L1715" s="16"/>
      <c r="M1715" s="16"/>
      <c r="N1715" s="16"/>
      <c r="O1715" s="16"/>
      <c r="P1715" s="16"/>
      <c r="Q1715" s="16"/>
      <c r="R1715" s="16"/>
      <c r="S1715" s="16"/>
      <c r="T1715" s="16"/>
      <c r="U1715" s="16"/>
      <c r="V1715" s="16"/>
      <c r="W1715" s="16"/>
      <c r="X1715" s="16"/>
      <c r="Y1715" s="16"/>
      <c r="Z1715" s="16"/>
      <c r="AA1715" s="16"/>
      <c r="AB1715" s="16"/>
      <c r="AC1715" s="16"/>
      <c r="AD1715" s="16"/>
      <c r="AE1715" s="16"/>
      <c r="AF1715" s="16"/>
      <c r="AG1715" s="16"/>
      <c r="AH1715" s="16" t="b">
        <f>IFERROR(__xludf.DUMMYFUNCTION("""COMPUTED_VALUE"""),FALSE)</f>
        <v>0</v>
      </c>
    </row>
    <row r="1716">
      <c r="A1716" s="16"/>
      <c r="B1716" s="16"/>
      <c r="C1716" s="16"/>
      <c r="D1716" s="16"/>
      <c r="E1716" s="16">
        <f>IFERROR(__xludf.DUMMYFUNCTION("""COMPUTED_VALUE"""),1.0)</f>
        <v>1</v>
      </c>
      <c r="F1716" s="108">
        <f>IFERROR(__xludf.DUMMYFUNCTION("""COMPUTED_VALUE"""),0.0)</f>
        <v>0</v>
      </c>
      <c r="G1716" s="16"/>
      <c r="H1716" s="16"/>
      <c r="I1716" s="16"/>
      <c r="J1716" s="16"/>
      <c r="K1716" s="16"/>
      <c r="L1716" s="16"/>
      <c r="M1716" s="16"/>
      <c r="N1716" s="16"/>
      <c r="O1716" s="16"/>
      <c r="P1716" s="16"/>
      <c r="Q1716" s="16"/>
      <c r="R1716" s="16"/>
      <c r="S1716" s="16"/>
      <c r="T1716" s="16"/>
      <c r="U1716" s="16"/>
      <c r="V1716" s="16"/>
      <c r="W1716" s="16"/>
      <c r="X1716" s="16"/>
      <c r="Y1716" s="16"/>
      <c r="Z1716" s="16"/>
      <c r="AA1716" s="16"/>
      <c r="AB1716" s="16"/>
      <c r="AC1716" s="16"/>
      <c r="AD1716" s="16"/>
      <c r="AE1716" s="16"/>
      <c r="AF1716" s="16"/>
      <c r="AG1716" s="16"/>
      <c r="AH1716" s="16" t="b">
        <f>IFERROR(__xludf.DUMMYFUNCTION("""COMPUTED_VALUE"""),FALSE)</f>
        <v>0</v>
      </c>
    </row>
    <row r="1717">
      <c r="A1717" s="16"/>
      <c r="B1717" s="16"/>
      <c r="C1717" s="16"/>
      <c r="D1717" s="16"/>
      <c r="E1717" s="16">
        <f>IFERROR(__xludf.DUMMYFUNCTION("""COMPUTED_VALUE"""),1.0)</f>
        <v>1</v>
      </c>
      <c r="F1717" s="108">
        <f>IFERROR(__xludf.DUMMYFUNCTION("""COMPUTED_VALUE"""),0.0)</f>
        <v>0</v>
      </c>
      <c r="G1717" s="16"/>
      <c r="H1717" s="16"/>
      <c r="I1717" s="16"/>
      <c r="J1717" s="16"/>
      <c r="K1717" s="16"/>
      <c r="L1717" s="16"/>
      <c r="M1717" s="16"/>
      <c r="N1717" s="16"/>
      <c r="O1717" s="16"/>
      <c r="P1717" s="16"/>
      <c r="Q1717" s="16"/>
      <c r="R1717" s="16"/>
      <c r="S1717" s="16"/>
      <c r="T1717" s="16"/>
      <c r="U1717" s="16"/>
      <c r="V1717" s="16"/>
      <c r="W1717" s="16"/>
      <c r="X1717" s="16"/>
      <c r="Y1717" s="16"/>
      <c r="Z1717" s="16"/>
      <c r="AA1717" s="16"/>
      <c r="AB1717" s="16"/>
      <c r="AC1717" s="16"/>
      <c r="AD1717" s="16"/>
      <c r="AE1717" s="16"/>
      <c r="AF1717" s="16"/>
      <c r="AG1717" s="16"/>
      <c r="AH1717" s="16" t="b">
        <f>IFERROR(__xludf.DUMMYFUNCTION("""COMPUTED_VALUE"""),FALSE)</f>
        <v>0</v>
      </c>
    </row>
    <row r="1718">
      <c r="A1718" s="16"/>
      <c r="B1718" s="16"/>
      <c r="C1718" s="16"/>
      <c r="D1718" s="16"/>
      <c r="E1718" s="16">
        <f>IFERROR(__xludf.DUMMYFUNCTION("""COMPUTED_VALUE"""),1.0)</f>
        <v>1</v>
      </c>
      <c r="F1718" s="108">
        <f>IFERROR(__xludf.DUMMYFUNCTION("""COMPUTED_VALUE"""),0.0)</f>
        <v>0</v>
      </c>
      <c r="G1718" s="16"/>
      <c r="H1718" s="16"/>
      <c r="I1718" s="16"/>
      <c r="J1718" s="16"/>
      <c r="K1718" s="16"/>
      <c r="L1718" s="16"/>
      <c r="M1718" s="16"/>
      <c r="N1718" s="16"/>
      <c r="O1718" s="16"/>
      <c r="P1718" s="16"/>
      <c r="Q1718" s="16"/>
      <c r="R1718" s="16"/>
      <c r="S1718" s="16"/>
      <c r="T1718" s="16"/>
      <c r="U1718" s="16"/>
      <c r="V1718" s="16"/>
      <c r="W1718" s="16"/>
      <c r="X1718" s="16"/>
      <c r="Y1718" s="16"/>
      <c r="Z1718" s="16"/>
      <c r="AA1718" s="16"/>
      <c r="AB1718" s="16"/>
      <c r="AC1718" s="16"/>
      <c r="AD1718" s="16"/>
      <c r="AE1718" s="16"/>
      <c r="AF1718" s="16"/>
      <c r="AG1718" s="16"/>
      <c r="AH1718" s="16" t="b">
        <f>IFERROR(__xludf.DUMMYFUNCTION("""COMPUTED_VALUE"""),FALSE)</f>
        <v>0</v>
      </c>
    </row>
    <row r="1719">
      <c r="A1719" s="16"/>
      <c r="B1719" s="16"/>
      <c r="C1719" s="16"/>
      <c r="D1719" s="16"/>
      <c r="E1719" s="16">
        <f>IFERROR(__xludf.DUMMYFUNCTION("""COMPUTED_VALUE"""),1.0)</f>
        <v>1</v>
      </c>
      <c r="F1719" s="108">
        <f>IFERROR(__xludf.DUMMYFUNCTION("""COMPUTED_VALUE"""),0.0)</f>
        <v>0</v>
      </c>
      <c r="G1719" s="16"/>
      <c r="H1719" s="16"/>
      <c r="I1719" s="16"/>
      <c r="J1719" s="16"/>
      <c r="K1719" s="16"/>
      <c r="L1719" s="16"/>
      <c r="M1719" s="16"/>
      <c r="N1719" s="16"/>
      <c r="O1719" s="16"/>
      <c r="P1719" s="16"/>
      <c r="Q1719" s="16"/>
      <c r="R1719" s="16"/>
      <c r="S1719" s="16"/>
      <c r="T1719" s="16"/>
      <c r="U1719" s="16"/>
      <c r="V1719" s="16"/>
      <c r="W1719" s="16"/>
      <c r="X1719" s="16"/>
      <c r="Y1719" s="16"/>
      <c r="Z1719" s="16"/>
      <c r="AA1719" s="16"/>
      <c r="AB1719" s="16"/>
      <c r="AC1719" s="16"/>
      <c r="AD1719" s="16"/>
      <c r="AE1719" s="16"/>
      <c r="AF1719" s="16"/>
      <c r="AG1719" s="16"/>
      <c r="AH1719" s="16" t="b">
        <f>IFERROR(__xludf.DUMMYFUNCTION("""COMPUTED_VALUE"""),FALSE)</f>
        <v>0</v>
      </c>
    </row>
    <row r="1720">
      <c r="A1720" s="16"/>
      <c r="B1720" s="16"/>
      <c r="C1720" s="16"/>
      <c r="D1720" s="16"/>
      <c r="E1720" s="16">
        <f>IFERROR(__xludf.DUMMYFUNCTION("""COMPUTED_VALUE"""),1.0)</f>
        <v>1</v>
      </c>
      <c r="F1720" s="108">
        <f>IFERROR(__xludf.DUMMYFUNCTION("""COMPUTED_VALUE"""),0.0)</f>
        <v>0</v>
      </c>
      <c r="G1720" s="16"/>
      <c r="H1720" s="16"/>
      <c r="I1720" s="16"/>
      <c r="J1720" s="16"/>
      <c r="K1720" s="16"/>
      <c r="L1720" s="16"/>
      <c r="M1720" s="16"/>
      <c r="N1720" s="16"/>
      <c r="O1720" s="16"/>
      <c r="P1720" s="16"/>
      <c r="Q1720" s="16"/>
      <c r="R1720" s="16"/>
      <c r="S1720" s="16"/>
      <c r="T1720" s="16"/>
      <c r="U1720" s="16"/>
      <c r="V1720" s="16"/>
      <c r="W1720" s="16"/>
      <c r="X1720" s="16"/>
      <c r="Y1720" s="16"/>
      <c r="Z1720" s="16"/>
      <c r="AA1720" s="16"/>
      <c r="AB1720" s="16"/>
      <c r="AC1720" s="16"/>
      <c r="AD1720" s="16"/>
      <c r="AE1720" s="16"/>
      <c r="AF1720" s="16"/>
      <c r="AG1720" s="16"/>
      <c r="AH1720" s="16" t="b">
        <f>IFERROR(__xludf.DUMMYFUNCTION("""COMPUTED_VALUE"""),FALSE)</f>
        <v>0</v>
      </c>
    </row>
    <row r="1721">
      <c r="A1721" s="16"/>
      <c r="B1721" s="16"/>
      <c r="C1721" s="16"/>
      <c r="D1721" s="16"/>
      <c r="E1721" s="16">
        <f>IFERROR(__xludf.DUMMYFUNCTION("""COMPUTED_VALUE"""),1.0)</f>
        <v>1</v>
      </c>
      <c r="F1721" s="108">
        <f>IFERROR(__xludf.DUMMYFUNCTION("""COMPUTED_VALUE"""),0.0)</f>
        <v>0</v>
      </c>
      <c r="G1721" s="16"/>
      <c r="H1721" s="16"/>
      <c r="I1721" s="16"/>
      <c r="J1721" s="16"/>
      <c r="K1721" s="16"/>
      <c r="L1721" s="16"/>
      <c r="M1721" s="16"/>
      <c r="N1721" s="16"/>
      <c r="O1721" s="16"/>
      <c r="P1721" s="16"/>
      <c r="Q1721" s="16"/>
      <c r="R1721" s="16"/>
      <c r="S1721" s="16"/>
      <c r="T1721" s="16"/>
      <c r="U1721" s="16"/>
      <c r="V1721" s="16"/>
      <c r="W1721" s="16"/>
      <c r="X1721" s="16"/>
      <c r="Y1721" s="16"/>
      <c r="Z1721" s="16"/>
      <c r="AA1721" s="16"/>
      <c r="AB1721" s="16"/>
      <c r="AC1721" s="16"/>
      <c r="AD1721" s="16"/>
      <c r="AE1721" s="16"/>
      <c r="AF1721" s="16"/>
      <c r="AG1721" s="16"/>
      <c r="AH1721" s="16" t="b">
        <f>IFERROR(__xludf.DUMMYFUNCTION("""COMPUTED_VALUE"""),FALSE)</f>
        <v>0</v>
      </c>
    </row>
    <row r="1722">
      <c r="A1722" s="16"/>
      <c r="B1722" s="16"/>
      <c r="C1722" s="16"/>
      <c r="D1722" s="16"/>
      <c r="E1722" s="16">
        <f>IFERROR(__xludf.DUMMYFUNCTION("""COMPUTED_VALUE"""),1.0)</f>
        <v>1</v>
      </c>
      <c r="F1722" s="108">
        <f>IFERROR(__xludf.DUMMYFUNCTION("""COMPUTED_VALUE"""),0.0)</f>
        <v>0</v>
      </c>
      <c r="G1722" s="16"/>
      <c r="H1722" s="16"/>
      <c r="I1722" s="16"/>
      <c r="J1722" s="16"/>
      <c r="K1722" s="16"/>
      <c r="L1722" s="16"/>
      <c r="M1722" s="16"/>
      <c r="N1722" s="16"/>
      <c r="O1722" s="16"/>
      <c r="P1722" s="16"/>
      <c r="Q1722" s="16"/>
      <c r="R1722" s="16"/>
      <c r="S1722" s="16"/>
      <c r="T1722" s="16"/>
      <c r="U1722" s="16"/>
      <c r="V1722" s="16"/>
      <c r="W1722" s="16"/>
      <c r="X1722" s="16"/>
      <c r="Y1722" s="16"/>
      <c r="Z1722" s="16"/>
      <c r="AA1722" s="16"/>
      <c r="AB1722" s="16"/>
      <c r="AC1722" s="16"/>
      <c r="AD1722" s="16"/>
      <c r="AE1722" s="16"/>
      <c r="AF1722" s="16"/>
      <c r="AG1722" s="16"/>
      <c r="AH1722" s="16" t="b">
        <f>IFERROR(__xludf.DUMMYFUNCTION("""COMPUTED_VALUE"""),FALSE)</f>
        <v>0</v>
      </c>
    </row>
    <row r="1723">
      <c r="A1723" s="16"/>
      <c r="B1723" s="16"/>
      <c r="C1723" s="16"/>
      <c r="D1723" s="16"/>
      <c r="E1723" s="16">
        <f>IFERROR(__xludf.DUMMYFUNCTION("""COMPUTED_VALUE"""),1.0)</f>
        <v>1</v>
      </c>
      <c r="F1723" s="108">
        <f>IFERROR(__xludf.DUMMYFUNCTION("""COMPUTED_VALUE"""),0.0)</f>
        <v>0</v>
      </c>
      <c r="G1723" s="16"/>
      <c r="H1723" s="16"/>
      <c r="I1723" s="16"/>
      <c r="J1723" s="16"/>
      <c r="K1723" s="16"/>
      <c r="L1723" s="16"/>
      <c r="M1723" s="16"/>
      <c r="N1723" s="16"/>
      <c r="O1723" s="16"/>
      <c r="P1723" s="16"/>
      <c r="Q1723" s="16"/>
      <c r="R1723" s="16"/>
      <c r="S1723" s="16"/>
      <c r="T1723" s="16"/>
      <c r="U1723" s="16"/>
      <c r="V1723" s="16"/>
      <c r="W1723" s="16"/>
      <c r="X1723" s="16"/>
      <c r="Y1723" s="16"/>
      <c r="Z1723" s="16"/>
      <c r="AA1723" s="16"/>
      <c r="AB1723" s="16"/>
      <c r="AC1723" s="16"/>
      <c r="AD1723" s="16"/>
      <c r="AE1723" s="16"/>
      <c r="AF1723" s="16"/>
      <c r="AG1723" s="16"/>
      <c r="AH1723" s="16" t="b">
        <f>IFERROR(__xludf.DUMMYFUNCTION("""COMPUTED_VALUE"""),FALSE)</f>
        <v>0</v>
      </c>
    </row>
    <row r="1724">
      <c r="A1724" s="16"/>
      <c r="B1724" s="16"/>
      <c r="C1724" s="16"/>
      <c r="D1724" s="16"/>
      <c r="E1724" s="16">
        <f>IFERROR(__xludf.DUMMYFUNCTION("""COMPUTED_VALUE"""),1.0)</f>
        <v>1</v>
      </c>
      <c r="F1724" s="108">
        <f>IFERROR(__xludf.DUMMYFUNCTION("""COMPUTED_VALUE"""),0.0)</f>
        <v>0</v>
      </c>
      <c r="G1724" s="16"/>
      <c r="H1724" s="16"/>
      <c r="I1724" s="16"/>
      <c r="J1724" s="16"/>
      <c r="K1724" s="16"/>
      <c r="L1724" s="16"/>
      <c r="M1724" s="16"/>
      <c r="N1724" s="16"/>
      <c r="O1724" s="16"/>
      <c r="P1724" s="16"/>
      <c r="Q1724" s="16"/>
      <c r="R1724" s="16"/>
      <c r="S1724" s="16"/>
      <c r="T1724" s="16"/>
      <c r="U1724" s="16"/>
      <c r="V1724" s="16"/>
      <c r="W1724" s="16"/>
      <c r="X1724" s="16"/>
      <c r="Y1724" s="16"/>
      <c r="Z1724" s="16"/>
      <c r="AA1724" s="16"/>
      <c r="AB1724" s="16"/>
      <c r="AC1724" s="16"/>
      <c r="AD1724" s="16"/>
      <c r="AE1724" s="16"/>
      <c r="AF1724" s="16"/>
      <c r="AG1724" s="16"/>
      <c r="AH1724" s="16" t="b">
        <f>IFERROR(__xludf.DUMMYFUNCTION("""COMPUTED_VALUE"""),FALSE)</f>
        <v>0</v>
      </c>
    </row>
    <row r="1725">
      <c r="A1725" s="16"/>
      <c r="B1725" s="16"/>
      <c r="C1725" s="16"/>
      <c r="D1725" s="16"/>
      <c r="E1725" s="16">
        <f>IFERROR(__xludf.DUMMYFUNCTION("""COMPUTED_VALUE"""),1.0)</f>
        <v>1</v>
      </c>
      <c r="F1725" s="108">
        <f>IFERROR(__xludf.DUMMYFUNCTION("""COMPUTED_VALUE"""),0.0)</f>
        <v>0</v>
      </c>
      <c r="G1725" s="16"/>
      <c r="H1725" s="16"/>
      <c r="I1725" s="16"/>
      <c r="J1725" s="16"/>
      <c r="K1725" s="16"/>
      <c r="L1725" s="16"/>
      <c r="M1725" s="16"/>
      <c r="N1725" s="16"/>
      <c r="O1725" s="16"/>
      <c r="P1725" s="16"/>
      <c r="Q1725" s="16"/>
      <c r="R1725" s="16"/>
      <c r="S1725" s="16"/>
      <c r="T1725" s="16"/>
      <c r="U1725" s="16"/>
      <c r="V1725" s="16"/>
      <c r="W1725" s="16"/>
      <c r="X1725" s="16"/>
      <c r="Y1725" s="16"/>
      <c r="Z1725" s="16"/>
      <c r="AA1725" s="16"/>
      <c r="AB1725" s="16"/>
      <c r="AC1725" s="16"/>
      <c r="AD1725" s="16"/>
      <c r="AE1725" s="16"/>
      <c r="AF1725" s="16"/>
      <c r="AG1725" s="16"/>
      <c r="AH1725" s="16" t="b">
        <f>IFERROR(__xludf.DUMMYFUNCTION("""COMPUTED_VALUE"""),FALSE)</f>
        <v>0</v>
      </c>
    </row>
    <row r="1726">
      <c r="A1726" s="16"/>
      <c r="B1726" s="16"/>
      <c r="C1726" s="16"/>
      <c r="D1726" s="16"/>
      <c r="E1726" s="16">
        <f>IFERROR(__xludf.DUMMYFUNCTION("""COMPUTED_VALUE"""),1.0)</f>
        <v>1</v>
      </c>
      <c r="F1726" s="108">
        <f>IFERROR(__xludf.DUMMYFUNCTION("""COMPUTED_VALUE"""),0.0)</f>
        <v>0</v>
      </c>
      <c r="G1726" s="16"/>
      <c r="H1726" s="16"/>
      <c r="I1726" s="16"/>
      <c r="J1726" s="16"/>
      <c r="K1726" s="16"/>
      <c r="L1726" s="16"/>
      <c r="M1726" s="16"/>
      <c r="N1726" s="16"/>
      <c r="O1726" s="16"/>
      <c r="P1726" s="16"/>
      <c r="Q1726" s="16"/>
      <c r="R1726" s="16"/>
      <c r="S1726" s="16"/>
      <c r="T1726" s="16"/>
      <c r="U1726" s="16"/>
      <c r="V1726" s="16"/>
      <c r="W1726" s="16"/>
      <c r="X1726" s="16"/>
      <c r="Y1726" s="16"/>
      <c r="Z1726" s="16"/>
      <c r="AA1726" s="16"/>
      <c r="AB1726" s="16"/>
      <c r="AC1726" s="16"/>
      <c r="AD1726" s="16"/>
      <c r="AE1726" s="16"/>
      <c r="AF1726" s="16"/>
      <c r="AG1726" s="16"/>
      <c r="AH1726" s="16" t="b">
        <f>IFERROR(__xludf.DUMMYFUNCTION("""COMPUTED_VALUE"""),FALSE)</f>
        <v>0</v>
      </c>
    </row>
    <row r="1727">
      <c r="A1727" s="16"/>
      <c r="B1727" s="16"/>
      <c r="C1727" s="16"/>
      <c r="D1727" s="16"/>
      <c r="E1727" s="16">
        <f>IFERROR(__xludf.DUMMYFUNCTION("""COMPUTED_VALUE"""),1.0)</f>
        <v>1</v>
      </c>
      <c r="F1727" s="108">
        <f>IFERROR(__xludf.DUMMYFUNCTION("""COMPUTED_VALUE"""),0.0)</f>
        <v>0</v>
      </c>
      <c r="G1727" s="16"/>
      <c r="H1727" s="16"/>
      <c r="I1727" s="16"/>
      <c r="J1727" s="16"/>
      <c r="K1727" s="16"/>
      <c r="L1727" s="16"/>
      <c r="M1727" s="16"/>
      <c r="N1727" s="16"/>
      <c r="O1727" s="16"/>
      <c r="P1727" s="16"/>
      <c r="Q1727" s="16"/>
      <c r="R1727" s="16"/>
      <c r="S1727" s="16"/>
      <c r="T1727" s="16"/>
      <c r="U1727" s="16"/>
      <c r="V1727" s="16"/>
      <c r="W1727" s="16"/>
      <c r="X1727" s="16"/>
      <c r="Y1727" s="16"/>
      <c r="Z1727" s="16"/>
      <c r="AA1727" s="16"/>
      <c r="AB1727" s="16"/>
      <c r="AC1727" s="16"/>
      <c r="AD1727" s="16"/>
      <c r="AE1727" s="16"/>
      <c r="AF1727" s="16"/>
      <c r="AG1727" s="16"/>
      <c r="AH1727" s="16" t="b">
        <f>IFERROR(__xludf.DUMMYFUNCTION("""COMPUTED_VALUE"""),FALSE)</f>
        <v>0</v>
      </c>
    </row>
    <row r="1728">
      <c r="A1728" s="16"/>
      <c r="B1728" s="16"/>
      <c r="C1728" s="16"/>
      <c r="D1728" s="16"/>
      <c r="E1728" s="16">
        <f>IFERROR(__xludf.DUMMYFUNCTION("""COMPUTED_VALUE"""),1.0)</f>
        <v>1</v>
      </c>
      <c r="F1728" s="108">
        <f>IFERROR(__xludf.DUMMYFUNCTION("""COMPUTED_VALUE"""),0.0)</f>
        <v>0</v>
      </c>
      <c r="G1728" s="16"/>
      <c r="H1728" s="16"/>
      <c r="I1728" s="16"/>
      <c r="J1728" s="16"/>
      <c r="K1728" s="16"/>
      <c r="L1728" s="16"/>
      <c r="M1728" s="16"/>
      <c r="N1728" s="16"/>
      <c r="O1728" s="16"/>
      <c r="P1728" s="16"/>
      <c r="Q1728" s="16"/>
      <c r="R1728" s="16"/>
      <c r="S1728" s="16"/>
      <c r="T1728" s="16"/>
      <c r="U1728" s="16"/>
      <c r="V1728" s="16"/>
      <c r="W1728" s="16"/>
      <c r="X1728" s="16"/>
      <c r="Y1728" s="16"/>
      <c r="Z1728" s="16"/>
      <c r="AA1728" s="16"/>
      <c r="AB1728" s="16"/>
      <c r="AC1728" s="16"/>
      <c r="AD1728" s="16"/>
      <c r="AE1728" s="16"/>
      <c r="AF1728" s="16"/>
      <c r="AG1728" s="16"/>
      <c r="AH1728" s="16" t="b">
        <f>IFERROR(__xludf.DUMMYFUNCTION("""COMPUTED_VALUE"""),FALSE)</f>
        <v>0</v>
      </c>
    </row>
    <row r="1729">
      <c r="A1729" s="16"/>
      <c r="B1729" s="16"/>
      <c r="C1729" s="16"/>
      <c r="D1729" s="16"/>
      <c r="E1729" s="16">
        <f>IFERROR(__xludf.DUMMYFUNCTION("""COMPUTED_VALUE"""),1.0)</f>
        <v>1</v>
      </c>
      <c r="F1729" s="108">
        <f>IFERROR(__xludf.DUMMYFUNCTION("""COMPUTED_VALUE"""),0.0)</f>
        <v>0</v>
      </c>
      <c r="G1729" s="16"/>
      <c r="H1729" s="16"/>
      <c r="I1729" s="16"/>
      <c r="J1729" s="16"/>
      <c r="K1729" s="16"/>
      <c r="L1729" s="16"/>
      <c r="M1729" s="16"/>
      <c r="N1729" s="16"/>
      <c r="O1729" s="16"/>
      <c r="P1729" s="16"/>
      <c r="Q1729" s="16"/>
      <c r="R1729" s="16"/>
      <c r="S1729" s="16"/>
      <c r="T1729" s="16"/>
      <c r="U1729" s="16"/>
      <c r="V1729" s="16"/>
      <c r="W1729" s="16"/>
      <c r="X1729" s="16"/>
      <c r="Y1729" s="16"/>
      <c r="Z1729" s="16"/>
      <c r="AA1729" s="16"/>
      <c r="AB1729" s="16"/>
      <c r="AC1729" s="16"/>
      <c r="AD1729" s="16"/>
      <c r="AE1729" s="16"/>
      <c r="AF1729" s="16"/>
      <c r="AG1729" s="16"/>
      <c r="AH1729" s="16" t="b">
        <f>IFERROR(__xludf.DUMMYFUNCTION("""COMPUTED_VALUE"""),FALSE)</f>
        <v>0</v>
      </c>
    </row>
    <row r="1730">
      <c r="A1730" s="16"/>
      <c r="B1730" s="16"/>
      <c r="C1730" s="16"/>
      <c r="D1730" s="16"/>
      <c r="E1730" s="16">
        <f>IFERROR(__xludf.DUMMYFUNCTION("""COMPUTED_VALUE"""),1.0)</f>
        <v>1</v>
      </c>
      <c r="F1730" s="108">
        <f>IFERROR(__xludf.DUMMYFUNCTION("""COMPUTED_VALUE"""),0.0)</f>
        <v>0</v>
      </c>
      <c r="G1730" s="16"/>
      <c r="H1730" s="16"/>
      <c r="I1730" s="16"/>
      <c r="J1730" s="16"/>
      <c r="K1730" s="16"/>
      <c r="L1730" s="16"/>
      <c r="M1730" s="16"/>
      <c r="N1730" s="16"/>
      <c r="O1730" s="16"/>
      <c r="P1730" s="16"/>
      <c r="Q1730" s="16"/>
      <c r="R1730" s="16"/>
      <c r="S1730" s="16"/>
      <c r="T1730" s="16"/>
      <c r="U1730" s="16"/>
      <c r="V1730" s="16"/>
      <c r="W1730" s="16"/>
      <c r="X1730" s="16"/>
      <c r="Y1730" s="16"/>
      <c r="Z1730" s="16"/>
      <c r="AA1730" s="16"/>
      <c r="AB1730" s="16"/>
      <c r="AC1730" s="16"/>
      <c r="AD1730" s="16"/>
      <c r="AE1730" s="16"/>
      <c r="AF1730" s="16"/>
      <c r="AG1730" s="16"/>
      <c r="AH1730" s="16" t="b">
        <f>IFERROR(__xludf.DUMMYFUNCTION("""COMPUTED_VALUE"""),FALSE)</f>
        <v>0</v>
      </c>
    </row>
    <row r="1731">
      <c r="A1731" s="16"/>
      <c r="B1731" s="16"/>
      <c r="C1731" s="16"/>
      <c r="D1731" s="16"/>
      <c r="E1731" s="16">
        <f>IFERROR(__xludf.DUMMYFUNCTION("""COMPUTED_VALUE"""),1.0)</f>
        <v>1</v>
      </c>
      <c r="F1731" s="108">
        <f>IFERROR(__xludf.DUMMYFUNCTION("""COMPUTED_VALUE"""),0.0)</f>
        <v>0</v>
      </c>
      <c r="G1731" s="16"/>
      <c r="H1731" s="16"/>
      <c r="I1731" s="16"/>
      <c r="J1731" s="16"/>
      <c r="K1731" s="16"/>
      <c r="L1731" s="16"/>
      <c r="M1731" s="16"/>
      <c r="N1731" s="16"/>
      <c r="O1731" s="16"/>
      <c r="P1731" s="16"/>
      <c r="Q1731" s="16"/>
      <c r="R1731" s="16"/>
      <c r="S1731" s="16"/>
      <c r="T1731" s="16"/>
      <c r="U1731" s="16"/>
      <c r="V1731" s="16"/>
      <c r="W1731" s="16"/>
      <c r="X1731" s="16"/>
      <c r="Y1731" s="16"/>
      <c r="Z1731" s="16"/>
      <c r="AA1731" s="16"/>
      <c r="AB1731" s="16"/>
      <c r="AC1731" s="16"/>
      <c r="AD1731" s="16"/>
      <c r="AE1731" s="16"/>
      <c r="AF1731" s="16"/>
      <c r="AG1731" s="16"/>
      <c r="AH1731" s="16" t="b">
        <f>IFERROR(__xludf.DUMMYFUNCTION("""COMPUTED_VALUE"""),FALSE)</f>
        <v>0</v>
      </c>
    </row>
    <row r="1732">
      <c r="A1732" s="16"/>
      <c r="B1732" s="16"/>
      <c r="C1732" s="16"/>
      <c r="D1732" s="16"/>
      <c r="E1732" s="16">
        <f>IFERROR(__xludf.DUMMYFUNCTION("""COMPUTED_VALUE"""),1.0)</f>
        <v>1</v>
      </c>
      <c r="F1732" s="108">
        <f>IFERROR(__xludf.DUMMYFUNCTION("""COMPUTED_VALUE"""),0.0)</f>
        <v>0</v>
      </c>
      <c r="G1732" s="16"/>
      <c r="H1732" s="16"/>
      <c r="I1732" s="16"/>
      <c r="J1732" s="16"/>
      <c r="K1732" s="16"/>
      <c r="L1732" s="16"/>
      <c r="M1732" s="16"/>
      <c r="N1732" s="16"/>
      <c r="O1732" s="16"/>
      <c r="P1732" s="16"/>
      <c r="Q1732" s="16"/>
      <c r="R1732" s="16"/>
      <c r="S1732" s="16"/>
      <c r="T1732" s="16"/>
      <c r="U1732" s="16"/>
      <c r="V1732" s="16"/>
      <c r="W1732" s="16"/>
      <c r="X1732" s="16"/>
      <c r="Y1732" s="16"/>
      <c r="Z1732" s="16"/>
      <c r="AA1732" s="16"/>
      <c r="AB1732" s="16"/>
      <c r="AC1732" s="16"/>
      <c r="AD1732" s="16"/>
      <c r="AE1732" s="16"/>
      <c r="AF1732" s="16"/>
      <c r="AG1732" s="16"/>
      <c r="AH1732" s="16" t="b">
        <f>IFERROR(__xludf.DUMMYFUNCTION("""COMPUTED_VALUE"""),FALSE)</f>
        <v>0</v>
      </c>
    </row>
    <row r="1733">
      <c r="A1733" s="16"/>
      <c r="B1733" s="16"/>
      <c r="C1733" s="16"/>
      <c r="D1733" s="16"/>
      <c r="E1733" s="16">
        <f>IFERROR(__xludf.DUMMYFUNCTION("""COMPUTED_VALUE"""),1.0)</f>
        <v>1</v>
      </c>
      <c r="F1733" s="108">
        <f>IFERROR(__xludf.DUMMYFUNCTION("""COMPUTED_VALUE"""),0.0)</f>
        <v>0</v>
      </c>
      <c r="G1733" s="16"/>
      <c r="H1733" s="16"/>
      <c r="I1733" s="16"/>
      <c r="J1733" s="16"/>
      <c r="K1733" s="16"/>
      <c r="L1733" s="16"/>
      <c r="M1733" s="16"/>
      <c r="N1733" s="16"/>
      <c r="O1733" s="16"/>
      <c r="P1733" s="16"/>
      <c r="Q1733" s="16"/>
      <c r="R1733" s="16"/>
      <c r="S1733" s="16"/>
      <c r="T1733" s="16"/>
      <c r="U1733" s="16"/>
      <c r="V1733" s="16"/>
      <c r="W1733" s="16"/>
      <c r="X1733" s="16"/>
      <c r="Y1733" s="16"/>
      <c r="Z1733" s="16"/>
      <c r="AA1733" s="16"/>
      <c r="AB1733" s="16"/>
      <c r="AC1733" s="16"/>
      <c r="AD1733" s="16"/>
      <c r="AE1733" s="16"/>
      <c r="AF1733" s="16"/>
      <c r="AG1733" s="16"/>
      <c r="AH1733" s="16" t="b">
        <f>IFERROR(__xludf.DUMMYFUNCTION("""COMPUTED_VALUE"""),FALSE)</f>
        <v>0</v>
      </c>
    </row>
    <row r="1734">
      <c r="A1734" s="16"/>
      <c r="B1734" s="16"/>
      <c r="C1734" s="16"/>
      <c r="D1734" s="16"/>
      <c r="E1734" s="16">
        <f>IFERROR(__xludf.DUMMYFUNCTION("""COMPUTED_VALUE"""),1.0)</f>
        <v>1</v>
      </c>
      <c r="F1734" s="108">
        <f>IFERROR(__xludf.DUMMYFUNCTION("""COMPUTED_VALUE"""),0.0)</f>
        <v>0</v>
      </c>
      <c r="G1734" s="16"/>
      <c r="H1734" s="16"/>
      <c r="I1734" s="16"/>
      <c r="J1734" s="16"/>
      <c r="K1734" s="16"/>
      <c r="L1734" s="16"/>
      <c r="M1734" s="16"/>
      <c r="N1734" s="16"/>
      <c r="O1734" s="16"/>
      <c r="P1734" s="16"/>
      <c r="Q1734" s="16"/>
      <c r="R1734" s="16"/>
      <c r="S1734" s="16"/>
      <c r="T1734" s="16"/>
      <c r="U1734" s="16"/>
      <c r="V1734" s="16"/>
      <c r="W1734" s="16"/>
      <c r="X1734" s="16"/>
      <c r="Y1734" s="16"/>
      <c r="Z1734" s="16"/>
      <c r="AA1734" s="16"/>
      <c r="AB1734" s="16"/>
      <c r="AC1734" s="16"/>
      <c r="AD1734" s="16"/>
      <c r="AE1734" s="16"/>
      <c r="AF1734" s="16"/>
      <c r="AG1734" s="16"/>
      <c r="AH1734" s="16" t="b">
        <f>IFERROR(__xludf.DUMMYFUNCTION("""COMPUTED_VALUE"""),FALSE)</f>
        <v>0</v>
      </c>
    </row>
    <row r="1735">
      <c r="A1735" s="16"/>
      <c r="B1735" s="16"/>
      <c r="C1735" s="16"/>
      <c r="D1735" s="16"/>
      <c r="E1735" s="16">
        <f>IFERROR(__xludf.DUMMYFUNCTION("""COMPUTED_VALUE"""),1.0)</f>
        <v>1</v>
      </c>
      <c r="F1735" s="108">
        <f>IFERROR(__xludf.DUMMYFUNCTION("""COMPUTED_VALUE"""),0.0)</f>
        <v>0</v>
      </c>
      <c r="G1735" s="16"/>
      <c r="H1735" s="16"/>
      <c r="I1735" s="16"/>
      <c r="J1735" s="16"/>
      <c r="K1735" s="16"/>
      <c r="L1735" s="16"/>
      <c r="M1735" s="16"/>
      <c r="N1735" s="16"/>
      <c r="O1735" s="16"/>
      <c r="P1735" s="16"/>
      <c r="Q1735" s="16"/>
      <c r="R1735" s="16"/>
      <c r="S1735" s="16"/>
      <c r="T1735" s="16"/>
      <c r="U1735" s="16"/>
      <c r="V1735" s="16"/>
      <c r="W1735" s="16"/>
      <c r="X1735" s="16"/>
      <c r="Y1735" s="16"/>
      <c r="Z1735" s="16"/>
      <c r="AA1735" s="16"/>
      <c r="AB1735" s="16"/>
      <c r="AC1735" s="16"/>
      <c r="AD1735" s="16"/>
      <c r="AE1735" s="16"/>
      <c r="AF1735" s="16"/>
      <c r="AG1735" s="16"/>
      <c r="AH1735" s="16" t="b">
        <f>IFERROR(__xludf.DUMMYFUNCTION("""COMPUTED_VALUE"""),FALSE)</f>
        <v>0</v>
      </c>
    </row>
    <row r="1736">
      <c r="A1736" s="16"/>
      <c r="B1736" s="16"/>
      <c r="C1736" s="16"/>
      <c r="D1736" s="16"/>
      <c r="E1736" s="16">
        <f>IFERROR(__xludf.DUMMYFUNCTION("""COMPUTED_VALUE"""),1.0)</f>
        <v>1</v>
      </c>
      <c r="F1736" s="108">
        <f>IFERROR(__xludf.DUMMYFUNCTION("""COMPUTED_VALUE"""),0.0)</f>
        <v>0</v>
      </c>
      <c r="G1736" s="16"/>
      <c r="H1736" s="16"/>
      <c r="I1736" s="16"/>
      <c r="J1736" s="16"/>
      <c r="K1736" s="16"/>
      <c r="L1736" s="16"/>
      <c r="M1736" s="16"/>
      <c r="N1736" s="16"/>
      <c r="O1736" s="16"/>
      <c r="P1736" s="16"/>
      <c r="Q1736" s="16"/>
      <c r="R1736" s="16"/>
      <c r="S1736" s="16"/>
      <c r="T1736" s="16"/>
      <c r="U1736" s="16"/>
      <c r="V1736" s="16"/>
      <c r="W1736" s="16"/>
      <c r="X1736" s="16"/>
      <c r="Y1736" s="16"/>
      <c r="Z1736" s="16"/>
      <c r="AA1736" s="16"/>
      <c r="AB1736" s="16"/>
      <c r="AC1736" s="16"/>
      <c r="AD1736" s="16"/>
      <c r="AE1736" s="16"/>
      <c r="AF1736" s="16"/>
      <c r="AG1736" s="16"/>
      <c r="AH1736" s="16" t="b">
        <f>IFERROR(__xludf.DUMMYFUNCTION("""COMPUTED_VALUE"""),FALSE)</f>
        <v>0</v>
      </c>
    </row>
    <row r="1737">
      <c r="A1737" s="16"/>
      <c r="B1737" s="16"/>
      <c r="C1737" s="16"/>
      <c r="D1737" s="16"/>
      <c r="E1737" s="16">
        <f>IFERROR(__xludf.DUMMYFUNCTION("""COMPUTED_VALUE"""),1.0)</f>
        <v>1</v>
      </c>
      <c r="F1737" s="108">
        <f>IFERROR(__xludf.DUMMYFUNCTION("""COMPUTED_VALUE"""),0.0)</f>
        <v>0</v>
      </c>
      <c r="G1737" s="16"/>
      <c r="H1737" s="16"/>
      <c r="I1737" s="16"/>
      <c r="J1737" s="16"/>
      <c r="K1737" s="16"/>
      <c r="L1737" s="16"/>
      <c r="M1737" s="16"/>
      <c r="N1737" s="16"/>
      <c r="O1737" s="16"/>
      <c r="P1737" s="16"/>
      <c r="Q1737" s="16"/>
      <c r="R1737" s="16"/>
      <c r="S1737" s="16"/>
      <c r="T1737" s="16"/>
      <c r="U1737" s="16"/>
      <c r="V1737" s="16"/>
      <c r="W1737" s="16"/>
      <c r="X1737" s="16"/>
      <c r="Y1737" s="16"/>
      <c r="Z1737" s="16"/>
      <c r="AA1737" s="16"/>
      <c r="AB1737" s="16"/>
      <c r="AC1737" s="16"/>
      <c r="AD1737" s="16"/>
      <c r="AE1737" s="16"/>
      <c r="AF1737" s="16"/>
      <c r="AG1737" s="16"/>
      <c r="AH1737" s="16" t="b">
        <f>IFERROR(__xludf.DUMMYFUNCTION("""COMPUTED_VALUE"""),FALSE)</f>
        <v>0</v>
      </c>
    </row>
    <row r="1738">
      <c r="A1738" s="16"/>
      <c r="B1738" s="16"/>
      <c r="C1738" s="16"/>
      <c r="D1738" s="16"/>
      <c r="E1738" s="16">
        <f>IFERROR(__xludf.DUMMYFUNCTION("""COMPUTED_VALUE"""),1.0)</f>
        <v>1</v>
      </c>
      <c r="F1738" s="108">
        <f>IFERROR(__xludf.DUMMYFUNCTION("""COMPUTED_VALUE"""),0.0)</f>
        <v>0</v>
      </c>
      <c r="G1738" s="16"/>
      <c r="H1738" s="16"/>
      <c r="I1738" s="16"/>
      <c r="J1738" s="16"/>
      <c r="K1738" s="16"/>
      <c r="L1738" s="16"/>
      <c r="M1738" s="16"/>
      <c r="N1738" s="16"/>
      <c r="O1738" s="16"/>
      <c r="P1738" s="16"/>
      <c r="Q1738" s="16"/>
      <c r="R1738" s="16"/>
      <c r="S1738" s="16"/>
      <c r="T1738" s="16"/>
      <c r="U1738" s="16"/>
      <c r="V1738" s="16"/>
      <c r="W1738" s="16"/>
      <c r="X1738" s="16"/>
      <c r="Y1738" s="16"/>
      <c r="Z1738" s="16"/>
      <c r="AA1738" s="16"/>
      <c r="AB1738" s="16"/>
      <c r="AC1738" s="16"/>
      <c r="AD1738" s="16"/>
      <c r="AE1738" s="16"/>
      <c r="AF1738" s="16"/>
      <c r="AG1738" s="16"/>
      <c r="AH1738" s="16" t="b">
        <f>IFERROR(__xludf.DUMMYFUNCTION("""COMPUTED_VALUE"""),FALSE)</f>
        <v>0</v>
      </c>
    </row>
    <row r="1739">
      <c r="A1739" s="16"/>
      <c r="B1739" s="16"/>
      <c r="C1739" s="16"/>
      <c r="D1739" s="16"/>
      <c r="E1739" s="16">
        <f>IFERROR(__xludf.DUMMYFUNCTION("""COMPUTED_VALUE"""),1.0)</f>
        <v>1</v>
      </c>
      <c r="F1739" s="108">
        <f>IFERROR(__xludf.DUMMYFUNCTION("""COMPUTED_VALUE"""),0.0)</f>
        <v>0</v>
      </c>
      <c r="G1739" s="16"/>
      <c r="H1739" s="16"/>
      <c r="I1739" s="16"/>
      <c r="J1739" s="16"/>
      <c r="K1739" s="16"/>
      <c r="L1739" s="16"/>
      <c r="M1739" s="16"/>
      <c r="N1739" s="16"/>
      <c r="O1739" s="16"/>
      <c r="P1739" s="16"/>
      <c r="Q1739" s="16"/>
      <c r="R1739" s="16"/>
      <c r="S1739" s="16"/>
      <c r="T1739" s="16"/>
      <c r="U1739" s="16"/>
      <c r="V1739" s="16"/>
      <c r="W1739" s="16"/>
      <c r="X1739" s="16"/>
      <c r="Y1739" s="16"/>
      <c r="Z1739" s="16"/>
      <c r="AA1739" s="16"/>
      <c r="AB1739" s="16"/>
      <c r="AC1739" s="16"/>
      <c r="AD1739" s="16"/>
      <c r="AE1739" s="16"/>
      <c r="AF1739" s="16"/>
      <c r="AG1739" s="16"/>
      <c r="AH1739" s="16" t="b">
        <f>IFERROR(__xludf.DUMMYFUNCTION("""COMPUTED_VALUE"""),FALSE)</f>
        <v>0</v>
      </c>
    </row>
    <row r="1740">
      <c r="A1740" s="16"/>
      <c r="B1740" s="16"/>
      <c r="C1740" s="16"/>
      <c r="D1740" s="16"/>
      <c r="E1740" s="16">
        <f>IFERROR(__xludf.DUMMYFUNCTION("""COMPUTED_VALUE"""),1.0)</f>
        <v>1</v>
      </c>
      <c r="F1740" s="108">
        <f>IFERROR(__xludf.DUMMYFUNCTION("""COMPUTED_VALUE"""),0.0)</f>
        <v>0</v>
      </c>
      <c r="G1740" s="16"/>
      <c r="H1740" s="16"/>
      <c r="I1740" s="16"/>
      <c r="J1740" s="16"/>
      <c r="K1740" s="16"/>
      <c r="L1740" s="16"/>
      <c r="M1740" s="16"/>
      <c r="N1740" s="16"/>
      <c r="O1740" s="16"/>
      <c r="P1740" s="16"/>
      <c r="Q1740" s="16"/>
      <c r="R1740" s="16"/>
      <c r="S1740" s="16"/>
      <c r="T1740" s="16"/>
      <c r="U1740" s="16"/>
      <c r="V1740" s="16"/>
      <c r="W1740" s="16"/>
      <c r="X1740" s="16"/>
      <c r="Y1740" s="16"/>
      <c r="Z1740" s="16"/>
      <c r="AA1740" s="16"/>
      <c r="AB1740" s="16"/>
      <c r="AC1740" s="16"/>
      <c r="AD1740" s="16"/>
      <c r="AE1740" s="16"/>
      <c r="AF1740" s="16"/>
      <c r="AG1740" s="16"/>
      <c r="AH1740" s="16" t="b">
        <f>IFERROR(__xludf.DUMMYFUNCTION("""COMPUTED_VALUE"""),FALSE)</f>
        <v>0</v>
      </c>
    </row>
    <row r="1741">
      <c r="A1741" s="16"/>
      <c r="B1741" s="16"/>
      <c r="C1741" s="16"/>
      <c r="D1741" s="16"/>
      <c r="E1741" s="16">
        <f>IFERROR(__xludf.DUMMYFUNCTION("""COMPUTED_VALUE"""),1.0)</f>
        <v>1</v>
      </c>
      <c r="F1741" s="108">
        <f>IFERROR(__xludf.DUMMYFUNCTION("""COMPUTED_VALUE"""),0.0)</f>
        <v>0</v>
      </c>
      <c r="G1741" s="16"/>
      <c r="H1741" s="16"/>
      <c r="I1741" s="16"/>
      <c r="J1741" s="16"/>
      <c r="K1741" s="16"/>
      <c r="L1741" s="16"/>
      <c r="M1741" s="16"/>
      <c r="N1741" s="16"/>
      <c r="O1741" s="16"/>
      <c r="P1741" s="16"/>
      <c r="Q1741" s="16"/>
      <c r="R1741" s="16"/>
      <c r="S1741" s="16"/>
      <c r="T1741" s="16"/>
      <c r="U1741" s="16"/>
      <c r="V1741" s="16"/>
      <c r="W1741" s="16"/>
      <c r="X1741" s="16"/>
      <c r="Y1741" s="16"/>
      <c r="Z1741" s="16"/>
      <c r="AA1741" s="16"/>
      <c r="AB1741" s="16"/>
      <c r="AC1741" s="16"/>
      <c r="AD1741" s="16"/>
      <c r="AE1741" s="16"/>
      <c r="AF1741" s="16"/>
      <c r="AG1741" s="16"/>
      <c r="AH1741" s="16" t="b">
        <f>IFERROR(__xludf.DUMMYFUNCTION("""COMPUTED_VALUE"""),FALSE)</f>
        <v>0</v>
      </c>
    </row>
    <row r="1742">
      <c r="A1742" s="16"/>
      <c r="B1742" s="16"/>
      <c r="C1742" s="16"/>
      <c r="D1742" s="16"/>
      <c r="E1742" s="16">
        <f>IFERROR(__xludf.DUMMYFUNCTION("""COMPUTED_VALUE"""),1.0)</f>
        <v>1</v>
      </c>
      <c r="F1742" s="108">
        <f>IFERROR(__xludf.DUMMYFUNCTION("""COMPUTED_VALUE"""),0.0)</f>
        <v>0</v>
      </c>
      <c r="G1742" s="16"/>
      <c r="H1742" s="16"/>
      <c r="I1742" s="16"/>
      <c r="J1742" s="16"/>
      <c r="K1742" s="16"/>
      <c r="L1742" s="16"/>
      <c r="M1742" s="16"/>
      <c r="N1742" s="16"/>
      <c r="O1742" s="16"/>
      <c r="P1742" s="16"/>
      <c r="Q1742" s="16"/>
      <c r="R1742" s="16"/>
      <c r="S1742" s="16"/>
      <c r="T1742" s="16"/>
      <c r="U1742" s="16"/>
      <c r="V1742" s="16"/>
      <c r="W1742" s="16"/>
      <c r="X1742" s="16"/>
      <c r="Y1742" s="16"/>
      <c r="Z1742" s="16"/>
      <c r="AA1742" s="16"/>
      <c r="AB1742" s="16"/>
      <c r="AC1742" s="16"/>
      <c r="AD1742" s="16"/>
      <c r="AE1742" s="16"/>
      <c r="AF1742" s="16"/>
      <c r="AG1742" s="16"/>
      <c r="AH1742" s="16" t="b">
        <f>IFERROR(__xludf.DUMMYFUNCTION("""COMPUTED_VALUE"""),FALSE)</f>
        <v>0</v>
      </c>
    </row>
    <row r="1743">
      <c r="A1743" s="16"/>
      <c r="B1743" s="16"/>
      <c r="C1743" s="16"/>
      <c r="D1743" s="16"/>
      <c r="E1743" s="16">
        <f>IFERROR(__xludf.DUMMYFUNCTION("""COMPUTED_VALUE"""),1.0)</f>
        <v>1</v>
      </c>
      <c r="F1743" s="108">
        <f>IFERROR(__xludf.DUMMYFUNCTION("""COMPUTED_VALUE"""),0.0)</f>
        <v>0</v>
      </c>
      <c r="G1743" s="16"/>
      <c r="H1743" s="16"/>
      <c r="I1743" s="16"/>
      <c r="J1743" s="16"/>
      <c r="K1743" s="16"/>
      <c r="L1743" s="16"/>
      <c r="M1743" s="16"/>
      <c r="N1743" s="16"/>
      <c r="O1743" s="16"/>
      <c r="P1743" s="16"/>
      <c r="Q1743" s="16"/>
      <c r="R1743" s="16"/>
      <c r="S1743" s="16"/>
      <c r="T1743" s="16"/>
      <c r="U1743" s="16"/>
      <c r="V1743" s="16"/>
      <c r="W1743" s="16"/>
      <c r="X1743" s="16"/>
      <c r="Y1743" s="16"/>
      <c r="Z1743" s="16"/>
      <c r="AA1743" s="16"/>
      <c r="AB1743" s="16"/>
      <c r="AC1743" s="16"/>
      <c r="AD1743" s="16"/>
      <c r="AE1743" s="16"/>
      <c r="AF1743" s="16"/>
      <c r="AG1743" s="16"/>
      <c r="AH1743" s="16" t="b">
        <f>IFERROR(__xludf.DUMMYFUNCTION("""COMPUTED_VALUE"""),FALSE)</f>
        <v>0</v>
      </c>
    </row>
    <row r="1744">
      <c r="A1744" s="16"/>
      <c r="B1744" s="16"/>
      <c r="C1744" s="16"/>
      <c r="D1744" s="16"/>
      <c r="E1744" s="16">
        <f>IFERROR(__xludf.DUMMYFUNCTION("""COMPUTED_VALUE"""),1.0)</f>
        <v>1</v>
      </c>
      <c r="F1744" s="108">
        <f>IFERROR(__xludf.DUMMYFUNCTION("""COMPUTED_VALUE"""),0.0)</f>
        <v>0</v>
      </c>
      <c r="G1744" s="16"/>
      <c r="H1744" s="16"/>
      <c r="I1744" s="16"/>
      <c r="J1744" s="16"/>
      <c r="K1744" s="16"/>
      <c r="L1744" s="16"/>
      <c r="M1744" s="16"/>
      <c r="N1744" s="16"/>
      <c r="O1744" s="16"/>
      <c r="P1744" s="16"/>
      <c r="Q1744" s="16"/>
      <c r="R1744" s="16"/>
      <c r="S1744" s="16"/>
      <c r="T1744" s="16"/>
      <c r="U1744" s="16"/>
      <c r="V1744" s="16"/>
      <c r="W1744" s="16"/>
      <c r="X1744" s="16"/>
      <c r="Y1744" s="16"/>
      <c r="Z1744" s="16"/>
      <c r="AA1744" s="16"/>
      <c r="AB1744" s="16"/>
      <c r="AC1744" s="16"/>
      <c r="AD1744" s="16"/>
      <c r="AE1744" s="16"/>
      <c r="AF1744" s="16"/>
      <c r="AG1744" s="16"/>
      <c r="AH1744" s="16" t="b">
        <f>IFERROR(__xludf.DUMMYFUNCTION("""COMPUTED_VALUE"""),FALSE)</f>
        <v>0</v>
      </c>
    </row>
    <row r="1745">
      <c r="A1745" s="16"/>
      <c r="B1745" s="16"/>
      <c r="C1745" s="16"/>
      <c r="D1745" s="16"/>
      <c r="E1745" s="16">
        <f>IFERROR(__xludf.DUMMYFUNCTION("""COMPUTED_VALUE"""),1.0)</f>
        <v>1</v>
      </c>
      <c r="F1745" s="108">
        <f>IFERROR(__xludf.DUMMYFUNCTION("""COMPUTED_VALUE"""),0.0)</f>
        <v>0</v>
      </c>
      <c r="G1745" s="16"/>
      <c r="H1745" s="16"/>
      <c r="I1745" s="16"/>
      <c r="J1745" s="16"/>
      <c r="K1745" s="16"/>
      <c r="L1745" s="16"/>
      <c r="M1745" s="16"/>
      <c r="N1745" s="16"/>
      <c r="O1745" s="16"/>
      <c r="P1745" s="16"/>
      <c r="Q1745" s="16"/>
      <c r="R1745" s="16"/>
      <c r="S1745" s="16"/>
      <c r="T1745" s="16"/>
      <c r="U1745" s="16"/>
      <c r="V1745" s="16"/>
      <c r="W1745" s="16"/>
      <c r="X1745" s="16"/>
      <c r="Y1745" s="16"/>
      <c r="Z1745" s="16"/>
      <c r="AA1745" s="16"/>
      <c r="AB1745" s="16"/>
      <c r="AC1745" s="16"/>
      <c r="AD1745" s="16"/>
      <c r="AE1745" s="16"/>
      <c r="AF1745" s="16"/>
      <c r="AG1745" s="16"/>
      <c r="AH1745" s="16" t="b">
        <f>IFERROR(__xludf.DUMMYFUNCTION("""COMPUTED_VALUE"""),FALSE)</f>
        <v>0</v>
      </c>
    </row>
    <row r="1746">
      <c r="A1746" s="16"/>
      <c r="B1746" s="16"/>
      <c r="C1746" s="16"/>
      <c r="D1746" s="16"/>
      <c r="E1746" s="16">
        <f>IFERROR(__xludf.DUMMYFUNCTION("""COMPUTED_VALUE"""),1.0)</f>
        <v>1</v>
      </c>
      <c r="F1746" s="108">
        <f>IFERROR(__xludf.DUMMYFUNCTION("""COMPUTED_VALUE"""),0.0)</f>
        <v>0</v>
      </c>
      <c r="G1746" s="16"/>
      <c r="H1746" s="16"/>
      <c r="I1746" s="16"/>
      <c r="J1746" s="16"/>
      <c r="K1746" s="16"/>
      <c r="L1746" s="16"/>
      <c r="M1746" s="16"/>
      <c r="N1746" s="16"/>
      <c r="O1746" s="16"/>
      <c r="P1746" s="16"/>
      <c r="Q1746" s="16"/>
      <c r="R1746" s="16"/>
      <c r="S1746" s="16"/>
      <c r="T1746" s="16"/>
      <c r="U1746" s="16"/>
      <c r="V1746" s="16"/>
      <c r="W1746" s="16"/>
      <c r="X1746" s="16"/>
      <c r="Y1746" s="16"/>
      <c r="Z1746" s="16"/>
      <c r="AA1746" s="16"/>
      <c r="AB1746" s="16"/>
      <c r="AC1746" s="16"/>
      <c r="AD1746" s="16"/>
      <c r="AE1746" s="16"/>
      <c r="AF1746" s="16"/>
      <c r="AG1746" s="16"/>
      <c r="AH1746" s="16" t="b">
        <f>IFERROR(__xludf.DUMMYFUNCTION("""COMPUTED_VALUE"""),FALSE)</f>
        <v>0</v>
      </c>
    </row>
    <row r="1747">
      <c r="A1747" s="16"/>
      <c r="B1747" s="16"/>
      <c r="C1747" s="16"/>
      <c r="D1747" s="16"/>
      <c r="E1747" s="16">
        <f>IFERROR(__xludf.DUMMYFUNCTION("""COMPUTED_VALUE"""),1.0)</f>
        <v>1</v>
      </c>
      <c r="F1747" s="108">
        <f>IFERROR(__xludf.DUMMYFUNCTION("""COMPUTED_VALUE"""),0.0)</f>
        <v>0</v>
      </c>
      <c r="G1747" s="16"/>
      <c r="H1747" s="16"/>
      <c r="I1747" s="16"/>
      <c r="J1747" s="16"/>
      <c r="K1747" s="16"/>
      <c r="L1747" s="16"/>
      <c r="M1747" s="16"/>
      <c r="N1747" s="16"/>
      <c r="O1747" s="16"/>
      <c r="P1747" s="16"/>
      <c r="Q1747" s="16"/>
      <c r="R1747" s="16"/>
      <c r="S1747" s="16"/>
      <c r="T1747" s="16"/>
      <c r="U1747" s="16"/>
      <c r="V1747" s="16"/>
      <c r="W1747" s="16"/>
      <c r="X1747" s="16"/>
      <c r="Y1747" s="16"/>
      <c r="Z1747" s="16"/>
      <c r="AA1747" s="16"/>
      <c r="AB1747" s="16"/>
      <c r="AC1747" s="16"/>
      <c r="AD1747" s="16"/>
      <c r="AE1747" s="16"/>
      <c r="AF1747" s="16"/>
      <c r="AG1747" s="16"/>
      <c r="AH1747" s="16" t="b">
        <f>IFERROR(__xludf.DUMMYFUNCTION("""COMPUTED_VALUE"""),FALSE)</f>
        <v>0</v>
      </c>
    </row>
    <row r="1748">
      <c r="A1748" s="16"/>
      <c r="B1748" s="16"/>
      <c r="C1748" s="16"/>
      <c r="D1748" s="16"/>
      <c r="E1748" s="16">
        <f>IFERROR(__xludf.DUMMYFUNCTION("""COMPUTED_VALUE"""),1.0)</f>
        <v>1</v>
      </c>
      <c r="F1748" s="108">
        <f>IFERROR(__xludf.DUMMYFUNCTION("""COMPUTED_VALUE"""),0.0)</f>
        <v>0</v>
      </c>
      <c r="G1748" s="16"/>
      <c r="H1748" s="16"/>
      <c r="I1748" s="16"/>
      <c r="J1748" s="16"/>
      <c r="K1748" s="16"/>
      <c r="L1748" s="16"/>
      <c r="M1748" s="16"/>
      <c r="N1748" s="16"/>
      <c r="O1748" s="16"/>
      <c r="P1748" s="16"/>
      <c r="Q1748" s="16"/>
      <c r="R1748" s="16"/>
      <c r="S1748" s="16"/>
      <c r="T1748" s="16"/>
      <c r="U1748" s="16"/>
      <c r="V1748" s="16"/>
      <c r="W1748" s="16"/>
      <c r="X1748" s="16"/>
      <c r="Y1748" s="16"/>
      <c r="Z1748" s="16"/>
      <c r="AA1748" s="16"/>
      <c r="AB1748" s="16"/>
      <c r="AC1748" s="16"/>
      <c r="AD1748" s="16"/>
      <c r="AE1748" s="16"/>
      <c r="AF1748" s="16"/>
      <c r="AG1748" s="16"/>
      <c r="AH1748" s="16" t="b">
        <f>IFERROR(__xludf.DUMMYFUNCTION("""COMPUTED_VALUE"""),FALSE)</f>
        <v>0</v>
      </c>
    </row>
    <row r="1749">
      <c r="A1749" s="16"/>
      <c r="B1749" s="16"/>
      <c r="C1749" s="16"/>
      <c r="D1749" s="16"/>
      <c r="E1749" s="16">
        <f>IFERROR(__xludf.DUMMYFUNCTION("""COMPUTED_VALUE"""),1.0)</f>
        <v>1</v>
      </c>
      <c r="F1749" s="108">
        <f>IFERROR(__xludf.DUMMYFUNCTION("""COMPUTED_VALUE"""),0.0)</f>
        <v>0</v>
      </c>
      <c r="G1749" s="16"/>
      <c r="H1749" s="16"/>
      <c r="I1749" s="16"/>
      <c r="J1749" s="16"/>
      <c r="K1749" s="16"/>
      <c r="L1749" s="16"/>
      <c r="M1749" s="16"/>
      <c r="N1749" s="16"/>
      <c r="O1749" s="16"/>
      <c r="P1749" s="16"/>
      <c r="Q1749" s="16"/>
      <c r="R1749" s="16"/>
      <c r="S1749" s="16"/>
      <c r="T1749" s="16"/>
      <c r="U1749" s="16"/>
      <c r="V1749" s="16"/>
      <c r="W1749" s="16"/>
      <c r="X1749" s="16"/>
      <c r="Y1749" s="16"/>
      <c r="Z1749" s="16"/>
      <c r="AA1749" s="16"/>
      <c r="AB1749" s="16"/>
      <c r="AC1749" s="16"/>
      <c r="AD1749" s="16"/>
      <c r="AE1749" s="16"/>
      <c r="AF1749" s="16"/>
      <c r="AG1749" s="16"/>
      <c r="AH1749" s="16" t="b">
        <f>IFERROR(__xludf.DUMMYFUNCTION("""COMPUTED_VALUE"""),FALSE)</f>
        <v>0</v>
      </c>
    </row>
    <row r="1750">
      <c r="A1750" s="16"/>
      <c r="B1750" s="16"/>
      <c r="C1750" s="16"/>
      <c r="D1750" s="16"/>
      <c r="E1750" s="16">
        <f>IFERROR(__xludf.DUMMYFUNCTION("""COMPUTED_VALUE"""),1.0)</f>
        <v>1</v>
      </c>
      <c r="F1750" s="108">
        <f>IFERROR(__xludf.DUMMYFUNCTION("""COMPUTED_VALUE"""),0.0)</f>
        <v>0</v>
      </c>
      <c r="G1750" s="16"/>
      <c r="H1750" s="16"/>
      <c r="I1750" s="16"/>
      <c r="J1750" s="16"/>
      <c r="K1750" s="16"/>
      <c r="L1750" s="16"/>
      <c r="M1750" s="16"/>
      <c r="N1750" s="16"/>
      <c r="O1750" s="16"/>
      <c r="P1750" s="16"/>
      <c r="Q1750" s="16"/>
      <c r="R1750" s="16"/>
      <c r="S1750" s="16"/>
      <c r="T1750" s="16"/>
      <c r="U1750" s="16"/>
      <c r="V1750" s="16"/>
      <c r="W1750" s="16"/>
      <c r="X1750" s="16"/>
      <c r="Y1750" s="16"/>
      <c r="Z1750" s="16"/>
      <c r="AA1750" s="16"/>
      <c r="AB1750" s="16"/>
      <c r="AC1750" s="16"/>
      <c r="AD1750" s="16"/>
      <c r="AE1750" s="16"/>
      <c r="AF1750" s="16"/>
      <c r="AG1750" s="16"/>
      <c r="AH1750" s="16" t="b">
        <f>IFERROR(__xludf.DUMMYFUNCTION("""COMPUTED_VALUE"""),FALSE)</f>
        <v>0</v>
      </c>
    </row>
    <row r="1751">
      <c r="A1751" s="16"/>
      <c r="B1751" s="16"/>
      <c r="C1751" s="16"/>
      <c r="D1751" s="16"/>
      <c r="E1751" s="16">
        <f>IFERROR(__xludf.DUMMYFUNCTION("""COMPUTED_VALUE"""),1.0)</f>
        <v>1</v>
      </c>
      <c r="F1751" s="108">
        <f>IFERROR(__xludf.DUMMYFUNCTION("""COMPUTED_VALUE"""),0.0)</f>
        <v>0</v>
      </c>
      <c r="G1751" s="16"/>
      <c r="H1751" s="16"/>
      <c r="I1751" s="16"/>
      <c r="J1751" s="16"/>
      <c r="K1751" s="16"/>
      <c r="L1751" s="16"/>
      <c r="M1751" s="16"/>
      <c r="N1751" s="16"/>
      <c r="O1751" s="16"/>
      <c r="P1751" s="16"/>
      <c r="Q1751" s="16"/>
      <c r="R1751" s="16"/>
      <c r="S1751" s="16"/>
      <c r="T1751" s="16"/>
      <c r="U1751" s="16"/>
      <c r="V1751" s="16"/>
      <c r="W1751" s="16"/>
      <c r="X1751" s="16"/>
      <c r="Y1751" s="16"/>
      <c r="Z1751" s="16"/>
      <c r="AA1751" s="16"/>
      <c r="AB1751" s="16"/>
      <c r="AC1751" s="16"/>
      <c r="AD1751" s="16"/>
      <c r="AE1751" s="16"/>
      <c r="AF1751" s="16"/>
      <c r="AG1751" s="16"/>
      <c r="AH1751" s="16" t="b">
        <f>IFERROR(__xludf.DUMMYFUNCTION("""COMPUTED_VALUE"""),FALSE)</f>
        <v>0</v>
      </c>
    </row>
    <row r="1752">
      <c r="A1752" s="16"/>
      <c r="B1752" s="16"/>
      <c r="C1752" s="16"/>
      <c r="D1752" s="16"/>
      <c r="E1752" s="16">
        <f>IFERROR(__xludf.DUMMYFUNCTION("""COMPUTED_VALUE"""),1.0)</f>
        <v>1</v>
      </c>
      <c r="F1752" s="108">
        <f>IFERROR(__xludf.DUMMYFUNCTION("""COMPUTED_VALUE"""),0.0)</f>
        <v>0</v>
      </c>
      <c r="G1752" s="16"/>
      <c r="H1752" s="16"/>
      <c r="I1752" s="16"/>
      <c r="J1752" s="16"/>
      <c r="K1752" s="16"/>
      <c r="L1752" s="16"/>
      <c r="M1752" s="16"/>
      <c r="N1752" s="16"/>
      <c r="O1752" s="16"/>
      <c r="P1752" s="16"/>
      <c r="Q1752" s="16"/>
      <c r="R1752" s="16"/>
      <c r="S1752" s="16"/>
      <c r="T1752" s="16"/>
      <c r="U1752" s="16"/>
      <c r="V1752" s="16"/>
      <c r="W1752" s="16"/>
      <c r="X1752" s="16"/>
      <c r="Y1752" s="16"/>
      <c r="Z1752" s="16"/>
      <c r="AA1752" s="16"/>
      <c r="AB1752" s="16"/>
      <c r="AC1752" s="16"/>
      <c r="AD1752" s="16"/>
      <c r="AE1752" s="16"/>
      <c r="AF1752" s="16"/>
      <c r="AG1752" s="16"/>
      <c r="AH1752" s="16" t="b">
        <f>IFERROR(__xludf.DUMMYFUNCTION("""COMPUTED_VALUE"""),FALSE)</f>
        <v>0</v>
      </c>
    </row>
    <row r="1753">
      <c r="A1753" s="16"/>
      <c r="B1753" s="16"/>
      <c r="C1753" s="16"/>
      <c r="D1753" s="16"/>
      <c r="E1753" s="16">
        <f>IFERROR(__xludf.DUMMYFUNCTION("""COMPUTED_VALUE"""),1.0)</f>
        <v>1</v>
      </c>
      <c r="F1753" s="108">
        <f>IFERROR(__xludf.DUMMYFUNCTION("""COMPUTED_VALUE"""),0.0)</f>
        <v>0</v>
      </c>
      <c r="G1753" s="16"/>
      <c r="H1753" s="16"/>
      <c r="I1753" s="16"/>
      <c r="J1753" s="16"/>
      <c r="K1753" s="16"/>
      <c r="L1753" s="16"/>
      <c r="M1753" s="16"/>
      <c r="N1753" s="16"/>
      <c r="O1753" s="16"/>
      <c r="P1753" s="16"/>
      <c r="Q1753" s="16"/>
      <c r="R1753" s="16"/>
      <c r="S1753" s="16"/>
      <c r="T1753" s="16"/>
      <c r="U1753" s="16"/>
      <c r="V1753" s="16"/>
      <c r="W1753" s="16"/>
      <c r="X1753" s="16"/>
      <c r="Y1753" s="16"/>
      <c r="Z1753" s="16"/>
      <c r="AA1753" s="16"/>
      <c r="AB1753" s="16"/>
      <c r="AC1753" s="16"/>
      <c r="AD1753" s="16"/>
      <c r="AE1753" s="16"/>
      <c r="AF1753" s="16"/>
      <c r="AG1753" s="16"/>
      <c r="AH1753" s="16" t="b">
        <f>IFERROR(__xludf.DUMMYFUNCTION("""COMPUTED_VALUE"""),FALSE)</f>
        <v>0</v>
      </c>
    </row>
    <row r="1754">
      <c r="A1754" s="16"/>
      <c r="B1754" s="16"/>
      <c r="C1754" s="16"/>
      <c r="D1754" s="16"/>
      <c r="E1754" s="16">
        <f>IFERROR(__xludf.DUMMYFUNCTION("""COMPUTED_VALUE"""),1.0)</f>
        <v>1</v>
      </c>
      <c r="F1754" s="108">
        <f>IFERROR(__xludf.DUMMYFUNCTION("""COMPUTED_VALUE"""),0.0)</f>
        <v>0</v>
      </c>
      <c r="G1754" s="16"/>
      <c r="H1754" s="16"/>
      <c r="I1754" s="16"/>
      <c r="J1754" s="16"/>
      <c r="K1754" s="16"/>
      <c r="L1754" s="16"/>
      <c r="M1754" s="16"/>
      <c r="N1754" s="16"/>
      <c r="O1754" s="16"/>
      <c r="P1754" s="16"/>
      <c r="Q1754" s="16"/>
      <c r="R1754" s="16"/>
      <c r="S1754" s="16"/>
      <c r="T1754" s="16"/>
      <c r="U1754" s="16"/>
      <c r="V1754" s="16"/>
      <c r="W1754" s="16"/>
      <c r="X1754" s="16"/>
      <c r="Y1754" s="16"/>
      <c r="Z1754" s="16"/>
      <c r="AA1754" s="16"/>
      <c r="AB1754" s="16"/>
      <c r="AC1754" s="16"/>
      <c r="AD1754" s="16"/>
      <c r="AE1754" s="16"/>
      <c r="AF1754" s="16"/>
      <c r="AG1754" s="16"/>
      <c r="AH1754" s="16" t="b">
        <f>IFERROR(__xludf.DUMMYFUNCTION("""COMPUTED_VALUE"""),FALSE)</f>
        <v>0</v>
      </c>
    </row>
    <row r="1755">
      <c r="A1755" s="16"/>
      <c r="B1755" s="16"/>
      <c r="C1755" s="16"/>
      <c r="D1755" s="16"/>
      <c r="E1755" s="16">
        <f>IFERROR(__xludf.DUMMYFUNCTION("""COMPUTED_VALUE"""),1.0)</f>
        <v>1</v>
      </c>
      <c r="F1755" s="108">
        <f>IFERROR(__xludf.DUMMYFUNCTION("""COMPUTED_VALUE"""),0.0)</f>
        <v>0</v>
      </c>
      <c r="G1755" s="16"/>
      <c r="H1755" s="16"/>
      <c r="I1755" s="16"/>
      <c r="J1755" s="16"/>
      <c r="K1755" s="16"/>
      <c r="L1755" s="16"/>
      <c r="M1755" s="16"/>
      <c r="N1755" s="16"/>
      <c r="O1755" s="16"/>
      <c r="P1755" s="16"/>
      <c r="Q1755" s="16"/>
      <c r="R1755" s="16"/>
      <c r="S1755" s="16"/>
      <c r="T1755" s="16"/>
      <c r="U1755" s="16"/>
      <c r="V1755" s="16"/>
      <c r="W1755" s="16"/>
      <c r="X1755" s="16"/>
      <c r="Y1755" s="16"/>
      <c r="Z1755" s="16"/>
      <c r="AA1755" s="16"/>
      <c r="AB1755" s="16"/>
      <c r="AC1755" s="16"/>
      <c r="AD1755" s="16"/>
      <c r="AE1755" s="16"/>
      <c r="AF1755" s="16"/>
      <c r="AG1755" s="16"/>
      <c r="AH1755" s="16" t="b">
        <f>IFERROR(__xludf.DUMMYFUNCTION("""COMPUTED_VALUE"""),FALSE)</f>
        <v>0</v>
      </c>
    </row>
    <row r="1756">
      <c r="A1756" s="16"/>
      <c r="B1756" s="16"/>
      <c r="C1756" s="16"/>
      <c r="D1756" s="16"/>
      <c r="E1756" s="16">
        <f>IFERROR(__xludf.DUMMYFUNCTION("""COMPUTED_VALUE"""),1.0)</f>
        <v>1</v>
      </c>
      <c r="F1756" s="108">
        <f>IFERROR(__xludf.DUMMYFUNCTION("""COMPUTED_VALUE"""),0.0)</f>
        <v>0</v>
      </c>
      <c r="G1756" s="16"/>
      <c r="H1756" s="16"/>
      <c r="I1756" s="16"/>
      <c r="J1756" s="16"/>
      <c r="K1756" s="16"/>
      <c r="L1756" s="16"/>
      <c r="M1756" s="16"/>
      <c r="N1756" s="16"/>
      <c r="O1756" s="16"/>
      <c r="P1756" s="16"/>
      <c r="Q1756" s="16"/>
      <c r="R1756" s="16"/>
      <c r="S1756" s="16"/>
      <c r="T1756" s="16"/>
      <c r="U1756" s="16"/>
      <c r="V1756" s="16"/>
      <c r="W1756" s="16"/>
      <c r="X1756" s="16"/>
      <c r="Y1756" s="16"/>
      <c r="Z1756" s="16"/>
      <c r="AA1756" s="16"/>
      <c r="AB1756" s="16"/>
      <c r="AC1756" s="16"/>
      <c r="AD1756" s="16"/>
      <c r="AE1756" s="16"/>
      <c r="AF1756" s="16"/>
      <c r="AG1756" s="16"/>
      <c r="AH1756" s="16" t="b">
        <f>IFERROR(__xludf.DUMMYFUNCTION("""COMPUTED_VALUE"""),FALSE)</f>
        <v>0</v>
      </c>
    </row>
    <row r="1757">
      <c r="A1757" s="16"/>
      <c r="B1757" s="16"/>
      <c r="C1757" s="16"/>
      <c r="D1757" s="16"/>
      <c r="E1757" s="16">
        <f>IFERROR(__xludf.DUMMYFUNCTION("""COMPUTED_VALUE"""),1.0)</f>
        <v>1</v>
      </c>
      <c r="F1757" s="108">
        <f>IFERROR(__xludf.DUMMYFUNCTION("""COMPUTED_VALUE"""),0.0)</f>
        <v>0</v>
      </c>
      <c r="G1757" s="16"/>
      <c r="H1757" s="16"/>
      <c r="I1757" s="16"/>
      <c r="J1757" s="16"/>
      <c r="K1757" s="16"/>
      <c r="L1757" s="16"/>
      <c r="M1757" s="16"/>
      <c r="N1757" s="16"/>
      <c r="O1757" s="16"/>
      <c r="P1757" s="16"/>
      <c r="Q1757" s="16"/>
      <c r="R1757" s="16"/>
      <c r="S1757" s="16"/>
      <c r="T1757" s="16"/>
      <c r="U1757" s="16"/>
      <c r="V1757" s="16"/>
      <c r="W1757" s="16"/>
      <c r="X1757" s="16"/>
      <c r="Y1757" s="16"/>
      <c r="Z1757" s="16"/>
      <c r="AA1757" s="16"/>
      <c r="AB1757" s="16"/>
      <c r="AC1757" s="16"/>
      <c r="AD1757" s="16"/>
      <c r="AE1757" s="16"/>
      <c r="AF1757" s="16"/>
      <c r="AG1757" s="16"/>
      <c r="AH1757" s="16" t="b">
        <f>IFERROR(__xludf.DUMMYFUNCTION("""COMPUTED_VALUE"""),FALSE)</f>
        <v>0</v>
      </c>
    </row>
    <row r="1758">
      <c r="A1758" s="16"/>
      <c r="B1758" s="16"/>
      <c r="C1758" s="16"/>
      <c r="D1758" s="16"/>
      <c r="E1758" s="16">
        <f>IFERROR(__xludf.DUMMYFUNCTION("""COMPUTED_VALUE"""),1.0)</f>
        <v>1</v>
      </c>
      <c r="F1758" s="108">
        <f>IFERROR(__xludf.DUMMYFUNCTION("""COMPUTED_VALUE"""),0.0)</f>
        <v>0</v>
      </c>
      <c r="G1758" s="16"/>
      <c r="H1758" s="16"/>
      <c r="I1758" s="16"/>
      <c r="J1758" s="16"/>
      <c r="K1758" s="16"/>
      <c r="L1758" s="16"/>
      <c r="M1758" s="16"/>
      <c r="N1758" s="16"/>
      <c r="O1758" s="16"/>
      <c r="P1758" s="16"/>
      <c r="Q1758" s="16"/>
      <c r="R1758" s="16"/>
      <c r="S1758" s="16"/>
      <c r="T1758" s="16"/>
      <c r="U1758" s="16"/>
      <c r="V1758" s="16"/>
      <c r="W1758" s="16"/>
      <c r="X1758" s="16"/>
      <c r="Y1758" s="16"/>
      <c r="Z1758" s="16"/>
      <c r="AA1758" s="16"/>
      <c r="AB1758" s="16"/>
      <c r="AC1758" s="16"/>
      <c r="AD1758" s="16"/>
      <c r="AE1758" s="16"/>
      <c r="AF1758" s="16"/>
      <c r="AG1758" s="16"/>
      <c r="AH1758" s="16" t="b">
        <f>IFERROR(__xludf.DUMMYFUNCTION("""COMPUTED_VALUE"""),FALSE)</f>
        <v>0</v>
      </c>
    </row>
    <row r="1759">
      <c r="A1759" s="16"/>
      <c r="B1759" s="16"/>
      <c r="C1759" s="16"/>
      <c r="D1759" s="16"/>
      <c r="E1759" s="16">
        <f>IFERROR(__xludf.DUMMYFUNCTION("""COMPUTED_VALUE"""),1.0)</f>
        <v>1</v>
      </c>
      <c r="F1759" s="108">
        <f>IFERROR(__xludf.DUMMYFUNCTION("""COMPUTED_VALUE"""),0.0)</f>
        <v>0</v>
      </c>
      <c r="G1759" s="16"/>
      <c r="H1759" s="16"/>
      <c r="I1759" s="16"/>
      <c r="J1759" s="16"/>
      <c r="K1759" s="16"/>
      <c r="L1759" s="16"/>
      <c r="M1759" s="16"/>
      <c r="N1759" s="16"/>
      <c r="O1759" s="16"/>
      <c r="P1759" s="16"/>
      <c r="Q1759" s="16"/>
      <c r="R1759" s="16"/>
      <c r="S1759" s="16"/>
      <c r="T1759" s="16"/>
      <c r="U1759" s="16"/>
      <c r="V1759" s="16"/>
      <c r="W1759" s="16"/>
      <c r="X1759" s="16"/>
      <c r="Y1759" s="16"/>
      <c r="Z1759" s="16"/>
      <c r="AA1759" s="16"/>
      <c r="AB1759" s="16"/>
      <c r="AC1759" s="16"/>
      <c r="AD1759" s="16"/>
      <c r="AE1759" s="16"/>
      <c r="AF1759" s="16"/>
      <c r="AG1759" s="16"/>
      <c r="AH1759" s="16" t="b">
        <f>IFERROR(__xludf.DUMMYFUNCTION("""COMPUTED_VALUE"""),FALSE)</f>
        <v>0</v>
      </c>
    </row>
    <row r="1760">
      <c r="A1760" s="16"/>
      <c r="B1760" s="16"/>
      <c r="C1760" s="16"/>
      <c r="D1760" s="16"/>
      <c r="E1760" s="16">
        <f>IFERROR(__xludf.DUMMYFUNCTION("""COMPUTED_VALUE"""),1.0)</f>
        <v>1</v>
      </c>
      <c r="F1760" s="108">
        <f>IFERROR(__xludf.DUMMYFUNCTION("""COMPUTED_VALUE"""),0.0)</f>
        <v>0</v>
      </c>
      <c r="G1760" s="16"/>
      <c r="H1760" s="16"/>
      <c r="I1760" s="16"/>
      <c r="J1760" s="16"/>
      <c r="K1760" s="16"/>
      <c r="L1760" s="16"/>
      <c r="M1760" s="16"/>
      <c r="N1760" s="16"/>
      <c r="O1760" s="16"/>
      <c r="P1760" s="16"/>
      <c r="Q1760" s="16"/>
      <c r="R1760" s="16"/>
      <c r="S1760" s="16"/>
      <c r="T1760" s="16"/>
      <c r="U1760" s="16"/>
      <c r="V1760" s="16"/>
      <c r="W1760" s="16"/>
      <c r="X1760" s="16"/>
      <c r="Y1760" s="16"/>
      <c r="Z1760" s="16"/>
      <c r="AA1760" s="16"/>
      <c r="AB1760" s="16"/>
      <c r="AC1760" s="16"/>
      <c r="AD1760" s="16"/>
      <c r="AE1760" s="16"/>
      <c r="AF1760" s="16"/>
      <c r="AG1760" s="16"/>
      <c r="AH1760" s="16" t="b">
        <f>IFERROR(__xludf.DUMMYFUNCTION("""COMPUTED_VALUE"""),FALSE)</f>
        <v>0</v>
      </c>
    </row>
    <row r="1761">
      <c r="A1761" s="16"/>
      <c r="B1761" s="16"/>
      <c r="C1761" s="16"/>
      <c r="D1761" s="16"/>
      <c r="E1761" s="16">
        <f>IFERROR(__xludf.DUMMYFUNCTION("""COMPUTED_VALUE"""),1.0)</f>
        <v>1</v>
      </c>
      <c r="F1761" s="108">
        <f>IFERROR(__xludf.DUMMYFUNCTION("""COMPUTED_VALUE"""),0.0)</f>
        <v>0</v>
      </c>
      <c r="G1761" s="16"/>
      <c r="H1761" s="16"/>
      <c r="I1761" s="16"/>
      <c r="J1761" s="16"/>
      <c r="K1761" s="16"/>
      <c r="L1761" s="16"/>
      <c r="M1761" s="16"/>
      <c r="N1761" s="16"/>
      <c r="O1761" s="16"/>
      <c r="P1761" s="16"/>
      <c r="Q1761" s="16"/>
      <c r="R1761" s="16"/>
      <c r="S1761" s="16"/>
      <c r="T1761" s="16"/>
      <c r="U1761" s="16"/>
      <c r="V1761" s="16"/>
      <c r="W1761" s="16"/>
      <c r="X1761" s="16"/>
      <c r="Y1761" s="16"/>
      <c r="Z1761" s="16"/>
      <c r="AA1761" s="16"/>
      <c r="AB1761" s="16"/>
      <c r="AC1761" s="16"/>
      <c r="AD1761" s="16"/>
      <c r="AE1761" s="16"/>
      <c r="AF1761" s="16"/>
      <c r="AG1761" s="16"/>
      <c r="AH1761" s="16" t="b">
        <f>IFERROR(__xludf.DUMMYFUNCTION("""COMPUTED_VALUE"""),FALSE)</f>
        <v>0</v>
      </c>
    </row>
    <row r="1762">
      <c r="A1762" s="16"/>
      <c r="B1762" s="16"/>
      <c r="C1762" s="16"/>
      <c r="D1762" s="16"/>
      <c r="E1762" s="16">
        <f>IFERROR(__xludf.DUMMYFUNCTION("""COMPUTED_VALUE"""),1.0)</f>
        <v>1</v>
      </c>
      <c r="F1762" s="108">
        <f>IFERROR(__xludf.DUMMYFUNCTION("""COMPUTED_VALUE"""),0.0)</f>
        <v>0</v>
      </c>
      <c r="G1762" s="16"/>
      <c r="H1762" s="16"/>
      <c r="I1762" s="16"/>
      <c r="J1762" s="16"/>
      <c r="K1762" s="16"/>
      <c r="L1762" s="16"/>
      <c r="M1762" s="16"/>
      <c r="N1762" s="16"/>
      <c r="O1762" s="16"/>
      <c r="P1762" s="16"/>
      <c r="Q1762" s="16"/>
      <c r="R1762" s="16"/>
      <c r="S1762" s="16"/>
      <c r="T1762" s="16"/>
      <c r="U1762" s="16"/>
      <c r="V1762" s="16"/>
      <c r="W1762" s="16"/>
      <c r="X1762" s="16"/>
      <c r="Y1762" s="16"/>
      <c r="Z1762" s="16"/>
      <c r="AA1762" s="16"/>
      <c r="AB1762" s="16"/>
      <c r="AC1762" s="16"/>
      <c r="AD1762" s="16"/>
      <c r="AE1762" s="16"/>
      <c r="AF1762" s="16"/>
      <c r="AG1762" s="16"/>
      <c r="AH1762" s="16" t="b">
        <f>IFERROR(__xludf.DUMMYFUNCTION("""COMPUTED_VALUE"""),FALSE)</f>
        <v>0</v>
      </c>
    </row>
    <row r="1763">
      <c r="A1763" s="16"/>
      <c r="B1763" s="16"/>
      <c r="C1763" s="16"/>
      <c r="D1763" s="16"/>
      <c r="E1763" s="16">
        <f>IFERROR(__xludf.DUMMYFUNCTION("""COMPUTED_VALUE"""),1.0)</f>
        <v>1</v>
      </c>
      <c r="F1763" s="108">
        <f>IFERROR(__xludf.DUMMYFUNCTION("""COMPUTED_VALUE"""),0.0)</f>
        <v>0</v>
      </c>
      <c r="G1763" s="16"/>
      <c r="H1763" s="16"/>
      <c r="I1763" s="16"/>
      <c r="J1763" s="16"/>
      <c r="K1763" s="16"/>
      <c r="L1763" s="16"/>
      <c r="M1763" s="16"/>
      <c r="N1763" s="16"/>
      <c r="O1763" s="16"/>
      <c r="P1763" s="16"/>
      <c r="Q1763" s="16"/>
      <c r="R1763" s="16"/>
      <c r="S1763" s="16"/>
      <c r="T1763" s="16"/>
      <c r="U1763" s="16"/>
      <c r="V1763" s="16"/>
      <c r="W1763" s="16"/>
      <c r="X1763" s="16"/>
      <c r="Y1763" s="16"/>
      <c r="Z1763" s="16"/>
      <c r="AA1763" s="16"/>
      <c r="AB1763" s="16"/>
      <c r="AC1763" s="16"/>
      <c r="AD1763" s="16"/>
      <c r="AE1763" s="16"/>
      <c r="AF1763" s="16"/>
      <c r="AG1763" s="16"/>
      <c r="AH1763" s="16" t="b">
        <f>IFERROR(__xludf.DUMMYFUNCTION("""COMPUTED_VALUE"""),FALSE)</f>
        <v>0</v>
      </c>
    </row>
    <row r="1764">
      <c r="A1764" s="16"/>
      <c r="B1764" s="16"/>
      <c r="C1764" s="16"/>
      <c r="D1764" s="16"/>
      <c r="E1764" s="16">
        <f>IFERROR(__xludf.DUMMYFUNCTION("""COMPUTED_VALUE"""),1.0)</f>
        <v>1</v>
      </c>
      <c r="F1764" s="108">
        <f>IFERROR(__xludf.DUMMYFUNCTION("""COMPUTED_VALUE"""),0.0)</f>
        <v>0</v>
      </c>
      <c r="G1764" s="16"/>
      <c r="H1764" s="16"/>
      <c r="I1764" s="16"/>
      <c r="J1764" s="16"/>
      <c r="K1764" s="16"/>
      <c r="L1764" s="16"/>
      <c r="M1764" s="16"/>
      <c r="N1764" s="16"/>
      <c r="O1764" s="16"/>
      <c r="P1764" s="16"/>
      <c r="Q1764" s="16"/>
      <c r="R1764" s="16"/>
      <c r="S1764" s="16"/>
      <c r="T1764" s="16"/>
      <c r="U1764" s="16"/>
      <c r="V1764" s="16"/>
      <c r="W1764" s="16"/>
      <c r="X1764" s="16"/>
      <c r="Y1764" s="16"/>
      <c r="Z1764" s="16"/>
      <c r="AA1764" s="16"/>
      <c r="AB1764" s="16"/>
      <c r="AC1764" s="16"/>
      <c r="AD1764" s="16"/>
      <c r="AE1764" s="16"/>
      <c r="AF1764" s="16"/>
      <c r="AG1764" s="16"/>
      <c r="AH1764" s="16" t="b">
        <f>IFERROR(__xludf.DUMMYFUNCTION("""COMPUTED_VALUE"""),FALSE)</f>
        <v>0</v>
      </c>
    </row>
    <row r="1765">
      <c r="A1765" s="16"/>
      <c r="B1765" s="16"/>
      <c r="C1765" s="16"/>
      <c r="D1765" s="16"/>
      <c r="E1765" s="16">
        <f>IFERROR(__xludf.DUMMYFUNCTION("""COMPUTED_VALUE"""),1.0)</f>
        <v>1</v>
      </c>
      <c r="F1765" s="108">
        <f>IFERROR(__xludf.DUMMYFUNCTION("""COMPUTED_VALUE"""),0.0)</f>
        <v>0</v>
      </c>
      <c r="G1765" s="16"/>
      <c r="H1765" s="16"/>
      <c r="I1765" s="16"/>
      <c r="J1765" s="16"/>
      <c r="K1765" s="16"/>
      <c r="L1765" s="16"/>
      <c r="M1765" s="16"/>
      <c r="N1765" s="16"/>
      <c r="O1765" s="16"/>
      <c r="P1765" s="16"/>
      <c r="Q1765" s="16"/>
      <c r="R1765" s="16"/>
      <c r="S1765" s="16"/>
      <c r="T1765" s="16"/>
      <c r="U1765" s="16"/>
      <c r="V1765" s="16"/>
      <c r="W1765" s="16"/>
      <c r="X1765" s="16"/>
      <c r="Y1765" s="16"/>
      <c r="Z1765" s="16"/>
      <c r="AA1765" s="16"/>
      <c r="AB1765" s="16"/>
      <c r="AC1765" s="16"/>
      <c r="AD1765" s="16"/>
      <c r="AE1765" s="16"/>
      <c r="AF1765" s="16"/>
      <c r="AG1765" s="16"/>
      <c r="AH1765" s="16" t="b">
        <f>IFERROR(__xludf.DUMMYFUNCTION("""COMPUTED_VALUE"""),FALSE)</f>
        <v>0</v>
      </c>
    </row>
    <row r="1766">
      <c r="A1766" s="16"/>
      <c r="B1766" s="16"/>
      <c r="C1766" s="16"/>
      <c r="D1766" s="16"/>
      <c r="E1766" s="16">
        <f>IFERROR(__xludf.DUMMYFUNCTION("""COMPUTED_VALUE"""),1.0)</f>
        <v>1</v>
      </c>
      <c r="F1766" s="108">
        <f>IFERROR(__xludf.DUMMYFUNCTION("""COMPUTED_VALUE"""),0.0)</f>
        <v>0</v>
      </c>
      <c r="G1766" s="16"/>
      <c r="H1766" s="16"/>
      <c r="I1766" s="16"/>
      <c r="J1766" s="16"/>
      <c r="K1766" s="16"/>
      <c r="L1766" s="16"/>
      <c r="M1766" s="16"/>
      <c r="N1766" s="16"/>
      <c r="O1766" s="16"/>
      <c r="P1766" s="16"/>
      <c r="Q1766" s="16"/>
      <c r="R1766" s="16"/>
      <c r="S1766" s="16"/>
      <c r="T1766" s="16"/>
      <c r="U1766" s="16"/>
      <c r="V1766" s="16"/>
      <c r="W1766" s="16"/>
      <c r="X1766" s="16"/>
      <c r="Y1766" s="16"/>
      <c r="Z1766" s="16"/>
      <c r="AA1766" s="16"/>
      <c r="AB1766" s="16"/>
      <c r="AC1766" s="16"/>
      <c r="AD1766" s="16"/>
      <c r="AE1766" s="16"/>
      <c r="AF1766" s="16"/>
      <c r="AG1766" s="16"/>
      <c r="AH1766" s="16" t="b">
        <f>IFERROR(__xludf.DUMMYFUNCTION("""COMPUTED_VALUE"""),FALSE)</f>
        <v>0</v>
      </c>
    </row>
    <row r="1767">
      <c r="A1767" s="16"/>
      <c r="B1767" s="16"/>
      <c r="C1767" s="16"/>
      <c r="D1767" s="16"/>
      <c r="E1767" s="16">
        <f>IFERROR(__xludf.DUMMYFUNCTION("""COMPUTED_VALUE"""),1.0)</f>
        <v>1</v>
      </c>
      <c r="F1767" s="108">
        <f>IFERROR(__xludf.DUMMYFUNCTION("""COMPUTED_VALUE"""),0.0)</f>
        <v>0</v>
      </c>
      <c r="G1767" s="16"/>
      <c r="H1767" s="16"/>
      <c r="I1767" s="16"/>
      <c r="J1767" s="16"/>
      <c r="K1767" s="16"/>
      <c r="L1767" s="16"/>
      <c r="M1767" s="16"/>
      <c r="N1767" s="16"/>
      <c r="O1767" s="16"/>
      <c r="P1767" s="16"/>
      <c r="Q1767" s="16"/>
      <c r="R1767" s="16"/>
      <c r="S1767" s="16"/>
      <c r="T1767" s="16"/>
      <c r="U1767" s="16"/>
      <c r="V1767" s="16"/>
      <c r="W1767" s="16"/>
      <c r="X1767" s="16"/>
      <c r="Y1767" s="16"/>
      <c r="Z1767" s="16"/>
      <c r="AA1767" s="16"/>
      <c r="AB1767" s="16"/>
      <c r="AC1767" s="16"/>
      <c r="AD1767" s="16"/>
      <c r="AE1767" s="16"/>
      <c r="AF1767" s="16"/>
      <c r="AG1767" s="16"/>
      <c r="AH1767" s="16" t="b">
        <f>IFERROR(__xludf.DUMMYFUNCTION("""COMPUTED_VALUE"""),FALSE)</f>
        <v>0</v>
      </c>
    </row>
    <row r="1768">
      <c r="A1768" s="16"/>
      <c r="B1768" s="16"/>
      <c r="C1768" s="16"/>
      <c r="D1768" s="16"/>
      <c r="E1768" s="16">
        <f>IFERROR(__xludf.DUMMYFUNCTION("""COMPUTED_VALUE"""),1.0)</f>
        <v>1</v>
      </c>
      <c r="F1768" s="108">
        <f>IFERROR(__xludf.DUMMYFUNCTION("""COMPUTED_VALUE"""),0.0)</f>
        <v>0</v>
      </c>
      <c r="G1768" s="16"/>
      <c r="H1768" s="16"/>
      <c r="I1768" s="16"/>
      <c r="J1768" s="16"/>
      <c r="K1768" s="16"/>
      <c r="L1768" s="16"/>
      <c r="M1768" s="16"/>
      <c r="N1768" s="16"/>
      <c r="O1768" s="16"/>
      <c r="P1768" s="16"/>
      <c r="Q1768" s="16"/>
      <c r="R1768" s="16"/>
      <c r="S1768" s="16"/>
      <c r="T1768" s="16"/>
      <c r="U1768" s="16"/>
      <c r="V1768" s="16"/>
      <c r="W1768" s="16"/>
      <c r="X1768" s="16"/>
      <c r="Y1768" s="16"/>
      <c r="Z1768" s="16"/>
      <c r="AA1768" s="16"/>
      <c r="AB1768" s="16"/>
      <c r="AC1768" s="16"/>
      <c r="AD1768" s="16"/>
      <c r="AE1768" s="16"/>
      <c r="AF1768" s="16"/>
      <c r="AG1768" s="16"/>
      <c r="AH1768" s="16" t="b">
        <f>IFERROR(__xludf.DUMMYFUNCTION("""COMPUTED_VALUE"""),FALSE)</f>
        <v>0</v>
      </c>
    </row>
    <row r="1769">
      <c r="A1769" s="16"/>
      <c r="B1769" s="16"/>
      <c r="C1769" s="16"/>
      <c r="D1769" s="16"/>
      <c r="E1769" s="16">
        <f>IFERROR(__xludf.DUMMYFUNCTION("""COMPUTED_VALUE"""),1.0)</f>
        <v>1</v>
      </c>
      <c r="F1769" s="108">
        <f>IFERROR(__xludf.DUMMYFUNCTION("""COMPUTED_VALUE"""),0.0)</f>
        <v>0</v>
      </c>
      <c r="G1769" s="16"/>
      <c r="H1769" s="16"/>
      <c r="I1769" s="16"/>
      <c r="J1769" s="16"/>
      <c r="K1769" s="16"/>
      <c r="L1769" s="16"/>
      <c r="M1769" s="16"/>
      <c r="N1769" s="16"/>
      <c r="O1769" s="16"/>
      <c r="P1769" s="16"/>
      <c r="Q1769" s="16"/>
      <c r="R1769" s="16"/>
      <c r="S1769" s="16"/>
      <c r="T1769" s="16"/>
      <c r="U1769" s="16"/>
      <c r="V1769" s="16"/>
      <c r="W1769" s="16"/>
      <c r="X1769" s="16"/>
      <c r="Y1769" s="16"/>
      <c r="Z1769" s="16"/>
      <c r="AA1769" s="16"/>
      <c r="AB1769" s="16"/>
      <c r="AC1769" s="16"/>
      <c r="AD1769" s="16"/>
      <c r="AE1769" s="16"/>
      <c r="AF1769" s="16"/>
      <c r="AG1769" s="16"/>
      <c r="AH1769" s="16" t="b">
        <f>IFERROR(__xludf.DUMMYFUNCTION("""COMPUTED_VALUE"""),FALSE)</f>
        <v>0</v>
      </c>
    </row>
    <row r="1770">
      <c r="A1770" s="16"/>
      <c r="B1770" s="16"/>
      <c r="C1770" s="16"/>
      <c r="D1770" s="16"/>
      <c r="E1770" s="16">
        <f>IFERROR(__xludf.DUMMYFUNCTION("""COMPUTED_VALUE"""),1.0)</f>
        <v>1</v>
      </c>
      <c r="F1770" s="108">
        <f>IFERROR(__xludf.DUMMYFUNCTION("""COMPUTED_VALUE"""),0.0)</f>
        <v>0</v>
      </c>
      <c r="G1770" s="16"/>
      <c r="H1770" s="16"/>
      <c r="I1770" s="16"/>
      <c r="J1770" s="16"/>
      <c r="K1770" s="16"/>
      <c r="L1770" s="16"/>
      <c r="M1770" s="16"/>
      <c r="N1770" s="16"/>
      <c r="O1770" s="16"/>
      <c r="P1770" s="16"/>
      <c r="Q1770" s="16"/>
      <c r="R1770" s="16"/>
      <c r="S1770" s="16"/>
      <c r="T1770" s="16"/>
      <c r="U1770" s="16"/>
      <c r="V1770" s="16"/>
      <c r="W1770" s="16"/>
      <c r="X1770" s="16"/>
      <c r="Y1770" s="16"/>
      <c r="Z1770" s="16"/>
      <c r="AA1770" s="16"/>
      <c r="AB1770" s="16"/>
      <c r="AC1770" s="16"/>
      <c r="AD1770" s="16"/>
      <c r="AE1770" s="16"/>
      <c r="AF1770" s="16"/>
      <c r="AG1770" s="16"/>
      <c r="AH1770" s="16" t="b">
        <f>IFERROR(__xludf.DUMMYFUNCTION("""COMPUTED_VALUE"""),FALSE)</f>
        <v>0</v>
      </c>
    </row>
    <row r="1771">
      <c r="A1771" s="16"/>
      <c r="B1771" s="16"/>
      <c r="C1771" s="16"/>
      <c r="D1771" s="16"/>
      <c r="E1771" s="16">
        <f>IFERROR(__xludf.DUMMYFUNCTION("""COMPUTED_VALUE"""),1.0)</f>
        <v>1</v>
      </c>
      <c r="F1771" s="108">
        <f>IFERROR(__xludf.DUMMYFUNCTION("""COMPUTED_VALUE"""),0.0)</f>
        <v>0</v>
      </c>
      <c r="G1771" s="16"/>
      <c r="H1771" s="16"/>
      <c r="I1771" s="16"/>
      <c r="J1771" s="16"/>
      <c r="K1771" s="16"/>
      <c r="L1771" s="16"/>
      <c r="M1771" s="16"/>
      <c r="N1771" s="16"/>
      <c r="O1771" s="16"/>
      <c r="P1771" s="16"/>
      <c r="Q1771" s="16"/>
      <c r="R1771" s="16"/>
      <c r="S1771" s="16"/>
      <c r="T1771" s="16"/>
      <c r="U1771" s="16"/>
      <c r="V1771" s="16"/>
      <c r="W1771" s="16"/>
      <c r="X1771" s="16"/>
      <c r="Y1771" s="16"/>
      <c r="Z1771" s="16"/>
      <c r="AA1771" s="16"/>
      <c r="AB1771" s="16"/>
      <c r="AC1771" s="16"/>
      <c r="AD1771" s="16"/>
      <c r="AE1771" s="16"/>
      <c r="AF1771" s="16"/>
      <c r="AG1771" s="16"/>
      <c r="AH1771" s="16" t="b">
        <f>IFERROR(__xludf.DUMMYFUNCTION("""COMPUTED_VALUE"""),FALSE)</f>
        <v>0</v>
      </c>
    </row>
    <row r="1772">
      <c r="A1772" s="16"/>
      <c r="B1772" s="16"/>
      <c r="C1772" s="16"/>
      <c r="D1772" s="16"/>
      <c r="E1772" s="16">
        <f>IFERROR(__xludf.DUMMYFUNCTION("""COMPUTED_VALUE"""),1.0)</f>
        <v>1</v>
      </c>
      <c r="F1772" s="108">
        <f>IFERROR(__xludf.DUMMYFUNCTION("""COMPUTED_VALUE"""),0.0)</f>
        <v>0</v>
      </c>
      <c r="G1772" s="16"/>
      <c r="H1772" s="16"/>
      <c r="I1772" s="16"/>
      <c r="J1772" s="16"/>
      <c r="K1772" s="16"/>
      <c r="L1772" s="16"/>
      <c r="M1772" s="16"/>
      <c r="N1772" s="16"/>
      <c r="O1772" s="16"/>
      <c r="P1772" s="16"/>
      <c r="Q1772" s="16"/>
      <c r="R1772" s="16"/>
      <c r="S1772" s="16"/>
      <c r="T1772" s="16"/>
      <c r="U1772" s="16"/>
      <c r="V1772" s="16"/>
      <c r="W1772" s="16"/>
      <c r="X1772" s="16"/>
      <c r="Y1772" s="16"/>
      <c r="Z1772" s="16"/>
      <c r="AA1772" s="16"/>
      <c r="AB1772" s="16"/>
      <c r="AC1772" s="16"/>
      <c r="AD1772" s="16"/>
      <c r="AE1772" s="16"/>
      <c r="AF1772" s="16"/>
      <c r="AG1772" s="16"/>
      <c r="AH1772" s="16" t="b">
        <f>IFERROR(__xludf.DUMMYFUNCTION("""COMPUTED_VALUE"""),FALSE)</f>
        <v>0</v>
      </c>
    </row>
    <row r="1773">
      <c r="A1773" s="16"/>
      <c r="B1773" s="16"/>
      <c r="C1773" s="16"/>
      <c r="D1773" s="16"/>
      <c r="E1773" s="16">
        <f>IFERROR(__xludf.DUMMYFUNCTION("""COMPUTED_VALUE"""),1.0)</f>
        <v>1</v>
      </c>
      <c r="F1773" s="108">
        <f>IFERROR(__xludf.DUMMYFUNCTION("""COMPUTED_VALUE"""),0.0)</f>
        <v>0</v>
      </c>
      <c r="G1773" s="16"/>
      <c r="H1773" s="16"/>
      <c r="I1773" s="16"/>
      <c r="J1773" s="16"/>
      <c r="K1773" s="16"/>
      <c r="L1773" s="16"/>
      <c r="M1773" s="16"/>
      <c r="N1773" s="16"/>
      <c r="O1773" s="16"/>
      <c r="P1773" s="16"/>
      <c r="Q1773" s="16"/>
      <c r="R1773" s="16"/>
      <c r="S1773" s="16"/>
      <c r="T1773" s="16"/>
      <c r="U1773" s="16"/>
      <c r="V1773" s="16"/>
      <c r="W1773" s="16"/>
      <c r="X1773" s="16"/>
      <c r="Y1773" s="16"/>
      <c r="Z1773" s="16"/>
      <c r="AA1773" s="16"/>
      <c r="AB1773" s="16"/>
      <c r="AC1773" s="16"/>
      <c r="AD1773" s="16"/>
      <c r="AE1773" s="16"/>
      <c r="AF1773" s="16"/>
      <c r="AG1773" s="16"/>
      <c r="AH1773" s="16" t="b">
        <f>IFERROR(__xludf.DUMMYFUNCTION("""COMPUTED_VALUE"""),FALSE)</f>
        <v>0</v>
      </c>
    </row>
    <row r="1774">
      <c r="A1774" s="16"/>
      <c r="B1774" s="16"/>
      <c r="C1774" s="16"/>
      <c r="D1774" s="16"/>
      <c r="E1774" s="16">
        <f>IFERROR(__xludf.DUMMYFUNCTION("""COMPUTED_VALUE"""),1.0)</f>
        <v>1</v>
      </c>
      <c r="F1774" s="108">
        <f>IFERROR(__xludf.DUMMYFUNCTION("""COMPUTED_VALUE"""),0.0)</f>
        <v>0</v>
      </c>
      <c r="G1774" s="16"/>
      <c r="H1774" s="16"/>
      <c r="I1774" s="16"/>
      <c r="J1774" s="16"/>
      <c r="K1774" s="16"/>
      <c r="L1774" s="16"/>
      <c r="M1774" s="16"/>
      <c r="N1774" s="16"/>
      <c r="O1774" s="16"/>
      <c r="P1774" s="16"/>
      <c r="Q1774" s="16"/>
      <c r="R1774" s="16"/>
      <c r="S1774" s="16"/>
      <c r="T1774" s="16"/>
      <c r="U1774" s="16"/>
      <c r="V1774" s="16"/>
      <c r="W1774" s="16"/>
      <c r="X1774" s="16"/>
      <c r="Y1774" s="16"/>
      <c r="Z1774" s="16"/>
      <c r="AA1774" s="16"/>
      <c r="AB1774" s="16"/>
      <c r="AC1774" s="16"/>
      <c r="AD1774" s="16"/>
      <c r="AE1774" s="16"/>
      <c r="AF1774" s="16"/>
      <c r="AG1774" s="16"/>
      <c r="AH1774" s="16" t="b">
        <f>IFERROR(__xludf.DUMMYFUNCTION("""COMPUTED_VALUE"""),FALSE)</f>
        <v>0</v>
      </c>
    </row>
    <row r="1775">
      <c r="A1775" s="16"/>
      <c r="B1775" s="16"/>
      <c r="C1775" s="16"/>
      <c r="D1775" s="16"/>
      <c r="E1775" s="16">
        <f>IFERROR(__xludf.DUMMYFUNCTION("""COMPUTED_VALUE"""),1.0)</f>
        <v>1</v>
      </c>
      <c r="F1775" s="108">
        <f>IFERROR(__xludf.DUMMYFUNCTION("""COMPUTED_VALUE"""),0.0)</f>
        <v>0</v>
      </c>
      <c r="G1775" s="16"/>
      <c r="H1775" s="16"/>
      <c r="I1775" s="16"/>
      <c r="J1775" s="16"/>
      <c r="K1775" s="16"/>
      <c r="L1775" s="16"/>
      <c r="M1775" s="16"/>
      <c r="N1775" s="16"/>
      <c r="O1775" s="16"/>
      <c r="P1775" s="16"/>
      <c r="Q1775" s="16"/>
      <c r="R1775" s="16"/>
      <c r="S1775" s="16"/>
      <c r="T1775" s="16"/>
      <c r="U1775" s="16"/>
      <c r="V1775" s="16"/>
      <c r="W1775" s="16"/>
      <c r="X1775" s="16"/>
      <c r="Y1775" s="16"/>
      <c r="Z1775" s="16"/>
      <c r="AA1775" s="16"/>
      <c r="AB1775" s="16"/>
      <c r="AC1775" s="16"/>
      <c r="AD1775" s="16"/>
      <c r="AE1775" s="16"/>
      <c r="AF1775" s="16"/>
      <c r="AG1775" s="16"/>
      <c r="AH1775" s="16" t="b">
        <f>IFERROR(__xludf.DUMMYFUNCTION("""COMPUTED_VALUE"""),FALSE)</f>
        <v>0</v>
      </c>
    </row>
    <row r="1776">
      <c r="A1776" s="16"/>
      <c r="B1776" s="16"/>
      <c r="C1776" s="16"/>
      <c r="D1776" s="16"/>
      <c r="E1776" s="16">
        <f>IFERROR(__xludf.DUMMYFUNCTION("""COMPUTED_VALUE"""),1.0)</f>
        <v>1</v>
      </c>
      <c r="F1776" s="108">
        <f>IFERROR(__xludf.DUMMYFUNCTION("""COMPUTED_VALUE"""),0.0)</f>
        <v>0</v>
      </c>
      <c r="G1776" s="16"/>
      <c r="H1776" s="16"/>
      <c r="I1776" s="16"/>
      <c r="J1776" s="16"/>
      <c r="K1776" s="16"/>
      <c r="L1776" s="16"/>
      <c r="M1776" s="16"/>
      <c r="N1776" s="16"/>
      <c r="O1776" s="16"/>
      <c r="P1776" s="16"/>
      <c r="Q1776" s="16"/>
      <c r="R1776" s="16"/>
      <c r="S1776" s="16"/>
      <c r="T1776" s="16"/>
      <c r="U1776" s="16"/>
      <c r="V1776" s="16"/>
      <c r="W1776" s="16"/>
      <c r="X1776" s="16"/>
      <c r="Y1776" s="16"/>
      <c r="Z1776" s="16"/>
      <c r="AA1776" s="16"/>
      <c r="AB1776" s="16"/>
      <c r="AC1776" s="16"/>
      <c r="AD1776" s="16"/>
      <c r="AE1776" s="16"/>
      <c r="AF1776" s="16"/>
      <c r="AG1776" s="16"/>
      <c r="AH1776" s="16" t="b">
        <f>IFERROR(__xludf.DUMMYFUNCTION("""COMPUTED_VALUE"""),FALSE)</f>
        <v>0</v>
      </c>
    </row>
    <row r="1777">
      <c r="A1777" s="16"/>
      <c r="B1777" s="16"/>
      <c r="C1777" s="16"/>
      <c r="D1777" s="16"/>
      <c r="E1777" s="16">
        <f>IFERROR(__xludf.DUMMYFUNCTION("""COMPUTED_VALUE"""),1.0)</f>
        <v>1</v>
      </c>
      <c r="F1777" s="108">
        <f>IFERROR(__xludf.DUMMYFUNCTION("""COMPUTED_VALUE"""),0.0)</f>
        <v>0</v>
      </c>
      <c r="G1777" s="16"/>
      <c r="H1777" s="16"/>
      <c r="I1777" s="16"/>
      <c r="J1777" s="16"/>
      <c r="K1777" s="16"/>
      <c r="L1777" s="16"/>
      <c r="M1777" s="16"/>
      <c r="N1777" s="16"/>
      <c r="O1777" s="16"/>
      <c r="P1777" s="16"/>
      <c r="Q1777" s="16"/>
      <c r="R1777" s="16"/>
      <c r="S1777" s="16"/>
      <c r="T1777" s="16"/>
      <c r="U1777" s="16"/>
      <c r="V1777" s="16"/>
      <c r="W1777" s="16"/>
      <c r="X1777" s="16"/>
      <c r="Y1777" s="16"/>
      <c r="Z1777" s="16"/>
      <c r="AA1777" s="16"/>
      <c r="AB1777" s="16"/>
      <c r="AC1777" s="16"/>
      <c r="AD1777" s="16"/>
      <c r="AE1777" s="16"/>
      <c r="AF1777" s="16"/>
      <c r="AG1777" s="16"/>
      <c r="AH1777" s="16" t="b">
        <f>IFERROR(__xludf.DUMMYFUNCTION("""COMPUTED_VALUE"""),FALSE)</f>
        <v>0</v>
      </c>
    </row>
    <row r="1778">
      <c r="A1778" s="16"/>
      <c r="B1778" s="16"/>
      <c r="C1778" s="16"/>
      <c r="D1778" s="16"/>
      <c r="E1778" s="16">
        <f>IFERROR(__xludf.DUMMYFUNCTION("""COMPUTED_VALUE"""),1.0)</f>
        <v>1</v>
      </c>
      <c r="F1778" s="108">
        <f>IFERROR(__xludf.DUMMYFUNCTION("""COMPUTED_VALUE"""),0.0)</f>
        <v>0</v>
      </c>
      <c r="G1778" s="16"/>
      <c r="H1778" s="16"/>
      <c r="I1778" s="16"/>
      <c r="J1778" s="16"/>
      <c r="K1778" s="16"/>
      <c r="L1778" s="16"/>
      <c r="M1778" s="16"/>
      <c r="N1778" s="16"/>
      <c r="O1778" s="16"/>
      <c r="P1778" s="16"/>
      <c r="Q1778" s="16"/>
      <c r="R1778" s="16"/>
      <c r="S1778" s="16"/>
      <c r="T1778" s="16"/>
      <c r="U1778" s="16"/>
      <c r="V1778" s="16"/>
      <c r="W1778" s="16"/>
      <c r="X1778" s="16"/>
      <c r="Y1778" s="16"/>
      <c r="Z1778" s="16"/>
      <c r="AA1778" s="16"/>
      <c r="AB1778" s="16"/>
      <c r="AC1778" s="16"/>
      <c r="AD1778" s="16"/>
      <c r="AE1778" s="16"/>
      <c r="AF1778" s="16"/>
      <c r="AG1778" s="16"/>
      <c r="AH1778" s="16" t="b">
        <f>IFERROR(__xludf.DUMMYFUNCTION("""COMPUTED_VALUE"""),FALSE)</f>
        <v>0</v>
      </c>
    </row>
    <row r="1779">
      <c r="A1779" s="16"/>
      <c r="B1779" s="16"/>
      <c r="C1779" s="16"/>
      <c r="D1779" s="16"/>
      <c r="E1779" s="16">
        <f>IFERROR(__xludf.DUMMYFUNCTION("""COMPUTED_VALUE"""),1.0)</f>
        <v>1</v>
      </c>
      <c r="F1779" s="108">
        <f>IFERROR(__xludf.DUMMYFUNCTION("""COMPUTED_VALUE"""),0.0)</f>
        <v>0</v>
      </c>
      <c r="G1779" s="16"/>
      <c r="H1779" s="16"/>
      <c r="I1779" s="16"/>
      <c r="J1779" s="16"/>
      <c r="K1779" s="16"/>
      <c r="L1779" s="16"/>
      <c r="M1779" s="16"/>
      <c r="N1779" s="16"/>
      <c r="O1779" s="16"/>
      <c r="P1779" s="16"/>
      <c r="Q1779" s="16"/>
      <c r="R1779" s="16"/>
      <c r="S1779" s="16"/>
      <c r="T1779" s="16"/>
      <c r="U1779" s="16"/>
      <c r="V1779" s="16"/>
      <c r="W1779" s="16"/>
      <c r="X1779" s="16"/>
      <c r="Y1779" s="16"/>
      <c r="Z1779" s="16"/>
      <c r="AA1779" s="16"/>
      <c r="AB1779" s="16"/>
      <c r="AC1779" s="16"/>
      <c r="AD1779" s="16"/>
      <c r="AE1779" s="16"/>
      <c r="AF1779" s="16"/>
      <c r="AG1779" s="16"/>
      <c r="AH1779" s="16" t="b">
        <f>IFERROR(__xludf.DUMMYFUNCTION("""COMPUTED_VALUE"""),FALSE)</f>
        <v>0</v>
      </c>
    </row>
    <row r="1780">
      <c r="A1780" s="16"/>
      <c r="B1780" s="16"/>
      <c r="C1780" s="16"/>
      <c r="D1780" s="16"/>
      <c r="E1780" s="16">
        <f>IFERROR(__xludf.DUMMYFUNCTION("""COMPUTED_VALUE"""),1.0)</f>
        <v>1</v>
      </c>
      <c r="F1780" s="108">
        <f>IFERROR(__xludf.DUMMYFUNCTION("""COMPUTED_VALUE"""),0.0)</f>
        <v>0</v>
      </c>
      <c r="G1780" s="16"/>
      <c r="H1780" s="16"/>
      <c r="I1780" s="16"/>
      <c r="J1780" s="16"/>
      <c r="K1780" s="16"/>
      <c r="L1780" s="16"/>
      <c r="M1780" s="16"/>
      <c r="N1780" s="16"/>
      <c r="O1780" s="16"/>
      <c r="P1780" s="16"/>
      <c r="Q1780" s="16"/>
      <c r="R1780" s="16"/>
      <c r="S1780" s="16"/>
      <c r="T1780" s="16"/>
      <c r="U1780" s="16"/>
      <c r="V1780" s="16"/>
      <c r="W1780" s="16"/>
      <c r="X1780" s="16"/>
      <c r="Y1780" s="16"/>
      <c r="Z1780" s="16"/>
      <c r="AA1780" s="16"/>
      <c r="AB1780" s="16"/>
      <c r="AC1780" s="16"/>
      <c r="AD1780" s="16"/>
      <c r="AE1780" s="16"/>
      <c r="AF1780" s="16"/>
      <c r="AG1780" s="16"/>
      <c r="AH1780" s="16" t="b">
        <f>IFERROR(__xludf.DUMMYFUNCTION("""COMPUTED_VALUE"""),FALSE)</f>
        <v>0</v>
      </c>
    </row>
    <row r="1781">
      <c r="A1781" s="16"/>
      <c r="B1781" s="16"/>
      <c r="C1781" s="16"/>
      <c r="D1781" s="16"/>
      <c r="E1781" s="16">
        <f>IFERROR(__xludf.DUMMYFUNCTION("""COMPUTED_VALUE"""),1.0)</f>
        <v>1</v>
      </c>
      <c r="F1781" s="108">
        <f>IFERROR(__xludf.DUMMYFUNCTION("""COMPUTED_VALUE"""),0.0)</f>
        <v>0</v>
      </c>
      <c r="G1781" s="16"/>
      <c r="H1781" s="16"/>
      <c r="I1781" s="16"/>
      <c r="J1781" s="16"/>
      <c r="K1781" s="16"/>
      <c r="L1781" s="16"/>
      <c r="M1781" s="16"/>
      <c r="N1781" s="16"/>
      <c r="O1781" s="16"/>
      <c r="P1781" s="16"/>
      <c r="Q1781" s="16"/>
      <c r="R1781" s="16"/>
      <c r="S1781" s="16"/>
      <c r="T1781" s="16"/>
      <c r="U1781" s="16"/>
      <c r="V1781" s="16"/>
      <c r="W1781" s="16"/>
      <c r="X1781" s="16"/>
      <c r="Y1781" s="16"/>
      <c r="Z1781" s="16"/>
      <c r="AA1781" s="16"/>
      <c r="AB1781" s="16"/>
      <c r="AC1781" s="16"/>
      <c r="AD1781" s="16"/>
      <c r="AE1781" s="16"/>
      <c r="AF1781" s="16"/>
      <c r="AG1781" s="16"/>
      <c r="AH1781" s="16" t="b">
        <f>IFERROR(__xludf.DUMMYFUNCTION("""COMPUTED_VALUE"""),FALSE)</f>
        <v>0</v>
      </c>
    </row>
    <row r="1782">
      <c r="A1782" s="16"/>
      <c r="B1782" s="16"/>
      <c r="C1782" s="16"/>
      <c r="D1782" s="16"/>
      <c r="E1782" s="16">
        <f>IFERROR(__xludf.DUMMYFUNCTION("""COMPUTED_VALUE"""),1.0)</f>
        <v>1</v>
      </c>
      <c r="F1782" s="108">
        <f>IFERROR(__xludf.DUMMYFUNCTION("""COMPUTED_VALUE"""),0.0)</f>
        <v>0</v>
      </c>
      <c r="G1782" s="16"/>
      <c r="H1782" s="16"/>
      <c r="I1782" s="16"/>
      <c r="J1782" s="16"/>
      <c r="K1782" s="16"/>
      <c r="L1782" s="16"/>
      <c r="M1782" s="16"/>
      <c r="N1782" s="16"/>
      <c r="O1782" s="16"/>
      <c r="P1782" s="16"/>
      <c r="Q1782" s="16"/>
      <c r="R1782" s="16"/>
      <c r="S1782" s="16"/>
      <c r="T1782" s="16"/>
      <c r="U1782" s="16"/>
      <c r="V1782" s="16"/>
      <c r="W1782" s="16"/>
      <c r="X1782" s="16"/>
      <c r="Y1782" s="16"/>
      <c r="Z1782" s="16"/>
      <c r="AA1782" s="16"/>
      <c r="AB1782" s="16"/>
      <c r="AC1782" s="16"/>
      <c r="AD1782" s="16"/>
      <c r="AE1782" s="16"/>
      <c r="AF1782" s="16"/>
      <c r="AG1782" s="16"/>
      <c r="AH1782" s="16" t="b">
        <f>IFERROR(__xludf.DUMMYFUNCTION("""COMPUTED_VALUE"""),FALSE)</f>
        <v>0</v>
      </c>
    </row>
    <row r="1783">
      <c r="A1783" s="16"/>
      <c r="B1783" s="16"/>
      <c r="C1783" s="16"/>
      <c r="D1783" s="16"/>
      <c r="E1783" s="16">
        <f>IFERROR(__xludf.DUMMYFUNCTION("""COMPUTED_VALUE"""),1.0)</f>
        <v>1</v>
      </c>
      <c r="F1783" s="108">
        <f>IFERROR(__xludf.DUMMYFUNCTION("""COMPUTED_VALUE"""),0.0)</f>
        <v>0</v>
      </c>
      <c r="G1783" s="16"/>
      <c r="H1783" s="16"/>
      <c r="I1783" s="16"/>
      <c r="J1783" s="16"/>
      <c r="K1783" s="16"/>
      <c r="L1783" s="16"/>
      <c r="M1783" s="16"/>
      <c r="N1783" s="16"/>
      <c r="O1783" s="16"/>
      <c r="P1783" s="16"/>
      <c r="Q1783" s="16"/>
      <c r="R1783" s="16"/>
      <c r="S1783" s="16"/>
      <c r="T1783" s="16"/>
      <c r="U1783" s="16"/>
      <c r="V1783" s="16"/>
      <c r="W1783" s="16"/>
      <c r="X1783" s="16"/>
      <c r="Y1783" s="16"/>
      <c r="Z1783" s="16"/>
      <c r="AA1783" s="16"/>
      <c r="AB1783" s="16"/>
      <c r="AC1783" s="16"/>
      <c r="AD1783" s="16"/>
      <c r="AE1783" s="16"/>
      <c r="AF1783" s="16"/>
      <c r="AG1783" s="16"/>
      <c r="AH1783" s="16" t="b">
        <f>IFERROR(__xludf.DUMMYFUNCTION("""COMPUTED_VALUE"""),FALSE)</f>
        <v>0</v>
      </c>
    </row>
    <row r="1784">
      <c r="A1784" s="16"/>
      <c r="B1784" s="16"/>
      <c r="C1784" s="16"/>
      <c r="D1784" s="16"/>
      <c r="E1784" s="16">
        <f>IFERROR(__xludf.DUMMYFUNCTION("""COMPUTED_VALUE"""),1.0)</f>
        <v>1</v>
      </c>
      <c r="F1784" s="108">
        <f>IFERROR(__xludf.DUMMYFUNCTION("""COMPUTED_VALUE"""),0.0)</f>
        <v>0</v>
      </c>
      <c r="G1784" s="16"/>
      <c r="H1784" s="16"/>
      <c r="I1784" s="16"/>
      <c r="J1784" s="16"/>
      <c r="K1784" s="16"/>
      <c r="L1784" s="16"/>
      <c r="M1784" s="16"/>
      <c r="N1784" s="16"/>
      <c r="O1784" s="16"/>
      <c r="P1784" s="16"/>
      <c r="Q1784" s="16"/>
      <c r="R1784" s="16"/>
      <c r="S1784" s="16"/>
      <c r="T1784" s="16"/>
      <c r="U1784" s="16"/>
      <c r="V1784" s="16"/>
      <c r="W1784" s="16"/>
      <c r="X1784" s="16"/>
      <c r="Y1784" s="16"/>
      <c r="Z1784" s="16"/>
      <c r="AA1784" s="16"/>
      <c r="AB1784" s="16"/>
      <c r="AC1784" s="16"/>
      <c r="AD1784" s="16"/>
      <c r="AE1784" s="16"/>
      <c r="AF1784" s="16"/>
      <c r="AG1784" s="16"/>
      <c r="AH1784" s="16" t="b">
        <f>IFERROR(__xludf.DUMMYFUNCTION("""COMPUTED_VALUE"""),FALSE)</f>
        <v>0</v>
      </c>
    </row>
    <row r="1785">
      <c r="A1785" s="16"/>
      <c r="B1785" s="16"/>
      <c r="C1785" s="16"/>
      <c r="D1785" s="16"/>
      <c r="E1785" s="16">
        <f>IFERROR(__xludf.DUMMYFUNCTION("""COMPUTED_VALUE"""),1.0)</f>
        <v>1</v>
      </c>
      <c r="F1785" s="108">
        <f>IFERROR(__xludf.DUMMYFUNCTION("""COMPUTED_VALUE"""),0.0)</f>
        <v>0</v>
      </c>
      <c r="G1785" s="16"/>
      <c r="H1785" s="16"/>
      <c r="I1785" s="16"/>
      <c r="J1785" s="16"/>
      <c r="K1785" s="16"/>
      <c r="L1785" s="16"/>
      <c r="M1785" s="16"/>
      <c r="N1785" s="16"/>
      <c r="O1785" s="16"/>
      <c r="P1785" s="16"/>
      <c r="Q1785" s="16"/>
      <c r="R1785" s="16"/>
      <c r="S1785" s="16"/>
      <c r="T1785" s="16"/>
      <c r="U1785" s="16"/>
      <c r="V1785" s="16"/>
      <c r="W1785" s="16"/>
      <c r="X1785" s="16"/>
      <c r="Y1785" s="16"/>
      <c r="Z1785" s="16"/>
      <c r="AA1785" s="16"/>
      <c r="AB1785" s="16"/>
      <c r="AC1785" s="16"/>
      <c r="AD1785" s="16"/>
      <c r="AE1785" s="16"/>
      <c r="AF1785" s="16"/>
      <c r="AG1785" s="16"/>
      <c r="AH1785" s="16" t="b">
        <f>IFERROR(__xludf.DUMMYFUNCTION("""COMPUTED_VALUE"""),FALSE)</f>
        <v>0</v>
      </c>
    </row>
    <row r="1786">
      <c r="A1786" s="16"/>
      <c r="B1786" s="16"/>
      <c r="C1786" s="16"/>
      <c r="D1786" s="16"/>
      <c r="E1786" s="16">
        <f>IFERROR(__xludf.DUMMYFUNCTION("""COMPUTED_VALUE"""),1.0)</f>
        <v>1</v>
      </c>
      <c r="F1786" s="108">
        <f>IFERROR(__xludf.DUMMYFUNCTION("""COMPUTED_VALUE"""),0.0)</f>
        <v>0</v>
      </c>
      <c r="G1786" s="16"/>
      <c r="H1786" s="16"/>
      <c r="I1786" s="16"/>
      <c r="J1786" s="16"/>
      <c r="K1786" s="16"/>
      <c r="L1786" s="16"/>
      <c r="M1786" s="16"/>
      <c r="N1786" s="16"/>
      <c r="O1786" s="16"/>
      <c r="P1786" s="16"/>
      <c r="Q1786" s="16"/>
      <c r="R1786" s="16"/>
      <c r="S1786" s="16"/>
      <c r="T1786" s="16"/>
      <c r="U1786" s="16"/>
      <c r="V1786" s="16"/>
      <c r="W1786" s="16"/>
      <c r="X1786" s="16"/>
      <c r="Y1786" s="16"/>
      <c r="Z1786" s="16"/>
      <c r="AA1786" s="16"/>
      <c r="AB1786" s="16"/>
      <c r="AC1786" s="16"/>
      <c r="AD1786" s="16"/>
      <c r="AE1786" s="16"/>
      <c r="AF1786" s="16"/>
      <c r="AG1786" s="16"/>
      <c r="AH1786" s="16" t="b">
        <f>IFERROR(__xludf.DUMMYFUNCTION("""COMPUTED_VALUE"""),FALSE)</f>
        <v>0</v>
      </c>
    </row>
    <row r="1787">
      <c r="A1787" s="16"/>
      <c r="B1787" s="16"/>
      <c r="C1787" s="16"/>
      <c r="D1787" s="16"/>
      <c r="E1787" s="16">
        <f>IFERROR(__xludf.DUMMYFUNCTION("""COMPUTED_VALUE"""),1.0)</f>
        <v>1</v>
      </c>
      <c r="F1787" s="108">
        <f>IFERROR(__xludf.DUMMYFUNCTION("""COMPUTED_VALUE"""),0.0)</f>
        <v>0</v>
      </c>
      <c r="G1787" s="16"/>
      <c r="H1787" s="16"/>
      <c r="I1787" s="16"/>
      <c r="J1787" s="16"/>
      <c r="K1787" s="16"/>
      <c r="L1787" s="16"/>
      <c r="M1787" s="16"/>
      <c r="N1787" s="16"/>
      <c r="O1787" s="16"/>
      <c r="P1787" s="16"/>
      <c r="Q1787" s="16"/>
      <c r="R1787" s="16"/>
      <c r="S1787" s="16"/>
      <c r="T1787" s="16"/>
      <c r="U1787" s="16"/>
      <c r="V1787" s="16"/>
      <c r="W1787" s="16"/>
      <c r="X1787" s="16"/>
      <c r="Y1787" s="16"/>
      <c r="Z1787" s="16"/>
      <c r="AA1787" s="16"/>
      <c r="AB1787" s="16"/>
      <c r="AC1787" s="16"/>
      <c r="AD1787" s="16"/>
      <c r="AE1787" s="16"/>
      <c r="AF1787" s="16"/>
      <c r="AG1787" s="16"/>
      <c r="AH1787" s="16" t="b">
        <f>IFERROR(__xludf.DUMMYFUNCTION("""COMPUTED_VALUE"""),FALSE)</f>
        <v>0</v>
      </c>
    </row>
    <row r="1788">
      <c r="A1788" s="16"/>
      <c r="B1788" s="16"/>
      <c r="C1788" s="16"/>
      <c r="D1788" s="16"/>
      <c r="E1788" s="16">
        <f>IFERROR(__xludf.DUMMYFUNCTION("""COMPUTED_VALUE"""),1.0)</f>
        <v>1</v>
      </c>
      <c r="F1788" s="108">
        <f>IFERROR(__xludf.DUMMYFUNCTION("""COMPUTED_VALUE"""),0.0)</f>
        <v>0</v>
      </c>
      <c r="G1788" s="16"/>
      <c r="H1788" s="16"/>
      <c r="I1788" s="16"/>
      <c r="J1788" s="16"/>
      <c r="K1788" s="16"/>
      <c r="L1788" s="16"/>
      <c r="M1788" s="16"/>
      <c r="N1788" s="16"/>
      <c r="O1788" s="16"/>
      <c r="P1788" s="16"/>
      <c r="Q1788" s="16"/>
      <c r="R1788" s="16"/>
      <c r="S1788" s="16"/>
      <c r="T1788" s="16"/>
      <c r="U1788" s="16"/>
      <c r="V1788" s="16"/>
      <c r="W1788" s="16"/>
      <c r="X1788" s="16"/>
      <c r="Y1788" s="16"/>
      <c r="Z1788" s="16"/>
      <c r="AA1788" s="16"/>
      <c r="AB1788" s="16"/>
      <c r="AC1788" s="16"/>
      <c r="AD1788" s="16"/>
      <c r="AE1788" s="16"/>
      <c r="AF1788" s="16"/>
      <c r="AG1788" s="16"/>
      <c r="AH1788" s="16" t="b">
        <f>IFERROR(__xludf.DUMMYFUNCTION("""COMPUTED_VALUE"""),FALSE)</f>
        <v>0</v>
      </c>
    </row>
    <row r="1789">
      <c r="A1789" s="16"/>
      <c r="B1789" s="16"/>
      <c r="C1789" s="16"/>
      <c r="D1789" s="16"/>
      <c r="E1789" s="16">
        <f>IFERROR(__xludf.DUMMYFUNCTION("""COMPUTED_VALUE"""),1.0)</f>
        <v>1</v>
      </c>
      <c r="F1789" s="108">
        <f>IFERROR(__xludf.DUMMYFUNCTION("""COMPUTED_VALUE"""),0.0)</f>
        <v>0</v>
      </c>
      <c r="G1789" s="16"/>
      <c r="H1789" s="16"/>
      <c r="I1789" s="16"/>
      <c r="J1789" s="16"/>
      <c r="K1789" s="16"/>
      <c r="L1789" s="16"/>
      <c r="M1789" s="16"/>
      <c r="N1789" s="16"/>
      <c r="O1789" s="16"/>
      <c r="P1789" s="16"/>
      <c r="Q1789" s="16"/>
      <c r="R1789" s="16"/>
      <c r="S1789" s="16"/>
      <c r="T1789" s="16"/>
      <c r="U1789" s="16"/>
      <c r="V1789" s="16"/>
      <c r="W1789" s="16"/>
      <c r="X1789" s="16"/>
      <c r="Y1789" s="16"/>
      <c r="Z1789" s="16"/>
      <c r="AA1789" s="16"/>
      <c r="AB1789" s="16"/>
      <c r="AC1789" s="16"/>
      <c r="AD1789" s="16"/>
      <c r="AE1789" s="16"/>
      <c r="AF1789" s="16"/>
      <c r="AG1789" s="16"/>
      <c r="AH1789" s="16" t="b">
        <f>IFERROR(__xludf.DUMMYFUNCTION("""COMPUTED_VALUE"""),FALSE)</f>
        <v>0</v>
      </c>
    </row>
    <row r="1790">
      <c r="A1790" s="16"/>
      <c r="B1790" s="16"/>
      <c r="C1790" s="16"/>
      <c r="D1790" s="16"/>
      <c r="E1790" s="16">
        <f>IFERROR(__xludf.DUMMYFUNCTION("""COMPUTED_VALUE"""),1.0)</f>
        <v>1</v>
      </c>
      <c r="F1790" s="108">
        <f>IFERROR(__xludf.DUMMYFUNCTION("""COMPUTED_VALUE"""),0.0)</f>
        <v>0</v>
      </c>
      <c r="G1790" s="16"/>
      <c r="H1790" s="16"/>
      <c r="I1790" s="16"/>
      <c r="J1790" s="16"/>
      <c r="K1790" s="16"/>
      <c r="L1790" s="16"/>
      <c r="M1790" s="16"/>
      <c r="N1790" s="16"/>
      <c r="O1790" s="16"/>
      <c r="P1790" s="16"/>
      <c r="Q1790" s="16"/>
      <c r="R1790" s="16"/>
      <c r="S1790" s="16"/>
      <c r="T1790" s="16"/>
      <c r="U1790" s="16"/>
      <c r="V1790" s="16"/>
      <c r="W1790" s="16"/>
      <c r="X1790" s="16"/>
      <c r="Y1790" s="16"/>
      <c r="Z1790" s="16"/>
      <c r="AA1790" s="16"/>
      <c r="AB1790" s="16"/>
      <c r="AC1790" s="16"/>
      <c r="AD1790" s="16"/>
      <c r="AE1790" s="16"/>
      <c r="AF1790" s="16"/>
      <c r="AG1790" s="16"/>
      <c r="AH1790" s="16" t="b">
        <f>IFERROR(__xludf.DUMMYFUNCTION("""COMPUTED_VALUE"""),FALSE)</f>
        <v>0</v>
      </c>
    </row>
    <row r="1791">
      <c r="A1791" s="16"/>
      <c r="B1791" s="16"/>
      <c r="C1791" s="16"/>
      <c r="D1791" s="16"/>
      <c r="E1791" s="16">
        <f>IFERROR(__xludf.DUMMYFUNCTION("""COMPUTED_VALUE"""),1.0)</f>
        <v>1</v>
      </c>
      <c r="F1791" s="108">
        <f>IFERROR(__xludf.DUMMYFUNCTION("""COMPUTED_VALUE"""),0.0)</f>
        <v>0</v>
      </c>
      <c r="G1791" s="16"/>
      <c r="H1791" s="16"/>
      <c r="I1791" s="16"/>
      <c r="J1791" s="16"/>
      <c r="K1791" s="16"/>
      <c r="L1791" s="16"/>
      <c r="M1791" s="16"/>
      <c r="N1791" s="16"/>
      <c r="O1791" s="16"/>
      <c r="P1791" s="16"/>
      <c r="Q1791" s="16"/>
      <c r="R1791" s="16"/>
      <c r="S1791" s="16"/>
      <c r="T1791" s="16"/>
      <c r="U1791" s="16"/>
      <c r="V1791" s="16"/>
      <c r="W1791" s="16"/>
      <c r="X1791" s="16"/>
      <c r="Y1791" s="16"/>
      <c r="Z1791" s="16"/>
      <c r="AA1791" s="16"/>
      <c r="AB1791" s="16"/>
      <c r="AC1791" s="16"/>
      <c r="AD1791" s="16"/>
      <c r="AE1791" s="16"/>
      <c r="AF1791" s="16"/>
      <c r="AG1791" s="16"/>
      <c r="AH1791" s="16" t="b">
        <f>IFERROR(__xludf.DUMMYFUNCTION("""COMPUTED_VALUE"""),FALSE)</f>
        <v>0</v>
      </c>
    </row>
    <row r="1792">
      <c r="A1792" s="16"/>
      <c r="B1792" s="16"/>
      <c r="C1792" s="16"/>
      <c r="D1792" s="16"/>
      <c r="E1792" s="16">
        <f>IFERROR(__xludf.DUMMYFUNCTION("""COMPUTED_VALUE"""),1.0)</f>
        <v>1</v>
      </c>
      <c r="F1792" s="108">
        <f>IFERROR(__xludf.DUMMYFUNCTION("""COMPUTED_VALUE"""),0.0)</f>
        <v>0</v>
      </c>
      <c r="G1792" s="16"/>
      <c r="H1792" s="16"/>
      <c r="I1792" s="16"/>
      <c r="J1792" s="16"/>
      <c r="K1792" s="16"/>
      <c r="L1792" s="16"/>
      <c r="M1792" s="16"/>
      <c r="N1792" s="16"/>
      <c r="O1792" s="16"/>
      <c r="P1792" s="16"/>
      <c r="Q1792" s="16"/>
      <c r="R1792" s="16"/>
      <c r="S1792" s="16"/>
      <c r="T1792" s="16"/>
      <c r="U1792" s="16"/>
      <c r="V1792" s="16"/>
      <c r="W1792" s="16"/>
      <c r="X1792" s="16"/>
      <c r="Y1792" s="16"/>
      <c r="Z1792" s="16"/>
      <c r="AA1792" s="16"/>
      <c r="AB1792" s="16"/>
      <c r="AC1792" s="16"/>
      <c r="AD1792" s="16"/>
      <c r="AE1792" s="16"/>
      <c r="AF1792" s="16"/>
      <c r="AG1792" s="16"/>
      <c r="AH1792" s="16" t="b">
        <f>IFERROR(__xludf.DUMMYFUNCTION("""COMPUTED_VALUE"""),FALSE)</f>
        <v>0</v>
      </c>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2.5"/>
    <col customWidth="1" min="2" max="2" width="22.75"/>
  </cols>
  <sheetData>
    <row r="1">
      <c r="A1" s="16" t="str">
        <f>IFERROR(__xludf.DUMMYFUNCTION("IMPORTRANGE(""https://docs.google.com/spreadsheets/d/""&amp;Config!B1,""Equipconvert!A:AH"")"),"Name")</f>
        <v>Name</v>
      </c>
      <c r="B1" s="16" t="str">
        <f>IFERROR(__xludf.DUMMYFUNCTION("""COMPUTED_VALUE"""),"Description")</f>
        <v>Description</v>
      </c>
      <c r="C1" s="16" t="str">
        <f>IFERROR(__xludf.DUMMYFUNCTION("""COMPUTED_VALUE"""),"Type")</f>
        <v>Type</v>
      </c>
      <c r="D1" s="16" t="str">
        <f>IFERROR(__xludf.DUMMYFUNCTION("""COMPUTED_VALUE"""),"Slot")</f>
        <v>Slot</v>
      </c>
      <c r="E1" s="16" t="str">
        <f>IFERROR(__xludf.DUMMYFUNCTION("""COMPUTED_VALUE"""),"Level Requirement")</f>
        <v>Level Requirement</v>
      </c>
      <c r="F1" s="16" t="str">
        <f>IFERROR(__xludf.DUMMYFUNCTION("""COMPUTED_VALUE"""),"Abilities")</f>
        <v>Abilities</v>
      </c>
      <c r="G1" s="16" t="str">
        <f>IFERROR(__xludf.DUMMYFUNCTION("""COMPUTED_VALUE"""),"Estimated Price")</f>
        <v>Estimated Price</v>
      </c>
      <c r="H1" s="16"/>
      <c r="I1" s="16"/>
      <c r="J1" s="16"/>
      <c r="K1" s="16"/>
      <c r="L1" s="16"/>
      <c r="M1" s="16"/>
      <c r="N1" s="16"/>
      <c r="O1" s="16"/>
      <c r="P1" s="16"/>
      <c r="Q1" s="16"/>
      <c r="R1" s="16"/>
      <c r="S1" s="16"/>
      <c r="T1" s="16"/>
      <c r="U1" s="16"/>
      <c r="V1" s="16"/>
      <c r="W1" s="16"/>
      <c r="X1" s="16"/>
      <c r="Y1" s="16"/>
      <c r="Z1" s="16"/>
    </row>
    <row r="2">
      <c r="A2" s="16" t="str">
        <f>IFERROR(__xludf.DUMMYFUNCTION("""COMPUTED_VALUE"""),"""Hellfire Club"" Vest of Metal Harmony's")</f>
        <v>"Hellfire Club" Vest of Metal Harmony's</v>
      </c>
      <c r="B2" s="16"/>
      <c r="C2" s="16"/>
      <c r="D2" s="16" t="str">
        <f>IFERROR(__xludf.DUMMYFUNCTION("""COMPUTED_VALUE"""),"Torso")</f>
        <v>Torso</v>
      </c>
      <c r="E2" s="16">
        <f>IFERROR(__xludf.DUMMYFUNCTION("""COMPUTED_VALUE"""),200.0)</f>
        <v>200</v>
      </c>
      <c r="F2" s="16" t="str">
        <f>IFERROR(__xludf.DUMMYFUNCTION("""COMPUTED_VALUE"""),"DEF: ++10000 ++When dealing damage with an instrument you will regain sp equal to the damage you caused.")</f>
        <v>DEF: ++10000 ++When dealing damage with an instrument you will regain sp equal to the damage you caused.</v>
      </c>
      <c r="G2" s="16">
        <f>IFERROR(__xludf.DUMMYFUNCTION("""COMPUTED_VALUE"""),1900000.0)</f>
        <v>1900000</v>
      </c>
      <c r="H2" s="16"/>
      <c r="I2" s="16"/>
      <c r="J2" s="16"/>
      <c r="K2" s="16"/>
      <c r="L2" s="16"/>
      <c r="M2" s="16"/>
      <c r="N2" s="16"/>
      <c r="O2" s="16"/>
      <c r="P2" s="16"/>
      <c r="Q2" s="16"/>
      <c r="R2" s="16"/>
      <c r="S2" s="16"/>
      <c r="T2" s="16"/>
      <c r="U2" s="16"/>
      <c r="V2" s="16"/>
      <c r="W2" s="16"/>
      <c r="X2" s="16"/>
      <c r="Y2" s="16"/>
      <c r="Z2" s="16"/>
    </row>
    <row r="3">
      <c r="A3" s="16" t="str">
        <f>IFERROR(__xludf.DUMMYFUNCTION("""COMPUTED_VALUE"""),"""Sweetheart"" Guitar of The Upside Down")</f>
        <v>"Sweetheart" Guitar of The Upside Down</v>
      </c>
      <c r="B3" s="16"/>
      <c r="C3" s="16" t="str">
        <f>IFERROR(__xludf.DUMMYFUNCTION("""COMPUTED_VALUE"""),"Instrument")</f>
        <v>Instrument</v>
      </c>
      <c r="D3" s="16" t="str">
        <f>IFERROR(__xludf.DUMMYFUNCTION("""COMPUTED_VALUE"""),"Hand")</f>
        <v>Hand</v>
      </c>
      <c r="E3" s="16">
        <f>IFERROR(__xludf.DUMMYFUNCTION("""COMPUTED_VALUE"""),200.0)</f>
        <v>200</v>
      </c>
      <c r="F3" s="16" t="str">
        <f>IFERROR(__xludf.DUMMYFUNCTION("""COMPUTED_VALUE"""),"DMG: +2500, Fire DMG: +2500, Dark DMG: +2500, Chaos DMG: +2500 ++This instrument will deal X2 damage while it's equipped. ++Any spells that deal damage for the user will now do an additional X2. ++25% chance to port the target you hit to a random location"&amp;".")</f>
        <v>DMG: +2500, Fire DMG: +2500, Dark DMG: +2500, Chaos DMG: +2500 ++This instrument will deal X2 damage while it's equipped. ++Any spells that deal damage for the user will now do an additional X2. ++25% chance to port the target you hit to a random location.</v>
      </c>
      <c r="G3" s="16">
        <f>IFERROR(__xludf.DUMMYFUNCTION("""COMPUTED_VALUE"""),1900000.0)</f>
        <v>1900000</v>
      </c>
      <c r="H3" s="16"/>
      <c r="I3" s="16"/>
      <c r="J3" s="16"/>
      <c r="K3" s="16"/>
      <c r="L3" s="16"/>
      <c r="M3" s="16"/>
      <c r="N3" s="16"/>
      <c r="O3" s="16"/>
      <c r="P3" s="16"/>
      <c r="Q3" s="16"/>
      <c r="R3" s="16"/>
      <c r="S3" s="16"/>
      <c r="T3" s="16"/>
      <c r="U3" s="16"/>
      <c r="V3" s="16"/>
      <c r="W3" s="16"/>
      <c r="X3" s="16"/>
      <c r="Y3" s="16"/>
      <c r="Z3" s="16"/>
    </row>
    <row r="4">
      <c r="A4" s="16" t="str">
        <f>IFERROR(__xludf.DUMMYFUNCTION("""COMPUTED_VALUE"""),"Alpha Sword")</f>
        <v>Alpha Sword</v>
      </c>
      <c r="B4" s="16"/>
      <c r="C4" s="16" t="str">
        <f>IFERROR(__xludf.DUMMYFUNCTION("""COMPUTED_VALUE"""),"Sword")</f>
        <v>Sword</v>
      </c>
      <c r="D4" s="16" t="str">
        <f>IFERROR(__xludf.DUMMYFUNCTION("""COMPUTED_VALUE"""),"Hand")</f>
        <v>Hand</v>
      </c>
      <c r="E4" s="16">
        <f>IFERROR(__xludf.DUMMYFUNCTION("""COMPUTED_VALUE"""),4000.0)</f>
        <v>4000</v>
      </c>
      <c r="F4" s="16" t="str">
        <f>IFERROR(__xludf.DUMMYFUNCTION("""COMPUTED_VALUE"""),"DMG: +100000, Dark DMG: +100000 ++If you kill an enemy using this weapon you may attack another enemy once more using this weapon on the same turn but this can only be done once per turn.")</f>
        <v>DMG: +100000, Dark DMG: +100000 ++If you kill an enemy using this weapon you may attack another enemy once more using this weapon on the same turn but this can only be done once per turn.</v>
      </c>
      <c r="G4" s="16">
        <f>IFERROR(__xludf.DUMMYFUNCTION("""COMPUTED_VALUE"""),7.98E8)</f>
        <v>798000000</v>
      </c>
      <c r="H4" s="16"/>
      <c r="I4" s="16"/>
      <c r="J4" s="16"/>
      <c r="K4" s="16"/>
      <c r="L4" s="16"/>
      <c r="M4" s="16"/>
      <c r="N4" s="16"/>
      <c r="O4" s="16"/>
      <c r="P4" s="16"/>
      <c r="Q4" s="16"/>
      <c r="R4" s="16"/>
      <c r="S4" s="16"/>
      <c r="T4" s="16"/>
      <c r="U4" s="16"/>
      <c r="V4" s="16"/>
      <c r="W4" s="16"/>
      <c r="X4" s="16"/>
      <c r="Y4" s="16"/>
      <c r="Z4" s="16"/>
    </row>
    <row r="5">
      <c r="A5" s="16" t="str">
        <f>IFERROR(__xludf.DUMMYFUNCTION("""COMPUTED_VALUE"""),"Ancient Colossus Forest Hammer")</f>
        <v>Ancient Colossus Forest Hammer</v>
      </c>
      <c r="B5" s="16"/>
      <c r="C5" s="16" t="str">
        <f>IFERROR(__xludf.DUMMYFUNCTION("""COMPUTED_VALUE"""),"Club")</f>
        <v>Club</v>
      </c>
      <c r="D5" s="16" t="str">
        <f>IFERROR(__xludf.DUMMYFUNCTION("""COMPUTED_VALUE"""),"Hand")</f>
        <v>Hand</v>
      </c>
      <c r="E5" s="16">
        <f>IFERROR(__xludf.DUMMYFUNCTION("""COMPUTED_VALUE"""),700.0)</f>
        <v>700</v>
      </c>
      <c r="F5" s="16" t="str">
        <f>IFERROR(__xludf.DUMMYFUNCTION("""COMPUTED_VALUE"""),"DMG: +25000, Nature DMG: +10000 ++When in a Natural environment all attacks with this weapon will roll twice and take the higher number")</f>
        <v>DMG: +25000, Nature DMG: +10000 ++When in a Natural environment all attacks with this weapon will roll twice and take the higher number</v>
      </c>
      <c r="G5" s="16">
        <f>IFERROR(__xludf.DUMMYFUNCTION("""COMPUTED_VALUE"""),2.415E7)</f>
        <v>24150000</v>
      </c>
      <c r="H5" s="16"/>
      <c r="I5" s="16"/>
      <c r="J5" s="16"/>
      <c r="K5" s="16"/>
      <c r="L5" s="16"/>
      <c r="M5" s="16"/>
      <c r="N5" s="16"/>
      <c r="O5" s="16"/>
      <c r="P5" s="16"/>
      <c r="Q5" s="16"/>
      <c r="R5" s="16"/>
      <c r="S5" s="16"/>
      <c r="T5" s="16"/>
      <c r="U5" s="16"/>
      <c r="V5" s="16"/>
      <c r="W5" s="16"/>
      <c r="X5" s="16"/>
      <c r="Y5" s="16"/>
      <c r="Z5" s="16"/>
    </row>
    <row r="6">
      <c r="A6" s="16" t="str">
        <f>IFERROR(__xludf.DUMMYFUNCTION("""COMPUTED_VALUE"""),"Ancient Samurai Sword")</f>
        <v>Ancient Samurai Sword</v>
      </c>
      <c r="B6" s="16"/>
      <c r="C6" s="16" t="str">
        <f>IFERROR(__xludf.DUMMYFUNCTION("""COMPUTED_VALUE"""),"Sword")</f>
        <v>Sword</v>
      </c>
      <c r="D6" s="16" t="str">
        <f>IFERROR(__xludf.DUMMYFUNCTION("""COMPUTED_VALUE"""),"Hand")</f>
        <v>Hand</v>
      </c>
      <c r="E6" s="16">
        <f>IFERROR(__xludf.DUMMYFUNCTION("""COMPUTED_VALUE"""),800.0)</f>
        <v>800</v>
      </c>
      <c r="F6" s="16" t="str">
        <f>IFERROR(__xludf.DUMMYFUNCTION("""COMPUTED_VALUE"""),"DMG: +10000, Fire DMG: +10000, Light DMG: +10000, Order DMG: +10000 ++Doubles the chance for the Sword ability to activate")</f>
        <v>DMG: +10000, Fire DMG: +10000, Light DMG: +10000, Order DMG: +10000 ++Doubles the chance for the Sword ability to activate</v>
      </c>
      <c r="G6" s="16">
        <f>IFERROR(__xludf.DUMMYFUNCTION("""COMPUTED_VALUE"""),3.16E7)</f>
        <v>31600000</v>
      </c>
      <c r="H6" s="16"/>
      <c r="I6" s="16"/>
      <c r="J6" s="16"/>
      <c r="K6" s="16"/>
      <c r="L6" s="16"/>
      <c r="M6" s="16"/>
      <c r="N6" s="16"/>
      <c r="O6" s="16"/>
      <c r="P6" s="16"/>
      <c r="Q6" s="16"/>
      <c r="R6" s="16"/>
      <c r="S6" s="16"/>
      <c r="T6" s="16"/>
      <c r="U6" s="16"/>
      <c r="V6" s="16"/>
      <c r="W6" s="16"/>
      <c r="X6" s="16"/>
      <c r="Y6" s="16"/>
      <c r="Z6" s="16"/>
    </row>
    <row r="7">
      <c r="A7" s="16" t="str">
        <f>IFERROR(__xludf.DUMMYFUNCTION("""COMPUTED_VALUE"""),"Ancient Stone Guardians Sword")</f>
        <v>Ancient Stone Guardians Sword</v>
      </c>
      <c r="B7" s="16"/>
      <c r="C7" s="16" t="str">
        <f>IFERROR(__xludf.DUMMYFUNCTION("""COMPUTED_VALUE"""),"Sword")</f>
        <v>Sword</v>
      </c>
      <c r="D7" s="16" t="str">
        <f>IFERROR(__xludf.DUMMYFUNCTION("""COMPUTED_VALUE"""),"Hand")</f>
        <v>Hand</v>
      </c>
      <c r="E7" s="16">
        <f>IFERROR(__xludf.DUMMYFUNCTION("""COMPUTED_VALUE"""),1200.0)</f>
        <v>1200</v>
      </c>
      <c r="F7" s="16" t="str">
        <f>IFERROR(__xludf.DUMMYFUNCTION("""COMPUTED_VALUE"""),"DMG: +20000, Earth DMG: +20000, Light DMG: +20000 ++X2 Defense for all allies")</f>
        <v>DMG: +20000, Earth DMG: +20000, Light DMG: +20000 ++X2 Defense for all allies</v>
      </c>
      <c r="G7" s="16">
        <f>IFERROR(__xludf.DUMMYFUNCTION("""COMPUTED_VALUE"""),7.14E7)</f>
        <v>71400000</v>
      </c>
      <c r="H7" s="16"/>
      <c r="I7" s="16"/>
      <c r="J7" s="16"/>
      <c r="K7" s="16"/>
      <c r="L7" s="16"/>
      <c r="M7" s="16"/>
      <c r="N7" s="16"/>
      <c r="O7" s="16"/>
      <c r="P7" s="16"/>
      <c r="Q7" s="16"/>
      <c r="R7" s="16"/>
      <c r="S7" s="16"/>
      <c r="T7" s="16"/>
      <c r="U7" s="16"/>
      <c r="V7" s="16"/>
      <c r="W7" s="16"/>
      <c r="X7" s="16"/>
      <c r="Y7" s="16"/>
      <c r="Z7" s="16"/>
    </row>
    <row r="8">
      <c r="A8" s="16" t="str">
        <f>IFERROR(__xludf.DUMMYFUNCTION("""COMPUTED_VALUE"""),"Aqua Robe")</f>
        <v>Aqua Robe</v>
      </c>
      <c r="B8" s="16"/>
      <c r="C8" s="16"/>
      <c r="D8" s="16" t="str">
        <f>IFERROR(__xludf.DUMMYFUNCTION("""COMPUTED_VALUE"""),"Torso")</f>
        <v>Torso</v>
      </c>
      <c r="E8" s="16">
        <f>IFERROR(__xludf.DUMMYFUNCTION("""COMPUTED_VALUE"""),40.0)</f>
        <v>40</v>
      </c>
      <c r="F8" s="16" t="str">
        <f>IFERROR(__xludf.DUMMYFUNCTION("""COMPUTED_VALUE"""),"DEF: +1000, Water DEF: +1000 ++X4 damage additional water damage for the user.")</f>
        <v>DEF: +1000, Water DEF: +1000 ++X4 damage additional water damage for the user.</v>
      </c>
      <c r="G8" s="16">
        <f>IFERROR(__xludf.DUMMYFUNCTION("""COMPUTED_VALUE"""),60000.0)</f>
        <v>60000</v>
      </c>
      <c r="H8" s="16"/>
      <c r="I8" s="16"/>
      <c r="J8" s="16"/>
      <c r="K8" s="16"/>
      <c r="L8" s="16"/>
      <c r="M8" s="16"/>
      <c r="N8" s="16"/>
      <c r="O8" s="16"/>
      <c r="P8" s="16"/>
      <c r="Q8" s="16"/>
      <c r="R8" s="16"/>
      <c r="S8" s="16"/>
      <c r="T8" s="16"/>
      <c r="U8" s="16"/>
      <c r="V8" s="16"/>
      <c r="W8" s="16"/>
      <c r="X8" s="16"/>
      <c r="Y8" s="16"/>
      <c r="Z8" s="16"/>
    </row>
    <row r="9">
      <c r="A9" s="16" t="str">
        <f>IFERROR(__xludf.DUMMYFUNCTION("""COMPUTED_VALUE"""),"Aquatic Boots of Atlantis")</f>
        <v>Aquatic Boots of Atlantis</v>
      </c>
      <c r="B9" s="16"/>
      <c r="C9" s="16"/>
      <c r="D9" s="16" t="str">
        <f>IFERROR(__xludf.DUMMYFUNCTION("""COMPUTED_VALUE"""),"Feet")</f>
        <v>Feet</v>
      </c>
      <c r="E9" s="16">
        <f>IFERROR(__xludf.DUMMYFUNCTION("""COMPUTED_VALUE"""),300.0)</f>
        <v>300</v>
      </c>
      <c r="F9" s="16" t="str">
        <f>IFERROR(__xludf.DUMMYFUNCTION("""COMPUTED_VALUE"""),"DEF: +7500, Water DEF: +7500 ++X6 additional water damage for self.")</f>
        <v>DEF: +7500, Water DEF: +7500 ++X6 additional water damage for self.</v>
      </c>
      <c r="G9" s="16">
        <f>IFERROR(__xludf.DUMMYFUNCTION("""COMPUTED_VALUE"""),4350000.0)</f>
        <v>4350000</v>
      </c>
      <c r="H9" s="16"/>
      <c r="I9" s="16"/>
      <c r="J9" s="16"/>
      <c r="K9" s="16"/>
      <c r="L9" s="16"/>
      <c r="M9" s="16"/>
      <c r="N9" s="16"/>
      <c r="O9" s="16"/>
      <c r="P9" s="16"/>
      <c r="Q9" s="16"/>
      <c r="R9" s="16"/>
      <c r="S9" s="16"/>
      <c r="T9" s="16"/>
      <c r="U9" s="16"/>
      <c r="V9" s="16"/>
      <c r="W9" s="16"/>
      <c r="X9" s="16"/>
      <c r="Y9" s="16"/>
      <c r="Z9" s="16"/>
    </row>
    <row r="10">
      <c r="A10" s="16" t="str">
        <f>IFERROR(__xludf.DUMMYFUNCTION("""COMPUTED_VALUE"""),"Aquatic Chestplate of Atlantis")</f>
        <v>Aquatic Chestplate of Atlantis</v>
      </c>
      <c r="B10" s="16"/>
      <c r="C10" s="16"/>
      <c r="D10" s="16" t="str">
        <f>IFERROR(__xludf.DUMMYFUNCTION("""COMPUTED_VALUE"""),"Torso")</f>
        <v>Torso</v>
      </c>
      <c r="E10" s="16">
        <f>IFERROR(__xludf.DUMMYFUNCTION("""COMPUTED_VALUE"""),600.0)</f>
        <v>600</v>
      </c>
      <c r="F10" s="16" t="str">
        <f>IFERROR(__xludf.DUMMYFUNCTION("""COMPUTED_VALUE"""),"DEF: +15000, Water DEF: +15000 ++X6 additional water damage for self.  ++X8 Defense for self and allies if you have all Aquatic Atlantis Equipment Equipped.")</f>
        <v>DEF: +15000, Water DEF: +15000 ++X6 additional water damage for self.  ++X8 Defense for self and allies if you have all Aquatic Atlantis Equipment Equipped.</v>
      </c>
      <c r="G10" s="16">
        <f>IFERROR(__xludf.DUMMYFUNCTION("""COMPUTED_VALUE"""),1.77E7)</f>
        <v>17700000</v>
      </c>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IFERROR(__xludf.DUMMYFUNCTION("""COMPUTED_VALUE"""),"Aquatic Greaves of Atlantis")</f>
        <v>Aquatic Greaves of Atlantis</v>
      </c>
      <c r="B11" s="16"/>
      <c r="C11" s="16"/>
      <c r="D11" s="16" t="str">
        <f>IFERROR(__xludf.DUMMYFUNCTION("""COMPUTED_VALUE"""),"Legs")</f>
        <v>Legs</v>
      </c>
      <c r="E11" s="16">
        <f>IFERROR(__xludf.DUMMYFUNCTION("""COMPUTED_VALUE"""),300.0)</f>
        <v>300</v>
      </c>
      <c r="F11" s="16" t="str">
        <f>IFERROR(__xludf.DUMMYFUNCTION("""COMPUTED_VALUE"""),"DEF: +7500, Water DEF: +7500 ++X6 additional water damage for self.")</f>
        <v>DEF: +7500, Water DEF: +7500 ++X6 additional water damage for self.</v>
      </c>
      <c r="G11" s="16">
        <f>IFERROR(__xludf.DUMMYFUNCTION("""COMPUTED_VALUE"""),4350000.0)</f>
        <v>4350000</v>
      </c>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IFERROR(__xludf.DUMMYFUNCTION("""COMPUTED_VALUE"""),"Aquatic Helmet of Atlantis")</f>
        <v>Aquatic Helmet of Atlantis</v>
      </c>
      <c r="B12" s="16"/>
      <c r="C12" s="16"/>
      <c r="D12" s="16" t="str">
        <f>IFERROR(__xludf.DUMMYFUNCTION("""COMPUTED_VALUE"""),"Head")</f>
        <v>Head</v>
      </c>
      <c r="E12" s="16">
        <f>IFERROR(__xludf.DUMMYFUNCTION("""COMPUTED_VALUE"""),300.0)</f>
        <v>300</v>
      </c>
      <c r="F12" s="16" t="str">
        <f>IFERROR(__xludf.DUMMYFUNCTION("""COMPUTED_VALUE"""),"DEF: +7500, Water DEF: +7500 ++X6 additional water damage for self.")</f>
        <v>DEF: +7500, Water DEF: +7500 ++X6 additional water damage for self.</v>
      </c>
      <c r="G12" s="16">
        <f>IFERROR(__xludf.DUMMYFUNCTION("""COMPUTED_VALUE"""),4350000.0)</f>
        <v>4350000</v>
      </c>
      <c r="H12" s="16"/>
      <c r="I12" s="16"/>
      <c r="J12" s="16"/>
      <c r="K12" s="16"/>
      <c r="L12" s="16"/>
      <c r="M12" s="16"/>
      <c r="N12" s="16"/>
      <c r="O12" s="16"/>
      <c r="P12" s="16"/>
      <c r="Q12" s="16"/>
      <c r="R12" s="16"/>
      <c r="S12" s="16"/>
      <c r="T12" s="16"/>
      <c r="U12" s="16"/>
      <c r="V12" s="16"/>
      <c r="W12" s="16"/>
      <c r="X12" s="16"/>
      <c r="Y12" s="16"/>
      <c r="Z12" s="16"/>
    </row>
    <row r="13">
      <c r="A13" s="16" t="str">
        <f>IFERROR(__xludf.DUMMYFUNCTION("""COMPUTED_VALUE"""),"Aquatic Pauldrons of Atlantis")</f>
        <v>Aquatic Pauldrons of Atlantis</v>
      </c>
      <c r="B13" s="16"/>
      <c r="C13" s="16"/>
      <c r="D13" s="16" t="str">
        <f>IFERROR(__xludf.DUMMYFUNCTION("""COMPUTED_VALUE"""),"Shoulders")</f>
        <v>Shoulders</v>
      </c>
      <c r="E13" s="16">
        <f>IFERROR(__xludf.DUMMYFUNCTION("""COMPUTED_VALUE"""),300.0)</f>
        <v>300</v>
      </c>
      <c r="F13" s="16" t="str">
        <f>IFERROR(__xludf.DUMMYFUNCTION("""COMPUTED_VALUE"""),"DEF: +7500, Water DEF: +7500 ++X6 additional water damage for self.")</f>
        <v>DEF: +7500, Water DEF: +7500 ++X6 additional water damage for self.</v>
      </c>
      <c r="G13" s="16">
        <f>IFERROR(__xludf.DUMMYFUNCTION("""COMPUTED_VALUE"""),4350000.0)</f>
        <v>4350000</v>
      </c>
      <c r="H13" s="16"/>
      <c r="I13" s="16"/>
      <c r="J13" s="16"/>
      <c r="K13" s="16"/>
      <c r="L13" s="16"/>
      <c r="M13" s="16"/>
      <c r="N13" s="16"/>
      <c r="O13" s="16"/>
      <c r="P13" s="16"/>
      <c r="Q13" s="16"/>
      <c r="R13" s="16"/>
      <c r="S13" s="16"/>
      <c r="T13" s="16"/>
      <c r="U13" s="16"/>
      <c r="V13" s="16"/>
      <c r="W13" s="16"/>
      <c r="X13" s="16"/>
      <c r="Y13" s="16"/>
      <c r="Z13" s="16"/>
    </row>
    <row r="14">
      <c r="A14" s="16" t="str">
        <f>IFERROR(__xludf.DUMMYFUNCTION("""COMPUTED_VALUE"""),"Aquatic Sword of Atlantis")</f>
        <v>Aquatic Sword of Atlantis</v>
      </c>
      <c r="B14" s="16"/>
      <c r="C14" s="16" t="str">
        <f>IFERROR(__xludf.DUMMYFUNCTION("""COMPUTED_VALUE"""),"Sword")</f>
        <v>Sword</v>
      </c>
      <c r="D14" s="16" t="str">
        <f>IFERROR(__xludf.DUMMYFUNCTION("""COMPUTED_VALUE"""),"Hand")</f>
        <v>Hand</v>
      </c>
      <c r="E14" s="16">
        <f>IFERROR(__xludf.DUMMYFUNCTION("""COMPUTED_VALUE"""),1200.0)</f>
        <v>1200</v>
      </c>
      <c r="F14" s="16" t="str">
        <f>IFERROR(__xludf.DUMMYFUNCTION("""COMPUTED_VALUE"""),"DMG: +30000, Water DMG: +30000 ++X6 additional water damage for self, ++Tides of Atlantis: Upon a successful hit this weapon has a 50% chance to cast Tsunami for no sp cost. Cannot be duplicated.")</f>
        <v>DMG: +30000, Water DMG: +30000 ++X6 additional water damage for self, ++Tides of Atlantis: Upon a successful hit this weapon has a 50% chance to cast Tsunami for no sp cost. Cannot be duplicated.</v>
      </c>
      <c r="G14" s="16">
        <f>IFERROR(__xludf.DUMMYFUNCTION("""COMPUTED_VALUE"""),7.14E7)</f>
        <v>71400000</v>
      </c>
      <c r="H14" s="16"/>
      <c r="I14" s="16"/>
      <c r="J14" s="16"/>
      <c r="K14" s="16"/>
      <c r="L14" s="16"/>
      <c r="M14" s="16"/>
      <c r="N14" s="16"/>
      <c r="O14" s="16"/>
      <c r="P14" s="16"/>
      <c r="Q14" s="16"/>
      <c r="R14" s="16"/>
      <c r="S14" s="16"/>
      <c r="T14" s="16"/>
      <c r="U14" s="16"/>
      <c r="V14" s="16"/>
      <c r="W14" s="16"/>
      <c r="X14" s="16"/>
      <c r="Y14" s="16"/>
      <c r="Z14" s="16"/>
    </row>
    <row r="15">
      <c r="A15" s="16" t="str">
        <f>IFERROR(__xludf.DUMMYFUNCTION("""COMPUTED_VALUE"""),"Aquatic Vambraces of Atlantis")</f>
        <v>Aquatic Vambraces of Atlantis</v>
      </c>
      <c r="B15" s="16"/>
      <c r="C15" s="16"/>
      <c r="D15" s="16" t="str">
        <f>IFERROR(__xludf.DUMMYFUNCTION("""COMPUTED_VALUE"""),"Arms")</f>
        <v>Arms</v>
      </c>
      <c r="E15" s="16">
        <f>IFERROR(__xludf.DUMMYFUNCTION("""COMPUTED_VALUE"""),300.0)</f>
        <v>300</v>
      </c>
      <c r="F15" s="16" t="str">
        <f>IFERROR(__xludf.DUMMYFUNCTION("""COMPUTED_VALUE"""),"DEF: +7500, Water DEF: +7500 X6 additional water damage for self.")</f>
        <v>DEF: +7500, Water DEF: +7500 X6 additional water damage for self.</v>
      </c>
      <c r="G15" s="16">
        <f>IFERROR(__xludf.DUMMYFUNCTION("""COMPUTED_VALUE"""),4350000.0)</f>
        <v>4350000</v>
      </c>
      <c r="H15" s="16"/>
      <c r="I15" s="16"/>
      <c r="J15" s="16"/>
      <c r="K15" s="16"/>
      <c r="L15" s="16"/>
      <c r="M15" s="16"/>
      <c r="N15" s="16"/>
      <c r="O15" s="16"/>
      <c r="P15" s="16"/>
      <c r="Q15" s="16"/>
      <c r="R15" s="16"/>
      <c r="S15" s="16"/>
      <c r="T15" s="16"/>
      <c r="U15" s="16"/>
      <c r="V15" s="16"/>
      <c r="W15" s="16"/>
      <c r="X15" s="16"/>
      <c r="Y15" s="16"/>
      <c r="Z15" s="16"/>
    </row>
    <row r="16">
      <c r="A16" s="16" t="str">
        <f>IFERROR(__xludf.DUMMYFUNCTION("""COMPUTED_VALUE"""),"Archer’s Cloaked Vest")</f>
        <v>Archer’s Cloaked Vest</v>
      </c>
      <c r="B16" s="16"/>
      <c r="C16" s="16"/>
      <c r="D16" s="16" t="str">
        <f>IFERROR(__xludf.DUMMYFUNCTION("""COMPUTED_VALUE"""),"Torso")</f>
        <v>Torso</v>
      </c>
      <c r="E16" s="16">
        <f>IFERROR(__xludf.DUMMYFUNCTION("""COMPUTED_VALUE"""),20.0)</f>
        <v>20</v>
      </c>
      <c r="F16" s="16" t="str">
        <f>IFERROR(__xludf.DUMMYFUNCTION("""COMPUTED_VALUE"""),"DEF: +800 (Ranger Set) ++Half the Arrow - Range Spells cost half the sp cost, ++Ranger Enrage - All Ranged Spells do double in damage ++only archers can equip")</f>
        <v>DEF: +800 (Ranger Set) ++Half the Arrow - Range Spells cost half the sp cost, ++Ranger Enrage - All Ranged Spells do double in damage ++only archers can equip</v>
      </c>
      <c r="G16" s="16">
        <f>IFERROR(__xludf.DUMMYFUNCTION("""COMPUTED_VALUE"""),1000.0)</f>
        <v>1000</v>
      </c>
      <c r="H16" s="16"/>
      <c r="I16" s="16"/>
      <c r="J16" s="16"/>
      <c r="K16" s="16"/>
      <c r="L16" s="16"/>
      <c r="M16" s="16"/>
      <c r="N16" s="16"/>
      <c r="O16" s="16"/>
      <c r="P16" s="16"/>
      <c r="Q16" s="16"/>
      <c r="R16" s="16"/>
      <c r="S16" s="16"/>
      <c r="T16" s="16"/>
      <c r="U16" s="16"/>
      <c r="V16" s="16"/>
      <c r="W16" s="16"/>
      <c r="X16" s="16"/>
      <c r="Y16" s="16"/>
      <c r="Z16" s="16"/>
    </row>
    <row r="17">
      <c r="A17" s="16" t="str">
        <f>IFERROR(__xludf.DUMMYFUNCTION("""COMPUTED_VALUE"""),"Archers Boots")</f>
        <v>Archers Boots</v>
      </c>
      <c r="B17" s="16"/>
      <c r="C17" s="16"/>
      <c r="D17" s="16" t="str">
        <f>IFERROR(__xludf.DUMMYFUNCTION("""COMPUTED_VALUE"""),"Feet")</f>
        <v>Feet</v>
      </c>
      <c r="E17" s="16">
        <f>IFERROR(__xludf.DUMMYFUNCTION("""COMPUTED_VALUE"""),1.0)</f>
        <v>1</v>
      </c>
      <c r="F17" s="16" t="str">
        <f>IFERROR(__xludf.DUMMYFUNCTION("""COMPUTED_VALUE""")," (Ranger Set) ++5 evasion ++Only archers can equip, +-Cannot be duplicated or forged.")</f>
        <v> (Ranger Set) ++5 evasion ++Only archers can equip, +-Cannot be duplicated or forged.</v>
      </c>
      <c r="G17" s="16">
        <f>IFERROR(__xludf.DUMMYFUNCTION("""COMPUTED_VALUE"""),0.0)</f>
        <v>0</v>
      </c>
      <c r="H17" s="16"/>
      <c r="I17" s="16"/>
      <c r="J17" s="16"/>
      <c r="K17" s="16"/>
      <c r="L17" s="16"/>
      <c r="M17" s="16"/>
      <c r="N17" s="16"/>
      <c r="O17" s="16"/>
      <c r="P17" s="16"/>
      <c r="Q17" s="16"/>
      <c r="R17" s="16"/>
      <c r="S17" s="16"/>
      <c r="T17" s="16"/>
      <c r="U17" s="16"/>
      <c r="V17" s="16"/>
      <c r="W17" s="16"/>
      <c r="X17" s="16"/>
      <c r="Y17" s="16"/>
      <c r="Z17" s="16"/>
    </row>
    <row r="18">
      <c r="A18" s="16" t="str">
        <f>IFERROR(__xludf.DUMMYFUNCTION("""COMPUTED_VALUE"""),"Archers Cloak")</f>
        <v>Archers Cloak</v>
      </c>
      <c r="B18" s="16"/>
      <c r="C18" s="16"/>
      <c r="D18" s="16" t="str">
        <f>IFERROR(__xludf.DUMMYFUNCTION("""COMPUTED_VALUE"""),"Torso")</f>
        <v>Torso</v>
      </c>
      <c r="E18" s="16">
        <f>IFERROR(__xludf.DUMMYFUNCTION("""COMPUTED_VALUE"""),1.0)</f>
        <v>1</v>
      </c>
      <c r="F18" s="16" t="str">
        <f>IFERROR(__xludf.DUMMYFUNCTION("""COMPUTED_VALUE""")," (Ranger Set) ++Ranged Spells cost half the sp cost ++Only archers can equip")</f>
        <v> (Ranger Set) ++Ranged Spells cost half the sp cost ++Only archers can equip</v>
      </c>
      <c r="G18" s="16">
        <f>IFERROR(__xludf.DUMMYFUNCTION("""COMPUTED_VALUE"""),0.0)</f>
        <v>0</v>
      </c>
      <c r="H18" s="16"/>
      <c r="I18" s="16"/>
      <c r="J18" s="16"/>
      <c r="K18" s="16"/>
      <c r="L18" s="16"/>
      <c r="M18" s="16"/>
      <c r="N18" s="16"/>
      <c r="O18" s="16"/>
      <c r="P18" s="16"/>
      <c r="Q18" s="16"/>
      <c r="R18" s="16"/>
      <c r="S18" s="16"/>
      <c r="T18" s="16"/>
      <c r="U18" s="16"/>
      <c r="V18" s="16"/>
      <c r="W18" s="16"/>
      <c r="X18" s="16"/>
      <c r="Y18" s="16"/>
      <c r="Z18" s="16"/>
    </row>
    <row r="19">
      <c r="A19" s="16" t="str">
        <f>IFERROR(__xludf.DUMMYFUNCTION("""COMPUTED_VALUE"""),"Armor Of Cthulhu")</f>
        <v>Armor Of Cthulhu</v>
      </c>
      <c r="B19" s="16"/>
      <c r="C19" s="16"/>
      <c r="D19" s="16" t="str">
        <f>IFERROR(__xludf.DUMMYFUNCTION("""COMPUTED_VALUE"""),"Torso")</f>
        <v>Torso</v>
      </c>
      <c r="E19" s="16">
        <f>IFERROR(__xludf.DUMMYFUNCTION("""COMPUTED_VALUE"""),400.0)</f>
        <v>400</v>
      </c>
      <c r="F19" s="16" t="str">
        <f>IFERROR(__xludf.DUMMYFUNCTION("""COMPUTED_VALUE"""),"DEF: +20000 (Cthulhu Set) ++Curse of Cthulhu - When the wearer takes damage the wearer will gain half the damage back as HP and SP.")</f>
        <v>DEF: +20000 (Cthulhu Set) ++Curse of Cthulhu - When the wearer takes damage the wearer will gain half the damage back as HP and SP.</v>
      </c>
      <c r="G19" s="16">
        <f>IFERROR(__xludf.DUMMYFUNCTION("""COMPUTED_VALUE"""),7800000.0)</f>
        <v>7800000</v>
      </c>
      <c r="H19" s="16"/>
      <c r="I19" s="16"/>
      <c r="J19" s="16"/>
      <c r="K19" s="16"/>
      <c r="L19" s="16"/>
      <c r="M19" s="16"/>
      <c r="N19" s="16"/>
      <c r="O19" s="16"/>
      <c r="P19" s="16"/>
      <c r="Q19" s="16"/>
      <c r="R19" s="16"/>
      <c r="S19" s="16"/>
      <c r="T19" s="16"/>
      <c r="U19" s="16"/>
      <c r="V19" s="16"/>
      <c r="W19" s="16"/>
      <c r="X19" s="16"/>
      <c r="Y19" s="16"/>
      <c r="Z19" s="16"/>
    </row>
    <row r="20">
      <c r="A20" s="16" t="str">
        <f>IFERROR(__xludf.DUMMYFUNCTION("""COMPUTED_VALUE"""),"Armor Of Zeldron")</f>
        <v>Armor Of Zeldron</v>
      </c>
      <c r="B20" s="16" t="str">
        <f>IFERROR(__xludf.DUMMYFUNCTION("""COMPUTED_VALUE"""),"Made of gold")</f>
        <v>Made of gold</v>
      </c>
      <c r="C20" s="16"/>
      <c r="D20" s="16" t="str">
        <f>IFERROR(__xludf.DUMMYFUNCTION("""COMPUTED_VALUE"""),"Torso")</f>
        <v>Torso</v>
      </c>
      <c r="E20" s="16">
        <f>IFERROR(__xludf.DUMMYFUNCTION("""COMPUTED_VALUE"""),400.0)</f>
        <v>400</v>
      </c>
      <c r="F20" s="16" t="str">
        <f>IFERROR(__xludf.DUMMYFUNCTION("""COMPUTED_VALUE"""),"DEF: +10000, Order DEF: +10000")</f>
        <v>DEF: +10000, Order DEF: +10000</v>
      </c>
      <c r="G20" s="16">
        <f>IFERROR(__xludf.DUMMYFUNCTION("""COMPUTED_VALUE"""),7800000.0)</f>
        <v>7800000</v>
      </c>
      <c r="H20" s="16"/>
      <c r="I20" s="16"/>
      <c r="J20" s="16"/>
      <c r="K20" s="16"/>
      <c r="L20" s="16"/>
      <c r="M20" s="16"/>
      <c r="N20" s="16"/>
      <c r="O20" s="16"/>
      <c r="P20" s="16"/>
      <c r="Q20" s="16"/>
      <c r="R20" s="16"/>
      <c r="S20" s="16"/>
      <c r="T20" s="16"/>
      <c r="U20" s="16"/>
      <c r="V20" s="16"/>
      <c r="W20" s="16"/>
      <c r="X20" s="16"/>
      <c r="Y20" s="16"/>
      <c r="Z20" s="16"/>
    </row>
    <row r="21">
      <c r="A21" s="16" t="str">
        <f>IFERROR(__xludf.DUMMYFUNCTION("""COMPUTED_VALUE"""),"Ashen Pole Axe")</f>
        <v>Ashen Pole Axe</v>
      </c>
      <c r="B21" s="16"/>
      <c r="C21" s="16" t="str">
        <f>IFERROR(__xludf.DUMMYFUNCTION("""COMPUTED_VALUE"""),"Axe")</f>
        <v>Axe</v>
      </c>
      <c r="D21" s="16" t="str">
        <f>IFERROR(__xludf.DUMMYFUNCTION("""COMPUTED_VALUE"""),"Hand")</f>
        <v>Hand</v>
      </c>
      <c r="E21" s="16">
        <f>IFERROR(__xludf.DUMMYFUNCTION("""COMPUTED_VALUE"""),20.0)</f>
        <v>20</v>
      </c>
      <c r="F21" s="16" t="str">
        <f>IFERROR(__xludf.DUMMYFUNCTION("""COMPUTED_VALUE"""),"DMG: +500, Fire DMG: +500 ++Inflicts Burn 500")</f>
        <v>DMG: +500, Fire DMG: +500 ++Inflicts Burn 500</v>
      </c>
      <c r="G21" s="16">
        <f>IFERROR(__xludf.DUMMYFUNCTION("""COMPUTED_VALUE"""),10000.0)</f>
        <v>10000</v>
      </c>
      <c r="H21" s="16"/>
      <c r="I21" s="16"/>
      <c r="J21" s="16"/>
      <c r="K21" s="16"/>
      <c r="L21" s="16"/>
      <c r="M21" s="16"/>
      <c r="N21" s="16"/>
      <c r="O21" s="16"/>
      <c r="P21" s="16"/>
      <c r="Q21" s="16"/>
      <c r="R21" s="16"/>
      <c r="S21" s="16"/>
      <c r="T21" s="16"/>
      <c r="U21" s="16"/>
      <c r="V21" s="16"/>
      <c r="W21" s="16"/>
      <c r="X21" s="16"/>
      <c r="Y21" s="16"/>
      <c r="Z21" s="16"/>
    </row>
    <row r="22">
      <c r="A22" s="16" t="str">
        <f>IFERROR(__xludf.DUMMYFUNCTION("""COMPUTED_VALUE"""),"Bamboo Spear")</f>
        <v>Bamboo Spear</v>
      </c>
      <c r="B22" s="16"/>
      <c r="C22" s="16" t="str">
        <f>IFERROR(__xludf.DUMMYFUNCTION("""COMPUTED_VALUE"""),"Spear")</f>
        <v>Spear</v>
      </c>
      <c r="D22" s="16" t="str">
        <f>IFERROR(__xludf.DUMMYFUNCTION("""COMPUTED_VALUE"""),"Hand")</f>
        <v>Hand</v>
      </c>
      <c r="E22" s="16">
        <f>IFERROR(__xludf.DUMMYFUNCTION("""COMPUTED_VALUE"""),60.0)</f>
        <v>60</v>
      </c>
      <c r="F22" s="16" t="str">
        <f>IFERROR(__xludf.DUMMYFUNCTION("""COMPUTED_VALUE"""),"DMG: +1000, Nature DMG: +1000, Blood DMG: +1000 ++When striking an enemy with this weapon, they X2 additional Nature damage.")</f>
        <v>DMG: +1000, Nature DMG: +1000, Blood DMG: +1000 ++When striking an enemy with this weapon, they X2 additional Nature damage.</v>
      </c>
      <c r="G22" s="16">
        <f>IFERROR(__xludf.DUMMYFUNCTION("""COMPUTED_VALUE"""),150000.0)</f>
        <v>150000</v>
      </c>
      <c r="H22" s="16"/>
      <c r="I22" s="16"/>
      <c r="J22" s="16"/>
      <c r="K22" s="16"/>
      <c r="L22" s="16"/>
      <c r="M22" s="16"/>
      <c r="N22" s="16"/>
      <c r="O22" s="16"/>
      <c r="P22" s="16"/>
      <c r="Q22" s="16"/>
      <c r="R22" s="16"/>
      <c r="S22" s="16"/>
      <c r="T22" s="16"/>
      <c r="U22" s="16"/>
      <c r="V22" s="16"/>
      <c r="W22" s="16"/>
      <c r="X22" s="16"/>
      <c r="Y22" s="16"/>
      <c r="Z22" s="16"/>
    </row>
    <row r="23">
      <c r="A23" s="16" t="str">
        <f>IFERROR(__xludf.DUMMYFUNCTION("""COMPUTED_VALUE"""),"Baosheng’s Restore Pendant")</f>
        <v>Baosheng’s Restore Pendant</v>
      </c>
      <c r="B23" s="16"/>
      <c r="C23" s="16"/>
      <c r="D23" s="16" t="str">
        <f>IFERROR(__xludf.DUMMYFUNCTION("""COMPUTED_VALUE"""),"Neck")</f>
        <v>Neck</v>
      </c>
      <c r="E23" s="16">
        <f>IFERROR(__xludf.DUMMYFUNCTION("""COMPUTED_VALUE"""),1.0)</f>
        <v>1</v>
      </c>
      <c r="F23" s="16" t="str">
        <f>IFERROR(__xludf.DUMMYFUNCTION("""COMPUTED_VALUE""")," ++Restores 100 HP and SP per round during battle.")</f>
        <v> ++Restores 100 HP and SP per round during battle.</v>
      </c>
      <c r="G23" s="16">
        <f>IFERROR(__xludf.DUMMYFUNCTION("""COMPUTED_VALUE"""),0.0)</f>
        <v>0</v>
      </c>
      <c r="H23" s="16"/>
      <c r="I23" s="16"/>
      <c r="J23" s="16"/>
      <c r="K23" s="16"/>
      <c r="L23" s="16"/>
      <c r="M23" s="16"/>
      <c r="N23" s="16"/>
      <c r="O23" s="16"/>
      <c r="P23" s="16"/>
      <c r="Q23" s="16"/>
      <c r="R23" s="16"/>
      <c r="S23" s="16"/>
      <c r="T23" s="16"/>
      <c r="U23" s="16"/>
      <c r="V23" s="16"/>
      <c r="W23" s="16"/>
      <c r="X23" s="16"/>
      <c r="Y23" s="16"/>
      <c r="Z23" s="16"/>
    </row>
    <row r="24">
      <c r="A24" s="16" t="str">
        <f>IFERROR(__xludf.DUMMYFUNCTION("""COMPUTED_VALUE"""),"Basic Cannon")</f>
        <v>Basic Cannon</v>
      </c>
      <c r="B24" s="16"/>
      <c r="C24" s="16" t="str">
        <f>IFERROR(__xludf.DUMMYFUNCTION("""COMPUTED_VALUE"""),"Firearm")</f>
        <v>Firearm</v>
      </c>
      <c r="D24" s="16" t="str">
        <f>IFERROR(__xludf.DUMMYFUNCTION("""COMPUTED_VALUE"""),"BoatGun")</f>
        <v>BoatGun</v>
      </c>
      <c r="E24" s="16">
        <f>IFERROR(__xludf.DUMMYFUNCTION("""COMPUTED_VALUE"""),400.0)</f>
        <v>400</v>
      </c>
      <c r="F24" s="16" t="str">
        <f>IFERROR(__xludf.DUMMYFUNCTION("""COMPUTED_VALUE"""),"DMG: +20000")</f>
        <v>DMG: +20000</v>
      </c>
      <c r="G24" s="16">
        <f>IFERROR(__xludf.DUMMYFUNCTION("""COMPUTED_VALUE"""),7800000.0)</f>
        <v>7800000</v>
      </c>
      <c r="H24" s="16"/>
      <c r="I24" s="16"/>
      <c r="J24" s="16"/>
      <c r="K24" s="16"/>
      <c r="L24" s="16"/>
      <c r="M24" s="16"/>
      <c r="N24" s="16"/>
      <c r="O24" s="16"/>
      <c r="P24" s="16"/>
      <c r="Q24" s="16"/>
      <c r="R24" s="16"/>
      <c r="S24" s="16"/>
      <c r="T24" s="16"/>
      <c r="U24" s="16"/>
      <c r="V24" s="16"/>
      <c r="W24" s="16"/>
      <c r="X24" s="16"/>
      <c r="Y24" s="16"/>
      <c r="Z24" s="16"/>
    </row>
    <row r="25">
      <c r="A25" s="16" t="str">
        <f>IFERROR(__xludf.DUMMYFUNCTION("""COMPUTED_VALUE"""),"Beltane Floral crown")</f>
        <v>Beltane Floral crown</v>
      </c>
      <c r="B25" s="16"/>
      <c r="C25" s="16"/>
      <c r="D25" s="16" t="str">
        <f>IFERROR(__xludf.DUMMYFUNCTION("""COMPUTED_VALUE"""),"Head")</f>
        <v>Head</v>
      </c>
      <c r="E25" s="16">
        <f>IFERROR(__xludf.DUMMYFUNCTION("""COMPUTED_VALUE"""),1.0)</f>
        <v>1</v>
      </c>
      <c r="F25" s="16" t="str">
        <f>IFERROR(__xludf.DUMMYFUNCTION("""COMPUTED_VALUE""")," ++Grants immunity to Nature.")</f>
        <v> ++Grants immunity to Nature.</v>
      </c>
      <c r="G25" s="16">
        <f>IFERROR(__xludf.DUMMYFUNCTION("""COMPUTED_VALUE"""),0.0)</f>
        <v>0</v>
      </c>
      <c r="H25" s="16"/>
      <c r="I25" s="16"/>
      <c r="J25" s="16"/>
      <c r="K25" s="16"/>
      <c r="L25" s="16"/>
      <c r="M25" s="16"/>
      <c r="N25" s="16"/>
      <c r="O25" s="16"/>
      <c r="P25" s="16"/>
      <c r="Q25" s="16"/>
      <c r="R25" s="16"/>
      <c r="S25" s="16"/>
      <c r="T25" s="16"/>
      <c r="U25" s="16"/>
      <c r="V25" s="16"/>
      <c r="W25" s="16"/>
      <c r="X25" s="16"/>
      <c r="Y25" s="16"/>
      <c r="Z25" s="16"/>
    </row>
    <row r="26">
      <c r="A26" s="16" t="str">
        <f>IFERROR(__xludf.DUMMYFUNCTION("""COMPUTED_VALUE"""),"Beta Sword")</f>
        <v>Beta Sword</v>
      </c>
      <c r="B26" s="16"/>
      <c r="C26" s="16"/>
      <c r="D26" s="16" t="str">
        <f>IFERROR(__xludf.DUMMYFUNCTION("""COMPUTED_VALUE"""),"Hand")</f>
        <v>Hand</v>
      </c>
      <c r="E26" s="16">
        <f>IFERROR(__xludf.DUMMYFUNCTION("""COMPUTED_VALUE"""),3000.0)</f>
        <v>3000</v>
      </c>
      <c r="F26" s="16" t="str">
        <f>IFERROR(__xludf.DUMMYFUNCTION("""COMPUTED_VALUE"""),"DMG: +125000, Dark DMG: +25000 ++Allows you to use another party members companion on your turn as a second action.")</f>
        <v>DMG: +125000, Dark DMG: +25000 ++Allows you to use another party members companion on your turn as a second action.</v>
      </c>
      <c r="G26" s="16">
        <f>IFERROR(__xludf.DUMMYFUNCTION("""COMPUTED_VALUE"""),4.485E8)</f>
        <v>448500000</v>
      </c>
      <c r="H26" s="16"/>
      <c r="I26" s="16"/>
      <c r="J26" s="16"/>
      <c r="K26" s="16"/>
      <c r="L26" s="16"/>
      <c r="M26" s="16"/>
      <c r="N26" s="16"/>
      <c r="O26" s="16"/>
      <c r="P26" s="16"/>
      <c r="Q26" s="16"/>
      <c r="R26" s="16"/>
      <c r="S26" s="16"/>
      <c r="T26" s="16"/>
      <c r="U26" s="16"/>
      <c r="V26" s="16"/>
      <c r="W26" s="16"/>
      <c r="X26" s="16"/>
      <c r="Y26" s="16"/>
      <c r="Z26" s="16"/>
    </row>
    <row r="27">
      <c r="A27" s="16" t="str">
        <f>IFERROR(__xludf.DUMMYFUNCTION("""COMPUTED_VALUE"""),"Black Crystal Necklace of Luck")</f>
        <v>Black Crystal Necklace of Luck</v>
      </c>
      <c r="B27" s="16"/>
      <c r="C27" s="16"/>
      <c r="D27" s="16" t="str">
        <f>IFERROR(__xludf.DUMMYFUNCTION("""COMPUTED_VALUE"""),"Neck")</f>
        <v>Neck</v>
      </c>
      <c r="E27" s="16">
        <f>IFERROR(__xludf.DUMMYFUNCTION("""COMPUTED_VALUE"""),1.0)</f>
        <v>1</v>
      </c>
      <c r="F27" s="16" t="str">
        <f>IFERROR(__xludf.DUMMYFUNCTION("""COMPUTED_VALUE""")," ++Plus 2 is added to whatever number you roll on a d20 ++can only wear one, +-Cannot be forged or duplicated.")</f>
        <v> ++Plus 2 is added to whatever number you roll on a d20 ++can only wear one, +-Cannot be forged or duplicated.</v>
      </c>
      <c r="G27" s="16">
        <f>IFERROR(__xludf.DUMMYFUNCTION("""COMPUTED_VALUE"""),0.0)</f>
        <v>0</v>
      </c>
      <c r="H27" s="16"/>
      <c r="I27" s="16"/>
      <c r="J27" s="16"/>
      <c r="K27" s="16"/>
      <c r="L27" s="16"/>
      <c r="M27" s="16"/>
      <c r="N27" s="16"/>
      <c r="O27" s="16"/>
      <c r="P27" s="16"/>
      <c r="Q27" s="16"/>
      <c r="R27" s="16"/>
      <c r="S27" s="16"/>
      <c r="T27" s="16"/>
      <c r="U27" s="16"/>
      <c r="V27" s="16"/>
      <c r="W27" s="16"/>
      <c r="X27" s="16"/>
      <c r="Y27" s="16"/>
      <c r="Z27" s="16"/>
    </row>
    <row r="28">
      <c r="A28" s="16" t="str">
        <f>IFERROR(__xludf.DUMMYFUNCTION("""COMPUTED_VALUE"""),"Black Serpent Dragon Pendant")</f>
        <v>Black Serpent Dragon Pendant</v>
      </c>
      <c r="B28" s="16"/>
      <c r="C28" s="16"/>
      <c r="D28" s="16" t="str">
        <f>IFERROR(__xludf.DUMMYFUNCTION("""COMPUTED_VALUE"""),"Neck")</f>
        <v>Neck</v>
      </c>
      <c r="E28" s="16">
        <f>IFERROR(__xludf.DUMMYFUNCTION("""COMPUTED_VALUE"""),1.0)</f>
        <v>1</v>
      </c>
      <c r="F28" s="16" t="str">
        <f>IFERROR(__xludf.DUMMYFUNCTION("""COMPUTED_VALUE""")," ++Immunity to dark and water damage. ++X2 additional dark and water damage for the wearer.")</f>
        <v> ++Immunity to dark and water damage. ++X2 additional dark and water damage for the wearer.</v>
      </c>
      <c r="G28" s="16">
        <f>IFERROR(__xludf.DUMMYFUNCTION("""COMPUTED_VALUE"""),0.0)</f>
        <v>0</v>
      </c>
      <c r="H28" s="16"/>
      <c r="I28" s="16"/>
      <c r="J28" s="16"/>
      <c r="K28" s="16"/>
      <c r="L28" s="16"/>
      <c r="M28" s="16"/>
      <c r="N28" s="16"/>
      <c r="O28" s="16"/>
      <c r="P28" s="16"/>
      <c r="Q28" s="16"/>
      <c r="R28" s="16"/>
      <c r="S28" s="16"/>
      <c r="T28" s="16"/>
      <c r="U28" s="16"/>
      <c r="V28" s="16"/>
      <c r="W28" s="16"/>
      <c r="X28" s="16"/>
      <c r="Y28" s="16"/>
      <c r="Z28" s="16"/>
    </row>
    <row r="29">
      <c r="A29" s="16" t="str">
        <f>IFERROR(__xludf.DUMMYFUNCTION("""COMPUTED_VALUE"""),"Blade of Burning Energy")</f>
        <v>Blade of Burning Energy</v>
      </c>
      <c r="B29" s="16"/>
      <c r="C29" s="16" t="str">
        <f>IFERROR(__xludf.DUMMYFUNCTION("""COMPUTED_VALUE"""),"Sword")</f>
        <v>Sword</v>
      </c>
      <c r="D29" s="16" t="str">
        <f>IFERROR(__xludf.DUMMYFUNCTION("""COMPUTED_VALUE"""),"Hand")</f>
        <v>Hand</v>
      </c>
      <c r="E29" s="16">
        <f>IFERROR(__xludf.DUMMYFUNCTION("""COMPUTED_VALUE"""),400.0)</f>
        <v>400</v>
      </c>
      <c r="F29" s="16" t="str">
        <f>IFERROR(__xludf.DUMMYFUNCTION("""COMPUTED_VALUE"""),"DMG: +10000, Fire DMG: +10000 ++Burn 5000")</f>
        <v>DMG: +10000, Fire DMG: +10000 ++Burn 5000</v>
      </c>
      <c r="G29" s="16">
        <f>IFERROR(__xludf.DUMMYFUNCTION("""COMPUTED_VALUE"""),7800000.0)</f>
        <v>7800000</v>
      </c>
      <c r="H29" s="16"/>
      <c r="I29" s="16"/>
      <c r="J29" s="16"/>
      <c r="K29" s="16"/>
      <c r="L29" s="16"/>
      <c r="M29" s="16"/>
      <c r="N29" s="16"/>
      <c r="O29" s="16"/>
      <c r="P29" s="16"/>
      <c r="Q29" s="16"/>
      <c r="R29" s="16"/>
      <c r="S29" s="16"/>
      <c r="T29" s="16"/>
      <c r="U29" s="16"/>
      <c r="V29" s="16"/>
      <c r="W29" s="16"/>
      <c r="X29" s="16"/>
      <c r="Y29" s="16"/>
      <c r="Z29" s="16"/>
    </row>
    <row r="30">
      <c r="A30" s="16" t="str">
        <f>IFERROR(__xludf.DUMMYFUNCTION("""COMPUTED_VALUE"""),"Blood Katana")</f>
        <v>Blood Katana</v>
      </c>
      <c r="B30" s="16"/>
      <c r="C30" s="16" t="str">
        <f>IFERROR(__xludf.DUMMYFUNCTION("""COMPUTED_VALUE"""),"Sword")</f>
        <v>Sword</v>
      </c>
      <c r="D30" s="16" t="str">
        <f>IFERROR(__xludf.DUMMYFUNCTION("""COMPUTED_VALUE"""),"Hand")</f>
        <v>Hand</v>
      </c>
      <c r="E30" s="16">
        <f>IFERROR(__xludf.DUMMYFUNCTION("""COMPUTED_VALUE"""),400.0)</f>
        <v>400</v>
      </c>
      <c r="F30" s="16" t="str">
        <f>IFERROR(__xludf.DUMMYFUNCTION("""COMPUTED_VALUE"""),"DMG: +10000, Blood DMG: +10000 ++X2 blood damage for spells and weapons. +-Cannot be duplicated.")</f>
        <v>DMG: +10000, Blood DMG: +10000 ++X2 blood damage for spells and weapons. +-Cannot be duplicated.</v>
      </c>
      <c r="G30" s="16">
        <f>IFERROR(__xludf.DUMMYFUNCTION("""COMPUTED_VALUE"""),7800000.0)</f>
        <v>7800000</v>
      </c>
      <c r="H30" s="16"/>
      <c r="I30" s="16"/>
      <c r="J30" s="16"/>
      <c r="K30" s="16"/>
      <c r="L30" s="16"/>
      <c r="M30" s="16"/>
      <c r="N30" s="16"/>
      <c r="O30" s="16"/>
      <c r="P30" s="16"/>
      <c r="Q30" s="16"/>
      <c r="R30" s="16"/>
      <c r="S30" s="16"/>
      <c r="T30" s="16"/>
      <c r="U30" s="16"/>
      <c r="V30" s="16"/>
      <c r="W30" s="16"/>
      <c r="X30" s="16"/>
      <c r="Y30" s="16"/>
      <c r="Z30" s="16"/>
    </row>
    <row r="31">
      <c r="A31" s="16" t="str">
        <f>IFERROR(__xludf.DUMMYFUNCTION("""COMPUTED_VALUE"""),"Blue Steel Sword")</f>
        <v>Blue Steel Sword</v>
      </c>
      <c r="B31" s="16"/>
      <c r="C31" s="16" t="str">
        <f>IFERROR(__xludf.DUMMYFUNCTION("""COMPUTED_VALUE"""),"Sword")</f>
        <v>Sword</v>
      </c>
      <c r="D31" s="16" t="str">
        <f>IFERROR(__xludf.DUMMYFUNCTION("""COMPUTED_VALUE"""),"Hand")</f>
        <v>Hand</v>
      </c>
      <c r="E31" s="16">
        <f>IFERROR(__xludf.DUMMYFUNCTION("""COMPUTED_VALUE"""),40.0)</f>
        <v>40</v>
      </c>
      <c r="F31" s="16" t="str">
        <f>IFERROR(__xludf.DUMMYFUNCTION("""COMPUTED_VALUE"""),"DMG: +1000, Water DMG: +1000")</f>
        <v>DMG: +1000, Water DMG: +1000</v>
      </c>
      <c r="G31" s="16">
        <f>IFERROR(__xludf.DUMMYFUNCTION("""COMPUTED_VALUE"""),60000.0)</f>
        <v>60000</v>
      </c>
      <c r="H31" s="16"/>
      <c r="I31" s="16"/>
      <c r="J31" s="16"/>
      <c r="K31" s="16"/>
      <c r="L31" s="16"/>
      <c r="M31" s="16"/>
      <c r="N31" s="16"/>
      <c r="O31" s="16"/>
      <c r="P31" s="16"/>
      <c r="Q31" s="16"/>
      <c r="R31" s="16"/>
      <c r="S31" s="16"/>
      <c r="T31" s="16"/>
      <c r="U31" s="16"/>
      <c r="V31" s="16"/>
      <c r="W31" s="16"/>
      <c r="X31" s="16"/>
      <c r="Y31" s="16"/>
      <c r="Z31" s="16"/>
    </row>
    <row r="32">
      <c r="A32" s="16" t="str">
        <f>IFERROR(__xludf.DUMMYFUNCTION("""COMPUTED_VALUE"""),"Blunderbuss (Exclusive)")</f>
        <v>Blunderbuss (Exclusive)</v>
      </c>
      <c r="B32" s="16" t="str">
        <f>IFERROR(__xludf.DUMMYFUNCTION("""COMPUTED_VALUE"""),"The feast enjoyed on the first Thanksgiving didn’t hunt itself! The Pilgrims had to forage and hunt before setting the table. You can count on the Blunderbuss to help you when times are rough.")</f>
        <v>The feast enjoyed on the first Thanksgiving didn’t hunt itself! The Pilgrims had to forage and hunt before setting the table. You can count on the Blunderbuss to help you when times are rough.</v>
      </c>
      <c r="C32" s="16" t="str">
        <f>IFERROR(__xludf.DUMMYFUNCTION("""COMPUTED_VALUE"""),"Firearm")</f>
        <v>Firearm</v>
      </c>
      <c r="D32" s="16" t="str">
        <f>IFERROR(__xludf.DUMMYFUNCTION("""COMPUTED_VALUE"""),"Hand")</f>
        <v>Hand</v>
      </c>
      <c r="E32" s="16">
        <f>IFERROR(__xludf.DUMMYFUNCTION("""COMPUTED_VALUE"""),200.0)</f>
        <v>200</v>
      </c>
      <c r="F32" s="16" t="str">
        <f>IFERROR(__xludf.DUMMYFUNCTION("""COMPUTED_VALUE"""),": +50000, Celestial : +50000 ++This weapon will deal x4 damage if you are using the turkey hydra companion. +-You must take a turn to reload this weapon after using it.")</f>
        <v>: +50000, Celestial : +50000 ++This weapon will deal x4 damage if you are using the turkey hydra companion. +-You must take a turn to reload this weapon after using it.</v>
      </c>
      <c r="G32" s="16">
        <f>IFERROR(__xludf.DUMMYFUNCTION("""COMPUTED_VALUE"""),1.99E8)</f>
        <v>199000000</v>
      </c>
      <c r="H32" s="16"/>
      <c r="I32" s="16"/>
      <c r="J32" s="16"/>
      <c r="K32" s="16"/>
      <c r="L32" s="16"/>
      <c r="M32" s="16"/>
      <c r="N32" s="16"/>
      <c r="O32" s="16"/>
      <c r="P32" s="16"/>
      <c r="Q32" s="16"/>
      <c r="R32" s="16"/>
      <c r="S32" s="16"/>
      <c r="T32" s="16"/>
      <c r="U32" s="16"/>
      <c r="V32" s="16"/>
      <c r="W32" s="16"/>
      <c r="X32" s="16"/>
      <c r="Y32" s="16"/>
      <c r="Z32" s="16"/>
    </row>
    <row r="33">
      <c r="A33" s="16" t="str">
        <f>IFERROR(__xludf.DUMMYFUNCTION("""COMPUTED_VALUE"""),"Bone Sword ")</f>
        <v>Bone Sword </v>
      </c>
      <c r="B33" s="16"/>
      <c r="C33" s="16" t="str">
        <f>IFERROR(__xludf.DUMMYFUNCTION("""COMPUTED_VALUE"""),"Sword")</f>
        <v>Sword</v>
      </c>
      <c r="D33" s="16" t="str">
        <f>IFERROR(__xludf.DUMMYFUNCTION("""COMPUTED_VALUE"""),"Hand")</f>
        <v>Hand</v>
      </c>
      <c r="E33" s="16">
        <f>IFERROR(__xludf.DUMMYFUNCTION("""COMPUTED_VALUE"""),300.0)</f>
        <v>300</v>
      </c>
      <c r="F33" s="16" t="str">
        <f>IFERROR(__xludf.DUMMYFUNCTION("""COMPUTED_VALUE"""),"DMG: +5000, Earth DMG: +5000, Dark DMG: +5000 ++X2 Earth damage. ")</f>
        <v>DMG: +5000, Earth DMG: +5000, Dark DMG: +5000 ++X2 Earth damage. </v>
      </c>
      <c r="G33" s="16">
        <f>IFERROR(__xludf.DUMMYFUNCTION("""COMPUTED_VALUE"""),4350000.0)</f>
        <v>4350000</v>
      </c>
      <c r="H33" s="16"/>
      <c r="I33" s="16"/>
      <c r="J33" s="16"/>
      <c r="K33" s="16"/>
      <c r="L33" s="16"/>
      <c r="M33" s="16"/>
      <c r="N33" s="16"/>
      <c r="O33" s="16"/>
      <c r="P33" s="16"/>
      <c r="Q33" s="16"/>
      <c r="R33" s="16"/>
      <c r="S33" s="16"/>
      <c r="T33" s="16"/>
      <c r="U33" s="16"/>
      <c r="V33" s="16"/>
      <c r="W33" s="16"/>
      <c r="X33" s="16"/>
      <c r="Y33" s="16"/>
      <c r="Z33" s="16"/>
    </row>
    <row r="34">
      <c r="A34" s="16" t="str">
        <f>IFERROR(__xludf.DUMMYFUNCTION("""COMPUTED_VALUE"""),"Boots of Waking Waters")</f>
        <v>Boots of Waking Waters</v>
      </c>
      <c r="B34" s="16"/>
      <c r="C34" s="16"/>
      <c r="D34" s="16" t="str">
        <f>IFERROR(__xludf.DUMMYFUNCTION("""COMPUTED_VALUE"""),"Feet")</f>
        <v>Feet</v>
      </c>
      <c r="E34" s="16">
        <f>IFERROR(__xludf.DUMMYFUNCTION("""COMPUTED_VALUE"""),200.0)</f>
        <v>200</v>
      </c>
      <c r="F34" s="16" t="str">
        <f>IFERROR(__xludf.DUMMYFUNCTION("""COMPUTED_VALUE"""),"DEF: +5000, Water DEF: +5000 ++X4 additional water damage for self.")</f>
        <v>DEF: +5000, Water DEF: +5000 ++X4 additional water damage for self.</v>
      </c>
      <c r="G34" s="16">
        <f>IFERROR(__xludf.DUMMYFUNCTION("""COMPUTED_VALUE"""),1900000.0)</f>
        <v>1900000</v>
      </c>
      <c r="H34" s="16"/>
      <c r="I34" s="16"/>
      <c r="J34" s="16"/>
      <c r="K34" s="16"/>
      <c r="L34" s="16"/>
      <c r="M34" s="16"/>
      <c r="N34" s="16"/>
      <c r="O34" s="16"/>
      <c r="P34" s="16"/>
      <c r="Q34" s="16"/>
      <c r="R34" s="16"/>
      <c r="S34" s="16"/>
      <c r="T34" s="16"/>
      <c r="U34" s="16"/>
      <c r="V34" s="16"/>
      <c r="W34" s="16"/>
      <c r="X34" s="16"/>
      <c r="Y34" s="16"/>
      <c r="Z34" s="16"/>
    </row>
    <row r="35">
      <c r="A35" s="16" t="str">
        <f>IFERROR(__xludf.DUMMYFUNCTION("""COMPUTED_VALUE"""),"Bow of Chaotic Darkness")</f>
        <v>Bow of Chaotic Darkness</v>
      </c>
      <c r="B35" s="16"/>
      <c r="C35" s="16" t="str">
        <f>IFERROR(__xludf.DUMMYFUNCTION("""COMPUTED_VALUE"""),"Bow")</f>
        <v>Bow</v>
      </c>
      <c r="D35" s="16" t="str">
        <f>IFERROR(__xludf.DUMMYFUNCTION("""COMPUTED_VALUE"""),"Hand")</f>
        <v>Hand</v>
      </c>
      <c r="E35" s="16">
        <f>IFERROR(__xludf.DUMMYFUNCTION("""COMPUTED_VALUE"""),4400.0)</f>
        <v>4400</v>
      </c>
      <c r="F35" s="16" t="str">
        <f>IFERROR(__xludf.DUMMYFUNCTION("""COMPUTED_VALUE"""),"DMG: +140000, Dark DMG: +40000, Chaos DMG: +40000 ++You may use up to 4 arrows with this bow.")</f>
        <v>DMG: +140000, Dark DMG: +40000, Chaos DMG: +40000 ++You may use up to 4 arrows with this bow.</v>
      </c>
      <c r="G35" s="16">
        <f>IFERROR(__xludf.DUMMYFUNCTION("""COMPUTED_VALUE"""),9.658E8)</f>
        <v>965800000</v>
      </c>
      <c r="H35" s="16"/>
      <c r="I35" s="16"/>
      <c r="J35" s="16"/>
      <c r="K35" s="16"/>
      <c r="L35" s="16"/>
      <c r="M35" s="16"/>
      <c r="N35" s="16"/>
      <c r="O35" s="16"/>
      <c r="P35" s="16"/>
      <c r="Q35" s="16"/>
      <c r="R35" s="16"/>
      <c r="S35" s="16"/>
      <c r="T35" s="16"/>
      <c r="U35" s="16"/>
      <c r="V35" s="16"/>
      <c r="W35" s="16"/>
      <c r="X35" s="16"/>
      <c r="Y35" s="16"/>
      <c r="Z35" s="16"/>
    </row>
    <row r="36">
      <c r="A36" s="16" t="str">
        <f>IFERROR(__xludf.DUMMYFUNCTION("""COMPUTED_VALUE"""),"Bow of Luck")</f>
        <v>Bow of Luck</v>
      </c>
      <c r="B36" s="16"/>
      <c r="C36" s="16" t="str">
        <f>IFERROR(__xludf.DUMMYFUNCTION("""COMPUTED_VALUE"""),"Bow")</f>
        <v>Bow</v>
      </c>
      <c r="D36" s="16" t="str">
        <f>IFERROR(__xludf.DUMMYFUNCTION("""COMPUTED_VALUE"""),"Hand")</f>
        <v>Hand</v>
      </c>
      <c r="E36" s="16">
        <f>IFERROR(__xludf.DUMMYFUNCTION("""COMPUTED_VALUE"""),3000.0)</f>
        <v>3000</v>
      </c>
      <c r="F36" s="16" t="str">
        <f>IFERROR(__xludf.DUMMYFUNCTION("""COMPUTED_VALUE"""),"DMG: +150000 ++You may add mobility to your attack rolls as long as you are attacking with a bow. +-Cannot be forged")</f>
        <v>DMG: +150000 ++You may add mobility to your attack rolls as long as you are attacking with a bow. +-Cannot be forged</v>
      </c>
      <c r="G36" s="16">
        <f>IFERROR(__xludf.DUMMYFUNCTION("""COMPUTED_VALUE"""),4.485E8)</f>
        <v>448500000</v>
      </c>
      <c r="H36" s="16"/>
      <c r="I36" s="16"/>
      <c r="J36" s="16"/>
      <c r="K36" s="16"/>
      <c r="L36" s="16"/>
      <c r="M36" s="16"/>
      <c r="N36" s="16"/>
      <c r="O36" s="16"/>
      <c r="P36" s="16"/>
      <c r="Q36" s="16"/>
      <c r="R36" s="16"/>
      <c r="S36" s="16"/>
      <c r="T36" s="16"/>
      <c r="U36" s="16"/>
      <c r="V36" s="16"/>
      <c r="W36" s="16"/>
      <c r="X36" s="16"/>
      <c r="Y36" s="16"/>
      <c r="Z36" s="16"/>
    </row>
    <row r="37">
      <c r="A37" s="16" t="str">
        <f>IFERROR(__xludf.DUMMYFUNCTION("""COMPUTED_VALUE"""),"Bow of The Sacred Druids")</f>
        <v>Bow of The Sacred Druids</v>
      </c>
      <c r="B37" s="16"/>
      <c r="C37" s="16" t="str">
        <f>IFERROR(__xludf.DUMMYFUNCTION("""COMPUTED_VALUE"""),"Bow")</f>
        <v>Bow</v>
      </c>
      <c r="D37" s="16" t="str">
        <f>IFERROR(__xludf.DUMMYFUNCTION("""COMPUTED_VALUE"""),"Hand")</f>
        <v>Hand</v>
      </c>
      <c r="E37" s="16">
        <f>IFERROR(__xludf.DUMMYFUNCTION("""COMPUTED_VALUE"""),200.0)</f>
        <v>200</v>
      </c>
      <c r="F37" s="16" t="str">
        <f>IFERROR(__xludf.DUMMYFUNCTION("""COMPUTED_VALUE"""),"DMG: +5000, Nature DMG: +5000 ++Druids Call - X4 additional damage for ranged weapons.")</f>
        <v>DMG: +5000, Nature DMG: +5000 ++Druids Call - X4 additional damage for ranged weapons.</v>
      </c>
      <c r="G37" s="16">
        <f>IFERROR(__xludf.DUMMYFUNCTION("""COMPUTED_VALUE"""),1900000.0)</f>
        <v>1900000</v>
      </c>
      <c r="H37" s="16"/>
      <c r="I37" s="16"/>
      <c r="J37" s="16"/>
      <c r="K37" s="16"/>
      <c r="L37" s="16"/>
      <c r="M37" s="16"/>
      <c r="N37" s="16"/>
      <c r="O37" s="16"/>
      <c r="P37" s="16"/>
      <c r="Q37" s="16"/>
      <c r="R37" s="16"/>
      <c r="S37" s="16"/>
      <c r="T37" s="16"/>
      <c r="U37" s="16"/>
      <c r="V37" s="16"/>
      <c r="W37" s="16"/>
      <c r="X37" s="16"/>
      <c r="Y37" s="16"/>
      <c r="Z37" s="16"/>
    </row>
    <row r="38">
      <c r="A38" s="16" t="str">
        <f>IFERROR(__xludf.DUMMYFUNCTION("""COMPUTED_VALUE"""),"Bo Staff Of Zhenmay")</f>
        <v>Bo Staff Of Zhenmay</v>
      </c>
      <c r="B38" s="16"/>
      <c r="C38" s="16" t="str">
        <f>IFERROR(__xludf.DUMMYFUNCTION("""COMPUTED_VALUE"""),"Club")</f>
        <v>Club</v>
      </c>
      <c r="D38" s="16" t="str">
        <f>IFERROR(__xludf.DUMMYFUNCTION("""COMPUTED_VALUE"""),"Hand")</f>
        <v>Hand</v>
      </c>
      <c r="E38" s="16">
        <f>IFERROR(__xludf.DUMMYFUNCTION("""COMPUTED_VALUE"""),3000.0)</f>
        <v>3000</v>
      </c>
      <c r="F38" s="16" t="str">
        <f>IFERROR(__xludf.DUMMYFUNCTION("""COMPUTED_VALUE"""),"DMG: +100000, Zen DMG: +50000 ++Blindness 2. ")</f>
        <v>DMG: +100000, Zen DMG: +50000 ++Blindness 2. </v>
      </c>
      <c r="G38" s="16">
        <f>IFERROR(__xludf.DUMMYFUNCTION("""COMPUTED_VALUE"""),4.485E8)</f>
        <v>448500000</v>
      </c>
      <c r="H38" s="16"/>
      <c r="I38" s="16"/>
      <c r="J38" s="16"/>
      <c r="K38" s="16"/>
      <c r="L38" s="16"/>
      <c r="M38" s="16"/>
      <c r="N38" s="16"/>
      <c r="O38" s="16"/>
      <c r="P38" s="16"/>
      <c r="Q38" s="16"/>
      <c r="R38" s="16"/>
      <c r="S38" s="16"/>
      <c r="T38" s="16"/>
      <c r="U38" s="16"/>
      <c r="V38" s="16"/>
      <c r="W38" s="16"/>
      <c r="X38" s="16"/>
      <c r="Y38" s="16"/>
      <c r="Z38" s="16"/>
    </row>
    <row r="39">
      <c r="A39" s="16" t="str">
        <f>IFERROR(__xludf.DUMMYFUNCTION("""COMPUTED_VALUE"""),"Breezy Clothes")</f>
        <v>Breezy Clothes</v>
      </c>
      <c r="B39" s="16"/>
      <c r="C39" s="16"/>
      <c r="D39" s="16" t="str">
        <f>IFERROR(__xludf.DUMMYFUNCTION("""COMPUTED_VALUE"""),"Torso")</f>
        <v>Torso</v>
      </c>
      <c r="E39" s="16">
        <f>IFERROR(__xludf.DUMMYFUNCTION("""COMPUTED_VALUE"""),1.0)</f>
        <v>1</v>
      </c>
      <c r="F39" s="16" t="str">
        <f>IFERROR(__xludf.DUMMYFUNCTION("""COMPUTED_VALUE""")," ++While equipped, Take half damage from fire damage, But decrease water damage you deal by half. ")</f>
        <v> ++While equipped, Take half damage from fire damage, But decrease water damage you deal by half. </v>
      </c>
      <c r="G39" s="16">
        <f>IFERROR(__xludf.DUMMYFUNCTION("""COMPUTED_VALUE"""),0.0)</f>
        <v>0</v>
      </c>
      <c r="H39" s="16"/>
      <c r="I39" s="16"/>
      <c r="J39" s="16"/>
      <c r="K39" s="16"/>
      <c r="L39" s="16"/>
      <c r="M39" s="16"/>
      <c r="N39" s="16"/>
      <c r="O39" s="16"/>
      <c r="P39" s="16"/>
      <c r="Q39" s="16"/>
      <c r="R39" s="16"/>
      <c r="S39" s="16"/>
      <c r="T39" s="16"/>
      <c r="U39" s="16"/>
      <c r="V39" s="16"/>
      <c r="W39" s="16"/>
      <c r="X39" s="16"/>
      <c r="Y39" s="16"/>
      <c r="Z39" s="16"/>
    </row>
    <row r="40">
      <c r="A40" s="16" t="str">
        <f>IFERROR(__xludf.DUMMYFUNCTION("""COMPUTED_VALUE"""),"Bright Flame Sword")</f>
        <v>Bright Flame Sword</v>
      </c>
      <c r="B40" s="16"/>
      <c r="C40" s="16" t="str">
        <f>IFERROR(__xludf.DUMMYFUNCTION("""COMPUTED_VALUE"""),"Sword")</f>
        <v>Sword</v>
      </c>
      <c r="D40" s="16" t="str">
        <f>IFERROR(__xludf.DUMMYFUNCTION("""COMPUTED_VALUE"""),"Hand")</f>
        <v>Hand</v>
      </c>
      <c r="E40" s="16">
        <f>IFERROR(__xludf.DUMMYFUNCTION("""COMPUTED_VALUE"""),300.0)</f>
        <v>300</v>
      </c>
      <c r="F40" s="16" t="str">
        <f>IFERROR(__xludf.DUMMYFUNCTION("""COMPUTED_VALUE"""),"DMG: +10000, Fire DMG: +5000")</f>
        <v>DMG: +10000, Fire DMG: +5000</v>
      </c>
      <c r="G40" s="16">
        <f>IFERROR(__xludf.DUMMYFUNCTION("""COMPUTED_VALUE"""),4350000.0)</f>
        <v>4350000</v>
      </c>
      <c r="H40" s="16"/>
      <c r="I40" s="16"/>
      <c r="J40" s="16"/>
      <c r="K40" s="16"/>
      <c r="L40" s="16"/>
      <c r="M40" s="16"/>
      <c r="N40" s="16"/>
      <c r="O40" s="16"/>
      <c r="P40" s="16"/>
      <c r="Q40" s="16"/>
      <c r="R40" s="16"/>
      <c r="S40" s="16"/>
      <c r="T40" s="16"/>
      <c r="U40" s="16"/>
      <c r="V40" s="16"/>
      <c r="W40" s="16"/>
      <c r="X40" s="16"/>
      <c r="Y40" s="16"/>
      <c r="Z40" s="16"/>
    </row>
    <row r="41">
      <c r="A41" s="16" t="str">
        <f>IFERROR(__xludf.DUMMYFUNCTION("""COMPUTED_VALUE"""),"Broken Sword")</f>
        <v>Broken Sword</v>
      </c>
      <c r="B41" s="16"/>
      <c r="C41" s="16" t="str">
        <f>IFERROR(__xludf.DUMMYFUNCTION("""COMPUTED_VALUE"""),"Knife")</f>
        <v>Knife</v>
      </c>
      <c r="D41" s="16" t="str">
        <f>IFERROR(__xludf.DUMMYFUNCTION("""COMPUTED_VALUE"""),"Hand")</f>
        <v>Hand</v>
      </c>
      <c r="E41" s="16">
        <f>IFERROR(__xludf.DUMMYFUNCTION("""COMPUTED_VALUE"""),1.0)</f>
        <v>1</v>
      </c>
      <c r="F41" s="16" t="str">
        <f>IFERROR(__xludf.DUMMYFUNCTION("""COMPUTED_VALUE"""),"DMG: +1 ++ -1 evasion")</f>
        <v>DMG: +1 ++ -1 evasion</v>
      </c>
      <c r="G41" s="16">
        <f>IFERROR(__xludf.DUMMYFUNCTION("""COMPUTED_VALUE"""),0.0)</f>
        <v>0</v>
      </c>
      <c r="H41" s="16"/>
      <c r="I41" s="16"/>
      <c r="J41" s="16"/>
      <c r="K41" s="16"/>
      <c r="L41" s="16"/>
      <c r="M41" s="16"/>
      <c r="N41" s="16"/>
      <c r="O41" s="16"/>
      <c r="P41" s="16"/>
      <c r="Q41" s="16"/>
      <c r="R41" s="16"/>
      <c r="S41" s="16"/>
      <c r="T41" s="16"/>
      <c r="U41" s="16"/>
      <c r="V41" s="16"/>
      <c r="W41" s="16"/>
      <c r="X41" s="16"/>
      <c r="Y41" s="16"/>
      <c r="Z41" s="16"/>
    </row>
    <row r="42">
      <c r="A42" s="16" t="str">
        <f>IFERROR(__xludf.DUMMYFUNCTION("""COMPUTED_VALUE"""),"Burning Broadsword")</f>
        <v>Burning Broadsword</v>
      </c>
      <c r="B42" s="16"/>
      <c r="C42" s="16" t="str">
        <f>IFERROR(__xludf.DUMMYFUNCTION("""COMPUTED_VALUE"""),"Sword")</f>
        <v>Sword</v>
      </c>
      <c r="D42" s="16" t="str">
        <f>IFERROR(__xludf.DUMMYFUNCTION("""COMPUTED_VALUE"""),"Hand")</f>
        <v>Hand</v>
      </c>
      <c r="E42" s="16">
        <f>IFERROR(__xludf.DUMMYFUNCTION("""COMPUTED_VALUE"""),200.0)</f>
        <v>200</v>
      </c>
      <c r="F42" s="16" t="str">
        <f>IFERROR(__xludf.DUMMYFUNCTION("""COMPUTED_VALUE"""),"DMG: +5000, Fire DMG: +5000 ++10,000 fire damage per round for 3 rounds.")</f>
        <v>DMG: +5000, Fire DMG: +5000 ++10,000 fire damage per round for 3 rounds.</v>
      </c>
      <c r="G42" s="16">
        <f>IFERROR(__xludf.DUMMYFUNCTION("""COMPUTED_VALUE"""),1900000.0)</f>
        <v>1900000</v>
      </c>
      <c r="H42" s="16"/>
      <c r="I42" s="16"/>
      <c r="J42" s="16"/>
      <c r="K42" s="16"/>
      <c r="L42" s="16"/>
      <c r="M42" s="16"/>
      <c r="N42" s="16"/>
      <c r="O42" s="16"/>
      <c r="P42" s="16"/>
      <c r="Q42" s="16"/>
      <c r="R42" s="16"/>
      <c r="S42" s="16"/>
      <c r="T42" s="16"/>
      <c r="U42" s="16"/>
      <c r="V42" s="16"/>
      <c r="W42" s="16"/>
      <c r="X42" s="16"/>
      <c r="Y42" s="16"/>
      <c r="Z42" s="16"/>
    </row>
    <row r="43">
      <c r="A43" s="16" t="str">
        <f>IFERROR(__xludf.DUMMYFUNCTION("""COMPUTED_VALUE"""),"Candy Corn Necklace")</f>
        <v>Candy Corn Necklace</v>
      </c>
      <c r="B43" s="16" t="str">
        <f>IFERROR(__xludf.DUMMYFUNCTION("""COMPUTED_VALUE"""),"Halloween Exclusive")</f>
        <v>Halloween Exclusive</v>
      </c>
      <c r="C43" s="16"/>
      <c r="D43" s="16" t="str">
        <f>IFERROR(__xludf.DUMMYFUNCTION("""COMPUTED_VALUE"""),"Neck")</f>
        <v>Neck</v>
      </c>
      <c r="E43" s="16">
        <f>IFERROR(__xludf.DUMMYFUNCTION("""COMPUTED_VALUE"""),1.0)</f>
        <v>1</v>
      </c>
      <c r="F43" s="16" t="str">
        <f>IFERROR(__xludf.DUMMYFUNCTION("""COMPUTED_VALUE""")," ++Gives Immunity to Dark and Chaos Damage, ++ +2 Intimidation.")</f>
        <v> ++Gives Immunity to Dark and Chaos Damage, ++ +2 Intimidation.</v>
      </c>
      <c r="G43" s="16">
        <f>IFERROR(__xludf.DUMMYFUNCTION("""COMPUTED_VALUE"""),0.0)</f>
        <v>0</v>
      </c>
      <c r="H43" s="16"/>
      <c r="I43" s="16"/>
      <c r="J43" s="16"/>
      <c r="K43" s="16"/>
      <c r="L43" s="16"/>
      <c r="M43" s="16"/>
      <c r="N43" s="16"/>
      <c r="O43" s="16"/>
      <c r="P43" s="16"/>
      <c r="Q43" s="16"/>
      <c r="R43" s="16"/>
      <c r="S43" s="16"/>
      <c r="T43" s="16"/>
      <c r="U43" s="16"/>
      <c r="V43" s="16"/>
      <c r="W43" s="16"/>
      <c r="X43" s="16"/>
      <c r="Y43" s="16"/>
      <c r="Z43" s="16"/>
    </row>
    <row r="44">
      <c r="A44" s="16" t="str">
        <f>IFERROR(__xludf.DUMMYFUNCTION("""COMPUTED_VALUE"""),"Candy Corn Rifle")</f>
        <v>Candy Corn Rifle</v>
      </c>
      <c r="B44" s="16" t="str">
        <f>IFERROR(__xludf.DUMMYFUNCTION("""COMPUTED_VALUE"""),"Halloween Exclusive")</f>
        <v>Halloween Exclusive</v>
      </c>
      <c r="C44" s="16" t="str">
        <f>IFERROR(__xludf.DUMMYFUNCTION("""COMPUTED_VALUE"""),"Firearm")</f>
        <v>Firearm</v>
      </c>
      <c r="D44" s="16" t="str">
        <f>IFERROR(__xludf.DUMMYFUNCTION("""COMPUTED_VALUE"""),"Hand")</f>
        <v>Hand</v>
      </c>
      <c r="E44" s="16">
        <f>IFERROR(__xludf.DUMMYFUNCTION("""COMPUTED_VALUE"""),200.0)</f>
        <v>200</v>
      </c>
      <c r="F44" s="16" t="str">
        <f>IFERROR(__xludf.DUMMYFUNCTION("""COMPUTED_VALUE"""),"DMG: +10000, Fire DMG: +10000, Dark DMG: +10000, Spirit DMG: +10000, Chaos DMG: +10000, Voodoo DMG: +10000, Blood DMG: +10000, Celestial DMG: +10000 ++Uses Candy Corn as Ammunition. ++Can use mobility when attacking with this weapon. +-Cannot be forged or"&amp;" duplicated. ")</f>
        <v>DMG: +10000, Fire DMG: +10000, Dark DMG: +10000, Spirit DMG: +10000, Chaos DMG: +10000, Voodoo DMG: +10000, Blood DMG: +10000, Celestial DMG: +10000 ++Uses Candy Corn as Ammunition. ++Can use mobility when attacking with this weapon. +-Cannot be forged or duplicated. </v>
      </c>
      <c r="G44" s="16">
        <f>IFERROR(__xludf.DUMMYFUNCTION("""COMPUTED_VALUE"""),1.272E8)</f>
        <v>127200000</v>
      </c>
      <c r="H44" s="16"/>
      <c r="I44" s="16"/>
      <c r="J44" s="16"/>
      <c r="K44" s="16"/>
      <c r="L44" s="16"/>
      <c r="M44" s="16"/>
      <c r="N44" s="16"/>
      <c r="O44" s="16"/>
      <c r="P44" s="16"/>
      <c r="Q44" s="16"/>
      <c r="R44" s="16"/>
      <c r="S44" s="16"/>
      <c r="T44" s="16"/>
      <c r="U44" s="16"/>
      <c r="V44" s="16"/>
      <c r="W44" s="16"/>
      <c r="X44" s="16"/>
      <c r="Y44" s="16"/>
      <c r="Z44" s="16"/>
    </row>
    <row r="45">
      <c r="A45" s="16" t="str">
        <f>IFERROR(__xludf.DUMMYFUNCTION("""COMPUTED_VALUE"""),"Cap of Metal Harmony's")</f>
        <v>Cap of Metal Harmony's</v>
      </c>
      <c r="B45" s="16"/>
      <c r="C45" s="16"/>
      <c r="D45" s="16" t="str">
        <f>IFERROR(__xludf.DUMMYFUNCTION("""COMPUTED_VALUE"""),"Head")</f>
        <v>Head</v>
      </c>
      <c r="E45" s="16">
        <f>IFERROR(__xludf.DUMMYFUNCTION("""COMPUTED_VALUE"""),200.0)</f>
        <v>200</v>
      </c>
      <c r="F45" s="16" t="str">
        <f>IFERROR(__xludf.DUMMYFUNCTION("""COMPUTED_VALUE"""),"DEF: +10000 ++Half the SP cost for Fire, Water, Storm, Earth, and Nature spells.")</f>
        <v>DEF: +10000 ++Half the SP cost for Fire, Water, Storm, Earth, and Nature spells.</v>
      </c>
      <c r="G45" s="16">
        <f>IFERROR(__xludf.DUMMYFUNCTION("""COMPUTED_VALUE"""),1900000.0)</f>
        <v>1900000</v>
      </c>
      <c r="H45" s="16"/>
      <c r="I45" s="16"/>
      <c r="J45" s="16"/>
      <c r="K45" s="16"/>
      <c r="L45" s="16"/>
      <c r="M45" s="16"/>
      <c r="N45" s="16"/>
      <c r="O45" s="16"/>
      <c r="P45" s="16"/>
      <c r="Q45" s="16"/>
      <c r="R45" s="16"/>
      <c r="S45" s="16"/>
      <c r="T45" s="16"/>
      <c r="U45" s="16"/>
      <c r="V45" s="16"/>
      <c r="W45" s="16"/>
      <c r="X45" s="16"/>
      <c r="Y45" s="16"/>
      <c r="Z45" s="16"/>
    </row>
    <row r="46">
      <c r="A46" s="16" t="str">
        <f>IFERROR(__xludf.DUMMYFUNCTION("""COMPUTED_VALUE"""),"Celestian Royal Shield")</f>
        <v>Celestian Royal Shield</v>
      </c>
      <c r="B46" s="16" t="str">
        <f>IFERROR(__xludf.DUMMYFUNCTION("""COMPUTED_VALUE"""),"Quest Item")</f>
        <v>Quest Item</v>
      </c>
      <c r="C46" s="16" t="str">
        <f>IFERROR(__xludf.DUMMYFUNCTION("""COMPUTED_VALUE"""),"Towershield")</f>
        <v>Towershield</v>
      </c>
      <c r="D46" s="16" t="str">
        <f>IFERROR(__xludf.DUMMYFUNCTION("""COMPUTED_VALUE"""),"Hand")</f>
        <v>Hand</v>
      </c>
      <c r="E46" s="16">
        <f>IFERROR(__xludf.DUMMYFUNCTION("""COMPUTED_VALUE"""),200.0)</f>
        <v>200</v>
      </c>
      <c r="F46" s="16" t="str">
        <f>IFERROR(__xludf.DUMMYFUNCTION("""COMPUTED_VALUE"""),"DEF: +100000, Light DEF: +100000, Dark DEF: +100000, Celestial DEF: +100000 ++Royal Protection: Immunity to Celestial. +-Cannot be forged or duplicated.")</f>
        <v>DEF: +100000, Light DEF: +100000, Dark DEF: +100000, Celestial DEF: +100000 ++Royal Protection: Immunity to Celestial. +-Cannot be forged or duplicated.</v>
      </c>
      <c r="G46" s="16">
        <f>IFERROR(__xludf.DUMMYFUNCTION("""COMPUTED_VALUE"""),3.196E9)</f>
        <v>3196000000</v>
      </c>
      <c r="H46" s="16"/>
      <c r="I46" s="16"/>
      <c r="J46" s="16"/>
      <c r="K46" s="16"/>
      <c r="L46" s="16"/>
      <c r="M46" s="16"/>
      <c r="N46" s="16"/>
      <c r="O46" s="16"/>
      <c r="P46" s="16"/>
      <c r="Q46" s="16"/>
      <c r="R46" s="16"/>
      <c r="S46" s="16"/>
      <c r="T46" s="16"/>
      <c r="U46" s="16"/>
      <c r="V46" s="16"/>
      <c r="W46" s="16"/>
      <c r="X46" s="16"/>
      <c r="Y46" s="16"/>
      <c r="Z46" s="16"/>
    </row>
    <row r="47">
      <c r="A47" s="16" t="str">
        <f>IFERROR(__xludf.DUMMYFUNCTION("""COMPUTED_VALUE"""),"Celestian Royal Sword")</f>
        <v>Celestian Royal Sword</v>
      </c>
      <c r="B47" s="16" t="str">
        <f>IFERROR(__xludf.DUMMYFUNCTION("""COMPUTED_VALUE"""),"Quest Item")</f>
        <v>Quest Item</v>
      </c>
      <c r="C47" s="16" t="str">
        <f>IFERROR(__xludf.DUMMYFUNCTION("""COMPUTED_VALUE"""),"Sword")</f>
        <v>Sword</v>
      </c>
      <c r="D47" s="16" t="str">
        <f>IFERROR(__xludf.DUMMYFUNCTION("""COMPUTED_VALUE"""),"Hand")</f>
        <v>Hand</v>
      </c>
      <c r="E47" s="16">
        <f>IFERROR(__xludf.DUMMYFUNCTION("""COMPUTED_VALUE"""),200.0)</f>
        <v>200</v>
      </c>
      <c r="F47" s="16" t="str">
        <f>IFERROR(__xludf.DUMMYFUNCTION("""COMPUTED_VALUE"""),"DMG: +100000, Light DMG: +100000, Dark DMG: +100000, Celestial DMG: +100000 ++X8 Celestial Damage. +-Cannot be forged or duplicated.")</f>
        <v>DMG: +100000, Light DMG: +100000, Dark DMG: +100000, Celestial DMG: +100000 ++X8 Celestial Damage. +-Cannot be forged or duplicated.</v>
      </c>
      <c r="G47" s="16">
        <f>IFERROR(__xludf.DUMMYFUNCTION("""COMPUTED_VALUE"""),3.196E9)</f>
        <v>3196000000</v>
      </c>
      <c r="H47" s="16"/>
      <c r="I47" s="16"/>
      <c r="J47" s="16"/>
      <c r="K47" s="16"/>
      <c r="L47" s="16"/>
      <c r="M47" s="16"/>
      <c r="N47" s="16"/>
      <c r="O47" s="16"/>
      <c r="P47" s="16"/>
      <c r="Q47" s="16"/>
      <c r="R47" s="16"/>
      <c r="S47" s="16"/>
      <c r="T47" s="16"/>
      <c r="U47" s="16"/>
      <c r="V47" s="16"/>
      <c r="W47" s="16"/>
      <c r="X47" s="16"/>
      <c r="Y47" s="16"/>
      <c r="Z47" s="16"/>
    </row>
    <row r="48">
      <c r="A48" s="16" t="str">
        <f>IFERROR(__xludf.DUMMYFUNCTION("""COMPUTED_VALUE"""),"Chain Link Armor")</f>
        <v>Chain Link Armor</v>
      </c>
      <c r="B48" s="16"/>
      <c r="C48" s="16"/>
      <c r="D48" s="16" t="str">
        <f>IFERROR(__xludf.DUMMYFUNCTION("""COMPUTED_VALUE"""),"Torso")</f>
        <v>Torso</v>
      </c>
      <c r="E48" s="16">
        <f>IFERROR(__xludf.DUMMYFUNCTION("""COMPUTED_VALUE"""),40.0)</f>
        <v>40</v>
      </c>
      <c r="F48" s="16" t="str">
        <f>IFERROR(__xludf.DUMMYFUNCTION("""COMPUTED_VALUE"""),"DEF: +2000 ++Wrapped in Chains - When the wearer is attacked with a weapon; 25% chance to make the attacker drop it's weapon.")</f>
        <v>DEF: +2000 ++Wrapped in Chains - When the wearer is attacked with a weapon; 25% chance to make the attacker drop it's weapon.</v>
      </c>
      <c r="G48" s="16">
        <f>IFERROR(__xludf.DUMMYFUNCTION("""COMPUTED_VALUE"""),60000.0)</f>
        <v>60000</v>
      </c>
      <c r="H48" s="16"/>
      <c r="I48" s="16"/>
      <c r="J48" s="16"/>
      <c r="K48" s="16"/>
      <c r="L48" s="16"/>
      <c r="M48" s="16"/>
      <c r="N48" s="16"/>
      <c r="O48" s="16"/>
      <c r="P48" s="16"/>
      <c r="Q48" s="16"/>
      <c r="R48" s="16"/>
      <c r="S48" s="16"/>
      <c r="T48" s="16"/>
      <c r="U48" s="16"/>
      <c r="V48" s="16"/>
      <c r="W48" s="16"/>
      <c r="X48" s="16"/>
      <c r="Y48" s="16"/>
      <c r="Z48" s="16"/>
    </row>
    <row r="49">
      <c r="A49" s="16" t="str">
        <f>IFERROR(__xludf.DUMMYFUNCTION("""COMPUTED_VALUE"""),"Chaos Sword")</f>
        <v>Chaos Sword</v>
      </c>
      <c r="B49" s="16"/>
      <c r="C49" s="16" t="str">
        <f>IFERROR(__xludf.DUMMYFUNCTION("""COMPUTED_VALUE"""),"Sword")</f>
        <v>Sword</v>
      </c>
      <c r="D49" s="16" t="str">
        <f>IFERROR(__xludf.DUMMYFUNCTION("""COMPUTED_VALUE"""),"Hand")</f>
        <v>Hand</v>
      </c>
      <c r="E49" s="16">
        <f>IFERROR(__xludf.DUMMYFUNCTION("""COMPUTED_VALUE"""),90.0)</f>
        <v>90</v>
      </c>
      <c r="F49" s="16" t="str">
        <f>IFERROR(__xludf.DUMMYFUNCTION("""COMPUTED_VALUE"""),"DMG: +2500, Chaos DMG: +2000 ++ +2 Intimidation. +-Cannot be duplicated. +-Can only equip one.")</f>
        <v>DMG: +2500, Chaos DMG: +2000 ++ +2 Intimidation. +-Cannot be duplicated. +-Can only equip one.</v>
      </c>
      <c r="G49" s="16">
        <f>IFERROR(__xludf.DUMMYFUNCTION("""COMPUTED_VALUE"""),360000.0)</f>
        <v>360000</v>
      </c>
      <c r="H49" s="16"/>
      <c r="I49" s="16"/>
      <c r="J49" s="16"/>
      <c r="K49" s="16"/>
      <c r="L49" s="16"/>
      <c r="M49" s="16"/>
      <c r="N49" s="16"/>
      <c r="O49" s="16"/>
      <c r="P49" s="16"/>
      <c r="Q49" s="16"/>
      <c r="R49" s="16"/>
      <c r="S49" s="16"/>
      <c r="T49" s="16"/>
      <c r="U49" s="16"/>
      <c r="V49" s="16"/>
      <c r="W49" s="16"/>
      <c r="X49" s="16"/>
      <c r="Y49" s="16"/>
      <c r="Z49" s="16"/>
    </row>
    <row r="50">
      <c r="A50" s="16" t="str">
        <f>IFERROR(__xludf.DUMMYFUNCTION("""COMPUTED_VALUE"""),"Chaotic Amulet")</f>
        <v>Chaotic Amulet</v>
      </c>
      <c r="B50" s="16"/>
      <c r="C50" s="16"/>
      <c r="D50" s="16" t="str">
        <f>IFERROR(__xludf.DUMMYFUNCTION("""COMPUTED_VALUE"""),"Neck")</f>
        <v>Neck</v>
      </c>
      <c r="E50" s="16">
        <f>IFERROR(__xludf.DUMMYFUNCTION("""COMPUTED_VALUE"""),1.0)</f>
        <v>1</v>
      </c>
      <c r="F50" s="16" t="str">
        <f>IFERROR(__xludf.DUMMYFUNCTION("""COMPUTED_VALUE""")," ++Immunity to all Chaos Dmg, ++Deal 2x more Chaos Dmg.")</f>
        <v> ++Immunity to all Chaos Dmg, ++Deal 2x more Chaos Dmg.</v>
      </c>
      <c r="G50" s="16">
        <f>IFERROR(__xludf.DUMMYFUNCTION("""COMPUTED_VALUE"""),0.0)</f>
        <v>0</v>
      </c>
      <c r="H50" s="16"/>
      <c r="I50" s="16"/>
      <c r="J50" s="16"/>
      <c r="K50" s="16"/>
      <c r="L50" s="16"/>
      <c r="M50" s="16"/>
      <c r="N50" s="16"/>
      <c r="O50" s="16"/>
      <c r="P50" s="16"/>
      <c r="Q50" s="16"/>
      <c r="R50" s="16"/>
      <c r="S50" s="16"/>
      <c r="T50" s="16"/>
      <c r="U50" s="16"/>
      <c r="V50" s="16"/>
      <c r="W50" s="16"/>
      <c r="X50" s="16"/>
      <c r="Y50" s="16"/>
      <c r="Z50" s="16"/>
    </row>
    <row r="51">
      <c r="A51" s="16" t="str">
        <f>IFERROR(__xludf.DUMMYFUNCTION("""COMPUTED_VALUE"""),"Ring")</f>
        <v>Ring</v>
      </c>
      <c r="B51" s="16"/>
      <c r="C51" s="16"/>
      <c r="D51" s="16" t="str">
        <f>IFERROR(__xludf.DUMMYFUNCTION("""COMPUTED_VALUE"""),"Ring")</f>
        <v>Ring</v>
      </c>
      <c r="E51" s="16">
        <f>IFERROR(__xludf.DUMMYFUNCTION("""COMPUTED_VALUE"""),1.0)</f>
        <v>1</v>
      </c>
      <c r="F51" s="16" t="str">
        <f>IFERROR(__xludf.DUMMYFUNCTION("""COMPUTED_VALUE""")," ++X2 additional Chaos and Blood damage")</f>
        <v> ++X2 additional Chaos and Blood damage</v>
      </c>
      <c r="G51" s="16">
        <f>IFERROR(__xludf.DUMMYFUNCTION("""COMPUTED_VALUE"""),0.0)</f>
        <v>0</v>
      </c>
      <c r="H51" s="16"/>
      <c r="I51" s="16"/>
      <c r="J51" s="16"/>
      <c r="K51" s="16"/>
      <c r="L51" s="16"/>
      <c r="M51" s="16"/>
      <c r="N51" s="16"/>
      <c r="O51" s="16"/>
      <c r="P51" s="16"/>
      <c r="Q51" s="16"/>
      <c r="R51" s="16"/>
      <c r="S51" s="16"/>
      <c r="T51" s="16"/>
      <c r="U51" s="16"/>
      <c r="V51" s="16"/>
      <c r="W51" s="16"/>
      <c r="X51" s="16"/>
      <c r="Y51" s="16"/>
      <c r="Z51" s="16"/>
    </row>
    <row r="52">
      <c r="A52" s="16" t="str">
        <f>IFERROR(__xludf.DUMMYFUNCTION("""COMPUTED_VALUE"""),"Chaotic Shadow Life Orb")</f>
        <v>Chaotic Shadow Life Orb</v>
      </c>
      <c r="B52" s="16"/>
      <c r="C52" s="16"/>
      <c r="D52" s="16" t="str">
        <f>IFERROR(__xludf.DUMMYFUNCTION("""COMPUTED_VALUE"""),"Hand")</f>
        <v>Hand</v>
      </c>
      <c r="E52" s="16">
        <f>IFERROR(__xludf.DUMMYFUNCTION("""COMPUTED_VALUE"""),1.0)</f>
        <v>1</v>
      </c>
      <c r="F52" s="16" t="str">
        <f>IFERROR(__xludf.DUMMYFUNCTION("""COMPUTED_VALUE""")," ++Last Chance - Protected from death once per battle, can only use the effect of ""Last Chance"" once per battle.  +-Can only have one equipped. +- Cannot be duplicated.")</f>
        <v> ++Last Chance - Protected from death once per battle, can only use the effect of "Last Chance" once per battle.  +-Can only have one equipped. +- Cannot be duplicated.</v>
      </c>
      <c r="G52" s="16">
        <f>IFERROR(__xludf.DUMMYFUNCTION("""COMPUTED_VALUE"""),0.0)</f>
        <v>0</v>
      </c>
      <c r="H52" s="16"/>
      <c r="I52" s="16"/>
      <c r="J52" s="16"/>
      <c r="K52" s="16"/>
      <c r="L52" s="16"/>
      <c r="M52" s="16"/>
      <c r="N52" s="16"/>
      <c r="O52" s="16"/>
      <c r="P52" s="16"/>
      <c r="Q52" s="16"/>
      <c r="R52" s="16"/>
      <c r="S52" s="16"/>
      <c r="T52" s="16"/>
      <c r="U52" s="16"/>
      <c r="V52" s="16"/>
      <c r="W52" s="16"/>
      <c r="X52" s="16"/>
      <c r="Y52" s="16"/>
      <c r="Z52" s="16"/>
    </row>
    <row r="53">
      <c r="A53" s="16" t="str">
        <f>IFERROR(__xludf.DUMMYFUNCTION("""COMPUTED_VALUE"""),"Charm of Awaken")</f>
        <v>Charm of Awaken</v>
      </c>
      <c r="B53" s="16"/>
      <c r="C53" s="16"/>
      <c r="D53" s="16" t="str">
        <f>IFERROR(__xludf.DUMMYFUNCTION("""COMPUTED_VALUE"""),"Neck")</f>
        <v>Neck</v>
      </c>
      <c r="E53" s="16">
        <f>IFERROR(__xludf.DUMMYFUNCTION("""COMPUTED_VALUE"""),1.0)</f>
        <v>1</v>
      </c>
      <c r="F53" s="16" t="str">
        <f>IFERROR(__xludf.DUMMYFUNCTION("""COMPUTED_VALUE""")," ++Immunity to sleep.")</f>
        <v> ++Immunity to sleep.</v>
      </c>
      <c r="G53" s="16">
        <f>IFERROR(__xludf.DUMMYFUNCTION("""COMPUTED_VALUE"""),0.0)</f>
        <v>0</v>
      </c>
      <c r="H53" s="16"/>
      <c r="I53" s="16"/>
      <c r="J53" s="16"/>
      <c r="K53" s="16"/>
      <c r="L53" s="16"/>
      <c r="M53" s="16"/>
      <c r="N53" s="16"/>
      <c r="O53" s="16"/>
      <c r="P53" s="16"/>
      <c r="Q53" s="16"/>
      <c r="R53" s="16"/>
      <c r="S53" s="16"/>
      <c r="T53" s="16"/>
      <c r="U53" s="16"/>
      <c r="V53" s="16"/>
      <c r="W53" s="16"/>
      <c r="X53" s="16"/>
      <c r="Y53" s="16"/>
      <c r="Z53" s="16"/>
    </row>
    <row r="54">
      <c r="A54" s="16" t="str">
        <f>IFERROR(__xludf.DUMMYFUNCTION("""COMPUTED_VALUE"""),"Chestplate of Foul Night")</f>
        <v>Chestplate of Foul Night</v>
      </c>
      <c r="B54" s="16"/>
      <c r="C54" s="16"/>
      <c r="D54" s="16" t="str">
        <f>IFERROR(__xludf.DUMMYFUNCTION("""COMPUTED_VALUE"""),"Torso")</f>
        <v>Torso</v>
      </c>
      <c r="E54" s="16">
        <f>IFERROR(__xludf.DUMMYFUNCTION("""COMPUTED_VALUE"""),200.0)</f>
        <v>200</v>
      </c>
      <c r="F54" s="16" t="str">
        <f>IFERROR(__xludf.DUMMYFUNCTION("""COMPUTED_VALUE"""),"DEF: +5000, Nature DEF: +5000 (Foul Night Set) ++X2 Nature and Poison damage, ++Poison Immunity.")</f>
        <v>DEF: +5000, Nature DEF: +5000 (Foul Night Set) ++X2 Nature and Poison damage, ++Poison Immunity.</v>
      </c>
      <c r="G54" s="16">
        <f>IFERROR(__xludf.DUMMYFUNCTION("""COMPUTED_VALUE"""),1900000.0)</f>
        <v>1900000</v>
      </c>
      <c r="H54" s="16"/>
      <c r="I54" s="16"/>
      <c r="J54" s="16"/>
      <c r="K54" s="16"/>
      <c r="L54" s="16"/>
      <c r="M54" s="16"/>
      <c r="N54" s="16"/>
      <c r="O54" s="16"/>
      <c r="P54" s="16"/>
      <c r="Q54" s="16"/>
      <c r="R54" s="16"/>
      <c r="S54" s="16"/>
      <c r="T54" s="16"/>
      <c r="U54" s="16"/>
      <c r="V54" s="16"/>
      <c r="W54" s="16"/>
      <c r="X54" s="16"/>
      <c r="Y54" s="16"/>
      <c r="Z54" s="16"/>
    </row>
    <row r="55">
      <c r="A55" s="16" t="str">
        <f>IFERROR(__xludf.DUMMYFUNCTION("""COMPUTED_VALUE"""),"Chestplate of Waking Waters")</f>
        <v>Chestplate of Waking Waters</v>
      </c>
      <c r="B55" s="16"/>
      <c r="C55" s="16"/>
      <c r="D55" s="16" t="str">
        <f>IFERROR(__xludf.DUMMYFUNCTION("""COMPUTED_VALUE"""),"Torso")</f>
        <v>Torso</v>
      </c>
      <c r="E55" s="16">
        <f>IFERROR(__xludf.DUMMYFUNCTION("""COMPUTED_VALUE"""),400.0)</f>
        <v>400</v>
      </c>
      <c r="F55" s="16" t="str">
        <f>IFERROR(__xludf.DUMMYFUNCTION("""COMPUTED_VALUE"""),"DEF: +10000, Water DEF: +10000 ++X4 additional water damage for self.")</f>
        <v>DEF: +10000, Water DEF: +10000 ++X4 additional water damage for self.</v>
      </c>
      <c r="G55" s="16">
        <f>IFERROR(__xludf.DUMMYFUNCTION("""COMPUTED_VALUE"""),7800000.0)</f>
        <v>7800000</v>
      </c>
      <c r="H55" s="16"/>
      <c r="I55" s="16"/>
      <c r="J55" s="16"/>
      <c r="K55" s="16"/>
      <c r="L55" s="16"/>
      <c r="M55" s="16"/>
      <c r="N55" s="16"/>
      <c r="O55" s="16"/>
      <c r="P55" s="16"/>
      <c r="Q55" s="16"/>
      <c r="R55" s="16"/>
      <c r="S55" s="16"/>
      <c r="T55" s="16"/>
      <c r="U55" s="16"/>
      <c r="V55" s="16"/>
      <c r="W55" s="16"/>
      <c r="X55" s="16"/>
      <c r="Y55" s="16"/>
      <c r="Z55" s="16"/>
    </row>
    <row r="56">
      <c r="A56" s="16" t="str">
        <f>IFERROR(__xludf.DUMMYFUNCTION("""COMPUTED_VALUE"""),"Cloth Cap")</f>
        <v>Cloth Cap</v>
      </c>
      <c r="B56" s="16"/>
      <c r="C56" s="16"/>
      <c r="D56" s="16" t="str">
        <f>IFERROR(__xludf.DUMMYFUNCTION("""COMPUTED_VALUE"""),"Head")</f>
        <v>Head</v>
      </c>
      <c r="E56" s="16">
        <f>IFERROR(__xludf.DUMMYFUNCTION("""COMPUTED_VALUE"""),50.0)</f>
        <v>50</v>
      </c>
      <c r="F56" s="16" t="str">
        <f>IFERROR(__xludf.DUMMYFUNCTION("""COMPUTED_VALUE"""),"DEF: +2500")</f>
        <v>DEF: +2500</v>
      </c>
      <c r="G56" s="16">
        <f>IFERROR(__xludf.DUMMYFUNCTION("""COMPUTED_VALUE"""),100000.0)</f>
        <v>100000</v>
      </c>
      <c r="H56" s="16"/>
      <c r="I56" s="16"/>
      <c r="J56" s="16"/>
      <c r="K56" s="16"/>
      <c r="L56" s="16"/>
      <c r="M56" s="16"/>
      <c r="N56" s="16"/>
      <c r="O56" s="16"/>
      <c r="P56" s="16"/>
      <c r="Q56" s="16"/>
      <c r="R56" s="16"/>
      <c r="S56" s="16"/>
      <c r="T56" s="16"/>
      <c r="U56" s="16"/>
      <c r="V56" s="16"/>
      <c r="W56" s="16"/>
      <c r="X56" s="16"/>
      <c r="Y56" s="16"/>
      <c r="Z56" s="16"/>
    </row>
    <row r="57">
      <c r="A57" s="16" t="str">
        <f>IFERROR(__xludf.DUMMYFUNCTION("""COMPUTED_VALUE"""),"Colossus Bone Sword")</f>
        <v>Colossus Bone Sword</v>
      </c>
      <c r="B57" s="16" t="str">
        <f>IFERROR(__xludf.DUMMYFUNCTION("""COMPUTED_VALUE"""),"Mob Exclusive")</f>
        <v>Mob Exclusive</v>
      </c>
      <c r="C57" s="16" t="str">
        <f>IFERROR(__xludf.DUMMYFUNCTION("""COMPUTED_VALUE"""),"Sword")</f>
        <v>Sword</v>
      </c>
      <c r="D57" s="16" t="str">
        <f>IFERROR(__xludf.DUMMYFUNCTION("""COMPUTED_VALUE"""),"Hand")</f>
        <v>Hand</v>
      </c>
      <c r="E57" s="16">
        <f>IFERROR(__xludf.DUMMYFUNCTION("""COMPUTED_VALUE"""),1500.0)</f>
        <v>1500</v>
      </c>
      <c r="F57" s="16" t="str">
        <f>IFERROR(__xludf.DUMMYFUNCTION("""COMPUTED_VALUE"""),"DMG: +25000, Earth DMG: +25000, Dark DMG: +25000 ++X2 additional damage for the user.")</f>
        <v>DMG: +25000, Earth DMG: +25000, Dark DMG: +25000 ++X2 additional damage for the user.</v>
      </c>
      <c r="G57" s="16">
        <f>IFERROR(__xludf.DUMMYFUNCTION("""COMPUTED_VALUE"""),1.1175E8)</f>
        <v>111750000</v>
      </c>
      <c r="H57" s="16"/>
      <c r="I57" s="16"/>
      <c r="J57" s="16"/>
      <c r="K57" s="16"/>
      <c r="L57" s="16"/>
      <c r="M57" s="16"/>
      <c r="N57" s="16"/>
      <c r="O57" s="16"/>
      <c r="P57" s="16"/>
      <c r="Q57" s="16"/>
      <c r="R57" s="16"/>
      <c r="S57" s="16"/>
      <c r="T57" s="16"/>
      <c r="U57" s="16"/>
      <c r="V57" s="16"/>
      <c r="W57" s="16"/>
      <c r="X57" s="16"/>
      <c r="Y57" s="16"/>
      <c r="Z57" s="16"/>
    </row>
    <row r="58">
      <c r="A58" s="16" t="str">
        <f>IFERROR(__xludf.DUMMYFUNCTION("""COMPUTED_VALUE"""),"Coral Hat")</f>
        <v>Coral Hat</v>
      </c>
      <c r="B58" s="16"/>
      <c r="C58" s="16"/>
      <c r="D58" s="16" t="str">
        <f>IFERROR(__xludf.DUMMYFUNCTION("""COMPUTED_VALUE"""),"Head")</f>
        <v>Head</v>
      </c>
      <c r="E58" s="16">
        <f>IFERROR(__xludf.DUMMYFUNCTION("""COMPUTED_VALUE"""),20.0)</f>
        <v>20</v>
      </c>
      <c r="F58" s="16" t="str">
        <f>IFERROR(__xludf.DUMMYFUNCTION("""COMPUTED_VALUE"""),"DEF: +800 ++Immunity to water damage.")</f>
        <v>DEF: +800 ++Immunity to water damage.</v>
      </c>
      <c r="G58" s="16">
        <f>IFERROR(__xludf.DUMMYFUNCTION("""COMPUTED_VALUE"""),1000.0)</f>
        <v>1000</v>
      </c>
      <c r="H58" s="16"/>
      <c r="I58" s="16"/>
      <c r="J58" s="16"/>
      <c r="K58" s="16"/>
      <c r="L58" s="16"/>
      <c r="M58" s="16"/>
      <c r="N58" s="16"/>
      <c r="O58" s="16"/>
      <c r="P58" s="16"/>
      <c r="Q58" s="16"/>
      <c r="R58" s="16"/>
      <c r="S58" s="16"/>
      <c r="T58" s="16"/>
      <c r="U58" s="16"/>
      <c r="V58" s="16"/>
      <c r="W58" s="16"/>
      <c r="X58" s="16"/>
      <c r="Y58" s="16"/>
      <c r="Z58" s="16"/>
    </row>
    <row r="59">
      <c r="A59" s="16" t="str">
        <f>IFERROR(__xludf.DUMMYFUNCTION("""COMPUTED_VALUE"""),"Critical Vanish Armor")</f>
        <v>Critical Vanish Armor</v>
      </c>
      <c r="B59" s="16"/>
      <c r="C59" s="16"/>
      <c r="D59" s="16" t="str">
        <f>IFERROR(__xludf.DUMMYFUNCTION("""COMPUTED_VALUE"""),"Torso")</f>
        <v>Torso</v>
      </c>
      <c r="E59" s="16">
        <f>IFERROR(__xludf.DUMMYFUNCTION("""COMPUTED_VALUE"""),10.0)</f>
        <v>10</v>
      </c>
      <c r="F59" s="16" t="str">
        <f>IFERROR(__xludf.DUMMYFUNCTION("""COMPUTED_VALUE"""),"DEF: +500 ++will negate a critical hit to the wearer")</f>
        <v>DEF: +500 ++will negate a critical hit to the wearer</v>
      </c>
      <c r="G59" s="16">
        <f>IFERROR(__xludf.DUMMYFUNCTION("""COMPUTED_VALUE"""),1000.0)</f>
        <v>1000</v>
      </c>
      <c r="H59" s="16"/>
      <c r="I59" s="16"/>
      <c r="J59" s="16"/>
      <c r="K59" s="16"/>
      <c r="L59" s="16"/>
      <c r="M59" s="16"/>
      <c r="N59" s="16"/>
      <c r="O59" s="16"/>
      <c r="P59" s="16"/>
      <c r="Q59" s="16"/>
      <c r="R59" s="16"/>
      <c r="S59" s="16"/>
      <c r="T59" s="16"/>
      <c r="U59" s="16"/>
      <c r="V59" s="16"/>
      <c r="W59" s="16"/>
      <c r="X59" s="16"/>
      <c r="Y59" s="16"/>
      <c r="Z59" s="16"/>
    </row>
    <row r="60">
      <c r="A60" s="16" t="str">
        <f>IFERROR(__xludf.DUMMYFUNCTION("""COMPUTED_VALUE"""),"Crow Staff")</f>
        <v>Crow Staff</v>
      </c>
      <c r="B60" s="16"/>
      <c r="C60" s="16" t="str">
        <f>IFERROR(__xludf.DUMMYFUNCTION("""COMPUTED_VALUE"""),"Staff")</f>
        <v>Staff</v>
      </c>
      <c r="D60" s="16" t="str">
        <f>IFERROR(__xludf.DUMMYFUNCTION("""COMPUTED_VALUE"""),"Hand")</f>
        <v>Hand</v>
      </c>
      <c r="E60" s="16">
        <f>IFERROR(__xludf.DUMMYFUNCTION("""COMPUTED_VALUE"""),400.0)</f>
        <v>400</v>
      </c>
      <c r="F60" s="16" t="str">
        <f>IFERROR(__xludf.DUMMYFUNCTION("""COMPUTED_VALUE"""),"DMG: +10000, Dark DMG: +10000 ++Swarm: inflicts 10000 bleed to all enemies. +- 300SP")</f>
        <v>DMG: +10000, Dark DMG: +10000 ++Swarm: inflicts 10000 bleed to all enemies. +- 300SP</v>
      </c>
      <c r="G60" s="16">
        <f>IFERROR(__xludf.DUMMYFUNCTION("""COMPUTED_VALUE"""),7800000.0)</f>
        <v>7800000</v>
      </c>
      <c r="H60" s="16"/>
      <c r="I60" s="16"/>
      <c r="J60" s="16"/>
      <c r="K60" s="16"/>
      <c r="L60" s="16"/>
      <c r="M60" s="16"/>
      <c r="N60" s="16"/>
      <c r="O60" s="16"/>
      <c r="P60" s="16"/>
      <c r="Q60" s="16"/>
      <c r="R60" s="16"/>
      <c r="S60" s="16"/>
      <c r="T60" s="16"/>
      <c r="U60" s="16"/>
      <c r="V60" s="16"/>
      <c r="W60" s="16"/>
      <c r="X60" s="16"/>
      <c r="Y60" s="16"/>
      <c r="Z60" s="16"/>
    </row>
    <row r="61">
      <c r="A61" s="16" t="str">
        <f>IFERROR(__xludf.DUMMYFUNCTION("""COMPUTED_VALUE"""),"Crown of Control")</f>
        <v>Crown of Control</v>
      </c>
      <c r="B61" s="16"/>
      <c r="C61" s="16"/>
      <c r="D61" s="16" t="str">
        <f>IFERROR(__xludf.DUMMYFUNCTION("""COMPUTED_VALUE"""),"Head")</f>
        <v>Head</v>
      </c>
      <c r="E61" s="16">
        <f>IFERROR(__xludf.DUMMYFUNCTION("""COMPUTED_VALUE"""),300.0)</f>
        <v>300</v>
      </c>
      <c r="F61" s="16" t="str">
        <f>IFERROR(__xludf.DUMMYFUNCTION("""COMPUTED_VALUE"""),"DEF: +15000 ++Select one target and choose an action for them during your turn (This counts as a form of possession) Fail/Succeed. +-Cannot be duplicated. ")</f>
        <v>DEF: +15000 ++Select one target and choose an action for them during your turn (This counts as a form of possession) Fail/Succeed. +-Cannot be duplicated. </v>
      </c>
      <c r="G61" s="16">
        <f>IFERROR(__xludf.DUMMYFUNCTION("""COMPUTED_VALUE"""),4350000.0)</f>
        <v>4350000</v>
      </c>
      <c r="H61" s="16"/>
      <c r="I61" s="16"/>
      <c r="J61" s="16"/>
      <c r="K61" s="16"/>
      <c r="L61" s="16"/>
      <c r="M61" s="16"/>
      <c r="N61" s="16"/>
      <c r="O61" s="16"/>
      <c r="P61" s="16"/>
      <c r="Q61" s="16"/>
      <c r="R61" s="16"/>
      <c r="S61" s="16"/>
      <c r="T61" s="16"/>
      <c r="U61" s="16"/>
      <c r="V61" s="16"/>
      <c r="W61" s="16"/>
      <c r="X61" s="16"/>
      <c r="Y61" s="16"/>
      <c r="Z61" s="16"/>
    </row>
    <row r="62">
      <c r="A62" s="16" t="str">
        <f>IFERROR(__xludf.DUMMYFUNCTION("""COMPUTED_VALUE"""),"Crown of Ice Spears")</f>
        <v>Crown of Ice Spears</v>
      </c>
      <c r="B62" s="16"/>
      <c r="C62" s="16"/>
      <c r="D62" s="16" t="str">
        <f>IFERROR(__xludf.DUMMYFUNCTION("""COMPUTED_VALUE"""),"Head")</f>
        <v>Head</v>
      </c>
      <c r="E62" s="16">
        <f>IFERROR(__xludf.DUMMYFUNCTION("""COMPUTED_VALUE"""),200.0)</f>
        <v>200</v>
      </c>
      <c r="F62" s="16" t="str">
        <f>IFERROR(__xludf.DUMMYFUNCTION("""COMPUTED_VALUE"""),"DEF: +10000 (The Frozen Spear Master Set) ++Frost Boost- X2 Storm damage. ++All weapon attacks have a 25% chance to freeze whoever you hit")</f>
        <v>DEF: +10000 (The Frozen Spear Master Set) ++Frost Boost- X2 Storm damage. ++All weapon attacks have a 25% chance to freeze whoever you hit</v>
      </c>
      <c r="G62" s="16">
        <f>IFERROR(__xludf.DUMMYFUNCTION("""COMPUTED_VALUE"""),1900000.0)</f>
        <v>1900000</v>
      </c>
      <c r="H62" s="16"/>
      <c r="I62" s="16"/>
      <c r="J62" s="16"/>
      <c r="K62" s="16"/>
      <c r="L62" s="16"/>
      <c r="M62" s="16"/>
      <c r="N62" s="16"/>
      <c r="O62" s="16"/>
      <c r="P62" s="16"/>
      <c r="Q62" s="16"/>
      <c r="R62" s="16"/>
      <c r="S62" s="16"/>
      <c r="T62" s="16"/>
      <c r="U62" s="16"/>
      <c r="V62" s="16"/>
      <c r="W62" s="16"/>
      <c r="X62" s="16"/>
      <c r="Y62" s="16"/>
      <c r="Z62" s="16"/>
    </row>
    <row r="63">
      <c r="A63" s="16" t="str">
        <f>IFERROR(__xludf.DUMMYFUNCTION("""COMPUTED_VALUE"""),"Crown of the Forgotten")</f>
        <v>Crown of the Forgotten</v>
      </c>
      <c r="B63" s="16"/>
      <c r="C63" s="16"/>
      <c r="D63" s="16" t="str">
        <f>IFERROR(__xludf.DUMMYFUNCTION("""COMPUTED_VALUE"""),"Head")</f>
        <v>Head</v>
      </c>
      <c r="E63" s="16">
        <f>IFERROR(__xludf.DUMMYFUNCTION("""COMPUTED_VALUE"""),20.0)</f>
        <v>20</v>
      </c>
      <c r="F63" s="16" t="str">
        <f>IFERROR(__xludf.DUMMYFUNCTION("""COMPUTED_VALUE"""),"DEF: +1000 ++Immunity to Dark, Chaos, Fire, and Nature damage. ++Only Undead can equip. ++This item effect bypasses the Undead race ability. +-Cannot be duplicated.")</f>
        <v>DEF: +1000 ++Immunity to Dark, Chaos, Fire, and Nature damage. ++Only Undead can equip. ++This item effect bypasses the Undead race ability. +-Cannot be duplicated.</v>
      </c>
      <c r="G63" s="16">
        <f>IFERROR(__xludf.DUMMYFUNCTION("""COMPUTED_VALUE"""),10000.0)</f>
        <v>10000</v>
      </c>
      <c r="H63" s="16"/>
      <c r="I63" s="16"/>
      <c r="J63" s="16"/>
      <c r="K63" s="16"/>
      <c r="L63" s="16"/>
      <c r="M63" s="16"/>
      <c r="N63" s="16"/>
      <c r="O63" s="16"/>
      <c r="P63" s="16"/>
      <c r="Q63" s="16"/>
      <c r="R63" s="16"/>
      <c r="S63" s="16"/>
      <c r="T63" s="16"/>
      <c r="U63" s="16"/>
      <c r="V63" s="16"/>
      <c r="W63" s="16"/>
      <c r="X63" s="16"/>
      <c r="Y63" s="16"/>
      <c r="Z63" s="16"/>
    </row>
    <row r="64">
      <c r="A64" s="16" t="str">
        <f>IFERROR(__xludf.DUMMYFUNCTION("""COMPUTED_VALUE"""),"Crown Of The Sea Serpent")</f>
        <v>Crown Of The Sea Serpent</v>
      </c>
      <c r="B64" s="16"/>
      <c r="C64" s="16"/>
      <c r="D64" s="16" t="str">
        <f>IFERROR(__xludf.DUMMYFUNCTION("""COMPUTED_VALUE"""),"Head")</f>
        <v>Head</v>
      </c>
      <c r="E64" s="16">
        <f>IFERROR(__xludf.DUMMYFUNCTION("""COMPUTED_VALUE"""),1.0)</f>
        <v>1</v>
      </c>
      <c r="F64" s="16" t="str">
        <f>IFERROR(__xludf.DUMMYFUNCTION("""COMPUTED_VALUE""")," ++X4 additional water damage for the user, ++Water spells cost half sp, +-Cannot be duplicated.")</f>
        <v> ++X4 additional water damage for the user, ++Water spells cost half sp, +-Cannot be duplicated.</v>
      </c>
      <c r="G64" s="16">
        <f>IFERROR(__xludf.DUMMYFUNCTION("""COMPUTED_VALUE"""),0.0)</f>
        <v>0</v>
      </c>
      <c r="H64" s="16"/>
      <c r="I64" s="16"/>
      <c r="J64" s="16"/>
      <c r="K64" s="16"/>
      <c r="L64" s="16"/>
      <c r="M64" s="16"/>
      <c r="N64" s="16"/>
      <c r="O64" s="16"/>
      <c r="P64" s="16"/>
      <c r="Q64" s="16"/>
      <c r="R64" s="16"/>
      <c r="S64" s="16"/>
      <c r="T64" s="16"/>
      <c r="U64" s="16"/>
      <c r="V64" s="16"/>
      <c r="W64" s="16"/>
      <c r="X64" s="16"/>
      <c r="Y64" s="16"/>
      <c r="Z64" s="16"/>
    </row>
    <row r="65">
      <c r="A65" s="16" t="str">
        <f>IFERROR(__xludf.DUMMYFUNCTION("""COMPUTED_VALUE"""),"Crown Of Tritonoch")</f>
        <v>Crown Of Tritonoch</v>
      </c>
      <c r="B65" s="16"/>
      <c r="C65" s="16"/>
      <c r="D65" s="16" t="str">
        <f>IFERROR(__xludf.DUMMYFUNCTION("""COMPUTED_VALUE"""),"Head")</f>
        <v>Head</v>
      </c>
      <c r="E65" s="16">
        <f>IFERROR(__xludf.DUMMYFUNCTION("""COMPUTED_VALUE"""),400.0)</f>
        <v>400</v>
      </c>
      <c r="F65" s="16" t="str">
        <f>IFERROR(__xludf.DUMMYFUNCTION("""COMPUTED_VALUE"""),"DEF: +20000 ++Waves of Entitlement - x5 additional Water damage")</f>
        <v>DEF: +20000 ++Waves of Entitlement - x5 additional Water damage</v>
      </c>
      <c r="G65" s="16">
        <f>IFERROR(__xludf.DUMMYFUNCTION("""COMPUTED_VALUE"""),7800000.0)</f>
        <v>7800000</v>
      </c>
      <c r="H65" s="16"/>
      <c r="I65" s="16"/>
      <c r="J65" s="16"/>
      <c r="K65" s="16"/>
      <c r="L65" s="16"/>
      <c r="M65" s="16"/>
      <c r="N65" s="16"/>
      <c r="O65" s="16"/>
      <c r="P65" s="16"/>
      <c r="Q65" s="16"/>
      <c r="R65" s="16"/>
      <c r="S65" s="16"/>
      <c r="T65" s="16"/>
      <c r="U65" s="16"/>
      <c r="V65" s="16"/>
      <c r="W65" s="16"/>
      <c r="X65" s="16"/>
      <c r="Y65" s="16"/>
      <c r="Z65" s="16"/>
    </row>
    <row r="66">
      <c r="A66" s="16" t="str">
        <f>IFERROR(__xludf.DUMMYFUNCTION("""COMPUTED_VALUE"""),"Cryogenic Claymore")</f>
        <v>Cryogenic Claymore</v>
      </c>
      <c r="B66" s="16" t="str">
        <f>IFERROR(__xludf.DUMMYFUNCTION("""COMPUTED_VALUE"""),"(The Frozen Blade Master Set)")</f>
        <v>(The Frozen Blade Master Set)</v>
      </c>
      <c r="C66" s="16" t="str">
        <f>IFERROR(__xludf.DUMMYFUNCTION("""COMPUTED_VALUE"""),"Sword")</f>
        <v>Sword</v>
      </c>
      <c r="D66" s="16" t="str">
        <f>IFERROR(__xludf.DUMMYFUNCTION("""COMPUTED_VALUE"""),"Hand")</f>
        <v>Hand</v>
      </c>
      <c r="E66" s="16">
        <f>IFERROR(__xludf.DUMMYFUNCTION("""COMPUTED_VALUE"""),400.0)</f>
        <v>400</v>
      </c>
      <c r="F66" s="16" t="str">
        <f>IFERROR(__xludf.DUMMYFUNCTION("""COMPUTED_VALUE"""),"DMG: +10000, Water DMG: +10000 ++10% chance to freeze all enemies.")</f>
        <v>DMG: +10000, Water DMG: +10000 ++10% chance to freeze all enemies.</v>
      </c>
      <c r="G66" s="16">
        <f>IFERROR(__xludf.DUMMYFUNCTION("""COMPUTED_VALUE"""),7800000.0)</f>
        <v>7800000</v>
      </c>
      <c r="H66" s="16"/>
      <c r="I66" s="16"/>
      <c r="J66" s="16"/>
      <c r="K66" s="16"/>
      <c r="L66" s="16"/>
      <c r="M66" s="16"/>
      <c r="N66" s="16"/>
      <c r="O66" s="16"/>
      <c r="P66" s="16"/>
      <c r="Q66" s="16"/>
      <c r="R66" s="16"/>
      <c r="S66" s="16"/>
      <c r="T66" s="16"/>
      <c r="U66" s="16"/>
      <c r="V66" s="16"/>
      <c r="W66" s="16"/>
      <c r="X66" s="16"/>
      <c r="Y66" s="16"/>
      <c r="Z66" s="16"/>
    </row>
    <row r="67">
      <c r="A67" s="16" t="str">
        <f>IFERROR(__xludf.DUMMYFUNCTION("""COMPUTED_VALUE"""),"Crystal Forged Helmet")</f>
        <v>Crystal Forged Helmet</v>
      </c>
      <c r="B67" s="16"/>
      <c r="C67" s="16"/>
      <c r="D67" s="16" t="str">
        <f>IFERROR(__xludf.DUMMYFUNCTION("""COMPUTED_VALUE"""),"Head")</f>
        <v>Head</v>
      </c>
      <c r="E67" s="16">
        <f>IFERROR(__xludf.DUMMYFUNCTION("""COMPUTED_VALUE"""),200.0)</f>
        <v>200</v>
      </c>
      <c r="F67" s="16" t="str">
        <f>IFERROR(__xludf.DUMMYFUNCTION("""COMPUTED_VALUE"""),"DEF: +10000 ++When equipped, Gem and Crystal related weapons deal an additional X2 damage for the user.")</f>
        <v>DEF: +10000 ++When equipped, Gem and Crystal related weapons deal an additional X2 damage for the user.</v>
      </c>
      <c r="G67" s="16">
        <f>IFERROR(__xludf.DUMMYFUNCTION("""COMPUTED_VALUE"""),1900000.0)</f>
        <v>1900000</v>
      </c>
      <c r="H67" s="16"/>
      <c r="I67" s="16"/>
      <c r="J67" s="16"/>
      <c r="K67" s="16"/>
      <c r="L67" s="16"/>
      <c r="M67" s="16"/>
      <c r="N67" s="16"/>
      <c r="O67" s="16"/>
      <c r="P67" s="16"/>
      <c r="Q67" s="16"/>
      <c r="R67" s="16"/>
      <c r="S67" s="16"/>
      <c r="T67" s="16"/>
      <c r="U67" s="16"/>
      <c r="V67" s="16"/>
      <c r="W67" s="16"/>
      <c r="X67" s="16"/>
      <c r="Y67" s="16"/>
      <c r="Z67" s="16"/>
    </row>
    <row r="68">
      <c r="A68" s="16" t="str">
        <f>IFERROR(__xludf.DUMMYFUNCTION("""COMPUTED_VALUE"""),"Crystal Forged Axe")</f>
        <v>Crystal Forged Axe</v>
      </c>
      <c r="B68" s="16"/>
      <c r="C68" s="16"/>
      <c r="D68" s="16" t="str">
        <f>IFERROR(__xludf.DUMMYFUNCTION("""COMPUTED_VALUE"""),"Hand")</f>
        <v>Hand</v>
      </c>
      <c r="E68" s="16">
        <f>IFERROR(__xludf.DUMMYFUNCTION("""COMPUTED_VALUE"""),400.0)</f>
        <v>400</v>
      </c>
      <c r="F68" s="16" t="str">
        <f>IFERROR(__xludf.DUMMYFUNCTION("""COMPUTED_VALUE"""),"DMG: +10000, Earth DMG: +10000 ++When equipped, Gem and Crystal related weapons deal an additional X6 damage for the user.")</f>
        <v>DMG: +10000, Earth DMG: +10000 ++When equipped, Gem and Crystal related weapons deal an additional X6 damage for the user.</v>
      </c>
      <c r="G68" s="16">
        <f>IFERROR(__xludf.DUMMYFUNCTION("""COMPUTED_VALUE"""),7800000.0)</f>
        <v>7800000</v>
      </c>
      <c r="H68" s="16"/>
      <c r="I68" s="16"/>
      <c r="J68" s="16"/>
      <c r="K68" s="16"/>
      <c r="L68" s="16"/>
      <c r="M68" s="16"/>
      <c r="N68" s="16"/>
      <c r="O68" s="16"/>
      <c r="P68" s="16"/>
      <c r="Q68" s="16"/>
      <c r="R68" s="16"/>
      <c r="S68" s="16"/>
      <c r="T68" s="16"/>
      <c r="U68" s="16"/>
      <c r="V68" s="16"/>
      <c r="W68" s="16"/>
      <c r="X68" s="16"/>
      <c r="Y68" s="16"/>
      <c r="Z68" s="16"/>
    </row>
    <row r="69">
      <c r="A69" s="16" t="str">
        <f>IFERROR(__xludf.DUMMYFUNCTION("""COMPUTED_VALUE"""),"Crystal Forged Chestplate")</f>
        <v>Crystal Forged Chestplate</v>
      </c>
      <c r="B69" s="16"/>
      <c r="C69" s="16"/>
      <c r="D69" s="16" t="str">
        <f>IFERROR(__xludf.DUMMYFUNCTION("""COMPUTED_VALUE"""),"Torso")</f>
        <v>Torso</v>
      </c>
      <c r="E69" s="16">
        <f>IFERROR(__xludf.DUMMYFUNCTION("""COMPUTED_VALUE"""),200.0)</f>
        <v>200</v>
      </c>
      <c r="F69"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69" s="16">
        <f>IFERROR(__xludf.DUMMYFUNCTION("""COMPUTED_VALUE"""),1900000.0)</f>
        <v>1900000</v>
      </c>
      <c r="H69" s="16"/>
      <c r="I69" s="16"/>
      <c r="J69" s="16"/>
      <c r="K69" s="16"/>
      <c r="L69" s="16"/>
      <c r="M69" s="16"/>
      <c r="N69" s="16"/>
      <c r="O69" s="16"/>
      <c r="P69" s="16"/>
      <c r="Q69" s="16"/>
      <c r="R69" s="16"/>
      <c r="S69" s="16"/>
      <c r="T69" s="16"/>
      <c r="U69" s="16"/>
      <c r="V69" s="16"/>
      <c r="W69" s="16"/>
      <c r="X69" s="16"/>
      <c r="Y69" s="16"/>
      <c r="Z69" s="16"/>
    </row>
    <row r="70">
      <c r="A70" s="16" t="str">
        <f>IFERROR(__xludf.DUMMYFUNCTION("""COMPUTED_VALUE"""),"Crystal Healing Amulet")</f>
        <v>Crystal Healing Amulet</v>
      </c>
      <c r="B70" s="16"/>
      <c r="C70" s="16"/>
      <c r="D70" s="16" t="str">
        <f>IFERROR(__xludf.DUMMYFUNCTION("""COMPUTED_VALUE"""),"Neck")</f>
        <v>Neck</v>
      </c>
      <c r="E70" s="16">
        <f>IFERROR(__xludf.DUMMYFUNCTION("""COMPUTED_VALUE"""),1.0)</f>
        <v>1</v>
      </c>
      <c r="F70" s="16" t="str">
        <f>IFERROR(__xludf.DUMMYFUNCTION("""COMPUTED_VALUE""")," ++Crystal Aura - Protected from death once per battle, can only use the effect of ""Crystal Aura"" once per battle. +-Can only have one equipped.    +-Cannot be duplicated.")</f>
        <v> ++Crystal Aura - Protected from death once per battle, can only use the effect of "Crystal Aura" once per battle. +-Can only have one equipped.    +-Cannot be duplicated.</v>
      </c>
      <c r="G70" s="16">
        <f>IFERROR(__xludf.DUMMYFUNCTION("""COMPUTED_VALUE"""),0.0)</f>
        <v>0</v>
      </c>
      <c r="H70" s="16"/>
      <c r="I70" s="16"/>
      <c r="J70" s="16"/>
      <c r="K70" s="16"/>
      <c r="L70" s="16"/>
      <c r="M70" s="16"/>
      <c r="N70" s="16"/>
      <c r="O70" s="16"/>
      <c r="P70" s="16"/>
      <c r="Q70" s="16"/>
      <c r="R70" s="16"/>
      <c r="S70" s="16"/>
      <c r="T70" s="16"/>
      <c r="U70" s="16"/>
      <c r="V70" s="16"/>
      <c r="W70" s="16"/>
      <c r="X70" s="16"/>
      <c r="Y70" s="16"/>
      <c r="Z70" s="16"/>
    </row>
    <row r="71">
      <c r="A71" s="16" t="str">
        <f>IFERROR(__xludf.DUMMYFUNCTION("""COMPUTED_VALUE"""),"Crystal Longsword")</f>
        <v>Crystal Longsword</v>
      </c>
      <c r="B71" s="16"/>
      <c r="C71" s="16" t="str">
        <f>IFERROR(__xludf.DUMMYFUNCTION("""COMPUTED_VALUE"""),"Sword")</f>
        <v>Sword</v>
      </c>
      <c r="D71" s="16" t="str">
        <f>IFERROR(__xludf.DUMMYFUNCTION("""COMPUTED_VALUE"""),"Hand")</f>
        <v>Hand</v>
      </c>
      <c r="E71" s="16">
        <f>IFERROR(__xludf.DUMMYFUNCTION("""COMPUTED_VALUE"""),200.0)</f>
        <v>200</v>
      </c>
      <c r="F71" s="16" t="str">
        <f>IFERROR(__xludf.DUMMYFUNCTION("""COMPUTED_VALUE"""),"DMG: +5000, Earth DMG: +5000 ++When equipped, Gem and Crystal related weapons deal an additional X4 damage for the user.")</f>
        <v>DMG: +5000, Earth DMG: +5000 ++When equipped, Gem and Crystal related weapons deal an additional X4 damage for the user.</v>
      </c>
      <c r="G71" s="16">
        <f>IFERROR(__xludf.DUMMYFUNCTION("""COMPUTED_VALUE"""),1900000.0)</f>
        <v>1900000</v>
      </c>
      <c r="H71" s="16"/>
      <c r="I71" s="16"/>
      <c r="J71" s="16"/>
      <c r="K71" s="16"/>
      <c r="L71" s="16"/>
      <c r="M71" s="16"/>
      <c r="N71" s="16"/>
      <c r="O71" s="16"/>
      <c r="P71" s="16"/>
      <c r="Q71" s="16"/>
      <c r="R71" s="16"/>
      <c r="S71" s="16"/>
      <c r="T71" s="16"/>
      <c r="U71" s="16"/>
      <c r="V71" s="16"/>
      <c r="W71" s="16"/>
      <c r="X71" s="16"/>
      <c r="Y71" s="16"/>
      <c r="Z71" s="16"/>
    </row>
    <row r="72">
      <c r="A72" s="16" t="str">
        <f>IFERROR(__xludf.DUMMYFUNCTION("""COMPUTED_VALUE"""),"Crystal Ring")</f>
        <v>Crystal Ring</v>
      </c>
      <c r="B72" s="16"/>
      <c r="C72" s="16"/>
      <c r="D72" s="16" t="str">
        <f>IFERROR(__xludf.DUMMYFUNCTION("""COMPUTED_VALUE"""),"Ring")</f>
        <v>Ring</v>
      </c>
      <c r="E72" s="16">
        <f>IFERROR(__xludf.DUMMYFUNCTION("""COMPUTED_VALUE"""),1.0)</f>
        <v>1</v>
      </c>
      <c r="F72" s="16" t="str">
        <f>IFERROR(__xludf.DUMMYFUNCTION("""COMPUTED_VALUE""")," ++When equipped, Gem and Crystal related weapons deal an additional X2 damage for the user.")</f>
        <v> ++When equipped, Gem and Crystal related weapons deal an additional X2 damage for the user.</v>
      </c>
      <c r="G72" s="16">
        <f>IFERROR(__xludf.DUMMYFUNCTION("""COMPUTED_VALUE"""),0.0)</f>
        <v>0</v>
      </c>
      <c r="H72" s="16"/>
      <c r="I72" s="16"/>
      <c r="J72" s="16"/>
      <c r="K72" s="16"/>
      <c r="L72" s="16"/>
      <c r="M72" s="16"/>
      <c r="N72" s="16"/>
      <c r="O72" s="16"/>
      <c r="P72" s="16"/>
      <c r="Q72" s="16"/>
      <c r="R72" s="16"/>
      <c r="S72" s="16"/>
      <c r="T72" s="16"/>
      <c r="U72" s="16"/>
      <c r="V72" s="16"/>
      <c r="W72" s="16"/>
      <c r="X72" s="16"/>
      <c r="Y72" s="16"/>
      <c r="Z72" s="16"/>
    </row>
    <row r="73">
      <c r="A73" s="16" t="str">
        <f>IFERROR(__xludf.DUMMYFUNCTION("""COMPUTED_VALUE"""),"Crystal Shield")</f>
        <v>Crystal Shield</v>
      </c>
      <c r="B73" s="16"/>
      <c r="C73" s="16" t="str">
        <f>IFERROR(__xludf.DUMMYFUNCTION("""COMPUTED_VALUE"""),"Buckler")</f>
        <v>Buckler</v>
      </c>
      <c r="D73" s="16" t="str">
        <f>IFERROR(__xludf.DUMMYFUNCTION("""COMPUTED_VALUE"""),"Hand")</f>
        <v>Hand</v>
      </c>
      <c r="E73" s="16">
        <f>IFERROR(__xludf.DUMMYFUNCTION("""COMPUTED_VALUE"""),200.0)</f>
        <v>200</v>
      </c>
      <c r="F73" s="16" t="str">
        <f>IFERROR(__xludf.DUMMYFUNCTION("""COMPUTED_VALUE"""),"DEF: +10000 ++Take half damage from Gem and Crystal related weapons.")</f>
        <v>DEF: +10000 ++Take half damage from Gem and Crystal related weapons.</v>
      </c>
      <c r="G73" s="16">
        <f>IFERROR(__xludf.DUMMYFUNCTION("""COMPUTED_VALUE"""),1900000.0)</f>
        <v>1900000</v>
      </c>
      <c r="H73" s="16"/>
      <c r="I73" s="16"/>
      <c r="J73" s="16"/>
      <c r="K73" s="16"/>
      <c r="L73" s="16"/>
      <c r="M73" s="16"/>
      <c r="N73" s="16"/>
      <c r="O73" s="16"/>
      <c r="P73" s="16"/>
      <c r="Q73" s="16"/>
      <c r="R73" s="16"/>
      <c r="S73" s="16"/>
      <c r="T73" s="16"/>
      <c r="U73" s="16"/>
      <c r="V73" s="16"/>
      <c r="W73" s="16"/>
      <c r="X73" s="16"/>
      <c r="Y73" s="16"/>
      <c r="Z73" s="16"/>
    </row>
    <row r="74">
      <c r="A74" s="16" t="str">
        <f>IFERROR(__xludf.DUMMYFUNCTION("""COMPUTED_VALUE"""),"Crystal Staff")</f>
        <v>Crystal Staff</v>
      </c>
      <c r="B74" s="16"/>
      <c r="C74" s="16" t="str">
        <f>IFERROR(__xludf.DUMMYFUNCTION("""COMPUTED_VALUE"""),"Staff")</f>
        <v>Staff</v>
      </c>
      <c r="D74" s="16" t="str">
        <f>IFERROR(__xludf.DUMMYFUNCTION("""COMPUTED_VALUE"""),"Hand")</f>
        <v>Hand</v>
      </c>
      <c r="E74" s="16">
        <f>IFERROR(__xludf.DUMMYFUNCTION("""COMPUTED_VALUE"""),1.0)</f>
        <v>1</v>
      </c>
      <c r="F74" s="16" t="str">
        <f>IFERROR(__xludf.DUMMYFUNCTION("""COMPUTED_VALUE""")," ++Creates a Crystal like barrier around you making it so weapons deal no damage to you for 3 rounds, 500SP. ++1000 Additional HP and SP while equipped.")</f>
        <v> ++Creates a Crystal like barrier around you making it so weapons deal no damage to you for 3 rounds, 500SP. ++1000 Additional HP and SP while equipped.</v>
      </c>
      <c r="G74" s="16">
        <f>IFERROR(__xludf.DUMMYFUNCTION("""COMPUTED_VALUE"""),0.0)</f>
        <v>0</v>
      </c>
      <c r="H74" s="16"/>
      <c r="I74" s="16"/>
      <c r="J74" s="16"/>
      <c r="K74" s="16"/>
      <c r="L74" s="16"/>
      <c r="M74" s="16"/>
      <c r="N74" s="16"/>
      <c r="O74" s="16"/>
      <c r="P74" s="16"/>
      <c r="Q74" s="16"/>
      <c r="R74" s="16"/>
      <c r="S74" s="16"/>
      <c r="T74" s="16"/>
      <c r="U74" s="16"/>
      <c r="V74" s="16"/>
      <c r="W74" s="16"/>
      <c r="X74" s="16"/>
      <c r="Y74" s="16"/>
      <c r="Z74" s="16"/>
    </row>
    <row r="75">
      <c r="A75" s="16" t="str">
        <f>IFERROR(__xludf.DUMMYFUNCTION("""COMPUTED_VALUE"""),"Crystal Sword")</f>
        <v>Crystal Sword</v>
      </c>
      <c r="B75" s="16"/>
      <c r="C75" s="16" t="str">
        <f>IFERROR(__xludf.DUMMYFUNCTION("""COMPUTED_VALUE"""),"Sword")</f>
        <v>Sword</v>
      </c>
      <c r="D75" s="16" t="str">
        <f>IFERROR(__xludf.DUMMYFUNCTION("""COMPUTED_VALUE"""),"Hand")</f>
        <v>Hand</v>
      </c>
      <c r="E75" s="16">
        <f>IFERROR(__xludf.DUMMYFUNCTION("""COMPUTED_VALUE"""),80.0)</f>
        <v>80</v>
      </c>
      <c r="F75" s="16" t="str">
        <f>IFERROR(__xludf.DUMMYFUNCTION("""COMPUTED_VALUE"""),"DMG: +2000, Earth DMG: +2000 ++When equipped, Gem and Crystal related weapons deal an additional X2 damage for the user.")</f>
        <v>DMG: +2000, Earth DMG: +2000 ++When equipped, Gem and Crystal related weapons deal an additional X2 damage for the user.</v>
      </c>
      <c r="G75" s="16">
        <f>IFERROR(__xludf.DUMMYFUNCTION("""COMPUTED_VALUE"""),280000.0)</f>
        <v>280000</v>
      </c>
      <c r="H75" s="16"/>
      <c r="I75" s="16"/>
      <c r="J75" s="16"/>
      <c r="K75" s="16"/>
      <c r="L75" s="16"/>
      <c r="M75" s="16"/>
      <c r="N75" s="16"/>
      <c r="O75" s="16"/>
      <c r="P75" s="16"/>
      <c r="Q75" s="16"/>
      <c r="R75" s="16"/>
      <c r="S75" s="16"/>
      <c r="T75" s="16"/>
      <c r="U75" s="16"/>
      <c r="V75" s="16"/>
      <c r="W75" s="16"/>
      <c r="X75" s="16"/>
      <c r="Y75" s="16"/>
      <c r="Z75" s="16"/>
    </row>
    <row r="76">
      <c r="A76" s="16" t="str">
        <f>IFERROR(__xludf.DUMMYFUNCTION("""COMPUTED_VALUE"""),"Cursed Blade")</f>
        <v>Cursed Blade</v>
      </c>
      <c r="B76" s="16"/>
      <c r="C76" s="16" t="str">
        <f>IFERROR(__xludf.DUMMYFUNCTION("""COMPUTED_VALUE"""),"Sword")</f>
        <v>Sword</v>
      </c>
      <c r="D76" s="16" t="str">
        <f>IFERROR(__xludf.DUMMYFUNCTION("""COMPUTED_VALUE"""),"Hand")</f>
        <v>Hand</v>
      </c>
      <c r="E76" s="16">
        <f>IFERROR(__xludf.DUMMYFUNCTION("""COMPUTED_VALUE"""),620.0)</f>
        <v>620</v>
      </c>
      <c r="F76" s="16" t="str">
        <f>IFERROR(__xludf.DUMMYFUNCTION("""COMPUTED_VALUE"""),"DMG: +30000, Dark DMG: +1000 +- -5 evasion and mobility while equipped.")</f>
        <v>DMG: +30000, Dark DMG: +1000 +- -5 evasion and mobility while equipped.</v>
      </c>
      <c r="G76" s="16">
        <f>IFERROR(__xludf.DUMMYFUNCTION("""COMPUTED_VALUE"""),1.891E7)</f>
        <v>18910000</v>
      </c>
      <c r="H76" s="16"/>
      <c r="I76" s="16"/>
      <c r="J76" s="16"/>
      <c r="K76" s="16"/>
      <c r="L76" s="16"/>
      <c r="M76" s="16"/>
      <c r="N76" s="16"/>
      <c r="O76" s="16"/>
      <c r="P76" s="16"/>
      <c r="Q76" s="16"/>
      <c r="R76" s="16"/>
      <c r="S76" s="16"/>
      <c r="T76" s="16"/>
      <c r="U76" s="16"/>
      <c r="V76" s="16"/>
      <c r="W76" s="16"/>
      <c r="X76" s="16"/>
      <c r="Y76" s="16"/>
      <c r="Z76" s="16"/>
    </row>
    <row r="77">
      <c r="A77" s="16" t="str">
        <f>IFERROR(__xludf.DUMMYFUNCTION("""COMPUTED_VALUE"""),"Cursed Blade of The Void Realm")</f>
        <v>Cursed Blade of The Void Realm</v>
      </c>
      <c r="B77" s="16"/>
      <c r="C77" s="16" t="str">
        <f>IFERROR(__xludf.DUMMYFUNCTION("""COMPUTED_VALUE"""),"Sword")</f>
        <v>Sword</v>
      </c>
      <c r="D77" s="16" t="str">
        <f>IFERROR(__xludf.DUMMYFUNCTION("""COMPUTED_VALUE"""),"Hand")</f>
        <v>Hand</v>
      </c>
      <c r="E77" s="16">
        <f>IFERROR(__xludf.DUMMYFUNCTION("""COMPUTED_VALUE"""),1.0)</f>
        <v>1</v>
      </c>
      <c r="F77" s="16" t="str">
        <f>IFERROR(__xludf.DUMMYFUNCTION("""COMPUTED_VALUE""")," +-When equipped this item cannot be unequipped for 3 rounds, +-Depletes 1000 SP per round.")</f>
        <v> +-When equipped this item cannot be unequipped for 3 rounds, +-Depletes 1000 SP per round.</v>
      </c>
      <c r="G77" s="16">
        <f>IFERROR(__xludf.DUMMYFUNCTION("""COMPUTED_VALUE"""),0.0)</f>
        <v>0</v>
      </c>
      <c r="H77" s="16"/>
      <c r="I77" s="16"/>
      <c r="J77" s="16"/>
      <c r="K77" s="16"/>
      <c r="L77" s="16"/>
      <c r="M77" s="16"/>
      <c r="N77" s="16"/>
      <c r="O77" s="16"/>
      <c r="P77" s="16"/>
      <c r="Q77" s="16"/>
      <c r="R77" s="16"/>
      <c r="S77" s="16"/>
      <c r="T77" s="16"/>
      <c r="U77" s="16"/>
      <c r="V77" s="16"/>
      <c r="W77" s="16"/>
      <c r="X77" s="16"/>
      <c r="Y77" s="16"/>
      <c r="Z77" s="16"/>
    </row>
    <row r="78">
      <c r="A78" s="16" t="str">
        <f>IFERROR(__xludf.DUMMYFUNCTION("""COMPUTED_VALUE"""),"Dagger")</f>
        <v>Dagger</v>
      </c>
      <c r="B78" s="16" t="str">
        <f>IFERROR(__xludf.DUMMYFUNCTION("""COMPUTED_VALUE"""),"The first weapon ")</f>
        <v>The first weapon </v>
      </c>
      <c r="C78" s="16" t="str">
        <f>IFERROR(__xludf.DUMMYFUNCTION("""COMPUTED_VALUE"""),"Knife")</f>
        <v>Knife</v>
      </c>
      <c r="D78" s="16" t="str">
        <f>IFERROR(__xludf.DUMMYFUNCTION("""COMPUTED_VALUE"""),"Hand")</f>
        <v>Hand</v>
      </c>
      <c r="E78" s="16">
        <f>IFERROR(__xludf.DUMMYFUNCTION("""COMPUTED_VALUE"""),20.0)</f>
        <v>20</v>
      </c>
      <c r="F78" s="16" t="str">
        <f>IFERROR(__xludf.DUMMYFUNCTION("""COMPUTED_VALUE"""),"DMG: +1000")</f>
        <v>DMG: +1000</v>
      </c>
      <c r="G78" s="16">
        <f>IFERROR(__xludf.DUMMYFUNCTION("""COMPUTED_VALUE"""),10000.0)</f>
        <v>10000</v>
      </c>
      <c r="H78" s="16"/>
      <c r="I78" s="16"/>
      <c r="J78" s="16"/>
      <c r="K78" s="16"/>
      <c r="L78" s="16"/>
      <c r="M78" s="16"/>
      <c r="N78" s="16"/>
      <c r="O78" s="16"/>
      <c r="P78" s="16"/>
      <c r="Q78" s="16"/>
      <c r="R78" s="16"/>
      <c r="S78" s="16"/>
      <c r="T78" s="16"/>
      <c r="U78" s="16"/>
      <c r="V78" s="16"/>
      <c r="W78" s="16"/>
      <c r="X78" s="16"/>
      <c r="Y78" s="16"/>
      <c r="Z78" s="16"/>
    </row>
    <row r="79">
      <c r="A79" s="16" t="str">
        <f>IFERROR(__xludf.DUMMYFUNCTION("""COMPUTED_VALUE"""),"Dagger of Flowers")</f>
        <v>Dagger of Flowers</v>
      </c>
      <c r="B79" s="16" t="str">
        <f>IFERROR(__xludf.DUMMYFUNCTION("""COMPUTED_VALUE"""),"(Event Exclusive)")</f>
        <v>(Event Exclusive)</v>
      </c>
      <c r="C79" s="16" t="str">
        <f>IFERROR(__xludf.DUMMYFUNCTION("""COMPUTED_VALUE"""),"Knife")</f>
        <v>Knife</v>
      </c>
      <c r="D79" s="16" t="str">
        <f>IFERROR(__xludf.DUMMYFUNCTION("""COMPUTED_VALUE"""),"Hand")</f>
        <v>Hand</v>
      </c>
      <c r="E79" s="16">
        <f>IFERROR(__xludf.DUMMYFUNCTION("""COMPUTED_VALUE"""),90.0)</f>
        <v>90</v>
      </c>
      <c r="F79" s="16" t="str">
        <f>IFERROR(__xludf.DUMMYFUNCTION("""COMPUTED_VALUE"""),"DMG: +3000, Nature DMG: +1500")</f>
        <v>DMG: +3000, Nature DMG: +1500</v>
      </c>
      <c r="G79" s="16">
        <f>IFERROR(__xludf.DUMMYFUNCTION("""COMPUTED_VALUE"""),360000.0)</f>
        <v>360000</v>
      </c>
      <c r="H79" s="16"/>
      <c r="I79" s="16"/>
      <c r="J79" s="16"/>
      <c r="K79" s="16"/>
      <c r="L79" s="16"/>
      <c r="M79" s="16"/>
      <c r="N79" s="16"/>
      <c r="O79" s="16"/>
      <c r="P79" s="16"/>
      <c r="Q79" s="16"/>
      <c r="R79" s="16"/>
      <c r="S79" s="16"/>
      <c r="T79" s="16"/>
      <c r="U79" s="16"/>
      <c r="V79" s="16"/>
      <c r="W79" s="16"/>
      <c r="X79" s="16"/>
      <c r="Y79" s="16"/>
      <c r="Z79" s="16"/>
    </row>
    <row r="80">
      <c r="A80" s="16" t="str">
        <f>IFERROR(__xludf.DUMMYFUNCTION("""COMPUTED_VALUE"""),"Dagger of The Cultist")</f>
        <v>Dagger of The Cultist</v>
      </c>
      <c r="B80" s="16"/>
      <c r="C80" s="16" t="str">
        <f>IFERROR(__xludf.DUMMYFUNCTION("""COMPUTED_VALUE"""),"Knife")</f>
        <v>Knife</v>
      </c>
      <c r="D80" s="16" t="str">
        <f>IFERROR(__xludf.DUMMYFUNCTION("""COMPUTED_VALUE"""),"Hand")</f>
        <v>Hand</v>
      </c>
      <c r="E80" s="16">
        <f>IFERROR(__xludf.DUMMYFUNCTION("""COMPUTED_VALUE"""),120.0)</f>
        <v>120</v>
      </c>
      <c r="F80" s="16" t="str">
        <f>IFERROR(__xludf.DUMMYFUNCTION("""COMPUTED_VALUE"""),"DMG: +2000, Dark DMG: +2000, Chaos DMG: +2000 (Cultist Set) ++25% chance of instant death to the target.")</f>
        <v>DMG: +2000, Dark DMG: +2000, Chaos DMG: +2000 (Cultist Set) ++25% chance of instant death to the target.</v>
      </c>
      <c r="G80" s="16">
        <f>IFERROR(__xludf.DUMMYFUNCTION("""COMPUTED_VALUE"""),660000.0)</f>
        <v>660000</v>
      </c>
      <c r="H80" s="16"/>
      <c r="I80" s="16"/>
      <c r="J80" s="16"/>
      <c r="K80" s="16"/>
      <c r="L80" s="16"/>
      <c r="M80" s="16"/>
      <c r="N80" s="16"/>
      <c r="O80" s="16"/>
      <c r="P80" s="16"/>
      <c r="Q80" s="16"/>
      <c r="R80" s="16"/>
      <c r="S80" s="16"/>
      <c r="T80" s="16"/>
      <c r="U80" s="16"/>
      <c r="V80" s="16"/>
      <c r="W80" s="16"/>
      <c r="X80" s="16"/>
      <c r="Y80" s="16"/>
      <c r="Z80" s="16"/>
    </row>
    <row r="81">
      <c r="A81" s="16" t="str">
        <f>IFERROR(__xludf.DUMMYFUNCTION("""COMPUTED_VALUE"""),"Dark Ice Sword")</f>
        <v>Dark Ice Sword</v>
      </c>
      <c r="B81" s="16"/>
      <c r="C81" s="16" t="str">
        <f>IFERROR(__xludf.DUMMYFUNCTION("""COMPUTED_VALUE"""),"Sword")</f>
        <v>Sword</v>
      </c>
      <c r="D81" s="16" t="str">
        <f>IFERROR(__xludf.DUMMYFUNCTION("""COMPUTED_VALUE"""),"Hand")</f>
        <v>Hand</v>
      </c>
      <c r="E81" s="16">
        <f>IFERROR(__xludf.DUMMYFUNCTION("""COMPUTED_VALUE"""),20.0)</f>
        <v>20</v>
      </c>
      <c r="F81" s="16" t="str">
        <f>IFERROR(__xludf.DUMMYFUNCTION("""COMPUTED_VALUE"""),"DMG: +600 ++25% Chance to freeze target.")</f>
        <v>DMG: +600 ++25% Chance to freeze target.</v>
      </c>
      <c r="G81" s="16">
        <f>IFERROR(__xludf.DUMMYFUNCTION("""COMPUTED_VALUE"""),1000.0)</f>
        <v>1000</v>
      </c>
      <c r="H81" s="16"/>
      <c r="I81" s="16"/>
      <c r="J81" s="16"/>
      <c r="K81" s="16"/>
      <c r="L81" s="16"/>
      <c r="M81" s="16"/>
      <c r="N81" s="16"/>
      <c r="O81" s="16"/>
      <c r="P81" s="16"/>
      <c r="Q81" s="16"/>
      <c r="R81" s="16"/>
      <c r="S81" s="16"/>
      <c r="T81" s="16"/>
      <c r="U81" s="16"/>
      <c r="V81" s="16"/>
      <c r="W81" s="16"/>
      <c r="X81" s="16"/>
      <c r="Y81" s="16"/>
      <c r="Z81" s="16"/>
    </row>
    <row r="82">
      <c r="A82" s="16" t="str">
        <f>IFERROR(__xludf.DUMMYFUNCTION("""COMPUTED_VALUE"""),"Dark Knight Helm")</f>
        <v>Dark Knight Helm</v>
      </c>
      <c r="B82" s="16"/>
      <c r="C82" s="16"/>
      <c r="D82" s="16" t="str">
        <f>IFERROR(__xludf.DUMMYFUNCTION("""COMPUTED_VALUE"""),"Head")</f>
        <v>Head</v>
      </c>
      <c r="E82" s="16">
        <f>IFERROR(__xludf.DUMMYFUNCTION("""COMPUTED_VALUE"""),10.0)</f>
        <v>10</v>
      </c>
      <c r="F82" s="16" t="str">
        <f>IFERROR(__xludf.DUMMYFUNCTION("""COMPUTED_VALUE"""),"DEF: +500 ++Immune to dark damage")</f>
        <v>DEF: +500 ++Immune to dark damage</v>
      </c>
      <c r="G82" s="16">
        <f>IFERROR(__xludf.DUMMYFUNCTION("""COMPUTED_VALUE"""),1000.0)</f>
        <v>1000</v>
      </c>
      <c r="H82" s="16"/>
      <c r="I82" s="16"/>
      <c r="J82" s="16"/>
      <c r="K82" s="16"/>
      <c r="L82" s="16"/>
      <c r="M82" s="16"/>
      <c r="N82" s="16"/>
      <c r="O82" s="16"/>
      <c r="P82" s="16"/>
      <c r="Q82" s="16"/>
      <c r="R82" s="16"/>
      <c r="S82" s="16"/>
      <c r="T82" s="16"/>
      <c r="U82" s="16"/>
      <c r="V82" s="16"/>
      <c r="W82" s="16"/>
      <c r="X82" s="16"/>
      <c r="Y82" s="16"/>
      <c r="Z82" s="16"/>
    </row>
    <row r="83">
      <c r="A83" s="16" t="str">
        <f>IFERROR(__xludf.DUMMYFUNCTION("""COMPUTED_VALUE"""),"Dark Wand")</f>
        <v>Dark Wand</v>
      </c>
      <c r="B83" s="16"/>
      <c r="C83" s="16" t="str">
        <f>IFERROR(__xludf.DUMMYFUNCTION("""COMPUTED_VALUE"""),"Wand")</f>
        <v>Wand</v>
      </c>
      <c r="D83" s="16" t="str">
        <f>IFERROR(__xludf.DUMMYFUNCTION("""COMPUTED_VALUE"""),"Hand")</f>
        <v>Hand</v>
      </c>
      <c r="E83" s="16">
        <f>IFERROR(__xludf.DUMMYFUNCTION("""COMPUTED_VALUE"""),1.0)</f>
        <v>1</v>
      </c>
      <c r="F83" s="16" t="str">
        <f>IFERROR(__xludf.DUMMYFUNCTION("""COMPUTED_VALUE""")," ++Half the SP cost of dark spells")</f>
        <v> ++Half the SP cost of dark spells</v>
      </c>
      <c r="G83" s="16">
        <f>IFERROR(__xludf.DUMMYFUNCTION("""COMPUTED_VALUE"""),0.0)</f>
        <v>0</v>
      </c>
      <c r="H83" s="16"/>
      <c r="I83" s="16"/>
      <c r="J83" s="16"/>
      <c r="K83" s="16"/>
      <c r="L83" s="16"/>
      <c r="M83" s="16"/>
      <c r="N83" s="16"/>
      <c r="O83" s="16"/>
      <c r="P83" s="16"/>
      <c r="Q83" s="16"/>
      <c r="R83" s="16"/>
      <c r="S83" s="16"/>
      <c r="T83" s="16"/>
      <c r="U83" s="16"/>
      <c r="V83" s="16"/>
      <c r="W83" s="16"/>
      <c r="X83" s="16"/>
      <c r="Y83" s="16"/>
      <c r="Z83" s="16"/>
    </row>
    <row r="84">
      <c r="A84" s="16" t="str">
        <f>IFERROR(__xludf.DUMMYFUNCTION("""COMPUTED_VALUE"""),"Dead Forest Blade")</f>
        <v>Dead Forest Blade</v>
      </c>
      <c r="B84" s="16"/>
      <c r="C84" s="16" t="str">
        <f>IFERROR(__xludf.DUMMYFUNCTION("""COMPUTED_VALUE"""),"Sword")</f>
        <v>Sword</v>
      </c>
      <c r="D84" s="16" t="str">
        <f>IFERROR(__xludf.DUMMYFUNCTION("""COMPUTED_VALUE"""),"Hand")</f>
        <v>Hand</v>
      </c>
      <c r="E84" s="16">
        <f>IFERROR(__xludf.DUMMYFUNCTION("""COMPUTED_VALUE"""),180.0)</f>
        <v>180</v>
      </c>
      <c r="F84" s="16" t="str">
        <f>IFERROR(__xludf.DUMMYFUNCTION("""COMPUTED_VALUE"""),"DMG: +5000, Dark DMG: +4000 ++Darkness Embodiment - When Equipped Any dark and chaos weapons and dark and chaos spells will deal an additional X2 damage.")</f>
        <v>DMG: +5000, Dark DMG: +4000 ++Darkness Embodiment - When Equipped Any dark and chaos weapons and dark and chaos spells will deal an additional X2 damage.</v>
      </c>
      <c r="G84" s="16">
        <f>IFERROR(__xludf.DUMMYFUNCTION("""COMPUTED_VALUE"""),1530000.0)</f>
        <v>1530000</v>
      </c>
      <c r="H84" s="16"/>
      <c r="I84" s="16"/>
      <c r="J84" s="16"/>
      <c r="K84" s="16"/>
      <c r="L84" s="16"/>
      <c r="M84" s="16"/>
      <c r="N84" s="16"/>
      <c r="O84" s="16"/>
      <c r="P84" s="16"/>
      <c r="Q84" s="16"/>
      <c r="R84" s="16"/>
      <c r="S84" s="16"/>
      <c r="T84" s="16"/>
      <c r="U84" s="16"/>
      <c r="V84" s="16"/>
      <c r="W84" s="16"/>
      <c r="X84" s="16"/>
      <c r="Y84" s="16"/>
      <c r="Z84" s="16"/>
    </row>
    <row r="85">
      <c r="A85" s="16" t="str">
        <f>IFERROR(__xludf.DUMMYFUNCTION("""COMPUTED_VALUE"""),"Dead Forest Branch")</f>
        <v>Dead Forest Branch</v>
      </c>
      <c r="B85" s="16"/>
      <c r="C85" s="16" t="str">
        <f>IFERROR(__xludf.DUMMYFUNCTION("""COMPUTED_VALUE"""),"Club")</f>
        <v>Club</v>
      </c>
      <c r="D85" s="16" t="str">
        <f>IFERROR(__xludf.DUMMYFUNCTION("""COMPUTED_VALUE"""),"Hand")</f>
        <v>Hand</v>
      </c>
      <c r="E85" s="16">
        <f>IFERROR(__xludf.DUMMYFUNCTION("""COMPUTED_VALUE"""),200.0)</f>
        <v>200</v>
      </c>
      <c r="F85" s="16" t="str">
        <f>IFERROR(__xludf.DUMMYFUNCTION("""COMPUTED_VALUE"""),", Celestial DMG: +10000000 ++This Branch will deal 10,000,000 celestial damage but it has a 95% chance to break")</f>
        <v>, Celestial DMG: +10000000 ++This Branch will deal 10,000,000 celestial damage but it has a 95% chance to break</v>
      </c>
      <c r="G85" s="16">
        <f>IFERROR(__xludf.DUMMYFUNCTION("""COMPUTED_VALUE"""),2.8788E10)</f>
        <v>28788000000</v>
      </c>
      <c r="H85" s="16"/>
      <c r="I85" s="16"/>
      <c r="J85" s="16"/>
      <c r="K85" s="16"/>
      <c r="L85" s="16"/>
      <c r="M85" s="16"/>
      <c r="N85" s="16"/>
      <c r="O85" s="16"/>
      <c r="P85" s="16"/>
      <c r="Q85" s="16"/>
      <c r="R85" s="16"/>
      <c r="S85" s="16"/>
      <c r="T85" s="16"/>
      <c r="U85" s="16"/>
      <c r="V85" s="16"/>
      <c r="W85" s="16"/>
      <c r="X85" s="16"/>
      <c r="Y85" s="16"/>
      <c r="Z85" s="16"/>
    </row>
    <row r="86">
      <c r="A86" s="16" t="str">
        <f>IFERROR(__xludf.DUMMYFUNCTION("""COMPUTED_VALUE"""),"Death's Scythe")</f>
        <v>Death's Scythe</v>
      </c>
      <c r="B86" s="16"/>
      <c r="C86" s="16" t="str">
        <f>IFERROR(__xludf.DUMMYFUNCTION("""COMPUTED_VALUE"""),"Scythe")</f>
        <v>Scythe</v>
      </c>
      <c r="D86" s="16" t="str">
        <f>IFERROR(__xludf.DUMMYFUNCTION("""COMPUTED_VALUE"""),"Hand")</f>
        <v>Hand</v>
      </c>
      <c r="E86" s="16">
        <f>IFERROR(__xludf.DUMMYFUNCTION("""COMPUTED_VALUE"""),600.0)</f>
        <v>600</v>
      </c>
      <c r="F86" s="16" t="str">
        <f>IFERROR(__xludf.DUMMYFUNCTION("""COMPUTED_VALUE"""),"DMG: +10000, Dark DMG: +10000, Chaos DMG: +10000 ++ +2 Intimidation, ++ +2 Wisdom when rolling a wisdom check for traps. +-Cannot be duplicated, +-Can only equip one.")</f>
        <v>DMG: +10000, Dark DMG: +10000, Chaos DMG: +10000 ++ +2 Intimidation, ++ +2 Wisdom when rolling a wisdom check for traps. +-Cannot be duplicated, +-Can only equip one.</v>
      </c>
      <c r="G86" s="16">
        <f>IFERROR(__xludf.DUMMYFUNCTION("""COMPUTED_VALUE"""),1.77E7)</f>
        <v>17700000</v>
      </c>
      <c r="H86" s="16"/>
      <c r="I86" s="16"/>
      <c r="J86" s="16"/>
      <c r="K86" s="16"/>
      <c r="L86" s="16"/>
      <c r="M86" s="16"/>
      <c r="N86" s="16"/>
      <c r="O86" s="16"/>
      <c r="P86" s="16"/>
      <c r="Q86" s="16"/>
      <c r="R86" s="16"/>
      <c r="S86" s="16"/>
      <c r="T86" s="16"/>
      <c r="U86" s="16"/>
      <c r="V86" s="16"/>
      <c r="W86" s="16"/>
      <c r="X86" s="16"/>
      <c r="Y86" s="16"/>
      <c r="Z86" s="16"/>
    </row>
    <row r="87">
      <c r="A87" s="16" t="str">
        <f>IFERROR(__xludf.DUMMYFUNCTION("""COMPUTED_VALUE"""),"Demonic Scythe of Chaos ")</f>
        <v>Demonic Scythe of Chaos </v>
      </c>
      <c r="B87" s="16"/>
      <c r="C87" s="16" t="str">
        <f>IFERROR(__xludf.DUMMYFUNCTION("""COMPUTED_VALUE"""),"Scythe")</f>
        <v>Scythe</v>
      </c>
      <c r="D87" s="16" t="str">
        <f>IFERROR(__xludf.DUMMYFUNCTION("""COMPUTED_VALUE"""),"Hand")</f>
        <v>Hand</v>
      </c>
      <c r="E87" s="16">
        <f>IFERROR(__xludf.DUMMYFUNCTION("""COMPUTED_VALUE"""),3000.0)</f>
        <v>3000</v>
      </c>
      <c r="F87" s="16" t="str">
        <f>IFERROR(__xludf.DUMMYFUNCTION("""COMPUTED_VALUE"""),"DMG: +50000, Fire DMG: +50000, Chaos DMG: +50000 ++X2  Additional Fire and Chaos damage. +-Cannot be duplicated.")</f>
        <v>DMG: +50000, Fire DMG: +50000, Chaos DMG: +50000 ++X2  Additional Fire and Chaos damage. +-Cannot be duplicated.</v>
      </c>
      <c r="G87" s="16">
        <f>IFERROR(__xludf.DUMMYFUNCTION("""COMPUTED_VALUE"""),4.485E8)</f>
        <v>448500000</v>
      </c>
      <c r="H87" s="16"/>
      <c r="I87" s="16"/>
      <c r="J87" s="16"/>
      <c r="K87" s="16"/>
      <c r="L87" s="16"/>
      <c r="M87" s="16"/>
      <c r="N87" s="16"/>
      <c r="O87" s="16"/>
      <c r="P87" s="16"/>
      <c r="Q87" s="16"/>
      <c r="R87" s="16"/>
      <c r="S87" s="16"/>
      <c r="T87" s="16"/>
      <c r="U87" s="16"/>
      <c r="V87" s="16"/>
      <c r="W87" s="16"/>
      <c r="X87" s="16"/>
      <c r="Y87" s="16"/>
      <c r="Z87" s="16"/>
    </row>
    <row r="88">
      <c r="A88" s="16" t="str">
        <f>IFERROR(__xludf.DUMMYFUNCTION("""COMPUTED_VALUE"""),"Demonic Sword of The King")</f>
        <v>Demonic Sword of The King</v>
      </c>
      <c r="B88" s="16"/>
      <c r="C88" s="16" t="str">
        <f>IFERROR(__xludf.DUMMYFUNCTION("""COMPUTED_VALUE"""),"Sword")</f>
        <v>Sword</v>
      </c>
      <c r="D88" s="16" t="str">
        <f>IFERROR(__xludf.DUMMYFUNCTION("""COMPUTED_VALUE"""),"Hand")</f>
        <v>Hand</v>
      </c>
      <c r="E88" s="16">
        <f>IFERROR(__xludf.DUMMYFUNCTION("""COMPUTED_VALUE"""),200.0)</f>
        <v>200</v>
      </c>
      <c r="F88" s="16" t="str">
        <f>IFERROR(__xludf.DUMMYFUNCTION("""COMPUTED_VALUE"""),"DMG: +100000, Fire DMG: +100000, Dark DMG: +50000, Chaos DMG: +50000, Blood DMG: +50000, Celestial DMG: +50000 ++When targeted for an attack you can choose a party member to take the damage instead. +-Cannot be duplicated.")</f>
        <v>DMG: +100000, Fire DMG: +100000, Dark DMG: +50000, Chaos DMG: +50000, Blood DMG: +50000, Celestial DMG: +50000 ++When targeted for an attack you can choose a party member to take the damage instead. +-Cannot be duplicated.</v>
      </c>
      <c r="G88" s="16">
        <f>IFERROR(__xludf.DUMMYFUNCTION("""COMPUTED_VALUE"""),3.196E9)</f>
        <v>3196000000</v>
      </c>
      <c r="H88" s="16"/>
      <c r="I88" s="16"/>
      <c r="J88" s="16"/>
      <c r="K88" s="16"/>
      <c r="L88" s="16"/>
      <c r="M88" s="16"/>
      <c r="N88" s="16"/>
      <c r="O88" s="16"/>
      <c r="P88" s="16"/>
      <c r="Q88" s="16"/>
      <c r="R88" s="16"/>
      <c r="S88" s="16"/>
      <c r="T88" s="16"/>
      <c r="U88" s="16"/>
      <c r="V88" s="16"/>
      <c r="W88" s="16"/>
      <c r="X88" s="16"/>
      <c r="Y88" s="16"/>
      <c r="Z88" s="16"/>
    </row>
    <row r="89">
      <c r="A89" s="16" t="str">
        <f>IFERROR(__xludf.DUMMYFUNCTION("""COMPUTED_VALUE"""),"Dimensional Dagger")</f>
        <v>Dimensional Dagger</v>
      </c>
      <c r="B89" s="16"/>
      <c r="C89" s="16" t="str">
        <f>IFERROR(__xludf.DUMMYFUNCTION("""COMPUTED_VALUE"""),"Knife")</f>
        <v>Knife</v>
      </c>
      <c r="D89" s="16" t="str">
        <f>IFERROR(__xludf.DUMMYFUNCTION("""COMPUTED_VALUE"""),"Hand")</f>
        <v>Hand</v>
      </c>
      <c r="E89" s="16">
        <f>IFERROR(__xludf.DUMMYFUNCTION("""COMPUTED_VALUE"""),200.0)</f>
        <v>200</v>
      </c>
      <c r="F89" s="16" t="str">
        <f>IFERROR(__xludf.DUMMYFUNCTION("""COMPUTED_VALUE"""),"DMG: +5000, Chaos DMG: +5000 ++25% chance to teleport the target being attacked to a random location.")</f>
        <v>DMG: +5000, Chaos DMG: +5000 ++25% chance to teleport the target being attacked to a random location.</v>
      </c>
      <c r="G89" s="16">
        <f>IFERROR(__xludf.DUMMYFUNCTION("""COMPUTED_VALUE"""),1900000.0)</f>
        <v>1900000</v>
      </c>
      <c r="H89" s="16"/>
      <c r="I89" s="16"/>
      <c r="J89" s="16"/>
      <c r="K89" s="16"/>
      <c r="L89" s="16"/>
      <c r="M89" s="16"/>
      <c r="N89" s="16"/>
      <c r="O89" s="16"/>
      <c r="P89" s="16"/>
      <c r="Q89" s="16"/>
      <c r="R89" s="16"/>
      <c r="S89" s="16"/>
      <c r="T89" s="16"/>
      <c r="U89" s="16"/>
      <c r="V89" s="16"/>
      <c r="W89" s="16"/>
      <c r="X89" s="16"/>
      <c r="Y89" s="16"/>
      <c r="Z89" s="16"/>
    </row>
    <row r="90">
      <c r="A90" s="16" t="str">
        <f>IFERROR(__xludf.DUMMYFUNCTION("""COMPUTED_VALUE"""),"Draconic Shield")</f>
        <v>Draconic Shield</v>
      </c>
      <c r="B90" s="16"/>
      <c r="C90" s="16" t="str">
        <f>IFERROR(__xludf.DUMMYFUNCTION("""COMPUTED_VALUE"""),"Towershield")</f>
        <v>Towershield</v>
      </c>
      <c r="D90" s="16" t="str">
        <f>IFERROR(__xludf.DUMMYFUNCTION("""COMPUTED_VALUE"""),"Hand")</f>
        <v>Hand</v>
      </c>
      <c r="E90" s="16">
        <f>IFERROR(__xludf.DUMMYFUNCTION("""COMPUTED_VALUE"""),5000.0)</f>
        <v>5000</v>
      </c>
      <c r="F90" s="16" t="str">
        <f>IFERROR(__xludf.DUMMYFUNCTION("""COMPUTED_VALUE"""),"DEF: +50000, Fire DEF: +50000, Dark DEF: +50000, Chaos DEF: +50000, Blood DEF: +50000 ++Draconic Block - Any damage you take in battle is now reduced to 1 for for the first round of battle.")</f>
        <v>DEF: +50000, Fire DEF: +50000, Dark DEF: +50000, Chaos DEF: +50000, Blood DEF: +50000 ++Draconic Block - Any damage you take in battle is now reduced to 1 for for the first round of battle.</v>
      </c>
      <c r="G90" s="16">
        <f>IFERROR(__xludf.DUMMYFUNCTION("""COMPUTED_VALUE"""),1.2475E9)</f>
        <v>1247500000</v>
      </c>
      <c r="H90" s="16"/>
      <c r="I90" s="16"/>
      <c r="J90" s="16"/>
      <c r="K90" s="16"/>
      <c r="L90" s="16"/>
      <c r="M90" s="16"/>
      <c r="N90" s="16"/>
      <c r="O90" s="16"/>
      <c r="P90" s="16"/>
      <c r="Q90" s="16"/>
      <c r="R90" s="16"/>
      <c r="S90" s="16"/>
      <c r="T90" s="16"/>
      <c r="U90" s="16"/>
      <c r="V90" s="16"/>
      <c r="W90" s="16"/>
      <c r="X90" s="16"/>
      <c r="Y90" s="16"/>
      <c r="Z90" s="16"/>
    </row>
    <row r="91">
      <c r="A91" s="16" t="str">
        <f>IFERROR(__xludf.DUMMYFUNCTION("""COMPUTED_VALUE"""),"Dragon's Skull")</f>
        <v>Dragon's Skull</v>
      </c>
      <c r="B91" s="16"/>
      <c r="C91" s="16"/>
      <c r="D91" s="16" t="str">
        <f>IFERROR(__xludf.DUMMYFUNCTION("""COMPUTED_VALUE"""),"Head")</f>
        <v>Head</v>
      </c>
      <c r="E91" s="16">
        <f>IFERROR(__xludf.DUMMYFUNCTION("""COMPUTED_VALUE"""),200.0)</f>
        <v>200</v>
      </c>
      <c r="F91" s="16" t="str">
        <f>IFERROR(__xludf.DUMMYFUNCTION("""COMPUTED_VALUE"""),"DEF: +10000 ++Any damage that is dealt to the wearer by a dragon is negated. ++(Dragon Tamers Cannot Wear This)")</f>
        <v>DEF: +10000 ++Any damage that is dealt to the wearer by a dragon is negated. ++(Dragon Tamers Cannot Wear This)</v>
      </c>
      <c r="G91" s="16">
        <f>IFERROR(__xludf.DUMMYFUNCTION("""COMPUTED_VALUE"""),1900000.0)</f>
        <v>1900000</v>
      </c>
      <c r="H91" s="16"/>
      <c r="I91" s="16"/>
      <c r="J91" s="16"/>
      <c r="K91" s="16"/>
      <c r="L91" s="16"/>
      <c r="M91" s="16"/>
      <c r="N91" s="16"/>
      <c r="O91" s="16"/>
      <c r="P91" s="16"/>
      <c r="Q91" s="16"/>
      <c r="R91" s="16"/>
      <c r="S91" s="16"/>
      <c r="T91" s="16"/>
      <c r="U91" s="16"/>
      <c r="V91" s="16"/>
      <c r="W91" s="16"/>
      <c r="X91" s="16"/>
      <c r="Y91" s="16"/>
      <c r="Z91" s="16"/>
    </row>
    <row r="92">
      <c r="A92" s="16" t="str">
        <f>IFERROR(__xludf.DUMMYFUNCTION("""COMPUTED_VALUE"""),"Dragonbone Greatsword")</f>
        <v>Dragonbone Greatsword</v>
      </c>
      <c r="B92" s="16"/>
      <c r="C92" s="16" t="str">
        <f>IFERROR(__xludf.DUMMYFUNCTION("""COMPUTED_VALUE"""),"Sword")</f>
        <v>Sword</v>
      </c>
      <c r="D92" s="16" t="str">
        <f>IFERROR(__xludf.DUMMYFUNCTION("""COMPUTED_VALUE"""),"Hand")</f>
        <v>Hand</v>
      </c>
      <c r="E92" s="16">
        <f>IFERROR(__xludf.DUMMYFUNCTION("""COMPUTED_VALUE"""),200.0)</f>
        <v>200</v>
      </c>
      <c r="F92" s="16" t="str">
        <f>IFERROR(__xludf.DUMMYFUNCTION("""COMPUTED_VALUE"""),"DMG: +100000, Fire DMG: +100000, Earth DMG: +100000, Dark DMG: +100000, Blood DMG: +100000, Celestial DMG: +100000 ++If you have a dragon as a companion in the current battle this sword will deal x4 additional fire, earth, dark, blood, and celestial damag"&amp;"e.")</f>
        <v>DMG: +100000, Fire DMG: +100000, Earth DMG: +100000, Dark DMG: +100000, Blood DMG: +100000, Celestial DMG: +100000 ++If you have a dragon as a companion in the current battle this sword will deal x4 additional fire, earth, dark, blood, and celestial damage.</v>
      </c>
      <c r="G92" s="16">
        <f>IFERROR(__xludf.DUMMYFUNCTION("""COMPUTED_VALUE"""),7.194E9)</f>
        <v>7194000000</v>
      </c>
      <c r="H92" s="16"/>
      <c r="I92" s="16"/>
      <c r="J92" s="16"/>
      <c r="K92" s="16"/>
      <c r="L92" s="16"/>
      <c r="M92" s="16"/>
      <c r="N92" s="16"/>
      <c r="O92" s="16"/>
      <c r="P92" s="16"/>
      <c r="Q92" s="16"/>
      <c r="R92" s="16"/>
      <c r="S92" s="16"/>
      <c r="T92" s="16"/>
      <c r="U92" s="16"/>
      <c r="V92" s="16"/>
      <c r="W92" s="16"/>
      <c r="X92" s="16"/>
      <c r="Y92" s="16"/>
      <c r="Z92" s="16"/>
    </row>
    <row r="93">
      <c r="A93" s="16" t="str">
        <f>IFERROR(__xludf.DUMMYFUNCTION("""COMPUTED_VALUE"""),"Dreading Wand Of Fire")</f>
        <v>Dreading Wand Of Fire</v>
      </c>
      <c r="B93" s="16"/>
      <c r="C93" s="16" t="str">
        <f>IFERROR(__xludf.DUMMYFUNCTION("""COMPUTED_VALUE"""),"Wand")</f>
        <v>Wand</v>
      </c>
      <c r="D93" s="16" t="str">
        <f>IFERROR(__xludf.DUMMYFUNCTION("""COMPUTED_VALUE"""),"Hand")</f>
        <v>Hand</v>
      </c>
      <c r="E93" s="16">
        <f>IFERROR(__xludf.DUMMYFUNCTION("""COMPUTED_VALUE"""),1.0)</f>
        <v>1</v>
      </c>
      <c r="F93" s="16" t="str">
        <f>IFERROR(__xludf.DUMMYFUNCTION("""COMPUTED_VALUE""")," ++Half SP costs for fire spells")</f>
        <v> ++Half SP costs for fire spells</v>
      </c>
      <c r="G93" s="16">
        <f>IFERROR(__xludf.DUMMYFUNCTION("""COMPUTED_VALUE"""),0.0)</f>
        <v>0</v>
      </c>
      <c r="H93" s="16"/>
      <c r="I93" s="16"/>
      <c r="J93" s="16"/>
      <c r="K93" s="16"/>
      <c r="L93" s="16"/>
      <c r="M93" s="16"/>
      <c r="N93" s="16"/>
      <c r="O93" s="16"/>
      <c r="P93" s="16"/>
      <c r="Q93" s="16"/>
      <c r="R93" s="16"/>
      <c r="S93" s="16"/>
      <c r="T93" s="16"/>
      <c r="U93" s="16"/>
      <c r="V93" s="16"/>
      <c r="W93" s="16"/>
      <c r="X93" s="16"/>
      <c r="Y93" s="16"/>
      <c r="Z93" s="16"/>
    </row>
    <row r="94">
      <c r="A94" s="16" t="str">
        <f>IFERROR(__xludf.DUMMYFUNCTION("""COMPUTED_VALUE"""),"Dy Yu’s Plated Armor")</f>
        <v>Dy Yu’s Plated Armor</v>
      </c>
      <c r="B94" s="16"/>
      <c r="C94" s="16"/>
      <c r="D94" s="16" t="str">
        <f>IFERROR(__xludf.DUMMYFUNCTION("""COMPUTED_VALUE"""),"Torso")</f>
        <v>Torso</v>
      </c>
      <c r="E94" s="16">
        <f>IFERROR(__xludf.DUMMYFUNCTION("""COMPUTED_VALUE"""),4000.0)</f>
        <v>4000</v>
      </c>
      <c r="F94" s="16" t="str">
        <f>IFERROR(__xludf.DUMMYFUNCTION("""COMPUTED_VALUE"""),"DEF: +50000, Fire DEF: +50000, Earth DEF: +50000, Spirit DEF: +50000 ++Roll a d20 at the beginning of battle, 11 or higher = half the damage taken from the first attack, 10 or lower = take double the damage from the first attack.")</f>
        <v>DEF: +50000, Fire DEF: +50000, Earth DEF: +50000, Spirit DEF: +50000 ++Roll a d20 at the beginning of battle, 11 or higher = half the damage taken from the first attack, 10 or lower = take double the damage from the first attack.</v>
      </c>
      <c r="G94" s="16">
        <f>IFERROR(__xludf.DUMMYFUNCTION("""COMPUTED_VALUE"""),7.98E8)</f>
        <v>798000000</v>
      </c>
      <c r="H94" s="16"/>
      <c r="I94" s="16"/>
      <c r="J94" s="16"/>
      <c r="K94" s="16"/>
      <c r="L94" s="16"/>
      <c r="M94" s="16"/>
      <c r="N94" s="16"/>
      <c r="O94" s="16"/>
      <c r="P94" s="16"/>
      <c r="Q94" s="16"/>
      <c r="R94" s="16"/>
      <c r="S94" s="16"/>
      <c r="T94" s="16"/>
      <c r="U94" s="16"/>
      <c r="V94" s="16"/>
      <c r="W94" s="16"/>
      <c r="X94" s="16"/>
      <c r="Y94" s="16"/>
      <c r="Z94" s="16"/>
    </row>
    <row r="95">
      <c r="A95" s="16" t="str">
        <f>IFERROR(__xludf.DUMMYFUNCTION("""COMPUTED_VALUE"""),"Easters Ring (Exclusive)")</f>
        <v>Easters Ring (Exclusive)</v>
      </c>
      <c r="B95" s="16"/>
      <c r="C95" s="16"/>
      <c r="D95" s="16" t="str">
        <f>IFERROR(__xludf.DUMMYFUNCTION("""COMPUTED_VALUE"""),"Ring")</f>
        <v>Ring</v>
      </c>
      <c r="E95" s="16">
        <f>IFERROR(__xludf.DUMMYFUNCTION("""COMPUTED_VALUE"""),1.0)</f>
        <v>1</v>
      </c>
      <c r="F95" s="16" t="str">
        <f>IFERROR(__xludf.DUMMYFUNCTION("""COMPUTED_VALUE""")," ++Can turn one bad day of travel into a good day of travel. +-Cannot be forged")</f>
        <v> ++Can turn one bad day of travel into a good day of travel. +-Cannot be forged</v>
      </c>
      <c r="G95" s="16">
        <f>IFERROR(__xludf.DUMMYFUNCTION("""COMPUTED_VALUE"""),0.0)</f>
        <v>0</v>
      </c>
      <c r="H95" s="16"/>
      <c r="I95" s="16"/>
      <c r="J95" s="16"/>
      <c r="K95" s="16"/>
      <c r="L95" s="16"/>
      <c r="M95" s="16"/>
      <c r="N95" s="16"/>
      <c r="O95" s="16"/>
      <c r="P95" s="16"/>
      <c r="Q95" s="16"/>
      <c r="R95" s="16"/>
      <c r="S95" s="16"/>
      <c r="T95" s="16"/>
      <c r="U95" s="16"/>
      <c r="V95" s="16"/>
      <c r="W95" s="16"/>
      <c r="X95" s="16"/>
      <c r="Y95" s="16"/>
      <c r="Z95" s="16"/>
    </row>
    <row r="96">
      <c r="A96" s="16" t="str">
        <f>IFERROR(__xludf.DUMMYFUNCTION("""COMPUTED_VALUE"""),"Enchanted Chestplate of Defense")</f>
        <v>Enchanted Chestplate of Defense</v>
      </c>
      <c r="B96" s="16"/>
      <c r="C96" s="16"/>
      <c r="D96" s="16" t="str">
        <f>IFERROR(__xludf.DUMMYFUNCTION("""COMPUTED_VALUE"""),"Torso")</f>
        <v>Torso</v>
      </c>
      <c r="E96" s="16">
        <f>IFERROR(__xludf.DUMMYFUNCTION("""COMPUTED_VALUE"""),100.0)</f>
        <v>100</v>
      </c>
      <c r="F96" s="16" t="str">
        <f>IFERROR(__xludf.DUMMYFUNCTION("""COMPUTED_VALUE"""),"DEF: +5000 ++Damage received by Spells and Weapons are reduced to half when wearing this.")</f>
        <v>DEF: +5000 ++Damage received by Spells and Weapons are reduced to half when wearing this.</v>
      </c>
      <c r="G96" s="16">
        <f>IFERROR(__xludf.DUMMYFUNCTION("""COMPUTED_VALUE"""),450000.0)</f>
        <v>450000</v>
      </c>
      <c r="H96" s="16"/>
      <c r="I96" s="16"/>
      <c r="J96" s="16"/>
      <c r="K96" s="16"/>
      <c r="L96" s="16"/>
      <c r="M96" s="16"/>
      <c r="N96" s="16"/>
      <c r="O96" s="16"/>
      <c r="P96" s="16"/>
      <c r="Q96" s="16"/>
      <c r="R96" s="16"/>
      <c r="S96" s="16"/>
      <c r="T96" s="16"/>
      <c r="U96" s="16"/>
      <c r="V96" s="16"/>
      <c r="W96" s="16"/>
      <c r="X96" s="16"/>
      <c r="Y96" s="16"/>
      <c r="Z96" s="16"/>
    </row>
    <row r="97">
      <c r="A97" s="16" t="str">
        <f>IFERROR(__xludf.DUMMYFUNCTION("""COMPUTED_VALUE"""),"Enchanted Dagger")</f>
        <v>Enchanted Dagger</v>
      </c>
      <c r="B97" s="16"/>
      <c r="C97" s="16" t="str">
        <f>IFERROR(__xludf.DUMMYFUNCTION("""COMPUTED_VALUE"""),"Knife")</f>
        <v>Knife</v>
      </c>
      <c r="D97" s="16" t="str">
        <f>IFERROR(__xludf.DUMMYFUNCTION("""COMPUTED_VALUE"""),"Hand")</f>
        <v>Hand</v>
      </c>
      <c r="E97" s="16">
        <f>IFERROR(__xludf.DUMMYFUNCTION("""COMPUTED_VALUE"""),1.0)</f>
        <v>1</v>
      </c>
      <c r="F97" s="16" t="str">
        <f>IFERROR(__xludf.DUMMYFUNCTION("""COMPUTED_VALUE"""),": +1 ++100% of instantly killing the target.")</f>
        <v>: +1 ++100% of instantly killing the target.</v>
      </c>
      <c r="G97" s="16">
        <f>IFERROR(__xludf.DUMMYFUNCTION("""COMPUTED_VALUE"""),0.0)</f>
        <v>0</v>
      </c>
      <c r="H97" s="16"/>
      <c r="I97" s="16"/>
      <c r="J97" s="16"/>
      <c r="K97" s="16"/>
      <c r="L97" s="16"/>
      <c r="M97" s="16"/>
      <c r="N97" s="16"/>
      <c r="O97" s="16"/>
      <c r="P97" s="16"/>
      <c r="Q97" s="16"/>
      <c r="R97" s="16"/>
      <c r="S97" s="16"/>
      <c r="T97" s="16"/>
      <c r="U97" s="16"/>
      <c r="V97" s="16"/>
      <c r="W97" s="16"/>
      <c r="X97" s="16"/>
      <c r="Y97" s="16"/>
      <c r="Z97" s="16"/>
    </row>
    <row r="98">
      <c r="A98" s="16" t="str">
        <f>IFERROR(__xludf.DUMMYFUNCTION("""COMPUTED_VALUE"""),"Enchanted Falcon Blade")</f>
        <v>Enchanted Falcon Blade</v>
      </c>
      <c r="B98" s="16"/>
      <c r="C98" s="16" t="str">
        <f>IFERROR(__xludf.DUMMYFUNCTION("""COMPUTED_VALUE"""),"Sword")</f>
        <v>Sword</v>
      </c>
      <c r="D98" s="16" t="str">
        <f>IFERROR(__xludf.DUMMYFUNCTION("""COMPUTED_VALUE"""),"Hand")</f>
        <v>Hand</v>
      </c>
      <c r="E98" s="16">
        <f>IFERROR(__xludf.DUMMYFUNCTION("""COMPUTED_VALUE"""),60.0)</f>
        <v>60</v>
      </c>
      <c r="F98" s="16" t="str">
        <f>IFERROR(__xludf.DUMMYFUNCTION("""COMPUTED_VALUE"""),"DMG: +2000, Order DMG: +600 ++Falcon’s Power - All attacks dealt by your weapons will deal double in damage for 3 of your turns when equipped.")</f>
        <v>DMG: +2000, Order DMG: +600 ++Falcon’s Power - All attacks dealt by your weapons will deal double in damage for 3 of your turns when equipped.</v>
      </c>
      <c r="G98" s="16">
        <f>IFERROR(__xludf.DUMMYFUNCTION("""COMPUTED_VALUE"""),100000.0)</f>
        <v>100000</v>
      </c>
      <c r="H98" s="16"/>
      <c r="I98" s="16"/>
      <c r="J98" s="16"/>
      <c r="K98" s="16"/>
      <c r="L98" s="16"/>
      <c r="M98" s="16"/>
      <c r="N98" s="16"/>
      <c r="O98" s="16"/>
      <c r="P98" s="16"/>
      <c r="Q98" s="16"/>
      <c r="R98" s="16"/>
      <c r="S98" s="16"/>
      <c r="T98" s="16"/>
      <c r="U98" s="16"/>
      <c r="V98" s="16"/>
      <c r="W98" s="16"/>
      <c r="X98" s="16"/>
      <c r="Y98" s="16"/>
      <c r="Z98" s="16"/>
    </row>
    <row r="99">
      <c r="A99" s="16" t="str">
        <f>IFERROR(__xludf.DUMMYFUNCTION("""COMPUTED_VALUE"""),"Energy Prong")</f>
        <v>Energy Prong</v>
      </c>
      <c r="B99" s="16"/>
      <c r="C99" s="16" t="str">
        <f>IFERROR(__xludf.DUMMYFUNCTION("""COMPUTED_VALUE"""),"Spear")</f>
        <v>Spear</v>
      </c>
      <c r="D99" s="16" t="str">
        <f>IFERROR(__xludf.DUMMYFUNCTION("""COMPUTED_VALUE"""),"Hand")</f>
        <v>Hand</v>
      </c>
      <c r="E99" s="16">
        <f>IFERROR(__xludf.DUMMYFUNCTION("""COMPUTED_VALUE"""),10.0)</f>
        <v>10</v>
      </c>
      <c r="F99" s="16" t="str">
        <f>IFERROR(__xludf.DUMMYFUNCTION("""COMPUTED_VALUE"""),"DMG: +500 ++50% chance of stun 3.")</f>
        <v>DMG: +500 ++50% chance of stun 3.</v>
      </c>
      <c r="G99" s="16">
        <f>IFERROR(__xludf.DUMMYFUNCTION("""COMPUTED_VALUE"""),1000.0)</f>
        <v>1000</v>
      </c>
      <c r="H99" s="16"/>
      <c r="I99" s="16"/>
      <c r="J99" s="16"/>
      <c r="K99" s="16"/>
      <c r="L99" s="16"/>
      <c r="M99" s="16"/>
      <c r="N99" s="16"/>
      <c r="O99" s="16"/>
      <c r="P99" s="16"/>
      <c r="Q99" s="16"/>
      <c r="R99" s="16"/>
      <c r="S99" s="16"/>
      <c r="T99" s="16"/>
      <c r="U99" s="16"/>
      <c r="V99" s="16"/>
      <c r="W99" s="16"/>
      <c r="X99" s="16"/>
      <c r="Y99" s="16"/>
      <c r="Z99" s="16"/>
    </row>
    <row r="100">
      <c r="A100" s="16" t="str">
        <f>IFERROR(__xludf.DUMMYFUNCTION("""COMPUTED_VALUE"""),"Faery Kings Sword")</f>
        <v>Faery Kings Sword</v>
      </c>
      <c r="B100" s="16"/>
      <c r="C100" s="16" t="str">
        <f>IFERROR(__xludf.DUMMYFUNCTION("""COMPUTED_VALUE"""),"Sword")</f>
        <v>Sword</v>
      </c>
      <c r="D100" s="16" t="str">
        <f>IFERROR(__xludf.DUMMYFUNCTION("""COMPUTED_VALUE"""),"Hand")</f>
        <v>Hand</v>
      </c>
      <c r="E100" s="16">
        <f>IFERROR(__xludf.DUMMYFUNCTION("""COMPUTED_VALUE"""),200.0)</f>
        <v>200</v>
      </c>
      <c r="F100" s="16" t="str">
        <f>IFERROR(__xludf.DUMMYFUNCTION("""COMPUTED_VALUE"""),"DMG: +500000, Nature DMG: +25000, Celestial DMG: +25000")</f>
        <v>DMG: +500000, Nature DMG: +25000, Celestial DMG: +25000</v>
      </c>
      <c r="G100" s="16">
        <f>IFERROR(__xludf.DUMMYFUNCTION("""COMPUTED_VALUE"""),6.0445E9)</f>
        <v>6044500000</v>
      </c>
      <c r="H100" s="16"/>
      <c r="I100" s="16"/>
      <c r="J100" s="16"/>
      <c r="K100" s="16"/>
      <c r="L100" s="16"/>
      <c r="M100" s="16"/>
      <c r="N100" s="16"/>
      <c r="O100" s="16"/>
      <c r="P100" s="16"/>
      <c r="Q100" s="16"/>
      <c r="R100" s="16"/>
      <c r="S100" s="16"/>
      <c r="T100" s="16"/>
      <c r="U100" s="16"/>
      <c r="V100" s="16"/>
      <c r="W100" s="16"/>
      <c r="X100" s="16"/>
      <c r="Y100" s="16"/>
      <c r="Z100" s="16"/>
    </row>
    <row r="101">
      <c r="A101" s="16" t="str">
        <f>IFERROR(__xludf.DUMMYFUNCTION("""COMPUTED_VALUE"""),"False Helmet")</f>
        <v>False Helmet</v>
      </c>
      <c r="B101" s="16"/>
      <c r="C101" s="16"/>
      <c r="D101" s="16" t="str">
        <f>IFERROR(__xludf.DUMMYFUNCTION("""COMPUTED_VALUE"""),"Head")</f>
        <v>Head</v>
      </c>
      <c r="E101" s="16">
        <f>IFERROR(__xludf.DUMMYFUNCTION("""COMPUTED_VALUE"""),1.0)</f>
        <v>1</v>
      </c>
      <c r="F101" s="16" t="str">
        <f>IFERROR(__xludf.DUMMYFUNCTION("""COMPUTED_VALUE""")," ++ ++5 Intimidation, ++ - 2 Charisma. +-Cannot be forged +-Cannot be duplicated.")</f>
        <v> ++ ++5 Intimidation, ++ - 2 Charisma. +-Cannot be forged +-Cannot be duplicated.</v>
      </c>
      <c r="G101" s="16">
        <f>IFERROR(__xludf.DUMMYFUNCTION("""COMPUTED_VALUE"""),0.0)</f>
        <v>0</v>
      </c>
      <c r="H101" s="16"/>
      <c r="I101" s="16"/>
      <c r="J101" s="16"/>
      <c r="K101" s="16"/>
      <c r="L101" s="16"/>
      <c r="M101" s="16"/>
      <c r="N101" s="16"/>
      <c r="O101" s="16"/>
      <c r="P101" s="16"/>
      <c r="Q101" s="16"/>
      <c r="R101" s="16"/>
      <c r="S101" s="16"/>
      <c r="T101" s="16"/>
      <c r="U101" s="16"/>
      <c r="V101" s="16"/>
      <c r="W101" s="16"/>
      <c r="X101" s="16"/>
      <c r="Y101" s="16"/>
      <c r="Z101" s="16"/>
    </row>
    <row r="102">
      <c r="A102" s="16" t="str">
        <f>IFERROR(__xludf.DUMMYFUNCTION("""COMPUTED_VALUE"""),"Felt Cap")</f>
        <v>Felt Cap</v>
      </c>
      <c r="B102" s="16"/>
      <c r="C102" s="16"/>
      <c r="D102" s="16" t="str">
        <f>IFERROR(__xludf.DUMMYFUNCTION("""COMPUTED_VALUE"""),"Head")</f>
        <v>Head</v>
      </c>
      <c r="E102" s="16">
        <f>IFERROR(__xludf.DUMMYFUNCTION("""COMPUTED_VALUE"""),1.0)</f>
        <v>1</v>
      </c>
      <c r="F102" s="16" t="str">
        <f>IFERROR(__xludf.DUMMYFUNCTION("""COMPUTED_VALUE""")," ++ -1 Evasion ++ +2 Intimidation, +-Can only wear one, +-Cannot be duplicated.")</f>
        <v> ++ -1 Evasion ++ +2 Intimidation, +-Can only wear one, +-Cannot be duplicated.</v>
      </c>
      <c r="G102" s="16">
        <f>IFERROR(__xludf.DUMMYFUNCTION("""COMPUTED_VALUE"""),0.0)</f>
        <v>0</v>
      </c>
      <c r="H102" s="16"/>
      <c r="I102" s="16"/>
      <c r="J102" s="16"/>
      <c r="K102" s="16"/>
      <c r="L102" s="16"/>
      <c r="M102" s="16"/>
      <c r="N102" s="16"/>
      <c r="O102" s="16"/>
      <c r="P102" s="16"/>
      <c r="Q102" s="16"/>
      <c r="R102" s="16"/>
      <c r="S102" s="16"/>
      <c r="T102" s="16"/>
      <c r="U102" s="16"/>
      <c r="V102" s="16"/>
      <c r="W102" s="16"/>
      <c r="X102" s="16"/>
      <c r="Y102" s="16"/>
      <c r="Z102" s="16"/>
    </row>
    <row r="103">
      <c r="A103" s="16" t="str">
        <f>IFERROR(__xludf.DUMMYFUNCTION("""COMPUTED_VALUE"""),"Fire Resistant Boots")</f>
        <v>Fire Resistant Boots</v>
      </c>
      <c r="B103" s="16"/>
      <c r="C103" s="16"/>
      <c r="D103" s="16" t="str">
        <f>IFERROR(__xludf.DUMMYFUNCTION("""COMPUTED_VALUE"""),"Feet")</f>
        <v>Feet</v>
      </c>
      <c r="E103" s="16">
        <f>IFERROR(__xludf.DUMMYFUNCTION("""COMPUTED_VALUE"""),200.0)</f>
        <v>200</v>
      </c>
      <c r="F103" s="16" t="str">
        <f>IFERROR(__xludf.DUMMYFUNCTION("""COMPUTED_VALUE"""),", Fire DEF: +10000 ++Fire Immune, ++X2 Additional fire damage. +-Cannot be duplicated.")</f>
        <v>, Fire DEF: +10000 ++Fire Immune, ++X2 Additional fire damage. +-Cannot be duplicated.</v>
      </c>
      <c r="G103" s="16">
        <f>IFERROR(__xludf.DUMMYFUNCTION("""COMPUTED_VALUE"""),1900000.0)</f>
        <v>1900000</v>
      </c>
      <c r="H103" s="16"/>
      <c r="I103" s="16"/>
      <c r="J103" s="16"/>
      <c r="K103" s="16"/>
      <c r="L103" s="16"/>
      <c r="M103" s="16"/>
      <c r="N103" s="16"/>
      <c r="O103" s="16"/>
      <c r="P103" s="16"/>
      <c r="Q103" s="16"/>
      <c r="R103" s="16"/>
      <c r="S103" s="16"/>
      <c r="T103" s="16"/>
      <c r="U103" s="16"/>
      <c r="V103" s="16"/>
      <c r="W103" s="16"/>
      <c r="X103" s="16"/>
      <c r="Y103" s="16"/>
      <c r="Z103" s="16"/>
    </row>
    <row r="104">
      <c r="A104" s="16" t="str">
        <f>IFERROR(__xludf.DUMMYFUNCTION("""COMPUTED_VALUE"""),"Fire Ring")</f>
        <v>Fire Ring</v>
      </c>
      <c r="B104" s="16"/>
      <c r="C104" s="16"/>
      <c r="D104" s="16" t="str">
        <f>IFERROR(__xludf.DUMMYFUNCTION("""COMPUTED_VALUE"""),"Ring")</f>
        <v>Ring</v>
      </c>
      <c r="E104" s="16">
        <f>IFERROR(__xludf.DUMMYFUNCTION("""COMPUTED_VALUE"""),1.0)</f>
        <v>1</v>
      </c>
      <c r="F104" s="16" t="str">
        <f>IFERROR(__xludf.DUMMYFUNCTION("""COMPUTED_VALUE""")," ++Fire Immune, ++X2 Additional fire damage. +-Cannot be duplicated.")</f>
        <v> ++Fire Immune, ++X2 Additional fire damage. +-Cannot be duplicated.</v>
      </c>
      <c r="G104" s="16">
        <f>IFERROR(__xludf.DUMMYFUNCTION("""COMPUTED_VALUE"""),0.0)</f>
        <v>0</v>
      </c>
      <c r="H104" s="16"/>
      <c r="I104" s="16"/>
      <c r="J104" s="16"/>
      <c r="K104" s="16"/>
      <c r="L104" s="16"/>
      <c r="M104" s="16"/>
      <c r="N104" s="16"/>
      <c r="O104" s="16"/>
      <c r="P104" s="16"/>
      <c r="Q104" s="16"/>
      <c r="R104" s="16"/>
      <c r="S104" s="16"/>
      <c r="T104" s="16"/>
      <c r="U104" s="16"/>
      <c r="V104" s="16"/>
      <c r="W104" s="16"/>
      <c r="X104" s="16"/>
      <c r="Y104" s="16"/>
      <c r="Z104" s="16"/>
    </row>
    <row r="105">
      <c r="A105" s="16" t="str">
        <f>IFERROR(__xludf.DUMMYFUNCTION("""COMPUTED_VALUE"""),"Fire Shield")</f>
        <v>Fire Shield</v>
      </c>
      <c r="B105" s="16"/>
      <c r="C105" s="16" t="str">
        <f>IFERROR(__xludf.DUMMYFUNCTION("""COMPUTED_VALUE"""),"Towershield")</f>
        <v>Towershield</v>
      </c>
      <c r="D105" s="16" t="str">
        <f>IFERROR(__xludf.DUMMYFUNCTION("""COMPUTED_VALUE"""),"Hand")</f>
        <v>Hand</v>
      </c>
      <c r="E105" s="16">
        <f>IFERROR(__xludf.DUMMYFUNCTION("""COMPUTED_VALUE"""),200.0)</f>
        <v>200</v>
      </c>
      <c r="F105" s="16" t="str">
        <f>IFERROR(__xludf.DUMMYFUNCTION("""COMPUTED_VALUE"""),"DEF: +5000, Fire DEF: +5000 ++ Immunity to Fire, ++X2 Additional fire resistance. +-Cannot be duplicated.")</f>
        <v>DEF: +5000, Fire DEF: +5000 ++ Immunity to Fire, ++X2 Additional fire resistance. +-Cannot be duplicated.</v>
      </c>
      <c r="G105" s="16">
        <f>IFERROR(__xludf.DUMMYFUNCTION("""COMPUTED_VALUE"""),1900000.0)</f>
        <v>1900000</v>
      </c>
      <c r="H105" s="16"/>
      <c r="I105" s="16"/>
      <c r="J105" s="16"/>
      <c r="K105" s="16"/>
      <c r="L105" s="16"/>
      <c r="M105" s="16"/>
      <c r="N105" s="16"/>
      <c r="O105" s="16"/>
      <c r="P105" s="16"/>
      <c r="Q105" s="16"/>
      <c r="R105" s="16"/>
      <c r="S105" s="16"/>
      <c r="T105" s="16"/>
      <c r="U105" s="16"/>
      <c r="V105" s="16"/>
      <c r="W105" s="16"/>
      <c r="X105" s="16"/>
      <c r="Y105" s="16"/>
      <c r="Z105" s="16"/>
    </row>
    <row r="106">
      <c r="A106" s="16" t="str">
        <f>IFERROR(__xludf.DUMMYFUNCTION("""COMPUTED_VALUE"""),"Fire Sword")</f>
        <v>Fire Sword</v>
      </c>
      <c r="B106" s="16"/>
      <c r="C106" s="16" t="str">
        <f>IFERROR(__xludf.DUMMYFUNCTION("""COMPUTED_VALUE"""),"Sword")</f>
        <v>Sword</v>
      </c>
      <c r="D106" s="16" t="str">
        <f>IFERROR(__xludf.DUMMYFUNCTION("""COMPUTED_VALUE"""),"Hand")</f>
        <v>Hand</v>
      </c>
      <c r="E106" s="16">
        <f>IFERROR(__xludf.DUMMYFUNCTION("""COMPUTED_VALUE"""),200.0)</f>
        <v>200</v>
      </c>
      <c r="F106" s="16" t="str">
        <f>IFERROR(__xludf.DUMMYFUNCTION("""COMPUTED_VALUE"""),"DMG: +5000, Fire DMG: +5000 ++X2 Additional Fire damage. Burn 2500. Cannot be duplicated.")</f>
        <v>DMG: +5000, Fire DMG: +5000 ++X2 Additional Fire damage. Burn 2500. Cannot be duplicated.</v>
      </c>
      <c r="G106" s="16">
        <f>IFERROR(__xludf.DUMMYFUNCTION("""COMPUTED_VALUE"""),1900000.0)</f>
        <v>1900000</v>
      </c>
      <c r="H106" s="16"/>
      <c r="I106" s="16"/>
      <c r="J106" s="16"/>
      <c r="K106" s="16"/>
      <c r="L106" s="16"/>
      <c r="M106" s="16"/>
      <c r="N106" s="16"/>
      <c r="O106" s="16"/>
      <c r="P106" s="16"/>
      <c r="Q106" s="16"/>
      <c r="R106" s="16"/>
      <c r="S106" s="16"/>
      <c r="T106" s="16"/>
      <c r="U106" s="16"/>
      <c r="V106" s="16"/>
      <c r="W106" s="16"/>
      <c r="X106" s="16"/>
      <c r="Y106" s="16"/>
      <c r="Z106" s="16"/>
    </row>
    <row r="107">
      <c r="A107" s="16" t="str">
        <f>IFERROR(__xludf.DUMMYFUNCTION("""COMPUTED_VALUE"""),"Fireproof Suit")</f>
        <v>Fireproof Suit</v>
      </c>
      <c r="B107" s="16"/>
      <c r="C107" s="16"/>
      <c r="D107" s="16" t="str">
        <f>IFERROR(__xludf.DUMMYFUNCTION("""COMPUTED_VALUE"""),"Torso")</f>
        <v>Torso</v>
      </c>
      <c r="E107" s="16">
        <f>IFERROR(__xludf.DUMMYFUNCTION("""COMPUTED_VALUE"""),400.0)</f>
        <v>400</v>
      </c>
      <c r="F107" s="16" t="str">
        <f>IFERROR(__xludf.DUMMYFUNCTION("""COMPUTED_VALUE"""),"DEF: +5000, Fire DEF: +15000 Fire Immune, X2 Additional fire resistance. Cannot be duplicated.")</f>
        <v>DEF: +5000, Fire DEF: +15000 Fire Immune, X2 Additional fire resistance. Cannot be duplicated.</v>
      </c>
      <c r="G107" s="16">
        <f>IFERROR(__xludf.DUMMYFUNCTION("""COMPUTED_VALUE"""),7800000.0)</f>
        <v>7800000</v>
      </c>
      <c r="H107" s="16"/>
      <c r="I107" s="16"/>
      <c r="J107" s="16"/>
      <c r="K107" s="16"/>
      <c r="L107" s="16"/>
      <c r="M107" s="16"/>
      <c r="N107" s="16"/>
      <c r="O107" s="16"/>
      <c r="P107" s="16"/>
      <c r="Q107" s="16"/>
      <c r="R107" s="16"/>
      <c r="S107" s="16"/>
      <c r="T107" s="16"/>
      <c r="U107" s="16"/>
      <c r="V107" s="16"/>
      <c r="W107" s="16"/>
      <c r="X107" s="16"/>
      <c r="Y107" s="16"/>
      <c r="Z107" s="16"/>
    </row>
    <row r="108">
      <c r="A108" s="16" t="str">
        <f>IFERROR(__xludf.DUMMYFUNCTION("""COMPUTED_VALUE"""),"Fish Pendant")</f>
        <v>Fish Pendant</v>
      </c>
      <c r="B108" s="16"/>
      <c r="C108" s="16"/>
      <c r="D108" s="16" t="str">
        <f>IFERROR(__xludf.DUMMYFUNCTION("""COMPUTED_VALUE"""),"Neck")</f>
        <v>Neck</v>
      </c>
      <c r="E108" s="16">
        <f>IFERROR(__xludf.DUMMYFUNCTION("""COMPUTED_VALUE"""),1.0)</f>
        <v>1</v>
      </c>
      <c r="F108" s="16" t="str">
        <f>IFERROR(__xludf.DUMMYFUNCTION("""COMPUTED_VALUE""")," ++Choose the rarity of the fish when fishing +-Cannot be forged +-Cannot be duplicated +-Can only equip one")</f>
        <v> ++Choose the rarity of the fish when fishing +-Cannot be forged +-Cannot be duplicated +-Can only equip one</v>
      </c>
      <c r="G108" s="16">
        <f>IFERROR(__xludf.DUMMYFUNCTION("""COMPUTED_VALUE"""),0.0)</f>
        <v>0</v>
      </c>
      <c r="H108" s="16"/>
      <c r="I108" s="16"/>
      <c r="J108" s="16"/>
      <c r="K108" s="16"/>
      <c r="L108" s="16"/>
      <c r="M108" s="16"/>
      <c r="N108" s="16"/>
      <c r="O108" s="16"/>
      <c r="P108" s="16"/>
      <c r="Q108" s="16"/>
      <c r="R108" s="16"/>
      <c r="S108" s="16"/>
      <c r="T108" s="16"/>
      <c r="U108" s="16"/>
      <c r="V108" s="16"/>
      <c r="W108" s="16"/>
      <c r="X108" s="16"/>
      <c r="Y108" s="16"/>
      <c r="Z108" s="16"/>
    </row>
    <row r="109">
      <c r="A109" s="16" t="str">
        <f>IFERROR(__xludf.DUMMYFUNCTION("""COMPUTED_VALUE"""),"Flame Band")</f>
        <v>Flame Band</v>
      </c>
      <c r="B109" s="16"/>
      <c r="C109" s="16"/>
      <c r="D109" s="16" t="str">
        <f>IFERROR(__xludf.DUMMYFUNCTION("""COMPUTED_VALUE"""),"Arms")</f>
        <v>Arms</v>
      </c>
      <c r="E109" s="16">
        <f>IFERROR(__xludf.DUMMYFUNCTION("""COMPUTED_VALUE"""),1.0)</f>
        <v>1</v>
      </c>
      <c r="F109" s="16" t="str">
        <f>IFERROR(__xludf.DUMMYFUNCTION("""COMPUTED_VALUE""")," Fire Immune, X2 Additional fire damage. +-Cannot be duplicated")</f>
        <v> Fire Immune, X2 Additional fire damage. +-Cannot be duplicated</v>
      </c>
      <c r="G109" s="16">
        <f>IFERROR(__xludf.DUMMYFUNCTION("""COMPUTED_VALUE"""),0.0)</f>
        <v>0</v>
      </c>
      <c r="H109" s="16"/>
      <c r="I109" s="16"/>
      <c r="J109" s="16"/>
      <c r="K109" s="16"/>
      <c r="L109" s="16"/>
      <c r="M109" s="16"/>
      <c r="N109" s="16"/>
      <c r="O109" s="16"/>
      <c r="P109" s="16"/>
      <c r="Q109" s="16"/>
      <c r="R109" s="16"/>
      <c r="S109" s="16"/>
      <c r="T109" s="16"/>
      <c r="U109" s="16"/>
      <c r="V109" s="16"/>
      <c r="W109" s="16"/>
      <c r="X109" s="16"/>
      <c r="Y109" s="16"/>
      <c r="Z109" s="16"/>
    </row>
    <row r="110">
      <c r="A110" s="16" t="str">
        <f>IFERROR(__xludf.DUMMYFUNCTION("""COMPUTED_VALUE"""),"Flame Mask")</f>
        <v>Flame Mask</v>
      </c>
      <c r="B110" s="16"/>
      <c r="C110" s="16"/>
      <c r="D110" s="16" t="str">
        <f>IFERROR(__xludf.DUMMYFUNCTION("""COMPUTED_VALUE"""),"Head")</f>
        <v>Head</v>
      </c>
      <c r="E110" s="16">
        <f>IFERROR(__xludf.DUMMYFUNCTION("""COMPUTED_VALUE"""),130.0)</f>
        <v>130</v>
      </c>
      <c r="F110" s="16" t="str">
        <f>IFERROR(__xludf.DUMMYFUNCTION("""COMPUTED_VALUE"""),"DEF: +5000, Fire DEF: +1500 ++Fire Immunity, ++X2 Additional fire resistance. +-Cannot be duplicated.")</f>
        <v>DEF: +5000, Fire DEF: +1500 ++Fire Immunity, ++X2 Additional fire resistance. +-Cannot be duplicated.</v>
      </c>
      <c r="G110" s="16">
        <f>IFERROR(__xludf.DUMMYFUNCTION("""COMPUTED_VALUE"""),780000.0)</f>
        <v>780000</v>
      </c>
      <c r="H110" s="16"/>
      <c r="I110" s="16"/>
      <c r="J110" s="16"/>
      <c r="K110" s="16"/>
      <c r="L110" s="16"/>
      <c r="M110" s="16"/>
      <c r="N110" s="16"/>
      <c r="O110" s="16"/>
      <c r="P110" s="16"/>
      <c r="Q110" s="16"/>
      <c r="R110" s="16"/>
      <c r="S110" s="16"/>
      <c r="T110" s="16"/>
      <c r="U110" s="16"/>
      <c r="V110" s="16"/>
      <c r="W110" s="16"/>
      <c r="X110" s="16"/>
      <c r="Y110" s="16"/>
      <c r="Z110" s="16"/>
    </row>
    <row r="111">
      <c r="A111" s="16" t="str">
        <f>IFERROR(__xludf.DUMMYFUNCTION("""COMPUTED_VALUE"""),"Flamethrower")</f>
        <v>Flamethrower</v>
      </c>
      <c r="B111" s="16"/>
      <c r="C111" s="16" t="str">
        <f>IFERROR(__xludf.DUMMYFUNCTION("""COMPUTED_VALUE"""),"Firearm")</f>
        <v>Firearm</v>
      </c>
      <c r="D111" s="16" t="str">
        <f>IFERROR(__xludf.DUMMYFUNCTION("""COMPUTED_VALUE"""),"Hand")</f>
        <v>Hand</v>
      </c>
      <c r="E111" s="16">
        <f>IFERROR(__xludf.DUMMYFUNCTION("""COMPUTED_VALUE"""),700.0)</f>
        <v>700</v>
      </c>
      <c r="F111" s="16" t="str">
        <f>IFERROR(__xludf.DUMMYFUNCTION("""COMPUTED_VALUE"""),", Fire DMG: +35000 ++20% chance of hitting all enemies")</f>
        <v>, Fire DMG: +35000 ++20% chance of hitting all enemies</v>
      </c>
      <c r="G111" s="16">
        <f>IFERROR(__xludf.DUMMYFUNCTION("""COMPUTED_VALUE"""),2.415E7)</f>
        <v>24150000</v>
      </c>
      <c r="H111" s="16"/>
      <c r="I111" s="16"/>
      <c r="J111" s="16"/>
      <c r="K111" s="16"/>
      <c r="L111" s="16"/>
      <c r="M111" s="16"/>
      <c r="N111" s="16"/>
      <c r="O111" s="16"/>
      <c r="P111" s="16"/>
      <c r="Q111" s="16"/>
      <c r="R111" s="16"/>
      <c r="S111" s="16"/>
      <c r="T111" s="16"/>
      <c r="U111" s="16"/>
      <c r="V111" s="16"/>
      <c r="W111" s="16"/>
      <c r="X111" s="16"/>
      <c r="Y111" s="16"/>
      <c r="Z111" s="16"/>
    </row>
    <row r="112">
      <c r="A112" s="16" t="str">
        <f>IFERROR(__xludf.DUMMYFUNCTION("""COMPUTED_VALUE"""),"Flaming Sword")</f>
        <v>Flaming Sword</v>
      </c>
      <c r="B112" s="16"/>
      <c r="C112" s="16" t="str">
        <f>IFERROR(__xludf.DUMMYFUNCTION("""COMPUTED_VALUE"""),"Sword")</f>
        <v>Sword</v>
      </c>
      <c r="D112" s="16" t="str">
        <f>IFERROR(__xludf.DUMMYFUNCTION("""COMPUTED_VALUE"""),"Hand")</f>
        <v>Hand</v>
      </c>
      <c r="E112" s="16">
        <f>IFERROR(__xludf.DUMMYFUNCTION("""COMPUTED_VALUE"""),300.0)</f>
        <v>300</v>
      </c>
      <c r="F112" s="16" t="str">
        <f>IFERROR(__xludf.DUMMYFUNCTION("""COMPUTED_VALUE"""),"DMG: +5000, Fire DMG: +5000, Nature DMG: +5000 ++Burn 1000")</f>
        <v>DMG: +5000, Fire DMG: +5000, Nature DMG: +5000 ++Burn 1000</v>
      </c>
      <c r="G112" s="16">
        <f>IFERROR(__xludf.DUMMYFUNCTION("""COMPUTED_VALUE"""),4350000.0)</f>
        <v>4350000</v>
      </c>
      <c r="H112" s="16"/>
      <c r="I112" s="16"/>
      <c r="J112" s="16"/>
      <c r="K112" s="16"/>
      <c r="L112" s="16"/>
      <c r="M112" s="16"/>
      <c r="N112" s="16"/>
      <c r="O112" s="16"/>
      <c r="P112" s="16"/>
      <c r="Q112" s="16"/>
      <c r="R112" s="16"/>
      <c r="S112" s="16"/>
      <c r="T112" s="16"/>
      <c r="U112" s="16"/>
      <c r="V112" s="16"/>
      <c r="W112" s="16"/>
      <c r="X112" s="16"/>
      <c r="Y112" s="16"/>
      <c r="Z112" s="16"/>
    </row>
    <row r="113">
      <c r="A113" s="16" t="str">
        <f>IFERROR(__xludf.DUMMYFUNCTION("""COMPUTED_VALUE"""),"Foul Night Blade")</f>
        <v>Foul Night Blade</v>
      </c>
      <c r="B113" s="16"/>
      <c r="C113" s="16" t="str">
        <f>IFERROR(__xludf.DUMMYFUNCTION("""COMPUTED_VALUE"""),"Sword")</f>
        <v>Sword</v>
      </c>
      <c r="D113" s="16" t="str">
        <f>IFERROR(__xludf.DUMMYFUNCTION("""COMPUTED_VALUE"""),"Hand")</f>
        <v>Hand</v>
      </c>
      <c r="E113" s="16">
        <f>IFERROR(__xludf.DUMMYFUNCTION("""COMPUTED_VALUE"""),200.0)</f>
        <v>200</v>
      </c>
      <c r="F113" s="16" t="str">
        <f>IFERROR(__xludf.DUMMYFUNCTION("""COMPUTED_VALUE"""),"DMG: +5000, Nature DMG: +5000 (Foul Night Set) ++Poison 5000 for 3 rounds. ++Foul Night Embodiment - When Equipped  Any Dark, Nature or Poison damage is X4.")</f>
        <v>DMG: +5000, Nature DMG: +5000 (Foul Night Set) ++Poison 5000 for 3 rounds. ++Foul Night Embodiment - When Equipped  Any Dark, Nature or Poison damage is X4.</v>
      </c>
      <c r="G113" s="16">
        <f>IFERROR(__xludf.DUMMYFUNCTION("""COMPUTED_VALUE"""),1900000.0)</f>
        <v>1900000</v>
      </c>
      <c r="H113" s="16"/>
      <c r="I113" s="16"/>
      <c r="J113" s="16"/>
      <c r="K113" s="16"/>
      <c r="L113" s="16"/>
      <c r="M113" s="16"/>
      <c r="N113" s="16"/>
      <c r="O113" s="16"/>
      <c r="P113" s="16"/>
      <c r="Q113" s="16"/>
      <c r="R113" s="16"/>
      <c r="S113" s="16"/>
      <c r="T113" s="16"/>
      <c r="U113" s="16"/>
      <c r="V113" s="16"/>
      <c r="W113" s="16"/>
      <c r="X113" s="16"/>
      <c r="Y113" s="16"/>
      <c r="Z113" s="16"/>
    </row>
    <row r="114">
      <c r="A114" s="16" t="str">
        <f>IFERROR(__xludf.DUMMYFUNCTION("""COMPUTED_VALUE"""),"Freezing Chains")</f>
        <v>Freezing Chains</v>
      </c>
      <c r="B114" s="16"/>
      <c r="C114" s="16" t="str">
        <f>IFERROR(__xludf.DUMMYFUNCTION("""COMPUTED_VALUE"""),"Club")</f>
        <v>Club</v>
      </c>
      <c r="D114" s="16" t="str">
        <f>IFERROR(__xludf.DUMMYFUNCTION("""COMPUTED_VALUE"""),"Hand")</f>
        <v>Hand</v>
      </c>
      <c r="E114" s="16">
        <f>IFERROR(__xludf.DUMMYFUNCTION("""COMPUTED_VALUE"""),200.0)</f>
        <v>200</v>
      </c>
      <c r="F114" s="16" t="str">
        <f>IFERROR(__xludf.DUMMYFUNCTION("""COMPUTED_VALUE"""),"DMG: +5000, Water DMG: +5000 ++Frost Bind- binds the target freezing them until the end of their next turn")</f>
        <v>DMG: +5000, Water DMG: +5000 ++Frost Bind- binds the target freezing them until the end of their next turn</v>
      </c>
      <c r="G114" s="16">
        <f>IFERROR(__xludf.DUMMYFUNCTION("""COMPUTED_VALUE"""),1900000.0)</f>
        <v>1900000</v>
      </c>
      <c r="H114" s="16"/>
      <c r="I114" s="16"/>
      <c r="J114" s="16"/>
      <c r="K114" s="16"/>
      <c r="L114" s="16"/>
      <c r="M114" s="16"/>
      <c r="N114" s="16"/>
      <c r="O114" s="16"/>
      <c r="P114" s="16"/>
      <c r="Q114" s="16"/>
      <c r="R114" s="16"/>
      <c r="S114" s="16"/>
      <c r="T114" s="16"/>
      <c r="U114" s="16"/>
      <c r="V114" s="16"/>
      <c r="W114" s="16"/>
      <c r="X114" s="16"/>
      <c r="Y114" s="16"/>
      <c r="Z114" s="16"/>
    </row>
    <row r="115">
      <c r="A115" s="16" t="str">
        <f>IFERROR(__xludf.DUMMYFUNCTION("""COMPUTED_VALUE"""),"Frost Bow")</f>
        <v>Frost Bow</v>
      </c>
      <c r="B115" s="16"/>
      <c r="C115" s="16" t="str">
        <f>IFERROR(__xludf.DUMMYFUNCTION("""COMPUTED_VALUE"""),"Bow")</f>
        <v>Bow</v>
      </c>
      <c r="D115" s="16" t="str">
        <f>IFERROR(__xludf.DUMMYFUNCTION("""COMPUTED_VALUE"""),"Hand")</f>
        <v>Hand</v>
      </c>
      <c r="E115" s="16">
        <f>IFERROR(__xludf.DUMMYFUNCTION("""COMPUTED_VALUE"""),180.0)</f>
        <v>180</v>
      </c>
      <c r="F115" s="16" t="str">
        <f>IFERROR(__xludf.DUMMYFUNCTION("""COMPUTED_VALUE"""),"DMG: +5000, Water DMG: +4000 ++Arrows Used with this bow have a 50% chance to freeze the target(s)")</f>
        <v>DMG: +5000, Water DMG: +4000 ++Arrows Used with this bow have a 50% chance to freeze the target(s)</v>
      </c>
      <c r="G115" s="16">
        <f>IFERROR(__xludf.DUMMYFUNCTION("""COMPUTED_VALUE"""),1530000.0)</f>
        <v>1530000</v>
      </c>
      <c r="H115" s="16"/>
      <c r="I115" s="16"/>
      <c r="J115" s="16"/>
      <c r="K115" s="16"/>
      <c r="L115" s="16"/>
      <c r="M115" s="16"/>
      <c r="N115" s="16"/>
      <c r="O115" s="16"/>
      <c r="P115" s="16"/>
      <c r="Q115" s="16"/>
      <c r="R115" s="16"/>
      <c r="S115" s="16"/>
      <c r="T115" s="16"/>
      <c r="U115" s="16"/>
      <c r="V115" s="16"/>
      <c r="W115" s="16"/>
      <c r="X115" s="16"/>
      <c r="Y115" s="16"/>
      <c r="Z115" s="16"/>
    </row>
    <row r="116">
      <c r="A116" s="16" t="str">
        <f>IFERROR(__xludf.DUMMYFUNCTION("""COMPUTED_VALUE"""),"Frost Cloak")</f>
        <v>Frost Cloak</v>
      </c>
      <c r="B116" s="16"/>
      <c r="C116" s="16"/>
      <c r="D116" s="16" t="str">
        <f>IFERROR(__xludf.DUMMYFUNCTION("""COMPUTED_VALUE"""),"Torso")</f>
        <v>Torso</v>
      </c>
      <c r="E116" s="16">
        <f>IFERROR(__xludf.DUMMYFUNCTION("""COMPUTED_VALUE"""),1.0)</f>
        <v>1</v>
      </c>
      <c r="F116" s="16" t="str">
        <f>IFERROR(__xludf.DUMMYFUNCTION("""COMPUTED_VALUE""")," (Frost Mage Set) ++When caster is hit by an enemy,the enemy is frozen for 5r/s caster,s cloak last for 3 r/s 90 sp")</f>
        <v> (Frost Mage Set) ++When caster is hit by an enemy,the enemy is frozen for 5r/s caster,s cloak last for 3 r/s 90 sp</v>
      </c>
      <c r="G116" s="16">
        <f>IFERROR(__xludf.DUMMYFUNCTION("""COMPUTED_VALUE"""),0.0)</f>
        <v>0</v>
      </c>
      <c r="H116" s="16"/>
      <c r="I116" s="16"/>
      <c r="J116" s="16"/>
      <c r="K116" s="16"/>
      <c r="L116" s="16"/>
      <c r="M116" s="16"/>
      <c r="N116" s="16"/>
      <c r="O116" s="16"/>
      <c r="P116" s="16"/>
      <c r="Q116" s="16"/>
      <c r="R116" s="16"/>
      <c r="S116" s="16"/>
      <c r="T116" s="16"/>
      <c r="U116" s="16"/>
      <c r="V116" s="16"/>
      <c r="W116" s="16"/>
      <c r="X116" s="16"/>
      <c r="Y116" s="16"/>
      <c r="Z116" s="16"/>
    </row>
    <row r="117">
      <c r="A117" s="16" t="str">
        <f>IFERROR(__xludf.DUMMYFUNCTION("""COMPUTED_VALUE"""),"Frost Spear")</f>
        <v>Frost Spear</v>
      </c>
      <c r="B117" s="16" t="str">
        <f>IFERROR(__xludf.DUMMYFUNCTION("""COMPUTED_VALUE"""),"Event Exclusive")</f>
        <v>Event Exclusive</v>
      </c>
      <c r="C117" s="16" t="str">
        <f>IFERROR(__xludf.DUMMYFUNCTION("""COMPUTED_VALUE"""),"Spear")</f>
        <v>Spear</v>
      </c>
      <c r="D117" s="16" t="str">
        <f>IFERROR(__xludf.DUMMYFUNCTION("""COMPUTED_VALUE"""),"Hand")</f>
        <v>Hand</v>
      </c>
      <c r="E117" s="16">
        <f>IFERROR(__xludf.DUMMYFUNCTION("""COMPUTED_VALUE"""),1000.0)</f>
        <v>1000</v>
      </c>
      <c r="F117" s="16" t="str">
        <f>IFERROR(__xludf.DUMMYFUNCTION("""COMPUTED_VALUE"""),"DMG: +25000, Storm DMG: +25000 (The Frozen Spear Master Set) ++50% chance to freeze any enemies hit with this weapon")</f>
        <v>DMG: +25000, Storm DMG: +25000 (The Frozen Spear Master Set) ++50% chance to freeze any enemies hit with this weapon</v>
      </c>
      <c r="G117" s="16">
        <f>IFERROR(__xludf.DUMMYFUNCTION("""COMPUTED_VALUE"""),4.95E7)</f>
        <v>49500000</v>
      </c>
      <c r="H117" s="16"/>
      <c r="I117" s="16"/>
      <c r="J117" s="16"/>
      <c r="K117" s="16"/>
      <c r="L117" s="16"/>
      <c r="M117" s="16"/>
      <c r="N117" s="16"/>
      <c r="O117" s="16"/>
      <c r="P117" s="16"/>
      <c r="Q117" s="16"/>
      <c r="R117" s="16"/>
      <c r="S117" s="16"/>
      <c r="T117" s="16"/>
      <c r="U117" s="16"/>
      <c r="V117" s="16"/>
      <c r="W117" s="16"/>
      <c r="X117" s="16"/>
      <c r="Y117" s="16"/>
      <c r="Z117" s="16"/>
    </row>
    <row r="118">
      <c r="A118" s="16" t="str">
        <f>IFERROR(__xludf.DUMMYFUNCTION("""COMPUTED_VALUE"""),"Frozen Carrot Dagger")</f>
        <v>Frozen Carrot Dagger</v>
      </c>
      <c r="B118" s="16" t="str">
        <f>IFERROR(__xludf.DUMMYFUNCTION("""COMPUTED_VALUE"""),"Event Exclusive")</f>
        <v>Event Exclusive</v>
      </c>
      <c r="C118" s="16" t="str">
        <f>IFERROR(__xludf.DUMMYFUNCTION("""COMPUTED_VALUE"""),"Knife")</f>
        <v>Knife</v>
      </c>
      <c r="D118" s="16" t="str">
        <f>IFERROR(__xludf.DUMMYFUNCTION("""COMPUTED_VALUE"""),"Hand")</f>
        <v>Hand</v>
      </c>
      <c r="E118" s="16">
        <f>IFERROR(__xludf.DUMMYFUNCTION("""COMPUTED_VALUE"""),200.0)</f>
        <v>200</v>
      </c>
      <c r="F118" s="16" t="str">
        <f>IFERROR(__xludf.DUMMYFUNCTION("""COMPUTED_VALUE"""),"DMG: +5000, Water DMG: +5000")</f>
        <v>DMG: +5000, Water DMG: +5000</v>
      </c>
      <c r="G118" s="16">
        <f>IFERROR(__xludf.DUMMYFUNCTION("""COMPUTED_VALUE"""),1900000.0)</f>
        <v>1900000</v>
      </c>
      <c r="H118" s="16"/>
      <c r="I118" s="16"/>
      <c r="J118" s="16"/>
      <c r="K118" s="16"/>
      <c r="L118" s="16"/>
      <c r="M118" s="16"/>
      <c r="N118" s="16"/>
      <c r="O118" s="16"/>
      <c r="P118" s="16"/>
      <c r="Q118" s="16"/>
      <c r="R118" s="16"/>
      <c r="S118" s="16"/>
      <c r="T118" s="16"/>
      <c r="U118" s="16"/>
      <c r="V118" s="16"/>
      <c r="W118" s="16"/>
      <c r="X118" s="16"/>
      <c r="Y118" s="16"/>
      <c r="Z118" s="16"/>
    </row>
    <row r="119">
      <c r="A119" s="16" t="str">
        <f>IFERROR(__xludf.DUMMYFUNCTION("""COMPUTED_VALUE"""),"Frozen Falchion")</f>
        <v>Frozen Falchion</v>
      </c>
      <c r="B119" s="16"/>
      <c r="C119" s="16" t="str">
        <f>IFERROR(__xludf.DUMMYFUNCTION("""COMPUTED_VALUE"""),"Sword")</f>
        <v>Sword</v>
      </c>
      <c r="D119" s="16" t="str">
        <f>IFERROR(__xludf.DUMMYFUNCTION("""COMPUTED_VALUE"""),"Hand")</f>
        <v>Hand</v>
      </c>
      <c r="E119" s="16">
        <f>IFERROR(__xludf.DUMMYFUNCTION("""COMPUTED_VALUE"""),400.0)</f>
        <v>400</v>
      </c>
      <c r="F119" s="16" t="str">
        <f>IFERROR(__xludf.DUMMYFUNCTION("""COMPUTED_VALUE"""),"DMG: +10000, Water DMG: +10000 ++40% chance to freeze the target. ++While enemies are frozen in battle they will take 20,000 Water damage per round. +-Cannot be duplicated.")</f>
        <v>DMG: +10000, Water DMG: +10000 ++40% chance to freeze the target. ++While enemies are frozen in battle they will take 20,000 Water damage per round. +-Cannot be duplicated.</v>
      </c>
      <c r="G119" s="16">
        <f>IFERROR(__xludf.DUMMYFUNCTION("""COMPUTED_VALUE"""),7800000.0)</f>
        <v>7800000</v>
      </c>
      <c r="H119" s="16"/>
      <c r="I119" s="16"/>
      <c r="J119" s="16"/>
      <c r="K119" s="16"/>
      <c r="L119" s="16"/>
      <c r="M119" s="16"/>
      <c r="N119" s="16"/>
      <c r="O119" s="16"/>
      <c r="P119" s="16"/>
      <c r="Q119" s="16"/>
      <c r="R119" s="16"/>
      <c r="S119" s="16"/>
      <c r="T119" s="16"/>
      <c r="U119" s="16"/>
      <c r="V119" s="16"/>
      <c r="W119" s="16"/>
      <c r="X119" s="16"/>
      <c r="Y119" s="16"/>
      <c r="Z119" s="16"/>
    </row>
    <row r="120">
      <c r="A120" s="16" t="str">
        <f>IFERROR(__xludf.DUMMYFUNCTION("""COMPUTED_VALUE"""),"Frozen Soul Lantern")</f>
        <v>Frozen Soul Lantern</v>
      </c>
      <c r="B120" s="16"/>
      <c r="C120" s="16" t="str">
        <f>IFERROR(__xludf.DUMMYFUNCTION("""COMPUTED_VALUE"""),"Wand")</f>
        <v>Wand</v>
      </c>
      <c r="D120" s="16" t="str">
        <f>IFERROR(__xludf.DUMMYFUNCTION("""COMPUTED_VALUE"""),"Hand")</f>
        <v>Hand</v>
      </c>
      <c r="E120" s="16">
        <f>IFERROR(__xludf.DUMMYFUNCTION("""COMPUTED_VALUE"""),1.0)</f>
        <v>1</v>
      </c>
      <c r="F120" s="16" t="str">
        <f>IFERROR(__xludf.DUMMYFUNCTION("""COMPUTED_VALUE""")," ++When a spell that deals damage is casted by an enemy this item will inflict the effect Frostburn. ++Frostburn - The Targets spell damage is halved.")</f>
        <v> ++When a spell that deals damage is casted by an enemy this item will inflict the effect Frostburn. ++Frostburn - The Targets spell damage is halved.</v>
      </c>
      <c r="G120" s="16">
        <f>IFERROR(__xludf.DUMMYFUNCTION("""COMPUTED_VALUE"""),0.0)</f>
        <v>0</v>
      </c>
      <c r="H120" s="16"/>
      <c r="I120" s="16"/>
      <c r="J120" s="16"/>
      <c r="K120" s="16"/>
      <c r="L120" s="16"/>
      <c r="M120" s="16"/>
      <c r="N120" s="16"/>
      <c r="O120" s="16"/>
      <c r="P120" s="16"/>
      <c r="Q120" s="16"/>
      <c r="R120" s="16"/>
      <c r="S120" s="16"/>
      <c r="T120" s="16"/>
      <c r="U120" s="16"/>
      <c r="V120" s="16"/>
      <c r="W120" s="16"/>
      <c r="X120" s="16"/>
      <c r="Y120" s="16"/>
      <c r="Z120" s="16"/>
    </row>
    <row r="121">
      <c r="A121" s="16" t="str">
        <f>IFERROR(__xludf.DUMMYFUNCTION("""COMPUTED_VALUE"""),"Gargoyle War Horn")</f>
        <v>Gargoyle War Horn</v>
      </c>
      <c r="B121" s="16"/>
      <c r="C121" s="16" t="str">
        <f>IFERROR(__xludf.DUMMYFUNCTION("""COMPUTED_VALUE"""),"Wand")</f>
        <v>Wand</v>
      </c>
      <c r="D121" s="16" t="str">
        <f>IFERROR(__xludf.DUMMYFUNCTION("""COMPUTED_VALUE"""),"Hand")</f>
        <v>Hand</v>
      </c>
      <c r="E121" s="16">
        <f>IFERROR(__xludf.DUMMYFUNCTION("""COMPUTED_VALUE"""),1.0)</f>
        <v>1</v>
      </c>
      <c r="F121" s="16" t="str">
        <f>IFERROR(__xludf.DUMMYFUNCTION("""COMPUTED_VALUE""")," ++Summons a d2 of Gargoyles to help you in battle. +-Can only be used once per battle.")</f>
        <v> ++Summons a d2 of Gargoyles to help you in battle. +-Can only be used once per battle.</v>
      </c>
      <c r="G121" s="16">
        <f>IFERROR(__xludf.DUMMYFUNCTION("""COMPUTED_VALUE"""),0.0)</f>
        <v>0</v>
      </c>
      <c r="H121" s="16"/>
      <c r="I121" s="16"/>
      <c r="J121" s="16"/>
      <c r="K121" s="16"/>
      <c r="L121" s="16"/>
      <c r="M121" s="16"/>
      <c r="N121" s="16"/>
      <c r="O121" s="16"/>
      <c r="P121" s="16"/>
      <c r="Q121" s="16"/>
      <c r="R121" s="16"/>
      <c r="S121" s="16"/>
      <c r="T121" s="16"/>
      <c r="U121" s="16"/>
      <c r="V121" s="16"/>
      <c r="W121" s="16"/>
      <c r="X121" s="16"/>
      <c r="Y121" s="16"/>
      <c r="Z121" s="16"/>
    </row>
    <row r="122">
      <c r="A122" s="16" t="str">
        <f>IFERROR(__xludf.DUMMYFUNCTION("""COMPUTED_VALUE"""),"Gargoyle’s Heavy Enchanted Bow")</f>
        <v>Gargoyle’s Heavy Enchanted Bow</v>
      </c>
      <c r="B122" s="16"/>
      <c r="C122" s="16" t="str">
        <f>IFERROR(__xludf.DUMMYFUNCTION("""COMPUTED_VALUE"""),"Bow")</f>
        <v>Bow</v>
      </c>
      <c r="D122" s="16" t="str">
        <f>IFERROR(__xludf.DUMMYFUNCTION("""COMPUTED_VALUE"""),"Hand")</f>
        <v>Hand</v>
      </c>
      <c r="E122" s="16">
        <f>IFERROR(__xludf.DUMMYFUNCTION("""COMPUTED_VALUE"""),3000.0)</f>
        <v>3000</v>
      </c>
      <c r="F122" s="16" t="str">
        <f>IFERROR(__xludf.DUMMYFUNCTION("""COMPUTED_VALUE"""),"DMG: +100000, Earth DMG: +50000 ++Damage dealt with this bow gives you hp back equal to the damage you dealt. ")</f>
        <v>DMG: +100000, Earth DMG: +50000 ++Damage dealt with this bow gives you hp back equal to the damage you dealt. </v>
      </c>
      <c r="G122" s="16">
        <f>IFERROR(__xludf.DUMMYFUNCTION("""COMPUTED_VALUE"""),4.485E8)</f>
        <v>448500000</v>
      </c>
      <c r="H122" s="16"/>
      <c r="I122" s="16"/>
      <c r="J122" s="16"/>
      <c r="K122" s="16"/>
      <c r="L122" s="16"/>
      <c r="M122" s="16"/>
      <c r="N122" s="16"/>
      <c r="O122" s="16"/>
      <c r="P122" s="16"/>
      <c r="Q122" s="16"/>
      <c r="R122" s="16"/>
      <c r="S122" s="16"/>
      <c r="T122" s="16"/>
      <c r="U122" s="16"/>
      <c r="V122" s="16"/>
      <c r="W122" s="16"/>
      <c r="X122" s="16"/>
      <c r="Y122" s="16"/>
      <c r="Z122" s="16"/>
    </row>
    <row r="123">
      <c r="A123" s="16" t="str">
        <f>IFERROR(__xludf.DUMMYFUNCTION("""COMPUTED_VALUE"""),"Gargoyle’s Necklace of Luck ")</f>
        <v>Gargoyle’s Necklace of Luck </v>
      </c>
      <c r="B123" s="16"/>
      <c r="C123" s="16"/>
      <c r="D123" s="16" t="str">
        <f>IFERROR(__xludf.DUMMYFUNCTION("""COMPUTED_VALUE"""),"Neck")</f>
        <v>Neck</v>
      </c>
      <c r="E123" s="16">
        <f>IFERROR(__xludf.DUMMYFUNCTION("""COMPUTED_VALUE"""),1.0)</f>
        <v>1</v>
      </c>
      <c r="F123" s="16" t="str">
        <f>IFERROR(__xludf.DUMMYFUNCTION("""COMPUTED_VALUE""")," ++Allows 1 d20 roll to be a 20 once per battle or 1 rp action per day of travel. +-Cannot be forged +-Cannot be duplicated +-Can only equip one")</f>
        <v> ++Allows 1 d20 roll to be a 20 once per battle or 1 rp action per day of travel. +-Cannot be forged +-Cannot be duplicated +-Can only equip one</v>
      </c>
      <c r="G123" s="16">
        <f>IFERROR(__xludf.DUMMYFUNCTION("""COMPUTED_VALUE"""),0.0)</f>
        <v>0</v>
      </c>
      <c r="H123" s="16"/>
      <c r="I123" s="16"/>
      <c r="J123" s="16"/>
      <c r="K123" s="16"/>
      <c r="L123" s="16"/>
      <c r="M123" s="16"/>
      <c r="N123" s="16"/>
      <c r="O123" s="16"/>
      <c r="P123" s="16"/>
      <c r="Q123" s="16"/>
      <c r="R123" s="16"/>
      <c r="S123" s="16"/>
      <c r="T123" s="16"/>
      <c r="U123" s="16"/>
      <c r="V123" s="16"/>
      <c r="W123" s="16"/>
      <c r="X123" s="16"/>
      <c r="Y123" s="16"/>
      <c r="Z123" s="16"/>
    </row>
    <row r="124">
      <c r="A124" s="16" t="str">
        <f>IFERROR(__xludf.DUMMYFUNCTION("""COMPUTED_VALUE"""),"Gargoyle’s Ring")</f>
        <v>Gargoyle’s Ring</v>
      </c>
      <c r="B124" s="16"/>
      <c r="C124" s="16"/>
      <c r="D124" s="16" t="str">
        <f>IFERROR(__xludf.DUMMYFUNCTION("""COMPUTED_VALUE"""),"Ring")</f>
        <v>Ring</v>
      </c>
      <c r="E124" s="16">
        <f>IFERROR(__xludf.DUMMYFUNCTION("""COMPUTED_VALUE"""),1.0)</f>
        <v>1</v>
      </c>
      <c r="F124" s="16" t="str">
        <f>IFERROR(__xludf.DUMMYFUNCTION("""COMPUTED_VALUE""")," ++If you chose the gargoyle race as your main starting race this ring will make it so you will not become hardened.")</f>
        <v> ++If you chose the gargoyle race as your main starting race this ring will make it so you will not become hardened.</v>
      </c>
      <c r="G124" s="16">
        <f>IFERROR(__xludf.DUMMYFUNCTION("""COMPUTED_VALUE"""),0.0)</f>
        <v>0</v>
      </c>
      <c r="H124" s="16"/>
      <c r="I124" s="16"/>
      <c r="J124" s="16"/>
      <c r="K124" s="16"/>
      <c r="L124" s="16"/>
      <c r="M124" s="16"/>
      <c r="N124" s="16"/>
      <c r="O124" s="16"/>
      <c r="P124" s="16"/>
      <c r="Q124" s="16"/>
      <c r="R124" s="16"/>
      <c r="S124" s="16"/>
      <c r="T124" s="16"/>
      <c r="U124" s="16"/>
      <c r="V124" s="16"/>
      <c r="W124" s="16"/>
      <c r="X124" s="16"/>
      <c r="Y124" s="16"/>
      <c r="Z124" s="16"/>
    </row>
    <row r="125">
      <c r="A125" s="16" t="str">
        <f>IFERROR(__xludf.DUMMYFUNCTION("""COMPUTED_VALUE"""),"Giant Spider Leg")</f>
        <v>Giant Spider Leg</v>
      </c>
      <c r="B125" s="16"/>
      <c r="C125" s="16" t="str">
        <f>IFERROR(__xludf.DUMMYFUNCTION("""COMPUTED_VALUE"""),"Knife")</f>
        <v>Knife</v>
      </c>
      <c r="D125" s="16" t="str">
        <f>IFERROR(__xludf.DUMMYFUNCTION("""COMPUTED_VALUE"""),"Hand")</f>
        <v>Hand</v>
      </c>
      <c r="E125" s="16">
        <f>IFERROR(__xludf.DUMMYFUNCTION("""COMPUTED_VALUE"""),200.0)</f>
        <v>200</v>
      </c>
      <c r="F125" s="16" t="str">
        <f>IFERROR(__xludf.DUMMYFUNCTION("""COMPUTED_VALUE"""),"ATK: +10000 ++When hitting an enemy inflict them with poison 500")</f>
        <v>ATK: +10000 ++When hitting an enemy inflict them with poison 500</v>
      </c>
      <c r="G125" s="16">
        <f>IFERROR(__xludf.DUMMYFUNCTION("""COMPUTED_VALUE"""),1900000.0)</f>
        <v>1900000</v>
      </c>
      <c r="H125" s="16"/>
      <c r="I125" s="16"/>
      <c r="J125" s="16"/>
      <c r="K125" s="16"/>
      <c r="L125" s="16"/>
      <c r="M125" s="16"/>
      <c r="N125" s="16"/>
      <c r="O125" s="16"/>
      <c r="P125" s="16"/>
      <c r="Q125" s="16"/>
      <c r="R125" s="16"/>
      <c r="S125" s="16"/>
      <c r="T125" s="16"/>
      <c r="U125" s="16"/>
      <c r="V125" s="16"/>
      <c r="W125" s="16"/>
      <c r="X125" s="16"/>
      <c r="Y125" s="16"/>
      <c r="Z125" s="16"/>
    </row>
    <row r="126">
      <c r="A126" s="16" t="str">
        <f>IFERROR(__xludf.DUMMYFUNCTION("""COMPUTED_VALUE"""),"Glass Shield")</f>
        <v>Glass Shield</v>
      </c>
      <c r="B126" s="16"/>
      <c r="C126" s="16" t="str">
        <f>IFERROR(__xludf.DUMMYFUNCTION("""COMPUTED_VALUE"""),"Towershield")</f>
        <v>Towershield</v>
      </c>
      <c r="D126" s="16" t="str">
        <f>IFERROR(__xludf.DUMMYFUNCTION("""COMPUTED_VALUE"""),"Hand")</f>
        <v>Hand</v>
      </c>
      <c r="E126" s="16">
        <f>IFERROR(__xludf.DUMMYFUNCTION("""COMPUTED_VALUE"""),1000.0)</f>
        <v>1000</v>
      </c>
      <c r="F126" s="16" t="str">
        <f>IFERROR(__xludf.DUMMYFUNCTION("""COMPUTED_VALUE"""),"DEF: +50000 +-has a 50% chance of breaking upon taking damage")</f>
        <v>DEF: +50000 +-has a 50% chance of breaking upon taking damage</v>
      </c>
      <c r="G126" s="16">
        <f>IFERROR(__xludf.DUMMYFUNCTION("""COMPUTED_VALUE"""),4.95E7)</f>
        <v>49500000</v>
      </c>
      <c r="H126" s="16"/>
      <c r="I126" s="16"/>
      <c r="J126" s="16"/>
      <c r="K126" s="16"/>
      <c r="L126" s="16"/>
      <c r="M126" s="16"/>
      <c r="N126" s="16"/>
      <c r="O126" s="16"/>
      <c r="P126" s="16"/>
      <c r="Q126" s="16"/>
      <c r="R126" s="16"/>
      <c r="S126" s="16"/>
      <c r="T126" s="16"/>
      <c r="U126" s="16"/>
      <c r="V126" s="16"/>
      <c r="W126" s="16"/>
      <c r="X126" s="16"/>
      <c r="Y126" s="16"/>
      <c r="Z126" s="16"/>
    </row>
    <row r="127">
      <c r="A127" s="16" t="str">
        <f>IFERROR(__xludf.DUMMYFUNCTION("""COMPUTED_VALUE"""),"Goose Staff")</f>
        <v>Goose Staff</v>
      </c>
      <c r="B127" s="16"/>
      <c r="C127" s="16" t="str">
        <f>IFERROR(__xludf.DUMMYFUNCTION("""COMPUTED_VALUE"""),"Staff")</f>
        <v>Staff</v>
      </c>
      <c r="D127" s="16" t="str">
        <f>IFERROR(__xludf.DUMMYFUNCTION("""COMPUTED_VALUE"""),"Hand")</f>
        <v>Hand</v>
      </c>
      <c r="E127" s="16">
        <f>IFERROR(__xludf.DUMMYFUNCTION("""COMPUTED_VALUE"""),1.0)</f>
        <v>1</v>
      </c>
      <c r="F127" s="16" t="str">
        <f>IFERROR(__xludf.DUMMYFUNCTION("""COMPUTED_VALUE""")," ++Summons Lord Goose to aid you in battle, 1000 SP.")</f>
        <v> ++Summons Lord Goose to aid you in battle, 1000 SP.</v>
      </c>
      <c r="G127" s="16">
        <f>IFERROR(__xludf.DUMMYFUNCTION("""COMPUTED_VALUE"""),0.0)</f>
        <v>0</v>
      </c>
      <c r="H127" s="16"/>
      <c r="I127" s="16"/>
      <c r="J127" s="16"/>
      <c r="K127" s="16"/>
      <c r="L127" s="16"/>
      <c r="M127" s="16"/>
      <c r="N127" s="16"/>
      <c r="O127" s="16"/>
      <c r="P127" s="16"/>
      <c r="Q127" s="16"/>
      <c r="R127" s="16"/>
      <c r="S127" s="16"/>
      <c r="T127" s="16"/>
      <c r="U127" s="16"/>
      <c r="V127" s="16"/>
      <c r="W127" s="16"/>
      <c r="X127" s="16"/>
      <c r="Y127" s="16"/>
      <c r="Z127" s="16"/>
    </row>
    <row r="128">
      <c r="A128" s="16" t="str">
        <f>IFERROR(__xludf.DUMMYFUNCTION("""COMPUTED_VALUE"""),"Grand Hellfire Sword")</f>
        <v>Grand Hellfire Sword</v>
      </c>
      <c r="B128" s="16"/>
      <c r="C128" s="16" t="str">
        <f>IFERROR(__xludf.DUMMYFUNCTION("""COMPUTED_VALUE"""),"Sword")</f>
        <v>Sword</v>
      </c>
      <c r="D128" s="16" t="str">
        <f>IFERROR(__xludf.DUMMYFUNCTION("""COMPUTED_VALUE"""),"Hand")</f>
        <v>Hand</v>
      </c>
      <c r="E128" s="16">
        <f>IFERROR(__xludf.DUMMYFUNCTION("""COMPUTED_VALUE"""),200.0)</f>
        <v>200</v>
      </c>
      <c r="F128" s="16" t="str">
        <f>IFERROR(__xludf.DUMMYFUNCTION("""COMPUTED_VALUE"""),"DMG: +50000, Fire DMG: +100000, Dark DMG: +50000, Chaos DMG: +50000, Celestial DMG: +50000 ++Upon a successful hit this weapon will have a 20% chance to summon a Grand Dark and Fire Mage, Level is determined by DM/GM. +-Cannot be Duplicated.")</f>
        <v>DMG: +50000, Fire DMG: +100000, Dark DMG: +50000, Chaos DMG: +50000, Celestial DMG: +50000 ++Upon a successful hit this weapon will have a 20% chance to summon a Grand Dark and Fire Mage, Level is determined by DM/GM. +-Cannot be Duplicated.</v>
      </c>
      <c r="G128" s="16">
        <f>IFERROR(__xludf.DUMMYFUNCTION("""COMPUTED_VALUE"""),1.797E9)</f>
        <v>1797000000</v>
      </c>
      <c r="H128" s="16"/>
      <c r="I128" s="16"/>
      <c r="J128" s="16"/>
      <c r="K128" s="16"/>
      <c r="L128" s="16"/>
      <c r="M128" s="16"/>
      <c r="N128" s="16"/>
      <c r="O128" s="16"/>
      <c r="P128" s="16"/>
      <c r="Q128" s="16"/>
      <c r="R128" s="16"/>
      <c r="S128" s="16"/>
      <c r="T128" s="16"/>
      <c r="U128" s="16"/>
      <c r="V128" s="16"/>
      <c r="W128" s="16"/>
      <c r="X128" s="16"/>
      <c r="Y128" s="16"/>
      <c r="Z128" s="16"/>
    </row>
    <row r="129">
      <c r="A129" s="16" t="str">
        <f>IFERROR(__xludf.DUMMYFUNCTION("""COMPUTED_VALUE"""),"Grand Master Bow")</f>
        <v>Grand Master Bow</v>
      </c>
      <c r="B129" s="16"/>
      <c r="C129" s="16" t="str">
        <f>IFERROR(__xludf.DUMMYFUNCTION("""COMPUTED_VALUE"""),"Bow")</f>
        <v>Bow</v>
      </c>
      <c r="D129" s="16" t="str">
        <f>IFERROR(__xludf.DUMMYFUNCTION("""COMPUTED_VALUE"""),"Hand")</f>
        <v>Hand</v>
      </c>
      <c r="E129" s="16">
        <f>IFERROR(__xludf.DUMMYFUNCTION("""COMPUTED_VALUE"""),20.0)</f>
        <v>20</v>
      </c>
      <c r="F129" s="16" t="str">
        <f>IFERROR(__xludf.DUMMYFUNCTION("""COMPUTED_VALUE"""),"DMG: +1000 ++X4 additional damage towards ranged attacks. +-Only Archers can equip. +-Cannot be duplicated. ")</f>
        <v>DMG: +1000 ++X4 additional damage towards ranged attacks. +-Only Archers can equip. +-Cannot be duplicated. </v>
      </c>
      <c r="G129" s="16">
        <f>IFERROR(__xludf.DUMMYFUNCTION("""COMPUTED_VALUE"""),10000.0)</f>
        <v>10000</v>
      </c>
      <c r="H129" s="16"/>
      <c r="I129" s="16"/>
      <c r="J129" s="16"/>
      <c r="K129" s="16"/>
      <c r="L129" s="16"/>
      <c r="M129" s="16"/>
      <c r="N129" s="16"/>
      <c r="O129" s="16"/>
      <c r="P129" s="16"/>
      <c r="Q129" s="16"/>
      <c r="R129" s="16"/>
      <c r="S129" s="16"/>
      <c r="T129" s="16"/>
      <c r="U129" s="16"/>
      <c r="V129" s="16"/>
      <c r="W129" s="16"/>
      <c r="X129" s="16"/>
      <c r="Y129" s="16"/>
      <c r="Z129" s="16"/>
    </row>
    <row r="130">
      <c r="A130" s="16" t="str">
        <f>IFERROR(__xludf.DUMMYFUNCTION("""COMPUTED_VALUE"""),"Grass Sword")</f>
        <v>Grass Sword</v>
      </c>
      <c r="B130" s="16" t="str">
        <f>IFERROR(__xludf.DUMMYFUNCTION("""COMPUTED_VALUE"""),"A strong grass entity in the form of a sword")</f>
        <v>A strong grass entity in the form of a sword</v>
      </c>
      <c r="C130" s="16" t="str">
        <f>IFERROR(__xludf.DUMMYFUNCTION("""COMPUTED_VALUE"""),"Sword")</f>
        <v>Sword</v>
      </c>
      <c r="D130" s="16" t="str">
        <f>IFERROR(__xludf.DUMMYFUNCTION("""COMPUTED_VALUE"""),"Hand")</f>
        <v>Hand</v>
      </c>
      <c r="E130" s="16">
        <f>IFERROR(__xludf.DUMMYFUNCTION("""COMPUTED_VALUE"""),1.0)</f>
        <v>1</v>
      </c>
      <c r="F130" s="16" t="str">
        <f>IFERROR(__xludf.DUMMYFUNCTION("""COMPUTED_VALUE"""),"DMG: +250")</f>
        <v>DMG: +250</v>
      </c>
      <c r="G130" s="16">
        <f>IFERROR(__xludf.DUMMYFUNCTION("""COMPUTED_VALUE"""),0.0)</f>
        <v>0</v>
      </c>
      <c r="H130" s="16"/>
      <c r="I130" s="16"/>
      <c r="J130" s="16"/>
      <c r="K130" s="16"/>
      <c r="L130" s="16"/>
      <c r="M130" s="16"/>
      <c r="N130" s="16"/>
      <c r="O130" s="16"/>
      <c r="P130" s="16"/>
      <c r="Q130" s="16"/>
      <c r="R130" s="16"/>
      <c r="S130" s="16"/>
      <c r="T130" s="16"/>
      <c r="U130" s="16"/>
      <c r="V130" s="16"/>
      <c r="W130" s="16"/>
      <c r="X130" s="16"/>
      <c r="Y130" s="16"/>
      <c r="Z130" s="16"/>
    </row>
    <row r="131">
      <c r="A131" s="16" t="str">
        <f>IFERROR(__xludf.DUMMYFUNCTION("""COMPUTED_VALUE"""),"Great Stone Gargoyle Sword")</f>
        <v>Great Stone Gargoyle Sword</v>
      </c>
      <c r="B131" s="16"/>
      <c r="C131" s="16" t="str">
        <f>IFERROR(__xludf.DUMMYFUNCTION("""COMPUTED_VALUE"""),"Sword")</f>
        <v>Sword</v>
      </c>
      <c r="D131" s="16" t="str">
        <f>IFERROR(__xludf.DUMMYFUNCTION("""COMPUTED_VALUE"""),"Hand")</f>
        <v>Hand</v>
      </c>
      <c r="E131" s="16">
        <f>IFERROR(__xludf.DUMMYFUNCTION("""COMPUTED_VALUE"""),4000.0)</f>
        <v>4000</v>
      </c>
      <c r="F131" s="16" t="str">
        <f>IFERROR(__xludf.DUMMYFUNCTION("""COMPUTED_VALUE"""),"DMG: +100000, Earth DMG: +100000 ++When this weapon is equipped the wielder gets X2 Attack and Defence, +-Cannot be duplicated.")</f>
        <v>DMG: +100000, Earth DMG: +100000 ++When this weapon is equipped the wielder gets X2 Attack and Defence, +-Cannot be duplicated.</v>
      </c>
      <c r="G131" s="16">
        <f>IFERROR(__xludf.DUMMYFUNCTION("""COMPUTED_VALUE"""),7.98E8)</f>
        <v>798000000</v>
      </c>
      <c r="H131" s="16"/>
      <c r="I131" s="16"/>
      <c r="J131" s="16"/>
      <c r="K131" s="16"/>
      <c r="L131" s="16"/>
      <c r="M131" s="16"/>
      <c r="N131" s="16"/>
      <c r="O131" s="16"/>
      <c r="P131" s="16"/>
      <c r="Q131" s="16"/>
      <c r="R131" s="16"/>
      <c r="S131" s="16"/>
      <c r="T131" s="16"/>
      <c r="U131" s="16"/>
      <c r="V131" s="16"/>
      <c r="W131" s="16"/>
      <c r="X131" s="16"/>
      <c r="Y131" s="16"/>
      <c r="Z131" s="16"/>
    </row>
    <row r="132">
      <c r="A132" s="16" t="str">
        <f>IFERROR(__xludf.DUMMYFUNCTION("""COMPUTED_VALUE"""),"Greaves of The Sea Serpent")</f>
        <v>Greaves of The Sea Serpent</v>
      </c>
      <c r="B132" s="16"/>
      <c r="C132" s="16"/>
      <c r="D132" s="16" t="str">
        <f>IFERROR(__xludf.DUMMYFUNCTION("""COMPUTED_VALUE"""),"Legs")</f>
        <v>Legs</v>
      </c>
      <c r="E132" s="16">
        <f>IFERROR(__xludf.DUMMYFUNCTION("""COMPUTED_VALUE"""),100.0)</f>
        <v>100</v>
      </c>
      <c r="F132" s="16" t="str">
        <f>IFERROR(__xludf.DUMMYFUNCTION("""COMPUTED_VALUE"""),"DEF: +2500, Water DEF: +2500 ++X2 additional water damage for self.")</f>
        <v>DEF: +2500, Water DEF: +2500 ++X2 additional water damage for self.</v>
      </c>
      <c r="G132" s="16">
        <f>IFERROR(__xludf.DUMMYFUNCTION("""COMPUTED_VALUE"""),450000.0)</f>
        <v>450000</v>
      </c>
      <c r="H132" s="16"/>
      <c r="I132" s="16"/>
      <c r="J132" s="16"/>
      <c r="K132" s="16"/>
      <c r="L132" s="16"/>
      <c r="M132" s="16"/>
      <c r="N132" s="16"/>
      <c r="O132" s="16"/>
      <c r="P132" s="16"/>
      <c r="Q132" s="16"/>
      <c r="R132" s="16"/>
      <c r="S132" s="16"/>
      <c r="T132" s="16"/>
      <c r="U132" s="16"/>
      <c r="V132" s="16"/>
      <c r="W132" s="16"/>
      <c r="X132" s="16"/>
      <c r="Y132" s="16"/>
      <c r="Z132" s="16"/>
    </row>
    <row r="133">
      <c r="A133" s="16" t="str">
        <f>IFERROR(__xludf.DUMMYFUNCTION("""COMPUTED_VALUE"""),"Greaves of Waking Waters")</f>
        <v>Greaves of Waking Waters</v>
      </c>
      <c r="B133" s="16"/>
      <c r="C133" s="16"/>
      <c r="D133" s="16" t="str">
        <f>IFERROR(__xludf.DUMMYFUNCTION("""COMPUTED_VALUE"""),"Legs")</f>
        <v>Legs</v>
      </c>
      <c r="E133" s="16">
        <f>IFERROR(__xludf.DUMMYFUNCTION("""COMPUTED_VALUE"""),200.0)</f>
        <v>200</v>
      </c>
      <c r="F133" s="16" t="str">
        <f>IFERROR(__xludf.DUMMYFUNCTION("""COMPUTED_VALUE"""),"DEF: +5000, Water DEF: +5000 ++X4 additional water damage for self.")</f>
        <v>DEF: +5000, Water DEF: +5000 ++X4 additional water damage for self.</v>
      </c>
      <c r="G133" s="16">
        <f>IFERROR(__xludf.DUMMYFUNCTION("""COMPUTED_VALUE"""),1900000.0)</f>
        <v>1900000</v>
      </c>
      <c r="H133" s="16"/>
      <c r="I133" s="16"/>
      <c r="J133" s="16"/>
      <c r="K133" s="16"/>
      <c r="L133" s="16"/>
      <c r="M133" s="16"/>
      <c r="N133" s="16"/>
      <c r="O133" s="16"/>
      <c r="P133" s="16"/>
      <c r="Q133" s="16"/>
      <c r="R133" s="16"/>
      <c r="S133" s="16"/>
      <c r="T133" s="16"/>
      <c r="U133" s="16"/>
      <c r="V133" s="16"/>
      <c r="W133" s="16"/>
      <c r="X133" s="16"/>
      <c r="Y133" s="16"/>
      <c r="Z133" s="16"/>
    </row>
    <row r="134">
      <c r="A134" s="16" t="str">
        <f>IFERROR(__xludf.DUMMYFUNCTION("""COMPUTED_VALUE"""),"Halloween Staff")</f>
        <v>Halloween Staff</v>
      </c>
      <c r="B134" s="16" t="str">
        <f>IFERROR(__xludf.DUMMYFUNCTION("""COMPUTED_VALUE"""),"Halloween exclusive")</f>
        <v>Halloween exclusive</v>
      </c>
      <c r="C134" s="16" t="str">
        <f>IFERROR(__xludf.DUMMYFUNCTION("""COMPUTED_VALUE"""),"Staff")</f>
        <v>Staff</v>
      </c>
      <c r="D134" s="16" t="str">
        <f>IFERROR(__xludf.DUMMYFUNCTION("""COMPUTED_VALUE"""),"Hand")</f>
        <v>Hand</v>
      </c>
      <c r="E134" s="16">
        <f>IFERROR(__xludf.DUMMYFUNCTION("""COMPUTED_VALUE"""),1.0)</f>
        <v>1</v>
      </c>
      <c r="F134" s="16" t="str">
        <f>IFERROR(__xludf.DUMMYFUNCTION("""COMPUTED_VALUE""")," ++Transform into the Headless Horseman for 3 rounds.")</f>
        <v> ++Transform into the Headless Horseman for 3 rounds.</v>
      </c>
      <c r="G134" s="16">
        <f>IFERROR(__xludf.DUMMYFUNCTION("""COMPUTED_VALUE"""),0.0)</f>
        <v>0</v>
      </c>
      <c r="H134" s="16"/>
      <c r="I134" s="16"/>
      <c r="J134" s="16"/>
      <c r="K134" s="16"/>
      <c r="L134" s="16"/>
      <c r="M134" s="16"/>
      <c r="N134" s="16"/>
      <c r="O134" s="16"/>
      <c r="P134" s="16"/>
      <c r="Q134" s="16"/>
      <c r="R134" s="16"/>
      <c r="S134" s="16"/>
      <c r="T134" s="16"/>
      <c r="U134" s="16"/>
      <c r="V134" s="16"/>
      <c r="W134" s="16"/>
      <c r="X134" s="16"/>
      <c r="Y134" s="16"/>
      <c r="Z134" s="16"/>
    </row>
    <row r="135">
      <c r="A135" s="16" t="str">
        <f>IFERROR(__xludf.DUMMYFUNCTION("""COMPUTED_VALUE"""),"Hammer of Chaotic Shadows")</f>
        <v>Hammer of Chaotic Shadows</v>
      </c>
      <c r="B135" s="16"/>
      <c r="C135" s="16" t="str">
        <f>IFERROR(__xludf.DUMMYFUNCTION("""COMPUTED_VALUE"""),"Club")</f>
        <v>Club</v>
      </c>
      <c r="D135" s="16" t="str">
        <f>IFERROR(__xludf.DUMMYFUNCTION("""COMPUTED_VALUE"""),"Hand")</f>
        <v>Hand</v>
      </c>
      <c r="E135" s="16">
        <f>IFERROR(__xludf.DUMMYFUNCTION("""COMPUTED_VALUE"""),300.0)</f>
        <v>300</v>
      </c>
      <c r="F135" s="16" t="str">
        <f>IFERROR(__xludf.DUMMYFUNCTION("""COMPUTED_VALUE"""),"DMG: +5000, Dark DMG: +5000, Chaos DMG: +5000 ++X2 Additional Dark and Chaos Damage. ")</f>
        <v>DMG: +5000, Dark DMG: +5000, Chaos DMG: +5000 ++X2 Additional Dark and Chaos Damage. </v>
      </c>
      <c r="G135" s="16">
        <f>IFERROR(__xludf.DUMMYFUNCTION("""COMPUTED_VALUE"""),4350000.0)</f>
        <v>4350000</v>
      </c>
      <c r="H135" s="16"/>
      <c r="I135" s="16"/>
      <c r="J135" s="16"/>
      <c r="K135" s="16"/>
      <c r="L135" s="16"/>
      <c r="M135" s="16"/>
      <c r="N135" s="16"/>
      <c r="O135" s="16"/>
      <c r="P135" s="16"/>
      <c r="Q135" s="16"/>
      <c r="R135" s="16"/>
      <c r="S135" s="16"/>
      <c r="T135" s="16"/>
      <c r="U135" s="16"/>
      <c r="V135" s="16"/>
      <c r="W135" s="16"/>
      <c r="X135" s="16"/>
      <c r="Y135" s="16"/>
      <c r="Z135" s="16"/>
    </row>
    <row r="136">
      <c r="A136" s="16" t="str">
        <f>IFERROR(__xludf.DUMMYFUNCTION("""COMPUTED_VALUE"""),"Hardened Ice Sickle")</f>
        <v>Hardened Ice Sickle</v>
      </c>
      <c r="B136" s="16" t="str">
        <f>IFERROR(__xludf.DUMMYFUNCTION("""COMPUTED_VALUE"""),"Event Exclusive")</f>
        <v>Event Exclusive</v>
      </c>
      <c r="C136" s="16" t="str">
        <f>IFERROR(__xludf.DUMMYFUNCTION("""COMPUTED_VALUE"""),"Knife")</f>
        <v>Knife</v>
      </c>
      <c r="D136" s="16" t="str">
        <f>IFERROR(__xludf.DUMMYFUNCTION("""COMPUTED_VALUE"""),"Hand")</f>
        <v>Hand</v>
      </c>
      <c r="E136" s="16">
        <f>IFERROR(__xludf.DUMMYFUNCTION("""COMPUTED_VALUE"""),200.0)</f>
        <v>200</v>
      </c>
      <c r="F136" s="16" t="str">
        <f>IFERROR(__xludf.DUMMYFUNCTION("""COMPUTED_VALUE"""),"DMG: +5000, Water DMG: +5000 ++75% chance to freeze the target.")</f>
        <v>DMG: +5000, Water DMG: +5000 ++75% chance to freeze the target.</v>
      </c>
      <c r="G136" s="16">
        <f>IFERROR(__xludf.DUMMYFUNCTION("""COMPUTED_VALUE"""),1900000.0)</f>
        <v>1900000</v>
      </c>
      <c r="H136" s="16"/>
      <c r="I136" s="16"/>
      <c r="J136" s="16"/>
      <c r="K136" s="16"/>
      <c r="L136" s="16"/>
      <c r="M136" s="16"/>
      <c r="N136" s="16"/>
      <c r="O136" s="16"/>
      <c r="P136" s="16"/>
      <c r="Q136" s="16"/>
      <c r="R136" s="16"/>
      <c r="S136" s="16"/>
      <c r="T136" s="16"/>
      <c r="U136" s="16"/>
      <c r="V136" s="16"/>
      <c r="W136" s="16"/>
      <c r="X136" s="16"/>
      <c r="Y136" s="16"/>
      <c r="Z136" s="16"/>
    </row>
    <row r="137">
      <c r="A137" s="16" t="str">
        <f>IFERROR(__xludf.DUMMYFUNCTION("""COMPUTED_VALUE"""),"Haunted Katana")</f>
        <v>Haunted Katana</v>
      </c>
      <c r="B137" s="16"/>
      <c r="C137" s="16" t="str">
        <f>IFERROR(__xludf.DUMMYFUNCTION("""COMPUTED_VALUE"""),"Sword")</f>
        <v>Sword</v>
      </c>
      <c r="D137" s="16" t="str">
        <f>IFERROR(__xludf.DUMMYFUNCTION("""COMPUTED_VALUE"""),"Hand")</f>
        <v>Hand</v>
      </c>
      <c r="E137" s="16">
        <f>IFERROR(__xludf.DUMMYFUNCTION("""COMPUTED_VALUE"""),600.0)</f>
        <v>600</v>
      </c>
      <c r="F137" s="16" t="str">
        <f>IFERROR(__xludf.DUMMYFUNCTION("""COMPUTED_VALUE"""),"DMG: +10000, Dark DMG: +10000, Spirit DMG: +10000 +-You go last during the turn order in battle.. ")</f>
        <v>DMG: +10000, Dark DMG: +10000, Spirit DMG: +10000 +-You go last during the turn order in battle.. </v>
      </c>
      <c r="G137" s="16">
        <f>IFERROR(__xludf.DUMMYFUNCTION("""COMPUTED_VALUE"""),1.77E7)</f>
        <v>17700000</v>
      </c>
      <c r="H137" s="16"/>
      <c r="I137" s="16"/>
      <c r="J137" s="16"/>
      <c r="K137" s="16"/>
      <c r="L137" s="16"/>
      <c r="M137" s="16"/>
      <c r="N137" s="16"/>
      <c r="O137" s="16"/>
      <c r="P137" s="16"/>
      <c r="Q137" s="16"/>
      <c r="R137" s="16"/>
      <c r="S137" s="16"/>
      <c r="T137" s="16"/>
      <c r="U137" s="16"/>
      <c r="V137" s="16"/>
      <c r="W137" s="16"/>
      <c r="X137" s="16"/>
      <c r="Y137" s="16"/>
      <c r="Z137" s="16"/>
    </row>
    <row r="138">
      <c r="A138" s="16" t="str">
        <f>IFERROR(__xludf.DUMMYFUNCTION("""COMPUTED_VALUE"""),"Haunted King's Favorite Shield")</f>
        <v>Haunted King's Favorite Shield</v>
      </c>
      <c r="B138" s="16" t="str">
        <f>IFERROR(__xludf.DUMMYFUNCTION("""COMPUTED_VALUE"""),"Halloween exclusive")</f>
        <v>Halloween exclusive</v>
      </c>
      <c r="C138" s="16" t="str">
        <f>IFERROR(__xludf.DUMMYFUNCTION("""COMPUTED_VALUE"""),"Towershield")</f>
        <v>Towershield</v>
      </c>
      <c r="D138" s="16" t="str">
        <f>IFERROR(__xludf.DUMMYFUNCTION("""COMPUTED_VALUE"""),"Hand")</f>
        <v>Hand</v>
      </c>
      <c r="E138" s="16">
        <f>IFERROR(__xludf.DUMMYFUNCTION("""COMPUTED_VALUE"""),20.0)</f>
        <v>20</v>
      </c>
      <c r="F138" s="16" t="str">
        <f>IFERROR(__xludf.DUMMYFUNCTION("""COMPUTED_VALUE"""),"DEF: +1000 ++Great Block - When attacked you will take no damage until your next turn, Costs All SP and sets Users HP to 1.")</f>
        <v>DEF: +1000 ++Great Block - When attacked you will take no damage until your next turn, Costs All SP and sets Users HP to 1.</v>
      </c>
      <c r="G138" s="16">
        <f>IFERROR(__xludf.DUMMYFUNCTION("""COMPUTED_VALUE"""),10000.0)</f>
        <v>10000</v>
      </c>
      <c r="H138" s="16"/>
      <c r="I138" s="16"/>
      <c r="J138" s="16"/>
      <c r="K138" s="16"/>
      <c r="L138" s="16"/>
      <c r="M138" s="16"/>
      <c r="N138" s="16"/>
      <c r="O138" s="16"/>
      <c r="P138" s="16"/>
      <c r="Q138" s="16"/>
      <c r="R138" s="16"/>
      <c r="S138" s="16"/>
      <c r="T138" s="16"/>
      <c r="U138" s="16"/>
      <c r="V138" s="16"/>
      <c r="W138" s="16"/>
      <c r="X138" s="16"/>
      <c r="Y138" s="16"/>
      <c r="Z138" s="16"/>
    </row>
    <row r="139">
      <c r="A139" s="16" t="str">
        <f>IFERROR(__xludf.DUMMYFUNCTION("""COMPUTED_VALUE"""),"Haunted King's Favorite Sword")</f>
        <v>Haunted King's Favorite Sword</v>
      </c>
      <c r="B139" s="16" t="str">
        <f>IFERROR(__xludf.DUMMYFUNCTION("""COMPUTED_VALUE"""),"Halloween exclusive")</f>
        <v>Halloween exclusive</v>
      </c>
      <c r="C139" s="16" t="str">
        <f>IFERROR(__xludf.DUMMYFUNCTION("""COMPUTED_VALUE"""),"Sword")</f>
        <v>Sword</v>
      </c>
      <c r="D139" s="16" t="str">
        <f>IFERROR(__xludf.DUMMYFUNCTION("""COMPUTED_VALUE"""),"Hand")</f>
        <v>Hand</v>
      </c>
      <c r="E139" s="16">
        <f>IFERROR(__xludf.DUMMYFUNCTION("""COMPUTED_VALUE"""),60.0)</f>
        <v>60</v>
      </c>
      <c r="F139" s="16" t="str">
        <f>IFERROR(__xludf.DUMMYFUNCTION("""COMPUTED_VALUE"""),"DMG: +3000 ++Piercing Strike - Ignores all Def when attacking with this weapon ++gain 1000 SP upon a successful hit. +-Cannot be duplicated")</f>
        <v>DMG: +3000 ++Piercing Strike - Ignores all Def when attacking with this weapon ++gain 1000 SP upon a successful hit. +-Cannot be duplicated</v>
      </c>
      <c r="G139" s="16">
        <f>IFERROR(__xludf.DUMMYFUNCTION("""COMPUTED_VALUE"""),150000.0)</f>
        <v>150000</v>
      </c>
      <c r="H139" s="16"/>
      <c r="I139" s="16"/>
      <c r="J139" s="16"/>
      <c r="K139" s="16"/>
      <c r="L139" s="16"/>
      <c r="M139" s="16"/>
      <c r="N139" s="16"/>
      <c r="O139" s="16"/>
      <c r="P139" s="16"/>
      <c r="Q139" s="16"/>
      <c r="R139" s="16"/>
      <c r="S139" s="16"/>
      <c r="T139" s="16"/>
      <c r="U139" s="16"/>
      <c r="V139" s="16"/>
      <c r="W139" s="16"/>
      <c r="X139" s="16"/>
      <c r="Y139" s="16"/>
      <c r="Z139" s="16"/>
    </row>
    <row r="140">
      <c r="A140" s="16" t="str">
        <f>IFERROR(__xludf.DUMMYFUNCTION("""COMPUTED_VALUE"""),"Heatmore Flame Golem Head")</f>
        <v>Heatmore Flame Golem Head</v>
      </c>
      <c r="B140" s="16"/>
      <c r="C140" s="16"/>
      <c r="D140" s="16" t="str">
        <f>IFERROR(__xludf.DUMMYFUNCTION("""COMPUTED_VALUE"""),"Head")</f>
        <v>Head</v>
      </c>
      <c r="E140" s="16">
        <f>IFERROR(__xludf.DUMMYFUNCTION("""COMPUTED_VALUE"""),300.0)</f>
        <v>300</v>
      </c>
      <c r="F140" s="16" t="str">
        <f>IFERROR(__xludf.DUMMYFUNCTION("""COMPUTED_VALUE"""),"DEF: +5000, Fire DEF: +5000, Earth DEF: +5000 ++X2 additional Earth and Fire Resistance.")</f>
        <v>DEF: +5000, Fire DEF: +5000, Earth DEF: +5000 ++X2 additional Earth and Fire Resistance.</v>
      </c>
      <c r="G140" s="16">
        <f>IFERROR(__xludf.DUMMYFUNCTION("""COMPUTED_VALUE"""),4350000.0)</f>
        <v>4350000</v>
      </c>
      <c r="H140" s="16"/>
      <c r="I140" s="16"/>
      <c r="J140" s="16"/>
      <c r="K140" s="16"/>
      <c r="L140" s="16"/>
      <c r="M140" s="16"/>
      <c r="N140" s="16"/>
      <c r="O140" s="16"/>
      <c r="P140" s="16"/>
      <c r="Q140" s="16"/>
      <c r="R140" s="16"/>
      <c r="S140" s="16"/>
      <c r="T140" s="16"/>
      <c r="U140" s="16"/>
      <c r="V140" s="16"/>
      <c r="W140" s="16"/>
      <c r="X140" s="16"/>
      <c r="Y140" s="16"/>
      <c r="Z140" s="16"/>
    </row>
    <row r="141">
      <c r="A141" s="16" t="str">
        <f>IFERROR(__xludf.DUMMYFUNCTION("""COMPUTED_VALUE"""),"Helmet of Darkness")</f>
        <v>Helmet of Darkness</v>
      </c>
      <c r="B141" s="16"/>
      <c r="C141" s="16"/>
      <c r="D141" s="16" t="str">
        <f>IFERROR(__xludf.DUMMYFUNCTION("""COMPUTED_VALUE"""),"Head")</f>
        <v>Head</v>
      </c>
      <c r="E141" s="16">
        <f>IFERROR(__xludf.DUMMYFUNCTION("""COMPUTED_VALUE"""),400.0)</f>
        <v>400</v>
      </c>
      <c r="F141" s="16" t="str">
        <f>IFERROR(__xludf.DUMMYFUNCTION("""COMPUTED_VALUE"""),"DEF: +10000, Dark DEF: +10000 ++Immunity to Dark damage.")</f>
        <v>DEF: +10000, Dark DEF: +10000 ++Immunity to Dark damage.</v>
      </c>
      <c r="G141" s="16">
        <f>IFERROR(__xludf.DUMMYFUNCTION("""COMPUTED_VALUE"""),7800000.0)</f>
        <v>7800000</v>
      </c>
      <c r="H141" s="16"/>
      <c r="I141" s="16"/>
      <c r="J141" s="16"/>
      <c r="K141" s="16"/>
      <c r="L141" s="16"/>
      <c r="M141" s="16"/>
      <c r="N141" s="16"/>
      <c r="O141" s="16"/>
      <c r="P141" s="16"/>
      <c r="Q141" s="16"/>
      <c r="R141" s="16"/>
      <c r="S141" s="16"/>
      <c r="T141" s="16"/>
      <c r="U141" s="16"/>
      <c r="V141" s="16"/>
      <c r="W141" s="16"/>
      <c r="X141" s="16"/>
      <c r="Y141" s="16"/>
      <c r="Z141" s="16"/>
    </row>
    <row r="142">
      <c r="A142" s="16" t="str">
        <f>IFERROR(__xludf.DUMMYFUNCTION("""COMPUTED_VALUE"""),"Helmet of Waking Waters")</f>
        <v>Helmet of Waking Waters</v>
      </c>
      <c r="B142" s="16"/>
      <c r="C142" s="16"/>
      <c r="D142" s="16" t="str">
        <f>IFERROR(__xludf.DUMMYFUNCTION("""COMPUTED_VALUE"""),"Head")</f>
        <v>Head</v>
      </c>
      <c r="E142" s="16">
        <f>IFERROR(__xludf.DUMMYFUNCTION("""COMPUTED_VALUE"""),200.0)</f>
        <v>200</v>
      </c>
      <c r="F142" s="16" t="str">
        <f>IFERROR(__xludf.DUMMYFUNCTION("""COMPUTED_VALUE"""),"DEF: +5000, Water DEF: +5000 ++X4 additional water damage.")</f>
        <v>DEF: +5000, Water DEF: +5000 ++X4 additional water damage.</v>
      </c>
      <c r="G142" s="16">
        <f>IFERROR(__xludf.DUMMYFUNCTION("""COMPUTED_VALUE"""),1900000.0)</f>
        <v>1900000</v>
      </c>
      <c r="H142" s="16"/>
      <c r="I142" s="16"/>
      <c r="J142" s="16"/>
      <c r="K142" s="16"/>
      <c r="L142" s="16"/>
      <c r="M142" s="16"/>
      <c r="N142" s="16"/>
      <c r="O142" s="16"/>
      <c r="P142" s="16"/>
      <c r="Q142" s="16"/>
      <c r="R142" s="16"/>
      <c r="S142" s="16"/>
      <c r="T142" s="16"/>
      <c r="U142" s="16"/>
      <c r="V142" s="16"/>
      <c r="W142" s="16"/>
      <c r="X142" s="16"/>
      <c r="Y142" s="16"/>
      <c r="Z142" s="16"/>
    </row>
    <row r="143">
      <c r="A143" s="16" t="str">
        <f>IFERROR(__xludf.DUMMYFUNCTION("""COMPUTED_VALUE"""),"High Range Bow")</f>
        <v>High Range Bow</v>
      </c>
      <c r="B143" s="16"/>
      <c r="C143" s="16" t="str">
        <f>IFERROR(__xludf.DUMMYFUNCTION("""COMPUTED_VALUE"""),"Bow")</f>
        <v>Bow</v>
      </c>
      <c r="D143" s="16" t="str">
        <f>IFERROR(__xludf.DUMMYFUNCTION("""COMPUTED_VALUE"""),"Hand")</f>
        <v>Hand</v>
      </c>
      <c r="E143" s="16">
        <f>IFERROR(__xludf.DUMMYFUNCTION("""COMPUTED_VALUE"""),10.0)</f>
        <v>10</v>
      </c>
      <c r="F143" s="16" t="str">
        <f>IFERROR(__xludf.DUMMYFUNCTION("""COMPUTED_VALUE"""),"DMG: +500 ++Hawkeye: X2 more arrow damage and ranged attacks deal half damage that are dealt to the wearer. ")</f>
        <v>DMG: +500 ++Hawkeye: X2 more arrow damage and ranged attacks deal half damage that are dealt to the wearer. </v>
      </c>
      <c r="G143" s="16">
        <f>IFERROR(__xludf.DUMMYFUNCTION("""COMPUTED_VALUE"""),1000.0)</f>
        <v>1000</v>
      </c>
      <c r="H143" s="16"/>
      <c r="I143" s="16"/>
      <c r="J143" s="16"/>
      <c r="K143" s="16"/>
      <c r="L143" s="16"/>
      <c r="M143" s="16"/>
      <c r="N143" s="16"/>
      <c r="O143" s="16"/>
      <c r="P143" s="16"/>
      <c r="Q143" s="16"/>
      <c r="R143" s="16"/>
      <c r="S143" s="16"/>
      <c r="T143" s="16"/>
      <c r="U143" s="16"/>
      <c r="V143" s="16"/>
      <c r="W143" s="16"/>
      <c r="X143" s="16"/>
      <c r="Y143" s="16"/>
      <c r="Z143" s="16"/>
    </row>
    <row r="144">
      <c r="A144" s="16" t="str">
        <f>IFERROR(__xludf.DUMMYFUNCTION("""COMPUTED_VALUE"""),"Horn of The Forgotten")</f>
        <v>Horn of The Forgotten</v>
      </c>
      <c r="B144" s="16"/>
      <c r="C144" s="16" t="str">
        <f>IFERROR(__xludf.DUMMYFUNCTION("""COMPUTED_VALUE"""),"Wand")</f>
        <v>Wand</v>
      </c>
      <c r="D144" s="16" t="str">
        <f>IFERROR(__xludf.DUMMYFUNCTION("""COMPUTED_VALUE"""),"Hand")</f>
        <v>Hand</v>
      </c>
      <c r="E144" s="16">
        <f>IFERROR(__xludf.DUMMYFUNCTION("""COMPUTED_VALUE"""),1.0)</f>
        <v>1</v>
      </c>
      <c r="F144" s="16" t="str">
        <f>IFERROR(__xludf.DUMMYFUNCTION("""COMPUTED_VALUE""")," ++Calls upon a lost soul to aid you in battle. The lost soul increases your max health defence and attack by double its original for the rest of battle. +-Can only be used once per battle. +-Cannot be duplicated")</f>
        <v> ++Calls upon a lost soul to aid you in battle. The lost soul increases your max health defence and attack by double its original for the rest of battle. +-Can only be used once per battle. +-Cannot be duplicated</v>
      </c>
      <c r="G144" s="16">
        <f>IFERROR(__xludf.DUMMYFUNCTION("""COMPUTED_VALUE"""),0.0)</f>
        <v>0</v>
      </c>
      <c r="H144" s="16"/>
      <c r="I144" s="16"/>
      <c r="J144" s="16"/>
      <c r="K144" s="16"/>
      <c r="L144" s="16"/>
      <c r="M144" s="16"/>
      <c r="N144" s="16"/>
      <c r="O144" s="16"/>
      <c r="P144" s="16"/>
      <c r="Q144" s="16"/>
      <c r="R144" s="16"/>
      <c r="S144" s="16"/>
      <c r="T144" s="16"/>
      <c r="U144" s="16"/>
      <c r="V144" s="16"/>
      <c r="W144" s="16"/>
      <c r="X144" s="16"/>
      <c r="Y144" s="16"/>
      <c r="Z144" s="16"/>
    </row>
    <row r="145">
      <c r="A145" s="16" t="str">
        <f>IFERROR(__xludf.DUMMYFUNCTION("""COMPUTED_VALUE"""),"Houyi's Bow")</f>
        <v>Houyi's Bow</v>
      </c>
      <c r="B145" s="16"/>
      <c r="C145" s="16" t="str">
        <f>IFERROR(__xludf.DUMMYFUNCTION("""COMPUTED_VALUE"""),"Bow")</f>
        <v>Bow</v>
      </c>
      <c r="D145" s="16" t="str">
        <f>IFERROR(__xludf.DUMMYFUNCTION("""COMPUTED_VALUE"""),"Hand")</f>
        <v>Hand</v>
      </c>
      <c r="E145" s="16">
        <f>IFERROR(__xludf.DUMMYFUNCTION("""COMPUTED_VALUE"""),400.0)</f>
        <v>400</v>
      </c>
      <c r="F145" s="16" t="str">
        <f>IFERROR(__xludf.DUMMYFUNCTION("""COMPUTED_VALUE"""),"DMG: +20000 ++Skill Shot - gives the wielder X2 accuracy and X2 damage for bows.")</f>
        <v>DMG: +20000 ++Skill Shot - gives the wielder X2 accuracy and X2 damage for bows.</v>
      </c>
      <c r="G145" s="16">
        <f>IFERROR(__xludf.DUMMYFUNCTION("""COMPUTED_VALUE"""),7800000.0)</f>
        <v>7800000</v>
      </c>
      <c r="H145" s="16"/>
      <c r="I145" s="16"/>
      <c r="J145" s="16"/>
      <c r="K145" s="16"/>
      <c r="L145" s="16"/>
      <c r="M145" s="16"/>
      <c r="N145" s="16"/>
      <c r="O145" s="16"/>
      <c r="P145" s="16"/>
      <c r="Q145" s="16"/>
      <c r="R145" s="16"/>
      <c r="S145" s="16"/>
      <c r="T145" s="16"/>
      <c r="U145" s="16"/>
      <c r="V145" s="16"/>
      <c r="W145" s="16"/>
      <c r="X145" s="16"/>
      <c r="Y145" s="16"/>
      <c r="Z145" s="16"/>
    </row>
    <row r="146">
      <c r="A146" s="16" t="str">
        <f>IFERROR(__xludf.DUMMYFUNCTION("""COMPUTED_VALUE"""),"Ice Blade")</f>
        <v>Ice Blade</v>
      </c>
      <c r="B146" s="16"/>
      <c r="C146" s="16" t="str">
        <f>IFERROR(__xludf.DUMMYFUNCTION("""COMPUTED_VALUE"""),"Sword")</f>
        <v>Sword</v>
      </c>
      <c r="D146" s="16" t="str">
        <f>IFERROR(__xludf.DUMMYFUNCTION("""COMPUTED_VALUE"""),"Hand")</f>
        <v>Hand</v>
      </c>
      <c r="E146" s="16">
        <f>IFERROR(__xludf.DUMMYFUNCTION("""COMPUTED_VALUE"""),100.0)</f>
        <v>100</v>
      </c>
      <c r="F146" s="16" t="str">
        <f>IFERROR(__xludf.DUMMYFUNCTION("""COMPUTED_VALUE"""),"DMG: +2000, Water DMG: +3000 ++50% chance to freeze the target.")</f>
        <v>DMG: +2000, Water DMG: +3000 ++50% chance to freeze the target.</v>
      </c>
      <c r="G146" s="16">
        <f>IFERROR(__xludf.DUMMYFUNCTION("""COMPUTED_VALUE"""),450000.0)</f>
        <v>450000</v>
      </c>
      <c r="H146" s="16"/>
      <c r="I146" s="16"/>
      <c r="J146" s="16"/>
      <c r="K146" s="16"/>
      <c r="L146" s="16"/>
      <c r="M146" s="16"/>
      <c r="N146" s="16"/>
      <c r="O146" s="16"/>
      <c r="P146" s="16"/>
      <c r="Q146" s="16"/>
      <c r="R146" s="16"/>
      <c r="S146" s="16"/>
      <c r="T146" s="16"/>
      <c r="U146" s="16"/>
      <c r="V146" s="16"/>
      <c r="W146" s="16"/>
      <c r="X146" s="16"/>
      <c r="Y146" s="16"/>
      <c r="Z146" s="16"/>
    </row>
    <row r="147">
      <c r="A147" s="16" t="str">
        <f>IFERROR(__xludf.DUMMYFUNCTION("""COMPUTED_VALUE"""),"Inferno Staff")</f>
        <v>Inferno Staff</v>
      </c>
      <c r="B147" s="16"/>
      <c r="C147" s="16" t="str">
        <f>IFERROR(__xludf.DUMMYFUNCTION("""COMPUTED_VALUE"""),"Staff")</f>
        <v>Staff</v>
      </c>
      <c r="D147" s="16" t="str">
        <f>IFERROR(__xludf.DUMMYFUNCTION("""COMPUTED_VALUE"""),"Hand")</f>
        <v>Hand</v>
      </c>
      <c r="E147" s="16">
        <f>IFERROR(__xludf.DUMMYFUNCTION("""COMPUTED_VALUE"""),200.0)</f>
        <v>200</v>
      </c>
      <c r="F147" s="16" t="str">
        <f>IFERROR(__xludf.DUMMYFUNCTION("""COMPUTED_VALUE"""),", Fire : +10000 ++Burn 10,000 to 1 target for 3 rounds. 100sp.")</f>
        <v>, Fire : +10000 ++Burn 10,000 to 1 target for 3 rounds. 100sp.</v>
      </c>
      <c r="G147" s="16">
        <f>IFERROR(__xludf.DUMMYFUNCTION("""COMPUTED_VALUE"""),1900000.0)</f>
        <v>1900000</v>
      </c>
      <c r="H147" s="16"/>
      <c r="I147" s="16"/>
      <c r="J147" s="16"/>
      <c r="K147" s="16"/>
      <c r="L147" s="16"/>
      <c r="M147" s="16"/>
      <c r="N147" s="16"/>
      <c r="O147" s="16"/>
      <c r="P147" s="16"/>
      <c r="Q147" s="16"/>
      <c r="R147" s="16"/>
      <c r="S147" s="16"/>
      <c r="T147" s="16"/>
      <c r="U147" s="16"/>
      <c r="V147" s="16"/>
      <c r="W147" s="16"/>
      <c r="X147" s="16"/>
      <c r="Y147" s="16"/>
      <c r="Z147" s="16"/>
    </row>
    <row r="148">
      <c r="A148" s="16" t="str">
        <f>IFERROR(__xludf.DUMMYFUNCTION("""COMPUTED_VALUE"""),"Jack's Special Archer Robe")</f>
        <v>Jack's Special Archer Robe</v>
      </c>
      <c r="B148" s="16" t="str">
        <f>IFERROR(__xludf.DUMMYFUNCTION("""COMPUTED_VALUE"""),"Halloween exclusive")</f>
        <v>Halloween exclusive</v>
      </c>
      <c r="C148" s="16"/>
      <c r="D148" s="16" t="str">
        <f>IFERROR(__xludf.DUMMYFUNCTION("""COMPUTED_VALUE"""),"Torso")</f>
        <v>Torso</v>
      </c>
      <c r="E148" s="16">
        <f>IFERROR(__xludf.DUMMYFUNCTION("""COMPUTED_VALUE"""),20.0)</f>
        <v>20</v>
      </c>
      <c r="F148" s="16" t="str">
        <f>IFERROR(__xludf.DUMMYFUNCTION("""COMPUTED_VALUE"""),"DEF: +900 ++Range Spells cost half the SP cost and all damage is doubled for ranged spells +-Archer Class Only")</f>
        <v>DEF: +900 ++Range Spells cost half the SP cost and all damage is doubled for ranged spells +-Archer Class Only</v>
      </c>
      <c r="G148" s="16">
        <f>IFERROR(__xludf.DUMMYFUNCTION("""COMPUTED_VALUE"""),1000.0)</f>
        <v>1000</v>
      </c>
      <c r="H148" s="16"/>
      <c r="I148" s="16"/>
      <c r="J148" s="16"/>
      <c r="K148" s="16"/>
      <c r="L148" s="16"/>
      <c r="M148" s="16"/>
      <c r="N148" s="16"/>
      <c r="O148" s="16"/>
      <c r="P148" s="16"/>
      <c r="Q148" s="16"/>
      <c r="R148" s="16"/>
      <c r="S148" s="16"/>
      <c r="T148" s="16"/>
      <c r="U148" s="16"/>
      <c r="V148" s="16"/>
      <c r="W148" s="16"/>
      <c r="X148" s="16"/>
      <c r="Y148" s="16"/>
      <c r="Z148" s="16"/>
    </row>
    <row r="149">
      <c r="A149" s="16" t="str">
        <f>IFERROR(__xludf.DUMMYFUNCTION("""COMPUTED_VALUE"""),"Jack's Special Ring")</f>
        <v>Jack's Special Ring</v>
      </c>
      <c r="B149" s="16" t="str">
        <f>IFERROR(__xludf.DUMMYFUNCTION("""COMPUTED_VALUE"""),"Halloween exclusive")</f>
        <v>Halloween exclusive</v>
      </c>
      <c r="C149" s="16"/>
      <c r="D149" s="16" t="str">
        <f>IFERROR(__xludf.DUMMYFUNCTION("""COMPUTED_VALUE"""),"Ring")</f>
        <v>Ring</v>
      </c>
      <c r="E149" s="16">
        <f>IFERROR(__xludf.DUMMYFUNCTION("""COMPUTED_VALUE"""),1.0)</f>
        <v>1</v>
      </c>
      <c r="F149" s="16" t="str">
        <f>IFERROR(__xludf.DUMMYFUNCTION("""COMPUTED_VALUE""")," ++Increase all types of damage by X2. +-Cannot be forged +-Cannot be duplicated")</f>
        <v> ++Increase all types of damage by X2. +-Cannot be forged +-Cannot be duplicated</v>
      </c>
      <c r="G149" s="16">
        <f>IFERROR(__xludf.DUMMYFUNCTION("""COMPUTED_VALUE"""),0.0)</f>
        <v>0</v>
      </c>
      <c r="H149" s="16"/>
      <c r="I149" s="16"/>
      <c r="J149" s="16"/>
      <c r="K149" s="16"/>
      <c r="L149" s="16"/>
      <c r="M149" s="16"/>
      <c r="N149" s="16"/>
      <c r="O149" s="16"/>
      <c r="P149" s="16"/>
      <c r="Q149" s="16"/>
      <c r="R149" s="16"/>
      <c r="S149" s="16"/>
      <c r="T149" s="16"/>
      <c r="U149" s="16"/>
      <c r="V149" s="16"/>
      <c r="W149" s="16"/>
      <c r="X149" s="16"/>
      <c r="Y149" s="16"/>
      <c r="Z149" s="16"/>
    </row>
    <row r="150">
      <c r="A150" s="16" t="str">
        <f>IFERROR(__xludf.DUMMYFUNCTION("""COMPUTED_VALUE"""),"Jack's Special Sword")</f>
        <v>Jack's Special Sword</v>
      </c>
      <c r="B150" s="16" t="str">
        <f>IFERROR(__xludf.DUMMYFUNCTION("""COMPUTED_VALUE"""),"Halloween exclusive")</f>
        <v>Halloween exclusive</v>
      </c>
      <c r="C150" s="16" t="str">
        <f>IFERROR(__xludf.DUMMYFUNCTION("""COMPUTED_VALUE"""),"Sword")</f>
        <v>Sword</v>
      </c>
      <c r="D150" s="16" t="str">
        <f>IFERROR(__xludf.DUMMYFUNCTION("""COMPUTED_VALUE"""),"Hand")</f>
        <v>Hand</v>
      </c>
      <c r="E150" s="16">
        <f>IFERROR(__xludf.DUMMYFUNCTION("""COMPUTED_VALUE"""),60.0)</f>
        <v>60</v>
      </c>
      <c r="F150" s="16" t="str">
        <f>IFERROR(__xludf.DUMMYFUNCTION("""COMPUTED_VALUE"""),"DMG: +1500, Dark DMG: +600, Chaos DMG: +900 ++Vampires Lust II - Any damage dealt by this sword will give you HP and SP equal to the damage dealt. +-Cannot be duplicated")</f>
        <v>DMG: +1500, Dark DMG: +600, Chaos DMG: +900 ++Vampires Lust II - Any damage dealt by this sword will give you HP and SP equal to the damage dealt. +-Cannot be duplicated</v>
      </c>
      <c r="G150" s="16">
        <f>IFERROR(__xludf.DUMMYFUNCTION("""COMPUTED_VALUE"""),150000.0)</f>
        <v>150000</v>
      </c>
      <c r="H150" s="16"/>
      <c r="I150" s="16"/>
      <c r="J150" s="16"/>
      <c r="K150" s="16"/>
      <c r="L150" s="16"/>
      <c r="M150" s="16"/>
      <c r="N150" s="16"/>
      <c r="O150" s="16"/>
      <c r="P150" s="16"/>
      <c r="Q150" s="16"/>
      <c r="R150" s="16"/>
      <c r="S150" s="16"/>
      <c r="T150" s="16"/>
      <c r="U150" s="16"/>
      <c r="V150" s="16"/>
      <c r="W150" s="16"/>
      <c r="X150" s="16"/>
      <c r="Y150" s="16"/>
      <c r="Z150" s="16"/>
    </row>
    <row r="151">
      <c r="A151" s="16" t="str">
        <f>IFERROR(__xludf.DUMMYFUNCTION("""COMPUTED_VALUE"""),"Jack’o Lantern Helmet of Swampy Hallow")</f>
        <v>Jack’o Lantern Helmet of Swampy Hallow</v>
      </c>
      <c r="B151" s="16" t="str">
        <f>IFERROR(__xludf.DUMMYFUNCTION("""COMPUTED_VALUE"""),"Halloween exclusive")</f>
        <v>Halloween exclusive</v>
      </c>
      <c r="C151" s="16"/>
      <c r="D151" s="16" t="str">
        <f>IFERROR(__xludf.DUMMYFUNCTION("""COMPUTED_VALUE"""),"Head")</f>
        <v>Head</v>
      </c>
      <c r="E151" s="16">
        <f>IFERROR(__xludf.DUMMYFUNCTION("""COMPUTED_VALUE"""),600.0)</f>
        <v>600</v>
      </c>
      <c r="F151" s="16" t="str">
        <f>IFERROR(__xludf.DUMMYFUNCTION("""COMPUTED_VALUE"""),"DEF: +5000, Fire DEF: +5000, Dark DEF: +5000, Spirit DEF: +5000, Chaos DEF: +5000, Nature DEF: +5000 ++Allows you to use up to Rank 9 Nature, Fire, Dark, Chaos, and Spirit Spells, ++X2 additional Nature, Fire, Dark, Chaos, and Spirit damage.")</f>
        <v>DEF: +5000, Fire DEF: +5000, Dark DEF: +5000, Spirit DEF: +5000, Chaos DEF: +5000, Nature DEF: +5000 ++Allows you to use up to Rank 9 Nature, Fire, Dark, Chaos, and Spirit Spells, ++X2 additional Nature, Fire, Dark, Chaos, and Spirit damage.</v>
      </c>
      <c r="G151" s="16">
        <f>IFERROR(__xludf.DUMMYFUNCTION("""COMPUTED_VALUE"""),1.77E7)</f>
        <v>17700000</v>
      </c>
      <c r="H151" s="16"/>
      <c r="I151" s="16"/>
      <c r="J151" s="16"/>
      <c r="K151" s="16"/>
      <c r="L151" s="16"/>
      <c r="M151" s="16"/>
      <c r="N151" s="16"/>
      <c r="O151" s="16"/>
      <c r="P151" s="16"/>
      <c r="Q151" s="16"/>
      <c r="R151" s="16"/>
      <c r="S151" s="16"/>
      <c r="T151" s="16"/>
      <c r="U151" s="16"/>
      <c r="V151" s="16"/>
      <c r="W151" s="16"/>
      <c r="X151" s="16"/>
      <c r="Y151" s="16"/>
      <c r="Z151" s="16"/>
    </row>
    <row r="152">
      <c r="A152" s="16" t="str">
        <f>IFERROR(__xludf.DUMMYFUNCTION("""COMPUTED_VALUE"""),"Katana")</f>
        <v>Katana</v>
      </c>
      <c r="B152" s="16"/>
      <c r="C152" s="16" t="str">
        <f>IFERROR(__xludf.DUMMYFUNCTION("""COMPUTED_VALUE"""),"Sword")</f>
        <v>Sword</v>
      </c>
      <c r="D152" s="16" t="str">
        <f>IFERROR(__xludf.DUMMYFUNCTION("""COMPUTED_VALUE"""),"Hand")</f>
        <v>Hand</v>
      </c>
      <c r="E152" s="16">
        <f>IFERROR(__xludf.DUMMYFUNCTION("""COMPUTED_VALUE"""),10.0)</f>
        <v>10</v>
      </c>
      <c r="F152" s="16" t="str">
        <f>IFERROR(__xludf.DUMMYFUNCTION("""COMPUTED_VALUE"""),"DMG: +500 ++ +10% chance of the sword ability activating.")</f>
        <v>DMG: +500 ++ +10% chance of the sword ability activating.</v>
      </c>
      <c r="G152" s="16">
        <f>IFERROR(__xludf.DUMMYFUNCTION("""COMPUTED_VALUE"""),1000.0)</f>
        <v>1000</v>
      </c>
      <c r="H152" s="16"/>
      <c r="I152" s="16"/>
      <c r="J152" s="16"/>
      <c r="K152" s="16"/>
      <c r="L152" s="16"/>
      <c r="M152" s="16"/>
      <c r="N152" s="16"/>
      <c r="O152" s="16"/>
      <c r="P152" s="16"/>
      <c r="Q152" s="16"/>
      <c r="R152" s="16"/>
      <c r="S152" s="16"/>
      <c r="T152" s="16"/>
      <c r="U152" s="16"/>
      <c r="V152" s="16"/>
      <c r="W152" s="16"/>
      <c r="X152" s="16"/>
      <c r="Y152" s="16"/>
      <c r="Z152" s="16"/>
    </row>
    <row r="153">
      <c r="A153" s="16" t="str">
        <f>IFERROR(__xludf.DUMMYFUNCTION("""COMPUTED_VALUE"""),"King Of Mekanas Sword")</f>
        <v>King Of Mekanas Sword</v>
      </c>
      <c r="B153" s="16" t="str">
        <f>IFERROR(__xludf.DUMMYFUNCTION("""COMPUTED_VALUE"""),"Mob Exclusive")</f>
        <v>Mob Exclusive</v>
      </c>
      <c r="C153" s="16" t="str">
        <f>IFERROR(__xludf.DUMMYFUNCTION("""COMPUTED_VALUE"""),"Sword")</f>
        <v>Sword</v>
      </c>
      <c r="D153" s="16" t="str">
        <f>IFERROR(__xludf.DUMMYFUNCTION("""COMPUTED_VALUE"""),"Hand")</f>
        <v>Hand</v>
      </c>
      <c r="E153" s="16">
        <f>IFERROR(__xludf.DUMMYFUNCTION("""COMPUTED_VALUE"""),3000.0)</f>
        <v>3000</v>
      </c>
      <c r="F153" s="16" t="str">
        <f>IFERROR(__xludf.DUMMYFUNCTION("""COMPUTED_VALUE"""),"DMG: +50000, Fire DMG: +50000, Storm DMG: +50000 ++X8 additional Fire and Storm damage. ")</f>
        <v>DMG: +50000, Fire DMG: +50000, Storm DMG: +50000 ++X8 additional Fire and Storm damage. </v>
      </c>
      <c r="G153" s="16">
        <f>IFERROR(__xludf.DUMMYFUNCTION("""COMPUTED_VALUE"""),4.485E8)</f>
        <v>448500000</v>
      </c>
      <c r="H153" s="16"/>
      <c r="I153" s="16"/>
      <c r="J153" s="16"/>
      <c r="K153" s="16"/>
      <c r="L153" s="16"/>
      <c r="M153" s="16"/>
      <c r="N153" s="16"/>
      <c r="O153" s="16"/>
      <c r="P153" s="16"/>
      <c r="Q153" s="16"/>
      <c r="R153" s="16"/>
      <c r="S153" s="16"/>
      <c r="T153" s="16"/>
      <c r="U153" s="16"/>
      <c r="V153" s="16"/>
      <c r="W153" s="16"/>
      <c r="X153" s="16"/>
      <c r="Y153" s="16"/>
      <c r="Z153" s="16"/>
    </row>
    <row r="154">
      <c r="A154" s="16" t="str">
        <f>IFERROR(__xludf.DUMMYFUNCTION("""COMPUTED_VALUE"""),"King's Royal Sword")</f>
        <v>King's Royal Sword</v>
      </c>
      <c r="B154" s="16" t="str">
        <f>IFERROR(__xludf.DUMMYFUNCTION("""COMPUTED_VALUE"""),"Quest Item")</f>
        <v>Quest Item</v>
      </c>
      <c r="C154" s="16" t="str">
        <f>IFERROR(__xludf.DUMMYFUNCTION("""COMPUTED_VALUE"""),"Sword")</f>
        <v>Sword</v>
      </c>
      <c r="D154" s="16" t="str">
        <f>IFERROR(__xludf.DUMMYFUNCTION("""COMPUTED_VALUE"""),"Hand")</f>
        <v>Hand</v>
      </c>
      <c r="E154" s="16">
        <f>IFERROR(__xludf.DUMMYFUNCTION("""COMPUTED_VALUE"""),200.0)</f>
        <v>200</v>
      </c>
      <c r="F154" s="16" t="str">
        <f>IFERROR(__xludf.DUMMYFUNCTION("""COMPUTED_VALUE"""),"DMG: +100000, Celestial DMG: +100000 ++ +5 can be added to your d20 rolls. X12 additional Celestial damage. +-Cannot be duplicated")</f>
        <v>DMG: +100000, Celestial DMG: +100000 ++ +5 can be added to your d20 rolls. X12 additional Celestial damage. +-Cannot be duplicated</v>
      </c>
      <c r="G154" s="16">
        <f>IFERROR(__xludf.DUMMYFUNCTION("""COMPUTED_VALUE"""),7.98E8)</f>
        <v>798000000</v>
      </c>
      <c r="H154" s="16"/>
      <c r="I154" s="16"/>
      <c r="J154" s="16"/>
      <c r="K154" s="16"/>
      <c r="L154" s="16"/>
      <c r="M154" s="16"/>
      <c r="N154" s="16"/>
      <c r="O154" s="16"/>
      <c r="P154" s="16"/>
      <c r="Q154" s="16"/>
      <c r="R154" s="16"/>
      <c r="S154" s="16"/>
      <c r="T154" s="16"/>
      <c r="U154" s="16"/>
      <c r="V154" s="16"/>
      <c r="W154" s="16"/>
      <c r="X154" s="16"/>
      <c r="Y154" s="16"/>
      <c r="Z154" s="16"/>
    </row>
    <row r="155">
      <c r="A155" s="16" t="str">
        <f>IFERROR(__xludf.DUMMYFUNCTION("""COMPUTED_VALUE"""),"Knife")</f>
        <v>Knife</v>
      </c>
      <c r="B155" s="16"/>
      <c r="C155" s="16" t="str">
        <f>IFERROR(__xludf.DUMMYFUNCTION("""COMPUTED_VALUE"""),"Knife")</f>
        <v>Knife</v>
      </c>
      <c r="D155" s="16" t="str">
        <f>IFERROR(__xludf.DUMMYFUNCTION("""COMPUTED_VALUE"""),"Hand")</f>
        <v>Hand</v>
      </c>
      <c r="E155" s="16">
        <f>IFERROR(__xludf.DUMMYFUNCTION("""COMPUTED_VALUE"""),20.0)</f>
        <v>20</v>
      </c>
      <c r="F155" s="16" t="str">
        <f>IFERROR(__xludf.DUMMYFUNCTION("""COMPUTED_VALUE"""),"DMG: +1000")</f>
        <v>DMG: +1000</v>
      </c>
      <c r="G155" s="16">
        <f>IFERROR(__xludf.DUMMYFUNCTION("""COMPUTED_VALUE"""),10000.0)</f>
        <v>10000</v>
      </c>
      <c r="H155" s="16"/>
      <c r="I155" s="16"/>
      <c r="J155" s="16"/>
      <c r="K155" s="16"/>
      <c r="L155" s="16"/>
      <c r="M155" s="16"/>
      <c r="N155" s="16"/>
      <c r="O155" s="16"/>
      <c r="P155" s="16"/>
      <c r="Q155" s="16"/>
      <c r="R155" s="16"/>
      <c r="S155" s="16"/>
      <c r="T155" s="16"/>
      <c r="U155" s="16"/>
      <c r="V155" s="16"/>
      <c r="W155" s="16"/>
      <c r="X155" s="16"/>
      <c r="Y155" s="16"/>
      <c r="Z155" s="16"/>
    </row>
    <row r="156">
      <c r="A156" s="16" t="str">
        <f>IFERROR(__xludf.DUMMYFUNCTION("""COMPUTED_VALUE"""),"Knife of Jinx")</f>
        <v>Knife of Jinx</v>
      </c>
      <c r="B156" s="16"/>
      <c r="C156" s="16" t="str">
        <f>IFERROR(__xludf.DUMMYFUNCTION("""COMPUTED_VALUE"""),"Knife")</f>
        <v>Knife</v>
      </c>
      <c r="D156" s="16" t="str">
        <f>IFERROR(__xludf.DUMMYFUNCTION("""COMPUTED_VALUE"""),"Hand")</f>
        <v>Hand</v>
      </c>
      <c r="E156" s="16">
        <f>IFERROR(__xludf.DUMMYFUNCTION("""COMPUTED_VALUE"""),1.0)</f>
        <v>1</v>
      </c>
      <c r="F156" s="16" t="str">
        <f>IFERROR(__xludf.DUMMYFUNCTION("""COMPUTED_VALUE"""),"DMG: +10 ++ If this weapon is used against a character owned by James, This will instantly kill that character even if they are immune to instant death, otherwise this will deal 10 damage")</f>
        <v>DMG: +10 ++ If this weapon is used against a character owned by James, This will instantly kill that character even if they are immune to instant death, otherwise this will deal 10 damage</v>
      </c>
      <c r="G156" s="16">
        <f>IFERROR(__xludf.DUMMYFUNCTION("""COMPUTED_VALUE"""),0.0)</f>
        <v>0</v>
      </c>
      <c r="H156" s="16"/>
      <c r="I156" s="16"/>
      <c r="J156" s="16"/>
      <c r="K156" s="16"/>
      <c r="L156" s="16"/>
      <c r="M156" s="16"/>
      <c r="N156" s="16"/>
      <c r="O156" s="16"/>
      <c r="P156" s="16"/>
      <c r="Q156" s="16"/>
      <c r="R156" s="16"/>
      <c r="S156" s="16"/>
      <c r="T156" s="16"/>
      <c r="U156" s="16"/>
      <c r="V156" s="16"/>
      <c r="W156" s="16"/>
      <c r="X156" s="16"/>
      <c r="Y156" s="16"/>
      <c r="Z156" s="16"/>
    </row>
    <row r="157">
      <c r="A157" s="16" t="str">
        <f>IFERROR(__xludf.DUMMYFUNCTION("""COMPUTED_VALUE"""),"kraken's power ring")</f>
        <v>kraken's power ring</v>
      </c>
      <c r="B157" s="16"/>
      <c r="C157" s="16"/>
      <c r="D157" s="16" t="str">
        <f>IFERROR(__xludf.DUMMYFUNCTION("""COMPUTED_VALUE"""),"Ring")</f>
        <v>Ring</v>
      </c>
      <c r="E157" s="16">
        <f>IFERROR(__xludf.DUMMYFUNCTION("""COMPUTED_VALUE"""),1.0)</f>
        <v>1</v>
      </c>
      <c r="F157" s="16" t="str">
        <f>IFERROR(__xludf.DUMMYFUNCTION("""COMPUTED_VALUE""")," ++water based attacks double in damage. ++sp cost is halved for water spells only")</f>
        <v> ++water based attacks double in damage. ++sp cost is halved for water spells only</v>
      </c>
      <c r="G157" s="16">
        <f>IFERROR(__xludf.DUMMYFUNCTION("""COMPUTED_VALUE"""),0.0)</f>
        <v>0</v>
      </c>
      <c r="H157" s="16"/>
      <c r="I157" s="16"/>
      <c r="J157" s="16"/>
      <c r="K157" s="16"/>
      <c r="L157" s="16"/>
      <c r="M157" s="16"/>
      <c r="N157" s="16"/>
      <c r="O157" s="16"/>
      <c r="P157" s="16"/>
      <c r="Q157" s="16"/>
      <c r="R157" s="16"/>
      <c r="S157" s="16"/>
      <c r="T157" s="16"/>
      <c r="U157" s="16"/>
      <c r="V157" s="16"/>
      <c r="W157" s="16"/>
      <c r="X157" s="16"/>
      <c r="Y157" s="16"/>
      <c r="Z157" s="16"/>
    </row>
    <row r="158">
      <c r="A158" s="16" t="str">
        <f>IFERROR(__xludf.DUMMYFUNCTION("""COMPUTED_VALUE"""),"Krakens Power Ring")</f>
        <v>Krakens Power Ring</v>
      </c>
      <c r="B158" s="16"/>
      <c r="C158" s="16"/>
      <c r="D158" s="16" t="str">
        <f>IFERROR(__xludf.DUMMYFUNCTION("""COMPUTED_VALUE"""),"Ring")</f>
        <v>Ring</v>
      </c>
      <c r="E158" s="16">
        <f>IFERROR(__xludf.DUMMYFUNCTION("""COMPUTED_VALUE"""),1.0)</f>
        <v>1</v>
      </c>
      <c r="F158" s="16" t="str">
        <f>IFERROR(__xludf.DUMMYFUNCTION("""COMPUTED_VALUE""")," ++water based attacks deal x2 damage, ++sp is halved for water spells only. +-(one use per battle)")</f>
        <v> ++water based attacks deal x2 damage, ++sp is halved for water spells only. +-(one use per battle)</v>
      </c>
      <c r="G158" s="16">
        <f>IFERROR(__xludf.DUMMYFUNCTION("""COMPUTED_VALUE"""),0.0)</f>
        <v>0</v>
      </c>
      <c r="H158" s="16"/>
      <c r="I158" s="16"/>
      <c r="J158" s="16"/>
      <c r="K158" s="16"/>
      <c r="L158" s="16"/>
      <c r="M158" s="16"/>
      <c r="N158" s="16"/>
      <c r="O158" s="16"/>
      <c r="P158" s="16"/>
      <c r="Q158" s="16"/>
      <c r="R158" s="16"/>
      <c r="S158" s="16"/>
      <c r="T158" s="16"/>
      <c r="U158" s="16"/>
      <c r="V158" s="16"/>
      <c r="W158" s="16"/>
      <c r="X158" s="16"/>
      <c r="Y158" s="16"/>
      <c r="Z158" s="16"/>
    </row>
    <row r="159">
      <c r="A159" s="16" t="str">
        <f>IFERROR(__xludf.DUMMYFUNCTION("""COMPUTED_VALUE"""),"Lava Longsword")</f>
        <v>Lava Longsword</v>
      </c>
      <c r="B159" s="16"/>
      <c r="C159" s="16" t="str">
        <f>IFERROR(__xludf.DUMMYFUNCTION("""COMPUTED_VALUE"""),"Sword")</f>
        <v>Sword</v>
      </c>
      <c r="D159" s="16" t="str">
        <f>IFERROR(__xludf.DUMMYFUNCTION("""COMPUTED_VALUE"""),"Hand")</f>
        <v>Hand</v>
      </c>
      <c r="E159" s="16">
        <f>IFERROR(__xludf.DUMMYFUNCTION("""COMPUTED_VALUE"""),800.0)</f>
        <v>800</v>
      </c>
      <c r="F159" s="16" t="str">
        <f>IFERROR(__xludf.DUMMYFUNCTION("""COMPUTED_VALUE"""),"DMG: +20000, Fire DMG: +20000 ++Burn 10,000 for 3 rounds.")</f>
        <v>DMG: +20000, Fire DMG: +20000 ++Burn 10,000 for 3 rounds.</v>
      </c>
      <c r="G159" s="16">
        <f>IFERROR(__xludf.DUMMYFUNCTION("""COMPUTED_VALUE"""),3.16E7)</f>
        <v>31600000</v>
      </c>
      <c r="H159" s="16"/>
      <c r="I159" s="16"/>
      <c r="J159" s="16"/>
      <c r="K159" s="16"/>
      <c r="L159" s="16"/>
      <c r="M159" s="16"/>
      <c r="N159" s="16"/>
      <c r="O159" s="16"/>
      <c r="P159" s="16"/>
      <c r="Q159" s="16"/>
      <c r="R159" s="16"/>
      <c r="S159" s="16"/>
      <c r="T159" s="16"/>
      <c r="U159" s="16"/>
      <c r="V159" s="16"/>
      <c r="W159" s="16"/>
      <c r="X159" s="16"/>
      <c r="Y159" s="16"/>
      <c r="Z159" s="16"/>
    </row>
    <row r="160">
      <c r="A160" s="16" t="str">
        <f>IFERROR(__xludf.DUMMYFUNCTION("""COMPUTED_VALUE"""),"Lazer Infused Sword")</f>
        <v>Lazer Infused Sword</v>
      </c>
      <c r="B160" s="16"/>
      <c r="C160" s="16" t="str">
        <f>IFERROR(__xludf.DUMMYFUNCTION("""COMPUTED_VALUE"""),"Sword")</f>
        <v>Sword</v>
      </c>
      <c r="D160" s="16" t="str">
        <f>IFERROR(__xludf.DUMMYFUNCTION("""COMPUTED_VALUE"""),"Hand")</f>
        <v>Hand</v>
      </c>
      <c r="E160" s="16">
        <f>IFERROR(__xludf.DUMMYFUNCTION("""COMPUTED_VALUE"""),600.0)</f>
        <v>600</v>
      </c>
      <c r="F160" s="16" t="str">
        <f>IFERROR(__xludf.DUMMYFUNCTION("""COMPUTED_VALUE"""),"DMG: +10000, Fire DMG: +10000, Blood DMG: +10000 ++Ignores Defense. +-Cannot be duplicated.")</f>
        <v>DMG: +10000, Fire DMG: +10000, Blood DMG: +10000 ++Ignores Defense. +-Cannot be duplicated.</v>
      </c>
      <c r="G160" s="16">
        <f>IFERROR(__xludf.DUMMYFUNCTION("""COMPUTED_VALUE"""),1.77E7)</f>
        <v>17700000</v>
      </c>
      <c r="H160" s="16"/>
      <c r="I160" s="16"/>
      <c r="J160" s="16"/>
      <c r="K160" s="16"/>
      <c r="L160" s="16"/>
      <c r="M160" s="16"/>
      <c r="N160" s="16"/>
      <c r="O160" s="16"/>
      <c r="P160" s="16"/>
      <c r="Q160" s="16"/>
      <c r="R160" s="16"/>
      <c r="S160" s="16"/>
      <c r="T160" s="16"/>
      <c r="U160" s="16"/>
      <c r="V160" s="16"/>
      <c r="W160" s="16"/>
      <c r="X160" s="16"/>
      <c r="Y160" s="16"/>
      <c r="Z160" s="16"/>
    </row>
    <row r="161">
      <c r="A161" s="16" t="str">
        <f>IFERROR(__xludf.DUMMYFUNCTION("""COMPUTED_VALUE"""),"Legendary Sword of Heatmore")</f>
        <v>Legendary Sword of Heatmore</v>
      </c>
      <c r="B161" s="16"/>
      <c r="C161" s="16" t="str">
        <f>IFERROR(__xludf.DUMMYFUNCTION("""COMPUTED_VALUE"""),"Sword")</f>
        <v>Sword</v>
      </c>
      <c r="D161" s="16" t="str">
        <f>IFERROR(__xludf.DUMMYFUNCTION("""COMPUTED_VALUE"""),"Hand")</f>
        <v>Hand</v>
      </c>
      <c r="E161" s="16">
        <f>IFERROR(__xludf.DUMMYFUNCTION("""COMPUTED_VALUE"""),200.0)</f>
        <v>200</v>
      </c>
      <c r="F161" s="16" t="str">
        <f>IFERROR(__xludf.DUMMYFUNCTION("""COMPUTED_VALUE"""),"DMG: +20000, Fire DMG: +20000, Water DMG: +20000, Celestial DMG: +20000 ++75% chance of instant death. ++X6 additional Fire damage. ++Burn 10,000. +-Cannot be duplicated")</f>
        <v>DMG: +20000, Fire DMG: +20000, Water DMG: +20000, Celestial DMG: +20000 ++75% chance of instant death. ++X6 additional Fire damage. ++Burn 10,000. +-Cannot be duplicated</v>
      </c>
      <c r="G161" s="16">
        <f>IFERROR(__xludf.DUMMYFUNCTION("""COMPUTED_VALUE"""),1.272E8)</f>
        <v>127200000</v>
      </c>
      <c r="H161" s="16"/>
      <c r="I161" s="16"/>
      <c r="J161" s="16"/>
      <c r="K161" s="16"/>
      <c r="L161" s="16"/>
      <c r="M161" s="16"/>
      <c r="N161" s="16"/>
      <c r="O161" s="16"/>
      <c r="P161" s="16"/>
      <c r="Q161" s="16"/>
      <c r="R161" s="16"/>
      <c r="S161" s="16"/>
      <c r="T161" s="16"/>
      <c r="U161" s="16"/>
      <c r="V161" s="16"/>
      <c r="W161" s="16"/>
      <c r="X161" s="16"/>
      <c r="Y161" s="16"/>
      <c r="Z161" s="16"/>
    </row>
    <row r="162">
      <c r="A162" s="16" t="str">
        <f>IFERROR(__xludf.DUMMYFUNCTION("""COMPUTED_VALUE"""),"Legendary Tree Sword")</f>
        <v>Legendary Tree Sword</v>
      </c>
      <c r="B162" s="16"/>
      <c r="C162" s="16" t="str">
        <f>IFERROR(__xludf.DUMMYFUNCTION("""COMPUTED_VALUE"""),"Sword")</f>
        <v>Sword</v>
      </c>
      <c r="D162" s="16" t="str">
        <f>IFERROR(__xludf.DUMMYFUNCTION("""COMPUTED_VALUE"""),"Hand")</f>
        <v>Hand</v>
      </c>
      <c r="E162" s="16">
        <f>IFERROR(__xludf.DUMMYFUNCTION("""COMPUTED_VALUE"""),200.0)</f>
        <v>200</v>
      </c>
      <c r="F162" s="16" t="str">
        <f>IFERROR(__xludf.DUMMYFUNCTION("""COMPUTED_VALUE"""),"DMG: +50000, Nature DMG: +50000, Celestial DMG: +50000 ++X6 Additional Nature damage. ++20% chance of Incorporeal 2. +-Cannot be duplicated.")</f>
        <v>DMG: +50000, Nature DMG: +50000, Celestial DMG: +50000 ++X6 Additional Nature damage. ++20% chance of Incorporeal 2. +-Cannot be duplicated.</v>
      </c>
      <c r="G162" s="16">
        <f>IFERROR(__xludf.DUMMYFUNCTION("""COMPUTED_VALUE"""),4.485E8)</f>
        <v>448500000</v>
      </c>
      <c r="H162" s="16"/>
      <c r="I162" s="16"/>
      <c r="J162" s="16"/>
      <c r="K162" s="16"/>
      <c r="L162" s="16"/>
      <c r="M162" s="16"/>
      <c r="N162" s="16"/>
      <c r="O162" s="16"/>
      <c r="P162" s="16"/>
      <c r="Q162" s="16"/>
      <c r="R162" s="16"/>
      <c r="S162" s="16"/>
      <c r="T162" s="16"/>
      <c r="U162" s="16"/>
      <c r="V162" s="16"/>
      <c r="W162" s="16"/>
      <c r="X162" s="16"/>
      <c r="Y162" s="16"/>
      <c r="Z162" s="16"/>
    </row>
    <row r="163">
      <c r="A163" s="16" t="str">
        <f>IFERROR(__xludf.DUMMYFUNCTION("""COMPUTED_VALUE"""),"Leggings Of Tritonoch")</f>
        <v>Leggings Of Tritonoch</v>
      </c>
      <c r="B163" s="16"/>
      <c r="C163" s="16"/>
      <c r="D163" s="16" t="str">
        <f>IFERROR(__xludf.DUMMYFUNCTION("""COMPUTED_VALUE"""),"Legs")</f>
        <v>Legs</v>
      </c>
      <c r="E163" s="16">
        <f>IFERROR(__xludf.DUMMYFUNCTION("""COMPUTED_VALUE"""),400.0)</f>
        <v>400</v>
      </c>
      <c r="F163" s="16" t="str">
        <f>IFERROR(__xludf.DUMMYFUNCTION("""COMPUTED_VALUE"""),"DEF: +20000 ++Waves of Entitlement - x5 additional Water damage")</f>
        <v>DEF: +20000 ++Waves of Entitlement - x5 additional Water damage</v>
      </c>
      <c r="G163" s="16">
        <f>IFERROR(__xludf.DUMMYFUNCTION("""COMPUTED_VALUE"""),7800000.0)</f>
        <v>7800000</v>
      </c>
      <c r="H163" s="16"/>
      <c r="I163" s="16"/>
      <c r="J163" s="16"/>
      <c r="K163" s="16"/>
      <c r="L163" s="16"/>
      <c r="M163" s="16"/>
      <c r="N163" s="16"/>
      <c r="O163" s="16"/>
      <c r="P163" s="16"/>
      <c r="Q163" s="16"/>
      <c r="R163" s="16"/>
      <c r="S163" s="16"/>
      <c r="T163" s="16"/>
      <c r="U163" s="16"/>
      <c r="V163" s="16"/>
      <c r="W163" s="16"/>
      <c r="X163" s="16"/>
      <c r="Y163" s="16"/>
      <c r="Z163" s="16"/>
    </row>
    <row r="164">
      <c r="A164" s="16" t="str">
        <f>IFERROR(__xludf.DUMMYFUNCTION("""COMPUTED_VALUE"""),"Lightning Lance")</f>
        <v>Lightning Lance</v>
      </c>
      <c r="B164" s="16"/>
      <c r="C164" s="16" t="str">
        <f>IFERROR(__xludf.DUMMYFUNCTION("""COMPUTED_VALUE"""),"Spear")</f>
        <v>Spear</v>
      </c>
      <c r="D164" s="16" t="str">
        <f>IFERROR(__xludf.DUMMYFUNCTION("""COMPUTED_VALUE"""),"Hand")</f>
        <v>Hand</v>
      </c>
      <c r="E164" s="16">
        <f>IFERROR(__xludf.DUMMYFUNCTION("""COMPUTED_VALUE"""),500.0)</f>
        <v>500</v>
      </c>
      <c r="F164" s="16" t="str">
        <f>IFERROR(__xludf.DUMMYFUNCTION("""COMPUTED_VALUE"""),"DMG: +10000, Storm DMG: +15000 ++Stun 2")</f>
        <v>DMG: +10000, Storm DMG: +15000 ++Stun 2</v>
      </c>
      <c r="G164" s="16">
        <f>IFERROR(__xludf.DUMMYFUNCTION("""COMPUTED_VALUE"""),1.225E7)</f>
        <v>12250000</v>
      </c>
      <c r="H164" s="16"/>
      <c r="I164" s="16"/>
      <c r="J164" s="16"/>
      <c r="K164" s="16"/>
      <c r="L164" s="16"/>
      <c r="M164" s="16"/>
      <c r="N164" s="16"/>
      <c r="O164" s="16"/>
      <c r="P164" s="16"/>
      <c r="Q164" s="16"/>
      <c r="R164" s="16"/>
      <c r="S164" s="16"/>
      <c r="T164" s="16"/>
      <c r="U164" s="16"/>
      <c r="V164" s="16"/>
      <c r="W164" s="16"/>
      <c r="X164" s="16"/>
      <c r="Y164" s="16"/>
      <c r="Z164" s="16"/>
    </row>
    <row r="165">
      <c r="A165" s="16" t="str">
        <f>IFERROR(__xludf.DUMMYFUNCTION("""COMPUTED_VALUE"""),"Long Spear")</f>
        <v>Long Spear</v>
      </c>
      <c r="B165" s="16"/>
      <c r="C165" s="16" t="str">
        <f>IFERROR(__xludf.DUMMYFUNCTION("""COMPUTED_VALUE"""),"Spear")</f>
        <v>Spear</v>
      </c>
      <c r="D165" s="16" t="str">
        <f>IFERROR(__xludf.DUMMYFUNCTION("""COMPUTED_VALUE"""),"Hand")</f>
        <v>Hand</v>
      </c>
      <c r="E165" s="16">
        <f>IFERROR(__xludf.DUMMYFUNCTION("""COMPUTED_VALUE"""),10.0)</f>
        <v>10</v>
      </c>
      <c r="F165" s="16" t="str">
        <f>IFERROR(__xludf.DUMMYFUNCTION("""COMPUTED_VALUE"""),"DMG: +500 ++25% chance of instant death. ")</f>
        <v>DMG: +500 ++25% chance of instant death. </v>
      </c>
      <c r="G165" s="16">
        <f>IFERROR(__xludf.DUMMYFUNCTION("""COMPUTED_VALUE"""),1000.0)</f>
        <v>1000</v>
      </c>
      <c r="H165" s="16"/>
      <c r="I165" s="16"/>
      <c r="J165" s="16"/>
      <c r="K165" s="16"/>
      <c r="L165" s="16"/>
      <c r="M165" s="16"/>
      <c r="N165" s="16"/>
      <c r="O165" s="16"/>
      <c r="P165" s="16"/>
      <c r="Q165" s="16"/>
      <c r="R165" s="16"/>
      <c r="S165" s="16"/>
      <c r="T165" s="16"/>
      <c r="U165" s="16"/>
      <c r="V165" s="16"/>
      <c r="W165" s="16"/>
      <c r="X165" s="16"/>
      <c r="Y165" s="16"/>
      <c r="Z165" s="16"/>
    </row>
    <row r="166">
      <c r="A166" s="16" t="str">
        <f>IFERROR(__xludf.DUMMYFUNCTION("""COMPUTED_VALUE"""),"Lord Dreadfuls Sword")</f>
        <v>Lord Dreadfuls Sword</v>
      </c>
      <c r="B166" s="16"/>
      <c r="C166" s="16" t="str">
        <f>IFERROR(__xludf.DUMMYFUNCTION("""COMPUTED_VALUE"""),"Sword")</f>
        <v>Sword</v>
      </c>
      <c r="D166" s="16" t="str">
        <f>IFERROR(__xludf.DUMMYFUNCTION("""COMPUTED_VALUE"""),"Hand")</f>
        <v>Hand</v>
      </c>
      <c r="E166" s="16">
        <f>IFERROR(__xludf.DUMMYFUNCTION("""COMPUTED_VALUE"""),800.0)</f>
        <v>800</v>
      </c>
      <c r="F166" s="16" t="str">
        <f>IFERROR(__xludf.DUMMYFUNCTION("""COMPUTED_VALUE"""),"DMG: +20000, Dark DMG: +10000, Chaos DMG: +10000")</f>
        <v>DMG: +20000, Dark DMG: +10000, Chaos DMG: +10000</v>
      </c>
      <c r="G166" s="16">
        <f>IFERROR(__xludf.DUMMYFUNCTION("""COMPUTED_VALUE"""),3.16E7)</f>
        <v>31600000</v>
      </c>
      <c r="H166" s="16"/>
      <c r="I166" s="16"/>
      <c r="J166" s="16"/>
      <c r="K166" s="16"/>
      <c r="L166" s="16"/>
      <c r="M166" s="16"/>
      <c r="N166" s="16"/>
      <c r="O166" s="16"/>
      <c r="P166" s="16"/>
      <c r="Q166" s="16"/>
      <c r="R166" s="16"/>
      <c r="S166" s="16"/>
      <c r="T166" s="16"/>
      <c r="U166" s="16"/>
      <c r="V166" s="16"/>
      <c r="W166" s="16"/>
      <c r="X166" s="16"/>
      <c r="Y166" s="16"/>
      <c r="Z166" s="16"/>
    </row>
    <row r="167">
      <c r="A167" s="16" t="str">
        <f>IFERROR(__xludf.DUMMYFUNCTION("""COMPUTED_VALUE"""),"Magma Morningstar")</f>
        <v>Magma Morningstar</v>
      </c>
      <c r="B167" s="16"/>
      <c r="C167" s="16" t="str">
        <f>IFERROR(__xludf.DUMMYFUNCTION("""COMPUTED_VALUE"""),"Club")</f>
        <v>Club</v>
      </c>
      <c r="D167" s="16" t="str">
        <f>IFERROR(__xludf.DUMMYFUNCTION("""COMPUTED_VALUE"""),"Hand")</f>
        <v>Hand</v>
      </c>
      <c r="E167" s="16">
        <f>IFERROR(__xludf.DUMMYFUNCTION("""COMPUTED_VALUE"""),20.0)</f>
        <v>20</v>
      </c>
      <c r="F167" s="16" t="str">
        <f>IFERROR(__xludf.DUMMYFUNCTION("""COMPUTED_VALUE"""),"DMG: +500, Fire DMG: +400 ++Will return to you each round when thrown")</f>
        <v>DMG: +500, Fire DMG: +400 ++Will return to you each round when thrown</v>
      </c>
      <c r="G167" s="16">
        <f>IFERROR(__xludf.DUMMYFUNCTION("""COMPUTED_VALUE"""),1000.0)</f>
        <v>1000</v>
      </c>
      <c r="H167" s="16"/>
      <c r="I167" s="16"/>
      <c r="J167" s="16"/>
      <c r="K167" s="16"/>
      <c r="L167" s="16"/>
      <c r="M167" s="16"/>
      <c r="N167" s="16"/>
      <c r="O167" s="16"/>
      <c r="P167" s="16"/>
      <c r="Q167" s="16"/>
      <c r="R167" s="16"/>
      <c r="S167" s="16"/>
      <c r="T167" s="16"/>
      <c r="U167" s="16"/>
      <c r="V167" s="16"/>
      <c r="W167" s="16"/>
      <c r="X167" s="16"/>
      <c r="Y167" s="16"/>
      <c r="Z167" s="16"/>
    </row>
    <row r="168">
      <c r="A168" s="16" t="str">
        <f>IFERROR(__xludf.DUMMYFUNCTION("""COMPUTED_VALUE"""),"Magma Sword")</f>
        <v>Magma Sword</v>
      </c>
      <c r="B168" s="16" t="str">
        <f>IFERROR(__xludf.DUMMYFUNCTION("""COMPUTED_VALUE"""),"A sword that turned Forest View into Ash View.")</f>
        <v>A sword that turned Forest View into Ash View.</v>
      </c>
      <c r="C168" s="16" t="str">
        <f>IFERROR(__xludf.DUMMYFUNCTION("""COMPUTED_VALUE"""),"Sword")</f>
        <v>Sword</v>
      </c>
      <c r="D168" s="16" t="str">
        <f>IFERROR(__xludf.DUMMYFUNCTION("""COMPUTED_VALUE"""),"Hand")</f>
        <v>Hand</v>
      </c>
      <c r="E168" s="16">
        <f>IFERROR(__xludf.DUMMYFUNCTION("""COMPUTED_VALUE"""),200.0)</f>
        <v>200</v>
      </c>
      <c r="F168" s="16" t="str">
        <f>IFERROR(__xludf.DUMMYFUNCTION("""COMPUTED_VALUE"""),"DMG: +50000, Fire DMG: +50000, Celestial DMG: +50000 ++X6 additional Fire damage. ++Burn 20,000 for 3 rounds. +-Cannot be duplicated")</f>
        <v>DMG: +50000, Fire DMG: +50000, Celestial DMG: +50000 ++X6 additional Fire damage. ++Burn 20,000 for 3 rounds. +-Cannot be duplicated</v>
      </c>
      <c r="G168" s="16">
        <f>IFERROR(__xludf.DUMMYFUNCTION("""COMPUTED_VALUE"""),4.485E8)</f>
        <v>448500000</v>
      </c>
      <c r="H168" s="16"/>
      <c r="I168" s="16"/>
      <c r="J168" s="16"/>
      <c r="K168" s="16"/>
      <c r="L168" s="16"/>
      <c r="M168" s="16"/>
      <c r="N168" s="16"/>
      <c r="O168" s="16"/>
      <c r="P168" s="16"/>
      <c r="Q168" s="16"/>
      <c r="R168" s="16"/>
      <c r="S168" s="16"/>
      <c r="T168" s="16"/>
      <c r="U168" s="16"/>
      <c r="V168" s="16"/>
      <c r="W168" s="16"/>
      <c r="X168" s="16"/>
      <c r="Y168" s="16"/>
      <c r="Z168" s="16"/>
    </row>
    <row r="169">
      <c r="A169" s="16" t="str">
        <f>IFERROR(__xludf.DUMMYFUNCTION("""COMPUTED_VALUE"""),"Masking Cloak")</f>
        <v>Masking Cloak</v>
      </c>
      <c r="B169" s="16"/>
      <c r="C169" s="16"/>
      <c r="D169" s="16" t="str">
        <f>IFERROR(__xludf.DUMMYFUNCTION("""COMPUTED_VALUE"""),"Torso")</f>
        <v>Torso</v>
      </c>
      <c r="E169" s="16">
        <f>IFERROR(__xludf.DUMMYFUNCTION("""COMPUTED_VALUE"""),1.0)</f>
        <v>1</v>
      </c>
      <c r="F169" s="16" t="str">
        <f>IFERROR(__xludf.DUMMYFUNCTION("""COMPUTED_VALUE""")," ++5 Evasion +-(Cannot be duplicated)")</f>
        <v> ++5 Evasion +-(Cannot be duplicated)</v>
      </c>
      <c r="G169" s="16">
        <f>IFERROR(__xludf.DUMMYFUNCTION("""COMPUTED_VALUE"""),0.0)</f>
        <v>0</v>
      </c>
      <c r="H169" s="16"/>
      <c r="I169" s="16"/>
      <c r="J169" s="16"/>
      <c r="K169" s="16"/>
      <c r="L169" s="16"/>
      <c r="M169" s="16"/>
      <c r="N169" s="16"/>
      <c r="O169" s="16"/>
      <c r="P169" s="16"/>
      <c r="Q169" s="16"/>
      <c r="R169" s="16"/>
      <c r="S169" s="16"/>
      <c r="T169" s="16"/>
      <c r="U169" s="16"/>
      <c r="V169" s="16"/>
      <c r="W169" s="16"/>
      <c r="X169" s="16"/>
      <c r="Y169" s="16"/>
      <c r="Z169" s="16"/>
    </row>
    <row r="170">
      <c r="A170" s="16" t="str">
        <f>IFERROR(__xludf.DUMMYFUNCTION("""COMPUTED_VALUE"""),"Mini Lucky Fish in a Bottle")</f>
        <v>Mini Lucky Fish in a Bottle</v>
      </c>
      <c r="B170" s="16"/>
      <c r="C170" s="16" t="str">
        <f>IFERROR(__xludf.DUMMYFUNCTION("""COMPUTED_VALUE"""),"Wand")</f>
        <v>Wand</v>
      </c>
      <c r="D170" s="16" t="str">
        <f>IFERROR(__xludf.DUMMYFUNCTION("""COMPUTED_VALUE"""),"Hand")</f>
        <v>Hand</v>
      </c>
      <c r="E170" s="16">
        <f>IFERROR(__xludf.DUMMYFUNCTION("""COMPUTED_VALUE"""),1.0)</f>
        <v>1</v>
      </c>
      <c r="F170" s="16" t="str">
        <f>IFERROR(__xludf.DUMMYFUNCTION("""COMPUTED_VALUE""")," ++Percentage rolls are now increased by 10% for caster that holds this item. +-Can only equip one")</f>
        <v> ++Percentage rolls are now increased by 10% for caster that holds this item. +-Can only equip one</v>
      </c>
      <c r="G170" s="16">
        <f>IFERROR(__xludf.DUMMYFUNCTION("""COMPUTED_VALUE"""),0.0)</f>
        <v>0</v>
      </c>
      <c r="H170" s="16"/>
      <c r="I170" s="16"/>
      <c r="J170" s="16"/>
      <c r="K170" s="16"/>
      <c r="L170" s="16"/>
      <c r="M170" s="16"/>
      <c r="N170" s="16"/>
      <c r="O170" s="16"/>
      <c r="P170" s="16"/>
      <c r="Q170" s="16"/>
      <c r="R170" s="16"/>
      <c r="S170" s="16"/>
      <c r="T170" s="16"/>
      <c r="U170" s="16"/>
      <c r="V170" s="16"/>
      <c r="W170" s="16"/>
      <c r="X170" s="16"/>
      <c r="Y170" s="16"/>
      <c r="Z170" s="16"/>
    </row>
    <row r="171">
      <c r="A171" s="16" t="str">
        <f>IFERROR(__xludf.DUMMYFUNCTION("""COMPUTED_VALUE"""),"Nature Faery Wand")</f>
        <v>Nature Faery Wand</v>
      </c>
      <c r="B171" s="16"/>
      <c r="C171" s="16" t="str">
        <f>IFERROR(__xludf.DUMMYFUNCTION("""COMPUTED_VALUE"""),"Wand")</f>
        <v>Wand</v>
      </c>
      <c r="D171" s="16" t="str">
        <f>IFERROR(__xludf.DUMMYFUNCTION("""COMPUTED_VALUE"""),"Hand")</f>
        <v>Hand</v>
      </c>
      <c r="E171" s="16">
        <f>IFERROR(__xludf.DUMMYFUNCTION("""COMPUTED_VALUE"""),1.0)</f>
        <v>1</v>
      </c>
      <c r="F171" s="16" t="str">
        <f>IFERROR(__xludf.DUMMYFUNCTION("""COMPUTED_VALUE""")," ++half the sp cost of nature spells")</f>
        <v> ++half the sp cost of nature spells</v>
      </c>
      <c r="G171" s="16">
        <f>IFERROR(__xludf.DUMMYFUNCTION("""COMPUTED_VALUE"""),0.0)</f>
        <v>0</v>
      </c>
      <c r="H171" s="16"/>
      <c r="I171" s="16"/>
      <c r="J171" s="16"/>
      <c r="K171" s="16"/>
      <c r="L171" s="16"/>
      <c r="M171" s="16"/>
      <c r="N171" s="16"/>
      <c r="O171" s="16"/>
      <c r="P171" s="16"/>
      <c r="Q171" s="16"/>
      <c r="R171" s="16"/>
      <c r="S171" s="16"/>
      <c r="T171" s="16"/>
      <c r="U171" s="16"/>
      <c r="V171" s="16"/>
      <c r="W171" s="16"/>
      <c r="X171" s="16"/>
      <c r="Y171" s="16"/>
      <c r="Z171" s="16"/>
    </row>
    <row r="172">
      <c r="A172" s="16" t="str">
        <f>IFERROR(__xludf.DUMMYFUNCTION("""COMPUTED_VALUE"""),"Nature's Sword")</f>
        <v>Nature's Sword</v>
      </c>
      <c r="B172" s="16"/>
      <c r="C172" s="16" t="str">
        <f>IFERROR(__xludf.DUMMYFUNCTION("""COMPUTED_VALUE"""),"Sword")</f>
        <v>Sword</v>
      </c>
      <c r="D172" s="16" t="str">
        <f>IFERROR(__xludf.DUMMYFUNCTION("""COMPUTED_VALUE"""),"Hand")</f>
        <v>Hand</v>
      </c>
      <c r="E172" s="16">
        <f>IFERROR(__xludf.DUMMYFUNCTION("""COMPUTED_VALUE"""),40.0)</f>
        <v>40</v>
      </c>
      <c r="F172" s="16" t="str">
        <f>IFERROR(__xludf.DUMMYFUNCTION("""COMPUTED_VALUE"""),"DMG: +800, Nature DMG: +800 ++Upon a successful hit, the next turn you will automatically use the spell Tree Stance.")</f>
        <v>DMG: +800, Nature DMG: +800 ++Upon a successful hit, the next turn you will automatically use the spell Tree Stance.</v>
      </c>
      <c r="G172" s="16">
        <f>IFERROR(__xludf.DUMMYFUNCTION("""COMPUTED_VALUE"""),30000.0)</f>
        <v>30000</v>
      </c>
      <c r="H172" s="16"/>
      <c r="I172" s="16"/>
      <c r="J172" s="16"/>
      <c r="K172" s="16"/>
      <c r="L172" s="16"/>
      <c r="M172" s="16"/>
      <c r="N172" s="16"/>
      <c r="O172" s="16"/>
      <c r="P172" s="16"/>
      <c r="Q172" s="16"/>
      <c r="R172" s="16"/>
      <c r="S172" s="16"/>
      <c r="T172" s="16"/>
      <c r="U172" s="16"/>
      <c r="V172" s="16"/>
      <c r="W172" s="16"/>
      <c r="X172" s="16"/>
      <c r="Y172" s="16"/>
      <c r="Z172" s="16"/>
    </row>
    <row r="173">
      <c r="A173" s="16" t="str">
        <f>IFERROR(__xludf.DUMMYFUNCTION("""COMPUTED_VALUE"""),"Necklace o' Lending")</f>
        <v>Necklace o' Lending</v>
      </c>
      <c r="B173" s="16"/>
      <c r="C173" s="16"/>
      <c r="D173" s="16" t="str">
        <f>IFERROR(__xludf.DUMMYFUNCTION("""COMPUTED_VALUE"""),"Neck")</f>
        <v>Neck</v>
      </c>
      <c r="E173" s="16">
        <f>IFERROR(__xludf.DUMMYFUNCTION("""COMPUTED_VALUE"""),1.0)</f>
        <v>1</v>
      </c>
      <c r="F173" s="16" t="str">
        <f>IFERROR(__xludf.DUMMYFUNCTION("""COMPUTED_VALUE""")," ++Decrease XHP and XSP from your character sheet and add that amount to another target.")</f>
        <v> ++Decrease XHP and XSP from your character sheet and add that amount to another target.</v>
      </c>
      <c r="G173" s="16">
        <f>IFERROR(__xludf.DUMMYFUNCTION("""COMPUTED_VALUE"""),0.0)</f>
        <v>0</v>
      </c>
      <c r="H173" s="16"/>
      <c r="I173" s="16"/>
      <c r="J173" s="16"/>
      <c r="K173" s="16"/>
      <c r="L173" s="16"/>
      <c r="M173" s="16"/>
      <c r="N173" s="16"/>
      <c r="O173" s="16"/>
      <c r="P173" s="16"/>
      <c r="Q173" s="16"/>
      <c r="R173" s="16"/>
      <c r="S173" s="16"/>
      <c r="T173" s="16"/>
      <c r="U173" s="16"/>
      <c r="V173" s="16"/>
      <c r="W173" s="16"/>
      <c r="X173" s="16"/>
      <c r="Y173" s="16"/>
      <c r="Z173" s="16"/>
    </row>
    <row r="174">
      <c r="A174" s="16" t="str">
        <f>IFERROR(__xludf.DUMMYFUNCTION("""COMPUTED_VALUE"""),"Necklace Of Ancient Mountains")</f>
        <v>Necklace Of Ancient Mountains</v>
      </c>
      <c r="B174" s="16"/>
      <c r="C174" s="16"/>
      <c r="D174" s="16" t="str">
        <f>IFERROR(__xludf.DUMMYFUNCTION("""COMPUTED_VALUE"""),"Neck")</f>
        <v>Neck</v>
      </c>
      <c r="E174" s="16">
        <f>IFERROR(__xludf.DUMMYFUNCTION("""COMPUTED_VALUE"""),1.0)</f>
        <v>1</v>
      </c>
      <c r="F174" s="16" t="str">
        <f>IFERROR(__xludf.DUMMYFUNCTION("""COMPUTED_VALUE""")," ++Forged items now deal double in damage for the wearer, ++Forging rolls cannot fail, +-Cannot be forged +-Cannot be duplicated")</f>
        <v> ++Forged items now deal double in damage for the wearer, ++Forging rolls cannot fail, +-Cannot be forged +-Cannot be duplicated</v>
      </c>
      <c r="G174" s="16">
        <f>IFERROR(__xludf.DUMMYFUNCTION("""COMPUTED_VALUE"""),0.0)</f>
        <v>0</v>
      </c>
      <c r="H174" s="16"/>
      <c r="I174" s="16"/>
      <c r="J174" s="16"/>
      <c r="K174" s="16"/>
      <c r="L174" s="16"/>
      <c r="M174" s="16"/>
      <c r="N174" s="16"/>
      <c r="O174" s="16"/>
      <c r="P174" s="16"/>
      <c r="Q174" s="16"/>
      <c r="R174" s="16"/>
      <c r="S174" s="16"/>
      <c r="T174" s="16"/>
      <c r="U174" s="16"/>
      <c r="V174" s="16"/>
      <c r="W174" s="16"/>
      <c r="X174" s="16"/>
      <c r="Y174" s="16"/>
      <c r="Z174" s="16"/>
    </row>
    <row r="175">
      <c r="A175" s="16" t="str">
        <f>IFERROR(__xludf.DUMMYFUNCTION("""COMPUTED_VALUE"""),"Necklace Of Heatmore")</f>
        <v>Necklace Of Heatmore</v>
      </c>
      <c r="B175" s="16"/>
      <c r="C175" s="16"/>
      <c r="D175" s="16" t="str">
        <f>IFERROR(__xludf.DUMMYFUNCTION("""COMPUTED_VALUE"""),"Neck")</f>
        <v>Neck</v>
      </c>
      <c r="E175" s="16">
        <f>IFERROR(__xludf.DUMMYFUNCTION("""COMPUTED_VALUE"""),1.0)</f>
        <v>1</v>
      </c>
      <c r="F175" s="16" t="str">
        <f>IFERROR(__xludf.DUMMYFUNCTION("""COMPUTED_VALUE""")," ++ +2 is added to your d20 roll.")</f>
        <v> ++ +2 is added to your d20 roll.</v>
      </c>
      <c r="G175" s="16">
        <f>IFERROR(__xludf.DUMMYFUNCTION("""COMPUTED_VALUE"""),0.0)</f>
        <v>0</v>
      </c>
      <c r="H175" s="16"/>
      <c r="I175" s="16"/>
      <c r="J175" s="16"/>
      <c r="K175" s="16"/>
      <c r="L175" s="16"/>
      <c r="M175" s="16"/>
      <c r="N175" s="16"/>
      <c r="O175" s="16"/>
      <c r="P175" s="16"/>
      <c r="Q175" s="16"/>
      <c r="R175" s="16"/>
      <c r="S175" s="16"/>
      <c r="T175" s="16"/>
      <c r="U175" s="16"/>
      <c r="V175" s="16"/>
      <c r="W175" s="16"/>
      <c r="X175" s="16"/>
      <c r="Y175" s="16"/>
      <c r="Z175" s="16"/>
    </row>
    <row r="176">
      <c r="A176" s="16" t="str">
        <f>IFERROR(__xludf.DUMMYFUNCTION("""COMPUTED_VALUE"""),"Necklace of Shards")</f>
        <v>Necklace of Shards</v>
      </c>
      <c r="B176" s="16"/>
      <c r="C176" s="16"/>
      <c r="D176" s="16" t="str">
        <f>IFERROR(__xludf.DUMMYFUNCTION("""COMPUTED_VALUE"""),"Neck")</f>
        <v>Neck</v>
      </c>
      <c r="E176" s="16">
        <f>IFERROR(__xludf.DUMMYFUNCTION("""COMPUTED_VALUE"""),1.0)</f>
        <v>1</v>
      </c>
      <c r="F176" s="16" t="str">
        <f>IFERROR(__xludf.DUMMYFUNCTION("""COMPUTED_VALUE""")," ++X6 Chaos and Dark Damage. +-Cannot be duplicated.")</f>
        <v> ++X6 Chaos and Dark Damage. +-Cannot be duplicated.</v>
      </c>
      <c r="G176" s="16">
        <f>IFERROR(__xludf.DUMMYFUNCTION("""COMPUTED_VALUE"""),0.0)</f>
        <v>0</v>
      </c>
      <c r="H176" s="16"/>
      <c r="I176" s="16"/>
      <c r="J176" s="16"/>
      <c r="K176" s="16"/>
      <c r="L176" s="16"/>
      <c r="M176" s="16"/>
      <c r="N176" s="16"/>
      <c r="O176" s="16"/>
      <c r="P176" s="16"/>
      <c r="Q176" s="16"/>
      <c r="R176" s="16"/>
      <c r="S176" s="16"/>
      <c r="T176" s="16"/>
      <c r="U176" s="16"/>
      <c r="V176" s="16"/>
      <c r="W176" s="16"/>
      <c r="X176" s="16"/>
      <c r="Y176" s="16"/>
      <c r="Z176" s="16"/>
    </row>
    <row r="177">
      <c r="A177" s="16" t="str">
        <f>IFERROR(__xludf.DUMMYFUNCTION("""COMPUTED_VALUE"""),"Necklace of The Lost Soul")</f>
        <v>Necklace of The Lost Soul</v>
      </c>
      <c r="B177" s="16"/>
      <c r="C177" s="16"/>
      <c r="D177" s="16" t="str">
        <f>IFERROR(__xludf.DUMMYFUNCTION("""COMPUTED_VALUE"""),"Neck")</f>
        <v>Neck</v>
      </c>
      <c r="E177" s="16">
        <f>IFERROR(__xludf.DUMMYFUNCTION("""COMPUTED_VALUE"""),1.0)</f>
        <v>1</v>
      </c>
      <c r="F177" s="16" t="str">
        <f>IFERROR(__xludf.DUMMYFUNCTION("""COMPUTED_VALUE"""),"DEF: +100 ++X2 Spirit Damage, ++Soul Enhanced II - Each soul you put into this item will increase its base defense by 100 up to 200,000.")</f>
        <v>DEF: +100 ++X2 Spirit Damage, ++Soul Enhanced II - Each soul you put into this item will increase its base defense by 100 up to 200,000.</v>
      </c>
      <c r="G177" s="16">
        <f>IFERROR(__xludf.DUMMYFUNCTION("""COMPUTED_VALUE"""),0.0)</f>
        <v>0</v>
      </c>
      <c r="H177" s="16"/>
      <c r="I177" s="16"/>
      <c r="J177" s="16"/>
      <c r="K177" s="16"/>
      <c r="L177" s="16"/>
      <c r="M177" s="16"/>
      <c r="N177" s="16"/>
      <c r="O177" s="16"/>
      <c r="P177" s="16"/>
      <c r="Q177" s="16"/>
      <c r="R177" s="16"/>
      <c r="S177" s="16"/>
      <c r="T177" s="16"/>
      <c r="U177" s="16"/>
      <c r="V177" s="16"/>
      <c r="W177" s="16"/>
      <c r="X177" s="16"/>
      <c r="Y177" s="16"/>
      <c r="Z177" s="16"/>
    </row>
    <row r="178">
      <c r="A178" s="16" t="str">
        <f>IFERROR(__xludf.DUMMYFUNCTION("""COMPUTED_VALUE"""),"Necklace of the Pumpkin")</f>
        <v>Necklace of the Pumpkin</v>
      </c>
      <c r="B178" s="16"/>
      <c r="C178" s="16"/>
      <c r="D178" s="16" t="str">
        <f>IFERROR(__xludf.DUMMYFUNCTION("""COMPUTED_VALUE"""),"Neck")</f>
        <v>Neck</v>
      </c>
      <c r="E178" s="16">
        <f>IFERROR(__xludf.DUMMYFUNCTION("""COMPUTED_VALUE"""),1.0)</f>
        <v>1</v>
      </c>
      <c r="F178" s="16" t="str">
        <f>IFERROR(__xludf.DUMMYFUNCTION("""COMPUTED_VALUE""")," ++Gives Immunity to Fire, Dark, and Nature damage")</f>
        <v> ++Gives Immunity to Fire, Dark, and Nature damage</v>
      </c>
      <c r="G178" s="16">
        <f>IFERROR(__xludf.DUMMYFUNCTION("""COMPUTED_VALUE"""),0.0)</f>
        <v>0</v>
      </c>
      <c r="H178" s="16"/>
      <c r="I178" s="16"/>
      <c r="J178" s="16"/>
      <c r="K178" s="16"/>
      <c r="L178" s="16"/>
      <c r="M178" s="16"/>
      <c r="N178" s="16"/>
      <c r="O178" s="16"/>
      <c r="P178" s="16"/>
      <c r="Q178" s="16"/>
      <c r="R178" s="16"/>
      <c r="S178" s="16"/>
      <c r="T178" s="16"/>
      <c r="U178" s="16"/>
      <c r="V178" s="16"/>
      <c r="W178" s="16"/>
      <c r="X178" s="16"/>
      <c r="Y178" s="16"/>
      <c r="Z178" s="16"/>
    </row>
    <row r="179">
      <c r="A179" s="16" t="str">
        <f>IFERROR(__xludf.DUMMYFUNCTION("""COMPUTED_VALUE"""),"Necklace Of Tritonoch")</f>
        <v>Necklace Of Tritonoch</v>
      </c>
      <c r="B179" s="16"/>
      <c r="C179" s="16"/>
      <c r="D179" s="16" t="str">
        <f>IFERROR(__xludf.DUMMYFUNCTION("""COMPUTED_VALUE"""),"Neck")</f>
        <v>Neck</v>
      </c>
      <c r="E179" s="16">
        <f>IFERROR(__xludf.DUMMYFUNCTION("""COMPUTED_VALUE"""),1.0)</f>
        <v>1</v>
      </c>
      <c r="F179" s="16" t="str">
        <f>IFERROR(__xludf.DUMMYFUNCTION("""COMPUTED_VALUE""")," ++Any water attack dealt by the wearer has a 50% chance to freeze the targets it hits, ++Waves of Entitlement - x5 additional Water damage")</f>
        <v> ++Any water attack dealt by the wearer has a 50% chance to freeze the targets it hits, ++Waves of Entitlement - x5 additional Water damage</v>
      </c>
      <c r="G179" s="16">
        <f>IFERROR(__xludf.DUMMYFUNCTION("""COMPUTED_VALUE"""),0.0)</f>
        <v>0</v>
      </c>
      <c r="H179" s="16"/>
      <c r="I179" s="16"/>
      <c r="J179" s="16"/>
      <c r="K179" s="16"/>
      <c r="L179" s="16"/>
      <c r="M179" s="16"/>
      <c r="N179" s="16"/>
      <c r="O179" s="16"/>
      <c r="P179" s="16"/>
      <c r="Q179" s="16"/>
      <c r="R179" s="16"/>
      <c r="S179" s="16"/>
      <c r="T179" s="16"/>
      <c r="U179" s="16"/>
      <c r="V179" s="16"/>
      <c r="W179" s="16"/>
      <c r="X179" s="16"/>
      <c r="Y179" s="16"/>
      <c r="Z179" s="16"/>
    </row>
    <row r="180">
      <c r="A180" s="16" t="str">
        <f>IFERROR(__xludf.DUMMYFUNCTION("""COMPUTED_VALUE"""),"Necklace of Waking Waters")</f>
        <v>Necklace of Waking Waters</v>
      </c>
      <c r="B180" s="16"/>
      <c r="C180" s="16"/>
      <c r="D180" s="16" t="str">
        <f>IFERROR(__xludf.DUMMYFUNCTION("""COMPUTED_VALUE"""),"Neck")</f>
        <v>Neck</v>
      </c>
      <c r="E180" s="16">
        <f>IFERROR(__xludf.DUMMYFUNCTION("""COMPUTED_VALUE"""),1.0)</f>
        <v>1</v>
      </c>
      <c r="F180" s="16" t="str">
        <f>IFERROR(__xludf.DUMMYFUNCTION("""COMPUTED_VALUE""")," ++Immunity to sleep. ++X4 Water damage.")</f>
        <v> ++Immunity to sleep. ++X4 Water damage.</v>
      </c>
      <c r="G180" s="16">
        <f>IFERROR(__xludf.DUMMYFUNCTION("""COMPUTED_VALUE"""),0.0)</f>
        <v>0</v>
      </c>
      <c r="H180" s="16"/>
      <c r="I180" s="16"/>
      <c r="J180" s="16"/>
      <c r="K180" s="16"/>
      <c r="L180" s="16"/>
      <c r="M180" s="16"/>
      <c r="N180" s="16"/>
      <c r="O180" s="16"/>
      <c r="P180" s="16"/>
      <c r="Q180" s="16"/>
      <c r="R180" s="16"/>
      <c r="S180" s="16"/>
      <c r="T180" s="16"/>
      <c r="U180" s="16"/>
      <c r="V180" s="16"/>
      <c r="W180" s="16"/>
      <c r="X180" s="16"/>
      <c r="Y180" s="16"/>
      <c r="Z180" s="16"/>
    </row>
    <row r="181">
      <c r="A181" s="16" t="str">
        <f>IFERROR(__xludf.DUMMYFUNCTION("""COMPUTED_VALUE"""),"Necklace of Water Breathing")</f>
        <v>Necklace of Water Breathing</v>
      </c>
      <c r="B181" s="16"/>
      <c r="C181" s="16"/>
      <c r="D181" s="16" t="str">
        <f>IFERROR(__xludf.DUMMYFUNCTION("""COMPUTED_VALUE"""),"Neck")</f>
        <v>Neck</v>
      </c>
      <c r="E181" s="16">
        <f>IFERROR(__xludf.DUMMYFUNCTION("""COMPUTED_VALUE"""),1.0)</f>
        <v>1</v>
      </c>
      <c r="F181" s="16" t="str">
        <f>IFERROR(__xludf.DUMMYFUNCTION("""COMPUTED_VALUE""")," ++Allows you to breath underwater.")</f>
        <v> ++Allows you to breath underwater.</v>
      </c>
      <c r="G181" s="16">
        <f>IFERROR(__xludf.DUMMYFUNCTION("""COMPUTED_VALUE"""),0.0)</f>
        <v>0</v>
      </c>
      <c r="H181" s="16"/>
      <c r="I181" s="16"/>
      <c r="J181" s="16"/>
      <c r="K181" s="16"/>
      <c r="L181" s="16"/>
      <c r="M181" s="16"/>
      <c r="N181" s="16"/>
      <c r="O181" s="16"/>
      <c r="P181" s="16"/>
      <c r="Q181" s="16"/>
      <c r="R181" s="16"/>
      <c r="S181" s="16"/>
      <c r="T181" s="16"/>
      <c r="U181" s="16"/>
      <c r="V181" s="16"/>
      <c r="W181" s="16"/>
      <c r="X181" s="16"/>
      <c r="Y181" s="16"/>
      <c r="Z181" s="16"/>
    </row>
    <row r="182">
      <c r="A182" s="16" t="str">
        <f>IFERROR(__xludf.DUMMYFUNCTION("""COMPUTED_VALUE"""),"Obsidian Chestplate")</f>
        <v>Obsidian Chestplate</v>
      </c>
      <c r="B182" s="16" t="str">
        <f>IFERROR(__xludf.DUMMYFUNCTION("""COMPUTED_VALUE"""),"Quest Item")</f>
        <v>Quest Item</v>
      </c>
      <c r="C182" s="16"/>
      <c r="D182" s="16" t="str">
        <f>IFERROR(__xludf.DUMMYFUNCTION("""COMPUTED_VALUE"""),"Torso")</f>
        <v>Torso</v>
      </c>
      <c r="E182" s="16">
        <f>IFERROR(__xludf.DUMMYFUNCTION("""COMPUTED_VALUE"""),4000.0)</f>
        <v>4000</v>
      </c>
      <c r="F182" s="16" t="str">
        <f>IFERROR(__xludf.DUMMYFUNCTION("""COMPUTED_VALUE"""),"DEF: +100000, Fire DEF: +100000 ++Fire Immunity. +-Cannot be duplicated.")</f>
        <v>DEF: +100000, Fire DEF: +100000 ++Fire Immunity. +-Cannot be duplicated.</v>
      </c>
      <c r="G182" s="16">
        <f>IFERROR(__xludf.DUMMYFUNCTION("""COMPUTED_VALUE"""),7.98E8)</f>
        <v>798000000</v>
      </c>
      <c r="H182" s="16"/>
      <c r="I182" s="16"/>
      <c r="J182" s="16"/>
      <c r="K182" s="16"/>
      <c r="L182" s="16"/>
      <c r="M182" s="16"/>
      <c r="N182" s="16"/>
      <c r="O182" s="16"/>
      <c r="P182" s="16"/>
      <c r="Q182" s="16"/>
      <c r="R182" s="16"/>
      <c r="S182" s="16"/>
      <c r="T182" s="16"/>
      <c r="U182" s="16"/>
      <c r="V182" s="16"/>
      <c r="W182" s="16"/>
      <c r="X182" s="16"/>
      <c r="Y182" s="16"/>
      <c r="Z182" s="16"/>
    </row>
    <row r="183">
      <c r="A183" s="16" t="str">
        <f>IFERROR(__xludf.DUMMYFUNCTION("""COMPUTED_VALUE"""),"Ancient Oni Mask")</f>
        <v>Ancient Oni Mask</v>
      </c>
      <c r="B183" s="16" t="str">
        <f>IFERROR(__xludf.DUMMYFUNCTION("""COMPUTED_VALUE"""),"An ancient relic to Zhenmay")</f>
        <v>An ancient relic to Zhenmay</v>
      </c>
      <c r="C183" s="16"/>
      <c r="D183" s="16" t="str">
        <f>IFERROR(__xludf.DUMMYFUNCTION("""COMPUTED_VALUE"""),"Head")</f>
        <v>Head</v>
      </c>
      <c r="E183" s="16">
        <f>IFERROR(__xludf.DUMMYFUNCTION("""COMPUTED_VALUE"""),200.0)</f>
        <v>200</v>
      </c>
      <c r="F183"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G183" s="16">
        <f>IFERROR(__xludf.DUMMYFUNCTION("""COMPUTED_VALUE"""),5.104E8)</f>
        <v>510400000</v>
      </c>
      <c r="H183" s="16"/>
      <c r="I183" s="16"/>
      <c r="J183" s="16"/>
      <c r="K183" s="16"/>
      <c r="L183" s="16"/>
      <c r="M183" s="16"/>
      <c r="N183" s="16"/>
      <c r="O183" s="16"/>
      <c r="P183" s="16"/>
      <c r="Q183" s="16"/>
      <c r="R183" s="16"/>
      <c r="S183" s="16"/>
      <c r="T183" s="16"/>
      <c r="U183" s="16"/>
      <c r="V183" s="16"/>
      <c r="W183" s="16"/>
      <c r="X183" s="16"/>
      <c r="Y183" s="16"/>
      <c r="Z183" s="16"/>
    </row>
    <row r="184">
      <c r="A184" s="16" t="str">
        <f>IFERROR(__xludf.DUMMYFUNCTION("""COMPUTED_VALUE"""),"Pauldrons of Waking Waters")</f>
        <v>Pauldrons of Waking Waters</v>
      </c>
      <c r="B184" s="16"/>
      <c r="C184" s="16"/>
      <c r="D184" s="16" t="str">
        <f>IFERROR(__xludf.DUMMYFUNCTION("""COMPUTED_VALUE"""),"Shoulders")</f>
        <v>Shoulders</v>
      </c>
      <c r="E184" s="16">
        <f>IFERROR(__xludf.DUMMYFUNCTION("""COMPUTED_VALUE"""),200.0)</f>
        <v>200</v>
      </c>
      <c r="F184" s="16" t="str">
        <f>IFERROR(__xludf.DUMMYFUNCTION("""COMPUTED_VALUE"""),"DEF: +5000, Water DEF: +5000 ++X4 additional water damage for self.")</f>
        <v>DEF: +5000, Water DEF: +5000 ++X4 additional water damage for self.</v>
      </c>
      <c r="G184" s="16">
        <f>IFERROR(__xludf.DUMMYFUNCTION("""COMPUTED_VALUE"""),1900000.0)</f>
        <v>1900000</v>
      </c>
      <c r="H184" s="16"/>
      <c r="I184" s="16"/>
      <c r="J184" s="16"/>
      <c r="K184" s="16"/>
      <c r="L184" s="16"/>
      <c r="M184" s="16"/>
      <c r="N184" s="16"/>
      <c r="O184" s="16"/>
      <c r="P184" s="16"/>
      <c r="Q184" s="16"/>
      <c r="R184" s="16"/>
      <c r="S184" s="16"/>
      <c r="T184" s="16"/>
      <c r="U184" s="16"/>
      <c r="V184" s="16"/>
      <c r="W184" s="16"/>
      <c r="X184" s="16"/>
      <c r="Y184" s="16"/>
      <c r="Z184" s="16"/>
    </row>
    <row r="185">
      <c r="A185" s="16" t="str">
        <f>IFERROR(__xludf.DUMMYFUNCTION("""COMPUTED_VALUE"""),"Pendent of the Sea Serpent")</f>
        <v>Pendent of the Sea Serpent</v>
      </c>
      <c r="B185" s="16"/>
      <c r="C185" s="16"/>
      <c r="D185" s="16" t="str">
        <f>IFERROR(__xludf.DUMMYFUNCTION("""COMPUTED_VALUE"""),"Neck")</f>
        <v>Neck</v>
      </c>
      <c r="E185" s="16">
        <f>IFERROR(__xludf.DUMMYFUNCTION("""COMPUTED_VALUE"""),1.0)</f>
        <v>1</v>
      </c>
      <c r="F185" s="16" t="str">
        <f>IFERROR(__xludf.DUMMYFUNCTION("""COMPUTED_VALUE""")," ++X2 Water Resistance.")</f>
        <v> ++X2 Water Resistance.</v>
      </c>
      <c r="G185" s="16">
        <f>IFERROR(__xludf.DUMMYFUNCTION("""COMPUTED_VALUE"""),0.0)</f>
        <v>0</v>
      </c>
      <c r="H185" s="16"/>
      <c r="I185" s="16"/>
      <c r="J185" s="16"/>
      <c r="K185" s="16"/>
      <c r="L185" s="16"/>
      <c r="M185" s="16"/>
      <c r="N185" s="16"/>
      <c r="O185" s="16"/>
      <c r="P185" s="16"/>
      <c r="Q185" s="16"/>
      <c r="R185" s="16"/>
      <c r="S185" s="16"/>
      <c r="T185" s="16"/>
      <c r="U185" s="16"/>
      <c r="V185" s="16"/>
      <c r="W185" s="16"/>
      <c r="X185" s="16"/>
      <c r="Y185" s="16"/>
      <c r="Z185" s="16"/>
    </row>
    <row r="186">
      <c r="A186" s="16" t="str">
        <f>IFERROR(__xludf.DUMMYFUNCTION("""COMPUTED_VALUE"""),"Pendent of Confusion")</f>
        <v>Pendent of Confusion</v>
      </c>
      <c r="B186" s="16"/>
      <c r="C186" s="16"/>
      <c r="D186" s="16" t="str">
        <f>IFERROR(__xludf.DUMMYFUNCTION("""COMPUTED_VALUE"""),"Neck")</f>
        <v>Neck</v>
      </c>
      <c r="E186" s="16">
        <f>IFERROR(__xludf.DUMMYFUNCTION("""COMPUTED_VALUE"""),1.0)</f>
        <v>1</v>
      </c>
      <c r="F186" s="16" t="str">
        <f>IFERROR(__xludf.DUMMYFUNCTION("""COMPUTED_VALUE""")," ++At the beginning of battle choose a target and choose two numbers between 1-40 whenever the target rolls the numbers you chose while they are attacking they attack themself (1 use per battle)")</f>
        <v> ++At the beginning of battle choose a target and choose two numbers between 1-40 whenever the target rolls the numbers you chose while they are attacking they attack themself (1 use per battle)</v>
      </c>
      <c r="G186" s="16">
        <f>IFERROR(__xludf.DUMMYFUNCTION("""COMPUTED_VALUE"""),0.0)</f>
        <v>0</v>
      </c>
      <c r="H186" s="16"/>
      <c r="I186" s="16"/>
      <c r="J186" s="16"/>
      <c r="K186" s="16"/>
      <c r="L186" s="16"/>
      <c r="M186" s="16"/>
      <c r="N186" s="16"/>
      <c r="O186" s="16"/>
      <c r="P186" s="16"/>
      <c r="Q186" s="16"/>
      <c r="R186" s="16"/>
      <c r="S186" s="16"/>
      <c r="T186" s="16"/>
      <c r="U186" s="16"/>
      <c r="V186" s="16"/>
      <c r="W186" s="16"/>
      <c r="X186" s="16"/>
      <c r="Y186" s="16"/>
      <c r="Z186" s="16"/>
    </row>
    <row r="187">
      <c r="A187" s="16" t="str">
        <f>IFERROR(__xludf.DUMMYFUNCTION("""COMPUTED_VALUE"""),"Pendent of Luck")</f>
        <v>Pendent of Luck</v>
      </c>
      <c r="B187" s="16"/>
      <c r="C187" s="16"/>
      <c r="D187" s="16" t="str">
        <f>IFERROR(__xludf.DUMMYFUNCTION("""COMPUTED_VALUE"""),"Neck")</f>
        <v>Neck</v>
      </c>
      <c r="E187" s="16">
        <f>IFERROR(__xludf.DUMMYFUNCTION("""COMPUTED_VALUE"""),1.0)</f>
        <v>1</v>
      </c>
      <c r="F187" s="16" t="str">
        <f>IFERROR(__xludf.DUMMYFUNCTION("""COMPUTED_VALUE""")," ++Plus 100 to each base Stat.")</f>
        <v> ++Plus 100 to each base Stat.</v>
      </c>
      <c r="G187" s="16">
        <f>IFERROR(__xludf.DUMMYFUNCTION("""COMPUTED_VALUE"""),0.0)</f>
        <v>0</v>
      </c>
      <c r="H187" s="16"/>
      <c r="I187" s="16"/>
      <c r="J187" s="16"/>
      <c r="K187" s="16"/>
      <c r="L187" s="16"/>
      <c r="M187" s="16"/>
      <c r="N187" s="16"/>
      <c r="O187" s="16"/>
      <c r="P187" s="16"/>
      <c r="Q187" s="16"/>
      <c r="R187" s="16"/>
      <c r="S187" s="16"/>
      <c r="T187" s="16"/>
      <c r="U187" s="16"/>
      <c r="V187" s="16"/>
      <c r="W187" s="16"/>
      <c r="X187" s="16"/>
      <c r="Y187" s="16"/>
      <c r="Z187" s="16"/>
    </row>
    <row r="188">
      <c r="A188" s="16" t="str">
        <f>IFERROR(__xludf.DUMMYFUNCTION("""COMPUTED_VALUE"""),"Pillow of Dreams")</f>
        <v>Pillow of Dreams</v>
      </c>
      <c r="B188" s="16"/>
      <c r="C188" s="16" t="str">
        <f>IFERROR(__xludf.DUMMYFUNCTION("""COMPUTED_VALUE"""),"Towershield")</f>
        <v>Towershield</v>
      </c>
      <c r="D188" s="16" t="str">
        <f>IFERROR(__xludf.DUMMYFUNCTION("""COMPUTED_VALUE"""),"Hand")</f>
        <v>Hand</v>
      </c>
      <c r="E188" s="16">
        <f>IFERROR(__xludf.DUMMYFUNCTION("""COMPUTED_VALUE"""),200.0)</f>
        <v>200</v>
      </c>
      <c r="F188" s="16" t="str">
        <f>IFERROR(__xludf.DUMMYFUNCTION("""COMPUTED_VALUE"""),"DEF: +100000, Astral DEF: +100000, Celestial DEF: +50000 ++When you sleep in a INN your dreams become reality. Roll a d20 to see what your dreams awaken. This item must be equipped for the effect to be applied. Can only be used once before each journey. M"&amp;"ust have lower then half your max hp, sp, hunger, thirst, or energy to use.")</f>
        <v>DEF: +100000, Astral DEF: +100000, Celestial DEF: +50000 ++When you sleep in a INN your dreams become reality. Roll a d20 to see what your dreams awaken. This item must be equipped for the effect to be applied. Can only be used once before each journey. Must have lower then half your max hp, sp, hunger, thirst, or energy to use.</v>
      </c>
      <c r="G188" s="16">
        <f>IFERROR(__xludf.DUMMYFUNCTION("""COMPUTED_VALUE"""),1.2475E9)</f>
        <v>1247500000</v>
      </c>
      <c r="H188" s="16"/>
      <c r="I188" s="16"/>
      <c r="J188" s="16"/>
      <c r="K188" s="16"/>
      <c r="L188" s="16"/>
      <c r="M188" s="16"/>
      <c r="N188" s="16"/>
      <c r="O188" s="16"/>
      <c r="P188" s="16"/>
      <c r="Q188" s="16"/>
      <c r="R188" s="16"/>
      <c r="S188" s="16"/>
      <c r="T188" s="16"/>
      <c r="U188" s="16"/>
      <c r="V188" s="16"/>
      <c r="W188" s="16"/>
      <c r="X188" s="16"/>
      <c r="Y188" s="16"/>
      <c r="Z188" s="16"/>
    </row>
    <row r="189">
      <c r="A189" s="16" t="str">
        <f>IFERROR(__xludf.DUMMYFUNCTION("""COMPUTED_VALUE"""),"Poison Vine Sword")</f>
        <v>Poison Vine Sword</v>
      </c>
      <c r="B189" s="16"/>
      <c r="C189" s="16" t="str">
        <f>IFERROR(__xludf.DUMMYFUNCTION("""COMPUTED_VALUE"""),"Sword")</f>
        <v>Sword</v>
      </c>
      <c r="D189" s="16" t="str">
        <f>IFERROR(__xludf.DUMMYFUNCTION("""COMPUTED_VALUE"""),"Hand")</f>
        <v>Hand</v>
      </c>
      <c r="E189" s="16">
        <f>IFERROR(__xludf.DUMMYFUNCTION("""COMPUTED_VALUE"""),2000.0)</f>
        <v>2000</v>
      </c>
      <c r="F189" s="16" t="str">
        <f>IFERROR(__xludf.DUMMYFUNCTION("""COMPUTED_VALUE"""),"DMG: +50000, Nature DMG: +50000 ++Poison 25,000")</f>
        <v>DMG: +50000, Nature DMG: +50000 ++Poison 25,000</v>
      </c>
      <c r="G189" s="16">
        <f>IFERROR(__xludf.DUMMYFUNCTION("""COMPUTED_VALUE"""),1.99E8)</f>
        <v>199000000</v>
      </c>
      <c r="H189" s="16"/>
      <c r="I189" s="16"/>
      <c r="J189" s="16"/>
      <c r="K189" s="16"/>
      <c r="L189" s="16"/>
      <c r="M189" s="16"/>
      <c r="N189" s="16"/>
      <c r="O189" s="16"/>
      <c r="P189" s="16"/>
      <c r="Q189" s="16"/>
      <c r="R189" s="16"/>
      <c r="S189" s="16"/>
      <c r="T189" s="16"/>
      <c r="U189" s="16"/>
      <c r="V189" s="16"/>
      <c r="W189" s="16"/>
      <c r="X189" s="16"/>
      <c r="Y189" s="16"/>
      <c r="Z189" s="16"/>
    </row>
    <row r="190">
      <c r="A190" s="16" t="str">
        <f>IFERROR(__xludf.DUMMYFUNCTION("""COMPUTED_VALUE"""),"Poseidon's Boots")</f>
        <v>Poseidon's Boots</v>
      </c>
      <c r="B190" s="16"/>
      <c r="C190" s="16"/>
      <c r="D190" s="16" t="str">
        <f>IFERROR(__xludf.DUMMYFUNCTION("""COMPUTED_VALUE"""),"Feet")</f>
        <v>Feet</v>
      </c>
      <c r="E190" s="16">
        <f>IFERROR(__xludf.DUMMYFUNCTION("""COMPUTED_VALUE"""),400.0)</f>
        <v>400</v>
      </c>
      <c r="F190" s="16" t="str">
        <f>IFERROR(__xludf.DUMMYFUNCTION("""COMPUTED_VALUE"""),"DEF: +10000, Water DEF: +10000 ++X8 additional water damage for self.")</f>
        <v>DEF: +10000, Water DEF: +10000 ++X8 additional water damage for self.</v>
      </c>
      <c r="G190" s="16">
        <f>IFERROR(__xludf.DUMMYFUNCTION("""COMPUTED_VALUE"""),7800000.0)</f>
        <v>7800000</v>
      </c>
      <c r="H190" s="16"/>
      <c r="I190" s="16"/>
      <c r="J190" s="16"/>
      <c r="K190" s="16"/>
      <c r="L190" s="16"/>
      <c r="M190" s="16"/>
      <c r="N190" s="16"/>
      <c r="O190" s="16"/>
      <c r="P190" s="16"/>
      <c r="Q190" s="16"/>
      <c r="R190" s="16"/>
      <c r="S190" s="16"/>
      <c r="T190" s="16"/>
      <c r="U190" s="16"/>
      <c r="V190" s="16"/>
      <c r="W190" s="16"/>
      <c r="X190" s="16"/>
      <c r="Y190" s="16"/>
      <c r="Z190" s="16"/>
    </row>
    <row r="191">
      <c r="A191" s="16" t="str">
        <f>IFERROR(__xludf.DUMMYFUNCTION("""COMPUTED_VALUE"""),"Poseidon's Chestplate")</f>
        <v>Poseidon's Chestplate</v>
      </c>
      <c r="B191" s="16"/>
      <c r="C191" s="16"/>
      <c r="D191" s="16" t="str">
        <f>IFERROR(__xludf.DUMMYFUNCTION("""COMPUTED_VALUE"""),"Torso")</f>
        <v>Torso</v>
      </c>
      <c r="E191" s="16">
        <f>IFERROR(__xludf.DUMMYFUNCTION("""COMPUTED_VALUE"""),800.0)</f>
        <v>800</v>
      </c>
      <c r="F191" s="16" t="str">
        <f>IFERROR(__xludf.DUMMYFUNCTION("""COMPUTED_VALUE"""),"DEF: +20000, Water DEF: +20000 ++X8 additional water damage for self. ++X10 additional water resistance and Natural Defense for self and allies if you have all Poseidon Equipment Equipped.")</f>
        <v>DEF: +20000, Water DEF: +20000 ++X8 additional water damage for self. ++X10 additional water resistance and Natural Defense for self and allies if you have all Poseidon Equipment Equipped.</v>
      </c>
      <c r="G191" s="16">
        <f>IFERROR(__xludf.DUMMYFUNCTION("""COMPUTED_VALUE"""),3.16E7)</f>
        <v>31600000</v>
      </c>
      <c r="H191" s="16"/>
      <c r="I191" s="16"/>
      <c r="J191" s="16"/>
      <c r="K191" s="16"/>
      <c r="L191" s="16"/>
      <c r="M191" s="16"/>
      <c r="N191" s="16"/>
      <c r="O191" s="16"/>
      <c r="P191" s="16"/>
      <c r="Q191" s="16"/>
      <c r="R191" s="16"/>
      <c r="S191" s="16"/>
      <c r="T191" s="16"/>
      <c r="U191" s="16"/>
      <c r="V191" s="16"/>
      <c r="W191" s="16"/>
      <c r="X191" s="16"/>
      <c r="Y191" s="16"/>
      <c r="Z191" s="16"/>
    </row>
    <row r="192">
      <c r="A192" s="16" t="str">
        <f>IFERROR(__xludf.DUMMYFUNCTION("""COMPUTED_VALUE"""),"Poseidon's Greaves")</f>
        <v>Poseidon's Greaves</v>
      </c>
      <c r="B192" s="16"/>
      <c r="C192" s="16"/>
      <c r="D192" s="16" t="str">
        <f>IFERROR(__xludf.DUMMYFUNCTION("""COMPUTED_VALUE"""),"Legs")</f>
        <v>Legs</v>
      </c>
      <c r="E192" s="16">
        <f>IFERROR(__xludf.DUMMYFUNCTION("""COMPUTED_VALUE"""),400.0)</f>
        <v>400</v>
      </c>
      <c r="F192" s="16" t="str">
        <f>IFERROR(__xludf.DUMMYFUNCTION("""COMPUTED_VALUE"""),"DEF: +10000, Water DEF: +10000 ++X8 additional water damage for self.")</f>
        <v>DEF: +10000, Water DEF: +10000 ++X8 additional water damage for self.</v>
      </c>
      <c r="G192" s="16">
        <f>IFERROR(__xludf.DUMMYFUNCTION("""COMPUTED_VALUE"""),7800000.0)</f>
        <v>7800000</v>
      </c>
      <c r="H192" s="16"/>
      <c r="I192" s="16"/>
      <c r="J192" s="16"/>
      <c r="K192" s="16"/>
      <c r="L192" s="16"/>
      <c r="M192" s="16"/>
      <c r="N192" s="16"/>
      <c r="O192" s="16"/>
      <c r="P192" s="16"/>
      <c r="Q192" s="16"/>
      <c r="R192" s="16"/>
      <c r="S192" s="16"/>
      <c r="T192" s="16"/>
      <c r="U192" s="16"/>
      <c r="V192" s="16"/>
      <c r="W192" s="16"/>
      <c r="X192" s="16"/>
      <c r="Y192" s="16"/>
      <c r="Z192" s="16"/>
    </row>
    <row r="193">
      <c r="A193" s="16" t="str">
        <f>IFERROR(__xludf.DUMMYFUNCTION("""COMPUTED_VALUE"""),"Poseidon's Helmet")</f>
        <v>Poseidon's Helmet</v>
      </c>
      <c r="B193" s="16"/>
      <c r="C193" s="16"/>
      <c r="D193" s="16" t="str">
        <f>IFERROR(__xludf.DUMMYFUNCTION("""COMPUTED_VALUE"""),"Head")</f>
        <v>Head</v>
      </c>
      <c r="E193" s="16">
        <f>IFERROR(__xludf.DUMMYFUNCTION("""COMPUTED_VALUE"""),400.0)</f>
        <v>400</v>
      </c>
      <c r="F193" s="16" t="str">
        <f>IFERROR(__xludf.DUMMYFUNCTION("""COMPUTED_VALUE"""),"DEF: +10000, Water DEF: +10000 ++X8 additional water damage for self.")</f>
        <v>DEF: +10000, Water DEF: +10000 ++X8 additional water damage for self.</v>
      </c>
      <c r="G193" s="16">
        <f>IFERROR(__xludf.DUMMYFUNCTION("""COMPUTED_VALUE"""),7800000.0)</f>
        <v>7800000</v>
      </c>
      <c r="H193" s="16"/>
      <c r="I193" s="16"/>
      <c r="J193" s="16"/>
      <c r="K193" s="16"/>
      <c r="L193" s="16"/>
      <c r="M193" s="16"/>
      <c r="N193" s="16"/>
      <c r="O193" s="16"/>
      <c r="P193" s="16"/>
      <c r="Q193" s="16"/>
      <c r="R193" s="16"/>
      <c r="S193" s="16"/>
      <c r="T193" s="16"/>
      <c r="U193" s="16"/>
      <c r="V193" s="16"/>
      <c r="W193" s="16"/>
      <c r="X193" s="16"/>
      <c r="Y193" s="16"/>
      <c r="Z193" s="16"/>
    </row>
    <row r="194">
      <c r="A194" s="16" t="str">
        <f>IFERROR(__xludf.DUMMYFUNCTION("""COMPUTED_VALUE"""),"Poseidon's Pauldrons")</f>
        <v>Poseidon's Pauldrons</v>
      </c>
      <c r="B194" s="16"/>
      <c r="C194" s="16"/>
      <c r="D194" s="16" t="str">
        <f>IFERROR(__xludf.DUMMYFUNCTION("""COMPUTED_VALUE"""),"Shoulders")</f>
        <v>Shoulders</v>
      </c>
      <c r="E194" s="16">
        <f>IFERROR(__xludf.DUMMYFUNCTION("""COMPUTED_VALUE"""),400.0)</f>
        <v>400</v>
      </c>
      <c r="F194" s="16" t="str">
        <f>IFERROR(__xludf.DUMMYFUNCTION("""COMPUTED_VALUE"""),"DEF: +10000, Water DEF: +10000 ++X8 additional water damage for self.")</f>
        <v>DEF: +10000, Water DEF: +10000 ++X8 additional water damage for self.</v>
      </c>
      <c r="G194" s="16">
        <f>IFERROR(__xludf.DUMMYFUNCTION("""COMPUTED_VALUE"""),7800000.0)</f>
        <v>7800000</v>
      </c>
      <c r="H194" s="16"/>
      <c r="I194" s="16"/>
      <c r="J194" s="16"/>
      <c r="K194" s="16"/>
      <c r="L194" s="16"/>
      <c r="M194" s="16"/>
      <c r="N194" s="16"/>
      <c r="O194" s="16"/>
      <c r="P194" s="16"/>
      <c r="Q194" s="16"/>
      <c r="R194" s="16"/>
      <c r="S194" s="16"/>
      <c r="T194" s="16"/>
      <c r="U194" s="16"/>
      <c r="V194" s="16"/>
      <c r="W194" s="16"/>
      <c r="X194" s="16"/>
      <c r="Y194" s="16"/>
      <c r="Z194" s="16"/>
    </row>
    <row r="195">
      <c r="A195" s="16" t="str">
        <f>IFERROR(__xludf.DUMMYFUNCTION("""COMPUTED_VALUE"""),"Poseidon's Ring")</f>
        <v>Poseidon's Ring</v>
      </c>
      <c r="B195" s="16"/>
      <c r="C195" s="16"/>
      <c r="D195" s="16" t="str">
        <f>IFERROR(__xludf.DUMMYFUNCTION("""COMPUTED_VALUE"""),"Ring")</f>
        <v>Ring</v>
      </c>
      <c r="E195" s="16">
        <f>IFERROR(__xludf.DUMMYFUNCTION("""COMPUTED_VALUE"""),20.0)</f>
        <v>20</v>
      </c>
      <c r="F195" s="16" t="str">
        <f>IFERROR(__xludf.DUMMYFUNCTION("""COMPUTED_VALUE"""),"DEF: +1000 ++X8 additional water damage for self. ")</f>
        <v>DEF: +1000 ++X8 additional water damage for self. </v>
      </c>
      <c r="G195" s="16">
        <f>IFERROR(__xludf.DUMMYFUNCTION("""COMPUTED_VALUE"""),10000.0)</f>
        <v>10000</v>
      </c>
      <c r="H195" s="16"/>
      <c r="I195" s="16"/>
      <c r="J195" s="16"/>
      <c r="K195" s="16"/>
      <c r="L195" s="16"/>
      <c r="M195" s="16"/>
      <c r="N195" s="16"/>
      <c r="O195" s="16"/>
      <c r="P195" s="16"/>
      <c r="Q195" s="16"/>
      <c r="R195" s="16"/>
      <c r="S195" s="16"/>
      <c r="T195" s="16"/>
      <c r="U195" s="16"/>
      <c r="V195" s="16"/>
      <c r="W195" s="16"/>
      <c r="X195" s="16"/>
      <c r="Y195" s="16"/>
      <c r="Z195" s="16"/>
    </row>
    <row r="196">
      <c r="A196" s="16" t="str">
        <f>IFERROR(__xludf.DUMMYFUNCTION("""COMPUTED_VALUE"""),"Poseidon's Sword")</f>
        <v>Poseidon's Sword</v>
      </c>
      <c r="B196" s="16"/>
      <c r="C196" s="16" t="str">
        <f>IFERROR(__xludf.DUMMYFUNCTION("""COMPUTED_VALUE"""),"Sword")</f>
        <v>Sword</v>
      </c>
      <c r="D196" s="16" t="str">
        <f>IFERROR(__xludf.DUMMYFUNCTION("""COMPUTED_VALUE"""),"Hand")</f>
        <v>Hand</v>
      </c>
      <c r="E196" s="16">
        <f>IFERROR(__xludf.DUMMYFUNCTION("""COMPUTED_VALUE"""),200.0)</f>
        <v>200</v>
      </c>
      <c r="F196" s="16" t="str">
        <f>IFERROR(__xludf.DUMMYFUNCTION("""COMPUTED_VALUE"""),"DMG: +40000, Water DMG: +40000, Celestial DMG: +20000 ++X10 additional water damage for self. ++X12 additional water damage and Natural Defense for self and allies if you have all Poseidon Equipment Equipped. +-Cannot be forged +-Cannot be duplicated")</f>
        <v>DMG: +40000, Water DMG: +40000, Celestial DMG: +20000 ++X10 additional water damage for self. ++X12 additional water damage and Natural Defense for self and allies if you have all Poseidon Equipment Equipped. +-Cannot be forged +-Cannot be duplicated</v>
      </c>
      <c r="G196" s="16">
        <f>IFERROR(__xludf.DUMMYFUNCTION("""COMPUTED_VALUE"""),1.99E8)</f>
        <v>199000000</v>
      </c>
      <c r="H196" s="16"/>
      <c r="I196" s="16"/>
      <c r="J196" s="16"/>
      <c r="K196" s="16"/>
      <c r="L196" s="16"/>
      <c r="M196" s="16"/>
      <c r="N196" s="16"/>
      <c r="O196" s="16"/>
      <c r="P196" s="16"/>
      <c r="Q196" s="16"/>
      <c r="R196" s="16"/>
      <c r="S196" s="16"/>
      <c r="T196" s="16"/>
      <c r="U196" s="16"/>
      <c r="V196" s="16"/>
      <c r="W196" s="16"/>
      <c r="X196" s="16"/>
      <c r="Y196" s="16"/>
      <c r="Z196" s="16"/>
    </row>
    <row r="197">
      <c r="A197" s="16" t="str">
        <f>IFERROR(__xludf.DUMMYFUNCTION("""COMPUTED_VALUE"""),"Poseidon's Trident")</f>
        <v>Poseidon's Trident</v>
      </c>
      <c r="B197" s="16"/>
      <c r="C197" s="16" t="str">
        <f>IFERROR(__xludf.DUMMYFUNCTION("""COMPUTED_VALUE"""),"Spear")</f>
        <v>Spear</v>
      </c>
      <c r="D197" s="16" t="str">
        <f>IFERROR(__xludf.DUMMYFUNCTION("""COMPUTED_VALUE"""),"Hand")</f>
        <v>Hand</v>
      </c>
      <c r="E197" s="16">
        <f>IFERROR(__xludf.DUMMYFUNCTION("""COMPUTED_VALUE"""),200.0)</f>
        <v>200</v>
      </c>
      <c r="F197" s="16" t="str">
        <f>IFERROR(__xludf.DUMMYFUNCTION("""COMPUTED_VALUE"""),"DMG: +50000, Water DMG: +50000, Celestial DMG: +25000 ++The user is Immune to the first attack of each battle, Ignores Defense and Water Immunity when attacking a target. +-Cannot be forged +-Cannot be duplicated")</f>
        <v>DMG: +50000, Water DMG: +50000, Celestial DMG: +25000 ++The user is Immune to the first attack of each battle, Ignores Defense and Water Immunity when attacking a target. +-Cannot be forged +-Cannot be duplicated</v>
      </c>
      <c r="G197" s="16">
        <f>IFERROR(__xludf.DUMMYFUNCTION("""COMPUTED_VALUE"""),3.1125E8)</f>
        <v>311250000</v>
      </c>
      <c r="H197" s="16"/>
      <c r="I197" s="16"/>
      <c r="J197" s="16"/>
      <c r="K197" s="16"/>
      <c r="L197" s="16"/>
      <c r="M197" s="16"/>
      <c r="N197" s="16"/>
      <c r="O197" s="16"/>
      <c r="P197" s="16"/>
      <c r="Q197" s="16"/>
      <c r="R197" s="16"/>
      <c r="S197" s="16"/>
      <c r="T197" s="16"/>
      <c r="U197" s="16"/>
      <c r="V197" s="16"/>
      <c r="W197" s="16"/>
      <c r="X197" s="16"/>
      <c r="Y197" s="16"/>
      <c r="Z197" s="16"/>
    </row>
    <row r="198">
      <c r="A198" s="16" t="str">
        <f>IFERROR(__xludf.DUMMYFUNCTION("""COMPUTED_VALUE"""),"Poseidon's Vambraces")</f>
        <v>Poseidon's Vambraces</v>
      </c>
      <c r="B198" s="16"/>
      <c r="C198" s="16"/>
      <c r="D198" s="16" t="str">
        <f>IFERROR(__xludf.DUMMYFUNCTION("""COMPUTED_VALUE"""),"Arms")</f>
        <v>Arms</v>
      </c>
      <c r="E198" s="16">
        <f>IFERROR(__xludf.DUMMYFUNCTION("""COMPUTED_VALUE"""),400.0)</f>
        <v>400</v>
      </c>
      <c r="F198" s="16" t="str">
        <f>IFERROR(__xludf.DUMMYFUNCTION("""COMPUTED_VALUE"""),"DEF: +10000, Water DEF: +10000 ++X8 additional water damage for self.")</f>
        <v>DEF: +10000, Water DEF: +10000 ++X8 additional water damage for self.</v>
      </c>
      <c r="G198" s="16">
        <f>IFERROR(__xludf.DUMMYFUNCTION("""COMPUTED_VALUE"""),7800000.0)</f>
        <v>7800000</v>
      </c>
      <c r="H198" s="16"/>
      <c r="I198" s="16"/>
      <c r="J198" s="16"/>
      <c r="K198" s="16"/>
      <c r="L198" s="16"/>
      <c r="M198" s="16"/>
      <c r="N198" s="16"/>
      <c r="O198" s="16"/>
      <c r="P198" s="16"/>
      <c r="Q198" s="16"/>
      <c r="R198" s="16"/>
      <c r="S198" s="16"/>
      <c r="T198" s="16"/>
      <c r="U198" s="16"/>
      <c r="V198" s="16"/>
      <c r="W198" s="16"/>
      <c r="X198" s="16"/>
      <c r="Y198" s="16"/>
      <c r="Z198" s="16"/>
    </row>
    <row r="199">
      <c r="A199" s="16" t="str">
        <f>IFERROR(__xludf.DUMMYFUNCTION("""COMPUTED_VALUE"""),"Riftblade")</f>
        <v>Riftblade</v>
      </c>
      <c r="B199" s="16" t="str">
        <f>IFERROR(__xludf.DUMMYFUNCTION("""COMPUTED_VALUE"""),"An ancient blade from a forgotten time")</f>
        <v>An ancient blade from a forgotten time</v>
      </c>
      <c r="C199" s="16" t="str">
        <f>IFERROR(__xludf.DUMMYFUNCTION("""COMPUTED_VALUE"""),"Sword")</f>
        <v>Sword</v>
      </c>
      <c r="D199" s="16" t="str">
        <f>IFERROR(__xludf.DUMMYFUNCTION("""COMPUTED_VALUE"""),"Hand")</f>
        <v>Hand</v>
      </c>
      <c r="E199" s="16">
        <f>IFERROR(__xludf.DUMMYFUNCTION("""COMPUTED_VALUE"""),600.0)</f>
        <v>600</v>
      </c>
      <c r="F199" s="16" t="str">
        <f>IFERROR(__xludf.DUMMYFUNCTION("""COMPUTED_VALUE"""),"DMG: +10000, Chaos DMG: +10000, Nature DMG: +10000")</f>
        <v>DMG: +10000, Chaos DMG: +10000, Nature DMG: +10000</v>
      </c>
      <c r="G199" s="16">
        <f>IFERROR(__xludf.DUMMYFUNCTION("""COMPUTED_VALUE"""),1.77E7)</f>
        <v>17700000</v>
      </c>
      <c r="H199" s="16"/>
      <c r="I199" s="16"/>
      <c r="J199" s="16"/>
      <c r="K199" s="16"/>
      <c r="L199" s="16"/>
      <c r="M199" s="16"/>
      <c r="N199" s="16"/>
      <c r="O199" s="16"/>
      <c r="P199" s="16"/>
      <c r="Q199" s="16"/>
      <c r="R199" s="16"/>
      <c r="S199" s="16"/>
      <c r="T199" s="16"/>
      <c r="U199" s="16"/>
      <c r="V199" s="16"/>
      <c r="W199" s="16"/>
      <c r="X199" s="16"/>
      <c r="Y199" s="16"/>
      <c r="Z199" s="16"/>
    </row>
    <row r="200">
      <c r="A200" s="16" t="str">
        <f>IFERROR(__xludf.DUMMYFUNCTION("""COMPUTED_VALUE"""),"Ring o’ Luck and Nature")</f>
        <v>Ring o’ Luck and Nature</v>
      </c>
      <c r="B200" s="16"/>
      <c r="C200" s="16"/>
      <c r="D200" s="16" t="str">
        <f>IFERROR(__xludf.DUMMYFUNCTION("""COMPUTED_VALUE"""),"Ring")</f>
        <v>Ring</v>
      </c>
      <c r="E200" s="16">
        <f>IFERROR(__xludf.DUMMYFUNCTION("""COMPUTED_VALUE"""),1.0)</f>
        <v>1</v>
      </c>
      <c r="F200" s="16" t="str">
        <f>IFERROR(__xludf.DUMMYFUNCTION("""COMPUTED_VALUE""")," ++Immunity to nature damage, ++increases the roll of a d20 by 2. +-Can only equip one")</f>
        <v> ++Immunity to nature damage, ++increases the roll of a d20 by 2. +-Can only equip one</v>
      </c>
      <c r="G200" s="16">
        <f>IFERROR(__xludf.DUMMYFUNCTION("""COMPUTED_VALUE"""),0.0)</f>
        <v>0</v>
      </c>
      <c r="H200" s="16"/>
      <c r="I200" s="16"/>
      <c r="J200" s="16"/>
      <c r="K200" s="16"/>
      <c r="L200" s="16"/>
      <c r="M200" s="16"/>
      <c r="N200" s="16"/>
      <c r="O200" s="16"/>
      <c r="P200" s="16"/>
      <c r="Q200" s="16"/>
      <c r="R200" s="16"/>
      <c r="S200" s="16"/>
      <c r="T200" s="16"/>
      <c r="U200" s="16"/>
      <c r="V200" s="16"/>
      <c r="W200" s="16"/>
      <c r="X200" s="16"/>
      <c r="Y200" s="16"/>
      <c r="Z200" s="16"/>
    </row>
    <row r="201">
      <c r="A201" s="16" t="str">
        <f>IFERROR(__xludf.DUMMYFUNCTION("""COMPUTED_VALUE"""),"Ring of Darkness")</f>
        <v>Ring of Darkness</v>
      </c>
      <c r="B201" s="16"/>
      <c r="C201" s="16"/>
      <c r="D201" s="16" t="str">
        <f>IFERROR(__xludf.DUMMYFUNCTION("""COMPUTED_VALUE"""),"Ring")</f>
        <v>Ring</v>
      </c>
      <c r="E201" s="16">
        <f>IFERROR(__xludf.DUMMYFUNCTION("""COMPUTED_VALUE"""),1.0)</f>
        <v>1</v>
      </c>
      <c r="F201" s="16" t="str">
        <f>IFERROR(__xludf.DUMMYFUNCTION("""COMPUTED_VALUE""")," ++Shadow Cloud - Cloaks you in a cloud darkness - causes all enemies to miss you with any attack, including cannot avoid attacks for the rest of the round, Fail/Succeed, -200 sp.")</f>
        <v> ++Shadow Cloud - Cloaks you in a cloud darkness - causes all enemies to miss you with any attack, including cannot avoid attacks for the rest of the round, Fail/Succeed, -200 sp.</v>
      </c>
      <c r="G201" s="16">
        <f>IFERROR(__xludf.DUMMYFUNCTION("""COMPUTED_VALUE"""),0.0)</f>
        <v>0</v>
      </c>
      <c r="H201" s="16"/>
      <c r="I201" s="16"/>
      <c r="J201" s="16"/>
      <c r="K201" s="16"/>
      <c r="L201" s="16"/>
      <c r="M201" s="16"/>
      <c r="N201" s="16"/>
      <c r="O201" s="16"/>
      <c r="P201" s="16"/>
      <c r="Q201" s="16"/>
      <c r="R201" s="16"/>
      <c r="S201" s="16"/>
      <c r="T201" s="16"/>
      <c r="U201" s="16"/>
      <c r="V201" s="16"/>
      <c r="W201" s="16"/>
      <c r="X201" s="16"/>
      <c r="Y201" s="16"/>
      <c r="Z201" s="16"/>
    </row>
    <row r="202">
      <c r="A202" s="16" t="str">
        <f>IFERROR(__xludf.DUMMYFUNCTION("""COMPUTED_VALUE"""),"Ring of Death")</f>
        <v>Ring of Death</v>
      </c>
      <c r="B202" s="16"/>
      <c r="C202" s="16"/>
      <c r="D202" s="16" t="str">
        <f>IFERROR(__xludf.DUMMYFUNCTION("""COMPUTED_VALUE"""),"Ring")</f>
        <v>Ring</v>
      </c>
      <c r="E202" s="16">
        <f>IFERROR(__xludf.DUMMYFUNCTION("""COMPUTED_VALUE"""),1.0)</f>
        <v>1</v>
      </c>
      <c r="F202" s="16" t="str">
        <f>IFERROR(__xludf.DUMMYFUNCTION("""COMPUTED_VALUE""")," ++Causes instant death with a fail/succeed roll.")</f>
        <v> ++Causes instant death with a fail/succeed roll.</v>
      </c>
      <c r="G202" s="16">
        <f>IFERROR(__xludf.DUMMYFUNCTION("""COMPUTED_VALUE"""),0.0)</f>
        <v>0</v>
      </c>
      <c r="H202" s="16"/>
      <c r="I202" s="16"/>
      <c r="J202" s="16"/>
      <c r="K202" s="16"/>
      <c r="L202" s="16"/>
      <c r="M202" s="16"/>
      <c r="N202" s="16"/>
      <c r="O202" s="16"/>
      <c r="P202" s="16"/>
      <c r="Q202" s="16"/>
      <c r="R202" s="16"/>
      <c r="S202" s="16"/>
      <c r="T202" s="16"/>
      <c r="U202" s="16"/>
      <c r="V202" s="16"/>
      <c r="W202" s="16"/>
      <c r="X202" s="16"/>
      <c r="Y202" s="16"/>
      <c r="Z202" s="16"/>
    </row>
    <row r="203">
      <c r="A203" s="16" t="str">
        <f>IFERROR(__xludf.DUMMYFUNCTION("""COMPUTED_VALUE"""),"Ring Of Dwelling Waters")</f>
        <v>Ring Of Dwelling Waters</v>
      </c>
      <c r="B203" s="16"/>
      <c r="C203" s="16"/>
      <c r="D203" s="16" t="str">
        <f>IFERROR(__xludf.DUMMYFUNCTION("""COMPUTED_VALUE"""),"Ring")</f>
        <v>Ring</v>
      </c>
      <c r="E203" s="16">
        <f>IFERROR(__xludf.DUMMYFUNCTION("""COMPUTED_VALUE"""),1.0)</f>
        <v>1</v>
      </c>
      <c r="F203" s="16" t="str">
        <f>IFERROR(__xludf.DUMMYFUNCTION("""COMPUTED_VALUE"""),", Fire : +  ++X2 Water and Dark damage.")</f>
        <v>, Fire : +  ++X2 Water and Dark damage.</v>
      </c>
      <c r="G203" s="16">
        <f>IFERROR(__xludf.DUMMYFUNCTION("""COMPUTED_VALUE"""),0.0)</f>
        <v>0</v>
      </c>
      <c r="H203" s="16"/>
      <c r="I203" s="16"/>
      <c r="J203" s="16"/>
      <c r="K203" s="16"/>
      <c r="L203" s="16"/>
      <c r="M203" s="16"/>
      <c r="N203" s="16"/>
      <c r="O203" s="16"/>
      <c r="P203" s="16"/>
      <c r="Q203" s="16"/>
      <c r="R203" s="16"/>
      <c r="S203" s="16"/>
      <c r="T203" s="16"/>
      <c r="U203" s="16"/>
      <c r="V203" s="16"/>
      <c r="W203" s="16"/>
      <c r="X203" s="16"/>
      <c r="Y203" s="16"/>
      <c r="Z203" s="16"/>
    </row>
    <row r="204">
      <c r="A204" s="16" t="str">
        <f>IFERROR(__xludf.DUMMYFUNCTION("""COMPUTED_VALUE"""),"Ring of Endless Souls")</f>
        <v>Ring of Endless Souls</v>
      </c>
      <c r="B204" s="16"/>
      <c r="C204" s="16"/>
      <c r="D204" s="16" t="str">
        <f>IFERROR(__xludf.DUMMYFUNCTION("""COMPUTED_VALUE"""),"Ring")</f>
        <v>Ring</v>
      </c>
      <c r="E204" s="16">
        <f>IFERROR(__xludf.DUMMYFUNCTION("""COMPUTED_VALUE"""),1.0)</f>
        <v>1</v>
      </c>
      <c r="F204" s="16" t="str">
        <f>IFERROR(__xludf.DUMMYFUNCTION("""COMPUTED_VALUE""")," ++0 Def ++Soul Enchanted - Every time you enchant a soul into this item increase the Def of this item by 10. ")</f>
        <v> ++0 Def ++Soul Enchanted - Every time you enchant a soul into this item increase the Def of this item by 10. </v>
      </c>
      <c r="G204" s="16">
        <f>IFERROR(__xludf.DUMMYFUNCTION("""COMPUTED_VALUE"""),0.0)</f>
        <v>0</v>
      </c>
      <c r="H204" s="16"/>
      <c r="I204" s="16"/>
      <c r="J204" s="16"/>
      <c r="K204" s="16"/>
      <c r="L204" s="16"/>
      <c r="M204" s="16"/>
      <c r="N204" s="16"/>
      <c r="O204" s="16"/>
      <c r="P204" s="16"/>
      <c r="Q204" s="16"/>
      <c r="R204" s="16"/>
      <c r="S204" s="16"/>
      <c r="T204" s="16"/>
      <c r="U204" s="16"/>
      <c r="V204" s="16"/>
      <c r="W204" s="16"/>
      <c r="X204" s="16"/>
      <c r="Y204" s="16"/>
      <c r="Z204" s="16"/>
    </row>
    <row r="205">
      <c r="A205" s="16" t="str">
        <f>IFERROR(__xludf.DUMMYFUNCTION("""COMPUTED_VALUE"""),"Ring of Healing")</f>
        <v>Ring of Healing</v>
      </c>
      <c r="B205" s="16"/>
      <c r="C205" s="16"/>
      <c r="D205" s="16" t="str">
        <f>IFERROR(__xludf.DUMMYFUNCTION("""COMPUTED_VALUE"""),"Ring")</f>
        <v>Ring</v>
      </c>
      <c r="E205" s="16">
        <f>IFERROR(__xludf.DUMMYFUNCTION("""COMPUTED_VALUE"""),1.0)</f>
        <v>1</v>
      </c>
      <c r="F205" s="16" t="str">
        <f>IFERROR(__xludf.DUMMYFUNCTION("""COMPUTED_VALUE""")," ++500 hp per round.")</f>
        <v> ++500 hp per round.</v>
      </c>
      <c r="G205" s="16">
        <f>IFERROR(__xludf.DUMMYFUNCTION("""COMPUTED_VALUE"""),0.0)</f>
        <v>0</v>
      </c>
      <c r="H205" s="16"/>
      <c r="I205" s="16"/>
      <c r="J205" s="16"/>
      <c r="K205" s="16"/>
      <c r="L205" s="16"/>
      <c r="M205" s="16"/>
      <c r="N205" s="16"/>
      <c r="O205" s="16"/>
      <c r="P205" s="16"/>
      <c r="Q205" s="16"/>
      <c r="R205" s="16"/>
      <c r="S205" s="16"/>
      <c r="T205" s="16"/>
      <c r="U205" s="16"/>
      <c r="V205" s="16"/>
      <c r="W205" s="16"/>
      <c r="X205" s="16"/>
      <c r="Y205" s="16"/>
      <c r="Z205" s="16"/>
    </row>
    <row r="206">
      <c r="A206" s="16" t="str">
        <f>IFERROR(__xludf.DUMMYFUNCTION("""COMPUTED_VALUE"""),"Ring of Invulnerability ")</f>
        <v>Ring of Invulnerability </v>
      </c>
      <c r="B206" s="16"/>
      <c r="C206" s="16"/>
      <c r="D206" s="16" t="str">
        <f>IFERROR(__xludf.DUMMYFUNCTION("""COMPUTED_VALUE"""),"Ring")</f>
        <v>Ring</v>
      </c>
      <c r="E206" s="16">
        <f>IFERROR(__xludf.DUMMYFUNCTION("""COMPUTED_VALUE"""),1.0)</f>
        <v>1</v>
      </c>
      <c r="F206" s="16" t="str">
        <f>IFERROR(__xludf.DUMMYFUNCTION("""COMPUTED_VALUE""")," ++Gain invulnerability to damage for the first round of battle, you are unable to inflict any non-magic damage for the first round of battle. +-Cannot be duplicated. +-Cannot be forged. ")</f>
        <v> ++Gain invulnerability to damage for the first round of battle, you are unable to inflict any non-magic damage for the first round of battle. +-Cannot be duplicated. +-Cannot be forged. </v>
      </c>
      <c r="G206" s="16">
        <f>IFERROR(__xludf.DUMMYFUNCTION("""COMPUTED_VALUE"""),0.0)</f>
        <v>0</v>
      </c>
      <c r="H206" s="16"/>
      <c r="I206" s="16"/>
      <c r="J206" s="16"/>
      <c r="K206" s="16"/>
      <c r="L206" s="16"/>
      <c r="M206" s="16"/>
      <c r="N206" s="16"/>
      <c r="O206" s="16"/>
      <c r="P206" s="16"/>
      <c r="Q206" s="16"/>
      <c r="R206" s="16"/>
      <c r="S206" s="16"/>
      <c r="T206" s="16"/>
      <c r="U206" s="16"/>
      <c r="V206" s="16"/>
      <c r="W206" s="16"/>
      <c r="X206" s="16"/>
      <c r="Y206" s="16"/>
      <c r="Z206" s="16"/>
    </row>
    <row r="207">
      <c r="A207" s="16" t="str">
        <f>IFERROR(__xludf.DUMMYFUNCTION("""COMPUTED_VALUE"""),"Ring of Pure Chaos")</f>
        <v>Ring of Pure Chaos</v>
      </c>
      <c r="B207" s="16"/>
      <c r="C207" s="16"/>
      <c r="D207" s="16" t="str">
        <f>IFERROR(__xludf.DUMMYFUNCTION("""COMPUTED_VALUE"""),"Ring")</f>
        <v>Ring</v>
      </c>
      <c r="E207" s="16">
        <f>IFERROR(__xludf.DUMMYFUNCTION("""COMPUTED_VALUE"""),1.0)</f>
        <v>1</v>
      </c>
      <c r="F207" s="16" t="str">
        <f>IFERROR(__xludf.DUMMYFUNCTION("""COMPUTED_VALUE""")," ++X2 Chaos damage, ++ +5 Charisma and Intimidation. +-Cannot be forged +-Cannot be duplicated +-Can only equip one")</f>
        <v> ++X2 Chaos damage, ++ +5 Charisma and Intimidation. +-Cannot be forged +-Cannot be duplicated +-Can only equip one</v>
      </c>
      <c r="G207" s="16">
        <f>IFERROR(__xludf.DUMMYFUNCTION("""COMPUTED_VALUE"""),0.0)</f>
        <v>0</v>
      </c>
      <c r="H207" s="16"/>
      <c r="I207" s="16"/>
      <c r="J207" s="16"/>
      <c r="K207" s="16"/>
      <c r="L207" s="16"/>
      <c r="M207" s="16"/>
      <c r="N207" s="16"/>
      <c r="O207" s="16"/>
      <c r="P207" s="16"/>
      <c r="Q207" s="16"/>
      <c r="R207" s="16"/>
      <c r="S207" s="16"/>
      <c r="T207" s="16"/>
      <c r="U207" s="16"/>
      <c r="V207" s="16"/>
      <c r="W207" s="16"/>
      <c r="X207" s="16"/>
      <c r="Y207" s="16"/>
      <c r="Z207" s="16"/>
    </row>
    <row r="208">
      <c r="A208" s="16" t="str">
        <f>IFERROR(__xludf.DUMMYFUNCTION("""COMPUTED_VALUE"""),"Ring of Pure Defense")</f>
        <v>Ring of Pure Defense</v>
      </c>
      <c r="B208" s="16"/>
      <c r="C208" s="16"/>
      <c r="D208" s="16" t="str">
        <f>IFERROR(__xludf.DUMMYFUNCTION("""COMPUTED_VALUE"""),"Ring")</f>
        <v>Ring</v>
      </c>
      <c r="E208" s="16">
        <f>IFERROR(__xludf.DUMMYFUNCTION("""COMPUTED_VALUE"""),1.0)</f>
        <v>1</v>
      </c>
      <c r="F208" s="16" t="str">
        <f>IFERROR(__xludf.DUMMYFUNCTION("""COMPUTED_VALUE""")," ++Half the damage taken from the next attack 100SP Will Succeed.")</f>
        <v> ++Half the damage taken from the next attack 100SP Will Succeed.</v>
      </c>
      <c r="G208" s="16">
        <f>IFERROR(__xludf.DUMMYFUNCTION("""COMPUTED_VALUE"""),0.0)</f>
        <v>0</v>
      </c>
      <c r="H208" s="16"/>
      <c r="I208" s="16"/>
      <c r="J208" s="16"/>
      <c r="K208" s="16"/>
      <c r="L208" s="16"/>
      <c r="M208" s="16"/>
      <c r="N208" s="16"/>
      <c r="O208" s="16"/>
      <c r="P208" s="16"/>
      <c r="Q208" s="16"/>
      <c r="R208" s="16"/>
      <c r="S208" s="16"/>
      <c r="T208" s="16"/>
      <c r="U208" s="16"/>
      <c r="V208" s="16"/>
      <c r="W208" s="16"/>
      <c r="X208" s="16"/>
      <c r="Y208" s="16"/>
      <c r="Z208" s="16"/>
    </row>
    <row r="209">
      <c r="A209" s="16" t="str">
        <f>IFERROR(__xludf.DUMMYFUNCTION("""COMPUTED_VALUE"""),"Ring of Reflect")</f>
        <v>Ring of Reflect</v>
      </c>
      <c r="B209" s="16"/>
      <c r="C209" s="16"/>
      <c r="D209" s="16" t="str">
        <f>IFERROR(__xludf.DUMMYFUNCTION("""COMPUTED_VALUE"""),"Ring")</f>
        <v>Ring</v>
      </c>
      <c r="E209" s="16">
        <f>IFERROR(__xludf.DUMMYFUNCTION("""COMPUTED_VALUE"""),1.0)</f>
        <v>1</v>
      </c>
      <c r="F209" s="16" t="str">
        <f>IFERROR(__xludf.DUMMYFUNCTION("""COMPUTED_VALUE""")," ++Inflict half the damage you take back to the enemy that dealt it. +-Can only have one equipped. +-Cannot be duplicated.")</f>
        <v> ++Inflict half the damage you take back to the enemy that dealt it. +-Can only have one equipped. +-Cannot be duplicated.</v>
      </c>
      <c r="G209" s="16">
        <f>IFERROR(__xludf.DUMMYFUNCTION("""COMPUTED_VALUE"""),0.0)</f>
        <v>0</v>
      </c>
      <c r="H209" s="16"/>
      <c r="I209" s="16"/>
      <c r="J209" s="16"/>
      <c r="K209" s="16"/>
      <c r="L209" s="16"/>
      <c r="M209" s="16"/>
      <c r="N209" s="16"/>
      <c r="O209" s="16"/>
      <c r="P209" s="16"/>
      <c r="Q209" s="16"/>
      <c r="R209" s="16"/>
      <c r="S209" s="16"/>
      <c r="T209" s="16"/>
      <c r="U209" s="16"/>
      <c r="V209" s="16"/>
      <c r="W209" s="16"/>
      <c r="X209" s="16"/>
      <c r="Y209" s="16"/>
      <c r="Z209" s="16"/>
    </row>
    <row r="210">
      <c r="A210" s="16" t="str">
        <f>IFERROR(__xludf.DUMMYFUNCTION("""COMPUTED_VALUE"""),"Ring of the Bonded Undead")</f>
        <v>Ring of the Bonded Undead</v>
      </c>
      <c r="B210" s="16"/>
      <c r="C210" s="16"/>
      <c r="D210" s="16" t="str">
        <f>IFERROR(__xludf.DUMMYFUNCTION("""COMPUTED_VALUE"""),"Ring")</f>
        <v>Ring</v>
      </c>
      <c r="E210" s="16">
        <f>IFERROR(__xludf.DUMMYFUNCTION("""COMPUTED_VALUE"""),1.0)</f>
        <v>1</v>
      </c>
      <c r="F210" s="16" t="str">
        <f>IFERROR(__xludf.DUMMYFUNCTION("""COMPUTED_VALUE""")," ++When you battle with any Undead target you can deal X2 more damage.")</f>
        <v> ++When you battle with any Undead target you can deal X2 more damage.</v>
      </c>
      <c r="G210" s="16">
        <f>IFERROR(__xludf.DUMMYFUNCTION("""COMPUTED_VALUE"""),0.0)</f>
        <v>0</v>
      </c>
      <c r="H210" s="16"/>
      <c r="I210" s="16"/>
      <c r="J210" s="16"/>
      <c r="K210" s="16"/>
      <c r="L210" s="16"/>
      <c r="M210" s="16"/>
      <c r="N210" s="16"/>
      <c r="O210" s="16"/>
      <c r="P210" s="16"/>
      <c r="Q210" s="16"/>
      <c r="R210" s="16"/>
      <c r="S210" s="16"/>
      <c r="T210" s="16"/>
      <c r="U210" s="16"/>
      <c r="V210" s="16"/>
      <c r="W210" s="16"/>
      <c r="X210" s="16"/>
      <c r="Y210" s="16"/>
      <c r="Z210" s="16"/>
    </row>
    <row r="211">
      <c r="A211" s="16" t="str">
        <f>IFERROR(__xludf.DUMMYFUNCTION("""COMPUTED_VALUE"""),"Ring of the Forgotten")</f>
        <v>Ring of the Forgotten</v>
      </c>
      <c r="B211" s="16"/>
      <c r="C211" s="16"/>
      <c r="D211" s="16" t="str">
        <f>IFERROR(__xludf.DUMMYFUNCTION("""COMPUTED_VALUE"""),"Ring")</f>
        <v>Ring</v>
      </c>
      <c r="E211" s="16">
        <f>IFERROR(__xludf.DUMMYFUNCTION("""COMPUTED_VALUE"""),1.0)</f>
        <v>1</v>
      </c>
      <c r="F211" s="16" t="str">
        <f>IFERROR(__xludf.DUMMYFUNCTION("""COMPUTED_VALUE""")," ++Make a fail/succeed roll to make a target forget they were fighting you. +-Cannot be duplicated")</f>
        <v> ++Make a fail/succeed roll to make a target forget they were fighting you. +-Cannot be duplicated</v>
      </c>
      <c r="G211" s="16">
        <f>IFERROR(__xludf.DUMMYFUNCTION("""COMPUTED_VALUE"""),0.0)</f>
        <v>0</v>
      </c>
      <c r="H211" s="16"/>
      <c r="I211" s="16"/>
      <c r="J211" s="16"/>
      <c r="K211" s="16"/>
      <c r="L211" s="16"/>
      <c r="M211" s="16"/>
      <c r="N211" s="16"/>
      <c r="O211" s="16"/>
      <c r="P211" s="16"/>
      <c r="Q211" s="16"/>
      <c r="R211" s="16"/>
      <c r="S211" s="16"/>
      <c r="T211" s="16"/>
      <c r="U211" s="16"/>
      <c r="V211" s="16"/>
      <c r="W211" s="16"/>
      <c r="X211" s="16"/>
      <c r="Y211" s="16"/>
      <c r="Z211" s="16"/>
    </row>
    <row r="212">
      <c r="A212" s="16" t="str">
        <f>IFERROR(__xludf.DUMMYFUNCTION("""COMPUTED_VALUE"""),"Ring Of Tritonoch")</f>
        <v>Ring Of Tritonoch</v>
      </c>
      <c r="B212" s="16"/>
      <c r="C212" s="16"/>
      <c r="D212" s="16" t="str">
        <f>IFERROR(__xludf.DUMMYFUNCTION("""COMPUTED_VALUE"""),"Ring")</f>
        <v>Ring</v>
      </c>
      <c r="E212" s="16">
        <f>IFERROR(__xludf.DUMMYFUNCTION("""COMPUTED_VALUE"""),1.0)</f>
        <v>1</v>
      </c>
      <c r="F212" s="16" t="str">
        <f>IFERROR(__xludf.DUMMYFUNCTION("""COMPUTED_VALUE""")," ++Waves of Entitlement - x5 additional Water damage")</f>
        <v> ++Waves of Entitlement - x5 additional Water damage</v>
      </c>
      <c r="G212" s="16">
        <f>IFERROR(__xludf.DUMMYFUNCTION("""COMPUTED_VALUE"""),0.0)</f>
        <v>0</v>
      </c>
      <c r="H212" s="16"/>
      <c r="I212" s="16"/>
      <c r="J212" s="16"/>
      <c r="K212" s="16"/>
      <c r="L212" s="16"/>
      <c r="M212" s="16"/>
      <c r="N212" s="16"/>
      <c r="O212" s="16"/>
      <c r="P212" s="16"/>
      <c r="Q212" s="16"/>
      <c r="R212" s="16"/>
      <c r="S212" s="16"/>
      <c r="T212" s="16"/>
      <c r="U212" s="16"/>
      <c r="V212" s="16"/>
      <c r="W212" s="16"/>
      <c r="X212" s="16"/>
      <c r="Y212" s="16"/>
      <c r="Z212" s="16"/>
    </row>
    <row r="213">
      <c r="A213" s="16" t="str">
        <f>IFERROR(__xludf.DUMMYFUNCTION("""COMPUTED_VALUE"""),"Ring of Waking Waters")</f>
        <v>Ring of Waking Waters</v>
      </c>
      <c r="B213" s="16"/>
      <c r="C213" s="16"/>
      <c r="D213" s="16" t="str">
        <f>IFERROR(__xludf.DUMMYFUNCTION("""COMPUTED_VALUE"""),"Ring")</f>
        <v>Ring</v>
      </c>
      <c r="E213" s="16">
        <f>IFERROR(__xludf.DUMMYFUNCTION("""COMPUTED_VALUE"""),100.0)</f>
        <v>100</v>
      </c>
      <c r="F213" s="16" t="str">
        <f>IFERROR(__xludf.DUMMYFUNCTION("""COMPUTED_VALUE"""),", Water DEF: +5000 ++X4 additional water damage for self.")</f>
        <v>, Water DEF: +5000 ++X4 additional water damage for self.</v>
      </c>
      <c r="G213" s="16">
        <f>IFERROR(__xludf.DUMMYFUNCTION("""COMPUTED_VALUE"""),450000.0)</f>
        <v>450000</v>
      </c>
      <c r="H213" s="16"/>
      <c r="I213" s="16"/>
      <c r="J213" s="16"/>
      <c r="K213" s="16"/>
      <c r="L213" s="16"/>
      <c r="M213" s="16"/>
      <c r="N213" s="16"/>
      <c r="O213" s="16"/>
      <c r="P213" s="16"/>
      <c r="Q213" s="16"/>
      <c r="R213" s="16"/>
      <c r="S213" s="16"/>
      <c r="T213" s="16"/>
      <c r="U213" s="16"/>
      <c r="V213" s="16"/>
      <c r="W213" s="16"/>
      <c r="X213" s="16"/>
      <c r="Y213" s="16"/>
      <c r="Z213" s="16"/>
    </row>
    <row r="214">
      <c r="A214" s="16" t="str">
        <f>IFERROR(__xludf.DUMMYFUNCTION("""COMPUTED_VALUE"""),"Robe of The Cultist")</f>
        <v>Robe of The Cultist</v>
      </c>
      <c r="B214" s="16"/>
      <c r="C214" s="16"/>
      <c r="D214" s="16" t="str">
        <f>IFERROR(__xludf.DUMMYFUNCTION("""COMPUTED_VALUE"""),"Torso")</f>
        <v>Torso</v>
      </c>
      <c r="E214" s="16">
        <f>IFERROR(__xludf.DUMMYFUNCTION("""COMPUTED_VALUE"""),80.0)</f>
        <v>80</v>
      </c>
      <c r="F214" s="16" t="str">
        <f>IFERROR(__xludf.DUMMYFUNCTION("""COMPUTED_VALUE"""),"DEF: +2000, Dark DEF: +2000 ++Instant Death Immunity. ++500HP +-Cannot be forged +-Cannot be duplicated")</f>
        <v>DEF: +2000, Dark DEF: +2000 ++Instant Death Immunity. ++500HP +-Cannot be forged +-Cannot be duplicated</v>
      </c>
      <c r="G214" s="16">
        <f>IFERROR(__xludf.DUMMYFUNCTION("""COMPUTED_VALUE"""),280000.0)</f>
        <v>280000</v>
      </c>
      <c r="H214" s="16"/>
      <c r="I214" s="16"/>
      <c r="J214" s="16"/>
      <c r="K214" s="16"/>
      <c r="L214" s="16"/>
      <c r="M214" s="16"/>
      <c r="N214" s="16"/>
      <c r="O214" s="16"/>
      <c r="P214" s="16"/>
      <c r="Q214" s="16"/>
      <c r="R214" s="16"/>
      <c r="S214" s="16"/>
      <c r="T214" s="16"/>
      <c r="U214" s="16"/>
      <c r="V214" s="16"/>
      <c r="W214" s="16"/>
      <c r="X214" s="16"/>
      <c r="Y214" s="16"/>
      <c r="Z214" s="16"/>
    </row>
    <row r="215">
      <c r="A215" s="16" t="str">
        <f>IFERROR(__xludf.DUMMYFUNCTION("""COMPUTED_VALUE"""),"Robe of Vanish")</f>
        <v>Robe of Vanish</v>
      </c>
      <c r="B215" s="16"/>
      <c r="C215" s="16"/>
      <c r="D215" s="16" t="str">
        <f>IFERROR(__xludf.DUMMYFUNCTION("""COMPUTED_VALUE"""),"Torso")</f>
        <v>Torso</v>
      </c>
      <c r="E215" s="16">
        <f>IFERROR(__xludf.DUMMYFUNCTION("""COMPUTED_VALUE"""),20.0)</f>
        <v>20</v>
      </c>
      <c r="F215" s="16" t="str">
        <f>IFERROR(__xludf.DUMMYFUNCTION("""COMPUTED_VALUE"""),"DEF: +900 ++Shadow Disappear - When Equipped you are invulnerable to all damage for the first round of battle. ")</f>
        <v>DEF: +900 ++Shadow Disappear - When Equipped you are invulnerable to all damage for the first round of battle. </v>
      </c>
      <c r="G215" s="16">
        <f>IFERROR(__xludf.DUMMYFUNCTION("""COMPUTED_VALUE"""),1000.0)</f>
        <v>1000</v>
      </c>
      <c r="H215" s="16"/>
      <c r="I215" s="16"/>
      <c r="J215" s="16"/>
      <c r="K215" s="16"/>
      <c r="L215" s="16"/>
      <c r="M215" s="16"/>
      <c r="N215" s="16"/>
      <c r="O215" s="16"/>
      <c r="P215" s="16"/>
      <c r="Q215" s="16"/>
      <c r="R215" s="16"/>
      <c r="S215" s="16"/>
      <c r="T215" s="16"/>
      <c r="U215" s="16"/>
      <c r="V215" s="16"/>
      <c r="W215" s="16"/>
      <c r="X215" s="16"/>
      <c r="Y215" s="16"/>
      <c r="Z215" s="16"/>
    </row>
    <row r="216">
      <c r="A216" s="16" t="str">
        <f>IFERROR(__xludf.DUMMYFUNCTION("""COMPUTED_VALUE"""),"Robes of a Peaceful Immortal")</f>
        <v>Robes of a Peaceful Immortal</v>
      </c>
      <c r="B216" s="16"/>
      <c r="C216" s="16"/>
      <c r="D216" s="16" t="str">
        <f>IFERROR(__xludf.DUMMYFUNCTION("""COMPUTED_VALUE"""),"Torso")</f>
        <v>Torso</v>
      </c>
      <c r="E216" s="16">
        <f>IFERROR(__xludf.DUMMYFUNCTION("""COMPUTED_VALUE"""),1.0)</f>
        <v>1</v>
      </c>
      <c r="F216" s="16" t="str">
        <f>IFERROR(__xludf.DUMMYFUNCTION("""COMPUTED_VALUE""")," ++Peaceful Blessing - Incapable of receiving or dealing damage. +-Cannot be duplicated.")</f>
        <v> ++Peaceful Blessing - Incapable of receiving or dealing damage. +-Cannot be duplicated.</v>
      </c>
      <c r="G216" s="16">
        <f>IFERROR(__xludf.DUMMYFUNCTION("""COMPUTED_VALUE"""),0.0)</f>
        <v>0</v>
      </c>
      <c r="H216" s="16"/>
      <c r="I216" s="16"/>
      <c r="J216" s="16"/>
      <c r="K216" s="16"/>
      <c r="L216" s="16"/>
      <c r="M216" s="16"/>
      <c r="N216" s="16"/>
      <c r="O216" s="16"/>
      <c r="P216" s="16"/>
      <c r="Q216" s="16"/>
      <c r="R216" s="16"/>
      <c r="S216" s="16"/>
      <c r="T216" s="16"/>
      <c r="U216" s="16"/>
      <c r="V216" s="16"/>
      <c r="W216" s="16"/>
      <c r="X216" s="16"/>
      <c r="Y216" s="16"/>
      <c r="Z216" s="16"/>
    </row>
    <row r="217">
      <c r="A217" s="16" t="str">
        <f>IFERROR(__xludf.DUMMYFUNCTION("""COMPUTED_VALUE"""),"Royal Amulet Of Heatmore")</f>
        <v>Royal Amulet Of Heatmore</v>
      </c>
      <c r="B217" s="16"/>
      <c r="C217" s="16"/>
      <c r="D217" s="16" t="str">
        <f>IFERROR(__xludf.DUMMYFUNCTION("""COMPUTED_VALUE"""),"Neck")</f>
        <v>Neck</v>
      </c>
      <c r="E217" s="16">
        <f>IFERROR(__xludf.DUMMYFUNCTION("""COMPUTED_VALUE"""),1.0)</f>
        <v>1</v>
      </c>
      <c r="F217" s="16" t="str">
        <f>IFERROR(__xludf.DUMMYFUNCTION("""COMPUTED_VALUE""")," ++ immune to fire dmg")</f>
        <v> ++ immune to fire dmg</v>
      </c>
      <c r="G217" s="16">
        <f>IFERROR(__xludf.DUMMYFUNCTION("""COMPUTED_VALUE"""),0.0)</f>
        <v>0</v>
      </c>
      <c r="H217" s="16"/>
      <c r="I217" s="16"/>
      <c r="J217" s="16"/>
      <c r="K217" s="16"/>
      <c r="L217" s="16"/>
      <c r="M217" s="16"/>
      <c r="N217" s="16"/>
      <c r="O217" s="16"/>
      <c r="P217" s="16"/>
      <c r="Q217" s="16"/>
      <c r="R217" s="16"/>
      <c r="S217" s="16"/>
      <c r="T217" s="16"/>
      <c r="U217" s="16"/>
      <c r="V217" s="16"/>
      <c r="W217" s="16"/>
      <c r="X217" s="16"/>
      <c r="Y217" s="16"/>
      <c r="Z217" s="16"/>
    </row>
    <row r="218">
      <c r="A218" s="16" t="str">
        <f>IFERROR(__xludf.DUMMYFUNCTION("""COMPUTED_VALUE"""),"Royal Guard Axe")</f>
        <v>Royal Guard Axe</v>
      </c>
      <c r="B218" s="16" t="str">
        <f>IFERROR(__xludf.DUMMYFUNCTION("""COMPUTED_VALUE"""),"Quest Item")</f>
        <v>Quest Item</v>
      </c>
      <c r="C218" s="16"/>
      <c r="D218" s="16" t="str">
        <f>IFERROR(__xludf.DUMMYFUNCTION("""COMPUTED_VALUE"""),"Hand")</f>
        <v>Hand</v>
      </c>
      <c r="E218" s="16">
        <f>IFERROR(__xludf.DUMMYFUNCTION("""COMPUTED_VALUE"""),200.0)</f>
        <v>200</v>
      </c>
      <c r="F218" s="16" t="str">
        <f>IFERROR(__xludf.DUMMYFUNCTION("""COMPUTED_VALUE"""),"DMG: +50000, Light DMG: +50000, Celestial DMG: +50000 ++X4 additional Weapon Damage. +-Cannot be duplicated.")</f>
        <v>DMG: +50000, Light DMG: +50000, Celestial DMG: +50000 ++X4 additional Weapon Damage. +-Cannot be duplicated.</v>
      </c>
      <c r="G218" s="16">
        <f>IFERROR(__xludf.DUMMYFUNCTION("""COMPUTED_VALUE"""),4.485E8)</f>
        <v>448500000</v>
      </c>
      <c r="H218" s="16"/>
      <c r="I218" s="16"/>
      <c r="J218" s="16"/>
      <c r="K218" s="16"/>
      <c r="L218" s="16"/>
      <c r="M218" s="16"/>
      <c r="N218" s="16"/>
      <c r="O218" s="16"/>
      <c r="P218" s="16"/>
      <c r="Q218" s="16"/>
      <c r="R218" s="16"/>
      <c r="S218" s="16"/>
      <c r="T218" s="16"/>
      <c r="U218" s="16"/>
      <c r="V218" s="16"/>
      <c r="W218" s="16"/>
      <c r="X218" s="16"/>
      <c r="Y218" s="16"/>
      <c r="Z218" s="16"/>
    </row>
    <row r="219">
      <c r="A219" s="16" t="str">
        <f>IFERROR(__xludf.DUMMYFUNCTION("""COMPUTED_VALUE"""),"Royal Guard Helmet")</f>
        <v>Royal Guard Helmet</v>
      </c>
      <c r="B219" s="16" t="str">
        <f>IFERROR(__xludf.DUMMYFUNCTION("""COMPUTED_VALUE"""),"Quest Item")</f>
        <v>Quest Item</v>
      </c>
      <c r="C219" s="16"/>
      <c r="D219" s="16" t="str">
        <f>IFERROR(__xludf.DUMMYFUNCTION("""COMPUTED_VALUE"""),"Head")</f>
        <v>Head</v>
      </c>
      <c r="E219" s="16">
        <f>IFERROR(__xludf.DUMMYFUNCTION("""COMPUTED_VALUE"""),200.0)</f>
        <v>200</v>
      </c>
      <c r="F219"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19" s="16">
        <f>IFERROR(__xludf.DUMMYFUNCTION("""COMPUTED_VALUE"""),4.485E8)</f>
        <v>448500000</v>
      </c>
      <c r="H219" s="16"/>
      <c r="I219" s="16"/>
      <c r="J219" s="16"/>
      <c r="K219" s="16"/>
      <c r="L219" s="16"/>
      <c r="M219" s="16"/>
      <c r="N219" s="16"/>
      <c r="O219" s="16"/>
      <c r="P219" s="16"/>
      <c r="Q219" s="16"/>
      <c r="R219" s="16"/>
      <c r="S219" s="16"/>
      <c r="T219" s="16"/>
      <c r="U219" s="16"/>
      <c r="V219" s="16"/>
      <c r="W219" s="16"/>
      <c r="X219" s="16"/>
      <c r="Y219" s="16"/>
      <c r="Z219" s="16"/>
    </row>
    <row r="220">
      <c r="A220" s="16" t="str">
        <f>IFERROR(__xludf.DUMMYFUNCTION("""COMPUTED_VALUE"""),"Royal Guard Chestplate")</f>
        <v>Royal Guard Chestplate</v>
      </c>
      <c r="B220" s="16" t="str">
        <f>IFERROR(__xludf.DUMMYFUNCTION("""COMPUTED_VALUE"""),"Quest Item")</f>
        <v>Quest Item</v>
      </c>
      <c r="C220" s="16"/>
      <c r="D220" s="16" t="str">
        <f>IFERROR(__xludf.DUMMYFUNCTION("""COMPUTED_VALUE"""),"Torso")</f>
        <v>Torso</v>
      </c>
      <c r="E220" s="16">
        <f>IFERROR(__xludf.DUMMYFUNCTION("""COMPUTED_VALUE"""),200.0)</f>
        <v>200</v>
      </c>
      <c r="F220"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0" s="16">
        <f>IFERROR(__xludf.DUMMYFUNCTION("""COMPUTED_VALUE"""),4.485E8)</f>
        <v>448500000</v>
      </c>
      <c r="H220" s="16"/>
      <c r="I220" s="16"/>
      <c r="J220" s="16"/>
      <c r="K220" s="16"/>
      <c r="L220" s="16"/>
      <c r="M220" s="16"/>
      <c r="N220" s="16"/>
      <c r="O220" s="16"/>
      <c r="P220" s="16"/>
      <c r="Q220" s="16"/>
      <c r="R220" s="16"/>
      <c r="S220" s="16"/>
      <c r="T220" s="16"/>
      <c r="U220" s="16"/>
      <c r="V220" s="16"/>
      <c r="W220" s="16"/>
      <c r="X220" s="16"/>
      <c r="Y220" s="16"/>
      <c r="Z220" s="16"/>
    </row>
    <row r="221">
      <c r="A221" s="16" t="str">
        <f>IFERROR(__xludf.DUMMYFUNCTION("""COMPUTED_VALUE"""),"Royal Guard Boots")</f>
        <v>Royal Guard Boots</v>
      </c>
      <c r="B221" s="16" t="str">
        <f>IFERROR(__xludf.DUMMYFUNCTION("""COMPUTED_VALUE"""),"Quest Item")</f>
        <v>Quest Item</v>
      </c>
      <c r="C221" s="16"/>
      <c r="D221" s="16" t="str">
        <f>IFERROR(__xludf.DUMMYFUNCTION("""COMPUTED_VALUE"""),"Feet")</f>
        <v>Feet</v>
      </c>
      <c r="E221" s="16">
        <f>IFERROR(__xludf.DUMMYFUNCTION("""COMPUTED_VALUE"""),200.0)</f>
        <v>200</v>
      </c>
      <c r="F221"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1" s="16">
        <f>IFERROR(__xludf.DUMMYFUNCTION("""COMPUTED_VALUE"""),4.485E8)</f>
        <v>448500000</v>
      </c>
      <c r="H221" s="16"/>
      <c r="I221" s="16"/>
      <c r="J221" s="16"/>
      <c r="K221" s="16"/>
      <c r="L221" s="16"/>
      <c r="M221" s="16"/>
      <c r="N221" s="16"/>
      <c r="O221" s="16"/>
      <c r="P221" s="16"/>
      <c r="Q221" s="16"/>
      <c r="R221" s="16"/>
      <c r="S221" s="16"/>
      <c r="T221" s="16"/>
      <c r="U221" s="16"/>
      <c r="V221" s="16"/>
      <c r="W221" s="16"/>
      <c r="X221" s="16"/>
      <c r="Y221" s="16"/>
      <c r="Z221" s="16"/>
    </row>
    <row r="222">
      <c r="A222" s="16" t="str">
        <f>IFERROR(__xludf.DUMMYFUNCTION("""COMPUTED_VALUE"""),"Royal Guard Greaves")</f>
        <v>Royal Guard Greaves</v>
      </c>
      <c r="B222" s="16" t="str">
        <f>IFERROR(__xludf.DUMMYFUNCTION("""COMPUTED_VALUE"""),"Quest Item")</f>
        <v>Quest Item</v>
      </c>
      <c r="C222" s="16"/>
      <c r="D222" s="16" t="str">
        <f>IFERROR(__xludf.DUMMYFUNCTION("""COMPUTED_VALUE"""),"Legs")</f>
        <v>Legs</v>
      </c>
      <c r="E222" s="16">
        <f>IFERROR(__xludf.DUMMYFUNCTION("""COMPUTED_VALUE"""),200.0)</f>
        <v>200</v>
      </c>
      <c r="F222"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2" s="16">
        <f>IFERROR(__xludf.DUMMYFUNCTION("""COMPUTED_VALUE"""),4.485E8)</f>
        <v>448500000</v>
      </c>
      <c r="H222" s="16"/>
      <c r="I222" s="16"/>
      <c r="J222" s="16"/>
      <c r="K222" s="16"/>
      <c r="L222" s="16"/>
      <c r="M222" s="16"/>
      <c r="N222" s="16"/>
      <c r="O222" s="16"/>
      <c r="P222" s="16"/>
      <c r="Q222" s="16"/>
      <c r="R222" s="16"/>
      <c r="S222" s="16"/>
      <c r="T222" s="16"/>
      <c r="U222" s="16"/>
      <c r="V222" s="16"/>
      <c r="W222" s="16"/>
      <c r="X222" s="16"/>
      <c r="Y222" s="16"/>
      <c r="Z222" s="16"/>
    </row>
    <row r="223">
      <c r="A223" s="16" t="str">
        <f>IFERROR(__xludf.DUMMYFUNCTION("""COMPUTED_VALUE"""),"Royal Keeper Shield")</f>
        <v>Royal Keeper Shield</v>
      </c>
      <c r="B223" s="16"/>
      <c r="C223" s="16" t="str">
        <f>IFERROR(__xludf.DUMMYFUNCTION("""COMPUTED_VALUE"""),"Towershield")</f>
        <v>Towershield</v>
      </c>
      <c r="D223" s="16" t="str">
        <f>IFERROR(__xludf.DUMMYFUNCTION("""COMPUTED_VALUE"""),"Hand")</f>
        <v>Hand</v>
      </c>
      <c r="E223" s="16">
        <f>IFERROR(__xludf.DUMMYFUNCTION("""COMPUTED_VALUE"""),20.0)</f>
        <v>20</v>
      </c>
      <c r="F223" s="16" t="str">
        <f>IFERROR(__xludf.DUMMYFUNCTION("""COMPUTED_VALUE"""),"DEF: +1000 ++Royal Block - Gan invulnerability to all damage for 3 rounds of battle. 5000SP Will Succeed.")</f>
        <v>DEF: +1000 ++Royal Block - Gan invulnerability to all damage for 3 rounds of battle. 5000SP Will Succeed.</v>
      </c>
      <c r="G223" s="16">
        <f>IFERROR(__xludf.DUMMYFUNCTION("""COMPUTED_VALUE"""),10000.0)</f>
        <v>10000</v>
      </c>
      <c r="H223" s="16"/>
      <c r="I223" s="16"/>
      <c r="J223" s="16"/>
      <c r="K223" s="16"/>
      <c r="L223" s="16"/>
      <c r="M223" s="16"/>
      <c r="N223" s="16"/>
      <c r="O223" s="16"/>
      <c r="P223" s="16"/>
      <c r="Q223" s="16"/>
      <c r="R223" s="16"/>
      <c r="S223" s="16"/>
      <c r="T223" s="16"/>
      <c r="U223" s="16"/>
      <c r="V223" s="16"/>
      <c r="W223" s="16"/>
      <c r="X223" s="16"/>
      <c r="Y223" s="16"/>
      <c r="Z223" s="16"/>
    </row>
    <row r="224">
      <c r="A224" s="16" t="str">
        <f>IFERROR(__xludf.DUMMYFUNCTION("""COMPUTED_VALUE"""),"Royal Keeper Spear")</f>
        <v>Royal Keeper Spear</v>
      </c>
      <c r="B224" s="16"/>
      <c r="C224" s="16" t="str">
        <f>IFERROR(__xludf.DUMMYFUNCTION("""COMPUTED_VALUE"""),"Spear")</f>
        <v>Spear</v>
      </c>
      <c r="D224" s="16" t="str">
        <f>IFERROR(__xludf.DUMMYFUNCTION("""COMPUTED_VALUE"""),"Hand")</f>
        <v>Hand</v>
      </c>
      <c r="E224" s="16">
        <f>IFERROR(__xludf.DUMMYFUNCTION("""COMPUTED_VALUE"""),400.0)</f>
        <v>400</v>
      </c>
      <c r="F224" s="16" t="str">
        <f>IFERROR(__xludf.DUMMYFUNCTION("""COMPUTED_VALUE"""),"DMG: +10000, Fire DMG: +10000 ++Royal Stance -  Shuttering 1 for the first round of battle.")</f>
        <v>DMG: +10000, Fire DMG: +10000 ++Royal Stance -  Shuttering 1 for the first round of battle.</v>
      </c>
      <c r="G224" s="16">
        <f>IFERROR(__xludf.DUMMYFUNCTION("""COMPUTED_VALUE"""),7800000.0)</f>
        <v>7800000</v>
      </c>
      <c r="H224" s="16"/>
      <c r="I224" s="16"/>
      <c r="J224" s="16"/>
      <c r="K224" s="16"/>
      <c r="L224" s="16"/>
      <c r="M224" s="16"/>
      <c r="N224" s="16"/>
      <c r="O224" s="16"/>
      <c r="P224" s="16"/>
      <c r="Q224" s="16"/>
      <c r="R224" s="16"/>
      <c r="S224" s="16"/>
      <c r="T224" s="16"/>
      <c r="U224" s="16"/>
      <c r="V224" s="16"/>
      <c r="W224" s="16"/>
      <c r="X224" s="16"/>
      <c r="Y224" s="16"/>
      <c r="Z224" s="16"/>
    </row>
    <row r="225">
      <c r="A225" s="16" t="str">
        <f>IFERROR(__xludf.DUMMYFUNCTION("""COMPUTED_VALUE"""),"Royal Sword of Chaotic Shadows")</f>
        <v>Royal Sword of Chaotic Shadows</v>
      </c>
      <c r="B225" s="16"/>
      <c r="C225" s="16" t="str">
        <f>IFERROR(__xludf.DUMMYFUNCTION("""COMPUTED_VALUE"""),"Sword")</f>
        <v>Sword</v>
      </c>
      <c r="D225" s="16" t="str">
        <f>IFERROR(__xludf.DUMMYFUNCTION("""COMPUTED_VALUE"""),"Hand")</f>
        <v>Hand</v>
      </c>
      <c r="E225" s="16">
        <f>IFERROR(__xludf.DUMMYFUNCTION("""COMPUTED_VALUE"""),900.0)</f>
        <v>900</v>
      </c>
      <c r="F225" s="16" t="str">
        <f>IFERROR(__xludf.DUMMYFUNCTION("""COMPUTED_VALUE"""),"DMG: +15000, Dark DMG: +15000, Chaos DMG: +15000 ++Dark and Chaos Weapons and Spells deal an additional X2 damage while this item is equipped.. +-Cannot be duplicated.")</f>
        <v>DMG: +15000, Dark DMG: +15000, Chaos DMG: +15000 ++Dark and Chaos Weapons and Spells deal an additional X2 damage while this item is equipped.. +-Cannot be duplicated.</v>
      </c>
      <c r="G225" s="16">
        <f>IFERROR(__xludf.DUMMYFUNCTION("""COMPUTED_VALUE"""),4.005E7)</f>
        <v>40050000</v>
      </c>
      <c r="H225" s="16"/>
      <c r="I225" s="16"/>
      <c r="J225" s="16"/>
      <c r="K225" s="16"/>
      <c r="L225" s="16"/>
      <c r="M225" s="16"/>
      <c r="N225" s="16"/>
      <c r="O225" s="16"/>
      <c r="P225" s="16"/>
      <c r="Q225" s="16"/>
      <c r="R225" s="16"/>
      <c r="S225" s="16"/>
      <c r="T225" s="16"/>
      <c r="U225" s="16"/>
      <c r="V225" s="16"/>
      <c r="W225" s="16"/>
      <c r="X225" s="16"/>
      <c r="Y225" s="16"/>
      <c r="Z225" s="16"/>
    </row>
    <row r="226">
      <c r="A226" s="16" t="str">
        <f>IFERROR(__xludf.DUMMYFUNCTION("""COMPUTED_VALUE"""),"Rusty sword")</f>
        <v>Rusty sword</v>
      </c>
      <c r="B226" s="16"/>
      <c r="C226" s="16" t="str">
        <f>IFERROR(__xludf.DUMMYFUNCTION("""COMPUTED_VALUE"""),"Sword")</f>
        <v>Sword</v>
      </c>
      <c r="D226" s="16" t="str">
        <f>IFERROR(__xludf.DUMMYFUNCTION("""COMPUTED_VALUE"""),"Hand")</f>
        <v>Hand</v>
      </c>
      <c r="E226" s="16">
        <f>IFERROR(__xludf.DUMMYFUNCTION("""COMPUTED_VALUE"""),1.0)</f>
        <v>1</v>
      </c>
      <c r="F226" s="16" t="str">
        <f>IFERROR(__xludf.DUMMYFUNCTION("""COMPUTED_VALUE"""),"DMG: +60 ++25% chance to break with each use")</f>
        <v>DMG: +60 ++25% chance to break with each use</v>
      </c>
      <c r="G226" s="16">
        <f>IFERROR(__xludf.DUMMYFUNCTION("""COMPUTED_VALUE"""),0.0)</f>
        <v>0</v>
      </c>
      <c r="H226" s="16"/>
      <c r="I226" s="16"/>
      <c r="J226" s="16"/>
      <c r="K226" s="16"/>
      <c r="L226" s="16"/>
      <c r="M226" s="16"/>
      <c r="N226" s="16"/>
      <c r="O226" s="16"/>
      <c r="P226" s="16"/>
      <c r="Q226" s="16"/>
      <c r="R226" s="16"/>
      <c r="S226" s="16"/>
      <c r="T226" s="16"/>
      <c r="U226" s="16"/>
      <c r="V226" s="16"/>
      <c r="W226" s="16"/>
      <c r="X226" s="16"/>
      <c r="Y226" s="16"/>
      <c r="Z226" s="16"/>
    </row>
    <row r="227">
      <c r="A227" s="16" t="str">
        <f>IFERROR(__xludf.DUMMYFUNCTION("""COMPUTED_VALUE"""),"Saber Toothed Sword")</f>
        <v>Saber Toothed Sword</v>
      </c>
      <c r="B227" s="16" t="str">
        <f>IFERROR(__xludf.DUMMYFUNCTION("""COMPUTED_VALUE"""),"A sword crafted from the teeth of a saber toothed cat.")</f>
        <v>A sword crafted from the teeth of a saber toothed cat.</v>
      </c>
      <c r="C227" s="16" t="str">
        <f>IFERROR(__xludf.DUMMYFUNCTION("""COMPUTED_VALUE"""),"Sword")</f>
        <v>Sword</v>
      </c>
      <c r="D227" s="16" t="str">
        <f>IFERROR(__xludf.DUMMYFUNCTION("""COMPUTED_VALUE"""),"Hand")</f>
        <v>Hand</v>
      </c>
      <c r="E227" s="16">
        <f>IFERROR(__xludf.DUMMYFUNCTION("""COMPUTED_VALUE"""),2200.0)</f>
        <v>2200</v>
      </c>
      <c r="F227" s="16" t="str">
        <f>IFERROR(__xludf.DUMMYFUNCTION("""COMPUTED_VALUE"""),"DMG: +60000, Blood DMG: +50000 ++X2 additional blood damage.")</f>
        <v>DMG: +60000, Blood DMG: +50000 ++X2 additional blood damage.</v>
      </c>
      <c r="G227" s="16">
        <f>IFERROR(__xludf.DUMMYFUNCTION("""COMPUTED_VALUE"""),2.409E8)</f>
        <v>240900000</v>
      </c>
      <c r="H227" s="16"/>
      <c r="I227" s="16"/>
      <c r="J227" s="16"/>
      <c r="K227" s="16"/>
      <c r="L227" s="16"/>
      <c r="M227" s="16"/>
      <c r="N227" s="16"/>
      <c r="O227" s="16"/>
      <c r="P227" s="16"/>
      <c r="Q227" s="16"/>
      <c r="R227" s="16"/>
      <c r="S227" s="16"/>
      <c r="T227" s="16"/>
      <c r="U227" s="16"/>
      <c r="V227" s="16"/>
      <c r="W227" s="16"/>
      <c r="X227" s="16"/>
      <c r="Y227" s="16"/>
      <c r="Z227" s="16"/>
    </row>
    <row r="228">
      <c r="A228" s="16" t="str">
        <f>IFERROR(__xludf.DUMMYFUNCTION("""COMPUTED_VALUE"""),"Ancient Oni Chestplate")</f>
        <v>Ancient Oni Chestplate</v>
      </c>
      <c r="B228" s="16" t="str">
        <f>IFERROR(__xludf.DUMMYFUNCTION("""COMPUTED_VALUE"""),"An ancient relic to Zhenmay")</f>
        <v>An ancient relic to Zhenmay</v>
      </c>
      <c r="C228" s="16"/>
      <c r="D228" s="16" t="str">
        <f>IFERROR(__xludf.DUMMYFUNCTION("""COMPUTED_VALUE"""),"Torso")</f>
        <v>Torso</v>
      </c>
      <c r="E228" s="16">
        <f>IFERROR(__xludf.DUMMYFUNCTION("""COMPUTED_VALUE"""),200.0)</f>
        <v>200</v>
      </c>
      <c r="F228"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duplicated or forged.")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duplicated or forged.</v>
      </c>
      <c r="G228" s="16">
        <f>IFERROR(__xludf.DUMMYFUNCTION("""COMPUTED_VALUE"""),5.104E8)</f>
        <v>510400000</v>
      </c>
      <c r="H228" s="16"/>
      <c r="I228" s="16"/>
      <c r="J228" s="16"/>
      <c r="K228" s="16"/>
      <c r="L228" s="16"/>
      <c r="M228" s="16"/>
      <c r="N228" s="16"/>
      <c r="O228" s="16"/>
      <c r="P228" s="16"/>
      <c r="Q228" s="16"/>
      <c r="R228" s="16"/>
      <c r="S228" s="16"/>
      <c r="T228" s="16"/>
      <c r="U228" s="16"/>
      <c r="V228" s="16"/>
      <c r="W228" s="16"/>
      <c r="X228" s="16"/>
      <c r="Y228" s="16"/>
      <c r="Z228" s="16"/>
    </row>
    <row r="229">
      <c r="A229" s="16" t="str">
        <f>IFERROR(__xludf.DUMMYFUNCTION("""COMPUTED_VALUE"""),"Scythe of Mischief ")</f>
        <v>Scythe of Mischief </v>
      </c>
      <c r="B229" s="16"/>
      <c r="C229" s="16" t="str">
        <f>IFERROR(__xludf.DUMMYFUNCTION("""COMPUTED_VALUE"""),"Scythe")</f>
        <v>Scythe</v>
      </c>
      <c r="D229" s="16" t="str">
        <f>IFERROR(__xludf.DUMMYFUNCTION("""COMPUTED_VALUE"""),"Hand")</f>
        <v>Hand</v>
      </c>
      <c r="E229" s="16">
        <f>IFERROR(__xludf.DUMMYFUNCTION("""COMPUTED_VALUE"""),200.0)</f>
        <v>200</v>
      </c>
      <c r="F229" s="16" t="str">
        <f>IFERROR(__xludf.DUMMYFUNCTION("""COMPUTED_VALUE"""),"DMG: +5000, Fire DMG: +5000, Dark DMG: +5000, Spirit DMG: +5000, Chaos DMG: +5000, Stasis DMG: +5000, Twilight DMG: +5000, Voodoo DMG: +5000, Blood DMG: +5000, Celestial DMG: +10000 ++Enemies deduct 2 from their rolls when targeting you. +-Cannot be dupli"&amp;"cated")</f>
        <v>DMG: +5000, Fire DMG: +5000, Dark DMG: +5000, Spirit DMG: +5000, Chaos DMG: +5000, Stasis DMG: +5000, Twilight DMG: +5000, Voodoo DMG: +5000, Blood DMG: +5000, Celestial DMG: +10000 ++Enemies deduct 2 from their rolls when targeting you. +-Cannot be duplicated</v>
      </c>
      <c r="G229" s="16">
        <f>IFERROR(__xludf.DUMMYFUNCTION("""COMPUTED_VALUE"""),5.995E7)</f>
        <v>59950000</v>
      </c>
      <c r="H229" s="16"/>
      <c r="I229" s="16"/>
      <c r="J229" s="16"/>
      <c r="K229" s="16"/>
      <c r="L229" s="16"/>
      <c r="M229" s="16"/>
      <c r="N229" s="16"/>
      <c r="O229" s="16"/>
      <c r="P229" s="16"/>
      <c r="Q229" s="16"/>
      <c r="R229" s="16"/>
      <c r="S229" s="16"/>
      <c r="T229" s="16"/>
      <c r="U229" s="16"/>
      <c r="V229" s="16"/>
      <c r="W229" s="16"/>
      <c r="X229" s="16"/>
      <c r="Y229" s="16"/>
      <c r="Z229" s="16"/>
    </row>
    <row r="230">
      <c r="A230" s="16" t="str">
        <f>IFERROR(__xludf.DUMMYFUNCTION("""COMPUTED_VALUE"""),"Sea Serpent Boots")</f>
        <v>Sea Serpent Boots</v>
      </c>
      <c r="B230" s="16"/>
      <c r="C230" s="16"/>
      <c r="D230" s="16" t="str">
        <f>IFERROR(__xludf.DUMMYFUNCTION("""COMPUTED_VALUE"""),"Feet")</f>
        <v>Feet</v>
      </c>
      <c r="E230" s="16">
        <f>IFERROR(__xludf.DUMMYFUNCTION("""COMPUTED_VALUE"""),100.0)</f>
        <v>100</v>
      </c>
      <c r="F230" s="16" t="str">
        <f>IFERROR(__xludf.DUMMYFUNCTION("""COMPUTED_VALUE"""),"DEF: +2500, Water DEF: +2500 ++X2 additional water damage for self.")</f>
        <v>DEF: +2500, Water DEF: +2500 ++X2 additional water damage for self.</v>
      </c>
      <c r="G230" s="16">
        <f>IFERROR(__xludf.DUMMYFUNCTION("""COMPUTED_VALUE"""),450000.0)</f>
        <v>450000</v>
      </c>
      <c r="H230" s="16"/>
      <c r="I230" s="16"/>
      <c r="J230" s="16"/>
      <c r="K230" s="16"/>
      <c r="L230" s="16"/>
      <c r="M230" s="16"/>
      <c r="N230" s="16"/>
      <c r="O230" s="16"/>
      <c r="P230" s="16"/>
      <c r="Q230" s="16"/>
      <c r="R230" s="16"/>
      <c r="S230" s="16"/>
      <c r="T230" s="16"/>
      <c r="U230" s="16"/>
      <c r="V230" s="16"/>
      <c r="W230" s="16"/>
      <c r="X230" s="16"/>
      <c r="Y230" s="16"/>
      <c r="Z230" s="16"/>
    </row>
    <row r="231">
      <c r="A231" s="16" t="str">
        <f>IFERROR(__xludf.DUMMYFUNCTION("""COMPUTED_VALUE"""),"Sea Serpent Pauldrons")</f>
        <v>Sea Serpent Pauldrons</v>
      </c>
      <c r="B231" s="16"/>
      <c r="C231" s="16"/>
      <c r="D231" s="16" t="str">
        <f>IFERROR(__xludf.DUMMYFUNCTION("""COMPUTED_VALUE"""),"Shoulders")</f>
        <v>Shoulders</v>
      </c>
      <c r="E231" s="16">
        <f>IFERROR(__xludf.DUMMYFUNCTION("""COMPUTED_VALUE"""),100.0)</f>
        <v>100</v>
      </c>
      <c r="F231" s="16" t="str">
        <f>IFERROR(__xludf.DUMMYFUNCTION("""COMPUTED_VALUE"""),"DEF: +2500, Water DEF: +2500 ++X2 additional water damage for self.")</f>
        <v>DEF: +2500, Water DEF: +2500 ++X2 additional water damage for self.</v>
      </c>
      <c r="G231" s="16">
        <f>IFERROR(__xludf.DUMMYFUNCTION("""COMPUTED_VALUE"""),450000.0)</f>
        <v>450000</v>
      </c>
      <c r="H231" s="16"/>
      <c r="I231" s="16"/>
      <c r="J231" s="16"/>
      <c r="K231" s="16"/>
      <c r="L231" s="16"/>
      <c r="M231" s="16"/>
      <c r="N231" s="16"/>
      <c r="O231" s="16"/>
      <c r="P231" s="16"/>
      <c r="Q231" s="16"/>
      <c r="R231" s="16"/>
      <c r="S231" s="16"/>
      <c r="T231" s="16"/>
      <c r="U231" s="16"/>
      <c r="V231" s="16"/>
      <c r="W231" s="16"/>
      <c r="X231" s="16"/>
      <c r="Y231" s="16"/>
      <c r="Z231" s="16"/>
    </row>
    <row r="232">
      <c r="A232" s="16" t="str">
        <f>IFERROR(__xludf.DUMMYFUNCTION("""COMPUTED_VALUE"""),"Sea Serpent Vambrace")</f>
        <v>Sea Serpent Vambrace</v>
      </c>
      <c r="B232" s="16"/>
      <c r="C232" s="16"/>
      <c r="D232" s="16" t="str">
        <f>IFERROR(__xludf.DUMMYFUNCTION("""COMPUTED_VALUE"""),"Arms")</f>
        <v>Arms</v>
      </c>
      <c r="E232" s="16">
        <f>IFERROR(__xludf.DUMMYFUNCTION("""COMPUTED_VALUE"""),100.0)</f>
        <v>100</v>
      </c>
      <c r="F232" s="16" t="str">
        <f>IFERROR(__xludf.DUMMYFUNCTION("""COMPUTED_VALUE"""),"DEF: +2500, Water DEF: +2500 ++X2 additional water damage for self.")</f>
        <v>DEF: +2500, Water DEF: +2500 ++X2 additional water damage for self.</v>
      </c>
      <c r="G232" s="16">
        <f>IFERROR(__xludf.DUMMYFUNCTION("""COMPUTED_VALUE"""),450000.0)</f>
        <v>450000</v>
      </c>
      <c r="H232" s="16"/>
      <c r="I232" s="16"/>
      <c r="J232" s="16"/>
      <c r="K232" s="16"/>
      <c r="L232" s="16"/>
      <c r="M232" s="16"/>
      <c r="N232" s="16"/>
      <c r="O232" s="16"/>
      <c r="P232" s="16"/>
      <c r="Q232" s="16"/>
      <c r="R232" s="16"/>
      <c r="S232" s="16"/>
      <c r="T232" s="16"/>
      <c r="U232" s="16"/>
      <c r="V232" s="16"/>
      <c r="W232" s="16"/>
      <c r="X232" s="16"/>
      <c r="Y232" s="16"/>
      <c r="Z232" s="16"/>
    </row>
    <row r="233">
      <c r="A233" s="16" t="str">
        <f>IFERROR(__xludf.DUMMYFUNCTION("""COMPUTED_VALUE"""),"Sea Serpents Mythical Chestplate")</f>
        <v>Sea Serpents Mythical Chestplate</v>
      </c>
      <c r="B233" s="16"/>
      <c r="C233" s="16"/>
      <c r="D233" s="16" t="str">
        <f>IFERROR(__xludf.DUMMYFUNCTION("""COMPUTED_VALUE"""),"Torso")</f>
        <v>Torso</v>
      </c>
      <c r="E233" s="16">
        <f>IFERROR(__xludf.DUMMYFUNCTION("""COMPUTED_VALUE"""),200.0)</f>
        <v>200</v>
      </c>
      <c r="F233" s="16" t="str">
        <f>IFERROR(__xludf.DUMMYFUNCTION("""COMPUTED_VALUE"""),"DEF: +5000, Water DEF: +5000 ++X2 additional water damage for self. ++X4 Water damage for self and allies if you have all Sea Serpent Equipment Equipped.")</f>
        <v>DEF: +5000, Water DEF: +5000 ++X2 additional water damage for self. ++X4 Water damage for self and allies if you have all Sea Serpent Equipment Equipped.</v>
      </c>
      <c r="G233" s="16">
        <f>IFERROR(__xludf.DUMMYFUNCTION("""COMPUTED_VALUE"""),1900000.0)</f>
        <v>1900000</v>
      </c>
      <c r="H233" s="16"/>
      <c r="I233" s="16"/>
      <c r="J233" s="16"/>
      <c r="K233" s="16"/>
      <c r="L233" s="16"/>
      <c r="M233" s="16"/>
      <c r="N233" s="16"/>
      <c r="O233" s="16"/>
      <c r="P233" s="16"/>
      <c r="Q233" s="16"/>
      <c r="R233" s="16"/>
      <c r="S233" s="16"/>
      <c r="T233" s="16"/>
      <c r="U233" s="16"/>
      <c r="V233" s="16"/>
      <c r="W233" s="16"/>
      <c r="X233" s="16"/>
      <c r="Y233" s="16"/>
      <c r="Z233" s="16"/>
    </row>
    <row r="234">
      <c r="A234" s="16" t="str">
        <f>IFERROR(__xludf.DUMMYFUNCTION("""COMPUTED_VALUE"""),"Shadow Flute")</f>
        <v>Shadow Flute</v>
      </c>
      <c r="B234" s="16"/>
      <c r="C234" s="16"/>
      <c r="D234" s="16" t="str">
        <f>IFERROR(__xludf.DUMMYFUNCTION("""COMPUTED_VALUE"""),"Hand")</f>
        <v>Hand</v>
      </c>
      <c r="E234" s="16">
        <f>IFERROR(__xludf.DUMMYFUNCTION("""COMPUTED_VALUE"""),1.0)</f>
        <v>1</v>
      </c>
      <c r="F234" s="16" t="str">
        <f>IFERROR(__xludf.DUMMYFUNCTION("""COMPUTED_VALUE""")," ++Can summon a chaotic shadow gnome to battle.")</f>
        <v> ++Can summon a chaotic shadow gnome to battle.</v>
      </c>
      <c r="G234" s="16">
        <f>IFERROR(__xludf.DUMMYFUNCTION("""COMPUTED_VALUE"""),0.0)</f>
        <v>0</v>
      </c>
      <c r="H234" s="16"/>
      <c r="I234" s="16"/>
      <c r="J234" s="16"/>
      <c r="K234" s="16"/>
      <c r="L234" s="16"/>
      <c r="M234" s="16"/>
      <c r="N234" s="16"/>
      <c r="O234" s="16"/>
      <c r="P234" s="16"/>
      <c r="Q234" s="16"/>
      <c r="R234" s="16"/>
      <c r="S234" s="16"/>
      <c r="T234" s="16"/>
      <c r="U234" s="16"/>
      <c r="V234" s="16"/>
      <c r="W234" s="16"/>
      <c r="X234" s="16"/>
      <c r="Y234" s="16"/>
      <c r="Z234" s="16"/>
    </row>
    <row r="235">
      <c r="A235" s="16" t="str">
        <f>IFERROR(__xludf.DUMMYFUNCTION("""COMPUTED_VALUE"""),"Shadow Kings Sword")</f>
        <v>Shadow Kings Sword</v>
      </c>
      <c r="B235" s="16"/>
      <c r="C235" s="16" t="str">
        <f>IFERROR(__xludf.DUMMYFUNCTION("""COMPUTED_VALUE"""),"Sword")</f>
        <v>Sword</v>
      </c>
      <c r="D235" s="16" t="str">
        <f>IFERROR(__xludf.DUMMYFUNCTION("""COMPUTED_VALUE"""),"Hand")</f>
        <v>Hand</v>
      </c>
      <c r="E235" s="16">
        <f>IFERROR(__xludf.DUMMYFUNCTION("""COMPUTED_VALUE"""),400.0)</f>
        <v>400</v>
      </c>
      <c r="F235" s="16" t="str">
        <f>IFERROR(__xludf.DUMMYFUNCTION("""COMPUTED_VALUE"""),"DMG: +10000, Dark DMG: +5000, Chaos DMG: +5000")</f>
        <v>DMG: +10000, Dark DMG: +5000, Chaos DMG: +5000</v>
      </c>
      <c r="G235" s="16">
        <f>IFERROR(__xludf.DUMMYFUNCTION("""COMPUTED_VALUE"""),7800000.0)</f>
        <v>7800000</v>
      </c>
      <c r="H235" s="16"/>
      <c r="I235" s="16"/>
      <c r="J235" s="16"/>
      <c r="K235" s="16"/>
      <c r="L235" s="16"/>
      <c r="M235" s="16"/>
      <c r="N235" s="16"/>
      <c r="O235" s="16"/>
      <c r="P235" s="16"/>
      <c r="Q235" s="16"/>
      <c r="R235" s="16"/>
      <c r="S235" s="16"/>
      <c r="T235" s="16"/>
      <c r="U235" s="16"/>
      <c r="V235" s="16"/>
      <c r="W235" s="16"/>
      <c r="X235" s="16"/>
      <c r="Y235" s="16"/>
      <c r="Z235" s="16"/>
    </row>
    <row r="236">
      <c r="A236" s="16" t="str">
        <f>IFERROR(__xludf.DUMMYFUNCTION("""COMPUTED_VALUE"""),"Shield of Guarding Smite")</f>
        <v>Shield of Guarding Smite</v>
      </c>
      <c r="B236" s="16"/>
      <c r="C236" s="16" t="str">
        <f>IFERROR(__xludf.DUMMYFUNCTION("""COMPUTED_VALUE"""),"Towershield")</f>
        <v>Towershield</v>
      </c>
      <c r="D236" s="16" t="str">
        <f>IFERROR(__xludf.DUMMYFUNCTION("""COMPUTED_VALUE"""),"Hand")</f>
        <v>Hand</v>
      </c>
      <c r="E236" s="16">
        <f>IFERROR(__xludf.DUMMYFUNCTION("""COMPUTED_VALUE"""),2000.0)</f>
        <v>2000</v>
      </c>
      <c r="F236" s="16" t="str">
        <f>IFERROR(__xludf.DUMMYFUNCTION("""COMPUTED_VALUE"""),"DEF: +100000 ++75% chance to melt an enemies weapon that dealt damage to you. +-Cannot be duplicated")</f>
        <v>DEF: +100000 ++75% chance to melt an enemies weapon that dealt damage to you. +-Cannot be duplicated</v>
      </c>
      <c r="G236" s="16">
        <f>IFERROR(__xludf.DUMMYFUNCTION("""COMPUTED_VALUE"""),1.99E8)</f>
        <v>199000000</v>
      </c>
      <c r="H236" s="16"/>
      <c r="I236" s="16"/>
      <c r="J236" s="16"/>
      <c r="K236" s="16"/>
      <c r="L236" s="16"/>
      <c r="M236" s="16"/>
      <c r="N236" s="16"/>
      <c r="O236" s="16"/>
      <c r="P236" s="16"/>
      <c r="Q236" s="16"/>
      <c r="R236" s="16"/>
      <c r="S236" s="16"/>
      <c r="T236" s="16"/>
      <c r="U236" s="16"/>
      <c r="V236" s="16"/>
      <c r="W236" s="16"/>
      <c r="X236" s="16"/>
      <c r="Y236" s="16"/>
      <c r="Z236" s="16"/>
    </row>
    <row r="237">
      <c r="A237" s="16" t="str">
        <f>IFERROR(__xludf.DUMMYFUNCTION("""COMPUTED_VALUE"""),"Shield of Targeting")</f>
        <v>Shield of Targeting</v>
      </c>
      <c r="B237" s="16"/>
      <c r="C237" s="16" t="str">
        <f>IFERROR(__xludf.DUMMYFUNCTION("""COMPUTED_VALUE"""),"Buckler")</f>
        <v>Buckler</v>
      </c>
      <c r="D237" s="16" t="str">
        <f>IFERROR(__xludf.DUMMYFUNCTION("""COMPUTED_VALUE"""),"Hand")</f>
        <v>Hand</v>
      </c>
      <c r="E237" s="16">
        <f>IFERROR(__xludf.DUMMYFUNCTION("""COMPUTED_VALUE"""),20.0)</f>
        <v>20</v>
      </c>
      <c r="F237" s="16" t="str">
        <f>IFERROR(__xludf.DUMMYFUNCTION("""COMPUTED_VALUE"""),"DEF: +1000 ++Target me you B**** - enemies will automatically target you no matter, Use intimidation for this item effect.")</f>
        <v>DEF: +1000 ++Target me you B**** - enemies will automatically target you no matter, Use intimidation for this item effect.</v>
      </c>
      <c r="G237" s="16">
        <f>IFERROR(__xludf.DUMMYFUNCTION("""COMPUTED_VALUE"""),10000.0)</f>
        <v>10000</v>
      </c>
      <c r="H237" s="16"/>
      <c r="I237" s="16"/>
      <c r="J237" s="16"/>
      <c r="K237" s="16"/>
      <c r="L237" s="16"/>
      <c r="M237" s="16"/>
      <c r="N237" s="16"/>
      <c r="O237" s="16"/>
      <c r="P237" s="16"/>
      <c r="Q237" s="16"/>
      <c r="R237" s="16"/>
      <c r="S237" s="16"/>
      <c r="T237" s="16"/>
      <c r="U237" s="16"/>
      <c r="V237" s="16"/>
      <c r="W237" s="16"/>
      <c r="X237" s="16"/>
      <c r="Y237" s="16"/>
      <c r="Z237" s="16"/>
    </row>
    <row r="238">
      <c r="A238" s="16" t="str">
        <f>IFERROR(__xludf.DUMMYFUNCTION("""COMPUTED_VALUE"""),"Shining Katana")</f>
        <v>Shining Katana</v>
      </c>
      <c r="B238" s="16"/>
      <c r="C238" s="16"/>
      <c r="D238" s="16" t="str">
        <f>IFERROR(__xludf.DUMMYFUNCTION("""COMPUTED_VALUE"""),"Hand")</f>
        <v>Hand</v>
      </c>
      <c r="E238" s="16">
        <f>IFERROR(__xludf.DUMMYFUNCTION("""COMPUTED_VALUE"""),200.0)</f>
        <v>200</v>
      </c>
      <c r="F238" s="16" t="str">
        <f>IFERROR(__xludf.DUMMYFUNCTION("""COMPUTED_VALUE"""),"DMG: +10000 ++++500 bleeding damage p/r.")</f>
        <v>DMG: +10000 ++++500 bleeding damage p/r.</v>
      </c>
      <c r="G238" s="16">
        <f>IFERROR(__xludf.DUMMYFUNCTION("""COMPUTED_VALUE"""),1900000.0)</f>
        <v>1900000</v>
      </c>
      <c r="H238" s="16"/>
      <c r="I238" s="16"/>
      <c r="J238" s="16"/>
      <c r="K238" s="16"/>
      <c r="L238" s="16"/>
      <c r="M238" s="16"/>
      <c r="N238" s="16"/>
      <c r="O238" s="16"/>
      <c r="P238" s="16"/>
      <c r="Q238" s="16"/>
      <c r="R238" s="16"/>
      <c r="S238" s="16"/>
      <c r="T238" s="16"/>
      <c r="U238" s="16"/>
      <c r="V238" s="16"/>
      <c r="W238" s="16"/>
      <c r="X238" s="16"/>
      <c r="Y238" s="16"/>
      <c r="Z238" s="16"/>
    </row>
    <row r="239">
      <c r="A239" s="16" t="str">
        <f>IFERROR(__xludf.DUMMYFUNCTION("""COMPUTED_VALUE"""),"Shoes of Metal Harmony's")</f>
        <v>Shoes of Metal Harmony's</v>
      </c>
      <c r="B239" s="16"/>
      <c r="C239" s="16"/>
      <c r="D239" s="16" t="str">
        <f>IFERROR(__xludf.DUMMYFUNCTION("""COMPUTED_VALUE"""),"Feet")</f>
        <v>Feet</v>
      </c>
      <c r="E239" s="16">
        <f>IFERROR(__xludf.DUMMYFUNCTION("""COMPUTED_VALUE"""),200.0)</f>
        <v>200</v>
      </c>
      <c r="F239" s="16" t="str">
        <f>IFERROR(__xludf.DUMMYFUNCTION("""COMPUTED_VALUE"""),"DEF: +10000 ++When dealing damage with an instrument you will regain hp equal to the damage you caused.")</f>
        <v>DEF: +10000 ++When dealing damage with an instrument you will regain hp equal to the damage you caused.</v>
      </c>
      <c r="G239" s="16">
        <f>IFERROR(__xludf.DUMMYFUNCTION("""COMPUTED_VALUE"""),1900000.0)</f>
        <v>1900000</v>
      </c>
      <c r="H239" s="16"/>
      <c r="I239" s="16"/>
      <c r="J239" s="16"/>
      <c r="K239" s="16"/>
      <c r="L239" s="16"/>
      <c r="M239" s="16"/>
      <c r="N239" s="16"/>
      <c r="O239" s="16"/>
      <c r="P239" s="16"/>
      <c r="Q239" s="16"/>
      <c r="R239" s="16"/>
      <c r="S239" s="16"/>
      <c r="T239" s="16"/>
      <c r="U239" s="16"/>
      <c r="V239" s="16"/>
      <c r="W239" s="16"/>
      <c r="X239" s="16"/>
      <c r="Y239" s="16"/>
      <c r="Z239" s="16"/>
    </row>
    <row r="240">
      <c r="A240" s="16" t="str">
        <f>IFERROR(__xludf.DUMMYFUNCTION("""COMPUTED_VALUE"""),"Shoes of Water Walking")</f>
        <v>Shoes of Water Walking</v>
      </c>
      <c r="B240" s="16"/>
      <c r="C240" s="16"/>
      <c r="D240" s="16" t="str">
        <f>IFERROR(__xludf.DUMMYFUNCTION("""COMPUTED_VALUE"""),"Feet")</f>
        <v>Feet</v>
      </c>
      <c r="E240" s="16">
        <f>IFERROR(__xludf.DUMMYFUNCTION("""COMPUTED_VALUE"""),200.0)</f>
        <v>200</v>
      </c>
      <c r="F240" s="16" t="str">
        <f>IFERROR(__xludf.DUMMYFUNCTION("""COMPUTED_VALUE"""),"DEF: +5000, Water DEF: +5000 ++All water damage can now be any Element of choosing (this will still be counted as water damage for additional buffs).")</f>
        <v>DEF: +5000, Water DEF: +5000 ++All water damage can now be any Element of choosing (this will still be counted as water damage for additional buffs).</v>
      </c>
      <c r="G240" s="16">
        <f>IFERROR(__xludf.DUMMYFUNCTION("""COMPUTED_VALUE"""),1900000.0)</f>
        <v>1900000</v>
      </c>
      <c r="H240" s="16"/>
      <c r="I240" s="16"/>
      <c r="J240" s="16"/>
      <c r="K240" s="16"/>
      <c r="L240" s="16"/>
      <c r="M240" s="16"/>
      <c r="N240" s="16"/>
      <c r="O240" s="16"/>
      <c r="P240" s="16"/>
      <c r="Q240" s="16"/>
      <c r="R240" s="16"/>
      <c r="S240" s="16"/>
      <c r="T240" s="16"/>
      <c r="U240" s="16"/>
      <c r="V240" s="16"/>
      <c r="W240" s="16"/>
      <c r="X240" s="16"/>
      <c r="Y240" s="16"/>
      <c r="Z240" s="16"/>
    </row>
    <row r="241">
      <c r="A241" s="16" t="str">
        <f>IFERROR(__xludf.DUMMYFUNCTION("""COMPUTED_VALUE"""),"Short Spear")</f>
        <v>Short Spear</v>
      </c>
      <c r="B241" s="16"/>
      <c r="C241" s="16" t="str">
        <f>IFERROR(__xludf.DUMMYFUNCTION("""COMPUTED_VALUE"""),"Spear")</f>
        <v>Spear</v>
      </c>
      <c r="D241" s="16" t="str">
        <f>IFERROR(__xludf.DUMMYFUNCTION("""COMPUTED_VALUE"""),"Hand")</f>
        <v>Hand</v>
      </c>
      <c r="E241" s="16">
        <f>IFERROR(__xludf.DUMMYFUNCTION("""COMPUTED_VALUE"""),1.0)</f>
        <v>1</v>
      </c>
      <c r="F241" s="16" t="str">
        <f>IFERROR(__xludf.DUMMYFUNCTION("""COMPUTED_VALUE"""),"DMG: +250")</f>
        <v>DMG: +250</v>
      </c>
      <c r="G241" s="16">
        <f>IFERROR(__xludf.DUMMYFUNCTION("""COMPUTED_VALUE"""),0.0)</f>
        <v>0</v>
      </c>
      <c r="H241" s="16"/>
      <c r="I241" s="16"/>
      <c r="J241" s="16"/>
      <c r="K241" s="16"/>
      <c r="L241" s="16"/>
      <c r="M241" s="16"/>
      <c r="N241" s="16"/>
      <c r="O241" s="16"/>
      <c r="P241" s="16"/>
      <c r="Q241" s="16"/>
      <c r="R241" s="16"/>
      <c r="S241" s="16"/>
      <c r="T241" s="16"/>
      <c r="U241" s="16"/>
      <c r="V241" s="16"/>
      <c r="W241" s="16"/>
      <c r="X241" s="16"/>
      <c r="Y241" s="16"/>
      <c r="Z241" s="16"/>
    </row>
    <row r="242">
      <c r="A242" s="16" t="str">
        <f>IFERROR(__xludf.DUMMYFUNCTION("""COMPUTED_VALUE"""),"Shuriken")</f>
        <v>Shuriken</v>
      </c>
      <c r="B242" s="16"/>
      <c r="C242" s="16" t="str">
        <f>IFERROR(__xludf.DUMMYFUNCTION("""COMPUTED_VALUE"""),"Boomerang")</f>
        <v>Boomerang</v>
      </c>
      <c r="D242" s="16" t="str">
        <f>IFERROR(__xludf.DUMMYFUNCTION("""COMPUTED_VALUE"""),"Hand")</f>
        <v>Hand</v>
      </c>
      <c r="E242" s="16">
        <f>IFERROR(__xludf.DUMMYFUNCTION("""COMPUTED_VALUE"""),200.0)</f>
        <v>200</v>
      </c>
      <c r="F242" s="16" t="str">
        <f>IFERROR(__xludf.DUMMYFUNCTION("""COMPUTED_VALUE"""),"DMG: +5000, Blood DMG: +5000 ++Will return to you when thrown.")</f>
        <v>DMG: +5000, Blood DMG: +5000 ++Will return to you when thrown.</v>
      </c>
      <c r="G242" s="16">
        <f>IFERROR(__xludf.DUMMYFUNCTION("""COMPUTED_VALUE"""),1900000.0)</f>
        <v>1900000</v>
      </c>
      <c r="H242" s="16"/>
      <c r="I242" s="16"/>
      <c r="J242" s="16"/>
      <c r="K242" s="16"/>
      <c r="L242" s="16"/>
      <c r="M242" s="16"/>
      <c r="N242" s="16"/>
      <c r="O242" s="16"/>
      <c r="P242" s="16"/>
      <c r="Q242" s="16"/>
      <c r="R242" s="16"/>
      <c r="S242" s="16"/>
      <c r="T242" s="16"/>
      <c r="U242" s="16"/>
      <c r="V242" s="16"/>
      <c r="W242" s="16"/>
      <c r="X242" s="16"/>
      <c r="Y242" s="16"/>
      <c r="Z242" s="16"/>
    </row>
    <row r="243">
      <c r="A243" s="16" t="str">
        <f>IFERROR(__xludf.DUMMYFUNCTION("""COMPUTED_VALUE"""),"Shuttering Cloak")</f>
        <v>Shuttering Cloak</v>
      </c>
      <c r="B243" s="16"/>
      <c r="C243" s="16"/>
      <c r="D243" s="16" t="str">
        <f>IFERROR(__xludf.DUMMYFUNCTION("""COMPUTED_VALUE"""),"Torso")</f>
        <v>Torso</v>
      </c>
      <c r="E243" s="16">
        <f>IFERROR(__xludf.DUMMYFUNCTION("""COMPUTED_VALUE"""),1.0)</f>
        <v>1</v>
      </c>
      <c r="F243" s="16" t="str">
        <f>IFERROR(__xludf.DUMMYFUNCTION("""COMPUTED_VALUE""")," ++Plus 10 Evasion and Mobility, +-You Cannot be unaffected by spells or attacks. +-Can only equip one")</f>
        <v> ++Plus 10 Evasion and Mobility, +-You Cannot be unaffected by spells or attacks. +-Can only equip one</v>
      </c>
      <c r="G243" s="16">
        <f>IFERROR(__xludf.DUMMYFUNCTION("""COMPUTED_VALUE"""),0.0)</f>
        <v>0</v>
      </c>
      <c r="H243" s="16"/>
      <c r="I243" s="16"/>
      <c r="J243" s="16"/>
      <c r="K243" s="16"/>
      <c r="L243" s="16"/>
      <c r="M243" s="16"/>
      <c r="N243" s="16"/>
      <c r="O243" s="16"/>
      <c r="P243" s="16"/>
      <c r="Q243" s="16"/>
      <c r="R243" s="16"/>
      <c r="S243" s="16"/>
      <c r="T243" s="16"/>
      <c r="U243" s="16"/>
      <c r="V243" s="16"/>
      <c r="W243" s="16"/>
      <c r="X243" s="16"/>
      <c r="Y243" s="16"/>
      <c r="Z243" s="16"/>
    </row>
    <row r="244">
      <c r="A244" s="16" t="str">
        <f>IFERROR(__xludf.DUMMYFUNCTION("""COMPUTED_VALUE"""),"Silver Armor")</f>
        <v>Silver Armor</v>
      </c>
      <c r="B244" s="16"/>
      <c r="C244" s="16"/>
      <c r="D244" s="16" t="str">
        <f>IFERROR(__xludf.DUMMYFUNCTION("""COMPUTED_VALUE"""),"Torso")</f>
        <v>Torso</v>
      </c>
      <c r="E244" s="16">
        <f>IFERROR(__xludf.DUMMYFUNCTION("""COMPUTED_VALUE"""),1.0)</f>
        <v>1</v>
      </c>
      <c r="F244" s="16" t="str">
        <f>IFERROR(__xludf.DUMMYFUNCTION("""COMPUTED_VALUE"""),"DEF: +30")</f>
        <v>DEF: +30</v>
      </c>
      <c r="G244" s="16">
        <f>IFERROR(__xludf.DUMMYFUNCTION("""COMPUTED_VALUE"""),0.0)</f>
        <v>0</v>
      </c>
      <c r="H244" s="16"/>
      <c r="I244" s="16"/>
      <c r="J244" s="16"/>
      <c r="K244" s="16"/>
      <c r="L244" s="16"/>
      <c r="M244" s="16"/>
      <c r="N244" s="16"/>
      <c r="O244" s="16"/>
      <c r="P244" s="16"/>
      <c r="Q244" s="16"/>
      <c r="R244" s="16"/>
      <c r="S244" s="16"/>
      <c r="T244" s="16"/>
      <c r="U244" s="16"/>
      <c r="V244" s="16"/>
      <c r="W244" s="16"/>
      <c r="X244" s="16"/>
      <c r="Y244" s="16"/>
      <c r="Z244" s="16"/>
    </row>
    <row r="245">
      <c r="A245" s="16" t="str">
        <f>IFERROR(__xludf.DUMMYFUNCTION("""COMPUTED_VALUE"""),"Silver Katana")</f>
        <v>Silver Katana</v>
      </c>
      <c r="B245" s="16"/>
      <c r="C245" s="16" t="str">
        <f>IFERROR(__xludf.DUMMYFUNCTION("""COMPUTED_VALUE"""),"Sword")</f>
        <v>Sword</v>
      </c>
      <c r="D245" s="16" t="str">
        <f>IFERROR(__xludf.DUMMYFUNCTION("""COMPUTED_VALUE"""),"Hand")</f>
        <v>Hand</v>
      </c>
      <c r="E245" s="16">
        <f>IFERROR(__xludf.DUMMYFUNCTION("""COMPUTED_VALUE"""),200.0)</f>
        <v>200</v>
      </c>
      <c r="F245" s="16" t="str">
        <f>IFERROR(__xludf.DUMMYFUNCTION("""COMPUTED_VALUE"""),"DMG: +10000 ++Causes Blindness 3")</f>
        <v>DMG: +10000 ++Causes Blindness 3</v>
      </c>
      <c r="G245" s="16">
        <f>IFERROR(__xludf.DUMMYFUNCTION("""COMPUTED_VALUE"""),1900000.0)</f>
        <v>1900000</v>
      </c>
      <c r="H245" s="16"/>
      <c r="I245" s="16"/>
      <c r="J245" s="16"/>
      <c r="K245" s="16"/>
      <c r="L245" s="16"/>
      <c r="M245" s="16"/>
      <c r="N245" s="16"/>
      <c r="O245" s="16"/>
      <c r="P245" s="16"/>
      <c r="Q245" s="16"/>
      <c r="R245" s="16"/>
      <c r="S245" s="16"/>
      <c r="T245" s="16"/>
      <c r="U245" s="16"/>
      <c r="V245" s="16"/>
      <c r="W245" s="16"/>
      <c r="X245" s="16"/>
      <c r="Y245" s="16"/>
      <c r="Z245" s="16"/>
    </row>
    <row r="246">
      <c r="A246" s="16" t="str">
        <f>IFERROR(__xludf.DUMMYFUNCTION("""COMPUTED_VALUE"""),"Silver Knife")</f>
        <v>Silver Knife</v>
      </c>
      <c r="B246" s="16"/>
      <c r="C246" s="16" t="str">
        <f>IFERROR(__xludf.DUMMYFUNCTION("""COMPUTED_VALUE"""),"Knife")</f>
        <v>Knife</v>
      </c>
      <c r="D246" s="16" t="str">
        <f>IFERROR(__xludf.DUMMYFUNCTION("""COMPUTED_VALUE"""),"Hand")</f>
        <v>Hand</v>
      </c>
      <c r="E246" s="16">
        <f>IFERROR(__xludf.DUMMYFUNCTION("""COMPUTED_VALUE"""),200.0)</f>
        <v>200</v>
      </c>
      <c r="F246" s="16" t="str">
        <f>IFERROR(__xludf.DUMMYFUNCTION("""COMPUTED_VALUE"""),"DMG: +10000")</f>
        <v>DMG: +10000</v>
      </c>
      <c r="G246" s="16">
        <f>IFERROR(__xludf.DUMMYFUNCTION("""COMPUTED_VALUE"""),1900000.0)</f>
        <v>1900000</v>
      </c>
      <c r="H246" s="16"/>
      <c r="I246" s="16"/>
      <c r="J246" s="16"/>
      <c r="K246" s="16"/>
      <c r="L246" s="16"/>
      <c r="M246" s="16"/>
      <c r="N246" s="16"/>
      <c r="O246" s="16"/>
      <c r="P246" s="16"/>
      <c r="Q246" s="16"/>
      <c r="R246" s="16"/>
      <c r="S246" s="16"/>
      <c r="T246" s="16"/>
      <c r="U246" s="16"/>
      <c r="V246" s="16"/>
      <c r="W246" s="16"/>
      <c r="X246" s="16"/>
      <c r="Y246" s="16"/>
      <c r="Z246" s="16"/>
    </row>
    <row r="247">
      <c r="A247" s="16" t="str">
        <f>IFERROR(__xludf.DUMMYFUNCTION("""COMPUTED_VALUE"""),"Skull Cleaver")</f>
        <v>Skull Cleaver</v>
      </c>
      <c r="B247" s="16"/>
      <c r="C247" s="16" t="str">
        <f>IFERROR(__xludf.DUMMYFUNCTION("""COMPUTED_VALUE"""),"Sword")</f>
        <v>Sword</v>
      </c>
      <c r="D247" s="16" t="str">
        <f>IFERROR(__xludf.DUMMYFUNCTION("""COMPUTED_VALUE"""),"Hand")</f>
        <v>Hand</v>
      </c>
      <c r="E247" s="16">
        <f>IFERROR(__xludf.DUMMYFUNCTION("""COMPUTED_VALUE"""),1000.0)</f>
        <v>1000</v>
      </c>
      <c r="F247" s="16" t="str">
        <f>IFERROR(__xludf.DUMMYFUNCTION("""COMPUTED_VALUE"""),"DMG: +30000, Dark DMG: +20000 ++75% Chance of instant death.")</f>
        <v>DMG: +30000, Dark DMG: +20000 ++75% Chance of instant death.</v>
      </c>
      <c r="G247" s="16">
        <f>IFERROR(__xludf.DUMMYFUNCTION("""COMPUTED_VALUE"""),4.95E7)</f>
        <v>49500000</v>
      </c>
      <c r="H247" s="16"/>
      <c r="I247" s="16"/>
      <c r="J247" s="16"/>
      <c r="K247" s="16"/>
      <c r="L247" s="16"/>
      <c r="M247" s="16"/>
      <c r="N247" s="16"/>
      <c r="O247" s="16"/>
      <c r="P247" s="16"/>
      <c r="Q247" s="16"/>
      <c r="R247" s="16"/>
      <c r="S247" s="16"/>
      <c r="T247" s="16"/>
      <c r="U247" s="16"/>
      <c r="V247" s="16"/>
      <c r="W247" s="16"/>
      <c r="X247" s="16"/>
      <c r="Y247" s="16"/>
      <c r="Z247" s="16"/>
    </row>
    <row r="248">
      <c r="A248" s="16" t="str">
        <f>IFERROR(__xludf.DUMMYFUNCTION("""COMPUTED_VALUE"""),"Skull of the many Kings")</f>
        <v>Skull of the many Kings</v>
      </c>
      <c r="B248" s="16"/>
      <c r="C248" s="16"/>
      <c r="D248" s="16" t="str">
        <f>IFERROR(__xludf.DUMMYFUNCTION("""COMPUTED_VALUE"""),"Head")</f>
        <v>Head</v>
      </c>
      <c r="E248" s="16">
        <f>IFERROR(__xludf.DUMMYFUNCTION("""COMPUTED_VALUE"""),1.0)</f>
        <v>1</v>
      </c>
      <c r="F248" s="16" t="str">
        <f>IFERROR(__xludf.DUMMYFUNCTION("""COMPUTED_VALUE"""),"DEF: +300 ++Immunity to all dark damage")</f>
        <v>DEF: +300 ++Immunity to all dark damage</v>
      </c>
      <c r="G248" s="16">
        <f>IFERROR(__xludf.DUMMYFUNCTION("""COMPUTED_VALUE"""),0.0)</f>
        <v>0</v>
      </c>
      <c r="H248" s="16"/>
      <c r="I248" s="16"/>
      <c r="J248" s="16"/>
      <c r="K248" s="16"/>
      <c r="L248" s="16"/>
      <c r="M248" s="16"/>
      <c r="N248" s="16"/>
      <c r="O248" s="16"/>
      <c r="P248" s="16"/>
      <c r="Q248" s="16"/>
      <c r="R248" s="16"/>
      <c r="S248" s="16"/>
      <c r="T248" s="16"/>
      <c r="U248" s="16"/>
      <c r="V248" s="16"/>
      <c r="W248" s="16"/>
      <c r="X248" s="16"/>
      <c r="Y248" s="16"/>
      <c r="Z248" s="16"/>
    </row>
    <row r="249">
      <c r="A249" s="16" t="str">
        <f>IFERROR(__xludf.DUMMYFUNCTION("""COMPUTED_VALUE"""),"Skull Ring")</f>
        <v>Skull Ring</v>
      </c>
      <c r="B249" s="16"/>
      <c r="C249" s="16"/>
      <c r="D249" s="16" t="str">
        <f>IFERROR(__xludf.DUMMYFUNCTION("""COMPUTED_VALUE"""),"Ring")</f>
        <v>Ring</v>
      </c>
      <c r="E249" s="16">
        <f>IFERROR(__xludf.DUMMYFUNCTION("""COMPUTED_VALUE"""),1.0)</f>
        <v>1</v>
      </c>
      <c r="F249" s="16" t="str">
        <f>IFERROR(__xludf.DUMMYFUNCTION("""COMPUTED_VALUE""")," ++Increase damage of all dark spells and weapons by X2")</f>
        <v> ++Increase damage of all dark spells and weapons by X2</v>
      </c>
      <c r="G249" s="16">
        <f>IFERROR(__xludf.DUMMYFUNCTION("""COMPUTED_VALUE"""),0.0)</f>
        <v>0</v>
      </c>
      <c r="H249" s="16"/>
      <c r="I249" s="16"/>
      <c r="J249" s="16"/>
      <c r="K249" s="16"/>
      <c r="L249" s="16"/>
      <c r="M249" s="16"/>
      <c r="N249" s="16"/>
      <c r="O249" s="16"/>
      <c r="P249" s="16"/>
      <c r="Q249" s="16"/>
      <c r="R249" s="16"/>
      <c r="S249" s="16"/>
      <c r="T249" s="16"/>
      <c r="U249" s="16"/>
      <c r="V249" s="16"/>
      <c r="W249" s="16"/>
      <c r="X249" s="16"/>
      <c r="Y249" s="16"/>
      <c r="Z249" s="16"/>
    </row>
    <row r="250">
      <c r="A250" s="16" t="str">
        <f>IFERROR(__xludf.DUMMYFUNCTION("""COMPUTED_VALUE"""),"Spear")</f>
        <v>Spear</v>
      </c>
      <c r="B250" s="16"/>
      <c r="C250" s="16" t="str">
        <f>IFERROR(__xludf.DUMMYFUNCTION("""COMPUTED_VALUE"""),"Spear")</f>
        <v>Spear</v>
      </c>
      <c r="D250" s="16" t="str">
        <f>IFERROR(__xludf.DUMMYFUNCTION("""COMPUTED_VALUE"""),"Hand")</f>
        <v>Hand</v>
      </c>
      <c r="E250" s="16">
        <f>IFERROR(__xludf.DUMMYFUNCTION("""COMPUTED_VALUE"""),1.0)</f>
        <v>1</v>
      </c>
      <c r="F250" s="16" t="str">
        <f>IFERROR(__xludf.DUMMYFUNCTION("""COMPUTED_VALUE"""),"DMG: +100")</f>
        <v>DMG: +100</v>
      </c>
      <c r="G250" s="16">
        <f>IFERROR(__xludf.DUMMYFUNCTION("""COMPUTED_VALUE"""),0.0)</f>
        <v>0</v>
      </c>
      <c r="H250" s="16"/>
      <c r="I250" s="16"/>
      <c r="J250" s="16"/>
      <c r="K250" s="16"/>
      <c r="L250" s="16"/>
      <c r="M250" s="16"/>
      <c r="N250" s="16"/>
      <c r="O250" s="16"/>
      <c r="P250" s="16"/>
      <c r="Q250" s="16"/>
      <c r="R250" s="16"/>
      <c r="S250" s="16"/>
      <c r="T250" s="16"/>
      <c r="U250" s="16"/>
      <c r="V250" s="16"/>
      <c r="W250" s="16"/>
      <c r="X250" s="16"/>
      <c r="Y250" s="16"/>
      <c r="Z250" s="16"/>
    </row>
    <row r="251">
      <c r="A251" s="16" t="str">
        <f>IFERROR(__xludf.DUMMYFUNCTION("""COMPUTED_VALUE"""),"Spear Of Assal ")</f>
        <v>Spear Of Assal </v>
      </c>
      <c r="B251" s="16" t="str">
        <f>IFERROR(__xludf.DUMMYFUNCTION("""COMPUTED_VALUE"""),"(Event Exclusive) Lugh's Spear he weilded in battle. The spear will always find its mark when the incantation Ibar is spoken by the user. ")</f>
        <v>(Event Exclusive) Lugh's Spear he weilded in battle. The spear will always find its mark when the incantation Ibar is spoken by the user. </v>
      </c>
      <c r="C251" s="16" t="str">
        <f>IFERROR(__xludf.DUMMYFUNCTION("""COMPUTED_VALUE"""),"Spear")</f>
        <v>Spear</v>
      </c>
      <c r="D251" s="16" t="str">
        <f>IFERROR(__xludf.DUMMYFUNCTION("""COMPUTED_VALUE"""),"Hand")</f>
        <v>Hand</v>
      </c>
      <c r="E251" s="16">
        <f>IFERROR(__xludf.DUMMYFUNCTION("""COMPUTED_VALUE"""),200.0)</f>
        <v>200</v>
      </c>
      <c r="F251" s="16" t="str">
        <f>IFERROR(__xludf.DUMMYFUNCTION("""COMPUTED_VALUE"""),"DMG: +50000, Fire DMG: +50000, Celestial DMG: +50000 ++12,000 celestial and fire damage for 3 rounds. +-Cannot be forged +-Cannot be duplicated +-Cannot be confiscated. ++Ignores evasion, ++Will always return when thrown.")</f>
        <v>DMG: +50000, Fire DMG: +50000, Celestial DMG: +50000 ++12,000 celestial and fire damage for 3 rounds. +-Cannot be forged +-Cannot be duplicated +-Cannot be confiscated. ++Ignores evasion, ++Will always return when thrown.</v>
      </c>
      <c r="G251" s="16">
        <f>IFERROR(__xludf.DUMMYFUNCTION("""COMPUTED_VALUE"""),4.485E8)</f>
        <v>448500000</v>
      </c>
      <c r="H251" s="16"/>
      <c r="I251" s="16"/>
      <c r="J251" s="16"/>
      <c r="K251" s="16"/>
      <c r="L251" s="16"/>
      <c r="M251" s="16"/>
      <c r="N251" s="16"/>
      <c r="O251" s="16"/>
      <c r="P251" s="16"/>
      <c r="Q251" s="16"/>
      <c r="R251" s="16"/>
      <c r="S251" s="16"/>
      <c r="T251" s="16"/>
      <c r="U251" s="16"/>
      <c r="V251" s="16"/>
      <c r="W251" s="16"/>
      <c r="X251" s="16"/>
      <c r="Y251" s="16"/>
      <c r="Z251" s="16"/>
    </row>
    <row r="252">
      <c r="A252" s="16" t="str">
        <f>IFERROR(__xludf.DUMMYFUNCTION("""COMPUTED_VALUE"""),"Spiked Armor")</f>
        <v>Spiked Armor</v>
      </c>
      <c r="B252" s="16"/>
      <c r="C252" s="16"/>
      <c r="D252" s="16" t="str">
        <f>IFERROR(__xludf.DUMMYFUNCTION("""COMPUTED_VALUE"""),"Torso")</f>
        <v>Torso</v>
      </c>
      <c r="E252" s="16">
        <f>IFERROR(__xludf.DUMMYFUNCTION("""COMPUTED_VALUE"""),1.0)</f>
        <v>1</v>
      </c>
      <c r="F252" s="16" t="str">
        <f>IFERROR(__xludf.DUMMYFUNCTION("""COMPUTED_VALUE"""),"DEF: +100 ++Used for both offense and defense. ++Enemies take half the damage they caused, when they attack you.")</f>
        <v>DEF: +100 ++Used for both offense and defense. ++Enemies take half the damage they caused, when they attack you.</v>
      </c>
      <c r="G252" s="16">
        <f>IFERROR(__xludf.DUMMYFUNCTION("""COMPUTED_VALUE"""),0.0)</f>
        <v>0</v>
      </c>
      <c r="H252" s="16"/>
      <c r="I252" s="16"/>
      <c r="J252" s="16"/>
      <c r="K252" s="16"/>
      <c r="L252" s="16"/>
      <c r="M252" s="16"/>
      <c r="N252" s="16"/>
      <c r="O252" s="16"/>
      <c r="P252" s="16"/>
      <c r="Q252" s="16"/>
      <c r="R252" s="16"/>
      <c r="S252" s="16"/>
      <c r="T252" s="16"/>
      <c r="U252" s="16"/>
      <c r="V252" s="16"/>
      <c r="W252" s="16"/>
      <c r="X252" s="16"/>
      <c r="Y252" s="16"/>
      <c r="Z252" s="16"/>
    </row>
    <row r="253">
      <c r="A253" s="16" t="str">
        <f>IFERROR(__xludf.DUMMYFUNCTION("""COMPUTED_VALUE"""),"Spiny Shield")</f>
        <v>Spiny Shield</v>
      </c>
      <c r="B253" s="16"/>
      <c r="C253" s="16" t="str">
        <f>IFERROR(__xludf.DUMMYFUNCTION("""COMPUTED_VALUE"""),"Buckler")</f>
        <v>Buckler</v>
      </c>
      <c r="D253" s="16" t="str">
        <f>IFERROR(__xludf.DUMMYFUNCTION("""COMPUTED_VALUE"""),"Hand")</f>
        <v>Hand</v>
      </c>
      <c r="E253" s="16">
        <f>IFERROR(__xludf.DUMMYFUNCTION("""COMPUTED_VALUE"""),1.0)</f>
        <v>1</v>
      </c>
      <c r="F253" s="16" t="str">
        <f>IFERROR(__xludf.DUMMYFUNCTION("""COMPUTED_VALUE"""),"DEF: +170")</f>
        <v>DEF: +170</v>
      </c>
      <c r="G253" s="16">
        <f>IFERROR(__xludf.DUMMYFUNCTION("""COMPUTED_VALUE"""),0.0)</f>
        <v>0</v>
      </c>
      <c r="H253" s="16"/>
      <c r="I253" s="16"/>
      <c r="J253" s="16"/>
      <c r="K253" s="16"/>
      <c r="L253" s="16"/>
      <c r="M253" s="16"/>
      <c r="N253" s="16"/>
      <c r="O253" s="16"/>
      <c r="P253" s="16"/>
      <c r="Q253" s="16"/>
      <c r="R253" s="16"/>
      <c r="S253" s="16"/>
      <c r="T253" s="16"/>
      <c r="U253" s="16"/>
      <c r="V253" s="16"/>
      <c r="W253" s="16"/>
      <c r="X253" s="16"/>
      <c r="Y253" s="16"/>
      <c r="Z253" s="16"/>
    </row>
    <row r="254">
      <c r="A254" s="16" t="str">
        <f>IFERROR(__xludf.DUMMYFUNCTION("""COMPUTED_VALUE"""),"Spooky Branch Ring")</f>
        <v>Spooky Branch Ring</v>
      </c>
      <c r="B254" s="16" t="str">
        <f>IFERROR(__xludf.DUMMYFUNCTION("""COMPUTED_VALUE"""),"Halloween Exclusive")</f>
        <v>Halloween Exclusive</v>
      </c>
      <c r="C254" s="16"/>
      <c r="D254" s="16" t="str">
        <f>IFERROR(__xludf.DUMMYFUNCTION("""COMPUTED_VALUE"""),"Ring")</f>
        <v>Ring</v>
      </c>
      <c r="E254" s="16">
        <f>IFERROR(__xludf.DUMMYFUNCTION("""COMPUTED_VALUE"""),1.0)</f>
        <v>1</v>
      </c>
      <c r="F254" s="16" t="str">
        <f>IFERROR(__xludf.DUMMYFUNCTION("""COMPUTED_VALUE""")," ++Increase fire and dark damage by X2.")</f>
        <v> ++Increase fire and dark damage by X2.</v>
      </c>
      <c r="G254" s="16">
        <f>IFERROR(__xludf.DUMMYFUNCTION("""COMPUTED_VALUE"""),0.0)</f>
        <v>0</v>
      </c>
      <c r="H254" s="16"/>
      <c r="I254" s="16"/>
      <c r="J254" s="16"/>
      <c r="K254" s="16"/>
      <c r="L254" s="16"/>
      <c r="M254" s="16"/>
      <c r="N254" s="16"/>
      <c r="O254" s="16"/>
      <c r="P254" s="16"/>
      <c r="Q254" s="16"/>
      <c r="R254" s="16"/>
      <c r="S254" s="16"/>
      <c r="T254" s="16"/>
      <c r="U254" s="16"/>
      <c r="V254" s="16"/>
      <c r="W254" s="16"/>
      <c r="X254" s="16"/>
      <c r="Y254" s="16"/>
      <c r="Z254" s="16"/>
    </row>
    <row r="255">
      <c r="A255" s="16" t="str">
        <f>IFERROR(__xludf.DUMMYFUNCTION("""COMPUTED_VALUE"""),"Staff of Chaotic Shadows")</f>
        <v>Staff of Chaotic Shadows</v>
      </c>
      <c r="B255" s="16"/>
      <c r="C255" s="16" t="str">
        <f>IFERROR(__xludf.DUMMYFUNCTION("""COMPUTED_VALUE"""),"Staff")</f>
        <v>Staff</v>
      </c>
      <c r="D255" s="16" t="str">
        <f>IFERROR(__xludf.DUMMYFUNCTION("""COMPUTED_VALUE"""),"Hand")</f>
        <v>Hand</v>
      </c>
      <c r="E255" s="16">
        <f>IFERROR(__xludf.DUMMYFUNCTION("""COMPUTED_VALUE"""),1200.0)</f>
        <v>1200</v>
      </c>
      <c r="F255" s="16" t="str">
        <f>IFERROR(__xludf.DUMMYFUNCTION("""COMPUTED_VALUE"""),", Fire DMG: +20000, Dark DMG: +20000, Chaos DMG: +20000 ++damages all enemies. +-Cannot be forged.")</f>
        <v>, Fire DMG: +20000, Dark DMG: +20000, Chaos DMG: +20000 ++damages all enemies. +-Cannot be forged.</v>
      </c>
      <c r="G255" s="16">
        <f>IFERROR(__xludf.DUMMYFUNCTION("""COMPUTED_VALUE"""),7.14E7)</f>
        <v>71400000</v>
      </c>
      <c r="H255" s="16"/>
      <c r="I255" s="16"/>
      <c r="J255" s="16"/>
      <c r="K255" s="16"/>
      <c r="L255" s="16"/>
      <c r="M255" s="16"/>
      <c r="N255" s="16"/>
      <c r="O255" s="16"/>
      <c r="P255" s="16"/>
      <c r="Q255" s="16"/>
      <c r="R255" s="16"/>
      <c r="S255" s="16"/>
      <c r="T255" s="16"/>
      <c r="U255" s="16"/>
      <c r="V255" s="16"/>
      <c r="W255" s="16"/>
      <c r="X255" s="16"/>
      <c r="Y255" s="16"/>
      <c r="Z255" s="16"/>
    </row>
    <row r="256">
      <c r="A256" s="16" t="str">
        <f>IFERROR(__xludf.DUMMYFUNCTION("""COMPUTED_VALUE"""),"Staff of Crystals")</f>
        <v>Staff of Crystals</v>
      </c>
      <c r="B256" s="16"/>
      <c r="C256" s="16" t="str">
        <f>IFERROR(__xludf.DUMMYFUNCTION("""COMPUTED_VALUE"""),"Staff")</f>
        <v>Staff</v>
      </c>
      <c r="D256" s="16" t="str">
        <f>IFERROR(__xludf.DUMMYFUNCTION("""COMPUTED_VALUE"""),"Hand")</f>
        <v>Hand</v>
      </c>
      <c r="E256" s="16">
        <f>IFERROR(__xludf.DUMMYFUNCTION("""COMPUTED_VALUE"""),400.0)</f>
        <v>400</v>
      </c>
      <c r="F256" s="16" t="str">
        <f>IFERROR(__xludf.DUMMYFUNCTION("""COMPUTED_VALUE"""),", Earth DMG: +20000 ++When Equipped any damage dealt by a Crystal or Gem related weapon is X4. +-Cannot be duplicated.")</f>
        <v>, Earth DMG: +20000 ++When Equipped any damage dealt by a Crystal or Gem related weapon is X4. +-Cannot be duplicated.</v>
      </c>
      <c r="G256" s="16">
        <f>IFERROR(__xludf.DUMMYFUNCTION("""COMPUTED_VALUE"""),7800000.0)</f>
        <v>7800000</v>
      </c>
      <c r="H256" s="16"/>
      <c r="I256" s="16"/>
      <c r="J256" s="16"/>
      <c r="K256" s="16"/>
      <c r="L256" s="16"/>
      <c r="M256" s="16"/>
      <c r="N256" s="16"/>
      <c r="O256" s="16"/>
      <c r="P256" s="16"/>
      <c r="Q256" s="16"/>
      <c r="R256" s="16"/>
      <c r="S256" s="16"/>
      <c r="T256" s="16"/>
      <c r="U256" s="16"/>
      <c r="V256" s="16"/>
      <c r="W256" s="16"/>
      <c r="X256" s="16"/>
      <c r="Y256" s="16"/>
      <c r="Z256" s="16"/>
    </row>
    <row r="257">
      <c r="A257" s="16" t="str">
        <f>IFERROR(__xludf.DUMMYFUNCTION("""COMPUTED_VALUE"""),"Staff Of Heatmore")</f>
        <v>Staff Of Heatmore</v>
      </c>
      <c r="B257" s="16"/>
      <c r="C257" s="16" t="str">
        <f>IFERROR(__xludf.DUMMYFUNCTION("""COMPUTED_VALUE"""),"Staff")</f>
        <v>Staff</v>
      </c>
      <c r="D257" s="16" t="str">
        <f>IFERROR(__xludf.DUMMYFUNCTION("""COMPUTED_VALUE"""),"Hand")</f>
        <v>Hand</v>
      </c>
      <c r="E257" s="16">
        <f>IFERROR(__xludf.DUMMYFUNCTION("""COMPUTED_VALUE"""),1.0)</f>
        <v>1</v>
      </c>
      <c r="F257" s="16" t="str">
        <f>IFERROR(__xludf.DUMMYFUNCTION("""COMPUTED_VALUE""")," ++20,000 fire damage to all enemies, cannot avoid. 10,000sp")</f>
        <v> ++20,000 fire damage to all enemies, cannot avoid. 10,000sp</v>
      </c>
      <c r="G257" s="16">
        <f>IFERROR(__xludf.DUMMYFUNCTION("""COMPUTED_VALUE"""),0.0)</f>
        <v>0</v>
      </c>
      <c r="H257" s="16"/>
      <c r="I257" s="16"/>
      <c r="J257" s="16"/>
      <c r="K257" s="16"/>
      <c r="L257" s="16"/>
      <c r="M257" s="16"/>
      <c r="N257" s="16"/>
      <c r="O257" s="16"/>
      <c r="P257" s="16"/>
      <c r="Q257" s="16"/>
      <c r="R257" s="16"/>
      <c r="S257" s="16"/>
      <c r="T257" s="16"/>
      <c r="U257" s="16"/>
      <c r="V257" s="16"/>
      <c r="W257" s="16"/>
      <c r="X257" s="16"/>
      <c r="Y257" s="16"/>
      <c r="Z257" s="16"/>
    </row>
    <row r="258">
      <c r="A258" s="16" t="str">
        <f>IFERROR(__xludf.DUMMYFUNCTION("""COMPUTED_VALUE"""),"Staff of Shadows")</f>
        <v>Staff of Shadows</v>
      </c>
      <c r="B258" s="16"/>
      <c r="C258" s="16" t="str">
        <f>IFERROR(__xludf.DUMMYFUNCTION("""COMPUTED_VALUE"""),"Staff")</f>
        <v>Staff</v>
      </c>
      <c r="D258" s="16" t="str">
        <f>IFERROR(__xludf.DUMMYFUNCTION("""COMPUTED_VALUE"""),"Hand")</f>
        <v>Hand</v>
      </c>
      <c r="E258" s="16">
        <f>IFERROR(__xludf.DUMMYFUNCTION("""COMPUTED_VALUE"""),1.0)</f>
        <v>1</v>
      </c>
      <c r="F258" s="16" t="str">
        <f>IFERROR(__xludf.DUMMYFUNCTION("""COMPUTED_VALUE""")," ++You are invisible and silent so long as you don't attack. You cannot be attacked while invisible. 200SP")</f>
        <v> ++You are invisible and silent so long as you don't attack. You cannot be attacked while invisible. 200SP</v>
      </c>
      <c r="G258" s="16">
        <f>IFERROR(__xludf.DUMMYFUNCTION("""COMPUTED_VALUE"""),0.0)</f>
        <v>0</v>
      </c>
      <c r="H258" s="16"/>
      <c r="I258" s="16"/>
      <c r="J258" s="16"/>
      <c r="K258" s="16"/>
      <c r="L258" s="16"/>
      <c r="M258" s="16"/>
      <c r="N258" s="16"/>
      <c r="O258" s="16"/>
      <c r="P258" s="16"/>
      <c r="Q258" s="16"/>
      <c r="R258" s="16"/>
      <c r="S258" s="16"/>
      <c r="T258" s="16"/>
      <c r="U258" s="16"/>
      <c r="V258" s="16"/>
      <c r="W258" s="16"/>
      <c r="X258" s="16"/>
      <c r="Y258" s="16"/>
      <c r="Z258" s="16"/>
    </row>
    <row r="259">
      <c r="A259" s="16" t="str">
        <f>IFERROR(__xludf.DUMMYFUNCTION("""COMPUTED_VALUE"""),"Staff Of Suffering")</f>
        <v>Staff Of Suffering</v>
      </c>
      <c r="B259" s="16"/>
      <c r="C259" s="16" t="str">
        <f>IFERROR(__xludf.DUMMYFUNCTION("""COMPUTED_VALUE"""),"Staff")</f>
        <v>Staff</v>
      </c>
      <c r="D259" s="16" t="str">
        <f>IFERROR(__xludf.DUMMYFUNCTION("""COMPUTED_VALUE"""),"Hand")</f>
        <v>Hand</v>
      </c>
      <c r="E259" s="16">
        <f>IFERROR(__xludf.DUMMYFUNCTION("""COMPUTED_VALUE"""),1.0)</f>
        <v>1</v>
      </c>
      <c r="F259" s="16" t="str">
        <f>IFERROR(__xludf.DUMMYFUNCTION("""COMPUTED_VALUE""")," ++Casts a chaotic aura around 1 target dealing 1000 unblockable damage to them each time they cast a spell.")</f>
        <v> ++Casts a chaotic aura around 1 target dealing 1000 unblockable damage to them each time they cast a spell.</v>
      </c>
      <c r="G259" s="16">
        <f>IFERROR(__xludf.DUMMYFUNCTION("""COMPUTED_VALUE"""),0.0)</f>
        <v>0</v>
      </c>
      <c r="H259" s="16"/>
      <c r="I259" s="16"/>
      <c r="J259" s="16"/>
      <c r="K259" s="16"/>
      <c r="L259" s="16"/>
      <c r="M259" s="16"/>
      <c r="N259" s="16"/>
      <c r="O259" s="16"/>
      <c r="P259" s="16"/>
      <c r="Q259" s="16"/>
      <c r="R259" s="16"/>
      <c r="S259" s="16"/>
      <c r="T259" s="16"/>
      <c r="U259" s="16"/>
      <c r="V259" s="16"/>
      <c r="W259" s="16"/>
      <c r="X259" s="16"/>
      <c r="Y259" s="16"/>
      <c r="Z259" s="16"/>
    </row>
    <row r="260">
      <c r="A260" s="16" t="str">
        <f>IFERROR(__xludf.DUMMYFUNCTION("""COMPUTED_VALUE"""),"Staff of Targeting")</f>
        <v>Staff of Targeting</v>
      </c>
      <c r="B260" s="16"/>
      <c r="C260" s="16" t="str">
        <f>IFERROR(__xludf.DUMMYFUNCTION("""COMPUTED_VALUE"""),"Staff")</f>
        <v>Staff</v>
      </c>
      <c r="D260" s="16" t="str">
        <f>IFERROR(__xludf.DUMMYFUNCTION("""COMPUTED_VALUE"""),"Hand")</f>
        <v>Hand</v>
      </c>
      <c r="E260" s="16">
        <f>IFERROR(__xludf.DUMMYFUNCTION("""COMPUTED_VALUE"""),1.0)</f>
        <v>1</v>
      </c>
      <c r="F260" s="16" t="str">
        <f>IFERROR(__xludf.DUMMYFUNCTION("""COMPUTED_VALUE""")," ++When you complain about getting targeted this staff will deal Unblockable 1,000,000 dmg to every player in the battle. +-Cannot resist or be immune to.")</f>
        <v> ++When you complain about getting targeted this staff will deal Unblockable 1,000,000 dmg to every player in the battle. +-Cannot resist or be immune to.</v>
      </c>
      <c r="G260" s="16">
        <f>IFERROR(__xludf.DUMMYFUNCTION("""COMPUTED_VALUE"""),0.0)</f>
        <v>0</v>
      </c>
      <c r="H260" s="16"/>
      <c r="I260" s="16"/>
      <c r="J260" s="16"/>
      <c r="K260" s="16"/>
      <c r="L260" s="16"/>
      <c r="M260" s="16"/>
      <c r="N260" s="16"/>
      <c r="O260" s="16"/>
      <c r="P260" s="16"/>
      <c r="Q260" s="16"/>
      <c r="R260" s="16"/>
      <c r="S260" s="16"/>
      <c r="T260" s="16"/>
      <c r="U260" s="16"/>
      <c r="V260" s="16"/>
      <c r="W260" s="16"/>
      <c r="X260" s="16"/>
      <c r="Y260" s="16"/>
      <c r="Z260" s="16"/>
    </row>
    <row r="261">
      <c r="A261" s="16" t="str">
        <f>IFERROR(__xludf.DUMMYFUNCTION("""COMPUTED_VALUE"""),"Staff of Waves")</f>
        <v>Staff of Waves</v>
      </c>
      <c r="B261" s="16"/>
      <c r="C261" s="16" t="str">
        <f>IFERROR(__xludf.DUMMYFUNCTION("""COMPUTED_VALUE"""),"Staff")</f>
        <v>Staff</v>
      </c>
      <c r="D261" s="16" t="str">
        <f>IFERROR(__xludf.DUMMYFUNCTION("""COMPUTED_VALUE"""),"Hand")</f>
        <v>Hand</v>
      </c>
      <c r="E261" s="16">
        <f>IFERROR(__xludf.DUMMYFUNCTION("""COMPUTED_VALUE"""),1.0)</f>
        <v>1</v>
      </c>
      <c r="F261" s="16" t="str">
        <f>IFERROR(__xludf.DUMMYFUNCTION("""COMPUTED_VALUE""")," ++Casts the Spell Tsunami as if you would know it.")</f>
        <v> ++Casts the Spell Tsunami as if you would know it.</v>
      </c>
      <c r="G261" s="16">
        <f>IFERROR(__xludf.DUMMYFUNCTION("""COMPUTED_VALUE"""),0.0)</f>
        <v>0</v>
      </c>
      <c r="H261" s="16"/>
      <c r="I261" s="16"/>
      <c r="J261" s="16"/>
      <c r="K261" s="16"/>
      <c r="L261" s="16"/>
      <c r="M261" s="16"/>
      <c r="N261" s="16"/>
      <c r="O261" s="16"/>
      <c r="P261" s="16"/>
      <c r="Q261" s="16"/>
      <c r="R261" s="16"/>
      <c r="S261" s="16"/>
      <c r="T261" s="16"/>
      <c r="U261" s="16"/>
      <c r="V261" s="16"/>
      <c r="W261" s="16"/>
      <c r="X261" s="16"/>
      <c r="Y261" s="16"/>
      <c r="Z261" s="16"/>
    </row>
    <row r="262">
      <c r="A262" s="16" t="str">
        <f>IFERROR(__xludf.DUMMYFUNCTION("""COMPUTED_VALUE"""),"Guard Helmet")</f>
        <v>Guard Helmet</v>
      </c>
      <c r="B262" s="16" t="str">
        <f>IFERROR(__xludf.DUMMYFUNCTION("""COMPUTED_VALUE"""),"Quest Item")</f>
        <v>Quest Item</v>
      </c>
      <c r="C262" s="16"/>
      <c r="D262" s="16" t="str">
        <f>IFERROR(__xludf.DUMMYFUNCTION("""COMPUTED_VALUE"""),"Head")</f>
        <v>Head</v>
      </c>
      <c r="E262" s="16">
        <f>IFERROR(__xludf.DUMMYFUNCTION("""COMPUTED_VALUE"""),200.0)</f>
        <v>200</v>
      </c>
      <c r="F262" s="16" t="str">
        <f>IFERROR(__xludf.DUMMYFUNCTION("""COMPUTED_VALUE"""),"DEF: +25000, Light DEF: +25000, Celestial DEF: +25000")</f>
        <v>DEF: +25000, Light DEF: +25000, Celestial DEF: +25000</v>
      </c>
      <c r="G262" s="16">
        <f>IFERROR(__xludf.DUMMYFUNCTION("""COMPUTED_VALUE"""),1.1175E8)</f>
        <v>111750000</v>
      </c>
      <c r="H262" s="16"/>
      <c r="I262" s="16"/>
      <c r="J262" s="16"/>
      <c r="K262" s="16"/>
      <c r="L262" s="16"/>
      <c r="M262" s="16"/>
      <c r="N262" s="16"/>
      <c r="O262" s="16"/>
      <c r="P262" s="16"/>
      <c r="Q262" s="16"/>
      <c r="R262" s="16"/>
      <c r="S262" s="16"/>
      <c r="T262" s="16"/>
      <c r="U262" s="16"/>
      <c r="V262" s="16"/>
      <c r="W262" s="16"/>
      <c r="X262" s="16"/>
      <c r="Y262" s="16"/>
      <c r="Z262" s="16"/>
    </row>
    <row r="263">
      <c r="A263" s="16" t="str">
        <f>IFERROR(__xludf.DUMMYFUNCTION("""COMPUTED_VALUE"""),"Guard Shield")</f>
        <v>Guard Shield</v>
      </c>
      <c r="B263" s="16" t="str">
        <f>IFERROR(__xludf.DUMMYFUNCTION("""COMPUTED_VALUE"""),"Quest Item")</f>
        <v>Quest Item</v>
      </c>
      <c r="C263" s="16" t="str">
        <f>IFERROR(__xludf.DUMMYFUNCTION("""COMPUTED_VALUE"""),"Towershield")</f>
        <v>Towershield</v>
      </c>
      <c r="D263" s="16" t="str">
        <f>IFERROR(__xludf.DUMMYFUNCTION("""COMPUTED_VALUE"""),"Hand")</f>
        <v>Hand</v>
      </c>
      <c r="E263" s="16">
        <f>IFERROR(__xludf.DUMMYFUNCTION("""COMPUTED_VALUE"""),200.0)</f>
        <v>200</v>
      </c>
      <c r="F263" s="16" t="str">
        <f>IFERROR(__xludf.DUMMYFUNCTION("""COMPUTED_VALUE"""),"DEF: +25000, Light DEF: +25000, Celestial DEF: +25000")</f>
        <v>DEF: +25000, Light DEF: +25000, Celestial DEF: +25000</v>
      </c>
      <c r="G263" s="16">
        <f>IFERROR(__xludf.DUMMYFUNCTION("""COMPUTED_VALUE"""),1.1175E8)</f>
        <v>111750000</v>
      </c>
      <c r="H263" s="16"/>
      <c r="I263" s="16"/>
      <c r="J263" s="16"/>
      <c r="K263" s="16"/>
      <c r="L263" s="16"/>
      <c r="M263" s="16"/>
      <c r="N263" s="16"/>
      <c r="O263" s="16"/>
      <c r="P263" s="16"/>
      <c r="Q263" s="16"/>
      <c r="R263" s="16"/>
      <c r="S263" s="16"/>
      <c r="T263" s="16"/>
      <c r="U263" s="16"/>
      <c r="V263" s="16"/>
      <c r="W263" s="16"/>
      <c r="X263" s="16"/>
      <c r="Y263" s="16"/>
      <c r="Z263" s="16"/>
    </row>
    <row r="264">
      <c r="A264" s="16" t="str">
        <f>IFERROR(__xludf.DUMMYFUNCTION("""COMPUTED_VALUE"""),"Guard Sword")</f>
        <v>Guard Sword</v>
      </c>
      <c r="B264" s="16" t="str">
        <f>IFERROR(__xludf.DUMMYFUNCTION("""COMPUTED_VALUE"""),"Quest Item")</f>
        <v>Quest Item</v>
      </c>
      <c r="C264" s="16" t="str">
        <f>IFERROR(__xludf.DUMMYFUNCTION("""COMPUTED_VALUE"""),"Sword")</f>
        <v>Sword</v>
      </c>
      <c r="D264" s="16" t="str">
        <f>IFERROR(__xludf.DUMMYFUNCTION("""COMPUTED_VALUE"""),"Hand")</f>
        <v>Hand</v>
      </c>
      <c r="E264" s="16">
        <f>IFERROR(__xludf.DUMMYFUNCTION("""COMPUTED_VALUE"""),200.0)</f>
        <v>200</v>
      </c>
      <c r="F264" s="16" t="str">
        <f>IFERROR(__xludf.DUMMYFUNCTION("""COMPUTED_VALUE"""),"DMG: +25000, Light DMG: +25000, Celestial DMG: +25000")</f>
        <v>DMG: +25000, Light DMG: +25000, Celestial DMG: +25000</v>
      </c>
      <c r="G264" s="16">
        <f>IFERROR(__xludf.DUMMYFUNCTION("""COMPUTED_VALUE"""),1.1175E8)</f>
        <v>111750000</v>
      </c>
      <c r="H264" s="16"/>
      <c r="I264" s="16"/>
      <c r="J264" s="16"/>
      <c r="K264" s="16"/>
      <c r="L264" s="16"/>
      <c r="M264" s="16"/>
      <c r="N264" s="16"/>
      <c r="O264" s="16"/>
      <c r="P264" s="16"/>
      <c r="Q264" s="16"/>
      <c r="R264" s="16"/>
      <c r="S264" s="16"/>
      <c r="T264" s="16"/>
      <c r="U264" s="16"/>
      <c r="V264" s="16"/>
      <c r="W264" s="16"/>
      <c r="X264" s="16"/>
      <c r="Y264" s="16"/>
      <c r="Z264" s="16"/>
    </row>
    <row r="265">
      <c r="A265" s="16" t="str">
        <f>IFERROR(__xludf.DUMMYFUNCTION("""COMPUTED_VALUE"""),"Steel Armor")</f>
        <v>Steel Armor</v>
      </c>
      <c r="B265" s="16"/>
      <c r="C265" s="16"/>
      <c r="D265" s="16" t="str">
        <f>IFERROR(__xludf.DUMMYFUNCTION("""COMPUTED_VALUE"""),"Torso")</f>
        <v>Torso</v>
      </c>
      <c r="E265" s="16">
        <f>IFERROR(__xludf.DUMMYFUNCTION("""COMPUTED_VALUE"""),1.0)</f>
        <v>1</v>
      </c>
      <c r="F265" s="16" t="str">
        <f>IFERROR(__xludf.DUMMYFUNCTION("""COMPUTED_VALUE"""),"DEF: +20")</f>
        <v>DEF: +20</v>
      </c>
      <c r="G265" s="16">
        <f>IFERROR(__xludf.DUMMYFUNCTION("""COMPUTED_VALUE"""),0.0)</f>
        <v>0</v>
      </c>
      <c r="H265" s="16"/>
      <c r="I265" s="16"/>
      <c r="J265" s="16"/>
      <c r="K265" s="16"/>
      <c r="L265" s="16"/>
      <c r="M265" s="16"/>
      <c r="N265" s="16"/>
      <c r="O265" s="16"/>
      <c r="P265" s="16"/>
      <c r="Q265" s="16"/>
      <c r="R265" s="16"/>
      <c r="S265" s="16"/>
      <c r="T265" s="16"/>
      <c r="U265" s="16"/>
      <c r="V265" s="16"/>
      <c r="W265" s="16"/>
      <c r="X265" s="16"/>
      <c r="Y265" s="16"/>
      <c r="Z265" s="16"/>
    </row>
    <row r="266">
      <c r="A266" s="16" t="str">
        <f>IFERROR(__xludf.DUMMYFUNCTION("""COMPUTED_VALUE"""),"Steel Broadsword")</f>
        <v>Steel Broadsword</v>
      </c>
      <c r="B266" s="16"/>
      <c r="C266" s="16" t="str">
        <f>IFERROR(__xludf.DUMMYFUNCTION("""COMPUTED_VALUE"""),"Sword")</f>
        <v>Sword</v>
      </c>
      <c r="D266" s="16" t="str">
        <f>IFERROR(__xludf.DUMMYFUNCTION("""COMPUTED_VALUE"""),"Hand")</f>
        <v>Hand</v>
      </c>
      <c r="E266" s="16">
        <f>IFERROR(__xludf.DUMMYFUNCTION("""COMPUTED_VALUE"""),40.0)</f>
        <v>40</v>
      </c>
      <c r="F266" s="16" t="str">
        <f>IFERROR(__xludf.DUMMYFUNCTION("""COMPUTED_VALUE"""),"DMG: +2000")</f>
        <v>DMG: +2000</v>
      </c>
      <c r="G266" s="16">
        <f>IFERROR(__xludf.DUMMYFUNCTION("""COMPUTED_VALUE"""),60000.0)</f>
        <v>60000</v>
      </c>
      <c r="H266" s="16"/>
      <c r="I266" s="16"/>
      <c r="J266" s="16"/>
      <c r="K266" s="16"/>
      <c r="L266" s="16"/>
      <c r="M266" s="16"/>
      <c r="N266" s="16"/>
      <c r="O266" s="16"/>
      <c r="P266" s="16"/>
      <c r="Q266" s="16"/>
      <c r="R266" s="16"/>
      <c r="S266" s="16"/>
      <c r="T266" s="16"/>
      <c r="U266" s="16"/>
      <c r="V266" s="16"/>
      <c r="W266" s="16"/>
      <c r="X266" s="16"/>
      <c r="Y266" s="16"/>
      <c r="Z266" s="16"/>
    </row>
    <row r="267">
      <c r="A267" s="16" t="str">
        <f>IFERROR(__xludf.DUMMYFUNCTION("""COMPUTED_VALUE"""),"Steel Sword")</f>
        <v>Steel Sword</v>
      </c>
      <c r="B267" s="16"/>
      <c r="C267" s="16" t="str">
        <f>IFERROR(__xludf.DUMMYFUNCTION("""COMPUTED_VALUE"""),"Sword")</f>
        <v>Sword</v>
      </c>
      <c r="D267" s="16" t="str">
        <f>IFERROR(__xludf.DUMMYFUNCTION("""COMPUTED_VALUE"""),"Hand")</f>
        <v>Hand</v>
      </c>
      <c r="E267" s="16">
        <f>IFERROR(__xludf.DUMMYFUNCTION("""COMPUTED_VALUE"""),10.0)</f>
        <v>10</v>
      </c>
      <c r="F267" s="16" t="str">
        <f>IFERROR(__xludf.DUMMYFUNCTION("""COMPUTED_VALUE"""),"DMG: +500")</f>
        <v>DMG: +500</v>
      </c>
      <c r="G267" s="16">
        <f>IFERROR(__xludf.DUMMYFUNCTION("""COMPUTED_VALUE"""),1000.0)</f>
        <v>1000</v>
      </c>
      <c r="H267" s="16"/>
      <c r="I267" s="16"/>
      <c r="J267" s="16"/>
      <c r="K267" s="16"/>
      <c r="L267" s="16"/>
      <c r="M267" s="16"/>
      <c r="N267" s="16"/>
      <c r="O267" s="16"/>
      <c r="P267" s="16"/>
      <c r="Q267" s="16"/>
      <c r="R267" s="16"/>
      <c r="S267" s="16"/>
      <c r="T267" s="16"/>
      <c r="U267" s="16"/>
      <c r="V267" s="16"/>
      <c r="W267" s="16"/>
      <c r="X267" s="16"/>
      <c r="Y267" s="16"/>
      <c r="Z267" s="16"/>
    </row>
    <row r="268">
      <c r="A268" s="16" t="str">
        <f>IFERROR(__xludf.DUMMYFUNCTION("""COMPUTED_VALUE"""),"Stick of Mystery ")</f>
        <v>Stick of Mystery </v>
      </c>
      <c r="B268" s="16" t="str">
        <f>IFERROR(__xludf.DUMMYFUNCTION("""COMPUTED_VALUE"""),"Those who doubt the stick's power will suffer the stick's wrath")</f>
        <v>Those who doubt the stick's power will suffer the stick's wrath</v>
      </c>
      <c r="C268" s="16" t="str">
        <f>IFERROR(__xludf.DUMMYFUNCTION("""COMPUTED_VALUE"""),"Wand")</f>
        <v>Wand</v>
      </c>
      <c r="D268" s="16" t="str">
        <f>IFERROR(__xludf.DUMMYFUNCTION("""COMPUTED_VALUE"""),"Hand")</f>
        <v>Hand</v>
      </c>
      <c r="E268" s="16">
        <f>IFERROR(__xludf.DUMMYFUNCTION("""COMPUTED_VALUE"""),1.0)</f>
        <v>1</v>
      </c>
      <c r="F268" s="16" t="str">
        <f>IFERROR(__xludf.DUMMYFUNCTION("""COMPUTED_VALUE""")," ++roll a d20 to see what it does :)")</f>
        <v> ++roll a d20 to see what it does :)</v>
      </c>
      <c r="G268" s="16">
        <f>IFERROR(__xludf.DUMMYFUNCTION("""COMPUTED_VALUE"""),0.0)</f>
        <v>0</v>
      </c>
      <c r="H268" s="16"/>
      <c r="I268" s="16"/>
      <c r="J268" s="16"/>
      <c r="K268" s="16"/>
      <c r="L268" s="16"/>
      <c r="M268" s="16"/>
      <c r="N268" s="16"/>
      <c r="O268" s="16"/>
      <c r="P268" s="16"/>
      <c r="Q268" s="16"/>
      <c r="R268" s="16"/>
      <c r="S268" s="16"/>
      <c r="T268" s="16"/>
      <c r="U268" s="16"/>
      <c r="V268" s="16"/>
      <c r="W268" s="16"/>
      <c r="X268" s="16"/>
      <c r="Y268" s="16"/>
      <c r="Z268" s="16"/>
    </row>
    <row r="269">
      <c r="A269" s="16" t="str">
        <f>IFERROR(__xludf.DUMMYFUNCTION("""COMPUTED_VALUE"""),"Stone Arming Sword")</f>
        <v>Stone Arming Sword</v>
      </c>
      <c r="B269" s="16"/>
      <c r="C269" s="16" t="str">
        <f>IFERROR(__xludf.DUMMYFUNCTION("""COMPUTED_VALUE"""),"Sword")</f>
        <v>Sword</v>
      </c>
      <c r="D269" s="16" t="str">
        <f>IFERROR(__xludf.DUMMYFUNCTION("""COMPUTED_VALUE"""),"Hand")</f>
        <v>Hand</v>
      </c>
      <c r="E269" s="16">
        <f>IFERROR(__xludf.DUMMYFUNCTION("""COMPUTED_VALUE"""),20.0)</f>
        <v>20</v>
      </c>
      <c r="F269" s="16" t="str">
        <f>IFERROR(__xludf.DUMMYFUNCTION("""COMPUTED_VALUE"""),"DMG: +500, Dark DMG: +200")</f>
        <v>DMG: +500, Dark DMG: +200</v>
      </c>
      <c r="G269" s="16">
        <f>IFERROR(__xludf.DUMMYFUNCTION("""COMPUTED_VALUE"""),1000.0)</f>
        <v>1000</v>
      </c>
      <c r="H269" s="16"/>
      <c r="I269" s="16"/>
      <c r="J269" s="16"/>
      <c r="K269" s="16"/>
      <c r="L269" s="16"/>
      <c r="M269" s="16"/>
      <c r="N269" s="16"/>
      <c r="O269" s="16"/>
      <c r="P269" s="16"/>
      <c r="Q269" s="16"/>
      <c r="R269" s="16"/>
      <c r="S269" s="16"/>
      <c r="T269" s="16"/>
      <c r="U269" s="16"/>
      <c r="V269" s="16"/>
      <c r="W269" s="16"/>
      <c r="X269" s="16"/>
      <c r="Y269" s="16"/>
      <c r="Z269" s="16"/>
    </row>
    <row r="270">
      <c r="A270" s="16" t="str">
        <f>IFERROR(__xludf.DUMMYFUNCTION("""COMPUTED_VALUE"""),"Stone Sledgehammer")</f>
        <v>Stone Sledgehammer</v>
      </c>
      <c r="B270" s="16"/>
      <c r="C270" s="16" t="str">
        <f>IFERROR(__xludf.DUMMYFUNCTION("""COMPUTED_VALUE"""),"Club")</f>
        <v>Club</v>
      </c>
      <c r="D270" s="16" t="str">
        <f>IFERROR(__xludf.DUMMYFUNCTION("""COMPUTED_VALUE"""),"Hand")</f>
        <v>Hand</v>
      </c>
      <c r="E270" s="16">
        <f>IFERROR(__xludf.DUMMYFUNCTION("""COMPUTED_VALUE"""),20.0)</f>
        <v>20</v>
      </c>
      <c r="F270" s="16" t="str">
        <f>IFERROR(__xludf.DUMMYFUNCTION("""COMPUTED_VALUE"""),"DMG: +400, Earth DMG: +200")</f>
        <v>DMG: +400, Earth DMG: +200</v>
      </c>
      <c r="G270" s="16">
        <f>IFERROR(__xludf.DUMMYFUNCTION("""COMPUTED_VALUE"""),1000.0)</f>
        <v>1000</v>
      </c>
      <c r="H270" s="16"/>
      <c r="I270" s="16"/>
      <c r="J270" s="16"/>
      <c r="K270" s="16"/>
      <c r="L270" s="16"/>
      <c r="M270" s="16"/>
      <c r="N270" s="16"/>
      <c r="O270" s="16"/>
      <c r="P270" s="16"/>
      <c r="Q270" s="16"/>
      <c r="R270" s="16"/>
      <c r="S270" s="16"/>
      <c r="T270" s="16"/>
      <c r="U270" s="16"/>
      <c r="V270" s="16"/>
      <c r="W270" s="16"/>
      <c r="X270" s="16"/>
      <c r="Y270" s="16"/>
      <c r="Z270" s="16"/>
    </row>
    <row r="271">
      <c r="A271" s="16" t="str">
        <f>IFERROR(__xludf.DUMMYFUNCTION("""COMPUTED_VALUE"""),"Stone Small Shield")</f>
        <v>Stone Small Shield</v>
      </c>
      <c r="B271" s="16"/>
      <c r="C271" s="16" t="str">
        <f>IFERROR(__xludf.DUMMYFUNCTION("""COMPUTED_VALUE"""),"Buckler")</f>
        <v>Buckler</v>
      </c>
      <c r="D271" s="16" t="str">
        <f>IFERROR(__xludf.DUMMYFUNCTION("""COMPUTED_VALUE"""),"Hand")</f>
        <v>Hand</v>
      </c>
      <c r="E271" s="16">
        <f>IFERROR(__xludf.DUMMYFUNCTION("""COMPUTED_VALUE"""),1.0)</f>
        <v>1</v>
      </c>
      <c r="F271" s="16" t="str">
        <f>IFERROR(__xludf.DUMMYFUNCTION("""COMPUTED_VALUE"""),"DEF: +100")</f>
        <v>DEF: +100</v>
      </c>
      <c r="G271" s="16">
        <f>IFERROR(__xludf.DUMMYFUNCTION("""COMPUTED_VALUE"""),0.0)</f>
        <v>0</v>
      </c>
      <c r="H271" s="16"/>
      <c r="I271" s="16"/>
      <c r="J271" s="16"/>
      <c r="K271" s="16"/>
      <c r="L271" s="16"/>
      <c r="M271" s="16"/>
      <c r="N271" s="16"/>
      <c r="O271" s="16"/>
      <c r="P271" s="16"/>
      <c r="Q271" s="16"/>
      <c r="R271" s="16"/>
      <c r="S271" s="16"/>
      <c r="T271" s="16"/>
      <c r="U271" s="16"/>
      <c r="V271" s="16"/>
      <c r="W271" s="16"/>
      <c r="X271" s="16"/>
      <c r="Y271" s="16"/>
      <c r="Z271" s="16"/>
    </row>
    <row r="272">
      <c r="A272" s="16" t="str">
        <f>IFERROR(__xludf.DUMMYFUNCTION("""COMPUTED_VALUE"""),"Stonewall Shield")</f>
        <v>Stonewall Shield</v>
      </c>
      <c r="B272" s="16"/>
      <c r="C272" s="16" t="str">
        <f>IFERROR(__xludf.DUMMYFUNCTION("""COMPUTED_VALUE"""),"Towershield")</f>
        <v>Towershield</v>
      </c>
      <c r="D272" s="16" t="str">
        <f>IFERROR(__xludf.DUMMYFUNCTION("""COMPUTED_VALUE"""),"Hand")</f>
        <v>Hand</v>
      </c>
      <c r="E272" s="16">
        <f>IFERROR(__xludf.DUMMYFUNCTION("""COMPUTED_VALUE"""),10.0)</f>
        <v>10</v>
      </c>
      <c r="F272" s="16" t="str">
        <f>IFERROR(__xludf.DUMMYFUNCTION("""COMPUTED_VALUE"""),"DEF: +500 ++Immunity to earth")</f>
        <v>DEF: +500 ++Immunity to earth</v>
      </c>
      <c r="G272" s="16">
        <f>IFERROR(__xludf.DUMMYFUNCTION("""COMPUTED_VALUE"""),1000.0)</f>
        <v>1000</v>
      </c>
      <c r="H272" s="16"/>
      <c r="I272" s="16"/>
      <c r="J272" s="16"/>
      <c r="K272" s="16"/>
      <c r="L272" s="16"/>
      <c r="M272" s="16"/>
      <c r="N272" s="16"/>
      <c r="O272" s="16"/>
      <c r="P272" s="16"/>
      <c r="Q272" s="16"/>
      <c r="R272" s="16"/>
      <c r="S272" s="16"/>
      <c r="T272" s="16"/>
      <c r="U272" s="16"/>
      <c r="V272" s="16"/>
      <c r="W272" s="16"/>
      <c r="X272" s="16"/>
      <c r="Y272" s="16"/>
      <c r="Z272" s="16"/>
    </row>
    <row r="273">
      <c r="A273" s="16" t="str">
        <f>IFERROR(__xludf.DUMMYFUNCTION("""COMPUTED_VALUE"""),"Sturdy Wooden Shield")</f>
        <v>Sturdy Wooden Shield</v>
      </c>
      <c r="B273" s="16" t="str">
        <f>IFERROR(__xludf.DUMMYFUNCTION("""COMPUTED_VALUE"""),"A wooden shield")</f>
        <v>A wooden shield</v>
      </c>
      <c r="C273" s="16" t="str">
        <f>IFERROR(__xludf.DUMMYFUNCTION("""COMPUTED_VALUE"""),"Towershield")</f>
        <v>Towershield</v>
      </c>
      <c r="D273" s="16" t="str">
        <f>IFERROR(__xludf.DUMMYFUNCTION("""COMPUTED_VALUE"""),"Hand")</f>
        <v>Hand</v>
      </c>
      <c r="E273" s="16">
        <f>IFERROR(__xludf.DUMMYFUNCTION("""COMPUTED_VALUE"""),1.0)</f>
        <v>1</v>
      </c>
      <c r="F273" s="16" t="str">
        <f>IFERROR(__xludf.DUMMYFUNCTION("""COMPUTED_VALUE"""),"DEF: +50")</f>
        <v>DEF: +50</v>
      </c>
      <c r="G273" s="16">
        <f>IFERROR(__xludf.DUMMYFUNCTION("""COMPUTED_VALUE"""),0.0)</f>
        <v>0</v>
      </c>
      <c r="H273" s="16"/>
      <c r="I273" s="16"/>
      <c r="J273" s="16"/>
      <c r="K273" s="16"/>
      <c r="L273" s="16"/>
      <c r="M273" s="16"/>
      <c r="N273" s="16"/>
      <c r="O273" s="16"/>
      <c r="P273" s="16"/>
      <c r="Q273" s="16"/>
      <c r="R273" s="16"/>
      <c r="S273" s="16"/>
      <c r="T273" s="16"/>
      <c r="U273" s="16"/>
      <c r="V273" s="16"/>
      <c r="W273" s="16"/>
      <c r="X273" s="16"/>
      <c r="Y273" s="16"/>
      <c r="Z273" s="16"/>
    </row>
    <row r="274">
      <c r="A274" s="16" t="str">
        <f>IFERROR(__xludf.DUMMYFUNCTION("""COMPUTED_VALUE"""),"Swampville Dagger")</f>
        <v>Swampville Dagger</v>
      </c>
      <c r="B274" s="16"/>
      <c r="C274" s="16" t="str">
        <f>IFERROR(__xludf.DUMMYFUNCTION("""COMPUTED_VALUE"""),"Knife")</f>
        <v>Knife</v>
      </c>
      <c r="D274" s="16" t="str">
        <f>IFERROR(__xludf.DUMMYFUNCTION("""COMPUTED_VALUE"""),"Hand")</f>
        <v>Hand</v>
      </c>
      <c r="E274" s="16">
        <f>IFERROR(__xludf.DUMMYFUNCTION("""COMPUTED_VALUE"""),400.0)</f>
        <v>400</v>
      </c>
      <c r="F274" s="16" t="str">
        <f>IFERROR(__xludf.DUMMYFUNCTION("""COMPUTED_VALUE"""),"DMG: +10000, Nature DMG: +10000 ++Poison 5000 for 3 rounds.")</f>
        <v>DMG: +10000, Nature DMG: +10000 ++Poison 5000 for 3 rounds.</v>
      </c>
      <c r="G274" s="16">
        <f>IFERROR(__xludf.DUMMYFUNCTION("""COMPUTED_VALUE"""),7800000.0)</f>
        <v>7800000</v>
      </c>
      <c r="H274" s="16"/>
      <c r="I274" s="16"/>
      <c r="J274" s="16"/>
      <c r="K274" s="16"/>
      <c r="L274" s="16"/>
      <c r="M274" s="16"/>
      <c r="N274" s="16"/>
      <c r="O274" s="16"/>
      <c r="P274" s="16"/>
      <c r="Q274" s="16"/>
      <c r="R274" s="16"/>
      <c r="S274" s="16"/>
      <c r="T274" s="16"/>
      <c r="U274" s="16"/>
      <c r="V274" s="16"/>
      <c r="W274" s="16"/>
      <c r="X274" s="16"/>
      <c r="Y274" s="16"/>
      <c r="Z274" s="16"/>
    </row>
    <row r="275">
      <c r="A275" s="16" t="str">
        <f>IFERROR(__xludf.DUMMYFUNCTION("""COMPUTED_VALUE"""),"Sword of Bad Luck")</f>
        <v>Sword of Bad Luck</v>
      </c>
      <c r="B275" s="16"/>
      <c r="C275" s="16" t="str">
        <f>IFERROR(__xludf.DUMMYFUNCTION("""COMPUTED_VALUE"""),"Sword")</f>
        <v>Sword</v>
      </c>
      <c r="D275" s="16" t="str">
        <f>IFERROR(__xludf.DUMMYFUNCTION("""COMPUTED_VALUE"""),"Hand")</f>
        <v>Hand</v>
      </c>
      <c r="E275" s="16">
        <f>IFERROR(__xludf.DUMMYFUNCTION("""COMPUTED_VALUE"""),600.0)</f>
        <v>600</v>
      </c>
      <c r="F275" s="16" t="str">
        <f>IFERROR(__xludf.DUMMYFUNCTION("""COMPUTED_VALUE"""),"DMG: +30000 ++GSteal - Steal X amount of gilders equal to the amount of damage caused with this weapon.")</f>
        <v>DMG: +30000 ++GSteal - Steal X amount of gilders equal to the amount of damage caused with this weapon.</v>
      </c>
      <c r="G275" s="16">
        <f>IFERROR(__xludf.DUMMYFUNCTION("""COMPUTED_VALUE"""),1.77E7)</f>
        <v>17700000</v>
      </c>
      <c r="H275" s="16"/>
      <c r="I275" s="16"/>
      <c r="J275" s="16"/>
      <c r="K275" s="16"/>
      <c r="L275" s="16"/>
      <c r="M275" s="16"/>
      <c r="N275" s="16"/>
      <c r="O275" s="16"/>
      <c r="P275" s="16"/>
      <c r="Q275" s="16"/>
      <c r="R275" s="16"/>
      <c r="S275" s="16"/>
      <c r="T275" s="16"/>
      <c r="U275" s="16"/>
      <c r="V275" s="16"/>
      <c r="W275" s="16"/>
      <c r="X275" s="16"/>
      <c r="Y275" s="16"/>
      <c r="Z275" s="16"/>
    </row>
    <row r="276">
      <c r="A276" s="16" t="str">
        <f>IFERROR(__xludf.DUMMYFUNCTION("""COMPUTED_VALUE"""),"Sword of Chaotic Shadows")</f>
        <v>Sword of Chaotic Shadows</v>
      </c>
      <c r="B276" s="16"/>
      <c r="C276" s="16" t="str">
        <f>IFERROR(__xludf.DUMMYFUNCTION("""COMPUTED_VALUE"""),"Sword")</f>
        <v>Sword</v>
      </c>
      <c r="D276" s="16" t="str">
        <f>IFERROR(__xludf.DUMMYFUNCTION("""COMPUTED_VALUE"""),"Hand")</f>
        <v>Hand</v>
      </c>
      <c r="E276" s="16">
        <f>IFERROR(__xludf.DUMMYFUNCTION("""COMPUTED_VALUE"""),600.0)</f>
        <v>600</v>
      </c>
      <c r="F276" s="16" t="str">
        <f>IFERROR(__xludf.DUMMYFUNCTION("""COMPUTED_VALUE"""),"DMG: +10000, Dark DMG: +10000, Chaos DMG: +10000")</f>
        <v>DMG: +10000, Dark DMG: +10000, Chaos DMG: +10000</v>
      </c>
      <c r="G276" s="16">
        <f>IFERROR(__xludf.DUMMYFUNCTION("""COMPUTED_VALUE"""),1.77E7)</f>
        <v>17700000</v>
      </c>
      <c r="H276" s="16"/>
      <c r="I276" s="16"/>
      <c r="J276" s="16"/>
      <c r="K276" s="16"/>
      <c r="L276" s="16"/>
      <c r="M276" s="16"/>
      <c r="N276" s="16"/>
      <c r="O276" s="16"/>
      <c r="P276" s="16"/>
      <c r="Q276" s="16"/>
      <c r="R276" s="16"/>
      <c r="S276" s="16"/>
      <c r="T276" s="16"/>
      <c r="U276" s="16"/>
      <c r="V276" s="16"/>
      <c r="W276" s="16"/>
      <c r="X276" s="16"/>
      <c r="Y276" s="16"/>
      <c r="Z276" s="16"/>
    </row>
    <row r="277">
      <c r="A277" s="16" t="str">
        <f>IFERROR(__xludf.DUMMYFUNCTION("""COMPUTED_VALUE"""),"Sword Of Darkness")</f>
        <v>Sword Of Darkness</v>
      </c>
      <c r="B277" s="16"/>
      <c r="C277" s="16" t="str">
        <f>IFERROR(__xludf.DUMMYFUNCTION("""COMPUTED_VALUE"""),"Sword")</f>
        <v>Sword</v>
      </c>
      <c r="D277" s="16" t="str">
        <f>IFERROR(__xludf.DUMMYFUNCTION("""COMPUTED_VALUE"""),"Hand")</f>
        <v>Hand</v>
      </c>
      <c r="E277" s="16">
        <f>IFERROR(__xludf.DUMMYFUNCTION("""COMPUTED_VALUE"""),20.0)</f>
        <v>20</v>
      </c>
      <c r="F277" s="16" t="str">
        <f>IFERROR(__xludf.DUMMYFUNCTION("""COMPUTED_VALUE"""),"DMG: +500, Dark DMG: +200")</f>
        <v>DMG: +500, Dark DMG: +200</v>
      </c>
      <c r="G277" s="16">
        <f>IFERROR(__xludf.DUMMYFUNCTION("""COMPUTED_VALUE"""),1000.0)</f>
        <v>1000</v>
      </c>
      <c r="H277" s="16"/>
      <c r="I277" s="16"/>
      <c r="J277" s="16"/>
      <c r="K277" s="16"/>
      <c r="L277" s="16"/>
      <c r="M277" s="16"/>
      <c r="N277" s="16"/>
      <c r="O277" s="16"/>
      <c r="P277" s="16"/>
      <c r="Q277" s="16"/>
      <c r="R277" s="16"/>
      <c r="S277" s="16"/>
      <c r="T277" s="16"/>
      <c r="U277" s="16"/>
      <c r="V277" s="16"/>
      <c r="W277" s="16"/>
      <c r="X277" s="16"/>
      <c r="Y277" s="16"/>
      <c r="Z277" s="16"/>
    </row>
    <row r="278">
      <c r="A278" s="16" t="str">
        <f>IFERROR(__xludf.DUMMYFUNCTION("""COMPUTED_VALUE"""),"Sword of Disorder")</f>
        <v>Sword of Disorder</v>
      </c>
      <c r="B278" s="16"/>
      <c r="C278" s="16" t="str">
        <f>IFERROR(__xludf.DUMMYFUNCTION("""COMPUTED_VALUE"""),"Sword")</f>
        <v>Sword</v>
      </c>
      <c r="D278" s="16" t="str">
        <f>IFERROR(__xludf.DUMMYFUNCTION("""COMPUTED_VALUE"""),"Hand")</f>
        <v>Hand</v>
      </c>
      <c r="E278" s="16">
        <f>IFERROR(__xludf.DUMMYFUNCTION("""COMPUTED_VALUE"""),1.0)</f>
        <v>1</v>
      </c>
      <c r="F278" s="16" t="str">
        <f>IFERROR(__xludf.DUMMYFUNCTION("""COMPUTED_VALUE""")," ++Make a fail or succeed roll while attacking to determine the effect. Fail = 1 damage. Succeed = 50,000 Chaos damage.
")</f>
        <v> ++Make a fail or succeed roll while attacking to determine the effect. Fail = 1 damage. Succeed = 50,000 Chaos damage.
</v>
      </c>
      <c r="G278" s="16">
        <f>IFERROR(__xludf.DUMMYFUNCTION("""COMPUTED_VALUE"""),0.0)</f>
        <v>0</v>
      </c>
      <c r="H278" s="16"/>
      <c r="I278" s="16"/>
      <c r="J278" s="16"/>
      <c r="K278" s="16"/>
      <c r="L278" s="16"/>
      <c r="M278" s="16"/>
      <c r="N278" s="16"/>
      <c r="O278" s="16"/>
      <c r="P278" s="16"/>
      <c r="Q278" s="16"/>
      <c r="R278" s="16"/>
      <c r="S278" s="16"/>
      <c r="T278" s="16"/>
      <c r="U278" s="16"/>
      <c r="V278" s="16"/>
      <c r="W278" s="16"/>
      <c r="X278" s="16"/>
      <c r="Y278" s="16"/>
      <c r="Z278" s="16"/>
    </row>
    <row r="279">
      <c r="A279" s="16" t="str">
        <f>IFERROR(__xludf.DUMMYFUNCTION("""COMPUTED_VALUE"""),"Sword Of Divine Flames")</f>
        <v>Sword Of Divine Flames</v>
      </c>
      <c r="B279" s="16"/>
      <c r="C279" s="16" t="str">
        <f>IFERROR(__xludf.DUMMYFUNCTION("""COMPUTED_VALUE"""),"Sword")</f>
        <v>Sword</v>
      </c>
      <c r="D279" s="16" t="str">
        <f>IFERROR(__xludf.DUMMYFUNCTION("""COMPUTED_VALUE"""),"Hand")</f>
        <v>Hand</v>
      </c>
      <c r="E279" s="16">
        <f>IFERROR(__xludf.DUMMYFUNCTION("""COMPUTED_VALUE"""),300.0)</f>
        <v>300</v>
      </c>
      <c r="F279" s="16" t="str">
        <f>IFERROR(__xludf.DUMMYFUNCTION("""COMPUTED_VALUE"""),"DMG: +10000, Fire DMG: +5000 ++Divine Flame - Fire spells and weapons will deal an additional X2 damage while this weapon is equipped")</f>
        <v>DMG: +10000, Fire DMG: +5000 ++Divine Flame - Fire spells and weapons will deal an additional X2 damage while this weapon is equipped</v>
      </c>
      <c r="G279" s="16">
        <f>IFERROR(__xludf.DUMMYFUNCTION("""COMPUTED_VALUE"""),4350000.0)</f>
        <v>4350000</v>
      </c>
      <c r="H279" s="16"/>
      <c r="I279" s="16"/>
      <c r="J279" s="16"/>
      <c r="K279" s="16"/>
      <c r="L279" s="16"/>
      <c r="M279" s="16"/>
      <c r="N279" s="16"/>
      <c r="O279" s="16"/>
      <c r="P279" s="16"/>
      <c r="Q279" s="16"/>
      <c r="R279" s="16"/>
      <c r="S279" s="16"/>
      <c r="T279" s="16"/>
      <c r="U279" s="16"/>
      <c r="V279" s="16"/>
      <c r="W279" s="16"/>
      <c r="X279" s="16"/>
      <c r="Y279" s="16"/>
      <c r="Z279" s="16"/>
    </row>
    <row r="280">
      <c r="A280" s="16" t="str">
        <f>IFERROR(__xludf.DUMMYFUNCTION("""COMPUTED_VALUE"""),"Sword of Eternal darkness")</f>
        <v>Sword of Eternal darkness</v>
      </c>
      <c r="B280" s="16"/>
      <c r="C280" s="16" t="str">
        <f>IFERROR(__xludf.DUMMYFUNCTION("""COMPUTED_VALUE"""),"Sword")</f>
        <v>Sword</v>
      </c>
      <c r="D280" s="16" t="str">
        <f>IFERROR(__xludf.DUMMYFUNCTION("""COMPUTED_VALUE"""),"Hand")</f>
        <v>Hand</v>
      </c>
      <c r="E280" s="16">
        <f>IFERROR(__xludf.DUMMYFUNCTION("""COMPUTED_VALUE"""),30.0)</f>
        <v>30</v>
      </c>
      <c r="F280" s="16" t="str">
        <f>IFERROR(__xludf.DUMMYFUNCTION("""COMPUTED_VALUE"""),"DMG: +500, Dark DMG: +600")</f>
        <v>DMG: +500, Dark DMG: +600</v>
      </c>
      <c r="G280" s="16">
        <f>IFERROR(__xludf.DUMMYFUNCTION("""COMPUTED_VALUE"""),10000.0)</f>
        <v>10000</v>
      </c>
      <c r="H280" s="16"/>
      <c r="I280" s="16"/>
      <c r="J280" s="16"/>
      <c r="K280" s="16"/>
      <c r="L280" s="16"/>
      <c r="M280" s="16"/>
      <c r="N280" s="16"/>
      <c r="O280" s="16"/>
      <c r="P280" s="16"/>
      <c r="Q280" s="16"/>
      <c r="R280" s="16"/>
      <c r="S280" s="16"/>
      <c r="T280" s="16"/>
      <c r="U280" s="16"/>
      <c r="V280" s="16"/>
      <c r="W280" s="16"/>
      <c r="X280" s="16"/>
      <c r="Y280" s="16"/>
      <c r="Z280" s="16"/>
    </row>
    <row r="281">
      <c r="A281" s="16" t="str">
        <f>IFERROR(__xludf.DUMMYFUNCTION("""COMPUTED_VALUE"""),"Hela's Death Scythe")</f>
        <v>Hela's Death Scythe</v>
      </c>
      <c r="B281" s="16"/>
      <c r="C281" s="16" t="str">
        <f>IFERROR(__xludf.DUMMYFUNCTION("""COMPUTED_VALUE"""),"Scythe")</f>
        <v>Scythe</v>
      </c>
      <c r="D281" s="16" t="str">
        <f>IFERROR(__xludf.DUMMYFUNCTION("""COMPUTED_VALUE"""),"Hand")</f>
        <v>Hand</v>
      </c>
      <c r="E281" s="16">
        <f>IFERROR(__xludf.DUMMYFUNCTION("""COMPUTED_VALUE"""),1.0)</f>
        <v>1</v>
      </c>
      <c r="F281" s="16" t="str">
        <f>IFERROR(__xludf.DUMMYFUNCTION("""COMPUTED_VALUE"""),"DMG: +0, Spirit DMG: +0 ++Soul Enhanced - This sword can be enchanted with any soul to increase its Natural and Spirit damage, Each soul enchanted into this sword gives it an additional 200 natural and spirit damage. +-Cannot be forged +-Cannot be duplica"&amp;"ted
Souls 0/3000")</f>
        <v>DMG: +0, Spirit DMG: +0 ++Soul Enhanced - This sword can be enchanted with any soul to increase its Natural and Spirit damage, Each soul enchanted into this sword gives it an additional 200 natural and spirit damage. +-Cannot be forged +-Cannot be duplicated
Souls 0/3000</v>
      </c>
      <c r="G281" s="16">
        <f>IFERROR(__xludf.DUMMYFUNCTION("""COMPUTED_VALUE"""),0.0)</f>
        <v>0</v>
      </c>
      <c r="H281" s="16"/>
      <c r="I281" s="16"/>
      <c r="J281" s="16"/>
      <c r="K281" s="16"/>
      <c r="L281" s="16"/>
      <c r="M281" s="16"/>
      <c r="N281" s="16"/>
      <c r="O281" s="16"/>
      <c r="P281" s="16"/>
      <c r="Q281" s="16"/>
      <c r="R281" s="16"/>
      <c r="S281" s="16"/>
      <c r="T281" s="16"/>
      <c r="U281" s="16"/>
      <c r="V281" s="16"/>
      <c r="W281" s="16"/>
      <c r="X281" s="16"/>
      <c r="Y281" s="16"/>
      <c r="Z281" s="16"/>
    </row>
    <row r="282">
      <c r="A282" s="16" t="str">
        <f>IFERROR(__xludf.DUMMYFUNCTION("""COMPUTED_VALUE"""),"Sword of Nature’s Love")</f>
        <v>Sword of Nature’s Love</v>
      </c>
      <c r="B282" s="16"/>
      <c r="C282" s="16" t="str">
        <f>IFERROR(__xludf.DUMMYFUNCTION("""COMPUTED_VALUE"""),"Sword")</f>
        <v>Sword</v>
      </c>
      <c r="D282" s="16" t="str">
        <f>IFERROR(__xludf.DUMMYFUNCTION("""COMPUTED_VALUE"""),"Hand")</f>
        <v>Hand</v>
      </c>
      <c r="E282" s="16">
        <f>IFERROR(__xludf.DUMMYFUNCTION("""COMPUTED_VALUE"""),160.0)</f>
        <v>160</v>
      </c>
      <c r="F282" s="16" t="str">
        <f>IFERROR(__xludf.DUMMYFUNCTION("""COMPUTED_VALUE"""),"DMG: +4000, Nature DMG: +4000 ++Nature's Power - any damage dealt by this weapon gives HP back to the user equal to the damage dealt.")</f>
        <v>DMG: +4000, Nature DMG: +4000 ++Nature's Power - any damage dealt by this weapon gives HP back to the user equal to the damage dealt.</v>
      </c>
      <c r="G282" s="16">
        <f>IFERROR(__xludf.DUMMYFUNCTION("""COMPUTED_VALUE"""),1200000.0)</f>
        <v>1200000</v>
      </c>
      <c r="H282" s="16"/>
      <c r="I282" s="16"/>
      <c r="J282" s="16"/>
      <c r="K282" s="16"/>
      <c r="L282" s="16"/>
      <c r="M282" s="16"/>
      <c r="N282" s="16"/>
      <c r="O282" s="16"/>
      <c r="P282" s="16"/>
      <c r="Q282" s="16"/>
      <c r="R282" s="16"/>
      <c r="S282" s="16"/>
      <c r="T282" s="16"/>
      <c r="U282" s="16"/>
      <c r="V282" s="16"/>
      <c r="W282" s="16"/>
      <c r="X282" s="16"/>
      <c r="Y282" s="16"/>
      <c r="Z282" s="16"/>
    </row>
    <row r="283">
      <c r="A283" s="16" t="str">
        <f>IFERROR(__xludf.DUMMYFUNCTION("""COMPUTED_VALUE"""),"Sword of Shadows")</f>
        <v>Sword of Shadows</v>
      </c>
      <c r="B283" s="16"/>
      <c r="C283" s="16" t="str">
        <f>IFERROR(__xludf.DUMMYFUNCTION("""COMPUTED_VALUE"""),"Sword")</f>
        <v>Sword</v>
      </c>
      <c r="D283" s="16" t="str">
        <f>IFERROR(__xludf.DUMMYFUNCTION("""COMPUTED_VALUE"""),"Hand")</f>
        <v>Hand</v>
      </c>
      <c r="E283" s="16">
        <f>IFERROR(__xludf.DUMMYFUNCTION("""COMPUTED_VALUE"""),30.0)</f>
        <v>30</v>
      </c>
      <c r="F283" s="16" t="str">
        <f>IFERROR(__xludf.DUMMYFUNCTION("""COMPUTED_VALUE"""),"DMG: +1000, Dark DMG: +500")</f>
        <v>DMG: +1000, Dark DMG: +500</v>
      </c>
      <c r="G283" s="16">
        <f>IFERROR(__xludf.DUMMYFUNCTION("""COMPUTED_VALUE"""),30000.0)</f>
        <v>30000</v>
      </c>
      <c r="H283" s="16"/>
      <c r="I283" s="16"/>
      <c r="J283" s="16"/>
      <c r="K283" s="16"/>
      <c r="L283" s="16"/>
      <c r="M283" s="16"/>
      <c r="N283" s="16"/>
      <c r="O283" s="16"/>
      <c r="P283" s="16"/>
      <c r="Q283" s="16"/>
      <c r="R283" s="16"/>
      <c r="S283" s="16"/>
      <c r="T283" s="16"/>
      <c r="U283" s="16"/>
      <c r="V283" s="16"/>
      <c r="W283" s="16"/>
      <c r="X283" s="16"/>
      <c r="Y283" s="16"/>
      <c r="Z283" s="16"/>
    </row>
    <row r="284">
      <c r="A284" s="16" t="str">
        <f>IFERROR(__xludf.DUMMYFUNCTION("""COMPUTED_VALUE"""),"Sword of Steel")</f>
        <v>Sword of Steel</v>
      </c>
      <c r="B284" s="16"/>
      <c r="C284" s="16" t="str">
        <f>IFERROR(__xludf.DUMMYFUNCTION("""COMPUTED_VALUE"""),"Sword")</f>
        <v>Sword</v>
      </c>
      <c r="D284" s="16" t="str">
        <f>IFERROR(__xludf.DUMMYFUNCTION("""COMPUTED_VALUE"""),"Hand")</f>
        <v>Hand</v>
      </c>
      <c r="E284" s="16">
        <f>IFERROR(__xludf.DUMMYFUNCTION("""COMPUTED_VALUE"""),1.0)</f>
        <v>1</v>
      </c>
      <c r="F284" s="16" t="str">
        <f>IFERROR(__xludf.DUMMYFUNCTION("""COMPUTED_VALUE"""),"DMG: +300")</f>
        <v>DMG: +300</v>
      </c>
      <c r="G284" s="16">
        <f>IFERROR(__xludf.DUMMYFUNCTION("""COMPUTED_VALUE"""),0.0)</f>
        <v>0</v>
      </c>
      <c r="H284" s="16"/>
      <c r="I284" s="16"/>
      <c r="J284" s="16"/>
      <c r="K284" s="16"/>
      <c r="L284" s="16"/>
      <c r="M284" s="16"/>
      <c r="N284" s="16"/>
      <c r="O284" s="16"/>
      <c r="P284" s="16"/>
      <c r="Q284" s="16"/>
      <c r="R284" s="16"/>
      <c r="S284" s="16"/>
      <c r="T284" s="16"/>
      <c r="U284" s="16"/>
      <c r="V284" s="16"/>
      <c r="W284" s="16"/>
      <c r="X284" s="16"/>
      <c r="Y284" s="16"/>
      <c r="Z284" s="16"/>
    </row>
    <row r="285">
      <c r="A285" s="16" t="str">
        <f>IFERROR(__xludf.DUMMYFUNCTION("""COMPUTED_VALUE"""),"Sword of The Abyss")</f>
        <v>Sword of The Abyss</v>
      </c>
      <c r="B285" s="16"/>
      <c r="C285" s="16" t="str">
        <f>IFERROR(__xludf.DUMMYFUNCTION("""COMPUTED_VALUE"""),"Sword")</f>
        <v>Sword</v>
      </c>
      <c r="D285" s="16" t="str">
        <f>IFERROR(__xludf.DUMMYFUNCTION("""COMPUTED_VALUE"""),"Hand")</f>
        <v>Hand</v>
      </c>
      <c r="E285" s="16">
        <f>IFERROR(__xludf.DUMMYFUNCTION("""COMPUTED_VALUE"""),260.0)</f>
        <v>260</v>
      </c>
      <c r="F285" s="16" t="str">
        <f>IFERROR(__xludf.DUMMYFUNCTION("""COMPUTED_VALUE"""),"DMG: +8000, Dark DMG: +5000 ++Abyss Embodiment - dark damage is increased by X2 for the user.")</f>
        <v>DMG: +8000, Dark DMG: +5000 ++Abyss Embodiment - dark damage is increased by X2 for the user.</v>
      </c>
      <c r="G285" s="16">
        <f>IFERROR(__xludf.DUMMYFUNCTION("""COMPUTED_VALUE"""),3250000.0)</f>
        <v>3250000</v>
      </c>
      <c r="H285" s="16"/>
      <c r="I285" s="16"/>
      <c r="J285" s="16"/>
      <c r="K285" s="16"/>
      <c r="L285" s="16"/>
      <c r="M285" s="16"/>
      <c r="N285" s="16"/>
      <c r="O285" s="16"/>
      <c r="P285" s="16"/>
      <c r="Q285" s="16"/>
      <c r="R285" s="16"/>
      <c r="S285" s="16"/>
      <c r="T285" s="16"/>
      <c r="U285" s="16"/>
      <c r="V285" s="16"/>
      <c r="W285" s="16"/>
      <c r="X285" s="16"/>
      <c r="Y285" s="16"/>
      <c r="Z285" s="16"/>
    </row>
    <row r="286">
      <c r="A286" s="16" t="str">
        <f>IFERROR(__xludf.DUMMYFUNCTION("""COMPUTED_VALUE"""),"Sword of The Ancient Fire Serpent")</f>
        <v>Sword of The Ancient Fire Serpent</v>
      </c>
      <c r="B286" s="16"/>
      <c r="C286" s="16" t="str">
        <f>IFERROR(__xludf.DUMMYFUNCTION("""COMPUTED_VALUE"""),"Sword")</f>
        <v>Sword</v>
      </c>
      <c r="D286" s="16" t="str">
        <f>IFERROR(__xludf.DUMMYFUNCTION("""COMPUTED_VALUE"""),"Hand")</f>
        <v>Hand</v>
      </c>
      <c r="E286" s="16">
        <f>IFERROR(__xludf.DUMMYFUNCTION("""COMPUTED_VALUE"""),2000.0)</f>
        <v>2000</v>
      </c>
      <c r="F286" s="16" t="str">
        <f>IFERROR(__xludf.DUMMYFUNCTION("""COMPUTED_VALUE"""),"DMG: +50000, Fire DMG: +50000 ++ Burn 50,000. ++Serpents Luck - +5 can be added to the users d20 rolls. +-Cannot be duplicated.")</f>
        <v>DMG: +50000, Fire DMG: +50000 ++ Burn 50,000. ++Serpents Luck - +5 can be added to the users d20 rolls. +-Cannot be duplicated.</v>
      </c>
      <c r="G286" s="16">
        <f>IFERROR(__xludf.DUMMYFUNCTION("""COMPUTED_VALUE"""),1.99E8)</f>
        <v>199000000</v>
      </c>
      <c r="H286" s="16"/>
      <c r="I286" s="16"/>
      <c r="J286" s="16"/>
      <c r="K286" s="16"/>
      <c r="L286" s="16"/>
      <c r="M286" s="16"/>
      <c r="N286" s="16"/>
      <c r="O286" s="16"/>
      <c r="P286" s="16"/>
      <c r="Q286" s="16"/>
      <c r="R286" s="16"/>
      <c r="S286" s="16"/>
      <c r="T286" s="16"/>
      <c r="U286" s="16"/>
      <c r="V286" s="16"/>
      <c r="W286" s="16"/>
      <c r="X286" s="16"/>
      <c r="Y286" s="16"/>
      <c r="Z286" s="16"/>
    </row>
    <row r="287">
      <c r="A287" s="16" t="str">
        <f>IFERROR(__xludf.DUMMYFUNCTION("""COMPUTED_VALUE"""),"Sword of The Burning Forest")</f>
        <v>Sword of The Burning Forest</v>
      </c>
      <c r="B287" s="16" t="str">
        <f>IFERROR(__xludf.DUMMYFUNCTION("""COMPUTED_VALUE"""),"A sword forged by mekana to obliterate natural environments.")</f>
        <v>A sword forged by mekana to obliterate natural environments.</v>
      </c>
      <c r="C287" s="16" t="str">
        <f>IFERROR(__xludf.DUMMYFUNCTION("""COMPUTED_VALUE"""),"Sword")</f>
        <v>Sword</v>
      </c>
      <c r="D287" s="16" t="str">
        <f>IFERROR(__xludf.DUMMYFUNCTION("""COMPUTED_VALUE"""),"Hand")</f>
        <v>Hand</v>
      </c>
      <c r="E287" s="16">
        <f>IFERROR(__xludf.DUMMYFUNCTION("""COMPUTED_VALUE"""),600.0)</f>
        <v>600</v>
      </c>
      <c r="F287" s="16" t="str">
        <f>IFERROR(__xludf.DUMMYFUNCTION("""COMPUTED_VALUE"""),"DMG: +20000, Fire DMG: +10000 ++Forest Fire- Burn 10,000, x4 fire damage while in a natural environment.")</f>
        <v>DMG: +20000, Fire DMG: +10000 ++Forest Fire- Burn 10,000, x4 fire damage while in a natural environment.</v>
      </c>
      <c r="G287" s="16">
        <f>IFERROR(__xludf.DUMMYFUNCTION("""COMPUTED_VALUE"""),1.77E7)</f>
        <v>17700000</v>
      </c>
      <c r="H287" s="16"/>
      <c r="I287" s="16"/>
      <c r="J287" s="16"/>
      <c r="K287" s="16"/>
      <c r="L287" s="16"/>
      <c r="M287" s="16"/>
      <c r="N287" s="16"/>
      <c r="O287" s="16"/>
      <c r="P287" s="16"/>
      <c r="Q287" s="16"/>
      <c r="R287" s="16"/>
      <c r="S287" s="16"/>
      <c r="T287" s="16"/>
      <c r="U287" s="16"/>
      <c r="V287" s="16"/>
      <c r="W287" s="16"/>
      <c r="X287" s="16"/>
      <c r="Y287" s="16"/>
      <c r="Z287" s="16"/>
    </row>
    <row r="288">
      <c r="A288" s="16" t="str">
        <f>IFERROR(__xludf.DUMMYFUNCTION("""COMPUTED_VALUE"""),"Sword of The Crystal Chosen")</f>
        <v>Sword of The Crystal Chosen</v>
      </c>
      <c r="B288" s="16"/>
      <c r="C288" s="16" t="str">
        <f>IFERROR(__xludf.DUMMYFUNCTION("""COMPUTED_VALUE"""),"Sword")</f>
        <v>Sword</v>
      </c>
      <c r="D288" s="16" t="str">
        <f>IFERROR(__xludf.DUMMYFUNCTION("""COMPUTED_VALUE"""),"Hand")</f>
        <v>Hand</v>
      </c>
      <c r="E288" s="16">
        <f>IFERROR(__xludf.DUMMYFUNCTION("""COMPUTED_VALUE"""),400.0)</f>
        <v>400</v>
      </c>
      <c r="F288" s="16" t="str">
        <f>IFERROR(__xludf.DUMMYFUNCTION("""COMPUTED_VALUE"""),"DMG: +10000, Earth DMG: +10000 ++The Chosen Crystal - When Equipped any damage dealt by a Crystal or Gem related weapon is X4. +-Cannot be duplicated.")</f>
        <v>DMG: +10000, Earth DMG: +10000 ++The Chosen Crystal - When Equipped any damage dealt by a Crystal or Gem related weapon is X4. +-Cannot be duplicated.</v>
      </c>
      <c r="G288" s="16">
        <f>IFERROR(__xludf.DUMMYFUNCTION("""COMPUTED_VALUE"""),7800000.0)</f>
        <v>7800000</v>
      </c>
      <c r="H288" s="16"/>
      <c r="I288" s="16"/>
      <c r="J288" s="16"/>
      <c r="K288" s="16"/>
      <c r="L288" s="16"/>
      <c r="M288" s="16"/>
      <c r="N288" s="16"/>
      <c r="O288" s="16"/>
      <c r="P288" s="16"/>
      <c r="Q288" s="16"/>
      <c r="R288" s="16"/>
      <c r="S288" s="16"/>
      <c r="T288" s="16"/>
      <c r="U288" s="16"/>
      <c r="V288" s="16"/>
      <c r="W288" s="16"/>
      <c r="X288" s="16"/>
      <c r="Y288" s="16"/>
      <c r="Z288" s="16"/>
    </row>
    <row r="289">
      <c r="A289" s="16" t="str">
        <f>IFERROR(__xludf.DUMMYFUNCTION("""COMPUTED_VALUE"""),"Sword Of The Cursed Naga")</f>
        <v>Sword Of The Cursed Naga</v>
      </c>
      <c r="B289" s="16"/>
      <c r="C289" s="16" t="str">
        <f>IFERROR(__xludf.DUMMYFUNCTION("""COMPUTED_VALUE"""),"Sword")</f>
        <v>Sword</v>
      </c>
      <c r="D289" s="16" t="str">
        <f>IFERROR(__xludf.DUMMYFUNCTION("""COMPUTED_VALUE"""),"Hand")</f>
        <v>Hand</v>
      </c>
      <c r="E289" s="16">
        <f>IFERROR(__xludf.DUMMYFUNCTION("""COMPUTED_VALUE"""),200.0)</f>
        <v>200</v>
      </c>
      <c r="F289" s="16" t="str">
        <f>IFERROR(__xludf.DUMMYFUNCTION("""COMPUTED_VALUE"""),"DMG: +10000, Earth DMG: +50000, Blood DMG: +50000, Celestial DMG: +10000 ++Earth Charmer - Earth attacks will deal an additional X4 damage while this weapon is equipped.
++Poison Charmer - Poison 50,000 p/r.")</f>
        <v>DMG: +10000, Earth DMG: +50000, Blood DMG: +50000, Celestial DMG: +10000 ++Earth Charmer - Earth attacks will deal an additional X4 damage while this weapon is equipped.
++Poison Charmer - Poison 50,000 p/r.</v>
      </c>
      <c r="G289" s="16">
        <f>IFERROR(__xludf.DUMMYFUNCTION("""COMPUTED_VALUE"""),2.868E8)</f>
        <v>286800000</v>
      </c>
      <c r="H289" s="16"/>
      <c r="I289" s="16"/>
      <c r="J289" s="16"/>
      <c r="K289" s="16"/>
      <c r="L289" s="16"/>
      <c r="M289" s="16"/>
      <c r="N289" s="16"/>
      <c r="O289" s="16"/>
      <c r="P289" s="16"/>
      <c r="Q289" s="16"/>
      <c r="R289" s="16"/>
      <c r="S289" s="16"/>
      <c r="T289" s="16"/>
      <c r="U289" s="16"/>
      <c r="V289" s="16"/>
      <c r="W289" s="16"/>
      <c r="X289" s="16"/>
      <c r="Y289" s="16"/>
      <c r="Z289" s="16"/>
    </row>
    <row r="290">
      <c r="A290" s="16" t="str">
        <f>IFERROR(__xludf.DUMMYFUNCTION("""COMPUTED_VALUE"""),"Sword Of The Dragons Blood")</f>
        <v>Sword Of The Dragons Blood</v>
      </c>
      <c r="B290" s="16"/>
      <c r="C290" s="16" t="str">
        <f>IFERROR(__xludf.DUMMYFUNCTION("""COMPUTED_VALUE"""),"Sword")</f>
        <v>Sword</v>
      </c>
      <c r="D290" s="16" t="str">
        <f>IFERROR(__xludf.DUMMYFUNCTION("""COMPUTED_VALUE"""),"Hand")</f>
        <v>Hand</v>
      </c>
      <c r="E290" s="16">
        <f>IFERROR(__xludf.DUMMYFUNCTION("""COMPUTED_VALUE"""),1500.0)</f>
        <v>1500</v>
      </c>
      <c r="F290" s="16" t="str">
        <f>IFERROR(__xludf.DUMMYFUNCTION("""COMPUTED_VALUE"""),"DMG: +50000, Blood DMG: +25000 ++Burning Blood: Upon a successful hit; 5000 bleed and burn until the enemy dies.")</f>
        <v>DMG: +50000, Blood DMG: +25000 ++Burning Blood: Upon a successful hit; 5000 bleed and burn until the enemy dies.</v>
      </c>
      <c r="G290" s="16">
        <f>IFERROR(__xludf.DUMMYFUNCTION("""COMPUTED_VALUE"""),1.1175E8)</f>
        <v>111750000</v>
      </c>
      <c r="H290" s="16"/>
      <c r="I290" s="16"/>
      <c r="J290" s="16"/>
      <c r="K290" s="16"/>
      <c r="L290" s="16"/>
      <c r="M290" s="16"/>
      <c r="N290" s="16"/>
      <c r="O290" s="16"/>
      <c r="P290" s="16"/>
      <c r="Q290" s="16"/>
      <c r="R290" s="16"/>
      <c r="S290" s="16"/>
      <c r="T290" s="16"/>
      <c r="U290" s="16"/>
      <c r="V290" s="16"/>
      <c r="W290" s="16"/>
      <c r="X290" s="16"/>
      <c r="Y290" s="16"/>
      <c r="Z290" s="16"/>
    </row>
    <row r="291">
      <c r="A291" s="16" t="str">
        <f>IFERROR(__xludf.DUMMYFUNCTION("""COMPUTED_VALUE"""),"Sword of The Haunted Mansion")</f>
        <v>Sword of The Haunted Mansion</v>
      </c>
      <c r="B291" s="16" t="str">
        <f>IFERROR(__xludf.DUMMYFUNCTION("""COMPUTED_VALUE"""),"Halloween exclusive")</f>
        <v>Halloween exclusive</v>
      </c>
      <c r="C291" s="16" t="str">
        <f>IFERROR(__xludf.DUMMYFUNCTION("""COMPUTED_VALUE"""),"Sword")</f>
        <v>Sword</v>
      </c>
      <c r="D291" s="16" t="str">
        <f>IFERROR(__xludf.DUMMYFUNCTION("""COMPUTED_VALUE"""),"Hand")</f>
        <v>Hand</v>
      </c>
      <c r="E291" s="16">
        <f>IFERROR(__xludf.DUMMYFUNCTION("""COMPUTED_VALUE"""),200.0)</f>
        <v>200</v>
      </c>
      <c r="F291" s="16" t="str">
        <f>IFERROR(__xludf.DUMMYFUNCTION("""COMPUTED_VALUE"""),"DMG: +20000, Fire DMG: +20000, Dark DMG: +20000, Chaos DMG: +20000, Celestial DMG: +20000 ++Hallows Welcome: All enemies roll a d20 at the beginning of battle; All enemies that roll a 10 or lower start with 0 base defense and 0 evasion, All enemies that r"&amp;"oll a 11 or higher start with X2 defense and ++5 additional evasion. +-Cannot be forged +-Cannot be duplicated")</f>
        <v>DMG: +20000, Fire DMG: +20000, Dark DMG: +20000, Chaos DMG: +20000, Celestial DMG: +20000 ++Hallows Welcome: All enemies roll a d20 at the beginning of battle; All enemies that roll a 10 or lower start with 0 base defense and 0 evasion, All enemies that roll a 11 or higher start with X2 defense and ++5 additional evasion. +-Cannot be forged +-Cannot be duplicated</v>
      </c>
      <c r="G291" s="16">
        <f>IFERROR(__xludf.DUMMYFUNCTION("""COMPUTED_VALUE"""),1.99E8)</f>
        <v>199000000</v>
      </c>
      <c r="H291" s="16"/>
      <c r="I291" s="16"/>
      <c r="J291" s="16"/>
      <c r="K291" s="16"/>
      <c r="L291" s="16"/>
      <c r="M291" s="16"/>
      <c r="N291" s="16"/>
      <c r="O291" s="16"/>
      <c r="P291" s="16"/>
      <c r="Q291" s="16"/>
      <c r="R291" s="16"/>
      <c r="S291" s="16"/>
      <c r="T291" s="16"/>
      <c r="U291" s="16"/>
      <c r="V291" s="16"/>
      <c r="W291" s="16"/>
      <c r="X291" s="16"/>
      <c r="Y291" s="16"/>
      <c r="Z291" s="16"/>
    </row>
    <row r="292">
      <c r="A292" s="16" t="str">
        <f>IFERROR(__xludf.DUMMYFUNCTION("""COMPUTED_VALUE"""),"Sword Of The Honorable Samurai")</f>
        <v>Sword Of The Honorable Samurai</v>
      </c>
      <c r="B292" s="16"/>
      <c r="C292" s="16" t="str">
        <f>IFERROR(__xludf.DUMMYFUNCTION("""COMPUTED_VALUE"""),"Sword")</f>
        <v>Sword</v>
      </c>
      <c r="D292" s="16" t="str">
        <f>IFERROR(__xludf.DUMMYFUNCTION("""COMPUTED_VALUE"""),"Hand")</f>
        <v>Hand</v>
      </c>
      <c r="E292" s="16">
        <f>IFERROR(__xludf.DUMMYFUNCTION("""COMPUTED_VALUE"""),400.0)</f>
        <v>400</v>
      </c>
      <c r="F292" s="16" t="str">
        <f>IFERROR(__xludf.DUMMYFUNCTION("""COMPUTED_VALUE"""),"DMG: +10000, Light DMG: +5000, Order DMG: +5000")</f>
        <v>DMG: +10000, Light DMG: +5000, Order DMG: +5000</v>
      </c>
      <c r="G292" s="16">
        <f>IFERROR(__xludf.DUMMYFUNCTION("""COMPUTED_VALUE"""),7800000.0)</f>
        <v>7800000</v>
      </c>
      <c r="H292" s="16"/>
      <c r="I292" s="16"/>
      <c r="J292" s="16"/>
      <c r="K292" s="16"/>
      <c r="L292" s="16"/>
      <c r="M292" s="16"/>
      <c r="N292" s="16"/>
      <c r="O292" s="16"/>
      <c r="P292" s="16"/>
      <c r="Q292" s="16"/>
      <c r="R292" s="16"/>
      <c r="S292" s="16"/>
      <c r="T292" s="16"/>
      <c r="U292" s="16"/>
      <c r="V292" s="16"/>
      <c r="W292" s="16"/>
      <c r="X292" s="16"/>
      <c r="Y292" s="16"/>
      <c r="Z292" s="16"/>
    </row>
    <row r="293">
      <c r="A293" s="16" t="str">
        <f>IFERROR(__xludf.DUMMYFUNCTION("""COMPUTED_VALUE"""),"Sword of The Crystal King")</f>
        <v>Sword of The Crystal King</v>
      </c>
      <c r="B293" s="16"/>
      <c r="C293" s="16" t="str">
        <f>IFERROR(__xludf.DUMMYFUNCTION("""COMPUTED_VALUE"""),"Sword")</f>
        <v>Sword</v>
      </c>
      <c r="D293" s="16" t="str">
        <f>IFERROR(__xludf.DUMMYFUNCTION("""COMPUTED_VALUE"""),"Hand")</f>
        <v>Hand</v>
      </c>
      <c r="E293" s="16">
        <f>IFERROR(__xludf.DUMMYFUNCTION("""COMPUTED_VALUE"""),200.0)</f>
        <v>200</v>
      </c>
      <c r="F293" s="16" t="str">
        <f>IFERROR(__xludf.DUMMYFUNCTION("""COMPUTED_VALUE"""),"DMG: +20000, Earth DMG: +20000, Celestial DMG: +10000 ++Crystal Kings Power - Damage dealt by this weapon gives you SP back equal to the damage you deal. ++ Crystal Embodyment - When Equipped any damage dealt by a Crystal or Gem related weapon is X8 for t"&amp;"he user. +-Cannot be duplicated.")</f>
        <v>DMG: +20000, Earth DMG: +20000, Celestial DMG: +10000 ++Crystal Kings Power - Damage dealt by this weapon gives you SP back equal to the damage you deal. ++ Crystal Embodyment - When Equipped any damage dealt by a Crystal or Gem related weapon is X8 for the user. +-Cannot be duplicated.</v>
      </c>
      <c r="G293" s="16">
        <f>IFERROR(__xludf.DUMMYFUNCTION("""COMPUTED_VALUE"""),4.95E7)</f>
        <v>49500000</v>
      </c>
      <c r="H293" s="16"/>
      <c r="I293" s="16"/>
      <c r="J293" s="16"/>
      <c r="K293" s="16"/>
      <c r="L293" s="16"/>
      <c r="M293" s="16"/>
      <c r="N293" s="16"/>
      <c r="O293" s="16"/>
      <c r="P293" s="16"/>
      <c r="Q293" s="16"/>
      <c r="R293" s="16"/>
      <c r="S293" s="16"/>
      <c r="T293" s="16"/>
      <c r="U293" s="16"/>
      <c r="V293" s="16"/>
      <c r="W293" s="16"/>
      <c r="X293" s="16"/>
      <c r="Y293" s="16"/>
      <c r="Z293" s="16"/>
    </row>
    <row r="294">
      <c r="A294" s="16" t="str">
        <f>IFERROR(__xludf.DUMMYFUNCTION("""COMPUTED_VALUE"""),"Sword of The Many Heroes")</f>
        <v>Sword of The Many Heroes</v>
      </c>
      <c r="B294" s="16"/>
      <c r="C294" s="16" t="str">
        <f>IFERROR(__xludf.DUMMYFUNCTION("""COMPUTED_VALUE"""),"Sword")</f>
        <v>Sword</v>
      </c>
      <c r="D294" s="16" t="str">
        <f>IFERROR(__xludf.DUMMYFUNCTION("""COMPUTED_VALUE"""),"Hand")</f>
        <v>Hand</v>
      </c>
      <c r="E294" s="16">
        <f>IFERROR(__xludf.DUMMYFUNCTION("""COMPUTED_VALUE"""),200.0)</f>
        <v>200</v>
      </c>
      <c r="F294" s="16" t="str">
        <f>IFERROR(__xludf.DUMMYFUNCTION("""COMPUTED_VALUE"""),"DMG: +100000, Celestial DMG: +500000 ++While you have this sword equipped and you have 4+ party members among your party, You and your allies deal X4 additional damage with weapons only. +-Cannot be duplicated")</f>
        <v>DMG: +100000, Celestial DMG: +500000 ++While you have this sword equipped and you have 4+ party members among your party, You and your allies deal X4 additional damage with weapons only. +-Cannot be duplicated</v>
      </c>
      <c r="G294" s="16">
        <f>IFERROR(__xludf.DUMMYFUNCTION("""COMPUTED_VALUE"""),7.194E9)</f>
        <v>7194000000</v>
      </c>
      <c r="H294" s="16"/>
      <c r="I294" s="16"/>
      <c r="J294" s="16"/>
      <c r="K294" s="16"/>
      <c r="L294" s="16"/>
      <c r="M294" s="16"/>
      <c r="N294" s="16"/>
      <c r="O294" s="16"/>
      <c r="P294" s="16"/>
      <c r="Q294" s="16"/>
      <c r="R294" s="16"/>
      <c r="S294" s="16"/>
      <c r="T294" s="16"/>
      <c r="U294" s="16"/>
      <c r="V294" s="16"/>
      <c r="W294" s="16"/>
      <c r="X294" s="16"/>
      <c r="Y294" s="16"/>
      <c r="Z294" s="16"/>
    </row>
    <row r="295">
      <c r="A295" s="16" t="str">
        <f>IFERROR(__xludf.DUMMYFUNCTION("""COMPUTED_VALUE"""),"Sword Of The Reaper")</f>
        <v>Sword Of The Reaper</v>
      </c>
      <c r="B295" s="16"/>
      <c r="C295" s="16" t="str">
        <f>IFERROR(__xludf.DUMMYFUNCTION("""COMPUTED_VALUE"""),"Sword")</f>
        <v>Sword</v>
      </c>
      <c r="D295" s="16" t="str">
        <f>IFERROR(__xludf.DUMMYFUNCTION("""COMPUTED_VALUE"""),"Hand")</f>
        <v>Hand</v>
      </c>
      <c r="E295" s="16">
        <f>IFERROR(__xludf.DUMMYFUNCTION("""COMPUTED_VALUE"""),200.0)</f>
        <v>200</v>
      </c>
      <c r="F295" s="16" t="str">
        <f>IFERROR(__xludf.DUMMYFUNCTION("""COMPUTED_VALUE"""),"DMG: +5000, Celestial DMG: +1000 ++Stop Targeting Me! - When targeted for an attack the base damage of this weapon will be increased by 1000 damage for the battle only.")</f>
        <v>DMG: +5000, Celestial DMG: +1000 ++Stop Targeting Me! - When targeted for an attack the base damage of this weapon will be increased by 1000 damage for the battle only.</v>
      </c>
      <c r="G295" s="16">
        <f>IFERROR(__xludf.DUMMYFUNCTION("""COMPUTED_VALUE"""),660000.0)</f>
        <v>660000</v>
      </c>
      <c r="H295" s="16"/>
      <c r="I295" s="16"/>
      <c r="J295" s="16"/>
      <c r="K295" s="16"/>
      <c r="L295" s="16"/>
      <c r="M295" s="16"/>
      <c r="N295" s="16"/>
      <c r="O295" s="16"/>
      <c r="P295" s="16"/>
      <c r="Q295" s="16"/>
      <c r="R295" s="16"/>
      <c r="S295" s="16"/>
      <c r="T295" s="16"/>
      <c r="U295" s="16"/>
      <c r="V295" s="16"/>
      <c r="W295" s="16"/>
      <c r="X295" s="16"/>
      <c r="Y295" s="16"/>
      <c r="Z295" s="16"/>
    </row>
    <row r="296">
      <c r="A296" s="16" t="str">
        <f>IFERROR(__xludf.DUMMYFUNCTION("""COMPUTED_VALUE"""),"Sword of The Sea Serpent")</f>
        <v>Sword of The Sea Serpent</v>
      </c>
      <c r="B296" s="16"/>
      <c r="C296" s="16" t="str">
        <f>IFERROR(__xludf.DUMMYFUNCTION("""COMPUTED_VALUE"""),"Sword")</f>
        <v>Sword</v>
      </c>
      <c r="D296" s="16" t="str">
        <f>IFERROR(__xludf.DUMMYFUNCTION("""COMPUTED_VALUE"""),"Hand")</f>
        <v>Hand</v>
      </c>
      <c r="E296" s="16">
        <f>IFERROR(__xludf.DUMMYFUNCTION("""COMPUTED_VALUE"""),400.0)</f>
        <v>400</v>
      </c>
      <c r="F296" s="16" t="str">
        <f>IFERROR(__xludf.DUMMYFUNCTION("""COMPUTED_VALUE"""),"DMG: +10000, Water DMG: +10000 ++X2 Additional water damage for self, ++Sea Serpents Call: Upon a succesful hit there will be a 50% chance of summoning a sea serpent to aid you in battle if the battle is in water.")</f>
        <v>DMG: +10000, Water DMG: +10000 ++X2 Additional water damage for self, ++Sea Serpents Call: Upon a succesful hit there will be a 50% chance of summoning a sea serpent to aid you in battle if the battle is in water.</v>
      </c>
      <c r="G296" s="16">
        <f>IFERROR(__xludf.DUMMYFUNCTION("""COMPUTED_VALUE"""),7800000.0)</f>
        <v>7800000</v>
      </c>
      <c r="H296" s="16"/>
      <c r="I296" s="16"/>
      <c r="J296" s="16"/>
      <c r="K296" s="16"/>
      <c r="L296" s="16"/>
      <c r="M296" s="16"/>
      <c r="N296" s="16"/>
      <c r="O296" s="16"/>
      <c r="P296" s="16"/>
      <c r="Q296" s="16"/>
      <c r="R296" s="16"/>
      <c r="S296" s="16"/>
      <c r="T296" s="16"/>
      <c r="U296" s="16"/>
      <c r="V296" s="16"/>
      <c r="W296" s="16"/>
      <c r="X296" s="16"/>
      <c r="Y296" s="16"/>
      <c r="Z296" s="16"/>
    </row>
    <row r="297">
      <c r="A297" s="16" t="str">
        <f>IFERROR(__xludf.DUMMYFUNCTION("""COMPUTED_VALUE"""),"Sword of the Vampire’s Lust")</f>
        <v>Sword of the Vampire’s Lust</v>
      </c>
      <c r="B297" s="16"/>
      <c r="C297" s="16" t="str">
        <f>IFERROR(__xludf.DUMMYFUNCTION("""COMPUTED_VALUE"""),"Sword")</f>
        <v>Sword</v>
      </c>
      <c r="D297" s="16" t="str">
        <f>IFERROR(__xludf.DUMMYFUNCTION("""COMPUTED_VALUE"""),"Hand")</f>
        <v>Hand</v>
      </c>
      <c r="E297" s="16">
        <f>IFERROR(__xludf.DUMMYFUNCTION("""COMPUTED_VALUE"""),800.0)</f>
        <v>800</v>
      </c>
      <c r="F297" s="16" t="str">
        <f>IFERROR(__xludf.DUMMYFUNCTION("""COMPUTED_VALUE"""),"DMG: +10000, Fire DMG: +10000, Dark DMG: +10000, Spirit DMG: +5000, Chaos DMG: +5000 ++Damage dealt by this weapon gives you hp back equal to the damage you deal")</f>
        <v>DMG: +10000, Fire DMG: +10000, Dark DMG: +10000, Spirit DMG: +5000, Chaos DMG: +5000 ++Damage dealt by this weapon gives you hp back equal to the damage you deal</v>
      </c>
      <c r="G297" s="16">
        <f>IFERROR(__xludf.DUMMYFUNCTION("""COMPUTED_VALUE"""),3.16E7)</f>
        <v>31600000</v>
      </c>
      <c r="H297" s="16"/>
      <c r="I297" s="16"/>
      <c r="J297" s="16"/>
      <c r="K297" s="16"/>
      <c r="L297" s="16"/>
      <c r="M297" s="16"/>
      <c r="N297" s="16"/>
      <c r="O297" s="16"/>
      <c r="P297" s="16"/>
      <c r="Q297" s="16"/>
      <c r="R297" s="16"/>
      <c r="S297" s="16"/>
      <c r="T297" s="16"/>
      <c r="U297" s="16"/>
      <c r="V297" s="16"/>
      <c r="W297" s="16"/>
      <c r="X297" s="16"/>
      <c r="Y297" s="16"/>
      <c r="Z297" s="16"/>
    </row>
    <row r="298">
      <c r="A298" s="16" t="str">
        <f>IFERROR(__xludf.DUMMYFUNCTION("""COMPUTED_VALUE"""),"Sword of The Waking Waters")</f>
        <v>Sword of The Waking Waters</v>
      </c>
      <c r="B298" s="16"/>
      <c r="C298" s="16" t="str">
        <f>IFERROR(__xludf.DUMMYFUNCTION("""COMPUTED_VALUE"""),"Sword")</f>
        <v>Sword</v>
      </c>
      <c r="D298" s="16" t="str">
        <f>IFERROR(__xludf.DUMMYFUNCTION("""COMPUTED_VALUE"""),"Hand")</f>
        <v>Hand</v>
      </c>
      <c r="E298" s="16">
        <f>IFERROR(__xludf.DUMMYFUNCTION("""COMPUTED_VALUE"""),800.0)</f>
        <v>800</v>
      </c>
      <c r="F298" s="16" t="str">
        <f>IFERROR(__xludf.DUMMYFUNCTION("""COMPUTED_VALUE"""),"DMG: +20000, Water DMG: +20000 ++X4 additional Water damage for this weapon only. ++Waking Waters: When the battle is in water and you are attacking with this weapon your d20 roll becomes double. +-Cannot be duplicated")</f>
        <v>DMG: +20000, Water DMG: +20000 ++X4 additional Water damage for this weapon only. ++Waking Waters: When the battle is in water and you are attacking with this weapon your d20 roll becomes double. +-Cannot be duplicated</v>
      </c>
      <c r="G298" s="16">
        <f>IFERROR(__xludf.DUMMYFUNCTION("""COMPUTED_VALUE"""),3.16E7)</f>
        <v>31600000</v>
      </c>
      <c r="H298" s="16"/>
      <c r="I298" s="16"/>
      <c r="J298" s="16"/>
      <c r="K298" s="16"/>
      <c r="L298" s="16"/>
      <c r="M298" s="16"/>
      <c r="N298" s="16"/>
      <c r="O298" s="16"/>
      <c r="P298" s="16"/>
      <c r="Q298" s="16"/>
      <c r="R298" s="16"/>
      <c r="S298" s="16"/>
      <c r="T298" s="16"/>
      <c r="U298" s="16"/>
      <c r="V298" s="16"/>
      <c r="W298" s="16"/>
      <c r="X298" s="16"/>
      <c r="Y298" s="16"/>
      <c r="Z298" s="16"/>
    </row>
    <row r="299">
      <c r="A299" s="16" t="str">
        <f>IFERROR(__xludf.DUMMYFUNCTION("""COMPUTED_VALUE"""),"Sword of the Wicked")</f>
        <v>Sword of the Wicked</v>
      </c>
      <c r="B299" s="16"/>
      <c r="C299" s="16" t="str">
        <f>IFERROR(__xludf.DUMMYFUNCTION("""COMPUTED_VALUE"""),"Sword")</f>
        <v>Sword</v>
      </c>
      <c r="D299" s="16" t="str">
        <f>IFERROR(__xludf.DUMMYFUNCTION("""COMPUTED_VALUE"""),"Hand")</f>
        <v>Hand</v>
      </c>
      <c r="E299" s="16">
        <f>IFERROR(__xludf.DUMMYFUNCTION("""COMPUTED_VALUE"""),50.0)</f>
        <v>50</v>
      </c>
      <c r="F299" s="16" t="str">
        <f>IFERROR(__xludf.DUMMYFUNCTION("""COMPUTED_VALUE"""),"DMG: +700, Dark DMG: +900, Chaos DMG: +900")</f>
        <v>DMG: +700, Dark DMG: +900, Chaos DMG: +900</v>
      </c>
      <c r="G299" s="16">
        <f>IFERROR(__xludf.DUMMYFUNCTION("""COMPUTED_VALUE"""),100000.0)</f>
        <v>100000</v>
      </c>
      <c r="H299" s="16"/>
      <c r="I299" s="16"/>
      <c r="J299" s="16"/>
      <c r="K299" s="16"/>
      <c r="L299" s="16"/>
      <c r="M299" s="16"/>
      <c r="N299" s="16"/>
      <c r="O299" s="16"/>
      <c r="P299" s="16"/>
      <c r="Q299" s="16"/>
      <c r="R299" s="16"/>
      <c r="S299" s="16"/>
      <c r="T299" s="16"/>
      <c r="U299" s="16"/>
      <c r="V299" s="16"/>
      <c r="W299" s="16"/>
      <c r="X299" s="16"/>
      <c r="Y299" s="16"/>
      <c r="Z299" s="16"/>
    </row>
    <row r="300">
      <c r="A300" s="16" t="str">
        <f>IFERROR(__xludf.DUMMYFUNCTION("""COMPUTED_VALUE"""),"Sword Of Tritonoch")</f>
        <v>Sword Of Tritonoch</v>
      </c>
      <c r="B300" s="16"/>
      <c r="C300" s="16" t="str">
        <f>IFERROR(__xludf.DUMMYFUNCTION("""COMPUTED_VALUE"""),"Sword")</f>
        <v>Sword</v>
      </c>
      <c r="D300" s="16" t="str">
        <f>IFERROR(__xludf.DUMMYFUNCTION("""COMPUTED_VALUE"""),"Hand")</f>
        <v>Hand</v>
      </c>
      <c r="E300" s="16">
        <f>IFERROR(__xludf.DUMMYFUNCTION("""COMPUTED_VALUE"""),800.0)</f>
        <v>800</v>
      </c>
      <c r="F300" s="16" t="str">
        <f>IFERROR(__xludf.DUMMYFUNCTION("""COMPUTED_VALUE"""),"DMG: +20000, Water DMG: +20000 ++Order of Atlanteans - +2 to your d20 roll, +5 charisma, ++Waves of Entitlement - x5 additional Water damage. +-Cannot be duplicated.")</f>
        <v>DMG: +20000, Water DMG: +20000 ++Order of Atlanteans - +2 to your d20 roll, +5 charisma, ++Waves of Entitlement - x5 additional Water damage. +-Cannot be duplicated.</v>
      </c>
      <c r="G300" s="16">
        <f>IFERROR(__xludf.DUMMYFUNCTION("""COMPUTED_VALUE"""),3.16E7)</f>
        <v>31600000</v>
      </c>
      <c r="H300" s="16"/>
      <c r="I300" s="16"/>
      <c r="J300" s="16"/>
      <c r="K300" s="16"/>
      <c r="L300" s="16"/>
      <c r="M300" s="16"/>
      <c r="N300" s="16"/>
      <c r="O300" s="16"/>
      <c r="P300" s="16"/>
      <c r="Q300" s="16"/>
      <c r="R300" s="16"/>
      <c r="S300" s="16"/>
      <c r="T300" s="16"/>
      <c r="U300" s="16"/>
      <c r="V300" s="16"/>
      <c r="W300" s="16"/>
      <c r="X300" s="16"/>
      <c r="Y300" s="16"/>
      <c r="Z300" s="16"/>
    </row>
    <row r="301">
      <c r="A301" s="16" t="str">
        <f>IFERROR(__xludf.DUMMYFUNCTION("""COMPUTED_VALUE"""),"Tentacle")</f>
        <v>Tentacle</v>
      </c>
      <c r="B301" s="16"/>
      <c r="C301" s="16" t="str">
        <f>IFERROR(__xludf.DUMMYFUNCTION("""COMPUTED_VALUE"""),"Claw")</f>
        <v>Claw</v>
      </c>
      <c r="D301" s="16" t="str">
        <f>IFERROR(__xludf.DUMMYFUNCTION("""COMPUTED_VALUE"""),"Hand")</f>
        <v>Hand</v>
      </c>
      <c r="E301" s="16">
        <f>IFERROR(__xludf.DUMMYFUNCTION("""COMPUTED_VALUE"""),30.0)</f>
        <v>30</v>
      </c>
      <c r="F301" s="16" t="str">
        <f>IFERROR(__xludf.DUMMYFUNCTION("""COMPUTED_VALUE"""),"DMG: +1000, Water DMG: +500 ++10% chance to remove target from battle")</f>
        <v>DMG: +1000, Water DMG: +500 ++10% chance to remove target from battle</v>
      </c>
      <c r="G301" s="16">
        <f>IFERROR(__xludf.DUMMYFUNCTION("""COMPUTED_VALUE"""),30000.0)</f>
        <v>30000</v>
      </c>
      <c r="H301" s="16"/>
      <c r="I301" s="16"/>
      <c r="J301" s="16"/>
      <c r="K301" s="16"/>
      <c r="L301" s="16"/>
      <c r="M301" s="16"/>
      <c r="N301" s="16"/>
      <c r="O301" s="16"/>
      <c r="P301" s="16"/>
      <c r="Q301" s="16"/>
      <c r="R301" s="16"/>
      <c r="S301" s="16"/>
      <c r="T301" s="16"/>
      <c r="U301" s="16"/>
      <c r="V301" s="16"/>
      <c r="W301" s="16"/>
      <c r="X301" s="16"/>
      <c r="Y301" s="16"/>
      <c r="Z301" s="16"/>
    </row>
    <row r="302">
      <c r="A302" s="16" t="str">
        <f>IFERROR(__xludf.DUMMYFUNCTION("""COMPUTED_VALUE"""),"The Black Hook")</f>
        <v>The Black Hook</v>
      </c>
      <c r="B302" s="16"/>
      <c r="C302" s="16" t="str">
        <f>IFERROR(__xludf.DUMMYFUNCTION("""COMPUTED_VALUE"""),"Claw")</f>
        <v>Claw</v>
      </c>
      <c r="D302" s="16" t="str">
        <f>IFERROR(__xludf.DUMMYFUNCTION("""COMPUTED_VALUE"""),"Hand")</f>
        <v>Hand</v>
      </c>
      <c r="E302" s="16">
        <f>IFERROR(__xludf.DUMMYFUNCTION("""COMPUTED_VALUE"""),2500.0)</f>
        <v>2500</v>
      </c>
      <c r="F302" s="16" t="str">
        <f>IFERROR(__xludf.DUMMYFUNCTION("""COMPUTED_VALUE"""),"DMG: +50000, Dark DMG: +50000, Blood DMG: +25000 ++Increases blood and dark damage by X4 for the wielder of this claw, ++Decreases the HP cost of spells by half. ++35% chance to remove an enemy from battle")</f>
        <v>DMG: +50000, Dark DMG: +50000, Blood DMG: +25000 ++Increases blood and dark damage by X4 for the wielder of this claw, ++Decreases the HP cost of spells by half. ++35% chance to remove an enemy from battle</v>
      </c>
      <c r="G302" s="16">
        <f>IFERROR(__xludf.DUMMYFUNCTION("""COMPUTED_VALUE"""),3.1125E8)</f>
        <v>311250000</v>
      </c>
      <c r="H302" s="16"/>
      <c r="I302" s="16"/>
      <c r="J302" s="16"/>
      <c r="K302" s="16"/>
      <c r="L302" s="16"/>
      <c r="M302" s="16"/>
      <c r="N302" s="16"/>
      <c r="O302" s="16"/>
      <c r="P302" s="16"/>
      <c r="Q302" s="16"/>
      <c r="R302" s="16"/>
      <c r="S302" s="16"/>
      <c r="T302" s="16"/>
      <c r="U302" s="16"/>
      <c r="V302" s="16"/>
      <c r="W302" s="16"/>
      <c r="X302" s="16"/>
      <c r="Y302" s="16"/>
      <c r="Z302" s="16"/>
    </row>
    <row r="303">
      <c r="A303" s="16" t="str">
        <f>IFERROR(__xludf.DUMMYFUNCTION("""COMPUTED_VALUE"""),"The Blade of the Chosen")</f>
        <v>The Blade of the Chosen</v>
      </c>
      <c r="B303" s="16"/>
      <c r="C303" s="16" t="str">
        <f>IFERROR(__xludf.DUMMYFUNCTION("""COMPUTED_VALUE"""),"Sword")</f>
        <v>Sword</v>
      </c>
      <c r="D303" s="16" t="str">
        <f>IFERROR(__xludf.DUMMYFUNCTION("""COMPUTED_VALUE"""),"Hand")</f>
        <v>Hand</v>
      </c>
      <c r="E303" s="16">
        <f>IFERROR(__xludf.DUMMYFUNCTION("""COMPUTED_VALUE"""),1000.0)</f>
        <v>1000</v>
      </c>
      <c r="F303" s="16" t="str">
        <f>IFERROR(__xludf.DUMMYFUNCTION("""COMPUTED_VALUE"""),"DMG: +10000, Fire DMG: +10000, Order DMG: +10000, Nature DMG: +10000, Blood DMG: +10000 ++Roll a d20 at the beginning of battle, 11 or higher = double the users defense and damage dealt for the current battle, 10 or lower = half the users defense and dama"&amp;"ge dealt for the current battle.")</f>
        <v>DMG: +10000, Fire DMG: +10000, Order DMG: +10000, Nature DMG: +10000, Blood DMG: +10000 ++Roll a d20 at the beginning of battle, 11 or higher = double the users defense and damage dealt for the current battle, 10 or lower = half the users defense and damage dealt for the current battle.</v>
      </c>
      <c r="G303" s="16">
        <f>IFERROR(__xludf.DUMMYFUNCTION("""COMPUTED_VALUE"""),4.95E7)</f>
        <v>49500000</v>
      </c>
      <c r="H303" s="16"/>
      <c r="I303" s="16"/>
      <c r="J303" s="16"/>
      <c r="K303" s="16"/>
      <c r="L303" s="16"/>
      <c r="M303" s="16"/>
      <c r="N303" s="16"/>
      <c r="O303" s="16"/>
      <c r="P303" s="16"/>
      <c r="Q303" s="16"/>
      <c r="R303" s="16"/>
      <c r="S303" s="16"/>
      <c r="T303" s="16"/>
      <c r="U303" s="16"/>
      <c r="V303" s="16"/>
      <c r="W303" s="16"/>
      <c r="X303" s="16"/>
      <c r="Y303" s="16"/>
      <c r="Z303" s="16"/>
    </row>
    <row r="304">
      <c r="A304" s="16" t="str">
        <f>IFERROR(__xludf.DUMMYFUNCTION("""COMPUTED_VALUE"""),"The Bow of the Fallen Hero")</f>
        <v>The Bow of the Fallen Hero</v>
      </c>
      <c r="B304" s="16"/>
      <c r="C304" s="16" t="str">
        <f>IFERROR(__xludf.DUMMYFUNCTION("""COMPUTED_VALUE"""),"Bow")</f>
        <v>Bow</v>
      </c>
      <c r="D304" s="16" t="str">
        <f>IFERROR(__xludf.DUMMYFUNCTION("""COMPUTED_VALUE"""),"Hand")</f>
        <v>Hand</v>
      </c>
      <c r="E304" s="16">
        <f>IFERROR(__xludf.DUMMYFUNCTION("""COMPUTED_VALUE"""),100.0)</f>
        <v>100</v>
      </c>
      <c r="F304" s="16" t="str">
        <f>IFERROR(__xludf.DUMMYFUNCTION("""COMPUTED_VALUE"""),"DMG: +5000 ++Dashing Arrows - You can use up to 6 arrows when attacking with this bow. ")</f>
        <v>DMG: +5000 ++Dashing Arrows - You can use up to 6 arrows when attacking with this bow. </v>
      </c>
      <c r="G304" s="16">
        <f>IFERROR(__xludf.DUMMYFUNCTION("""COMPUTED_VALUE"""),450000.0)</f>
        <v>450000</v>
      </c>
      <c r="H304" s="16"/>
      <c r="I304" s="16"/>
      <c r="J304" s="16"/>
      <c r="K304" s="16"/>
      <c r="L304" s="16"/>
      <c r="M304" s="16"/>
      <c r="N304" s="16"/>
      <c r="O304" s="16"/>
      <c r="P304" s="16"/>
      <c r="Q304" s="16"/>
      <c r="R304" s="16"/>
      <c r="S304" s="16"/>
      <c r="T304" s="16"/>
      <c r="U304" s="16"/>
      <c r="V304" s="16"/>
      <c r="W304" s="16"/>
      <c r="X304" s="16"/>
      <c r="Y304" s="16"/>
      <c r="Z304" s="16"/>
    </row>
    <row r="305">
      <c r="A305" s="16" t="str">
        <f>IFERROR(__xludf.DUMMYFUNCTION("""COMPUTED_VALUE"""),"The Bow of the Haunted")</f>
        <v>The Bow of the Haunted</v>
      </c>
      <c r="B305" s="16" t="str">
        <f>IFERROR(__xludf.DUMMYFUNCTION("""COMPUTED_VALUE"""),"Halloween exclusive")</f>
        <v>Halloween exclusive</v>
      </c>
      <c r="C305" s="16" t="str">
        <f>IFERROR(__xludf.DUMMYFUNCTION("""COMPUTED_VALUE"""),"Bow")</f>
        <v>Bow</v>
      </c>
      <c r="D305" s="16" t="str">
        <f>IFERROR(__xludf.DUMMYFUNCTION("""COMPUTED_VALUE"""),"Hand")</f>
        <v>Hand</v>
      </c>
      <c r="E305" s="16">
        <f>IFERROR(__xludf.DUMMYFUNCTION("""COMPUTED_VALUE"""),620.0)</f>
        <v>620</v>
      </c>
      <c r="F305" s="16" t="str">
        <f>IFERROR(__xludf.DUMMYFUNCTION("""COMPUTED_VALUE"""),"DMG: +1000, Fire DMG: +10000, Dark DMG: +10000, Chaos DMG: +10000 ++You can use d20 arrows when attacking with this bow, rolls to see how many. Dark and Chaos damage is doubled when attacking with this bow.")</f>
        <v>DMG: +1000, Fire DMG: +10000, Dark DMG: +10000, Chaos DMG: +10000 ++You can use d20 arrows when attacking with this bow, rolls to see how many. Dark and Chaos damage is doubled when attacking with this bow.</v>
      </c>
      <c r="G305" s="16">
        <f>IFERROR(__xludf.DUMMYFUNCTION("""COMPUTED_VALUE"""),1.891E7)</f>
        <v>18910000</v>
      </c>
      <c r="H305" s="16"/>
      <c r="I305" s="16"/>
      <c r="J305" s="16"/>
      <c r="K305" s="16"/>
      <c r="L305" s="16"/>
      <c r="M305" s="16"/>
      <c r="N305" s="16"/>
      <c r="O305" s="16"/>
      <c r="P305" s="16"/>
      <c r="Q305" s="16"/>
      <c r="R305" s="16"/>
      <c r="S305" s="16"/>
      <c r="T305" s="16"/>
      <c r="U305" s="16"/>
      <c r="V305" s="16"/>
      <c r="W305" s="16"/>
      <c r="X305" s="16"/>
      <c r="Y305" s="16"/>
      <c r="Z305" s="16"/>
    </row>
    <row r="306">
      <c r="A306" s="16" t="str">
        <f>IFERROR(__xludf.DUMMYFUNCTION("""COMPUTED_VALUE"""),"The Bow of the Pandarian")</f>
        <v>The Bow of the Pandarian</v>
      </c>
      <c r="B306" s="16"/>
      <c r="C306" s="16" t="str">
        <f>IFERROR(__xludf.DUMMYFUNCTION("""COMPUTED_VALUE"""),"Bow")</f>
        <v>Bow</v>
      </c>
      <c r="D306" s="16" t="str">
        <f>IFERROR(__xludf.DUMMYFUNCTION("""COMPUTED_VALUE"""),"Hand")</f>
        <v>Hand</v>
      </c>
      <c r="E306" s="16">
        <f>IFERROR(__xludf.DUMMYFUNCTION("""COMPUTED_VALUE"""),40.0)</f>
        <v>40</v>
      </c>
      <c r="F306" s="16" t="str">
        <f>IFERROR(__xludf.DUMMYFUNCTION("""COMPUTED_VALUE"""),"DMG: +2000 ++Half the Arrow - Ranged Spells cost half the sp cost, Ranger Enrage - All Ranged Attacks. do double in damage. ")</f>
        <v>DMG: +2000 ++Half the Arrow - Ranged Spells cost half the sp cost, Ranger Enrage - All Ranged Attacks. do double in damage. </v>
      </c>
      <c r="G306" s="16">
        <f>IFERROR(__xludf.DUMMYFUNCTION("""COMPUTED_VALUE"""),60000.0)</f>
        <v>60000</v>
      </c>
      <c r="H306" s="16"/>
      <c r="I306" s="16"/>
      <c r="J306" s="16"/>
      <c r="K306" s="16"/>
      <c r="L306" s="16"/>
      <c r="M306" s="16"/>
      <c r="N306" s="16"/>
      <c r="O306" s="16"/>
      <c r="P306" s="16"/>
      <c r="Q306" s="16"/>
      <c r="R306" s="16"/>
      <c r="S306" s="16"/>
      <c r="T306" s="16"/>
      <c r="U306" s="16"/>
      <c r="V306" s="16"/>
      <c r="W306" s="16"/>
      <c r="X306" s="16"/>
      <c r="Y306" s="16"/>
      <c r="Z306" s="16"/>
    </row>
    <row r="307">
      <c r="A307" s="16" t="str">
        <f>IFERROR(__xludf.DUMMYFUNCTION("""COMPUTED_VALUE"""),"The Buster")</f>
        <v>The Buster</v>
      </c>
      <c r="B307" s="16"/>
      <c r="C307" s="16" t="str">
        <f>IFERROR(__xludf.DUMMYFUNCTION("""COMPUTED_VALUE"""),"Sword")</f>
        <v>Sword</v>
      </c>
      <c r="D307" s="16" t="str">
        <f>IFERROR(__xludf.DUMMYFUNCTION("""COMPUTED_VALUE"""),"Hand")</f>
        <v>Hand</v>
      </c>
      <c r="E307" s="16">
        <f>IFERROR(__xludf.DUMMYFUNCTION("""COMPUTED_VALUE"""),400.0)</f>
        <v>400</v>
      </c>
      <c r="F307" s="16" t="str">
        <f>IFERROR(__xludf.DUMMYFUNCTION("""COMPUTED_VALUE"""),"DMG: +20000")</f>
        <v>DMG: +20000</v>
      </c>
      <c r="G307" s="16">
        <f>IFERROR(__xludf.DUMMYFUNCTION("""COMPUTED_VALUE"""),7800000.0)</f>
        <v>7800000</v>
      </c>
      <c r="H307" s="16"/>
      <c r="I307" s="16"/>
      <c r="J307" s="16"/>
      <c r="K307" s="16"/>
      <c r="L307" s="16"/>
      <c r="M307" s="16"/>
      <c r="N307" s="16"/>
      <c r="O307" s="16"/>
      <c r="P307" s="16"/>
      <c r="Q307" s="16"/>
      <c r="R307" s="16"/>
      <c r="S307" s="16"/>
      <c r="T307" s="16"/>
      <c r="U307" s="16"/>
      <c r="V307" s="16"/>
      <c r="W307" s="16"/>
      <c r="X307" s="16"/>
      <c r="Y307" s="16"/>
      <c r="Z307" s="16"/>
    </row>
    <row r="308">
      <c r="A308" s="16" t="str">
        <f>IFERROR(__xludf.DUMMYFUNCTION("""COMPUTED_VALUE"""),"The Dawn Splitter")</f>
        <v>The Dawn Splitter</v>
      </c>
      <c r="B308" s="16"/>
      <c r="C308" s="16" t="str">
        <f>IFERROR(__xludf.DUMMYFUNCTION("""COMPUTED_VALUE"""),"Sword")</f>
        <v>Sword</v>
      </c>
      <c r="D308" s="16" t="str">
        <f>IFERROR(__xludf.DUMMYFUNCTION("""COMPUTED_VALUE"""),"Hand")</f>
        <v>Hand</v>
      </c>
      <c r="E308" s="16">
        <f>IFERROR(__xludf.DUMMYFUNCTION("""COMPUTED_VALUE"""),200.0)</f>
        <v>200</v>
      </c>
      <c r="F308" s="16" t="str">
        <f>IFERROR(__xludf.DUMMYFUNCTION("""COMPUTED_VALUE"""),"DMG: +50000, Fire DMG: +50000, Dark DMG: +50000, Celestial DMG: +50000 ++50% Chance to put the target to sleep.")</f>
        <v>DMG: +50000, Fire DMG: +50000, Dark DMG: +50000, Celestial DMG: +50000 ++50% Chance to put the target to sleep.</v>
      </c>
      <c r="G308" s="16">
        <f>IFERROR(__xludf.DUMMYFUNCTION("""COMPUTED_VALUE"""),7.98E8)</f>
        <v>798000000</v>
      </c>
      <c r="H308" s="16"/>
      <c r="I308" s="16"/>
      <c r="J308" s="16"/>
      <c r="K308" s="16"/>
      <c r="L308" s="16"/>
      <c r="M308" s="16"/>
      <c r="N308" s="16"/>
      <c r="O308" s="16"/>
      <c r="P308" s="16"/>
      <c r="Q308" s="16"/>
      <c r="R308" s="16"/>
      <c r="S308" s="16"/>
      <c r="T308" s="16"/>
      <c r="U308" s="16"/>
      <c r="V308" s="16"/>
      <c r="W308" s="16"/>
      <c r="X308" s="16"/>
      <c r="Y308" s="16"/>
      <c r="Z308" s="16"/>
    </row>
    <row r="309">
      <c r="A309" s="16" t="str">
        <f>IFERROR(__xludf.DUMMYFUNCTION("""COMPUTED_VALUE"""),"The Dragon King's Crown")</f>
        <v>The Dragon King's Crown</v>
      </c>
      <c r="B309" s="16"/>
      <c r="C309" s="16"/>
      <c r="D309" s="16" t="str">
        <f>IFERROR(__xludf.DUMMYFUNCTION("""COMPUTED_VALUE"""),"Head")</f>
        <v>Head</v>
      </c>
      <c r="E309" s="16">
        <f>IFERROR(__xludf.DUMMYFUNCTION("""COMPUTED_VALUE"""),400.0)</f>
        <v>400</v>
      </c>
      <c r="F309" s="16" t="str">
        <f>IFERROR(__xludf.DUMMYFUNCTION("""COMPUTED_VALUE"""),"DEF: +20000 ++Immunity to damage from Natural Attacks...")</f>
        <v>DEF: +20000 ++Immunity to damage from Natural Attacks...</v>
      </c>
      <c r="G309" s="16">
        <f>IFERROR(__xludf.DUMMYFUNCTION("""COMPUTED_VALUE"""),7800000.0)</f>
        <v>7800000</v>
      </c>
      <c r="H309" s="16"/>
      <c r="I309" s="16"/>
      <c r="J309" s="16"/>
      <c r="K309" s="16"/>
      <c r="L309" s="16"/>
      <c r="M309" s="16"/>
      <c r="N309" s="16"/>
      <c r="O309" s="16"/>
      <c r="P309" s="16"/>
      <c r="Q309" s="16"/>
      <c r="R309" s="16"/>
      <c r="S309" s="16"/>
      <c r="T309" s="16"/>
      <c r="U309" s="16"/>
      <c r="V309" s="16"/>
      <c r="W309" s="16"/>
      <c r="X309" s="16"/>
      <c r="Y309" s="16"/>
      <c r="Z309" s="16"/>
    </row>
    <row r="310">
      <c r="A310" s="16" t="str">
        <f>IFERROR(__xludf.DUMMYFUNCTION("""COMPUTED_VALUE"""),"The Guardian Of Death's Sword")</f>
        <v>The Guardian Of Death's Sword</v>
      </c>
      <c r="B310" s="16"/>
      <c r="C310" s="16" t="str">
        <f>IFERROR(__xludf.DUMMYFUNCTION("""COMPUTED_VALUE"""),"Sword")</f>
        <v>Sword</v>
      </c>
      <c r="D310" s="16" t="str">
        <f>IFERROR(__xludf.DUMMYFUNCTION("""COMPUTED_VALUE"""),"Hand")</f>
        <v>Hand</v>
      </c>
      <c r="E310" s="16">
        <f>IFERROR(__xludf.DUMMYFUNCTION("""COMPUTED_VALUE"""),600.0)</f>
        <v>600</v>
      </c>
      <c r="F310" s="16" t="str">
        <f>IFERROR(__xludf.DUMMYFUNCTION("""COMPUTED_VALUE"""),"DMG: +15000, Dark DMG: +5000, Spirit DMG: +5000, Chaos DMG: +5000")</f>
        <v>DMG: +15000, Dark DMG: +5000, Spirit DMG: +5000, Chaos DMG: +5000</v>
      </c>
      <c r="G310" s="16">
        <f>IFERROR(__xludf.DUMMYFUNCTION("""COMPUTED_VALUE"""),1.77E7)</f>
        <v>17700000</v>
      </c>
      <c r="H310" s="16"/>
      <c r="I310" s="16"/>
      <c r="J310" s="16"/>
      <c r="K310" s="16"/>
      <c r="L310" s="16"/>
      <c r="M310" s="16"/>
      <c r="N310" s="16"/>
      <c r="O310" s="16"/>
      <c r="P310" s="16"/>
      <c r="Q310" s="16"/>
      <c r="R310" s="16"/>
      <c r="S310" s="16"/>
      <c r="T310" s="16"/>
      <c r="U310" s="16"/>
      <c r="V310" s="16"/>
      <c r="W310" s="16"/>
      <c r="X310" s="16"/>
      <c r="Y310" s="16"/>
      <c r="Z310" s="16"/>
    </row>
    <row r="311">
      <c r="A311" s="16" t="str">
        <f>IFERROR(__xludf.DUMMYFUNCTION("""COMPUTED_VALUE"""),"The Helm of Foul Night")</f>
        <v>The Helm of Foul Night</v>
      </c>
      <c r="B311" s="16"/>
      <c r="C311" s="16"/>
      <c r="D311" s="16" t="str">
        <f>IFERROR(__xludf.DUMMYFUNCTION("""COMPUTED_VALUE"""),"Head")</f>
        <v>Head</v>
      </c>
      <c r="E311" s="16">
        <f>IFERROR(__xludf.DUMMYFUNCTION("""COMPUTED_VALUE"""),200.0)</f>
        <v>200</v>
      </c>
      <c r="F311" s="16" t="str">
        <f>IFERROR(__xludf.DUMMYFUNCTION("""COMPUTED_VALUE"""),"DEF: +5000, Nature DEF: +5000 (Foul Night Set) ++X2 Nature and Poison damage. ++Poison Immunity. ")</f>
        <v>DEF: +5000, Nature DEF: +5000 (Foul Night Set) ++X2 Nature and Poison damage. ++Poison Immunity. </v>
      </c>
      <c r="G311" s="16">
        <f>IFERROR(__xludf.DUMMYFUNCTION("""COMPUTED_VALUE"""),1900000.0)</f>
        <v>1900000</v>
      </c>
      <c r="H311" s="16"/>
      <c r="I311" s="16"/>
      <c r="J311" s="16"/>
      <c r="K311" s="16"/>
      <c r="L311" s="16"/>
      <c r="M311" s="16"/>
      <c r="N311" s="16"/>
      <c r="O311" s="16"/>
      <c r="P311" s="16"/>
      <c r="Q311" s="16"/>
      <c r="R311" s="16"/>
      <c r="S311" s="16"/>
      <c r="T311" s="16"/>
      <c r="U311" s="16"/>
      <c r="V311" s="16"/>
      <c r="W311" s="16"/>
      <c r="X311" s="16"/>
      <c r="Y311" s="16"/>
      <c r="Z311" s="16"/>
    </row>
    <row r="312">
      <c r="A312" s="16" t="str">
        <f>IFERROR(__xludf.DUMMYFUNCTION("""COMPUTED_VALUE"""),"The Invisible Spear")</f>
        <v>The Invisible Spear</v>
      </c>
      <c r="B312" s="16"/>
      <c r="C312" s="16" t="str">
        <f>IFERROR(__xludf.DUMMYFUNCTION("""COMPUTED_VALUE"""),"Spear")</f>
        <v>Spear</v>
      </c>
      <c r="D312" s="16" t="str">
        <f>IFERROR(__xludf.DUMMYFUNCTION("""COMPUTED_VALUE"""),"Hand")</f>
        <v>Hand</v>
      </c>
      <c r="E312" s="16">
        <f>IFERROR(__xludf.DUMMYFUNCTION("""COMPUTED_VALUE"""),1.0)</f>
        <v>1</v>
      </c>
      <c r="F312" s="16" t="str">
        <f>IFERROR(__xludf.DUMMYFUNCTION("""COMPUTED_VALUE"""),"DMG: +200 ++ignores evasion")</f>
        <v>DMG: +200 ++ignores evasion</v>
      </c>
      <c r="G312" s="16">
        <f>IFERROR(__xludf.DUMMYFUNCTION("""COMPUTED_VALUE"""),0.0)</f>
        <v>0</v>
      </c>
      <c r="H312" s="16"/>
      <c r="I312" s="16"/>
      <c r="J312" s="16"/>
      <c r="K312" s="16"/>
      <c r="L312" s="16"/>
      <c r="M312" s="16"/>
      <c r="N312" s="16"/>
      <c r="O312" s="16"/>
      <c r="P312" s="16"/>
      <c r="Q312" s="16"/>
      <c r="R312" s="16"/>
      <c r="S312" s="16"/>
      <c r="T312" s="16"/>
      <c r="U312" s="16"/>
      <c r="V312" s="16"/>
      <c r="W312" s="16"/>
      <c r="X312" s="16"/>
      <c r="Y312" s="16"/>
      <c r="Z312" s="16"/>
    </row>
    <row r="313">
      <c r="A313" s="16" t="str">
        <f>IFERROR(__xludf.DUMMYFUNCTION("""COMPUTED_VALUE"""),"The Mysterious Mirror")</f>
        <v>The Mysterious Mirror</v>
      </c>
      <c r="B313" s="16"/>
      <c r="C313" s="16" t="str">
        <f>IFERROR(__xludf.DUMMYFUNCTION("""COMPUTED_VALUE"""),"Towershield")</f>
        <v>Towershield</v>
      </c>
      <c r="D313" s="16" t="str">
        <f>IFERROR(__xludf.DUMMYFUNCTION("""COMPUTED_VALUE"""),"Hand")</f>
        <v>Hand</v>
      </c>
      <c r="E313" s="16">
        <f>IFERROR(__xludf.DUMMYFUNCTION("""COMPUTED_VALUE"""),1.0)</f>
        <v>1</v>
      </c>
      <c r="F313" s="16" t="str">
        <f>IFERROR(__xludf.DUMMYFUNCTION("""COMPUTED_VALUE""")," ++When the user would take damage from an enemy the damage is reflected back at all enemies instead, or you can choose to have the mirror absorb all damage taken from the first 2 attacks to add that damage on to your next attack, you may only choose up t"&amp;"o 5 targets for the damage to be reflected back at. The mirrors effect only lasts for your first 2 turns. +-Cannot be forged +-Cannot be duplicated")</f>
        <v> ++When the user would take damage from an enemy the damage is reflected back at all enemies instead, or you can choose to have the mirror absorb all damage taken from the first 2 attacks to add that damage on to your next attack, you may only choose up to 5 targets for the damage to be reflected back at. The mirrors effect only lasts for your first 2 turns. +-Cannot be forged +-Cannot be duplicated</v>
      </c>
      <c r="G313" s="16">
        <f>IFERROR(__xludf.DUMMYFUNCTION("""COMPUTED_VALUE"""),0.0)</f>
        <v>0</v>
      </c>
      <c r="H313" s="16"/>
      <c r="I313" s="16"/>
      <c r="J313" s="16"/>
      <c r="K313" s="16"/>
      <c r="L313" s="16"/>
      <c r="M313" s="16"/>
      <c r="N313" s="16"/>
      <c r="O313" s="16"/>
      <c r="P313" s="16"/>
      <c r="Q313" s="16"/>
      <c r="R313" s="16"/>
      <c r="S313" s="16"/>
      <c r="T313" s="16"/>
      <c r="U313" s="16"/>
      <c r="V313" s="16"/>
      <c r="W313" s="16"/>
      <c r="X313" s="16"/>
      <c r="Y313" s="16"/>
      <c r="Z313" s="16"/>
    </row>
    <row r="314">
      <c r="A314" s="16" t="str">
        <f>IFERROR(__xludf.DUMMYFUNCTION("""COMPUTED_VALUE"""),"The Puppet Masters Amulet")</f>
        <v>The Puppet Masters Amulet</v>
      </c>
      <c r="B314" s="16"/>
      <c r="C314" s="16"/>
      <c r="D314" s="16" t="str">
        <f>IFERROR(__xludf.DUMMYFUNCTION("""COMPUTED_VALUE"""),"Neck")</f>
        <v>Neck</v>
      </c>
      <c r="E314" s="16">
        <f>IFERROR(__xludf.DUMMYFUNCTION("""COMPUTED_VALUE"""),1.0)</f>
        <v>1</v>
      </c>
      <c r="F314" s="16" t="str">
        <f>IFERROR(__xludf.DUMMYFUNCTION("""COMPUTED_VALUE""")," ++Immune to possession.  +-Cannot be duplicated.")</f>
        <v> ++Immune to possession.  +-Cannot be duplicated.</v>
      </c>
      <c r="G314" s="16">
        <f>IFERROR(__xludf.DUMMYFUNCTION("""COMPUTED_VALUE"""),0.0)</f>
        <v>0</v>
      </c>
      <c r="H314" s="16"/>
      <c r="I314" s="16"/>
      <c r="J314" s="16"/>
      <c r="K314" s="16"/>
      <c r="L314" s="16"/>
      <c r="M314" s="16"/>
      <c r="N314" s="16"/>
      <c r="O314" s="16"/>
      <c r="P314" s="16"/>
      <c r="Q314" s="16"/>
      <c r="R314" s="16"/>
      <c r="S314" s="16"/>
      <c r="T314" s="16"/>
      <c r="U314" s="16"/>
      <c r="V314" s="16"/>
      <c r="W314" s="16"/>
      <c r="X314" s="16"/>
      <c r="Y314" s="16"/>
      <c r="Z314" s="16"/>
    </row>
    <row r="315">
      <c r="A315" s="16" t="str">
        <f>IFERROR(__xludf.DUMMYFUNCTION("""COMPUTED_VALUE"""),"The Puppet Masters Cloak")</f>
        <v>The Puppet Masters Cloak</v>
      </c>
      <c r="B315" s="16"/>
      <c r="C315" s="16"/>
      <c r="D315" s="16" t="str">
        <f>IFERROR(__xludf.DUMMYFUNCTION("""COMPUTED_VALUE"""),"Torso")</f>
        <v>Torso</v>
      </c>
      <c r="E315" s="16">
        <f>IFERROR(__xludf.DUMMYFUNCTION("""COMPUTED_VALUE"""),1.0)</f>
        <v>1</v>
      </c>
      <c r="F315" s="16" t="str">
        <f>IFERROR(__xludf.DUMMYFUNCTION("""COMPUTED_VALUE""")," ++User and allies gain immunity to chaos and dark damage while in the party. +-Cannot be duplicated")</f>
        <v> ++User and allies gain immunity to chaos and dark damage while in the party. +-Cannot be duplicated</v>
      </c>
      <c r="G315" s="16">
        <f>IFERROR(__xludf.DUMMYFUNCTION("""COMPUTED_VALUE"""),0.0)</f>
        <v>0</v>
      </c>
      <c r="H315" s="16"/>
      <c r="I315" s="16"/>
      <c r="J315" s="16"/>
      <c r="K315" s="16"/>
      <c r="L315" s="16"/>
      <c r="M315" s="16"/>
      <c r="N315" s="16"/>
      <c r="O315" s="16"/>
      <c r="P315" s="16"/>
      <c r="Q315" s="16"/>
      <c r="R315" s="16"/>
      <c r="S315" s="16"/>
      <c r="T315" s="16"/>
      <c r="U315" s="16"/>
      <c r="V315" s="16"/>
      <c r="W315" s="16"/>
      <c r="X315" s="16"/>
      <c r="Y315" s="16"/>
      <c r="Z315" s="16"/>
    </row>
    <row r="316">
      <c r="A316" s="16" t="str">
        <f>IFERROR(__xludf.DUMMYFUNCTION("""COMPUTED_VALUE"""),"The Puppet Masters Ring")</f>
        <v>The Puppet Masters Ring</v>
      </c>
      <c r="B316" s="16"/>
      <c r="C316" s="16"/>
      <c r="D316" s="16" t="str">
        <f>IFERROR(__xludf.DUMMYFUNCTION("""COMPUTED_VALUE"""),"Ring")</f>
        <v>Ring</v>
      </c>
      <c r="E316" s="16">
        <f>IFERROR(__xludf.DUMMYFUNCTION("""COMPUTED_VALUE"""),1.0)</f>
        <v>1</v>
      </c>
      <c r="F316" s="16" t="str">
        <f>IFERROR(__xludf.DUMMYFUNCTION("""COMPUTED_VALUE""")," ++Take control of a target of choice. Fail/Succeed roll, (This effect counts as a possession)  +-Cannot be duplicated.")</f>
        <v> ++Take control of a target of choice. Fail/Succeed roll, (This effect counts as a possession)  +-Cannot be duplicated.</v>
      </c>
      <c r="G316" s="16">
        <f>IFERROR(__xludf.DUMMYFUNCTION("""COMPUTED_VALUE"""),0.0)</f>
        <v>0</v>
      </c>
      <c r="H316" s="16"/>
      <c r="I316" s="16"/>
      <c r="J316" s="16"/>
      <c r="K316" s="16"/>
      <c r="L316" s="16"/>
      <c r="M316" s="16"/>
      <c r="N316" s="16"/>
      <c r="O316" s="16"/>
      <c r="P316" s="16"/>
      <c r="Q316" s="16"/>
      <c r="R316" s="16"/>
      <c r="S316" s="16"/>
      <c r="T316" s="16"/>
      <c r="U316" s="16"/>
      <c r="V316" s="16"/>
      <c r="W316" s="16"/>
      <c r="X316" s="16"/>
      <c r="Y316" s="16"/>
      <c r="Z316" s="16"/>
    </row>
    <row r="317">
      <c r="A317" s="16" t="str">
        <f>IFERROR(__xludf.DUMMYFUNCTION("""COMPUTED_VALUE"""),"The Red Sword")</f>
        <v>The Red Sword</v>
      </c>
      <c r="B317" s="16" t="str">
        <f>IFERROR(__xludf.DUMMYFUNCTION("""COMPUTED_VALUE"""),"A Sword that was made of Vampire’s Blood")</f>
        <v>A Sword that was made of Vampire’s Blood</v>
      </c>
      <c r="C317" s="16" t="str">
        <f>IFERROR(__xludf.DUMMYFUNCTION("""COMPUTED_VALUE"""),"Sword")</f>
        <v>Sword</v>
      </c>
      <c r="D317" s="16" t="str">
        <f>IFERROR(__xludf.DUMMYFUNCTION("""COMPUTED_VALUE"""),"Hand")</f>
        <v>Hand</v>
      </c>
      <c r="E317" s="16">
        <f>IFERROR(__xludf.DUMMYFUNCTION("""COMPUTED_VALUE"""),1.0)</f>
        <v>1</v>
      </c>
      <c r="F317" s="16" t="str">
        <f>IFERROR(__xludf.DUMMYFUNCTION("""COMPUTED_VALUE"""),"DMG: +300")</f>
        <v>DMG: +300</v>
      </c>
      <c r="G317" s="16">
        <f>IFERROR(__xludf.DUMMYFUNCTION("""COMPUTED_VALUE"""),0.0)</f>
        <v>0</v>
      </c>
      <c r="H317" s="16"/>
      <c r="I317" s="16"/>
      <c r="J317" s="16"/>
      <c r="K317" s="16"/>
      <c r="L317" s="16"/>
      <c r="M317" s="16"/>
      <c r="N317" s="16"/>
      <c r="O317" s="16"/>
      <c r="P317" s="16"/>
      <c r="Q317" s="16"/>
      <c r="R317" s="16"/>
      <c r="S317" s="16"/>
      <c r="T317" s="16"/>
      <c r="U317" s="16"/>
      <c r="V317" s="16"/>
      <c r="W317" s="16"/>
      <c r="X317" s="16"/>
      <c r="Y317" s="16"/>
      <c r="Z317" s="16"/>
    </row>
    <row r="318">
      <c r="A318" s="16" t="str">
        <f>IFERROR(__xludf.DUMMYFUNCTION("""COMPUTED_VALUE"""),"The Servants Sword")</f>
        <v>The Servants Sword</v>
      </c>
      <c r="B318" s="16"/>
      <c r="C318" s="16" t="str">
        <f>IFERROR(__xludf.DUMMYFUNCTION("""COMPUTED_VALUE"""),"Sword")</f>
        <v>Sword</v>
      </c>
      <c r="D318" s="16" t="str">
        <f>IFERROR(__xludf.DUMMYFUNCTION("""COMPUTED_VALUE"""),"Hand")</f>
        <v>Hand</v>
      </c>
      <c r="E318" s="16">
        <f>IFERROR(__xludf.DUMMYFUNCTION("""COMPUTED_VALUE"""),600.0)</f>
        <v>600</v>
      </c>
      <c r="F318" s="16" t="str">
        <f>IFERROR(__xludf.DUMMYFUNCTION("""COMPUTED_VALUE"""),"DMG: +20000, Chaos DMG: +10000")</f>
        <v>DMG: +20000, Chaos DMG: +10000</v>
      </c>
      <c r="G318" s="16">
        <f>IFERROR(__xludf.DUMMYFUNCTION("""COMPUTED_VALUE"""),1.77E7)</f>
        <v>17700000</v>
      </c>
      <c r="H318" s="16"/>
      <c r="I318" s="16"/>
      <c r="J318" s="16"/>
      <c r="K318" s="16"/>
      <c r="L318" s="16"/>
      <c r="M318" s="16"/>
      <c r="N318" s="16"/>
      <c r="O318" s="16"/>
      <c r="P318" s="16"/>
      <c r="Q318" s="16"/>
      <c r="R318" s="16"/>
      <c r="S318" s="16"/>
      <c r="T318" s="16"/>
      <c r="U318" s="16"/>
      <c r="V318" s="16"/>
      <c r="W318" s="16"/>
      <c r="X318" s="16"/>
      <c r="Y318" s="16"/>
      <c r="Z318" s="16"/>
    </row>
    <row r="319">
      <c r="A319" s="16" t="str">
        <f>IFERROR(__xludf.DUMMYFUNCTION("""COMPUTED_VALUE"""),"The Shield of Foul Night")</f>
        <v>The Shield of Foul Night</v>
      </c>
      <c r="B319" s="16"/>
      <c r="C319" s="16" t="str">
        <f>IFERROR(__xludf.DUMMYFUNCTION("""COMPUTED_VALUE"""),"Buckler")</f>
        <v>Buckler</v>
      </c>
      <c r="D319" s="16" t="str">
        <f>IFERROR(__xludf.DUMMYFUNCTION("""COMPUTED_VALUE"""),"Hand")</f>
        <v>Hand</v>
      </c>
      <c r="E319" s="16">
        <f>IFERROR(__xludf.DUMMYFUNCTION("""COMPUTED_VALUE"""),200.0)</f>
        <v>200</v>
      </c>
      <c r="F319" s="16" t="str">
        <f>IFERROR(__xludf.DUMMYFUNCTION("""COMPUTED_VALUE"""),"DEF: +5000, Nature DEF: +5000 (Foul Night Set) ++Nature Immunity, Poison Immunity")</f>
        <v>DEF: +5000, Nature DEF: +5000 (Foul Night Set) ++Nature Immunity, Poison Immunity</v>
      </c>
      <c r="G319" s="16">
        <f>IFERROR(__xludf.DUMMYFUNCTION("""COMPUTED_VALUE"""),1900000.0)</f>
        <v>1900000</v>
      </c>
      <c r="H319" s="16"/>
      <c r="I319" s="16"/>
      <c r="J319" s="16"/>
      <c r="K319" s="16"/>
      <c r="L319" s="16"/>
      <c r="M319" s="16"/>
      <c r="N319" s="16"/>
      <c r="O319" s="16"/>
      <c r="P319" s="16"/>
      <c r="Q319" s="16"/>
      <c r="R319" s="16"/>
      <c r="S319" s="16"/>
      <c r="T319" s="16"/>
      <c r="U319" s="16"/>
      <c r="V319" s="16"/>
      <c r="W319" s="16"/>
      <c r="X319" s="16"/>
      <c r="Y319" s="16"/>
      <c r="Z319" s="16"/>
    </row>
    <row r="320">
      <c r="A320" s="16" t="str">
        <f>IFERROR(__xludf.DUMMYFUNCTION("""COMPUTED_VALUE"""),"The Staff of  Haunted Bones")</f>
        <v>The Staff of  Haunted Bones</v>
      </c>
      <c r="B320" s="16" t="str">
        <f>IFERROR(__xludf.DUMMYFUNCTION("""COMPUTED_VALUE"""),"Halloween exclusive")</f>
        <v>Halloween exclusive</v>
      </c>
      <c r="C320" s="16" t="str">
        <f>IFERROR(__xludf.DUMMYFUNCTION("""COMPUTED_VALUE"""),"Staff")</f>
        <v>Staff</v>
      </c>
      <c r="D320" s="16" t="str">
        <f>IFERROR(__xludf.DUMMYFUNCTION("""COMPUTED_VALUE"""),"Hand")</f>
        <v>Hand</v>
      </c>
      <c r="E320" s="16">
        <f>IFERROR(__xludf.DUMMYFUNCTION("""COMPUTED_VALUE"""),1.0)</f>
        <v>1</v>
      </c>
      <c r="F320" s="16" t="str">
        <f>IFERROR(__xludf.DUMMYFUNCTION("""COMPUTED_VALUE""")," X2 additional Dark, Chaos, and Spirit damage.")</f>
        <v> X2 additional Dark, Chaos, and Spirit damage.</v>
      </c>
      <c r="G320" s="16">
        <f>IFERROR(__xludf.DUMMYFUNCTION("""COMPUTED_VALUE"""),0.0)</f>
        <v>0</v>
      </c>
      <c r="H320" s="16"/>
      <c r="I320" s="16"/>
      <c r="J320" s="16"/>
      <c r="K320" s="16"/>
      <c r="L320" s="16"/>
      <c r="M320" s="16"/>
      <c r="N320" s="16"/>
      <c r="O320" s="16"/>
      <c r="P320" s="16"/>
      <c r="Q320" s="16"/>
      <c r="R320" s="16"/>
      <c r="S320" s="16"/>
      <c r="T320" s="16"/>
      <c r="U320" s="16"/>
      <c r="V320" s="16"/>
      <c r="W320" s="16"/>
      <c r="X320" s="16"/>
      <c r="Y320" s="16"/>
      <c r="Z320" s="16"/>
    </row>
    <row r="321">
      <c r="A321" s="16" t="str">
        <f>IFERROR(__xludf.DUMMYFUNCTION("""COMPUTED_VALUE"""),"The Staff of the Aquas")</f>
        <v>The Staff of the Aquas</v>
      </c>
      <c r="B321" s="16"/>
      <c r="C321" s="16" t="str">
        <f>IFERROR(__xludf.DUMMYFUNCTION("""COMPUTED_VALUE"""),"Staff")</f>
        <v>Staff</v>
      </c>
      <c r="D321" s="16" t="str">
        <f>IFERROR(__xludf.DUMMYFUNCTION("""COMPUTED_VALUE"""),"Hand")</f>
        <v>Hand</v>
      </c>
      <c r="E321" s="16">
        <f>IFERROR(__xludf.DUMMYFUNCTION("""COMPUTED_VALUE"""),1.0)</f>
        <v>1</v>
      </c>
      <c r="F321" s="16" t="str">
        <f>IFERROR(__xludf.DUMMYFUNCTION("""COMPUTED_VALUE""")," ++All Water Spells Deal x3 damage and cost half sp to use.")</f>
        <v> ++All Water Spells Deal x3 damage and cost half sp to use.</v>
      </c>
      <c r="G321" s="16">
        <f>IFERROR(__xludf.DUMMYFUNCTION("""COMPUTED_VALUE"""),0.0)</f>
        <v>0</v>
      </c>
      <c r="H321" s="16"/>
      <c r="I321" s="16"/>
      <c r="J321" s="16"/>
      <c r="K321" s="16"/>
      <c r="L321" s="16"/>
      <c r="M321" s="16"/>
      <c r="N321" s="16"/>
      <c r="O321" s="16"/>
      <c r="P321" s="16"/>
      <c r="Q321" s="16"/>
      <c r="R321" s="16"/>
      <c r="S321" s="16"/>
      <c r="T321" s="16"/>
      <c r="U321" s="16"/>
      <c r="V321" s="16"/>
      <c r="W321" s="16"/>
      <c r="X321" s="16"/>
      <c r="Y321" s="16"/>
      <c r="Z321" s="16"/>
    </row>
    <row r="322">
      <c r="A322" s="16" t="str">
        <f>IFERROR(__xludf.DUMMYFUNCTION("""COMPUTED_VALUE"""),"The Staff of The Pumpkin’s Curse")</f>
        <v>The Staff of The Pumpkin’s Curse</v>
      </c>
      <c r="B322" s="16"/>
      <c r="C322" s="16" t="str">
        <f>IFERROR(__xludf.DUMMYFUNCTION("""COMPUTED_VALUE"""),"Staff")</f>
        <v>Staff</v>
      </c>
      <c r="D322" s="16" t="str">
        <f>IFERROR(__xludf.DUMMYFUNCTION("""COMPUTED_VALUE"""),"Hand")</f>
        <v>Hand</v>
      </c>
      <c r="E322" s="16">
        <f>IFERROR(__xludf.DUMMYFUNCTION("""COMPUTED_VALUE"""),1.0)</f>
        <v>1</v>
      </c>
      <c r="F322" s="16" t="str">
        <f>IFERROR(__xludf.DUMMYFUNCTION("""COMPUTED_VALUE""")," ++ Select a target, Any Fire Nature and Dark damage the target deals halved, Fail/Succeed.")</f>
        <v> ++ Select a target, Any Fire Nature and Dark damage the target deals halved, Fail/Succeed.</v>
      </c>
      <c r="G322" s="16">
        <f>IFERROR(__xludf.DUMMYFUNCTION("""COMPUTED_VALUE"""),0.0)</f>
        <v>0</v>
      </c>
      <c r="H322" s="16"/>
      <c r="I322" s="16"/>
      <c r="J322" s="16"/>
      <c r="K322" s="16"/>
      <c r="L322" s="16"/>
      <c r="M322" s="16"/>
      <c r="N322" s="16"/>
      <c r="O322" s="16"/>
      <c r="P322" s="16"/>
      <c r="Q322" s="16"/>
      <c r="R322" s="16"/>
      <c r="S322" s="16"/>
      <c r="T322" s="16"/>
      <c r="U322" s="16"/>
      <c r="V322" s="16"/>
      <c r="W322" s="16"/>
      <c r="X322" s="16"/>
      <c r="Y322" s="16"/>
      <c r="Z322" s="16"/>
    </row>
    <row r="323">
      <c r="A323" s="16" t="str">
        <f>IFERROR(__xludf.DUMMYFUNCTION("""COMPUTED_VALUE"""),"The Stick of the Panda")</f>
        <v>The Stick of the Panda</v>
      </c>
      <c r="B323" s="16"/>
      <c r="C323" s="16" t="str">
        <f>IFERROR(__xludf.DUMMYFUNCTION("""COMPUTED_VALUE"""),"Club")</f>
        <v>Club</v>
      </c>
      <c r="D323" s="16" t="str">
        <f>IFERROR(__xludf.DUMMYFUNCTION("""COMPUTED_VALUE"""),"Hand")</f>
        <v>Hand</v>
      </c>
      <c r="E323" s="16">
        <f>IFERROR(__xludf.DUMMYFUNCTION("""COMPUTED_VALUE"""),400.0)</f>
        <v>400</v>
      </c>
      <c r="F323" s="16" t="str">
        <f>IFERROR(__xludf.DUMMYFUNCTION("""COMPUTED_VALUE"""),"DMG: +10000, Nature DMG: +10000 ++When you find an herb you get 2 of the herb found instead of 1. +-Cannot be duplicated")</f>
        <v>DMG: +10000, Nature DMG: +10000 ++When you find an herb you get 2 of the herb found instead of 1. +-Cannot be duplicated</v>
      </c>
      <c r="G323" s="16">
        <f>IFERROR(__xludf.DUMMYFUNCTION("""COMPUTED_VALUE"""),7800000.0)</f>
        <v>7800000</v>
      </c>
      <c r="H323" s="16"/>
      <c r="I323" s="16"/>
      <c r="J323" s="16"/>
      <c r="K323" s="16"/>
      <c r="L323" s="16"/>
      <c r="M323" s="16"/>
      <c r="N323" s="16"/>
      <c r="O323" s="16"/>
      <c r="P323" s="16"/>
      <c r="Q323" s="16"/>
      <c r="R323" s="16"/>
      <c r="S323" s="16"/>
      <c r="T323" s="16"/>
      <c r="U323" s="16"/>
      <c r="V323" s="16"/>
      <c r="W323" s="16"/>
      <c r="X323" s="16"/>
      <c r="Y323" s="16"/>
      <c r="Z323" s="16"/>
    </row>
    <row r="324">
      <c r="A324" s="16" t="str">
        <f>IFERROR(__xludf.DUMMYFUNCTION("""COMPUTED_VALUE"""),"The Sword Of Death")</f>
        <v>The Sword Of Death</v>
      </c>
      <c r="B324" s="16"/>
      <c r="C324" s="16" t="str">
        <f>IFERROR(__xludf.DUMMYFUNCTION("""COMPUTED_VALUE"""),"Sword")</f>
        <v>Sword</v>
      </c>
      <c r="D324" s="16" t="str">
        <f>IFERROR(__xludf.DUMMYFUNCTION("""COMPUTED_VALUE"""),"Hand")</f>
        <v>Hand</v>
      </c>
      <c r="E324" s="16">
        <f>IFERROR(__xludf.DUMMYFUNCTION("""COMPUTED_VALUE"""),1.0)</f>
        <v>1</v>
      </c>
      <c r="F324" s="16" t="str">
        <f>IFERROR(__xludf.DUMMYFUNCTION("""COMPUTED_VALUE"""),"DMG: +250")</f>
        <v>DMG: +250</v>
      </c>
      <c r="G324" s="16">
        <f>IFERROR(__xludf.DUMMYFUNCTION("""COMPUTED_VALUE"""),0.0)</f>
        <v>0</v>
      </c>
      <c r="H324" s="16"/>
      <c r="I324" s="16"/>
      <c r="J324" s="16"/>
      <c r="K324" s="16"/>
      <c r="L324" s="16"/>
      <c r="M324" s="16"/>
      <c r="N324" s="16"/>
      <c r="O324" s="16"/>
      <c r="P324" s="16"/>
      <c r="Q324" s="16"/>
      <c r="R324" s="16"/>
      <c r="S324" s="16"/>
      <c r="T324" s="16"/>
      <c r="U324" s="16"/>
      <c r="V324" s="16"/>
      <c r="W324" s="16"/>
      <c r="X324" s="16"/>
      <c r="Y324" s="16"/>
      <c r="Z324" s="16"/>
    </row>
    <row r="325">
      <c r="A325" s="16" t="str">
        <f>IFERROR(__xludf.DUMMYFUNCTION("""COMPUTED_VALUE"""),"The Sword Of Easter's Gathering (Exclusive)")</f>
        <v>The Sword Of Easter's Gathering (Exclusive)</v>
      </c>
      <c r="B325" s="16"/>
      <c r="C325" s="16" t="str">
        <f>IFERROR(__xludf.DUMMYFUNCTION("""COMPUTED_VALUE"""),"Sword")</f>
        <v>Sword</v>
      </c>
      <c r="D325" s="16" t="str">
        <f>IFERROR(__xludf.DUMMYFUNCTION("""COMPUTED_VALUE"""),"Hand")</f>
        <v>Hand</v>
      </c>
      <c r="E325" s="16">
        <f>IFERROR(__xludf.DUMMYFUNCTION("""COMPUTED_VALUE"""),200.0)</f>
        <v>200</v>
      </c>
      <c r="F325" s="16" t="str">
        <f>IFERROR(__xludf.DUMMYFUNCTION("""COMPUTED_VALUE"""),", Nature DMG: +10000, Celestial DMG: +10000 ++Doubles all elemental damage when held, ++2 on all rolls while in battle, +-Cannot be forged +-Cannot be duplicated")</f>
        <v>, Nature DMG: +10000, Celestial DMG: +10000 ++Doubles all elemental damage when held, ++2 on all rolls while in battle, +-Cannot be forged +-Cannot be duplicated</v>
      </c>
      <c r="G325" s="16">
        <f>IFERROR(__xludf.DUMMYFUNCTION("""COMPUTED_VALUE"""),7800000.0)</f>
        <v>7800000</v>
      </c>
      <c r="H325" s="16"/>
      <c r="I325" s="16"/>
      <c r="J325" s="16"/>
      <c r="K325" s="16"/>
      <c r="L325" s="16"/>
      <c r="M325" s="16"/>
      <c r="N325" s="16"/>
      <c r="O325" s="16"/>
      <c r="P325" s="16"/>
      <c r="Q325" s="16"/>
      <c r="R325" s="16"/>
      <c r="S325" s="16"/>
      <c r="T325" s="16"/>
      <c r="U325" s="16"/>
      <c r="V325" s="16"/>
      <c r="W325" s="16"/>
      <c r="X325" s="16"/>
      <c r="Y325" s="16"/>
      <c r="Z325" s="16"/>
    </row>
    <row r="326">
      <c r="A326" s="16" t="str">
        <f>IFERROR(__xludf.DUMMYFUNCTION("""COMPUTED_VALUE"""),"The Sword of Manannán (Exclusive)")</f>
        <v>The Sword of Manannán (Exclusive)</v>
      </c>
      <c r="B326" s="16" t="str">
        <f>IFERROR(__xludf.DUMMYFUNCTION("""COMPUTED_VALUE"""),"Lugh's Sword he wielded in battle")</f>
        <v>Lugh's Sword he wielded in battle</v>
      </c>
      <c r="C326" s="16" t="str">
        <f>IFERROR(__xludf.DUMMYFUNCTION("""COMPUTED_VALUE"""),"Sword")</f>
        <v>Sword</v>
      </c>
      <c r="D326" s="16" t="str">
        <f>IFERROR(__xludf.DUMMYFUNCTION("""COMPUTED_VALUE"""),"Hand")</f>
        <v>Hand</v>
      </c>
      <c r="E326" s="16">
        <f>IFERROR(__xludf.DUMMYFUNCTION("""COMPUTED_VALUE"""),200.0)</f>
        <v>200</v>
      </c>
      <c r="F326" s="16" t="str">
        <f>IFERROR(__xludf.DUMMYFUNCTION("""COMPUTED_VALUE"""),"DMG: +75000, Celestial DMG: +75000 ++Intimidation and Charisma stat is double while equipped")</f>
        <v>DMG: +75000, Celestial DMG: +75000 ++Intimidation and Charisma stat is double while equipped</v>
      </c>
      <c r="G326" s="16">
        <f>IFERROR(__xludf.DUMMYFUNCTION("""COMPUTED_VALUE"""),4.485E8)</f>
        <v>448500000</v>
      </c>
      <c r="H326" s="16"/>
      <c r="I326" s="16"/>
      <c r="J326" s="16"/>
      <c r="K326" s="16"/>
      <c r="L326" s="16"/>
      <c r="M326" s="16"/>
      <c r="N326" s="16"/>
      <c r="O326" s="16"/>
      <c r="P326" s="16"/>
      <c r="Q326" s="16"/>
      <c r="R326" s="16"/>
      <c r="S326" s="16"/>
      <c r="T326" s="16"/>
      <c r="U326" s="16"/>
      <c r="V326" s="16"/>
      <c r="W326" s="16"/>
      <c r="X326" s="16"/>
      <c r="Y326" s="16"/>
      <c r="Z326" s="16"/>
    </row>
    <row r="327">
      <c r="A327" s="16" t="str">
        <f>IFERROR(__xludf.DUMMYFUNCTION("""COMPUTED_VALUE"""),"The Waking Ash of the Serpent’s Pendent")</f>
        <v>The Waking Ash of the Serpent’s Pendent</v>
      </c>
      <c r="B327" s="16"/>
      <c r="C327" s="16"/>
      <c r="D327" s="16" t="str">
        <f>IFERROR(__xludf.DUMMYFUNCTION("""COMPUTED_VALUE"""),"Neck")</f>
        <v>Neck</v>
      </c>
      <c r="E327" s="16">
        <f>IFERROR(__xludf.DUMMYFUNCTION("""COMPUTED_VALUE"""),1.0)</f>
        <v>1</v>
      </c>
      <c r="F327" s="16" t="str">
        <f>IFERROR(__xludf.DUMMYFUNCTION("""COMPUTED_VALUE""")," ++When attacked with a fire spell or fire weapon you may absorb the damage you take from that 1 attack and add the damage you would have taken to your next attack as additional fire damage, This effect can only be used once per battle. +-Cannot be duplic"&amp;"ated.")</f>
        <v> ++When attacked with a fire spell or fire weapon you may absorb the damage you take from that 1 attack and add the damage you would have taken to your next attack as additional fire damage, This effect can only be used once per battle. +-Cannot be duplicated.</v>
      </c>
      <c r="G327" s="16">
        <f>IFERROR(__xludf.DUMMYFUNCTION("""COMPUTED_VALUE"""),0.0)</f>
        <v>0</v>
      </c>
      <c r="H327" s="16"/>
      <c r="I327" s="16"/>
      <c r="J327" s="16"/>
      <c r="K327" s="16"/>
      <c r="L327" s="16"/>
      <c r="M327" s="16"/>
      <c r="N327" s="16"/>
      <c r="O327" s="16"/>
      <c r="P327" s="16"/>
      <c r="Q327" s="16"/>
      <c r="R327" s="16"/>
      <c r="S327" s="16"/>
      <c r="T327" s="16"/>
      <c r="U327" s="16"/>
      <c r="V327" s="16"/>
      <c r="W327" s="16"/>
      <c r="X327" s="16"/>
      <c r="Y327" s="16"/>
      <c r="Z327" s="16"/>
    </row>
    <row r="328">
      <c r="A328" s="16" t="str">
        <f>IFERROR(__xludf.DUMMYFUNCTION("""COMPUTED_VALUE"""),"The Wand of Aquatic Beasts")</f>
        <v>The Wand of Aquatic Beasts</v>
      </c>
      <c r="B328" s="16"/>
      <c r="C328" s="16" t="str">
        <f>IFERROR(__xludf.DUMMYFUNCTION("""COMPUTED_VALUE"""),"Wand")</f>
        <v>Wand</v>
      </c>
      <c r="D328" s="16" t="str">
        <f>IFERROR(__xludf.DUMMYFUNCTION("""COMPUTED_VALUE"""),"Hand")</f>
        <v>Hand</v>
      </c>
      <c r="E328" s="16">
        <f>IFERROR(__xludf.DUMMYFUNCTION("""COMPUTED_VALUE"""),1.0)</f>
        <v>1</v>
      </c>
      <c r="F328" s="16" t="str">
        <f>IFERROR(__xludf.DUMMYFUNCTION("""COMPUTED_VALUE""")," ++All water and storm spells are decreased by half sp.")</f>
        <v> ++All water and storm spells are decreased by half sp.</v>
      </c>
      <c r="G328" s="16">
        <f>IFERROR(__xludf.DUMMYFUNCTION("""COMPUTED_VALUE"""),0.0)</f>
        <v>0</v>
      </c>
      <c r="H328" s="16"/>
      <c r="I328" s="16"/>
      <c r="J328" s="16"/>
      <c r="K328" s="16"/>
      <c r="L328" s="16"/>
      <c r="M328" s="16"/>
      <c r="N328" s="16"/>
      <c r="O328" s="16"/>
      <c r="P328" s="16"/>
      <c r="Q328" s="16"/>
      <c r="R328" s="16"/>
      <c r="S328" s="16"/>
      <c r="T328" s="16"/>
      <c r="U328" s="16"/>
      <c r="V328" s="16"/>
      <c r="W328" s="16"/>
      <c r="X328" s="16"/>
      <c r="Y328" s="16"/>
      <c r="Z328" s="16"/>
    </row>
    <row r="329">
      <c r="A329" s="16" t="str">
        <f>IFERROR(__xludf.DUMMYFUNCTION("""COMPUTED_VALUE"""),"Titanic Two Hander")</f>
        <v>Titanic Two Hander</v>
      </c>
      <c r="B329" s="16"/>
      <c r="C329" s="16" t="str">
        <f>IFERROR(__xludf.DUMMYFUNCTION("""COMPUTED_VALUE"""),"Sword")</f>
        <v>Sword</v>
      </c>
      <c r="D329" s="16" t="str">
        <f>IFERROR(__xludf.DUMMYFUNCTION("""COMPUTED_VALUE"""),"Hand")</f>
        <v>Hand</v>
      </c>
      <c r="E329" s="16">
        <f>IFERROR(__xludf.DUMMYFUNCTION("""COMPUTED_VALUE"""),200.0)</f>
        <v>200</v>
      </c>
      <c r="F329" s="16" t="str">
        <f>IFERROR(__xludf.DUMMYFUNCTION("""COMPUTED_VALUE"""),"DMG: +10000")</f>
        <v>DMG: +10000</v>
      </c>
      <c r="G329" s="16">
        <f>IFERROR(__xludf.DUMMYFUNCTION("""COMPUTED_VALUE"""),1900000.0)</f>
        <v>1900000</v>
      </c>
      <c r="H329" s="16"/>
      <c r="I329" s="16"/>
      <c r="J329" s="16"/>
      <c r="K329" s="16"/>
      <c r="L329" s="16"/>
      <c r="M329" s="16"/>
      <c r="N329" s="16"/>
      <c r="O329" s="16"/>
      <c r="P329" s="16"/>
      <c r="Q329" s="16"/>
      <c r="R329" s="16"/>
      <c r="S329" s="16"/>
      <c r="T329" s="16"/>
      <c r="U329" s="16"/>
      <c r="V329" s="16"/>
      <c r="W329" s="16"/>
      <c r="X329" s="16"/>
      <c r="Y329" s="16"/>
      <c r="Z329" s="16"/>
    </row>
    <row r="330">
      <c r="A330" s="16" t="str">
        <f>IFERROR(__xludf.DUMMYFUNCTION("""COMPUTED_VALUE"""),"Top Hat")</f>
        <v>Top Hat</v>
      </c>
      <c r="B330" s="16" t="str">
        <f>IFERROR(__xludf.DUMMYFUNCTION("""COMPUTED_VALUE"""),"nothing like good ol abraham")</f>
        <v>nothing like good ol abraham</v>
      </c>
      <c r="C330" s="16"/>
      <c r="D330" s="16" t="str">
        <f>IFERROR(__xludf.DUMMYFUNCTION("""COMPUTED_VALUE"""),"Head")</f>
        <v>Head</v>
      </c>
      <c r="E330" s="16">
        <f>IFERROR(__xludf.DUMMYFUNCTION("""COMPUTED_VALUE"""),1.0)</f>
        <v>1</v>
      </c>
      <c r="F330" s="16" t="str">
        <f>IFERROR(__xludf.DUMMYFUNCTION("""COMPUTED_VALUE"""),"DEF: +1")</f>
        <v>DEF: +1</v>
      </c>
      <c r="G330" s="16">
        <f>IFERROR(__xludf.DUMMYFUNCTION("""COMPUTED_VALUE"""),0.0)</f>
        <v>0</v>
      </c>
      <c r="H330" s="16"/>
      <c r="I330" s="16"/>
      <c r="J330" s="16"/>
      <c r="K330" s="16"/>
      <c r="L330" s="16"/>
      <c r="M330" s="16"/>
      <c r="N330" s="16"/>
      <c r="O330" s="16"/>
      <c r="P330" s="16"/>
      <c r="Q330" s="16"/>
      <c r="R330" s="16"/>
      <c r="S330" s="16"/>
      <c r="T330" s="16"/>
      <c r="U330" s="16"/>
      <c r="V330" s="16"/>
      <c r="W330" s="16"/>
      <c r="X330" s="16"/>
      <c r="Y330" s="16"/>
      <c r="Z330" s="16"/>
    </row>
    <row r="331">
      <c r="A331" s="16" t="str">
        <f>IFERROR(__xludf.DUMMYFUNCTION("""COMPUTED_VALUE"""),"Trident")</f>
        <v>Trident</v>
      </c>
      <c r="B331" s="16"/>
      <c r="C331" s="16" t="str">
        <f>IFERROR(__xludf.DUMMYFUNCTION("""COMPUTED_VALUE"""),"Spear")</f>
        <v>Spear</v>
      </c>
      <c r="D331" s="16" t="str">
        <f>IFERROR(__xludf.DUMMYFUNCTION("""COMPUTED_VALUE"""),"Hand")</f>
        <v>Hand</v>
      </c>
      <c r="E331" s="16">
        <f>IFERROR(__xludf.DUMMYFUNCTION("""COMPUTED_VALUE"""),20.0)</f>
        <v>20</v>
      </c>
      <c r="F331" s="16" t="str">
        <f>IFERROR(__xludf.DUMMYFUNCTION("""COMPUTED_VALUE"""),"DMG: +600")</f>
        <v>DMG: +600</v>
      </c>
      <c r="G331" s="16">
        <f>IFERROR(__xludf.DUMMYFUNCTION("""COMPUTED_VALUE"""),1000.0)</f>
        <v>1000</v>
      </c>
      <c r="H331" s="16"/>
      <c r="I331" s="16"/>
      <c r="J331" s="16"/>
      <c r="K331" s="16"/>
      <c r="L331" s="16"/>
      <c r="M331" s="16"/>
      <c r="N331" s="16"/>
      <c r="O331" s="16"/>
      <c r="P331" s="16"/>
      <c r="Q331" s="16"/>
      <c r="R331" s="16"/>
      <c r="S331" s="16"/>
      <c r="T331" s="16"/>
      <c r="U331" s="16"/>
      <c r="V331" s="16"/>
      <c r="W331" s="16"/>
      <c r="X331" s="16"/>
      <c r="Y331" s="16"/>
      <c r="Z331" s="16"/>
    </row>
    <row r="332">
      <c r="A332" s="16" t="str">
        <f>IFERROR(__xludf.DUMMYFUNCTION("""COMPUTED_VALUE"""),"Tundra Staff")</f>
        <v>Tundra Staff</v>
      </c>
      <c r="B332" s="16"/>
      <c r="C332" s="16" t="str">
        <f>IFERROR(__xludf.DUMMYFUNCTION("""COMPUTED_VALUE"""),"Staff")</f>
        <v>Staff</v>
      </c>
      <c r="D332" s="16" t="str">
        <f>IFERROR(__xludf.DUMMYFUNCTION("""COMPUTED_VALUE"""),"Hand")</f>
        <v>Hand</v>
      </c>
      <c r="E332" s="16">
        <f>IFERROR(__xludf.DUMMYFUNCTION("""COMPUTED_VALUE"""),200.0)</f>
        <v>200</v>
      </c>
      <c r="F332" s="16" t="str">
        <f>IFERROR(__xludf.DUMMYFUNCTION("""COMPUTED_VALUE"""),", Earth : +10000 ++X2 Earth damage. +-Cannot be duplicated")</f>
        <v>, Earth : +10000 ++X2 Earth damage. +-Cannot be duplicated</v>
      </c>
      <c r="G332" s="16">
        <f>IFERROR(__xludf.DUMMYFUNCTION("""COMPUTED_VALUE"""),1900000.0)</f>
        <v>1900000</v>
      </c>
      <c r="H332" s="16"/>
      <c r="I332" s="16"/>
      <c r="J332" s="16"/>
      <c r="K332" s="16"/>
      <c r="L332" s="16"/>
      <c r="M332" s="16"/>
      <c r="N332" s="16"/>
      <c r="O332" s="16"/>
      <c r="P332" s="16"/>
      <c r="Q332" s="16"/>
      <c r="R332" s="16"/>
      <c r="S332" s="16"/>
      <c r="T332" s="16"/>
      <c r="U332" s="16"/>
      <c r="V332" s="16"/>
      <c r="W332" s="16"/>
      <c r="X332" s="16"/>
      <c r="Y332" s="16"/>
      <c r="Z332" s="16"/>
    </row>
    <row r="333">
      <c r="A333" s="16" t="str">
        <f>IFERROR(__xludf.DUMMYFUNCTION("""COMPUTED_VALUE"""),"Twilight Bow")</f>
        <v>Twilight Bow</v>
      </c>
      <c r="B333" s="16"/>
      <c r="C333" s="16" t="str">
        <f>IFERROR(__xludf.DUMMYFUNCTION("""COMPUTED_VALUE"""),"Bow")</f>
        <v>Bow</v>
      </c>
      <c r="D333" s="16" t="str">
        <f>IFERROR(__xludf.DUMMYFUNCTION("""COMPUTED_VALUE"""),"Hand")</f>
        <v>Hand</v>
      </c>
      <c r="E333" s="16">
        <f>IFERROR(__xludf.DUMMYFUNCTION("""COMPUTED_VALUE"""),400.0)</f>
        <v>400</v>
      </c>
      <c r="F333" s="16" t="str">
        <f>IFERROR(__xludf.DUMMYFUNCTION("""COMPUTED_VALUE"""),"DMG: +10000, Twilight DMG: +10000")</f>
        <v>DMG: +10000, Twilight DMG: +10000</v>
      </c>
      <c r="G333" s="16">
        <f>IFERROR(__xludf.DUMMYFUNCTION("""COMPUTED_VALUE"""),7800000.0)</f>
        <v>7800000</v>
      </c>
      <c r="H333" s="16"/>
      <c r="I333" s="16"/>
      <c r="J333" s="16"/>
      <c r="K333" s="16"/>
      <c r="L333" s="16"/>
      <c r="M333" s="16"/>
      <c r="N333" s="16"/>
      <c r="O333" s="16"/>
      <c r="P333" s="16"/>
      <c r="Q333" s="16"/>
      <c r="R333" s="16"/>
      <c r="S333" s="16"/>
      <c r="T333" s="16"/>
      <c r="U333" s="16"/>
      <c r="V333" s="16"/>
      <c r="W333" s="16"/>
      <c r="X333" s="16"/>
      <c r="Y333" s="16"/>
      <c r="Z333" s="16"/>
    </row>
    <row r="334">
      <c r="A334" s="16" t="str">
        <f>IFERROR(__xludf.DUMMYFUNCTION("""COMPUTED_VALUE"""),"Twilight Crystal Sword of Evil's Bane")</f>
        <v>Twilight Crystal Sword of Evil's Bane</v>
      </c>
      <c r="B334" s="16" t="str">
        <f>IFERROR(__xludf.DUMMYFUNCTION("""COMPUTED_VALUE"""),"Halloween Event Exclusive Item")</f>
        <v>Halloween Event Exclusive Item</v>
      </c>
      <c r="C334" s="16" t="str">
        <f>IFERROR(__xludf.DUMMYFUNCTION("""COMPUTED_VALUE"""),"Sword")</f>
        <v>Sword</v>
      </c>
      <c r="D334" s="16" t="str">
        <f>IFERROR(__xludf.DUMMYFUNCTION("""COMPUTED_VALUE"""),"Hand")</f>
        <v>Hand</v>
      </c>
      <c r="E334" s="16">
        <f>IFERROR(__xludf.DUMMYFUNCTION("""COMPUTED_VALUE"""),200.0)</f>
        <v>200</v>
      </c>
      <c r="F334" s="16" t="str">
        <f>IFERROR(__xludf.DUMMYFUNCTION("""COMPUTED_VALUE"""),"DMG: +20000, Twilight DMG: +20000, Celestial DMG: +10000 ++X4 Order, Light, Chaos, and Dark damage for the user and party. +-Cannot be forged +-Cannot be duplicated")</f>
        <v>DMG: +20000, Twilight DMG: +20000, Celestial DMG: +10000 ++X4 Order, Light, Chaos, and Dark damage for the user and party. +-Cannot be forged +-Cannot be duplicated</v>
      </c>
      <c r="G334" s="16">
        <f>IFERROR(__xludf.DUMMYFUNCTION("""COMPUTED_VALUE"""),4.95E7)</f>
        <v>49500000</v>
      </c>
      <c r="H334" s="16"/>
      <c r="I334" s="16"/>
      <c r="J334" s="16"/>
      <c r="K334" s="16"/>
      <c r="L334" s="16"/>
      <c r="M334" s="16"/>
      <c r="N334" s="16"/>
      <c r="O334" s="16"/>
      <c r="P334" s="16"/>
      <c r="Q334" s="16"/>
      <c r="R334" s="16"/>
      <c r="S334" s="16"/>
      <c r="T334" s="16"/>
      <c r="U334" s="16"/>
      <c r="V334" s="16"/>
      <c r="W334" s="16"/>
      <c r="X334" s="16"/>
      <c r="Y334" s="16"/>
      <c r="Z334" s="16"/>
    </row>
    <row r="335">
      <c r="A335" s="16" t="str">
        <f>IFERROR(__xludf.DUMMYFUNCTION("""COMPUTED_VALUE"""),"Twilight Sword")</f>
        <v>Twilight Sword</v>
      </c>
      <c r="B335" s="16"/>
      <c r="C335" s="16" t="str">
        <f>IFERROR(__xludf.DUMMYFUNCTION("""COMPUTED_VALUE"""),"Sword")</f>
        <v>Sword</v>
      </c>
      <c r="D335" s="16" t="str">
        <f>IFERROR(__xludf.DUMMYFUNCTION("""COMPUTED_VALUE"""),"Hand")</f>
        <v>Hand</v>
      </c>
      <c r="E335" s="16">
        <f>IFERROR(__xludf.DUMMYFUNCTION("""COMPUTED_VALUE"""),20.0)</f>
        <v>20</v>
      </c>
      <c r="F335" s="16" t="str">
        <f>IFERROR(__xludf.DUMMYFUNCTION("""COMPUTED_VALUE"""),"DMG: +500, Twilight DMG: +200")</f>
        <v>DMG: +500, Twilight DMG: +200</v>
      </c>
      <c r="G335" s="16">
        <f>IFERROR(__xludf.DUMMYFUNCTION("""COMPUTED_VALUE"""),1000.0)</f>
        <v>1000</v>
      </c>
      <c r="H335" s="16"/>
      <c r="I335" s="16"/>
      <c r="J335" s="16"/>
      <c r="K335" s="16"/>
      <c r="L335" s="16"/>
      <c r="M335" s="16"/>
      <c r="N335" s="16"/>
      <c r="O335" s="16"/>
      <c r="P335" s="16"/>
      <c r="Q335" s="16"/>
      <c r="R335" s="16"/>
      <c r="S335" s="16"/>
      <c r="T335" s="16"/>
      <c r="U335" s="16"/>
      <c r="V335" s="16"/>
      <c r="W335" s="16"/>
      <c r="X335" s="16"/>
      <c r="Y335" s="16"/>
      <c r="Z335" s="16"/>
    </row>
    <row r="336">
      <c r="A336" s="16" t="str">
        <f>IFERROR(__xludf.DUMMYFUNCTION("""COMPUTED_VALUE"""),"Unknown Amulet")</f>
        <v>Unknown Amulet</v>
      </c>
      <c r="B336" s="16"/>
      <c r="C336" s="16"/>
      <c r="D336" s="16" t="str">
        <f>IFERROR(__xludf.DUMMYFUNCTION("""COMPUTED_VALUE"""),"Neck")</f>
        <v>Neck</v>
      </c>
      <c r="E336" s="16">
        <f>IFERROR(__xludf.DUMMYFUNCTION("""COMPUTED_VALUE"""),1.0)</f>
        <v>1</v>
      </c>
      <c r="F336" s="16" t="str">
        <f>IFERROR(__xludf.DUMMYFUNCTION("""COMPUTED_VALUE""")," ++At the beginning of battle, roll a d20. If the number is 1-5, everyone in the battle loses 1 HP. If the number is 6-10, all enemies lose 25% of their current HP. If the number is 11-19, the wearer loses 40% current HP. If the number is 20, the battle i"&amp;"s instantly won. (If you roll above a 20 , double your loot amount of each item)")</f>
        <v> ++At the beginning of battle, roll a d20. If the number is 1-5, everyone in the battle loses 1 HP. If the number is 6-10, all enemies lose 25% of their current HP. If the number is 11-19, the wearer loses 40% current HP. If the number is 20, the battle is instantly won. (If you roll above a 20 , double your loot amount of each item)</v>
      </c>
      <c r="G336" s="16">
        <f>IFERROR(__xludf.DUMMYFUNCTION("""COMPUTED_VALUE"""),0.0)</f>
        <v>0</v>
      </c>
      <c r="H336" s="16"/>
      <c r="I336" s="16"/>
      <c r="J336" s="16"/>
      <c r="K336" s="16"/>
      <c r="L336" s="16"/>
      <c r="M336" s="16"/>
      <c r="N336" s="16"/>
      <c r="O336" s="16"/>
      <c r="P336" s="16"/>
      <c r="Q336" s="16"/>
      <c r="R336" s="16"/>
      <c r="S336" s="16"/>
      <c r="T336" s="16"/>
      <c r="U336" s="16"/>
      <c r="V336" s="16"/>
      <c r="W336" s="16"/>
      <c r="X336" s="16"/>
      <c r="Y336" s="16"/>
      <c r="Z336" s="16"/>
    </row>
    <row r="337">
      <c r="A337" s="16" t="str">
        <f>IFERROR(__xludf.DUMMYFUNCTION("""COMPUTED_VALUE"""),"Vambraces of Waking Waters")</f>
        <v>Vambraces of Waking Waters</v>
      </c>
      <c r="B337" s="16"/>
      <c r="C337" s="16"/>
      <c r="D337" s="16" t="str">
        <f>IFERROR(__xludf.DUMMYFUNCTION("""COMPUTED_VALUE"""),"Arms")</f>
        <v>Arms</v>
      </c>
      <c r="E337" s="16">
        <f>IFERROR(__xludf.DUMMYFUNCTION("""COMPUTED_VALUE"""),200.0)</f>
        <v>200</v>
      </c>
      <c r="F337" s="16" t="str">
        <f>IFERROR(__xludf.DUMMYFUNCTION("""COMPUTED_VALUE"""),"DEF: +5000, Water DEF: +5000 ++X4 additional Water damage.")</f>
        <v>DEF: +5000, Water DEF: +5000 ++X4 additional Water damage.</v>
      </c>
      <c r="G337" s="16">
        <f>IFERROR(__xludf.DUMMYFUNCTION("""COMPUTED_VALUE"""),1900000.0)</f>
        <v>1900000</v>
      </c>
      <c r="H337" s="16"/>
      <c r="I337" s="16"/>
      <c r="J337" s="16"/>
      <c r="K337" s="16"/>
      <c r="L337" s="16"/>
      <c r="M337" s="16"/>
      <c r="N337" s="16"/>
      <c r="O337" s="16"/>
      <c r="P337" s="16"/>
      <c r="Q337" s="16"/>
      <c r="R337" s="16"/>
      <c r="S337" s="16"/>
      <c r="T337" s="16"/>
      <c r="U337" s="16"/>
      <c r="V337" s="16"/>
      <c r="W337" s="16"/>
      <c r="X337" s="16"/>
      <c r="Y337" s="16"/>
      <c r="Z337" s="16"/>
    </row>
    <row r="338">
      <c r="A338" s="16" t="str">
        <f>IFERROR(__xludf.DUMMYFUNCTION("""COMPUTED_VALUE"""),"Viking Helm")</f>
        <v>Viking Helm</v>
      </c>
      <c r="B338" s="16"/>
      <c r="C338" s="16"/>
      <c r="D338" s="16" t="str">
        <f>IFERROR(__xludf.DUMMYFUNCTION("""COMPUTED_VALUE"""),"Head")</f>
        <v>Head</v>
      </c>
      <c r="E338" s="16">
        <f>IFERROR(__xludf.DUMMYFUNCTION("""COMPUTED_VALUE"""),1.0)</f>
        <v>1</v>
      </c>
      <c r="F338" s="16" t="str">
        <f>IFERROR(__xludf.DUMMYFUNCTION("""COMPUTED_VALUE"""),"DEF: +200 (Viking Set)")</f>
        <v>DEF: +200 (Viking Set)</v>
      </c>
      <c r="G338" s="16">
        <f>IFERROR(__xludf.DUMMYFUNCTION("""COMPUTED_VALUE"""),0.0)</f>
        <v>0</v>
      </c>
      <c r="H338" s="16"/>
      <c r="I338" s="16"/>
      <c r="J338" s="16"/>
      <c r="K338" s="16"/>
      <c r="L338" s="16"/>
      <c r="M338" s="16"/>
      <c r="N338" s="16"/>
      <c r="O338" s="16"/>
      <c r="P338" s="16"/>
      <c r="Q338" s="16"/>
      <c r="R338" s="16"/>
      <c r="S338" s="16"/>
      <c r="T338" s="16"/>
      <c r="U338" s="16"/>
      <c r="V338" s="16"/>
      <c r="W338" s="16"/>
      <c r="X338" s="16"/>
      <c r="Y338" s="16"/>
      <c r="Z338" s="16"/>
    </row>
    <row r="339">
      <c r="A339" s="16" t="str">
        <f>IFERROR(__xludf.DUMMYFUNCTION("""COMPUTED_VALUE"""),"Void sword")</f>
        <v>Void sword</v>
      </c>
      <c r="B339" s="16"/>
      <c r="C339" s="16" t="str">
        <f>IFERROR(__xludf.DUMMYFUNCTION("""COMPUTED_VALUE"""),"Sword")</f>
        <v>Sword</v>
      </c>
      <c r="D339" s="16" t="str">
        <f>IFERROR(__xludf.DUMMYFUNCTION("""COMPUTED_VALUE"""),"Hand")</f>
        <v>Hand</v>
      </c>
      <c r="E339" s="16">
        <f>IFERROR(__xludf.DUMMYFUNCTION("""COMPUTED_VALUE"""),200.0)</f>
        <v>200</v>
      </c>
      <c r="F339" s="16" t="str">
        <f>IFERROR(__xludf.DUMMYFUNCTION("""COMPUTED_VALUE"""),", Celestial : +1 ++100% chance of instant death. Breaks upon instant death and causes a giant explosion causing 10,000,000 Celestial damage to all enemies..")</f>
        <v>, Celestial : +1 ++100% chance of instant death. Breaks upon instant death and causes a giant explosion causing 10,000,000 Celestial damage to all enemies..</v>
      </c>
      <c r="G339" s="16">
        <f>IFERROR(__xludf.DUMMYFUNCTION("""COMPUTED_VALUE"""),0.0)</f>
        <v>0</v>
      </c>
      <c r="H339" s="16"/>
      <c r="I339" s="16"/>
      <c r="J339" s="16"/>
      <c r="K339" s="16"/>
      <c r="L339" s="16"/>
      <c r="M339" s="16"/>
      <c r="N339" s="16"/>
      <c r="O339" s="16"/>
      <c r="P339" s="16"/>
      <c r="Q339" s="16"/>
      <c r="R339" s="16"/>
      <c r="S339" s="16"/>
      <c r="T339" s="16"/>
      <c r="U339" s="16"/>
      <c r="V339" s="16"/>
      <c r="W339" s="16"/>
      <c r="X339" s="16"/>
      <c r="Y339" s="16"/>
      <c r="Z339" s="16"/>
    </row>
    <row r="340">
      <c r="A340" s="16" t="str">
        <f>IFERROR(__xludf.DUMMYFUNCTION("""COMPUTED_VALUE"""),"Volcanic Sword of Destruction")</f>
        <v>Volcanic Sword of Destruction</v>
      </c>
      <c r="B340" s="16"/>
      <c r="C340" s="16" t="str">
        <f>IFERROR(__xludf.DUMMYFUNCTION("""COMPUTED_VALUE"""),"Sword")</f>
        <v>Sword</v>
      </c>
      <c r="D340" s="16" t="str">
        <f>IFERROR(__xludf.DUMMYFUNCTION("""COMPUTED_VALUE"""),"Hand")</f>
        <v>Hand</v>
      </c>
      <c r="E340" s="16">
        <f>IFERROR(__xludf.DUMMYFUNCTION("""COMPUTED_VALUE"""),200.0)</f>
        <v>200</v>
      </c>
      <c r="F340" s="16" t="str">
        <f>IFERROR(__xludf.DUMMYFUNCTION("""COMPUTED_VALUE"""),"DMG: +100000, Fire DMG: +300000, Celestial DMG: +100000 ++Volcanic Valves - Increase the damage of fire weapons and fire spells by x3, When you attack and miss the target with this sword the damage this sword deals will double each time you miss. +-Cannot"&amp;" be forged +-Cannot be duplicated")</f>
        <v>DMG: +100000, Fire DMG: +300000, Celestial DMG: +100000 ++Volcanic Valves - Increase the damage of fire weapons and fire spells by x3, When you attack and miss the target with this sword the damage this sword deals will double each time you miss. +-Cannot be forged +-Cannot be duplicated</v>
      </c>
      <c r="G340" s="16">
        <f>IFERROR(__xludf.DUMMYFUNCTION("""COMPUTED_VALUE"""),4.995E9)</f>
        <v>4995000000</v>
      </c>
      <c r="H340" s="16"/>
      <c r="I340" s="16"/>
      <c r="J340" s="16"/>
      <c r="K340" s="16"/>
      <c r="L340" s="16"/>
      <c r="M340" s="16"/>
      <c r="N340" s="16"/>
      <c r="O340" s="16"/>
      <c r="P340" s="16"/>
      <c r="Q340" s="16"/>
      <c r="R340" s="16"/>
      <c r="S340" s="16"/>
      <c r="T340" s="16"/>
      <c r="U340" s="16"/>
      <c r="V340" s="16"/>
      <c r="W340" s="16"/>
      <c r="X340" s="16"/>
      <c r="Y340" s="16"/>
      <c r="Z340" s="16"/>
    </row>
    <row r="341">
      <c r="A341" s="16" t="str">
        <f>IFERROR(__xludf.DUMMYFUNCTION("""COMPUTED_VALUE"""),"Wand of Grey")</f>
        <v>Wand of Grey</v>
      </c>
      <c r="B341" s="16"/>
      <c r="C341" s="16" t="str">
        <f>IFERROR(__xludf.DUMMYFUNCTION("""COMPUTED_VALUE"""),"Wand")</f>
        <v>Wand</v>
      </c>
      <c r="D341" s="16" t="str">
        <f>IFERROR(__xludf.DUMMYFUNCTION("""COMPUTED_VALUE"""),"Hand")</f>
        <v>Hand</v>
      </c>
      <c r="E341" s="16">
        <f>IFERROR(__xludf.DUMMYFUNCTION("""COMPUTED_VALUE"""),1.0)</f>
        <v>1</v>
      </c>
      <c r="F341" s="16" t="str">
        <f>IFERROR(__xludf.DUMMYFUNCTION("""COMPUTED_VALUE""")," ++X2 more damage to all spells. +-Cannot be duplicated.")</f>
        <v> ++X2 more damage to all spells. +-Cannot be duplicated.</v>
      </c>
      <c r="G341" s="16">
        <f>IFERROR(__xludf.DUMMYFUNCTION("""COMPUTED_VALUE"""),0.0)</f>
        <v>0</v>
      </c>
      <c r="H341" s="16"/>
      <c r="I341" s="16"/>
      <c r="J341" s="16"/>
      <c r="K341" s="16"/>
      <c r="L341" s="16"/>
      <c r="M341" s="16"/>
      <c r="N341" s="16"/>
      <c r="O341" s="16"/>
      <c r="P341" s="16"/>
      <c r="Q341" s="16"/>
      <c r="R341" s="16"/>
      <c r="S341" s="16"/>
      <c r="T341" s="16"/>
      <c r="U341" s="16"/>
      <c r="V341" s="16"/>
      <c r="W341" s="16"/>
      <c r="X341" s="16"/>
      <c r="Y341" s="16"/>
      <c r="Z341" s="16"/>
    </row>
    <row r="342">
      <c r="A342" s="16" t="str">
        <f>IFERROR(__xludf.DUMMYFUNCTION("""COMPUTED_VALUE"""),"Wand of Multi-Color")</f>
        <v>Wand of Multi-Color</v>
      </c>
      <c r="B342" s="16"/>
      <c r="C342" s="16" t="str">
        <f>IFERROR(__xludf.DUMMYFUNCTION("""COMPUTED_VALUE"""),"Wand")</f>
        <v>Wand</v>
      </c>
      <c r="D342" s="16" t="str">
        <f>IFERROR(__xludf.DUMMYFUNCTION("""COMPUTED_VALUE"""),"Hand")</f>
        <v>Hand</v>
      </c>
      <c r="E342" s="16">
        <f>IFERROR(__xludf.DUMMYFUNCTION("""COMPUTED_VALUE"""),1.0)</f>
        <v>1</v>
      </c>
      <c r="F342" s="16" t="str">
        <f>IFERROR(__xludf.DUMMYFUNCTION("""COMPUTED_VALUE""")," ++All types of spells are reduced by half sp. +-Cannot be duplicated. +-Can only equip one")</f>
        <v> ++All types of spells are reduced by half sp. +-Cannot be duplicated. +-Can only equip one</v>
      </c>
      <c r="G342" s="16">
        <f>IFERROR(__xludf.DUMMYFUNCTION("""COMPUTED_VALUE"""),0.0)</f>
        <v>0</v>
      </c>
      <c r="H342" s="16"/>
      <c r="I342" s="16"/>
      <c r="J342" s="16"/>
      <c r="K342" s="16"/>
      <c r="L342" s="16"/>
      <c r="M342" s="16"/>
      <c r="N342" s="16"/>
      <c r="O342" s="16"/>
      <c r="P342" s="16"/>
      <c r="Q342" s="16"/>
      <c r="R342" s="16"/>
      <c r="S342" s="16"/>
      <c r="T342" s="16"/>
      <c r="U342" s="16"/>
      <c r="V342" s="16"/>
      <c r="W342" s="16"/>
      <c r="X342" s="16"/>
      <c r="Y342" s="16"/>
      <c r="Z342" s="16"/>
    </row>
    <row r="343">
      <c r="A343" s="16" t="str">
        <f>IFERROR(__xludf.DUMMYFUNCTION("""COMPUTED_VALUE"""),"Warlock’s Armored Chestplate")</f>
        <v>Warlock’s Armored Chestplate</v>
      </c>
      <c r="B343" s="16"/>
      <c r="C343" s="16"/>
      <c r="D343" s="16" t="str">
        <f>IFERROR(__xludf.DUMMYFUNCTION("""COMPUTED_VALUE"""),"Torso")</f>
        <v>Torso</v>
      </c>
      <c r="E343" s="16">
        <f>IFERROR(__xludf.DUMMYFUNCTION("""COMPUTED_VALUE"""),100.0)</f>
        <v>100</v>
      </c>
      <c r="F343" s="16" t="str">
        <f>IFERROR(__xludf.DUMMYFUNCTION("""COMPUTED_VALUE"""),"DEF: +5000 ++All Dark, and Weapon attacks deal X2 more damage, All SP costs for Melee, Dark, and Physical Spells are reduced to half. ++Immunity to Dark and Chaos Damage.")</f>
        <v>DEF: +5000 ++All Dark, and Weapon attacks deal X2 more damage, All SP costs for Melee, Dark, and Physical Spells are reduced to half. ++Immunity to Dark and Chaos Damage.</v>
      </c>
      <c r="G343" s="16">
        <f>IFERROR(__xludf.DUMMYFUNCTION("""COMPUTED_VALUE"""),450000.0)</f>
        <v>450000</v>
      </c>
      <c r="H343" s="16"/>
      <c r="I343" s="16"/>
      <c r="J343" s="16"/>
      <c r="K343" s="16"/>
      <c r="L343" s="16"/>
      <c r="M343" s="16"/>
      <c r="N343" s="16"/>
      <c r="O343" s="16"/>
      <c r="P343" s="16"/>
      <c r="Q343" s="16"/>
      <c r="R343" s="16"/>
      <c r="S343" s="16"/>
      <c r="T343" s="16"/>
      <c r="U343" s="16"/>
      <c r="V343" s="16"/>
      <c r="W343" s="16"/>
      <c r="X343" s="16"/>
      <c r="Y343" s="16"/>
      <c r="Z343" s="16"/>
    </row>
    <row r="344">
      <c r="A344" s="16" t="str">
        <f>IFERROR(__xludf.DUMMYFUNCTION("""COMPUTED_VALUE"""),"Water Warhammer")</f>
        <v>Water Warhammer</v>
      </c>
      <c r="B344" s="16"/>
      <c r="C344" s="16" t="str">
        <f>IFERROR(__xludf.DUMMYFUNCTION("""COMPUTED_VALUE"""),"Club")</f>
        <v>Club</v>
      </c>
      <c r="D344" s="16" t="str">
        <f>IFERROR(__xludf.DUMMYFUNCTION("""COMPUTED_VALUE"""),"Hand")</f>
        <v>Hand</v>
      </c>
      <c r="E344" s="16">
        <f>IFERROR(__xludf.DUMMYFUNCTION("""COMPUTED_VALUE"""),200.0)</f>
        <v>200</v>
      </c>
      <c r="F344" s="16" t="str">
        <f>IFERROR(__xludf.DUMMYFUNCTION("""COMPUTED_VALUE"""),"DMG: +5000, Water DMG: +5000")</f>
        <v>DMG: +5000, Water DMG: +5000</v>
      </c>
      <c r="G344" s="16">
        <f>IFERROR(__xludf.DUMMYFUNCTION("""COMPUTED_VALUE"""),1900000.0)</f>
        <v>1900000</v>
      </c>
      <c r="H344" s="16"/>
      <c r="I344" s="16"/>
      <c r="J344" s="16"/>
      <c r="K344" s="16"/>
      <c r="L344" s="16"/>
      <c r="M344" s="16"/>
      <c r="N344" s="16"/>
      <c r="O344" s="16"/>
      <c r="P344" s="16"/>
      <c r="Q344" s="16"/>
      <c r="R344" s="16"/>
      <c r="S344" s="16"/>
      <c r="T344" s="16"/>
      <c r="U344" s="16"/>
      <c r="V344" s="16"/>
      <c r="W344" s="16"/>
      <c r="X344" s="16"/>
      <c r="Y344" s="16"/>
      <c r="Z344" s="16"/>
    </row>
    <row r="345">
      <c r="A345" s="16" t="str">
        <f>IFERROR(__xludf.DUMMYFUNCTION("""COMPUTED_VALUE"""),"Weaponized Bamboo Hat")</f>
        <v>Weaponized Bamboo Hat</v>
      </c>
      <c r="B345" s="16"/>
      <c r="C345" s="16" t="str">
        <f>IFERROR(__xludf.DUMMYFUNCTION("""COMPUTED_VALUE"""),"Knife")</f>
        <v>Knife</v>
      </c>
      <c r="D345" s="16" t="str">
        <f>IFERROR(__xludf.DUMMYFUNCTION("""COMPUTED_VALUE"""),"Head")</f>
        <v>Head</v>
      </c>
      <c r="E345" s="16">
        <f>IFERROR(__xludf.DUMMYFUNCTION("""COMPUTED_VALUE"""),40.0)</f>
        <v>40</v>
      </c>
      <c r="F345" s="16" t="str">
        <f>IFERROR(__xludf.DUMMYFUNCTION("""COMPUTED_VALUE"""),"DEF: +1000, Nature DEF: +1000 ++10,000 damage when thrown, this item will return to you after thrown.")</f>
        <v>DEF: +1000, Nature DEF: +1000 ++10,000 damage when thrown, this item will return to you after thrown.</v>
      </c>
      <c r="G345" s="16">
        <f>IFERROR(__xludf.DUMMYFUNCTION("""COMPUTED_VALUE"""),60000.0)</f>
        <v>60000</v>
      </c>
      <c r="H345" s="16"/>
      <c r="I345" s="16"/>
      <c r="J345" s="16"/>
      <c r="K345" s="16"/>
      <c r="L345" s="16"/>
      <c r="M345" s="16"/>
      <c r="N345" s="16"/>
      <c r="O345" s="16"/>
      <c r="P345" s="16"/>
      <c r="Q345" s="16"/>
      <c r="R345" s="16"/>
      <c r="S345" s="16"/>
      <c r="T345" s="16"/>
      <c r="U345" s="16"/>
      <c r="V345" s="16"/>
      <c r="W345" s="16"/>
      <c r="X345" s="16"/>
      <c r="Y345" s="16"/>
      <c r="Z345" s="16"/>
    </row>
    <row r="346">
      <c r="A346" s="16" t="str">
        <f>IFERROR(__xludf.DUMMYFUNCTION("""COMPUTED_VALUE"""),"Wig of Temper Fire")</f>
        <v>Wig of Temper Fire</v>
      </c>
      <c r="B346" s="16"/>
      <c r="C346" s="16"/>
      <c r="D346" s="16" t="str">
        <f>IFERROR(__xludf.DUMMYFUNCTION("""COMPUTED_VALUE"""),"Head")</f>
        <v>Head</v>
      </c>
      <c r="E346" s="16">
        <f>IFERROR(__xludf.DUMMYFUNCTION("""COMPUTED_VALUE"""),1.0)</f>
        <v>1</v>
      </c>
      <c r="F346" s="16" t="str">
        <f>IFERROR(__xludf.DUMMYFUNCTION("""COMPUTED_VALUE""")," ++reduces any fire damage to 1 +-Cannot be duplicated")</f>
        <v> ++reduces any fire damage to 1 +-Cannot be duplicated</v>
      </c>
      <c r="G346" s="16">
        <f>IFERROR(__xludf.DUMMYFUNCTION("""COMPUTED_VALUE"""),0.0)</f>
        <v>0</v>
      </c>
      <c r="H346" s="16"/>
      <c r="I346" s="16"/>
      <c r="J346" s="16"/>
      <c r="K346" s="16"/>
      <c r="L346" s="16"/>
      <c r="M346" s="16"/>
      <c r="N346" s="16"/>
      <c r="O346" s="16"/>
      <c r="P346" s="16"/>
      <c r="Q346" s="16"/>
      <c r="R346" s="16"/>
      <c r="S346" s="16"/>
      <c r="T346" s="16"/>
      <c r="U346" s="16"/>
      <c r="V346" s="16"/>
      <c r="W346" s="16"/>
      <c r="X346" s="16"/>
      <c r="Y346" s="16"/>
      <c r="Z346" s="16"/>
    </row>
    <row r="347">
      <c r="A347" s="16" t="str">
        <f>IFERROR(__xludf.DUMMYFUNCTION("""COMPUTED_VALUE"""),"Woodsman’s Hacker")</f>
        <v>Woodsman’s Hacker</v>
      </c>
      <c r="B347" s="16"/>
      <c r="C347" s="16" t="str">
        <f>IFERROR(__xludf.DUMMYFUNCTION("""COMPUTED_VALUE"""),"Axe")</f>
        <v>Axe</v>
      </c>
      <c r="D347" s="16" t="str">
        <f>IFERROR(__xludf.DUMMYFUNCTION("""COMPUTED_VALUE"""),"Hand")</f>
        <v>Hand</v>
      </c>
      <c r="E347" s="16">
        <f>IFERROR(__xludf.DUMMYFUNCTION("""COMPUTED_VALUE"""),10.0)</f>
        <v>10</v>
      </c>
      <c r="F347" s="16" t="str">
        <f>IFERROR(__xludf.DUMMYFUNCTION("""COMPUTED_VALUE"""),"DMG: +500")</f>
        <v>DMG: +500</v>
      </c>
      <c r="G347" s="16">
        <f>IFERROR(__xludf.DUMMYFUNCTION("""COMPUTED_VALUE"""),1000.0)</f>
        <v>1000</v>
      </c>
      <c r="H347" s="16"/>
      <c r="I347" s="16"/>
      <c r="J347" s="16"/>
      <c r="K347" s="16"/>
      <c r="L347" s="16"/>
      <c r="M347" s="16"/>
      <c r="N347" s="16"/>
      <c r="O347" s="16"/>
      <c r="P347" s="16"/>
      <c r="Q347" s="16"/>
      <c r="R347" s="16"/>
      <c r="S347" s="16"/>
      <c r="T347" s="16"/>
      <c r="U347" s="16"/>
      <c r="V347" s="16"/>
      <c r="W347" s="16"/>
      <c r="X347" s="16"/>
      <c r="Y347" s="16"/>
      <c r="Z347" s="16"/>
    </row>
    <row r="348">
      <c r="A348" s="16" t="str">
        <f>IFERROR(__xludf.DUMMYFUNCTION("""COMPUTED_VALUE"""),"World Tree Sword")</f>
        <v>World Tree Sword</v>
      </c>
      <c r="B348" s="16"/>
      <c r="C348" s="16"/>
      <c r="D348" s="16" t="str">
        <f>IFERROR(__xludf.DUMMYFUNCTION("""COMPUTED_VALUE"""),"Hand")</f>
        <v>Hand</v>
      </c>
      <c r="E348" s="16">
        <f>IFERROR(__xludf.DUMMYFUNCTION("""COMPUTED_VALUE"""),200.0)</f>
        <v>200</v>
      </c>
      <c r="F348" s="16" t="str">
        <f>IFERROR(__xludf.DUMMYFUNCTION("""COMPUTED_VALUE"""),"DMG: +100000, Earth DMG: +50000, Light DMG: +50000, Spirit DMG: +50000, Order DMG: +50000, Nature DMG: +50000, Celestial DMG: +50000 ++If you kill an enemy with this weapon your HP and SP will fully be restored. +-Cannot be forged +-Cannot be duplicated")</f>
        <v>DMG: +100000, Earth DMG: +50000, Light DMG: +50000, Spirit DMG: +50000, Order DMG: +50000, Nature DMG: +50000, Celestial DMG: +50000 ++If you kill an enemy with this weapon your HP and SP will fully be restored. +-Cannot be forged +-Cannot be duplicated</v>
      </c>
      <c r="G348" s="16">
        <f>IFERROR(__xludf.DUMMYFUNCTION("""COMPUTED_VALUE"""),3.196E9)</f>
        <v>3196000000</v>
      </c>
      <c r="H348" s="16"/>
      <c r="I348" s="16"/>
      <c r="J348" s="16"/>
      <c r="K348" s="16"/>
      <c r="L348" s="16"/>
      <c r="M348" s="16"/>
      <c r="N348" s="16"/>
      <c r="O348" s="16"/>
      <c r="P348" s="16"/>
      <c r="Q348" s="16"/>
      <c r="R348" s="16"/>
      <c r="S348" s="16"/>
      <c r="T348" s="16"/>
      <c r="U348" s="16"/>
      <c r="V348" s="16"/>
      <c r="W348" s="16"/>
      <c r="X348" s="16"/>
      <c r="Y348" s="16"/>
      <c r="Z348" s="16"/>
    </row>
    <row r="349">
      <c r="A349" s="16" t="str">
        <f>IFERROR(__xludf.DUMMYFUNCTION("""COMPUTED_VALUE"""),"Tear of the Dragon Pendant")</f>
        <v>Tear of the Dragon Pendant</v>
      </c>
      <c r="B349" s="16"/>
      <c r="C349" s="16"/>
      <c r="D349" s="16" t="str">
        <f>IFERROR(__xludf.DUMMYFUNCTION("""COMPUTED_VALUE"""),"Neck")</f>
        <v>Neck</v>
      </c>
      <c r="E349" s="16">
        <f>IFERROR(__xludf.DUMMYFUNCTION("""COMPUTED_VALUE"""),1.0)</f>
        <v>1</v>
      </c>
      <c r="F349" s="16" t="str">
        <f>IFERROR(__xludf.DUMMYFUNCTION("""COMPUTED_VALUE""")," ++Plus 5 or Minus 5 on your attack and percentage rolls, Users choice. +-Cannot be duplicated.")</f>
        <v> ++Plus 5 or Minus 5 on your attack and percentage rolls, Users choice. +-Cannot be duplicated.</v>
      </c>
      <c r="G349" s="16">
        <f>IFERROR(__xludf.DUMMYFUNCTION("""COMPUTED_VALUE"""),0.0)</f>
        <v>0</v>
      </c>
      <c r="H349" s="16"/>
      <c r="I349" s="16"/>
      <c r="J349" s="16"/>
      <c r="K349" s="16"/>
      <c r="L349" s="16"/>
      <c r="M349" s="16"/>
      <c r="N349" s="16"/>
      <c r="O349" s="16"/>
      <c r="P349" s="16"/>
      <c r="Q349" s="16"/>
      <c r="R349" s="16"/>
      <c r="S349" s="16"/>
      <c r="T349" s="16"/>
      <c r="U349" s="16"/>
      <c r="V349" s="16"/>
      <c r="W349" s="16"/>
      <c r="X349" s="16"/>
      <c r="Y349" s="16"/>
      <c r="Z349" s="16"/>
    </row>
    <row r="350">
      <c r="A350" s="16" t="str">
        <f>IFERROR(__xludf.DUMMYFUNCTION("""COMPUTED_VALUE"""),"Luck of the Dragon Pendant")</f>
        <v>Luck of the Dragon Pendant</v>
      </c>
      <c r="B350" s="16"/>
      <c r="C350" s="16"/>
      <c r="D350" s="16" t="str">
        <f>IFERROR(__xludf.DUMMYFUNCTION("""COMPUTED_VALUE"""),"Neck")</f>
        <v>Neck</v>
      </c>
      <c r="E350" s="16">
        <f>IFERROR(__xludf.DUMMYFUNCTION("""COMPUTED_VALUE"""),1.0)</f>
        <v>1</v>
      </c>
      <c r="F350" s="16" t="str">
        <f>IFERROR(__xludf.DUMMYFUNCTION("""COMPUTED_VALUE""")," ++Plus 5 or Minus 5 on your Loot and Fail/Succeed rolls, Users choice. +-Cannot be duplicated.")</f>
        <v> ++Plus 5 or Minus 5 on your Loot and Fail/Succeed rolls, Users choice. +-Cannot be duplicated.</v>
      </c>
      <c r="G350" s="16">
        <f>IFERROR(__xludf.DUMMYFUNCTION("""COMPUTED_VALUE"""),0.0)</f>
        <v>0</v>
      </c>
      <c r="H350" s="16"/>
      <c r="I350" s="16"/>
      <c r="J350" s="16"/>
      <c r="K350" s="16"/>
      <c r="L350" s="16"/>
      <c r="M350" s="16"/>
      <c r="N350" s="16"/>
      <c r="O350" s="16"/>
      <c r="P350" s="16"/>
      <c r="Q350" s="16"/>
      <c r="R350" s="16"/>
      <c r="S350" s="16"/>
      <c r="T350" s="16"/>
      <c r="U350" s="16"/>
      <c r="V350" s="16"/>
      <c r="W350" s="16"/>
      <c r="X350" s="16"/>
      <c r="Y350" s="16"/>
      <c r="Z350" s="16"/>
    </row>
    <row r="351">
      <c r="A351" s="16" t="str">
        <f>IFERROR(__xludf.DUMMYFUNCTION("""COMPUTED_VALUE"""),"Scale of the Dragon Pendant")</f>
        <v>Scale of the Dragon Pendant</v>
      </c>
      <c r="B351" s="16"/>
      <c r="C351" s="16"/>
      <c r="D351" s="16" t="str">
        <f>IFERROR(__xludf.DUMMYFUNCTION("""COMPUTED_VALUE"""),"Neck")</f>
        <v>Neck</v>
      </c>
      <c r="E351" s="16">
        <f>IFERROR(__xludf.DUMMYFUNCTION("""COMPUTED_VALUE"""),1.0)</f>
        <v>1</v>
      </c>
      <c r="F351" s="16" t="str">
        <f>IFERROR(__xludf.DUMMYFUNCTION("""COMPUTED_VALUE""")," ++Allows you to use a companions SP as your own if the companion is a dragon. +-Cannot be duplicated.")</f>
        <v> ++Allows you to use a companions SP as your own if the companion is a dragon. +-Cannot be duplicated.</v>
      </c>
      <c r="G351" s="16">
        <f>IFERROR(__xludf.DUMMYFUNCTION("""COMPUTED_VALUE"""),0.0)</f>
        <v>0</v>
      </c>
      <c r="H351" s="16"/>
      <c r="I351" s="16"/>
      <c r="J351" s="16"/>
      <c r="K351" s="16"/>
      <c r="L351" s="16"/>
      <c r="M351" s="16"/>
      <c r="N351" s="16"/>
      <c r="O351" s="16"/>
      <c r="P351" s="16"/>
      <c r="Q351" s="16"/>
      <c r="R351" s="16"/>
      <c r="S351" s="16"/>
      <c r="T351" s="16"/>
      <c r="U351" s="16"/>
      <c r="V351" s="16"/>
      <c r="W351" s="16"/>
      <c r="X351" s="16"/>
      <c r="Y351" s="16"/>
      <c r="Z351" s="16"/>
    </row>
    <row r="352">
      <c r="A352" s="16" t="str">
        <f>IFERROR(__xludf.DUMMYFUNCTION("""COMPUTED_VALUE"""),"Guard Pauldrons")</f>
        <v>Guard Pauldrons</v>
      </c>
      <c r="B352" s="16" t="str">
        <f>IFERROR(__xludf.DUMMYFUNCTION("""COMPUTED_VALUE"""),"Quest Item")</f>
        <v>Quest Item</v>
      </c>
      <c r="C352" s="16"/>
      <c r="D352" s="16" t="str">
        <f>IFERROR(__xludf.DUMMYFUNCTION("""COMPUTED_VALUE"""),"Shoulders")</f>
        <v>Shoulders</v>
      </c>
      <c r="E352" s="16">
        <f>IFERROR(__xludf.DUMMYFUNCTION("""COMPUTED_VALUE"""),200.0)</f>
        <v>200</v>
      </c>
      <c r="F352" s="16" t="str">
        <f>IFERROR(__xludf.DUMMYFUNCTION("""COMPUTED_VALUE"""),"DEF: +25000, Light DEF: +25000, Celestial DEF: +25000 +-Cannot be duplicated")</f>
        <v>DEF: +25000, Light DEF: +25000, Celestial DEF: +25000 +-Cannot be duplicated</v>
      </c>
      <c r="G352" s="16">
        <f>IFERROR(__xludf.DUMMYFUNCTION("""COMPUTED_VALUE"""),1.1175E8)</f>
        <v>111750000</v>
      </c>
      <c r="H352" s="16"/>
      <c r="I352" s="16"/>
      <c r="J352" s="16"/>
      <c r="K352" s="16"/>
      <c r="L352" s="16"/>
      <c r="M352" s="16"/>
      <c r="N352" s="16"/>
      <c r="O352" s="16"/>
      <c r="P352" s="16"/>
      <c r="Q352" s="16"/>
      <c r="R352" s="16"/>
      <c r="S352" s="16"/>
      <c r="T352" s="16"/>
      <c r="U352" s="16"/>
      <c r="V352" s="16"/>
      <c r="W352" s="16"/>
      <c r="X352" s="16"/>
      <c r="Y352" s="16"/>
      <c r="Z352" s="16"/>
    </row>
    <row r="353">
      <c r="A353" s="16" t="str">
        <f>IFERROR(__xludf.DUMMYFUNCTION("""COMPUTED_VALUE"""),"Guard Vambraces")</f>
        <v>Guard Vambraces</v>
      </c>
      <c r="B353" s="16" t="str">
        <f>IFERROR(__xludf.DUMMYFUNCTION("""COMPUTED_VALUE"""),"Quest Item")</f>
        <v>Quest Item</v>
      </c>
      <c r="C353" s="16"/>
      <c r="D353" s="16" t="str">
        <f>IFERROR(__xludf.DUMMYFUNCTION("""COMPUTED_VALUE"""),"Arms")</f>
        <v>Arms</v>
      </c>
      <c r="E353" s="16">
        <f>IFERROR(__xludf.DUMMYFUNCTION("""COMPUTED_VALUE"""),200.0)</f>
        <v>200</v>
      </c>
      <c r="F353" s="16" t="str">
        <f>IFERROR(__xludf.DUMMYFUNCTION("""COMPUTED_VALUE"""),"DEF: +25000, Light DEF: +25000, Celestial DEF: +25000 +-Cannot be duplicated")</f>
        <v>DEF: +25000, Light DEF: +25000, Celestial DEF: +25000 +-Cannot be duplicated</v>
      </c>
      <c r="G353" s="16">
        <f>IFERROR(__xludf.DUMMYFUNCTION("""COMPUTED_VALUE"""),1.1175E8)</f>
        <v>111750000</v>
      </c>
      <c r="H353" s="16"/>
      <c r="I353" s="16"/>
      <c r="J353" s="16"/>
      <c r="K353" s="16"/>
      <c r="L353" s="16"/>
      <c r="M353" s="16"/>
      <c r="N353" s="16"/>
      <c r="O353" s="16"/>
      <c r="P353" s="16"/>
      <c r="Q353" s="16"/>
      <c r="R353" s="16"/>
      <c r="S353" s="16"/>
      <c r="T353" s="16"/>
      <c r="U353" s="16"/>
      <c r="V353" s="16"/>
      <c r="W353" s="16"/>
      <c r="X353" s="16"/>
      <c r="Y353" s="16"/>
      <c r="Z353" s="16"/>
    </row>
    <row r="354">
      <c r="A354" s="16" t="str">
        <f>IFERROR(__xludf.DUMMYFUNCTION("""COMPUTED_VALUE"""),"Royal Guard Pauldrons")</f>
        <v>Royal Guard Pauldrons</v>
      </c>
      <c r="B354" s="16" t="str">
        <f>IFERROR(__xludf.DUMMYFUNCTION("""COMPUTED_VALUE"""),"Quest Item")</f>
        <v>Quest Item</v>
      </c>
      <c r="C354" s="16"/>
      <c r="D354" s="16" t="str">
        <f>IFERROR(__xludf.DUMMYFUNCTION("""COMPUTED_VALUE"""),"Shoulders")</f>
        <v>Shoulders</v>
      </c>
      <c r="E354" s="16">
        <f>IFERROR(__xludf.DUMMYFUNCTION("""COMPUTED_VALUE"""),200.0)</f>
        <v>200</v>
      </c>
      <c r="F354" s="16" t="str">
        <f>IFERROR(__xludf.DUMMYFUNCTION("""COMPUTED_VALUE"""),"DEF: +50000, Light DEF: +50000, Celestial DEF: +50000 +-Cannot be duplicated")</f>
        <v>DEF: +50000, Light DEF: +50000, Celestial DEF: +50000 +-Cannot be duplicated</v>
      </c>
      <c r="G354" s="16">
        <f>IFERROR(__xludf.DUMMYFUNCTION("""COMPUTED_VALUE"""),4.485E8)</f>
        <v>448500000</v>
      </c>
      <c r="H354" s="16"/>
      <c r="I354" s="16"/>
      <c r="J354" s="16"/>
      <c r="K354" s="16"/>
      <c r="L354" s="16"/>
      <c r="M354" s="16"/>
      <c r="N354" s="16"/>
      <c r="O354" s="16"/>
      <c r="P354" s="16"/>
      <c r="Q354" s="16"/>
      <c r="R354" s="16"/>
      <c r="S354" s="16"/>
      <c r="T354" s="16"/>
      <c r="U354" s="16"/>
      <c r="V354" s="16"/>
      <c r="W354" s="16"/>
      <c r="X354" s="16"/>
      <c r="Y354" s="16"/>
      <c r="Z354" s="16"/>
    </row>
    <row r="355">
      <c r="A355" s="16" t="str">
        <f>IFERROR(__xludf.DUMMYFUNCTION("""COMPUTED_VALUE"""),"Royal Guard Vambraces")</f>
        <v>Royal Guard Vambraces</v>
      </c>
      <c r="B355" s="16" t="str">
        <f>IFERROR(__xludf.DUMMYFUNCTION("""COMPUTED_VALUE"""),"Quest Item")</f>
        <v>Quest Item</v>
      </c>
      <c r="C355" s="16"/>
      <c r="D355" s="16" t="str">
        <f>IFERROR(__xludf.DUMMYFUNCTION("""COMPUTED_VALUE"""),"Arms")</f>
        <v>Arms</v>
      </c>
      <c r="E355" s="16">
        <f>IFERROR(__xludf.DUMMYFUNCTION("""COMPUTED_VALUE"""),200.0)</f>
        <v>200</v>
      </c>
      <c r="F355" s="16" t="str">
        <f>IFERROR(__xludf.DUMMYFUNCTION("""COMPUTED_VALUE"""),"DEF: +50000, Light DEF: +50000, Celestial DEF: +50000 +-Cannot be duplicated")</f>
        <v>DEF: +50000, Light DEF: +50000, Celestial DEF: +50000 +-Cannot be duplicated</v>
      </c>
      <c r="G355" s="16">
        <f>IFERROR(__xludf.DUMMYFUNCTION("""COMPUTED_VALUE"""),4.485E8)</f>
        <v>448500000</v>
      </c>
      <c r="H355" s="16"/>
      <c r="I355" s="16"/>
      <c r="J355" s="16"/>
      <c r="K355" s="16"/>
      <c r="L355" s="16"/>
      <c r="M355" s="16"/>
      <c r="N355" s="16"/>
      <c r="O355" s="16"/>
      <c r="P355" s="16"/>
      <c r="Q355" s="16"/>
      <c r="R355" s="16"/>
      <c r="S355" s="16"/>
      <c r="T355" s="16"/>
      <c r="U355" s="16"/>
      <c r="V355" s="16"/>
      <c r="W355" s="16"/>
      <c r="X355" s="16"/>
      <c r="Y355" s="16"/>
      <c r="Z355" s="16"/>
    </row>
    <row r="356">
      <c r="A356" s="16" t="str">
        <f>IFERROR(__xludf.DUMMYFUNCTION("""COMPUTED_VALUE"""),"Celestian Royal Pauldrons")</f>
        <v>Celestian Royal Pauldrons</v>
      </c>
      <c r="B356" s="16" t="str">
        <f>IFERROR(__xludf.DUMMYFUNCTION("""COMPUTED_VALUE"""),"Quest Item")</f>
        <v>Quest Item</v>
      </c>
      <c r="C356" s="16"/>
      <c r="D356" s="16" t="str">
        <f>IFERROR(__xludf.DUMMYFUNCTION("""COMPUTED_VALUE"""),"Shoulders")</f>
        <v>Shoulders</v>
      </c>
      <c r="E356" s="16">
        <f>IFERROR(__xludf.DUMMYFUNCTION("""COMPUTED_VALUE"""),200.0)</f>
        <v>200</v>
      </c>
      <c r="F356" s="16" t="str">
        <f>IFERROR(__xludf.DUMMYFUNCTION("""COMPUTED_VALUE"""),"DEF: +100000, Light DEF: +100000, Dark DEF: +100000, Celestial DEF: +100000 ++X2 Celestial Damage. +-Cannot be duplicated.")</f>
        <v>DEF: +100000, Light DEF: +100000, Dark DEF: +100000, Celestial DEF: +100000 ++X2 Celestial Damage. +-Cannot be duplicated.</v>
      </c>
      <c r="G356" s="16">
        <f>IFERROR(__xludf.DUMMYFUNCTION("""COMPUTED_VALUE"""),3.196E9)</f>
        <v>3196000000</v>
      </c>
      <c r="H356" s="16"/>
      <c r="I356" s="16"/>
      <c r="J356" s="16"/>
      <c r="K356" s="16"/>
      <c r="L356" s="16"/>
      <c r="M356" s="16"/>
      <c r="N356" s="16"/>
      <c r="O356" s="16"/>
      <c r="P356" s="16"/>
      <c r="Q356" s="16"/>
      <c r="R356" s="16"/>
      <c r="S356" s="16"/>
      <c r="T356" s="16"/>
      <c r="U356" s="16"/>
      <c r="V356" s="16"/>
      <c r="W356" s="16"/>
      <c r="X356" s="16"/>
      <c r="Y356" s="16"/>
      <c r="Z356" s="16"/>
    </row>
    <row r="357">
      <c r="A357" s="16" t="str">
        <f>IFERROR(__xludf.DUMMYFUNCTION("""COMPUTED_VALUE"""),"Celestian Royal Vambraces")</f>
        <v>Celestian Royal Vambraces</v>
      </c>
      <c r="B357" s="16" t="str">
        <f>IFERROR(__xludf.DUMMYFUNCTION("""COMPUTED_VALUE"""),"Quest Item")</f>
        <v>Quest Item</v>
      </c>
      <c r="C357" s="16"/>
      <c r="D357" s="16" t="str">
        <f>IFERROR(__xludf.DUMMYFUNCTION("""COMPUTED_VALUE"""),"Arms")</f>
        <v>Arms</v>
      </c>
      <c r="E357" s="16">
        <f>IFERROR(__xludf.DUMMYFUNCTION("""COMPUTED_VALUE"""),200.0)</f>
        <v>200</v>
      </c>
      <c r="F357" s="16" t="str">
        <f>IFERROR(__xludf.DUMMYFUNCTION("""COMPUTED_VALUE"""),"DEF: +100000, Light DEF: +100000, Dark DEF: +100000, Celestial DEF: +100000 ++X2 Celestial Damage. +-Cannot be duplicated.")</f>
        <v>DEF: +100000, Light DEF: +100000, Dark DEF: +100000, Celestial DEF: +100000 ++X2 Celestial Damage. +-Cannot be duplicated.</v>
      </c>
      <c r="G357" s="16">
        <f>IFERROR(__xludf.DUMMYFUNCTION("""COMPUTED_VALUE"""),3.196E9)</f>
        <v>3196000000</v>
      </c>
      <c r="H357" s="16"/>
      <c r="I357" s="16"/>
      <c r="J357" s="16"/>
      <c r="K357" s="16"/>
      <c r="L357" s="16"/>
      <c r="M357" s="16"/>
      <c r="N357" s="16"/>
      <c r="O357" s="16"/>
      <c r="P357" s="16"/>
      <c r="Q357" s="16"/>
      <c r="R357" s="16"/>
      <c r="S357" s="16"/>
      <c r="T357" s="16"/>
      <c r="U357" s="16"/>
      <c r="V357" s="16"/>
      <c r="W357" s="16"/>
      <c r="X357" s="16"/>
      <c r="Y357" s="16"/>
      <c r="Z357" s="16"/>
    </row>
    <row r="358">
      <c r="A358" s="16" t="str">
        <f>IFERROR(__xludf.DUMMYFUNCTION("""COMPUTED_VALUE"""),"Royal Guard Shield")</f>
        <v>Royal Guard Shield</v>
      </c>
      <c r="B358" s="16" t="str">
        <f>IFERROR(__xludf.DUMMYFUNCTION("""COMPUTED_VALUE"""),"Quest Item")</f>
        <v>Quest Item</v>
      </c>
      <c r="C358" s="16" t="str">
        <f>IFERROR(__xludf.DUMMYFUNCTION("""COMPUTED_VALUE"""),"Towershield")</f>
        <v>Towershield</v>
      </c>
      <c r="D358" s="16" t="str">
        <f>IFERROR(__xludf.DUMMYFUNCTION("""COMPUTED_VALUE"""),"Hand")</f>
        <v>Hand</v>
      </c>
      <c r="E358" s="16">
        <f>IFERROR(__xludf.DUMMYFUNCTION("""COMPUTED_VALUE"""),200.0)</f>
        <v>200</v>
      </c>
      <c r="F358" s="16" t="str">
        <f>IFERROR(__xludf.DUMMYFUNCTION("""COMPUTED_VALUE"""),"DEF: +50000, Light DEF: +50000, Dark DEF: +50000, Celestial DEF: +50000 ++X2 Celestial Defense. +-Cannot be duplicated.")</f>
        <v>DEF: +50000, Light DEF: +50000, Dark DEF: +50000, Celestial DEF: +50000 ++X2 Celestial Defense. +-Cannot be duplicated.</v>
      </c>
      <c r="G358" s="16">
        <f>IFERROR(__xludf.DUMMYFUNCTION("""COMPUTED_VALUE"""),7.98E8)</f>
        <v>798000000</v>
      </c>
      <c r="H358" s="16"/>
      <c r="I358" s="16"/>
      <c r="J358" s="16"/>
      <c r="K358" s="16"/>
      <c r="L358" s="16"/>
      <c r="M358" s="16"/>
      <c r="N358" s="16"/>
      <c r="O358" s="16"/>
      <c r="P358" s="16"/>
      <c r="Q358" s="16"/>
      <c r="R358" s="16"/>
      <c r="S358" s="16"/>
      <c r="T358" s="16"/>
      <c r="U358" s="16"/>
      <c r="V358" s="16"/>
      <c r="W358" s="16"/>
      <c r="X358" s="16"/>
      <c r="Y358" s="16"/>
      <c r="Z358" s="16"/>
    </row>
    <row r="359">
      <c r="A359" s="16" t="str">
        <f>IFERROR(__xludf.DUMMYFUNCTION("""COMPUTED_VALUE"""),"Guard Leggings")</f>
        <v>Guard Leggings</v>
      </c>
      <c r="B359" s="16" t="str">
        <f>IFERROR(__xludf.DUMMYFUNCTION("""COMPUTED_VALUE"""),"Quest Item")</f>
        <v>Quest Item</v>
      </c>
      <c r="C359" s="16"/>
      <c r="D359" s="16" t="str">
        <f>IFERROR(__xludf.DUMMYFUNCTION("""COMPUTED_VALUE"""),"Legs")</f>
        <v>Legs</v>
      </c>
      <c r="E359" s="16">
        <f>IFERROR(__xludf.DUMMYFUNCTION("""COMPUTED_VALUE"""),200.0)</f>
        <v>200</v>
      </c>
      <c r="F359" s="16" t="str">
        <f>IFERROR(__xludf.DUMMYFUNCTION("""COMPUTED_VALUE"""),"DEF: +25000, Light DEF: +25000, Celestial DEF: +25000 +-Cannot be duplicated")</f>
        <v>DEF: +25000, Light DEF: +25000, Celestial DEF: +25000 +-Cannot be duplicated</v>
      </c>
      <c r="G359" s="16">
        <f>IFERROR(__xludf.DUMMYFUNCTION("""COMPUTED_VALUE"""),1.1175E8)</f>
        <v>111750000</v>
      </c>
      <c r="H359" s="16"/>
      <c r="I359" s="16"/>
      <c r="J359" s="16"/>
      <c r="K359" s="16"/>
      <c r="L359" s="16"/>
      <c r="M359" s="16"/>
      <c r="N359" s="16"/>
      <c r="O359" s="16"/>
      <c r="P359" s="16"/>
      <c r="Q359" s="16"/>
      <c r="R359" s="16"/>
      <c r="S359" s="16"/>
      <c r="T359" s="16"/>
      <c r="U359" s="16"/>
      <c r="V359" s="16"/>
      <c r="W359" s="16"/>
      <c r="X359" s="16"/>
      <c r="Y359" s="16"/>
      <c r="Z359" s="16"/>
    </row>
    <row r="360">
      <c r="A360" s="16" t="str">
        <f>IFERROR(__xludf.DUMMYFUNCTION("""COMPUTED_VALUE"""),"Guard Boots")</f>
        <v>Guard Boots</v>
      </c>
      <c r="B360" s="16" t="str">
        <f>IFERROR(__xludf.DUMMYFUNCTION("""COMPUTED_VALUE"""),"Quest Item")</f>
        <v>Quest Item</v>
      </c>
      <c r="C360" s="16"/>
      <c r="D360" s="16" t="str">
        <f>IFERROR(__xludf.DUMMYFUNCTION("""COMPUTED_VALUE"""),"Feet")</f>
        <v>Feet</v>
      </c>
      <c r="E360" s="16">
        <f>IFERROR(__xludf.DUMMYFUNCTION("""COMPUTED_VALUE"""),200.0)</f>
        <v>200</v>
      </c>
      <c r="F360" s="16" t="str">
        <f>IFERROR(__xludf.DUMMYFUNCTION("""COMPUTED_VALUE"""),"DEF: +25000, Light DEF: +25000, Celestial DEF: +25000 +-Cannot be duplicated")</f>
        <v>DEF: +25000, Light DEF: +25000, Celestial DEF: +25000 +-Cannot be duplicated</v>
      </c>
      <c r="G360" s="16">
        <f>IFERROR(__xludf.DUMMYFUNCTION("""COMPUTED_VALUE"""),1.1175E8)</f>
        <v>111750000</v>
      </c>
      <c r="H360" s="16"/>
      <c r="I360" s="16"/>
      <c r="J360" s="16"/>
      <c r="K360" s="16"/>
      <c r="L360" s="16"/>
      <c r="M360" s="16"/>
      <c r="N360" s="16"/>
      <c r="O360" s="16"/>
      <c r="P360" s="16"/>
      <c r="Q360" s="16"/>
      <c r="R360" s="16"/>
      <c r="S360" s="16"/>
      <c r="T360" s="16"/>
      <c r="U360" s="16"/>
      <c r="V360" s="16"/>
      <c r="W360" s="16"/>
      <c r="X360" s="16"/>
      <c r="Y360" s="16"/>
      <c r="Z360" s="16"/>
    </row>
    <row r="361">
      <c r="A361" s="16" t="str">
        <f>IFERROR(__xludf.DUMMYFUNCTION("""COMPUTED_VALUE"""),"Celestian Royal Boots")</f>
        <v>Celestian Royal Boots</v>
      </c>
      <c r="B361" s="16" t="str">
        <f>IFERROR(__xludf.DUMMYFUNCTION("""COMPUTED_VALUE"""),"Quest Item")</f>
        <v>Quest Item</v>
      </c>
      <c r="C361" s="16"/>
      <c r="D361" s="16" t="str">
        <f>IFERROR(__xludf.DUMMYFUNCTION("""COMPUTED_VALUE"""),"Feet")</f>
        <v>Feet</v>
      </c>
      <c r="E361" s="16">
        <f>IFERROR(__xludf.DUMMYFUNCTION("""COMPUTED_VALUE"""),200.0)</f>
        <v>200</v>
      </c>
      <c r="F361" s="16" t="str">
        <f>IFERROR(__xludf.DUMMYFUNCTION("""COMPUTED_VALUE"""),"DEF: +100000, Light DEF: +100000, Dark DEF: +100000, Celestial DEF: +100000 ++X6 Celestial Damage. +-Cannot be duplicated.")</f>
        <v>DEF: +100000, Light DEF: +100000, Dark DEF: +100000, Celestial DEF: +100000 ++X6 Celestial Damage. +-Cannot be duplicated.</v>
      </c>
      <c r="G361" s="16">
        <f>IFERROR(__xludf.DUMMYFUNCTION("""COMPUTED_VALUE"""),3.196E9)</f>
        <v>3196000000</v>
      </c>
      <c r="H361" s="16"/>
      <c r="I361" s="16"/>
      <c r="J361" s="16"/>
      <c r="K361" s="16"/>
      <c r="L361" s="16"/>
      <c r="M361" s="16"/>
      <c r="N361" s="16"/>
      <c r="O361" s="16"/>
      <c r="P361" s="16"/>
      <c r="Q361" s="16"/>
      <c r="R361" s="16"/>
      <c r="S361" s="16"/>
      <c r="T361" s="16"/>
      <c r="U361" s="16"/>
      <c r="V361" s="16"/>
      <c r="W361" s="16"/>
      <c r="X361" s="16"/>
      <c r="Y361" s="16"/>
      <c r="Z361" s="16"/>
    </row>
    <row r="362">
      <c r="A362" s="16" t="str">
        <f>IFERROR(__xludf.DUMMYFUNCTION("""COMPUTED_VALUE"""),"Celestian Royal Leggings")</f>
        <v>Celestian Royal Leggings</v>
      </c>
      <c r="B362" s="16" t="str">
        <f>IFERROR(__xludf.DUMMYFUNCTION("""COMPUTED_VALUE"""),"Quest Item")</f>
        <v>Quest Item</v>
      </c>
      <c r="C362" s="16"/>
      <c r="D362" s="16" t="str">
        <f>IFERROR(__xludf.DUMMYFUNCTION("""COMPUTED_VALUE"""),"Legs")</f>
        <v>Legs</v>
      </c>
      <c r="E362" s="16">
        <f>IFERROR(__xludf.DUMMYFUNCTION("""COMPUTED_VALUE"""),200.0)</f>
        <v>200</v>
      </c>
      <c r="F362" s="16" t="str">
        <f>IFERROR(__xludf.DUMMYFUNCTION("""COMPUTED_VALUE"""),"DEF: +100000, Light DEF: +100000, Dark DEF: +100000, Celestial DEF: +100000 ++X6 Celestial Damage. +-Cannot be duplicated.")</f>
        <v>DEF: +100000, Light DEF: +100000, Dark DEF: +100000, Celestial DEF: +100000 ++X6 Celestial Damage. +-Cannot be duplicated.</v>
      </c>
      <c r="G362" s="16">
        <f>IFERROR(__xludf.DUMMYFUNCTION("""COMPUTED_VALUE"""),3.196E9)</f>
        <v>3196000000</v>
      </c>
      <c r="H362" s="16"/>
      <c r="I362" s="16"/>
      <c r="J362" s="16"/>
      <c r="K362" s="16"/>
      <c r="L362" s="16"/>
      <c r="M362" s="16"/>
      <c r="N362" s="16"/>
      <c r="O362" s="16"/>
      <c r="P362" s="16"/>
      <c r="Q362" s="16"/>
      <c r="R362" s="16"/>
      <c r="S362" s="16"/>
      <c r="T362" s="16"/>
      <c r="U362" s="16"/>
      <c r="V362" s="16"/>
      <c r="W362" s="16"/>
      <c r="X362" s="16"/>
      <c r="Y362" s="16"/>
      <c r="Z362" s="16"/>
    </row>
    <row r="363">
      <c r="A363" s="16" t="str">
        <f>IFERROR(__xludf.DUMMYFUNCTION("""COMPUTED_VALUE"""),"Celestian Royal Helmet")</f>
        <v>Celestian Royal Helmet</v>
      </c>
      <c r="B363" s="16" t="str">
        <f>IFERROR(__xludf.DUMMYFUNCTION("""COMPUTED_VALUE"""),"Quest Item")</f>
        <v>Quest Item</v>
      </c>
      <c r="C363" s="16"/>
      <c r="D363" s="16" t="str">
        <f>IFERROR(__xludf.DUMMYFUNCTION("""COMPUTED_VALUE"""),"Head")</f>
        <v>Head</v>
      </c>
      <c r="E363" s="16">
        <f>IFERROR(__xludf.DUMMYFUNCTION("""COMPUTED_VALUE"""),200.0)</f>
        <v>200</v>
      </c>
      <c r="F363" s="16" t="str">
        <f>IFERROR(__xludf.DUMMYFUNCTION("""COMPUTED_VALUE"""),"DEF: +100000, Light DEF: +100000, Dark DEF: +100000, Celestial DEF: +100000 ++X6 Celestial Damage. +-Cannot be duplicated.")</f>
        <v>DEF: +100000, Light DEF: +100000, Dark DEF: +100000, Celestial DEF: +100000 ++X6 Celestial Damage. +-Cannot be duplicated.</v>
      </c>
      <c r="G363" s="16">
        <f>IFERROR(__xludf.DUMMYFUNCTION("""COMPUTED_VALUE"""),3.196E9)</f>
        <v>3196000000</v>
      </c>
      <c r="H363" s="16"/>
      <c r="I363" s="16"/>
      <c r="J363" s="16"/>
      <c r="K363" s="16"/>
      <c r="L363" s="16"/>
      <c r="M363" s="16"/>
      <c r="N363" s="16"/>
      <c r="O363" s="16"/>
      <c r="P363" s="16"/>
      <c r="Q363" s="16"/>
      <c r="R363" s="16"/>
      <c r="S363" s="16"/>
      <c r="T363" s="16"/>
      <c r="U363" s="16"/>
      <c r="V363" s="16"/>
      <c r="W363" s="16"/>
      <c r="X363" s="16"/>
      <c r="Y363" s="16"/>
      <c r="Z363" s="16"/>
    </row>
    <row r="364">
      <c r="A364" s="16" t="str">
        <f>IFERROR(__xludf.DUMMYFUNCTION("""COMPUTED_VALUE"""),"Celestian Royal Chestplate")</f>
        <v>Celestian Royal Chestplate</v>
      </c>
      <c r="B364" s="16" t="str">
        <f>IFERROR(__xludf.DUMMYFUNCTION("""COMPUTED_VALUE"""),"Quest Item")</f>
        <v>Quest Item</v>
      </c>
      <c r="C364" s="16"/>
      <c r="D364" s="16" t="str">
        <f>IFERROR(__xludf.DUMMYFUNCTION("""COMPUTED_VALUE"""),"Torso")</f>
        <v>Torso</v>
      </c>
      <c r="E364" s="16">
        <f>IFERROR(__xludf.DUMMYFUNCTION("""COMPUTED_VALUE"""),200.0)</f>
        <v>200</v>
      </c>
      <c r="F364" s="16" t="str">
        <f>IFERROR(__xludf.DUMMYFUNCTION("""COMPUTED_VALUE"""),"DEF: +100000, Light DEF: +100000, Dark DEF: +100000, Celestial DEF: +100000 ++X6 Celestial Damage. +-Cannot be duplicated.")</f>
        <v>DEF: +100000, Light DEF: +100000, Dark DEF: +100000, Celestial DEF: +100000 ++X6 Celestial Damage. +-Cannot be duplicated.</v>
      </c>
      <c r="G364" s="16">
        <f>IFERROR(__xludf.DUMMYFUNCTION("""COMPUTED_VALUE"""),3.196E9)</f>
        <v>3196000000</v>
      </c>
      <c r="H364" s="16"/>
      <c r="I364" s="16"/>
      <c r="J364" s="16"/>
      <c r="K364" s="16"/>
      <c r="L364" s="16"/>
      <c r="M364" s="16"/>
      <c r="N364" s="16"/>
      <c r="O364" s="16"/>
      <c r="P364" s="16"/>
      <c r="Q364" s="16"/>
      <c r="R364" s="16"/>
      <c r="S364" s="16"/>
      <c r="T364" s="16"/>
      <c r="U364" s="16"/>
      <c r="V364" s="16"/>
      <c r="W364" s="16"/>
      <c r="X364" s="16"/>
      <c r="Y364" s="16"/>
      <c r="Z364" s="16"/>
    </row>
    <row r="365">
      <c r="A365" s="16" t="str">
        <f>IFERROR(__xludf.DUMMYFUNCTION("""COMPUTED_VALUE"""),"Guard Chestplate")</f>
        <v>Guard Chestplate</v>
      </c>
      <c r="B365" s="16" t="str">
        <f>IFERROR(__xludf.DUMMYFUNCTION("""COMPUTED_VALUE"""),"Quest Item")</f>
        <v>Quest Item</v>
      </c>
      <c r="C365" s="16"/>
      <c r="D365" s="16" t="str">
        <f>IFERROR(__xludf.DUMMYFUNCTION("""COMPUTED_VALUE"""),"Torso")</f>
        <v>Torso</v>
      </c>
      <c r="E365" s="16">
        <f>IFERROR(__xludf.DUMMYFUNCTION("""COMPUTED_VALUE"""),200.0)</f>
        <v>200</v>
      </c>
      <c r="F365" s="16" t="str">
        <f>IFERROR(__xludf.DUMMYFUNCTION("""COMPUTED_VALUE"""),"DEF: +25000, Light DEF: +25000, Celestial DEF: +25000 +-Cannot be duplicated.")</f>
        <v>DEF: +25000, Light DEF: +25000, Celestial DEF: +25000 +-Cannot be duplicated.</v>
      </c>
      <c r="G365" s="16">
        <f>IFERROR(__xludf.DUMMYFUNCTION("""COMPUTED_VALUE"""),1.1175E8)</f>
        <v>111750000</v>
      </c>
      <c r="H365" s="16"/>
      <c r="I365" s="16"/>
      <c r="J365" s="16"/>
      <c r="K365" s="16"/>
      <c r="L365" s="16"/>
      <c r="M365" s="16"/>
      <c r="N365" s="16"/>
      <c r="O365" s="16"/>
      <c r="P365" s="16"/>
      <c r="Q365" s="16"/>
      <c r="R365" s="16"/>
      <c r="S365" s="16"/>
      <c r="T365" s="16"/>
      <c r="U365" s="16"/>
      <c r="V365" s="16"/>
      <c r="W365" s="16"/>
      <c r="X365" s="16"/>
      <c r="Y365" s="16"/>
      <c r="Z365" s="16"/>
    </row>
    <row r="366">
      <c r="A366" s="16" t="str">
        <f>IFERROR(__xludf.DUMMYFUNCTION("""COMPUTED_VALUE"""),"Revolver")</f>
        <v>Revolver</v>
      </c>
      <c r="B366" s="16"/>
      <c r="C366" s="16" t="str">
        <f>IFERROR(__xludf.DUMMYFUNCTION("""COMPUTED_VALUE"""),"Firearm")</f>
        <v>Firearm</v>
      </c>
      <c r="D366" s="16" t="str">
        <f>IFERROR(__xludf.DUMMYFUNCTION("""COMPUTED_VALUE"""),"Hand")</f>
        <v>Hand</v>
      </c>
      <c r="E366" s="16">
        <f>IFERROR(__xludf.DUMMYFUNCTION("""COMPUTED_VALUE"""),200.0)</f>
        <v>200</v>
      </c>
      <c r="F366" s="16" t="str">
        <f>IFERROR(__xludf.DUMMYFUNCTION("""COMPUTED_VALUE"""),"DMG: +5000, Blood DMG: +5000")</f>
        <v>DMG: +5000, Blood DMG: +5000</v>
      </c>
      <c r="G366" s="16">
        <f>IFERROR(__xludf.DUMMYFUNCTION("""COMPUTED_VALUE"""),1900000.0)</f>
        <v>1900000</v>
      </c>
      <c r="H366" s="16"/>
      <c r="I366" s="16"/>
      <c r="J366" s="16"/>
      <c r="K366" s="16"/>
      <c r="L366" s="16"/>
      <c r="M366" s="16"/>
      <c r="N366" s="16"/>
      <c r="O366" s="16"/>
      <c r="P366" s="16"/>
      <c r="Q366" s="16"/>
      <c r="R366" s="16"/>
      <c r="S366" s="16"/>
      <c r="T366" s="16"/>
      <c r="U366" s="16"/>
      <c r="V366" s="16"/>
      <c r="W366" s="16"/>
      <c r="X366" s="16"/>
      <c r="Y366" s="16"/>
      <c r="Z366" s="16"/>
    </row>
    <row r="367">
      <c r="A367" s="16" t="str">
        <f>IFERROR(__xludf.DUMMYFUNCTION("""COMPUTED_VALUE"""),"Musket")</f>
        <v>Musket</v>
      </c>
      <c r="B367" s="16"/>
      <c r="C367" s="16" t="str">
        <f>IFERROR(__xludf.DUMMYFUNCTION("""COMPUTED_VALUE"""),"Firearm")</f>
        <v>Firearm</v>
      </c>
      <c r="D367" s="16" t="str">
        <f>IFERROR(__xludf.DUMMYFUNCTION("""COMPUTED_VALUE"""),"Hand")</f>
        <v>Hand</v>
      </c>
      <c r="E367" s="16">
        <f>IFERROR(__xludf.DUMMYFUNCTION("""COMPUTED_VALUE"""),400.0)</f>
        <v>400</v>
      </c>
      <c r="F367" s="16" t="str">
        <f>IFERROR(__xludf.DUMMYFUNCTION("""COMPUTED_VALUE"""),"DMG: +10000, Blood DMG: +10000")</f>
        <v>DMG: +10000, Blood DMG: +10000</v>
      </c>
      <c r="G367" s="16">
        <f>IFERROR(__xludf.DUMMYFUNCTION("""COMPUTED_VALUE"""),7800000.0)</f>
        <v>7800000</v>
      </c>
      <c r="H367" s="16"/>
      <c r="I367" s="16"/>
      <c r="J367" s="16"/>
      <c r="K367" s="16"/>
      <c r="L367" s="16"/>
      <c r="M367" s="16"/>
      <c r="N367" s="16"/>
      <c r="O367" s="16"/>
      <c r="P367" s="16"/>
      <c r="Q367" s="16"/>
      <c r="R367" s="16"/>
      <c r="S367" s="16"/>
      <c r="T367" s="16"/>
      <c r="U367" s="16"/>
      <c r="V367" s="16"/>
      <c r="W367" s="16"/>
      <c r="X367" s="16"/>
      <c r="Y367" s="16"/>
      <c r="Z367" s="16"/>
    </row>
    <row r="368">
      <c r="A368" s="16" t="str">
        <f>IFERROR(__xludf.DUMMYFUNCTION("""COMPUTED_VALUE"""),"Lazer Infused Railgun")</f>
        <v>Lazer Infused Railgun</v>
      </c>
      <c r="B368" s="16"/>
      <c r="C368" s="16" t="str">
        <f>IFERROR(__xludf.DUMMYFUNCTION("""COMPUTED_VALUE"""),"Firearm")</f>
        <v>Firearm</v>
      </c>
      <c r="D368" s="16" t="str">
        <f>IFERROR(__xludf.DUMMYFUNCTION("""COMPUTED_VALUE"""),"Hand")</f>
        <v>Hand</v>
      </c>
      <c r="E368" s="16">
        <f>IFERROR(__xludf.DUMMYFUNCTION("""COMPUTED_VALUE"""),1600.0)</f>
        <v>1600</v>
      </c>
      <c r="F368" s="16" t="str">
        <f>IFERROR(__xludf.DUMMYFUNCTION("""COMPUTED_VALUE"""),"DMG: +40000, Blood DMG: +40000 ++Damages all enemies, Cannot Avoid. ++Ignores defense, ++Does not need ammunition. +-Cannot be forged. ")</f>
        <v>DMG: +40000, Blood DMG: +40000 ++Damages all enemies, Cannot Avoid. ++Ignores defense, ++Does not need ammunition. +-Cannot be forged. </v>
      </c>
      <c r="G368" s="16">
        <f>IFERROR(__xludf.DUMMYFUNCTION("""COMPUTED_VALUE"""),1.272E8)</f>
        <v>127200000</v>
      </c>
      <c r="H368" s="16"/>
      <c r="I368" s="16"/>
      <c r="J368" s="16"/>
      <c r="K368" s="16"/>
      <c r="L368" s="16"/>
      <c r="M368" s="16"/>
      <c r="N368" s="16"/>
      <c r="O368" s="16"/>
      <c r="P368" s="16"/>
      <c r="Q368" s="16"/>
      <c r="R368" s="16"/>
      <c r="S368" s="16"/>
      <c r="T368" s="16"/>
      <c r="U368" s="16"/>
      <c r="V368" s="16"/>
      <c r="W368" s="16"/>
      <c r="X368" s="16"/>
      <c r="Y368" s="16"/>
      <c r="Z368" s="16"/>
    </row>
    <row r="369">
      <c r="A369" s="16" t="str">
        <f>IFERROR(__xludf.DUMMYFUNCTION("""COMPUTED_VALUE"""),"Minigun")</f>
        <v>Minigun</v>
      </c>
      <c r="B369" s="16"/>
      <c r="C369" s="16" t="str">
        <f>IFERROR(__xludf.DUMMYFUNCTION("""COMPUTED_VALUE"""),"Firearm")</f>
        <v>Firearm</v>
      </c>
      <c r="D369" s="16" t="str">
        <f>IFERROR(__xludf.DUMMYFUNCTION("""COMPUTED_VALUE"""),"Hand")</f>
        <v>Hand</v>
      </c>
      <c r="E369" s="16">
        <f>IFERROR(__xludf.DUMMYFUNCTION("""COMPUTED_VALUE"""),1200.0)</f>
        <v>1200</v>
      </c>
      <c r="F369" s="16" t="str">
        <f>IFERROR(__xludf.DUMMYFUNCTION("""COMPUTED_VALUE"""),"DMG: +30000, Blood DMG: +30000 ++Damages all enemies, Cannot Avoid, Roll a d100 the turn you use this weapon to see how many bullets it shoots.")</f>
        <v>DMG: +30000, Blood DMG: +30000 ++Damages all enemies, Cannot Avoid, Roll a d100 the turn you use this weapon to see how many bullets it shoots.</v>
      </c>
      <c r="G369" s="16">
        <f>IFERROR(__xludf.DUMMYFUNCTION("""COMPUTED_VALUE"""),7.14E7)</f>
        <v>71400000</v>
      </c>
      <c r="H369" s="16"/>
      <c r="I369" s="16"/>
      <c r="J369" s="16"/>
      <c r="K369" s="16"/>
      <c r="L369" s="16"/>
      <c r="M369" s="16"/>
      <c r="N369" s="16"/>
      <c r="O369" s="16"/>
      <c r="P369" s="16"/>
      <c r="Q369" s="16"/>
      <c r="R369" s="16"/>
      <c r="S369" s="16"/>
      <c r="T369" s="16"/>
      <c r="U369" s="16"/>
      <c r="V369" s="16"/>
      <c r="W369" s="16"/>
      <c r="X369" s="16"/>
      <c r="Y369" s="16"/>
      <c r="Z369" s="16"/>
    </row>
    <row r="370">
      <c r="A370" s="16" t="str">
        <f>IFERROR(__xludf.DUMMYFUNCTION("""COMPUTED_VALUE"""),"Seahorse’s Ring")</f>
        <v>Seahorse’s Ring</v>
      </c>
      <c r="B370" s="16"/>
      <c r="C370" s="16"/>
      <c r="D370" s="16" t="str">
        <f>IFERROR(__xludf.DUMMYFUNCTION("""COMPUTED_VALUE"""),"Ring")</f>
        <v>Ring</v>
      </c>
      <c r="E370" s="16">
        <f>IFERROR(__xludf.DUMMYFUNCTION("""COMPUTED_VALUE"""),20.0)</f>
        <v>20</v>
      </c>
      <c r="F370" s="16" t="str">
        <f>IFERROR(__xludf.DUMMYFUNCTION("""COMPUTED_VALUE"""),", Nature : +1000 ++When fishing you have a 5% chance to encounter a rare seahorse, and he will give you a unique item (Chosen by a DM/GM)")</f>
        <v>, Nature : +1000 ++When fishing you have a 5% chance to encounter a rare seahorse, and he will give you a unique item (Chosen by a DM/GM)</v>
      </c>
      <c r="G370" s="16">
        <f>IFERROR(__xludf.DUMMYFUNCTION("""COMPUTED_VALUE"""),10000.0)</f>
        <v>10000</v>
      </c>
      <c r="H370" s="16"/>
      <c r="I370" s="16"/>
      <c r="J370" s="16"/>
      <c r="K370" s="16"/>
      <c r="L370" s="16"/>
      <c r="M370" s="16"/>
      <c r="N370" s="16"/>
      <c r="O370" s="16"/>
      <c r="P370" s="16"/>
      <c r="Q370" s="16"/>
      <c r="R370" s="16"/>
      <c r="S370" s="16"/>
      <c r="T370" s="16"/>
      <c r="U370" s="16"/>
      <c r="V370" s="16"/>
      <c r="W370" s="16"/>
      <c r="X370" s="16"/>
      <c r="Y370" s="16"/>
      <c r="Z370" s="16"/>
    </row>
    <row r="371">
      <c r="A371" s="16" t="str">
        <f>IFERROR(__xludf.DUMMYFUNCTION("""COMPUTED_VALUE"""),"Bamboo Vambraces")</f>
        <v>Bamboo Vambraces</v>
      </c>
      <c r="B371" s="16"/>
      <c r="C371" s="16"/>
      <c r="D371" s="16" t="str">
        <f>IFERROR(__xludf.DUMMYFUNCTION("""COMPUTED_VALUE"""),"Arms")</f>
        <v>Arms</v>
      </c>
      <c r="E371" s="16">
        <f>IFERROR(__xludf.DUMMYFUNCTION("""COMPUTED_VALUE"""),40.0)</f>
        <v>40</v>
      </c>
      <c r="F371" s="16" t="str">
        <f>IFERROR(__xludf.DUMMYFUNCTION("""COMPUTED_VALUE"""),"DEF: +1000, Nature DEF: +1000")</f>
        <v>DEF: +1000, Nature DEF: +1000</v>
      </c>
      <c r="G371" s="16">
        <f>IFERROR(__xludf.DUMMYFUNCTION("""COMPUTED_VALUE"""),60000.0)</f>
        <v>60000</v>
      </c>
      <c r="H371" s="16"/>
      <c r="I371" s="16"/>
      <c r="J371" s="16"/>
      <c r="K371" s="16"/>
      <c r="L371" s="16"/>
      <c r="M371" s="16"/>
      <c r="N371" s="16"/>
      <c r="O371" s="16"/>
      <c r="P371" s="16"/>
      <c r="Q371" s="16"/>
      <c r="R371" s="16"/>
      <c r="S371" s="16"/>
      <c r="T371" s="16"/>
      <c r="U371" s="16"/>
      <c r="V371" s="16"/>
      <c r="W371" s="16"/>
      <c r="X371" s="16"/>
      <c r="Y371" s="16"/>
      <c r="Z371" s="16"/>
    </row>
    <row r="372">
      <c r="A372" s="16" t="str">
        <f>IFERROR(__xludf.DUMMYFUNCTION("""COMPUTED_VALUE"""),"Bamboo Pauldrons")</f>
        <v>Bamboo Pauldrons</v>
      </c>
      <c r="B372" s="16"/>
      <c r="C372" s="16"/>
      <c r="D372" s="16" t="str">
        <f>IFERROR(__xludf.DUMMYFUNCTION("""COMPUTED_VALUE"""),"Shoulders")</f>
        <v>Shoulders</v>
      </c>
      <c r="E372" s="16">
        <f>IFERROR(__xludf.DUMMYFUNCTION("""COMPUTED_VALUE"""),40.0)</f>
        <v>40</v>
      </c>
      <c r="F372" s="16" t="str">
        <f>IFERROR(__xludf.DUMMYFUNCTION("""COMPUTED_VALUE"""),"DEF: +1000, Nature DEF: +1000")</f>
        <v>DEF: +1000, Nature DEF: +1000</v>
      </c>
      <c r="G372" s="16">
        <f>IFERROR(__xludf.DUMMYFUNCTION("""COMPUTED_VALUE"""),60000.0)</f>
        <v>60000</v>
      </c>
      <c r="H372" s="16"/>
      <c r="I372" s="16"/>
      <c r="J372" s="16"/>
      <c r="K372" s="16"/>
      <c r="L372" s="16"/>
      <c r="M372" s="16"/>
      <c r="N372" s="16"/>
      <c r="O372" s="16"/>
      <c r="P372" s="16"/>
      <c r="Q372" s="16"/>
      <c r="R372" s="16"/>
      <c r="S372" s="16"/>
      <c r="T372" s="16"/>
      <c r="U372" s="16"/>
      <c r="V372" s="16"/>
      <c r="W372" s="16"/>
      <c r="X372" s="16"/>
      <c r="Y372" s="16"/>
      <c r="Z372" s="16"/>
    </row>
    <row r="373">
      <c r="A373" s="16" t="str">
        <f>IFERROR(__xludf.DUMMYFUNCTION("""COMPUTED_VALUE"""),"Bamboo Chestplate")</f>
        <v>Bamboo Chestplate</v>
      </c>
      <c r="B373" s="16"/>
      <c r="C373" s="16"/>
      <c r="D373" s="16" t="str">
        <f>IFERROR(__xludf.DUMMYFUNCTION("""COMPUTED_VALUE"""),"Torso")</f>
        <v>Torso</v>
      </c>
      <c r="E373" s="16">
        <f>IFERROR(__xludf.DUMMYFUNCTION("""COMPUTED_VALUE"""),40.0)</f>
        <v>40</v>
      </c>
      <c r="F373" s="16" t="str">
        <f>IFERROR(__xludf.DUMMYFUNCTION("""COMPUTED_VALUE"""),"DEF: +1000, Nature DEF: +1000")</f>
        <v>DEF: +1000, Nature DEF: +1000</v>
      </c>
      <c r="G373" s="16">
        <f>IFERROR(__xludf.DUMMYFUNCTION("""COMPUTED_VALUE"""),60000.0)</f>
        <v>60000</v>
      </c>
      <c r="H373" s="16"/>
      <c r="I373" s="16"/>
      <c r="J373" s="16"/>
      <c r="K373" s="16"/>
      <c r="L373" s="16"/>
      <c r="M373" s="16"/>
      <c r="N373" s="16"/>
      <c r="O373" s="16"/>
      <c r="P373" s="16"/>
      <c r="Q373" s="16"/>
      <c r="R373" s="16"/>
      <c r="S373" s="16"/>
      <c r="T373" s="16"/>
      <c r="U373" s="16"/>
      <c r="V373" s="16"/>
      <c r="W373" s="16"/>
      <c r="X373" s="16"/>
      <c r="Y373" s="16"/>
      <c r="Z373" s="16"/>
    </row>
    <row r="374">
      <c r="A374" s="16" t="str">
        <f>IFERROR(__xludf.DUMMYFUNCTION("""COMPUTED_VALUE"""),"Bamboo Greaves")</f>
        <v>Bamboo Greaves</v>
      </c>
      <c r="B374" s="16"/>
      <c r="C374" s="16"/>
      <c r="D374" s="16" t="str">
        <f>IFERROR(__xludf.DUMMYFUNCTION("""COMPUTED_VALUE"""),"Legs")</f>
        <v>Legs</v>
      </c>
      <c r="E374" s="16">
        <f>IFERROR(__xludf.DUMMYFUNCTION("""COMPUTED_VALUE"""),40.0)</f>
        <v>40</v>
      </c>
      <c r="F374" s="16" t="str">
        <f>IFERROR(__xludf.DUMMYFUNCTION("""COMPUTED_VALUE"""),"DEF: +1000, Nature DEF: +1000")</f>
        <v>DEF: +1000, Nature DEF: +1000</v>
      </c>
      <c r="G374" s="16">
        <f>IFERROR(__xludf.DUMMYFUNCTION("""COMPUTED_VALUE"""),60000.0)</f>
        <v>60000</v>
      </c>
      <c r="H374" s="16"/>
      <c r="I374" s="16"/>
      <c r="J374" s="16"/>
      <c r="K374" s="16"/>
      <c r="L374" s="16"/>
      <c r="M374" s="16"/>
      <c r="N374" s="16"/>
      <c r="O374" s="16"/>
      <c r="P374" s="16"/>
      <c r="Q374" s="16"/>
      <c r="R374" s="16"/>
      <c r="S374" s="16"/>
      <c r="T374" s="16"/>
      <c r="U374" s="16"/>
      <c r="V374" s="16"/>
      <c r="W374" s="16"/>
      <c r="X374" s="16"/>
      <c r="Y374" s="16"/>
      <c r="Z374" s="16"/>
    </row>
    <row r="375">
      <c r="A375" s="16" t="str">
        <f>IFERROR(__xludf.DUMMYFUNCTION("""COMPUTED_VALUE"""),"Strengthened Bamboo Sword")</f>
        <v>Strengthened Bamboo Sword</v>
      </c>
      <c r="B375" s="16"/>
      <c r="C375" s="16" t="str">
        <f>IFERROR(__xludf.DUMMYFUNCTION("""COMPUTED_VALUE"""),"Sword")</f>
        <v>Sword</v>
      </c>
      <c r="D375" s="16" t="str">
        <f>IFERROR(__xludf.DUMMYFUNCTION("""COMPUTED_VALUE"""),"Hand")</f>
        <v>Hand</v>
      </c>
      <c r="E375" s="16">
        <f>IFERROR(__xludf.DUMMYFUNCTION("""COMPUTED_VALUE"""),40.0)</f>
        <v>40</v>
      </c>
      <c r="F375" s="16" t="str">
        <f>IFERROR(__xludf.DUMMYFUNCTION("""COMPUTED_VALUE"""),"DMG: +1000, Nature DMG: +1000 ++X4 damage for this weapon if the battle is in a Forest or Jungle.")</f>
        <v>DMG: +1000, Nature DMG: +1000 ++X4 damage for this weapon if the battle is in a Forest or Jungle.</v>
      </c>
      <c r="G375" s="16">
        <f>IFERROR(__xludf.DUMMYFUNCTION("""COMPUTED_VALUE"""),60000.0)</f>
        <v>60000</v>
      </c>
      <c r="H375" s="16"/>
      <c r="I375" s="16"/>
      <c r="J375" s="16"/>
      <c r="K375" s="16"/>
      <c r="L375" s="16"/>
      <c r="M375" s="16"/>
      <c r="N375" s="16"/>
      <c r="O375" s="16"/>
      <c r="P375" s="16"/>
      <c r="Q375" s="16"/>
      <c r="R375" s="16"/>
      <c r="S375" s="16"/>
      <c r="T375" s="16"/>
      <c r="U375" s="16"/>
      <c r="V375" s="16"/>
      <c r="W375" s="16"/>
      <c r="X375" s="16"/>
      <c r="Y375" s="16"/>
      <c r="Z375" s="16"/>
    </row>
    <row r="376">
      <c r="A376" s="16" t="str">
        <f>IFERROR(__xludf.DUMMYFUNCTION("""COMPUTED_VALUE"""),"Bamboo Sandals")</f>
        <v>Bamboo Sandals</v>
      </c>
      <c r="B376" s="16"/>
      <c r="C376" s="16"/>
      <c r="D376" s="16" t="str">
        <f>IFERROR(__xludf.DUMMYFUNCTION("""COMPUTED_VALUE"""),"Feet")</f>
        <v>Feet</v>
      </c>
      <c r="E376" s="16">
        <f>IFERROR(__xludf.DUMMYFUNCTION("""COMPUTED_VALUE"""),40.0)</f>
        <v>40</v>
      </c>
      <c r="F376" s="16" t="str">
        <f>IFERROR(__xludf.DUMMYFUNCTION("""COMPUTED_VALUE"""),"DEF: +1000, Nature DEF: +1000")</f>
        <v>DEF: +1000, Nature DEF: +1000</v>
      </c>
      <c r="G376" s="16">
        <f>IFERROR(__xludf.DUMMYFUNCTION("""COMPUTED_VALUE"""),60000.0)</f>
        <v>60000</v>
      </c>
      <c r="H376" s="16"/>
      <c r="I376" s="16"/>
      <c r="J376" s="16"/>
      <c r="K376" s="16"/>
      <c r="L376" s="16"/>
      <c r="M376" s="16"/>
      <c r="N376" s="16"/>
      <c r="O376" s="16"/>
      <c r="P376" s="16"/>
      <c r="Q376" s="16"/>
      <c r="R376" s="16"/>
      <c r="S376" s="16"/>
      <c r="T376" s="16"/>
      <c r="U376" s="16"/>
      <c r="V376" s="16"/>
      <c r="W376" s="16"/>
      <c r="X376" s="16"/>
      <c r="Y376" s="16"/>
      <c r="Z376" s="16"/>
    </row>
    <row r="377">
      <c r="A377" s="16" t="str">
        <f>IFERROR(__xludf.DUMMYFUNCTION("""COMPUTED_VALUE"""),"Greaves of Foul Night")</f>
        <v>Greaves of Foul Night</v>
      </c>
      <c r="B377" s="16"/>
      <c r="C377" s="16"/>
      <c r="D377" s="16" t="str">
        <f>IFERROR(__xludf.DUMMYFUNCTION("""COMPUTED_VALUE"""),"Legs")</f>
        <v>Legs</v>
      </c>
      <c r="E377" s="16">
        <f>IFERROR(__xludf.DUMMYFUNCTION("""COMPUTED_VALUE"""),200.0)</f>
        <v>200</v>
      </c>
      <c r="F377" s="16" t="str">
        <f>IFERROR(__xludf.DUMMYFUNCTION("""COMPUTED_VALUE"""),"DEF: +5000, Nature DEF: +5000 (Foul Night Set) ++X2 Nature and Poison damage, Poison Immunity.")</f>
        <v>DEF: +5000, Nature DEF: +5000 (Foul Night Set) ++X2 Nature and Poison damage, Poison Immunity.</v>
      </c>
      <c r="G377" s="16">
        <f>IFERROR(__xludf.DUMMYFUNCTION("""COMPUTED_VALUE"""),1900000.0)</f>
        <v>1900000</v>
      </c>
      <c r="H377" s="16"/>
      <c r="I377" s="16"/>
      <c r="J377" s="16"/>
      <c r="K377" s="16"/>
      <c r="L377" s="16"/>
      <c r="M377" s="16"/>
      <c r="N377" s="16"/>
      <c r="O377" s="16"/>
      <c r="P377" s="16"/>
      <c r="Q377" s="16"/>
      <c r="R377" s="16"/>
      <c r="S377" s="16"/>
      <c r="T377" s="16"/>
      <c r="U377" s="16"/>
      <c r="V377" s="16"/>
      <c r="W377" s="16"/>
      <c r="X377" s="16"/>
      <c r="Y377" s="16"/>
      <c r="Z377" s="16"/>
    </row>
    <row r="378">
      <c r="A378" s="16" t="str">
        <f>IFERROR(__xludf.DUMMYFUNCTION("""COMPUTED_VALUE"""),"Vambraces of Foul Night")</f>
        <v>Vambraces of Foul Night</v>
      </c>
      <c r="B378" s="16"/>
      <c r="C378" s="16"/>
      <c r="D378" s="16" t="str">
        <f>IFERROR(__xludf.DUMMYFUNCTION("""COMPUTED_VALUE"""),"Arms")</f>
        <v>Arms</v>
      </c>
      <c r="E378" s="16">
        <f>IFERROR(__xludf.DUMMYFUNCTION("""COMPUTED_VALUE"""),200.0)</f>
        <v>200</v>
      </c>
      <c r="F378" s="16" t="str">
        <f>IFERROR(__xludf.DUMMYFUNCTION("""COMPUTED_VALUE"""),"DEF: +5000, Dark DEF: +5000 (Foul Night Set) ++X2 Dark and Poison damage, Poison Immunity.")</f>
        <v>DEF: +5000, Dark DEF: +5000 (Foul Night Set) ++X2 Dark and Poison damage, Poison Immunity.</v>
      </c>
      <c r="G378" s="16">
        <f>IFERROR(__xludf.DUMMYFUNCTION("""COMPUTED_VALUE"""),1900000.0)</f>
        <v>1900000</v>
      </c>
      <c r="H378" s="16"/>
      <c r="I378" s="16"/>
      <c r="J378" s="16"/>
      <c r="K378" s="16"/>
      <c r="L378" s="16"/>
      <c r="M378" s="16"/>
      <c r="N378" s="16"/>
      <c r="O378" s="16"/>
      <c r="P378" s="16"/>
      <c r="Q378" s="16"/>
      <c r="R378" s="16"/>
      <c r="S378" s="16"/>
      <c r="T378" s="16"/>
      <c r="U378" s="16"/>
      <c r="V378" s="16"/>
      <c r="W378" s="16"/>
      <c r="X378" s="16"/>
      <c r="Y378" s="16"/>
      <c r="Z378" s="16"/>
    </row>
    <row r="379">
      <c r="A379" s="16" t="str">
        <f>IFERROR(__xludf.DUMMYFUNCTION("""COMPUTED_VALUE"""),"Boots of Foul Night")</f>
        <v>Boots of Foul Night</v>
      </c>
      <c r="B379" s="16"/>
      <c r="C379" s="16"/>
      <c r="D379" s="16" t="str">
        <f>IFERROR(__xludf.DUMMYFUNCTION("""COMPUTED_VALUE"""),"Feet")</f>
        <v>Feet</v>
      </c>
      <c r="E379" s="16">
        <f>IFERROR(__xludf.DUMMYFUNCTION("""COMPUTED_VALUE"""),200.0)</f>
        <v>200</v>
      </c>
      <c r="F379" s="16" t="str">
        <f>IFERROR(__xludf.DUMMYFUNCTION("""COMPUTED_VALUE"""),"DEF: +5000, Dark DEF: +5000 (Foul Night Set) ++X2 Dark and Poison damage, Poison Immunity.")</f>
        <v>DEF: +5000, Dark DEF: +5000 (Foul Night Set) ++X2 Dark and Poison damage, Poison Immunity.</v>
      </c>
      <c r="G379" s="16">
        <f>IFERROR(__xludf.DUMMYFUNCTION("""COMPUTED_VALUE"""),1900000.0)</f>
        <v>1900000</v>
      </c>
      <c r="H379" s="16"/>
      <c r="I379" s="16"/>
      <c r="J379" s="16"/>
      <c r="K379" s="16"/>
      <c r="L379" s="16"/>
      <c r="M379" s="16"/>
      <c r="N379" s="16"/>
      <c r="O379" s="16"/>
      <c r="P379" s="16"/>
      <c r="Q379" s="16"/>
      <c r="R379" s="16"/>
      <c r="S379" s="16"/>
      <c r="T379" s="16"/>
      <c r="U379" s="16"/>
      <c r="V379" s="16"/>
      <c r="W379" s="16"/>
      <c r="X379" s="16"/>
      <c r="Y379" s="16"/>
      <c r="Z379" s="16"/>
    </row>
    <row r="380">
      <c r="A380" s="16" t="str">
        <f>IFERROR(__xludf.DUMMYFUNCTION("""COMPUTED_VALUE"""),"Pauldrons of Foul Night")</f>
        <v>Pauldrons of Foul Night</v>
      </c>
      <c r="B380" s="16"/>
      <c r="C380" s="16"/>
      <c r="D380" s="16" t="str">
        <f>IFERROR(__xludf.DUMMYFUNCTION("""COMPUTED_VALUE"""),"Shoulders")</f>
        <v>Shoulders</v>
      </c>
      <c r="E380" s="16">
        <f>IFERROR(__xludf.DUMMYFUNCTION("""COMPUTED_VALUE"""),200.0)</f>
        <v>200</v>
      </c>
      <c r="F380" s="16" t="str">
        <f>IFERROR(__xludf.DUMMYFUNCTION("""COMPUTED_VALUE"""),"DEF: +5000, Dark DEF: +5000 (Foul Night Set) ++X2 Dark and Poison damage, Poison Immunity.")</f>
        <v>DEF: +5000, Dark DEF: +5000 (Foul Night Set) ++X2 Dark and Poison damage, Poison Immunity.</v>
      </c>
      <c r="G380" s="16">
        <f>IFERROR(__xludf.DUMMYFUNCTION("""COMPUTED_VALUE"""),1900000.0)</f>
        <v>1900000</v>
      </c>
      <c r="H380" s="16"/>
      <c r="I380" s="16"/>
      <c r="J380" s="16"/>
      <c r="K380" s="16"/>
      <c r="L380" s="16"/>
      <c r="M380" s="16"/>
      <c r="N380" s="16"/>
      <c r="O380" s="16"/>
      <c r="P380" s="16"/>
      <c r="Q380" s="16"/>
      <c r="R380" s="16"/>
      <c r="S380" s="16"/>
      <c r="T380" s="16"/>
      <c r="U380" s="16"/>
      <c r="V380" s="16"/>
      <c r="W380" s="16"/>
      <c r="X380" s="16"/>
      <c r="Y380" s="16"/>
      <c r="Z380" s="16"/>
    </row>
    <row r="381">
      <c r="A381" s="16" t="str">
        <f>IFERROR(__xludf.DUMMYFUNCTION("""COMPUTED_VALUE"""),"Crystal Forged Pauldrons")</f>
        <v>Crystal Forged Pauldrons</v>
      </c>
      <c r="B381" s="16"/>
      <c r="C381" s="16"/>
      <c r="D381" s="16" t="str">
        <f>IFERROR(__xludf.DUMMYFUNCTION("""COMPUTED_VALUE"""),"Shoulders")</f>
        <v>Shoulders</v>
      </c>
      <c r="E381" s="16">
        <f>IFERROR(__xludf.DUMMYFUNCTION("""COMPUTED_VALUE"""),200.0)</f>
        <v>200</v>
      </c>
      <c r="F381"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1" s="16">
        <f>IFERROR(__xludf.DUMMYFUNCTION("""COMPUTED_VALUE"""),1900000.0)</f>
        <v>1900000</v>
      </c>
      <c r="H381" s="16"/>
      <c r="I381" s="16"/>
      <c r="J381" s="16"/>
      <c r="K381" s="16"/>
      <c r="L381" s="16"/>
      <c r="M381" s="16"/>
      <c r="N381" s="16"/>
      <c r="O381" s="16"/>
      <c r="P381" s="16"/>
      <c r="Q381" s="16"/>
      <c r="R381" s="16"/>
      <c r="S381" s="16"/>
      <c r="T381" s="16"/>
      <c r="U381" s="16"/>
      <c r="V381" s="16"/>
      <c r="W381" s="16"/>
      <c r="X381" s="16"/>
      <c r="Y381" s="16"/>
      <c r="Z381" s="16"/>
    </row>
    <row r="382">
      <c r="A382" s="16" t="str">
        <f>IFERROR(__xludf.DUMMYFUNCTION("""COMPUTED_VALUE"""),"Crystal Forged Greaves")</f>
        <v>Crystal Forged Greaves</v>
      </c>
      <c r="B382" s="16"/>
      <c r="C382" s="16"/>
      <c r="D382" s="16" t="str">
        <f>IFERROR(__xludf.DUMMYFUNCTION("""COMPUTED_VALUE"""),"Legs")</f>
        <v>Legs</v>
      </c>
      <c r="E382" s="16">
        <f>IFERROR(__xludf.DUMMYFUNCTION("""COMPUTED_VALUE"""),200.0)</f>
        <v>200</v>
      </c>
      <c r="F382"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2" s="16">
        <f>IFERROR(__xludf.DUMMYFUNCTION("""COMPUTED_VALUE"""),1900000.0)</f>
        <v>1900000</v>
      </c>
      <c r="H382" s="16"/>
      <c r="I382" s="16"/>
      <c r="J382" s="16"/>
      <c r="K382" s="16"/>
      <c r="L382" s="16"/>
      <c r="M382" s="16"/>
      <c r="N382" s="16"/>
      <c r="O382" s="16"/>
      <c r="P382" s="16"/>
      <c r="Q382" s="16"/>
      <c r="R382" s="16"/>
      <c r="S382" s="16"/>
      <c r="T382" s="16"/>
      <c r="U382" s="16"/>
      <c r="V382" s="16"/>
      <c r="W382" s="16"/>
      <c r="X382" s="16"/>
      <c r="Y382" s="16"/>
      <c r="Z382" s="16"/>
    </row>
    <row r="383">
      <c r="A383" s="16" t="str">
        <f>IFERROR(__xludf.DUMMYFUNCTION("""COMPUTED_VALUE"""),"Crystal Forged Boots")</f>
        <v>Crystal Forged Boots</v>
      </c>
      <c r="B383" s="16"/>
      <c r="C383" s="16"/>
      <c r="D383" s="16" t="str">
        <f>IFERROR(__xludf.DUMMYFUNCTION("""COMPUTED_VALUE"""),"Feet")</f>
        <v>Feet</v>
      </c>
      <c r="E383" s="16">
        <f>IFERROR(__xludf.DUMMYFUNCTION("""COMPUTED_VALUE"""),200.0)</f>
        <v>200</v>
      </c>
      <c r="F383"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3" s="16">
        <f>IFERROR(__xludf.DUMMYFUNCTION("""COMPUTED_VALUE"""),1900000.0)</f>
        <v>1900000</v>
      </c>
      <c r="H383" s="16"/>
      <c r="I383" s="16"/>
      <c r="J383" s="16"/>
      <c r="K383" s="16"/>
      <c r="L383" s="16"/>
      <c r="M383" s="16"/>
      <c r="N383" s="16"/>
      <c r="O383" s="16"/>
      <c r="P383" s="16"/>
      <c r="Q383" s="16"/>
      <c r="R383" s="16"/>
      <c r="S383" s="16"/>
      <c r="T383" s="16"/>
      <c r="U383" s="16"/>
      <c r="V383" s="16"/>
      <c r="W383" s="16"/>
      <c r="X383" s="16"/>
      <c r="Y383" s="16"/>
      <c r="Z383" s="16"/>
    </row>
    <row r="384">
      <c r="A384" s="16" t="str">
        <f>IFERROR(__xludf.DUMMYFUNCTION("""COMPUTED_VALUE"""),"Crystal Forged Vambraces")</f>
        <v>Crystal Forged Vambraces</v>
      </c>
      <c r="B384" s="16"/>
      <c r="C384" s="16"/>
      <c r="D384" s="16" t="str">
        <f>IFERROR(__xludf.DUMMYFUNCTION("""COMPUTED_VALUE"""),"Arms")</f>
        <v>Arms</v>
      </c>
      <c r="E384" s="16">
        <f>IFERROR(__xludf.DUMMYFUNCTION("""COMPUTED_VALUE"""),200.0)</f>
        <v>200</v>
      </c>
      <c r="F384"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4" s="16">
        <f>IFERROR(__xludf.DUMMYFUNCTION("""COMPUTED_VALUE"""),1900000.0)</f>
        <v>1900000</v>
      </c>
      <c r="H384" s="16"/>
      <c r="I384" s="16"/>
      <c r="J384" s="16"/>
      <c r="K384" s="16"/>
      <c r="L384" s="16"/>
      <c r="M384" s="16"/>
      <c r="N384" s="16"/>
      <c r="O384" s="16"/>
      <c r="P384" s="16"/>
      <c r="Q384" s="16"/>
      <c r="R384" s="16"/>
      <c r="S384" s="16"/>
      <c r="T384" s="16"/>
      <c r="U384" s="16"/>
      <c r="V384" s="16"/>
      <c r="W384" s="16"/>
      <c r="X384" s="16"/>
      <c r="Y384" s="16"/>
      <c r="Z384" s="16"/>
    </row>
    <row r="385">
      <c r="A385" s="16" t="str">
        <f>IFERROR(__xludf.DUMMYFUNCTION("""COMPUTED_VALUE"""),"Fiddle")</f>
        <v>Fiddle</v>
      </c>
      <c r="B385" s="16"/>
      <c r="C385" s="16" t="str">
        <f>IFERROR(__xludf.DUMMYFUNCTION("""COMPUTED_VALUE"""),"Instrument")</f>
        <v>Instrument</v>
      </c>
      <c r="D385" s="16" t="str">
        <f>IFERROR(__xludf.DUMMYFUNCTION("""COMPUTED_VALUE"""),"Hand")</f>
        <v>Hand</v>
      </c>
      <c r="E385" s="16">
        <f>IFERROR(__xludf.DUMMYFUNCTION("""COMPUTED_VALUE"""),40.0)</f>
        <v>40</v>
      </c>
      <c r="F385" s="16" t="str">
        <f>IFERROR(__xludf.DUMMYFUNCTION("""COMPUTED_VALUE"""),"DMG: +2000")</f>
        <v>DMG: +2000</v>
      </c>
      <c r="G385" s="16">
        <f>IFERROR(__xludf.DUMMYFUNCTION("""COMPUTED_VALUE"""),60000.0)</f>
        <v>60000</v>
      </c>
      <c r="H385" s="16"/>
      <c r="I385" s="16"/>
      <c r="J385" s="16"/>
      <c r="K385" s="16"/>
      <c r="L385" s="16"/>
      <c r="M385" s="16"/>
      <c r="N385" s="16"/>
      <c r="O385" s="16"/>
      <c r="P385" s="16"/>
      <c r="Q385" s="16"/>
      <c r="R385" s="16"/>
      <c r="S385" s="16"/>
      <c r="T385" s="16"/>
      <c r="U385" s="16"/>
      <c r="V385" s="16"/>
      <c r="W385" s="16"/>
      <c r="X385" s="16"/>
      <c r="Y385" s="16"/>
      <c r="Z385" s="16"/>
    </row>
    <row r="386">
      <c r="A386" s="16" t="str">
        <f>IFERROR(__xludf.DUMMYFUNCTION("""COMPUTED_VALUE"""),"WyvernTail Blade")</f>
        <v>WyvernTail Blade</v>
      </c>
      <c r="B386" s="16"/>
      <c r="C386" s="16" t="str">
        <f>IFERROR(__xludf.DUMMYFUNCTION("""COMPUTED_VALUE"""),"Sword")</f>
        <v>Sword</v>
      </c>
      <c r="D386" s="16" t="str">
        <f>IFERROR(__xludf.DUMMYFUNCTION("""COMPUTED_VALUE"""),"Hand")</f>
        <v>Hand</v>
      </c>
      <c r="E386" s="16">
        <f>IFERROR(__xludf.DUMMYFUNCTION("""COMPUTED_VALUE"""),200.0)</f>
        <v>200</v>
      </c>
      <c r="F386" s="16" t="str">
        <f>IFERROR(__xludf.DUMMYFUNCTION("""COMPUTED_VALUE"""),"DMG: +5000, Water DMG: +5000 (Wyverntail Set) ++50% Chance to freeze the target being attacked by this weapon.")</f>
        <v>DMG: +5000, Water DMG: +5000 (Wyverntail Set) ++50% Chance to freeze the target being attacked by this weapon.</v>
      </c>
      <c r="G386" s="16">
        <f>IFERROR(__xludf.DUMMYFUNCTION("""COMPUTED_VALUE"""),1900000.0)</f>
        <v>1900000</v>
      </c>
      <c r="H386" s="16"/>
      <c r="I386" s="16"/>
      <c r="J386" s="16"/>
      <c r="K386" s="16"/>
      <c r="L386" s="16"/>
      <c r="M386" s="16"/>
      <c r="N386" s="16"/>
      <c r="O386" s="16"/>
      <c r="P386" s="16"/>
      <c r="Q386" s="16"/>
      <c r="R386" s="16"/>
      <c r="S386" s="16"/>
      <c r="T386" s="16"/>
      <c r="U386" s="16"/>
      <c r="V386" s="16"/>
      <c r="W386" s="16"/>
      <c r="X386" s="16"/>
      <c r="Y386" s="16"/>
      <c r="Z386" s="16"/>
    </row>
    <row r="387">
      <c r="A387" s="16" t="str">
        <f>IFERROR(__xludf.DUMMYFUNCTION("""COMPUTED_VALUE"""),"WyvernTail Helm")</f>
        <v>WyvernTail Helm</v>
      </c>
      <c r="B387" s="16"/>
      <c r="C387" s="16"/>
      <c r="D387" s="16" t="str">
        <f>IFERROR(__xludf.DUMMYFUNCTION("""COMPUTED_VALUE"""),"Head")</f>
        <v>Head</v>
      </c>
      <c r="E387" s="16">
        <f>IFERROR(__xludf.DUMMYFUNCTION("""COMPUTED_VALUE"""),200.0)</f>
        <v>200</v>
      </c>
      <c r="F387" s="16" t="str">
        <f>IFERROR(__xludf.DUMMYFUNCTION("""COMPUTED_VALUE"""),"DEF: +10000 (Wyverntail Set) ++Freeze Immunity")</f>
        <v>DEF: +10000 (Wyverntail Set) ++Freeze Immunity</v>
      </c>
      <c r="G387" s="16">
        <f>IFERROR(__xludf.DUMMYFUNCTION("""COMPUTED_VALUE"""),1900000.0)</f>
        <v>1900000</v>
      </c>
      <c r="H387" s="16"/>
      <c r="I387" s="16"/>
      <c r="J387" s="16"/>
      <c r="K387" s="16"/>
      <c r="L387" s="16"/>
      <c r="M387" s="16"/>
      <c r="N387" s="16"/>
      <c r="O387" s="16"/>
      <c r="P387" s="16"/>
      <c r="Q387" s="16"/>
      <c r="R387" s="16"/>
      <c r="S387" s="16"/>
      <c r="T387" s="16"/>
      <c r="U387" s="16"/>
      <c r="V387" s="16"/>
      <c r="W387" s="16"/>
      <c r="X387" s="16"/>
      <c r="Y387" s="16"/>
      <c r="Z387" s="16"/>
    </row>
    <row r="388">
      <c r="A388" s="16" t="str">
        <f>IFERROR(__xludf.DUMMYFUNCTION("""COMPUTED_VALUE"""),"WyvernTail Pauldrons")</f>
        <v>WyvernTail Pauldrons</v>
      </c>
      <c r="B388" s="16"/>
      <c r="C388" s="16"/>
      <c r="D388" s="16" t="str">
        <f>IFERROR(__xludf.DUMMYFUNCTION("""COMPUTED_VALUE"""),"Shoulders")</f>
        <v>Shoulders</v>
      </c>
      <c r="E388" s="16">
        <f>IFERROR(__xludf.DUMMYFUNCTION("""COMPUTED_VALUE"""),200.0)</f>
        <v>200</v>
      </c>
      <c r="F388" s="16" t="str">
        <f>IFERROR(__xludf.DUMMYFUNCTION("""COMPUTED_VALUE"""),"DEF: +10000 (Wyverntail Set) ++Freeze Immunity")</f>
        <v>DEF: +10000 (Wyverntail Set) ++Freeze Immunity</v>
      </c>
      <c r="G388" s="16">
        <f>IFERROR(__xludf.DUMMYFUNCTION("""COMPUTED_VALUE"""),1900000.0)</f>
        <v>1900000</v>
      </c>
      <c r="H388" s="16"/>
      <c r="I388" s="16"/>
      <c r="J388" s="16"/>
      <c r="K388" s="16"/>
      <c r="L388" s="16"/>
      <c r="M388" s="16"/>
      <c r="N388" s="16"/>
      <c r="O388" s="16"/>
      <c r="P388" s="16"/>
      <c r="Q388" s="16"/>
      <c r="R388" s="16"/>
      <c r="S388" s="16"/>
      <c r="T388" s="16"/>
      <c r="U388" s="16"/>
      <c r="V388" s="16"/>
      <c r="W388" s="16"/>
      <c r="X388" s="16"/>
      <c r="Y388" s="16"/>
      <c r="Z388" s="16"/>
    </row>
    <row r="389">
      <c r="A389" s="16" t="str">
        <f>IFERROR(__xludf.DUMMYFUNCTION("""COMPUTED_VALUE"""),"WyvernTail Chestplate")</f>
        <v>WyvernTail Chestplate</v>
      </c>
      <c r="B389" s="16"/>
      <c r="C389" s="16"/>
      <c r="D389" s="16" t="str">
        <f>IFERROR(__xludf.DUMMYFUNCTION("""COMPUTED_VALUE"""),"Torso")</f>
        <v>Torso</v>
      </c>
      <c r="E389" s="16">
        <f>IFERROR(__xludf.DUMMYFUNCTION("""COMPUTED_VALUE"""),200.0)</f>
        <v>200</v>
      </c>
      <c r="F389" s="16" t="str">
        <f>IFERROR(__xludf.DUMMYFUNCTION("""COMPUTED_VALUE"""),"DEF: +10000 (Wyverntail Set) ++Freeze Immunity")</f>
        <v>DEF: +10000 (Wyverntail Set) ++Freeze Immunity</v>
      </c>
      <c r="G389" s="16">
        <f>IFERROR(__xludf.DUMMYFUNCTION("""COMPUTED_VALUE"""),1900000.0)</f>
        <v>1900000</v>
      </c>
      <c r="H389" s="16"/>
      <c r="I389" s="16"/>
      <c r="J389" s="16"/>
      <c r="K389" s="16"/>
      <c r="L389" s="16"/>
      <c r="M389" s="16"/>
      <c r="N389" s="16"/>
      <c r="O389" s="16"/>
      <c r="P389" s="16"/>
      <c r="Q389" s="16"/>
      <c r="R389" s="16"/>
      <c r="S389" s="16"/>
      <c r="T389" s="16"/>
      <c r="U389" s="16"/>
      <c r="V389" s="16"/>
      <c r="W389" s="16"/>
      <c r="X389" s="16"/>
      <c r="Y389" s="16"/>
      <c r="Z389" s="16"/>
    </row>
    <row r="390">
      <c r="A390" s="16" t="str">
        <f>IFERROR(__xludf.DUMMYFUNCTION("""COMPUTED_VALUE"""),"WyvernTail Vambraces")</f>
        <v>WyvernTail Vambraces</v>
      </c>
      <c r="B390" s="16"/>
      <c r="C390" s="16"/>
      <c r="D390" s="16" t="str">
        <f>IFERROR(__xludf.DUMMYFUNCTION("""COMPUTED_VALUE"""),"Arms")</f>
        <v>Arms</v>
      </c>
      <c r="E390" s="16">
        <f>IFERROR(__xludf.DUMMYFUNCTION("""COMPUTED_VALUE"""),200.0)</f>
        <v>200</v>
      </c>
      <c r="F390" s="16" t="str">
        <f>IFERROR(__xludf.DUMMYFUNCTION("""COMPUTED_VALUE"""),"DEF: +10000 (Wyverntail Set) ++Freeze Immunity")</f>
        <v>DEF: +10000 (Wyverntail Set) ++Freeze Immunity</v>
      </c>
      <c r="G390" s="16">
        <f>IFERROR(__xludf.DUMMYFUNCTION("""COMPUTED_VALUE"""),1900000.0)</f>
        <v>1900000</v>
      </c>
      <c r="H390" s="16"/>
      <c r="I390" s="16"/>
      <c r="J390" s="16"/>
      <c r="K390" s="16"/>
      <c r="L390" s="16"/>
      <c r="M390" s="16"/>
      <c r="N390" s="16"/>
      <c r="O390" s="16"/>
      <c r="P390" s="16"/>
      <c r="Q390" s="16"/>
      <c r="R390" s="16"/>
      <c r="S390" s="16"/>
      <c r="T390" s="16"/>
      <c r="U390" s="16"/>
      <c r="V390" s="16"/>
      <c r="W390" s="16"/>
      <c r="X390" s="16"/>
      <c r="Y390" s="16"/>
      <c r="Z390" s="16"/>
    </row>
    <row r="391">
      <c r="A391" s="16" t="str">
        <f>IFERROR(__xludf.DUMMYFUNCTION("""COMPUTED_VALUE"""),"WyvernTail Greaves")</f>
        <v>WyvernTail Greaves</v>
      </c>
      <c r="B391" s="16"/>
      <c r="C391" s="16"/>
      <c r="D391" s="16" t="str">
        <f>IFERROR(__xludf.DUMMYFUNCTION("""COMPUTED_VALUE"""),"Legs")</f>
        <v>Legs</v>
      </c>
      <c r="E391" s="16">
        <f>IFERROR(__xludf.DUMMYFUNCTION("""COMPUTED_VALUE"""),200.0)</f>
        <v>200</v>
      </c>
      <c r="F391" s="16" t="str">
        <f>IFERROR(__xludf.DUMMYFUNCTION("""COMPUTED_VALUE"""),"DEF: +10000 (Wyverntail Set) ++Freeze Immunity")</f>
        <v>DEF: +10000 (Wyverntail Set) ++Freeze Immunity</v>
      </c>
      <c r="G391" s="16">
        <f>IFERROR(__xludf.DUMMYFUNCTION("""COMPUTED_VALUE"""),1900000.0)</f>
        <v>1900000</v>
      </c>
      <c r="H391" s="16"/>
      <c r="I391" s="16"/>
      <c r="J391" s="16"/>
      <c r="K391" s="16"/>
      <c r="L391" s="16"/>
      <c r="M391" s="16"/>
      <c r="N391" s="16"/>
      <c r="O391" s="16"/>
      <c r="P391" s="16"/>
      <c r="Q391" s="16"/>
      <c r="R391" s="16"/>
      <c r="S391" s="16"/>
      <c r="T391" s="16"/>
      <c r="U391" s="16"/>
      <c r="V391" s="16"/>
      <c r="W391" s="16"/>
      <c r="X391" s="16"/>
      <c r="Y391" s="16"/>
      <c r="Z391" s="16"/>
    </row>
    <row r="392">
      <c r="A392" s="16" t="str">
        <f>IFERROR(__xludf.DUMMYFUNCTION("""COMPUTED_VALUE"""),"WyvernTail Boots")</f>
        <v>WyvernTail Boots</v>
      </c>
      <c r="B392" s="16"/>
      <c r="C392" s="16"/>
      <c r="D392" s="16" t="str">
        <f>IFERROR(__xludf.DUMMYFUNCTION("""COMPUTED_VALUE"""),"Feet")</f>
        <v>Feet</v>
      </c>
      <c r="E392" s="16">
        <f>IFERROR(__xludf.DUMMYFUNCTION("""COMPUTED_VALUE"""),200.0)</f>
        <v>200</v>
      </c>
      <c r="F392" s="16" t="str">
        <f>IFERROR(__xludf.DUMMYFUNCTION("""COMPUTED_VALUE"""),"DEF: +10000 (Wyverntail Set) ++Freeze Immunity")</f>
        <v>DEF: +10000 (Wyverntail Set) ++Freeze Immunity</v>
      </c>
      <c r="G392" s="16">
        <f>IFERROR(__xludf.DUMMYFUNCTION("""COMPUTED_VALUE"""),1900000.0)</f>
        <v>1900000</v>
      </c>
      <c r="H392" s="16"/>
      <c r="I392" s="16"/>
      <c r="J392" s="16"/>
      <c r="K392" s="16"/>
      <c r="L392" s="16"/>
      <c r="M392" s="16"/>
      <c r="N392" s="16"/>
      <c r="O392" s="16"/>
      <c r="P392" s="16"/>
      <c r="Q392" s="16"/>
      <c r="R392" s="16"/>
      <c r="S392" s="16"/>
      <c r="T392" s="16"/>
      <c r="U392" s="16"/>
      <c r="V392" s="16"/>
      <c r="W392" s="16"/>
      <c r="X392" s="16"/>
      <c r="Y392" s="16"/>
      <c r="Z392" s="16"/>
    </row>
    <row r="393">
      <c r="A393" s="16" t="str">
        <f>IFERROR(__xludf.DUMMYFUNCTION("""COMPUTED_VALUE"""),"WyvernTail Pendent")</f>
        <v>WyvernTail Pendent</v>
      </c>
      <c r="B393" s="16"/>
      <c r="C393" s="16"/>
      <c r="D393" s="16" t="str">
        <f>IFERROR(__xludf.DUMMYFUNCTION("""COMPUTED_VALUE"""),"Neck")</f>
        <v>Neck</v>
      </c>
      <c r="E393" s="16">
        <f>IFERROR(__xludf.DUMMYFUNCTION("""COMPUTED_VALUE"""),1.0)</f>
        <v>1</v>
      </c>
      <c r="F393" s="16" t="str">
        <f>IFERROR(__xludf.DUMMYFUNCTION("""COMPUTED_VALUE""")," (Wyverntail Set) ++When you are attacked, the enemy that attacked you has a 25% Chance to Freeze.")</f>
        <v> (Wyverntail Set) ++When you are attacked, the enemy that attacked you has a 25% Chance to Freeze.</v>
      </c>
      <c r="G393" s="16">
        <f>IFERROR(__xludf.DUMMYFUNCTION("""COMPUTED_VALUE"""),0.0)</f>
        <v>0</v>
      </c>
      <c r="H393" s="16"/>
      <c r="I393" s="16"/>
      <c r="J393" s="16"/>
      <c r="K393" s="16"/>
      <c r="L393" s="16"/>
      <c r="M393" s="16"/>
      <c r="N393" s="16"/>
      <c r="O393" s="16"/>
      <c r="P393" s="16"/>
      <c r="Q393" s="16"/>
      <c r="R393" s="16"/>
      <c r="S393" s="16"/>
      <c r="T393" s="16"/>
      <c r="U393" s="16"/>
      <c r="V393" s="16"/>
      <c r="W393" s="16"/>
      <c r="X393" s="16"/>
      <c r="Y393" s="16"/>
      <c r="Z393" s="16"/>
    </row>
    <row r="394">
      <c r="A394" s="16" t="str">
        <f>IFERROR(__xludf.DUMMYFUNCTION("""COMPUTED_VALUE"""),"WyvernTail Ring")</f>
        <v>WyvernTail Ring</v>
      </c>
      <c r="B394" s="16"/>
      <c r="C394" s="16"/>
      <c r="D394" s="16" t="str">
        <f>IFERROR(__xludf.DUMMYFUNCTION("""COMPUTED_VALUE"""),"Ring")</f>
        <v>Ring</v>
      </c>
      <c r="E394" s="16">
        <f>IFERROR(__xludf.DUMMYFUNCTION("""COMPUTED_VALUE"""),1.0)</f>
        <v>1</v>
      </c>
      <c r="F394" s="16" t="str">
        <f>IFERROR(__xludf.DUMMYFUNCTION("""COMPUTED_VALUE""")," (Wyverntail Set) ++When you are attacked, the enemy that attacked you has a 25% Chance to Freeze. ")</f>
        <v> (Wyverntail Set) ++When you are attacked, the enemy that attacked you has a 25% Chance to Freeze. </v>
      </c>
      <c r="G394" s="16">
        <f>IFERROR(__xludf.DUMMYFUNCTION("""COMPUTED_VALUE"""),0.0)</f>
        <v>0</v>
      </c>
      <c r="H394" s="16"/>
      <c r="I394" s="16"/>
      <c r="J394" s="16"/>
      <c r="K394" s="16"/>
      <c r="L394" s="16"/>
      <c r="M394" s="16"/>
      <c r="N394" s="16"/>
      <c r="O394" s="16"/>
      <c r="P394" s="16"/>
      <c r="Q394" s="16"/>
      <c r="R394" s="16"/>
      <c r="S394" s="16"/>
      <c r="T394" s="16"/>
      <c r="U394" s="16"/>
      <c r="V394" s="16"/>
      <c r="W394" s="16"/>
      <c r="X394" s="16"/>
      <c r="Y394" s="16"/>
      <c r="Z394" s="16"/>
    </row>
    <row r="395">
      <c r="A395" s="16" t="str">
        <f>IFERROR(__xludf.DUMMYFUNCTION("""COMPUTED_VALUE"""),"Sweltering Blade")</f>
        <v>Sweltering Blade</v>
      </c>
      <c r="B395" s="16"/>
      <c r="C395" s="16" t="str">
        <f>IFERROR(__xludf.DUMMYFUNCTION("""COMPUTED_VALUE"""),"Sword")</f>
        <v>Sword</v>
      </c>
      <c r="D395" s="16" t="str">
        <f>IFERROR(__xludf.DUMMYFUNCTION("""COMPUTED_VALUE"""),"Hand")</f>
        <v>Hand</v>
      </c>
      <c r="E395" s="16">
        <f>IFERROR(__xludf.DUMMYFUNCTION("""COMPUTED_VALUE"""),400.0)</f>
        <v>400</v>
      </c>
      <c r="F395" s="16" t="str">
        <f>IFERROR(__xludf.DUMMYFUNCTION("""COMPUTED_VALUE"""),"DMG: +5000, Fire DMG: +5000, Water DMG: +5000, Nature DMG: +5000 (Sweltering Set) ++X2 Nature, Water, and Fire Damage.")</f>
        <v>DMG: +5000, Fire DMG: +5000, Water DMG: +5000, Nature DMG: +5000 (Sweltering Set) ++X2 Nature, Water, and Fire Damage.</v>
      </c>
      <c r="G395" s="16">
        <f>IFERROR(__xludf.DUMMYFUNCTION("""COMPUTED_VALUE"""),7800000.0)</f>
        <v>7800000</v>
      </c>
      <c r="H395" s="16"/>
      <c r="I395" s="16"/>
      <c r="J395" s="16"/>
      <c r="K395" s="16"/>
      <c r="L395" s="16"/>
      <c r="M395" s="16"/>
      <c r="N395" s="16"/>
      <c r="O395" s="16"/>
      <c r="P395" s="16"/>
      <c r="Q395" s="16"/>
      <c r="R395" s="16"/>
      <c r="S395" s="16"/>
      <c r="T395" s="16"/>
      <c r="U395" s="16"/>
      <c r="V395" s="16"/>
      <c r="W395" s="16"/>
      <c r="X395" s="16"/>
      <c r="Y395" s="16"/>
      <c r="Z395" s="16"/>
    </row>
    <row r="396">
      <c r="A396" s="16" t="str">
        <f>IFERROR(__xludf.DUMMYFUNCTION("""COMPUTED_VALUE"""),"Sweltering Helm")</f>
        <v>Sweltering Helm</v>
      </c>
      <c r="B396" s="16"/>
      <c r="C396" s="16"/>
      <c r="D396" s="16" t="str">
        <f>IFERROR(__xludf.DUMMYFUNCTION("""COMPUTED_VALUE"""),"Head")</f>
        <v>Head</v>
      </c>
      <c r="E396" s="16">
        <f>IFERROR(__xludf.DUMMYFUNCTION("""COMPUTED_VALUE"""),400.0)</f>
        <v>400</v>
      </c>
      <c r="F396" s="16" t="str">
        <f>IFERROR(__xludf.DUMMYFUNCTION("""COMPUTED_VALUE"""),"DEF: +5000, Fire DEF: +5000, Water DEF: +5000, Nature DEF: +5000 (Sweltering Set) ++X2 Nature, Water, and Fire Damage.")</f>
        <v>DEF: +5000, Fire DEF: +5000, Water DEF: +5000, Nature DEF: +5000 (Sweltering Set) ++X2 Nature, Water, and Fire Damage.</v>
      </c>
      <c r="G396" s="16">
        <f>IFERROR(__xludf.DUMMYFUNCTION("""COMPUTED_VALUE"""),7800000.0)</f>
        <v>7800000</v>
      </c>
      <c r="H396" s="16"/>
      <c r="I396" s="16"/>
      <c r="J396" s="16"/>
      <c r="K396" s="16"/>
      <c r="L396" s="16"/>
      <c r="M396" s="16"/>
      <c r="N396" s="16"/>
      <c r="O396" s="16"/>
      <c r="P396" s="16"/>
      <c r="Q396" s="16"/>
      <c r="R396" s="16"/>
      <c r="S396" s="16"/>
      <c r="T396" s="16"/>
      <c r="U396" s="16"/>
      <c r="V396" s="16"/>
      <c r="W396" s="16"/>
      <c r="X396" s="16"/>
      <c r="Y396" s="16"/>
      <c r="Z396" s="16"/>
    </row>
    <row r="397">
      <c r="A397" s="16" t="str">
        <f>IFERROR(__xludf.DUMMYFUNCTION("""COMPUTED_VALUE"""),"Sweltering Pauldrons")</f>
        <v>Sweltering Pauldrons</v>
      </c>
      <c r="B397" s="16"/>
      <c r="C397" s="16"/>
      <c r="D397" s="16" t="str">
        <f>IFERROR(__xludf.DUMMYFUNCTION("""COMPUTED_VALUE"""),"Shoulders")</f>
        <v>Shoulders</v>
      </c>
      <c r="E397" s="16">
        <f>IFERROR(__xludf.DUMMYFUNCTION("""COMPUTED_VALUE"""),400.0)</f>
        <v>400</v>
      </c>
      <c r="F397" s="16" t="str">
        <f>IFERROR(__xludf.DUMMYFUNCTION("""COMPUTED_VALUE"""),"DEF: +5000, Fire DEF: +5000, Water DEF: +5000, Nature DEF: +5000 (Sweltering Set) ++X2 Nature, Water, and Fire Damage.")</f>
        <v>DEF: +5000, Fire DEF: +5000, Water DEF: +5000, Nature DEF: +5000 (Sweltering Set) ++X2 Nature, Water, and Fire Damage.</v>
      </c>
      <c r="G397" s="16">
        <f>IFERROR(__xludf.DUMMYFUNCTION("""COMPUTED_VALUE"""),7800000.0)</f>
        <v>7800000</v>
      </c>
      <c r="H397" s="16"/>
      <c r="I397" s="16"/>
      <c r="J397" s="16"/>
      <c r="K397" s="16"/>
      <c r="L397" s="16"/>
      <c r="M397" s="16"/>
      <c r="N397" s="16"/>
      <c r="O397" s="16"/>
      <c r="P397" s="16"/>
      <c r="Q397" s="16"/>
      <c r="R397" s="16"/>
      <c r="S397" s="16"/>
      <c r="T397" s="16"/>
      <c r="U397" s="16"/>
      <c r="V397" s="16"/>
      <c r="W397" s="16"/>
      <c r="X397" s="16"/>
      <c r="Y397" s="16"/>
      <c r="Z397" s="16"/>
    </row>
    <row r="398">
      <c r="A398" s="16" t="str">
        <f>IFERROR(__xludf.DUMMYFUNCTION("""COMPUTED_VALUE"""),"Sweltering Chestplate")</f>
        <v>Sweltering Chestplate</v>
      </c>
      <c r="B398" s="16"/>
      <c r="C398" s="16"/>
      <c r="D398" s="16" t="str">
        <f>IFERROR(__xludf.DUMMYFUNCTION("""COMPUTED_VALUE"""),"Torso")</f>
        <v>Torso</v>
      </c>
      <c r="E398" s="16">
        <f>IFERROR(__xludf.DUMMYFUNCTION("""COMPUTED_VALUE"""),400.0)</f>
        <v>400</v>
      </c>
      <c r="F398" s="16" t="str">
        <f>IFERROR(__xludf.DUMMYFUNCTION("""COMPUTED_VALUE"""),"DEF: +5000, Fire DEF: +5000, Water DEF: +5000, Nature DEF: +5000 (Sweltering Set) ++X2 Nature, Water, and Fire Damage.")</f>
        <v>DEF: +5000, Fire DEF: +5000, Water DEF: +5000, Nature DEF: +5000 (Sweltering Set) ++X2 Nature, Water, and Fire Damage.</v>
      </c>
      <c r="G398" s="16">
        <f>IFERROR(__xludf.DUMMYFUNCTION("""COMPUTED_VALUE"""),7800000.0)</f>
        <v>7800000</v>
      </c>
      <c r="H398" s="16"/>
      <c r="I398" s="16"/>
      <c r="J398" s="16"/>
      <c r="K398" s="16"/>
      <c r="L398" s="16"/>
      <c r="M398" s="16"/>
      <c r="N398" s="16"/>
      <c r="O398" s="16"/>
      <c r="P398" s="16"/>
      <c r="Q398" s="16"/>
      <c r="R398" s="16"/>
      <c r="S398" s="16"/>
      <c r="T398" s="16"/>
      <c r="U398" s="16"/>
      <c r="V398" s="16"/>
      <c r="W398" s="16"/>
      <c r="X398" s="16"/>
      <c r="Y398" s="16"/>
      <c r="Z398" s="16"/>
    </row>
    <row r="399">
      <c r="A399" s="16" t="str">
        <f>IFERROR(__xludf.DUMMYFUNCTION("""COMPUTED_VALUE"""),"Sweltering Vambraces")</f>
        <v>Sweltering Vambraces</v>
      </c>
      <c r="B399" s="16"/>
      <c r="C399" s="16"/>
      <c r="D399" s="16" t="str">
        <f>IFERROR(__xludf.DUMMYFUNCTION("""COMPUTED_VALUE"""),"Arms")</f>
        <v>Arms</v>
      </c>
      <c r="E399" s="16">
        <f>IFERROR(__xludf.DUMMYFUNCTION("""COMPUTED_VALUE"""),400.0)</f>
        <v>400</v>
      </c>
      <c r="F399" s="16" t="str">
        <f>IFERROR(__xludf.DUMMYFUNCTION("""COMPUTED_VALUE"""),"DEF: +5000, Fire DEF: +5000, Water DEF: +5000, Nature DEF: +5000 (Sweltering Set) ++X2 Nature, Water, and Fire Damage.")</f>
        <v>DEF: +5000, Fire DEF: +5000, Water DEF: +5000, Nature DEF: +5000 (Sweltering Set) ++X2 Nature, Water, and Fire Damage.</v>
      </c>
      <c r="G399" s="16">
        <f>IFERROR(__xludf.DUMMYFUNCTION("""COMPUTED_VALUE"""),7800000.0)</f>
        <v>7800000</v>
      </c>
      <c r="H399" s="16"/>
      <c r="I399" s="16"/>
      <c r="J399" s="16"/>
      <c r="K399" s="16"/>
      <c r="L399" s="16"/>
      <c r="M399" s="16"/>
      <c r="N399" s="16"/>
      <c r="O399" s="16"/>
      <c r="P399" s="16"/>
      <c r="Q399" s="16"/>
      <c r="R399" s="16"/>
      <c r="S399" s="16"/>
      <c r="T399" s="16"/>
      <c r="U399" s="16"/>
      <c r="V399" s="16"/>
      <c r="W399" s="16"/>
      <c r="X399" s="16"/>
      <c r="Y399" s="16"/>
      <c r="Z399" s="16"/>
    </row>
    <row r="400">
      <c r="A400" s="16" t="str">
        <f>IFERROR(__xludf.DUMMYFUNCTION("""COMPUTED_VALUE"""),"Sweltering Greaves")</f>
        <v>Sweltering Greaves</v>
      </c>
      <c r="B400" s="16"/>
      <c r="C400" s="16"/>
      <c r="D400" s="16" t="str">
        <f>IFERROR(__xludf.DUMMYFUNCTION("""COMPUTED_VALUE"""),"Legs")</f>
        <v>Legs</v>
      </c>
      <c r="E400" s="16">
        <f>IFERROR(__xludf.DUMMYFUNCTION("""COMPUTED_VALUE"""),400.0)</f>
        <v>400</v>
      </c>
      <c r="F400" s="16" t="str">
        <f>IFERROR(__xludf.DUMMYFUNCTION("""COMPUTED_VALUE"""),"DEF: +5000, Fire DEF: +5000, Water DEF: +5000, Nature DEF: +5000 (Sweltering Set) ++X2 Nature, Water, and Fire Damage.")</f>
        <v>DEF: +5000, Fire DEF: +5000, Water DEF: +5000, Nature DEF: +5000 (Sweltering Set) ++X2 Nature, Water, and Fire Damage.</v>
      </c>
      <c r="G400" s="16">
        <f>IFERROR(__xludf.DUMMYFUNCTION("""COMPUTED_VALUE"""),7800000.0)</f>
        <v>7800000</v>
      </c>
      <c r="H400" s="16"/>
      <c r="I400" s="16"/>
      <c r="J400" s="16"/>
      <c r="K400" s="16"/>
      <c r="L400" s="16"/>
      <c r="M400" s="16"/>
      <c r="N400" s="16"/>
      <c r="O400" s="16"/>
      <c r="P400" s="16"/>
      <c r="Q400" s="16"/>
      <c r="R400" s="16"/>
      <c r="S400" s="16"/>
      <c r="T400" s="16"/>
      <c r="U400" s="16"/>
      <c r="V400" s="16"/>
      <c r="W400" s="16"/>
      <c r="X400" s="16"/>
      <c r="Y400" s="16"/>
      <c r="Z400" s="16"/>
    </row>
    <row r="401">
      <c r="A401" s="16" t="str">
        <f>IFERROR(__xludf.DUMMYFUNCTION("""COMPUTED_VALUE"""),"Sweltering Boots")</f>
        <v>Sweltering Boots</v>
      </c>
      <c r="B401" s="16"/>
      <c r="C401" s="16"/>
      <c r="D401" s="16" t="str">
        <f>IFERROR(__xludf.DUMMYFUNCTION("""COMPUTED_VALUE"""),"Feet")</f>
        <v>Feet</v>
      </c>
      <c r="E401" s="16">
        <f>IFERROR(__xludf.DUMMYFUNCTION("""COMPUTED_VALUE"""),400.0)</f>
        <v>400</v>
      </c>
      <c r="F401" s="16" t="str">
        <f>IFERROR(__xludf.DUMMYFUNCTION("""COMPUTED_VALUE"""),"DEF: +5000, Fire DEF: +5000, Water DEF: +5000, Nature DEF: +5000 (Sweltering Set) ++X2 Nature, Water, and Fire Damage.")</f>
        <v>DEF: +5000, Fire DEF: +5000, Water DEF: +5000, Nature DEF: +5000 (Sweltering Set) ++X2 Nature, Water, and Fire Damage.</v>
      </c>
      <c r="G401" s="16">
        <f>IFERROR(__xludf.DUMMYFUNCTION("""COMPUTED_VALUE"""),7800000.0)</f>
        <v>7800000</v>
      </c>
      <c r="H401" s="16"/>
      <c r="I401" s="16"/>
      <c r="J401" s="16"/>
      <c r="K401" s="16"/>
      <c r="L401" s="16"/>
      <c r="M401" s="16"/>
      <c r="N401" s="16"/>
      <c r="O401" s="16"/>
      <c r="P401" s="16"/>
      <c r="Q401" s="16"/>
      <c r="R401" s="16"/>
      <c r="S401" s="16"/>
      <c r="T401" s="16"/>
      <c r="U401" s="16"/>
      <c r="V401" s="16"/>
      <c r="W401" s="16"/>
      <c r="X401" s="16"/>
      <c r="Y401" s="16"/>
      <c r="Z401" s="16"/>
    </row>
    <row r="402">
      <c r="A402" s="16" t="str">
        <f>IFERROR(__xludf.DUMMYFUNCTION("""COMPUTED_VALUE"""),"Sweltering Pendent")</f>
        <v>Sweltering Pendent</v>
      </c>
      <c r="B402" s="16"/>
      <c r="C402" s="16"/>
      <c r="D402" s="16" t="str">
        <f>IFERROR(__xludf.DUMMYFUNCTION("""COMPUTED_VALUE"""),"Neck")</f>
        <v>Neck</v>
      </c>
      <c r="E402" s="16">
        <f>IFERROR(__xludf.DUMMYFUNCTION("""COMPUTED_VALUE"""),1.0)</f>
        <v>1</v>
      </c>
      <c r="F402" s="16" t="str">
        <f>IFERROR(__xludf.DUMMYFUNCTION("""COMPUTED_VALUE""")," (Sweltering Set) ++Fire, Nature, and Water immunity.")</f>
        <v> (Sweltering Set) ++Fire, Nature, and Water immunity.</v>
      </c>
      <c r="G402" s="16">
        <f>IFERROR(__xludf.DUMMYFUNCTION("""COMPUTED_VALUE"""),0.0)</f>
        <v>0</v>
      </c>
      <c r="H402" s="16"/>
      <c r="I402" s="16"/>
      <c r="J402" s="16"/>
      <c r="K402" s="16"/>
      <c r="L402" s="16"/>
      <c r="M402" s="16"/>
      <c r="N402" s="16"/>
      <c r="O402" s="16"/>
      <c r="P402" s="16"/>
      <c r="Q402" s="16"/>
      <c r="R402" s="16"/>
      <c r="S402" s="16"/>
      <c r="T402" s="16"/>
      <c r="U402" s="16"/>
      <c r="V402" s="16"/>
      <c r="W402" s="16"/>
      <c r="X402" s="16"/>
      <c r="Y402" s="16"/>
      <c r="Z402" s="16"/>
    </row>
    <row r="403">
      <c r="A403" s="16" t="str">
        <f>IFERROR(__xludf.DUMMYFUNCTION("""COMPUTED_VALUE"""),"Sweltering Ring")</f>
        <v>Sweltering Ring</v>
      </c>
      <c r="B403" s="16"/>
      <c r="C403" s="16"/>
      <c r="D403" s="16" t="str">
        <f>IFERROR(__xludf.DUMMYFUNCTION("""COMPUTED_VALUE"""),"Ring")</f>
        <v>Ring</v>
      </c>
      <c r="E403" s="16">
        <f>IFERROR(__xludf.DUMMYFUNCTION("""COMPUTED_VALUE"""),1.0)</f>
        <v>1</v>
      </c>
      <c r="F403" s="16" t="str">
        <f>IFERROR(__xludf.DUMMYFUNCTION("""COMPUTED_VALUE""")," (Sweltering Set) ++Fire, Nature, and Water immunity.")</f>
        <v> (Sweltering Set) ++Fire, Nature, and Water immunity.</v>
      </c>
      <c r="G403" s="16">
        <f>IFERROR(__xludf.DUMMYFUNCTION("""COMPUTED_VALUE"""),0.0)</f>
        <v>0</v>
      </c>
      <c r="H403" s="16"/>
      <c r="I403" s="16"/>
      <c r="J403" s="16"/>
      <c r="K403" s="16"/>
      <c r="L403" s="16"/>
      <c r="M403" s="16"/>
      <c r="N403" s="16"/>
      <c r="O403" s="16"/>
      <c r="P403" s="16"/>
      <c r="Q403" s="16"/>
      <c r="R403" s="16"/>
      <c r="S403" s="16"/>
      <c r="T403" s="16"/>
      <c r="U403" s="16"/>
      <c r="V403" s="16"/>
      <c r="W403" s="16"/>
      <c r="X403" s="16"/>
      <c r="Y403" s="16"/>
      <c r="Z403" s="16"/>
    </row>
    <row r="404">
      <c r="A404" s="16" t="str">
        <f>IFERROR(__xludf.DUMMYFUNCTION("""COMPUTED_VALUE"""),"Reinforced Tortoise Shell")</f>
        <v>Reinforced Tortoise Shell</v>
      </c>
      <c r="B404" s="16"/>
      <c r="C404" s="16"/>
      <c r="D404" s="16" t="str">
        <f>IFERROR(__xludf.DUMMYFUNCTION("""COMPUTED_VALUE"""),"Torso")</f>
        <v>Torso</v>
      </c>
      <c r="E404" s="16">
        <f>IFERROR(__xludf.DUMMYFUNCTION("""COMPUTED_VALUE"""),400.0)</f>
        <v>400</v>
      </c>
      <c r="F404" s="16" t="str">
        <f>IFERROR(__xludf.DUMMYFUNCTION("""COMPUTED_VALUE"""),"DEF: +10000, Water DEF: +5000, Light DEF: +5000 ++X2 Defense for the wearer. +-Cannot be Duplicated.")</f>
        <v>DEF: +10000, Water DEF: +5000, Light DEF: +5000 ++X2 Defense for the wearer. +-Cannot be Duplicated.</v>
      </c>
      <c r="G404" s="16">
        <f>IFERROR(__xludf.DUMMYFUNCTION("""COMPUTED_VALUE"""),7800000.0)</f>
        <v>7800000</v>
      </c>
      <c r="H404" s="16"/>
      <c r="I404" s="16"/>
      <c r="J404" s="16"/>
      <c r="K404" s="16"/>
      <c r="L404" s="16"/>
      <c r="M404" s="16"/>
      <c r="N404" s="16"/>
      <c r="O404" s="16"/>
      <c r="P404" s="16"/>
      <c r="Q404" s="16"/>
      <c r="R404" s="16"/>
      <c r="S404" s="16"/>
      <c r="T404" s="16"/>
      <c r="U404" s="16"/>
      <c r="V404" s="16"/>
      <c r="W404" s="16"/>
      <c r="X404" s="16"/>
      <c r="Y404" s="16"/>
      <c r="Z404" s="16"/>
    </row>
    <row r="405">
      <c r="A405" s="16" t="str">
        <f>IFERROR(__xludf.DUMMYFUNCTION("""COMPUTED_VALUE"""),"Tortoise Shell Shield")</f>
        <v>Tortoise Shell Shield</v>
      </c>
      <c r="B405" s="16"/>
      <c r="C405" s="16" t="str">
        <f>IFERROR(__xludf.DUMMYFUNCTION("""COMPUTED_VALUE"""),"Towershield")</f>
        <v>Towershield</v>
      </c>
      <c r="D405" s="16" t="str">
        <f>IFERROR(__xludf.DUMMYFUNCTION("""COMPUTED_VALUE"""),"Hand")</f>
        <v>Hand</v>
      </c>
      <c r="E405" s="16">
        <f>IFERROR(__xludf.DUMMYFUNCTION("""COMPUTED_VALUE"""),400.0)</f>
        <v>400</v>
      </c>
      <c r="F405" s="16" t="str">
        <f>IFERROR(__xludf.DUMMYFUNCTION("""COMPUTED_VALUE"""),"DEF: +20000 ++X2 Defense for the wearer. +-Cannot be Duplicated.")</f>
        <v>DEF: +20000 ++X2 Defense for the wearer. +-Cannot be Duplicated.</v>
      </c>
      <c r="G405" s="16">
        <f>IFERROR(__xludf.DUMMYFUNCTION("""COMPUTED_VALUE"""),7800000.0)</f>
        <v>7800000</v>
      </c>
      <c r="H405" s="16"/>
      <c r="I405" s="16"/>
      <c r="J405" s="16"/>
      <c r="K405" s="16"/>
      <c r="L405" s="16"/>
      <c r="M405" s="16"/>
      <c r="N405" s="16"/>
      <c r="O405" s="16"/>
      <c r="P405" s="16"/>
      <c r="Q405" s="16"/>
      <c r="R405" s="16"/>
      <c r="S405" s="16"/>
      <c r="T405" s="16"/>
      <c r="U405" s="16"/>
      <c r="V405" s="16"/>
      <c r="W405" s="16"/>
      <c r="X405" s="16"/>
      <c r="Y405" s="16"/>
      <c r="Z405" s="16"/>
    </row>
    <row r="406">
      <c r="A406" s="16" t="str">
        <f>IFERROR(__xludf.DUMMYFUNCTION("""COMPUTED_VALUE"""),"Stone of the Summit")</f>
        <v>Stone of the Summit</v>
      </c>
      <c r="B406" s="16"/>
      <c r="C406" s="16"/>
      <c r="D406" s="16" t="str">
        <f>IFERROR(__xludf.DUMMYFUNCTION("""COMPUTED_VALUE"""),"Hand")</f>
        <v>Hand</v>
      </c>
      <c r="E406" s="16">
        <f>IFERROR(__xludf.DUMMYFUNCTION("""COMPUTED_VALUE"""),1.0)</f>
        <v>1</v>
      </c>
      <c r="F406" s="16" t="str">
        <f>IFERROR(__xludf.DUMMYFUNCTION("""COMPUTED_VALUE""")," ++X2 additional damage towards weapons for the user.")</f>
        <v> ++X2 additional damage towards weapons for the user.</v>
      </c>
      <c r="G406" s="16">
        <f>IFERROR(__xludf.DUMMYFUNCTION("""COMPUTED_VALUE"""),0.0)</f>
        <v>0</v>
      </c>
      <c r="H406" s="16"/>
      <c r="I406" s="16"/>
      <c r="J406" s="16"/>
      <c r="K406" s="16"/>
      <c r="L406" s="16"/>
      <c r="M406" s="16"/>
      <c r="N406" s="16"/>
      <c r="O406" s="16"/>
      <c r="P406" s="16"/>
      <c r="Q406" s="16"/>
      <c r="R406" s="16"/>
      <c r="S406" s="16"/>
      <c r="T406" s="16"/>
      <c r="U406" s="16"/>
      <c r="V406" s="16"/>
      <c r="W406" s="16"/>
      <c r="X406" s="16"/>
      <c r="Y406" s="16"/>
      <c r="Z406" s="16"/>
    </row>
    <row r="407">
      <c r="A407" s="16" t="str">
        <f>IFERROR(__xludf.DUMMYFUNCTION("""COMPUTED_VALUE"""),"Deep Blue Pearl")</f>
        <v>Deep Blue Pearl</v>
      </c>
      <c r="B407" s="16" t="str">
        <f>IFERROR(__xludf.DUMMYFUNCTION("""COMPUTED_VALUE"""),"A rare pearl found deep within the ocean of Dragonscale Island.")</f>
        <v>A rare pearl found deep within the ocean of Dragonscale Island.</v>
      </c>
      <c r="C407" s="16"/>
      <c r="D407" s="16" t="str">
        <f>IFERROR(__xludf.DUMMYFUNCTION("""COMPUTED_VALUE"""),"Hand")</f>
        <v>Hand</v>
      </c>
      <c r="E407" s="16">
        <f>IFERROR(__xludf.DUMMYFUNCTION("""COMPUTED_VALUE"""),200.0)</f>
        <v>200</v>
      </c>
      <c r="F407" s="16" t="str">
        <f>IFERROR(__xludf.DUMMYFUNCTION("""COMPUTED_VALUE"""),"DEF: +10000 ++Water Immunity. ++Water damage dealt by you gives you sp back equal half the damage caused.")</f>
        <v>DEF: +10000 ++Water Immunity. ++Water damage dealt by you gives you sp back equal half the damage caused.</v>
      </c>
      <c r="G407" s="16">
        <f>IFERROR(__xludf.DUMMYFUNCTION("""COMPUTED_VALUE"""),1900000.0)</f>
        <v>1900000</v>
      </c>
      <c r="H407" s="16"/>
      <c r="I407" s="16"/>
      <c r="J407" s="16"/>
      <c r="K407" s="16"/>
      <c r="L407" s="16"/>
      <c r="M407" s="16"/>
      <c r="N407" s="16"/>
      <c r="O407" s="16"/>
      <c r="P407" s="16"/>
      <c r="Q407" s="16"/>
      <c r="R407" s="16"/>
      <c r="S407" s="16"/>
      <c r="T407" s="16"/>
      <c r="U407" s="16"/>
      <c r="V407" s="16"/>
      <c r="W407" s="16"/>
      <c r="X407" s="16"/>
      <c r="Y407" s="16"/>
      <c r="Z407" s="16"/>
    </row>
    <row r="408">
      <c r="A408" s="16" t="str">
        <f>IFERROR(__xludf.DUMMYFUNCTION("""COMPUTED_VALUE"""),"Tempests Lightning Rod")</f>
        <v>Tempests Lightning Rod</v>
      </c>
      <c r="B408" s="16"/>
      <c r="C408" s="16" t="str">
        <f>IFERROR(__xludf.DUMMYFUNCTION("""COMPUTED_VALUE"""),"Spear")</f>
        <v>Spear</v>
      </c>
      <c r="D408" s="16" t="str">
        <f>IFERROR(__xludf.DUMMYFUNCTION("""COMPUTED_VALUE"""),"Hand")</f>
        <v>Hand</v>
      </c>
      <c r="E408" s="16">
        <f>IFERROR(__xludf.DUMMYFUNCTION("""COMPUTED_VALUE"""),600.0)</f>
        <v>600</v>
      </c>
      <c r="F408" s="16" t="str">
        <f>IFERROR(__xludf.DUMMYFUNCTION("""COMPUTED_VALUE"""),"DMG: +10000, Water DMG: +10000, Storm DMG: +10000 ++X4 additional Storm Damage for the user, ++You may attack up to 3 times with this weapon in 1 turn, Roll a d3 to determine how many attacks this weapon does.")</f>
        <v>DMG: +10000, Water DMG: +10000, Storm DMG: +10000 ++X4 additional Storm Damage for the user, ++You may attack up to 3 times with this weapon in 1 turn, Roll a d3 to determine how many attacks this weapon does.</v>
      </c>
      <c r="G408" s="16">
        <f>IFERROR(__xludf.DUMMYFUNCTION("""COMPUTED_VALUE"""),1.77E7)</f>
        <v>17700000</v>
      </c>
      <c r="H408" s="16"/>
      <c r="I408" s="16"/>
      <c r="J408" s="16"/>
      <c r="K408" s="16"/>
      <c r="L408" s="16"/>
      <c r="M408" s="16"/>
      <c r="N408" s="16"/>
      <c r="O408" s="16"/>
      <c r="P408" s="16"/>
      <c r="Q408" s="16"/>
      <c r="R408" s="16"/>
      <c r="S408" s="16"/>
      <c r="T408" s="16"/>
      <c r="U408" s="16"/>
      <c r="V408" s="16"/>
      <c r="W408" s="16"/>
      <c r="X408" s="16"/>
      <c r="Y408" s="16"/>
      <c r="Z408" s="16"/>
    </row>
    <row r="409">
      <c r="A409" s="16" t="str">
        <f>IFERROR(__xludf.DUMMYFUNCTION("""COMPUTED_VALUE"""),"Sword of Mystic Vagility")</f>
        <v>Sword of Mystic Vagility</v>
      </c>
      <c r="B409" s="16"/>
      <c r="C409" s="16" t="str">
        <f>IFERROR(__xludf.DUMMYFUNCTION("""COMPUTED_VALUE"""),"Sword")</f>
        <v>Sword</v>
      </c>
      <c r="D409" s="16" t="str">
        <f>IFERROR(__xludf.DUMMYFUNCTION("""COMPUTED_VALUE"""),"Hand")</f>
        <v>Hand</v>
      </c>
      <c r="E409" s="16">
        <f>IFERROR(__xludf.DUMMYFUNCTION("""COMPUTED_VALUE"""),200.0)</f>
        <v>200</v>
      </c>
      <c r="F409" s="16" t="str">
        <f>IFERROR(__xludf.DUMMYFUNCTION("""COMPUTED_VALUE"""),"DMG: +50000, Celestial DMG: +50000 ++5 to d20 rolls, ++2 Evasion, ++2 Mobility. +-Cannot be duplicated.")</f>
        <v>DMG: +50000, Celestial DMG: +50000 ++5 to d20 rolls, ++2 Evasion, ++2 Mobility. +-Cannot be duplicated.</v>
      </c>
      <c r="G409" s="16">
        <f>IFERROR(__xludf.DUMMYFUNCTION("""COMPUTED_VALUE"""),1.99E8)</f>
        <v>199000000</v>
      </c>
      <c r="H409" s="16"/>
      <c r="I409" s="16"/>
      <c r="J409" s="16"/>
      <c r="K409" s="16"/>
      <c r="L409" s="16"/>
      <c r="M409" s="16"/>
      <c r="N409" s="16"/>
      <c r="O409" s="16"/>
      <c r="P409" s="16"/>
      <c r="Q409" s="16"/>
      <c r="R409" s="16"/>
      <c r="S409" s="16"/>
      <c r="T409" s="16"/>
      <c r="U409" s="16"/>
      <c r="V409" s="16"/>
      <c r="W409" s="16"/>
      <c r="X409" s="16"/>
      <c r="Y409" s="16"/>
      <c r="Z409" s="16"/>
    </row>
    <row r="410">
      <c r="A410" s="16" t="str">
        <f>IFERROR(__xludf.DUMMYFUNCTION("""COMPUTED_VALUE"""),".50 Caliber Machine Gun (car)")</f>
        <v>.50 Caliber Machine Gun (car)</v>
      </c>
      <c r="B410" s="16"/>
      <c r="C410" s="16" t="str">
        <f>IFERROR(__xludf.DUMMYFUNCTION("""COMPUTED_VALUE"""),"Firearm")</f>
        <v>Firearm</v>
      </c>
      <c r="D410" s="16" t="str">
        <f>IFERROR(__xludf.DUMMYFUNCTION("""COMPUTED_VALUE"""),"CarGun")</f>
        <v>CarGun</v>
      </c>
      <c r="E410" s="16">
        <f>IFERROR(__xludf.DUMMYFUNCTION("""COMPUTED_VALUE"""),400.0)</f>
        <v>400</v>
      </c>
      <c r="F410" s="16" t="str">
        <f>IFERROR(__xludf.DUMMYFUNCTION("""COMPUTED_VALUE"""),"DMG: +20000 ++Roll a d500 to see how many bullets are used when you attack with this weapon. +-Uses bullets. ++Damages 2 targets. ++Cannot Avoid.")</f>
        <v>DMG: +20000 ++Roll a d500 to see how many bullets are used when you attack with this weapon. +-Uses bullets. ++Damages 2 targets. ++Cannot Avoid.</v>
      </c>
      <c r="G410" s="16">
        <f>IFERROR(__xludf.DUMMYFUNCTION("""COMPUTED_VALUE"""),7800000.0)</f>
        <v>7800000</v>
      </c>
      <c r="H410" s="16"/>
      <c r="I410" s="16"/>
      <c r="J410" s="16"/>
      <c r="K410" s="16"/>
      <c r="L410" s="16"/>
      <c r="M410" s="16"/>
      <c r="N410" s="16"/>
      <c r="O410" s="16"/>
      <c r="P410" s="16"/>
      <c r="Q410" s="16"/>
      <c r="R410" s="16"/>
      <c r="S410" s="16"/>
      <c r="T410" s="16"/>
      <c r="U410" s="16"/>
      <c r="V410" s="16"/>
      <c r="W410" s="16"/>
      <c r="X410" s="16"/>
      <c r="Y410" s="16"/>
      <c r="Z410" s="16"/>
    </row>
    <row r="411">
      <c r="A411" s="16" t="str">
        <f>IFERROR(__xludf.DUMMYFUNCTION("""COMPUTED_VALUE"""),"Auto Turret")</f>
        <v>Auto Turret</v>
      </c>
      <c r="B411" s="16"/>
      <c r="C411" s="16" t="str">
        <f>IFERROR(__xludf.DUMMYFUNCTION("""COMPUTED_VALUE"""),"Firearm")</f>
        <v>Firearm</v>
      </c>
      <c r="D411" s="16" t="str">
        <f>IFERROR(__xludf.DUMMYFUNCTION("""COMPUTED_VALUE"""),"CarGun")</f>
        <v>CarGun</v>
      </c>
      <c r="E411" s="16">
        <f>IFERROR(__xludf.DUMMYFUNCTION("""COMPUTED_VALUE"""),800.0)</f>
        <v>800</v>
      </c>
      <c r="F411" s="16" t="str">
        <f>IFERROR(__xludf.DUMMYFUNCTION("""COMPUTED_VALUE"""),"DMG: +40000 ++Does not take an action to use, Acts as if it has a turn order of its own. ++Has unlimited bullets. +-Uses bullets ++Roll a d1000 to see how many bullets are used. ++Damages all targets. ++Cannot avoid.")</f>
        <v>DMG: +40000 ++Does not take an action to use, Acts as if it has a turn order of its own. ++Has unlimited bullets. +-Uses bullets ++Roll a d1000 to see how many bullets are used. ++Damages all targets. ++Cannot avoid.</v>
      </c>
      <c r="G411" s="16">
        <f>IFERROR(__xludf.DUMMYFUNCTION("""COMPUTED_VALUE"""),3.16E7)</f>
        <v>31600000</v>
      </c>
      <c r="H411" s="16"/>
      <c r="I411" s="16"/>
      <c r="J411" s="16"/>
      <c r="K411" s="16"/>
      <c r="L411" s="16"/>
      <c r="M411" s="16"/>
      <c r="N411" s="16"/>
      <c r="O411" s="16"/>
      <c r="P411" s="16"/>
      <c r="Q411" s="16"/>
      <c r="R411" s="16"/>
      <c r="S411" s="16"/>
      <c r="T411" s="16"/>
      <c r="U411" s="16"/>
      <c r="V411" s="16"/>
      <c r="W411" s="16"/>
      <c r="X411" s="16"/>
      <c r="Y411" s="16"/>
      <c r="Z411" s="16"/>
    </row>
    <row r="412">
      <c r="A412" s="16" t="str">
        <f>IFERROR(__xludf.DUMMYFUNCTION("""COMPUTED_VALUE"""),"Lazer Infused Cannon")</f>
        <v>Lazer Infused Cannon</v>
      </c>
      <c r="B412" s="16"/>
      <c r="C412" s="16" t="str">
        <f>IFERROR(__xludf.DUMMYFUNCTION("""COMPUTED_VALUE"""),"Firearm")</f>
        <v>Firearm</v>
      </c>
      <c r="D412" s="16" t="str">
        <f>IFERROR(__xludf.DUMMYFUNCTION("""COMPUTED_VALUE"""),"BoatGun")</f>
        <v>BoatGun</v>
      </c>
      <c r="E412" s="16">
        <f>IFERROR(__xludf.DUMMYFUNCTION("""COMPUTED_VALUE"""),5000.0)</f>
        <v>5000</v>
      </c>
      <c r="F412" s="16" t="str">
        <f>IFERROR(__xludf.DUMMYFUNCTION("""COMPUTED_VALUE"""),", Fire DMG: +250000 ++Does not use Ammunition. ++Cannot avoid, ++Damages all enemies.")</f>
        <v>, Fire DMG: +250000 ++Does not use Ammunition. ++Cannot avoid, ++Damages all enemies.</v>
      </c>
      <c r="G412" s="16">
        <f>IFERROR(__xludf.DUMMYFUNCTION("""COMPUTED_VALUE"""),1.2475E9)</f>
        <v>1247500000</v>
      </c>
      <c r="H412" s="16"/>
      <c r="I412" s="16"/>
      <c r="J412" s="16"/>
      <c r="K412" s="16"/>
      <c r="L412" s="16"/>
      <c r="M412" s="16"/>
      <c r="N412" s="16"/>
      <c r="O412" s="16"/>
      <c r="P412" s="16"/>
      <c r="Q412" s="16"/>
      <c r="R412" s="16"/>
      <c r="S412" s="16"/>
      <c r="T412" s="16"/>
      <c r="U412" s="16"/>
      <c r="V412" s="16"/>
      <c r="W412" s="16"/>
      <c r="X412" s="16"/>
      <c r="Y412" s="16"/>
      <c r="Z412" s="16"/>
    </row>
    <row r="413">
      <c r="A413" s="16" t="str">
        <f>IFERROR(__xludf.DUMMYFUNCTION("""COMPUTED_VALUE"""),"Roof Mounted Turret")</f>
        <v>Roof Mounted Turret</v>
      </c>
      <c r="B413" s="16"/>
      <c r="C413" s="16" t="str">
        <f>IFERROR(__xludf.DUMMYFUNCTION("""COMPUTED_VALUE"""),"Firearm")</f>
        <v>Firearm</v>
      </c>
      <c r="D413" s="16" t="str">
        <f>IFERROR(__xludf.DUMMYFUNCTION("""COMPUTED_VALUE"""),"CarGun")</f>
        <v>CarGun</v>
      </c>
      <c r="E413" s="16">
        <f>IFERROR(__xludf.DUMMYFUNCTION("""COMPUTED_VALUE"""),500.0)</f>
        <v>500</v>
      </c>
      <c r="F413" s="16" t="str">
        <f>IFERROR(__xludf.DUMMYFUNCTION("""COMPUTED_VALUE"""),"DMG: +25000 ++Roll a d500 to see how many bullets are used when you attack with this weapon. +-Uses bullets ++Damages up to 2 targets.")</f>
        <v>DMG: +25000 ++Roll a d500 to see how many bullets are used when you attack with this weapon. +-Uses bullets ++Damages up to 2 targets.</v>
      </c>
      <c r="G413" s="16">
        <f>IFERROR(__xludf.DUMMYFUNCTION("""COMPUTED_VALUE"""),1.225E7)</f>
        <v>12250000</v>
      </c>
      <c r="H413" s="16"/>
      <c r="I413" s="16"/>
      <c r="J413" s="16"/>
      <c r="K413" s="16"/>
      <c r="L413" s="16"/>
      <c r="M413" s="16"/>
      <c r="N413" s="16"/>
      <c r="O413" s="16"/>
      <c r="P413" s="16"/>
      <c r="Q413" s="16"/>
      <c r="R413" s="16"/>
      <c r="S413" s="16"/>
      <c r="T413" s="16"/>
      <c r="U413" s="16"/>
      <c r="V413" s="16"/>
      <c r="W413" s="16"/>
      <c r="X413" s="16"/>
      <c r="Y413" s="16"/>
      <c r="Z413" s="16"/>
    </row>
    <row r="414">
      <c r="A414" s="16" t="str">
        <f>IFERROR(__xludf.DUMMYFUNCTION("""COMPUTED_VALUE"""),".50 Caliber Machine Gun (boat)")</f>
        <v>.50 Caliber Machine Gun (boat)</v>
      </c>
      <c r="B414" s="16"/>
      <c r="C414" s="16" t="str">
        <f>IFERROR(__xludf.DUMMYFUNCTION("""COMPUTED_VALUE"""),"Firearm")</f>
        <v>Firearm</v>
      </c>
      <c r="D414" s="16" t="str">
        <f>IFERROR(__xludf.DUMMYFUNCTION("""COMPUTED_VALUE"""),"BoatGun")</f>
        <v>BoatGun</v>
      </c>
      <c r="E414" s="16">
        <f>IFERROR(__xludf.DUMMYFUNCTION("""COMPUTED_VALUE"""),500.0)</f>
        <v>500</v>
      </c>
      <c r="F414" s="16" t="str">
        <f>IFERROR(__xludf.DUMMYFUNCTION("""COMPUTED_VALUE"""),"DMG: +25000 ++Roll a d500 to see how many bullets are used when you attack with this weapon. +-Uses bullets")</f>
        <v>DMG: +25000 ++Roll a d500 to see how many bullets are used when you attack with this weapon. +-Uses bullets</v>
      </c>
      <c r="G414" s="16">
        <f>IFERROR(__xludf.DUMMYFUNCTION("""COMPUTED_VALUE"""),1.225E7)</f>
        <v>12250000</v>
      </c>
      <c r="H414" s="16"/>
      <c r="I414" s="16"/>
      <c r="J414" s="16"/>
      <c r="K414" s="16"/>
      <c r="L414" s="16"/>
      <c r="M414" s="16"/>
      <c r="N414" s="16"/>
      <c r="O414" s="16"/>
      <c r="P414" s="16"/>
      <c r="Q414" s="16"/>
      <c r="R414" s="16"/>
      <c r="S414" s="16"/>
      <c r="T414" s="16"/>
      <c r="U414" s="16"/>
      <c r="V414" s="16"/>
      <c r="W414" s="16"/>
      <c r="X414" s="16"/>
      <c r="Y414" s="16"/>
      <c r="Z414" s="16"/>
    </row>
    <row r="415">
      <c r="A415" s="16" t="str">
        <f>IFERROR(__xludf.DUMMYFUNCTION("""COMPUTED_VALUE"""),"Missile Turret (car)")</f>
        <v>Missile Turret (car)</v>
      </c>
      <c r="B415" s="16"/>
      <c r="C415" s="16" t="str">
        <f>IFERROR(__xludf.DUMMYFUNCTION("""COMPUTED_VALUE"""),"Firearm")</f>
        <v>Firearm</v>
      </c>
      <c r="D415" s="16" t="str">
        <f>IFERROR(__xludf.DUMMYFUNCTION("""COMPUTED_VALUE"""),"CarGun")</f>
        <v>CarGun</v>
      </c>
      <c r="E415" s="16">
        <f>IFERROR(__xludf.DUMMYFUNCTION("""COMPUTED_VALUE"""),2000.0)</f>
        <v>2000</v>
      </c>
      <c r="F415" s="16" t="str">
        <f>IFERROR(__xludf.DUMMYFUNCTION("""COMPUTED_VALUE"""),"DMG: +50000, Fire DMG: +50000 ++Damages all enemies. +-Uses Missiles.")</f>
        <v>DMG: +50000, Fire DMG: +50000 ++Damages all enemies. +-Uses Missiles.</v>
      </c>
      <c r="G415" s="16">
        <f>IFERROR(__xludf.DUMMYFUNCTION("""COMPUTED_VALUE"""),1.99E8)</f>
        <v>199000000</v>
      </c>
      <c r="H415" s="16"/>
      <c r="I415" s="16"/>
      <c r="J415" s="16"/>
      <c r="K415" s="16"/>
      <c r="L415" s="16"/>
      <c r="M415" s="16"/>
      <c r="N415" s="16"/>
      <c r="O415" s="16"/>
      <c r="P415" s="16"/>
      <c r="Q415" s="16"/>
      <c r="R415" s="16"/>
      <c r="S415" s="16"/>
      <c r="T415" s="16"/>
      <c r="U415" s="16"/>
      <c r="V415" s="16"/>
      <c r="W415" s="16"/>
      <c r="X415" s="16"/>
      <c r="Y415" s="16"/>
      <c r="Z415" s="16"/>
    </row>
    <row r="416">
      <c r="A416" s="16" t="str">
        <f>IFERROR(__xludf.DUMMYFUNCTION("""COMPUTED_VALUE"""),"Missile Turret (boat)")</f>
        <v>Missile Turret (boat)</v>
      </c>
      <c r="B416" s="16"/>
      <c r="C416" s="16" t="str">
        <f>IFERROR(__xludf.DUMMYFUNCTION("""COMPUTED_VALUE"""),"Firearm")</f>
        <v>Firearm</v>
      </c>
      <c r="D416" s="16" t="str">
        <f>IFERROR(__xludf.DUMMYFUNCTION("""COMPUTED_VALUE"""),"BoatGun")</f>
        <v>BoatGun</v>
      </c>
      <c r="E416" s="16">
        <f>IFERROR(__xludf.DUMMYFUNCTION("""COMPUTED_VALUE"""),2000.0)</f>
        <v>2000</v>
      </c>
      <c r="F416" s="16" t="str">
        <f>IFERROR(__xludf.DUMMYFUNCTION("""COMPUTED_VALUE"""),"DMG: +50000, Fire DMG: +50000 ++Damages all enemies. +-Uses Missiles.")</f>
        <v>DMG: +50000, Fire DMG: +50000 ++Damages all enemies. +-Uses Missiles.</v>
      </c>
      <c r="G416" s="16">
        <f>IFERROR(__xludf.DUMMYFUNCTION("""COMPUTED_VALUE"""),1.99E8)</f>
        <v>199000000</v>
      </c>
      <c r="H416" s="16"/>
      <c r="I416" s="16"/>
      <c r="J416" s="16"/>
      <c r="K416" s="16"/>
      <c r="L416" s="16"/>
      <c r="M416" s="16"/>
      <c r="N416" s="16"/>
      <c r="O416" s="16"/>
      <c r="P416" s="16"/>
      <c r="Q416" s="16"/>
      <c r="R416" s="16"/>
      <c r="S416" s="16"/>
      <c r="T416" s="16"/>
      <c r="U416" s="16"/>
      <c r="V416" s="16"/>
      <c r="W416" s="16"/>
      <c r="X416" s="16"/>
      <c r="Y416" s="16"/>
      <c r="Z416" s="16"/>
    </row>
    <row r="417">
      <c r="A417" s="16" t="str">
        <f>IFERROR(__xludf.DUMMYFUNCTION("""COMPUTED_VALUE"""),"Royal Sword of Dragonia")</f>
        <v>Royal Sword of Dragonia</v>
      </c>
      <c r="B417" s="16"/>
      <c r="C417" s="16" t="str">
        <f>IFERROR(__xludf.DUMMYFUNCTION("""COMPUTED_VALUE"""),"Sword")</f>
        <v>Sword</v>
      </c>
      <c r="D417" s="16" t="str">
        <f>IFERROR(__xludf.DUMMYFUNCTION("""COMPUTED_VALUE"""),"Hand")</f>
        <v>Hand</v>
      </c>
      <c r="E417" s="16">
        <f>IFERROR(__xludf.DUMMYFUNCTION("""COMPUTED_VALUE"""),200.0)</f>
        <v>200</v>
      </c>
      <c r="F417" s="16" t="str">
        <f>IFERROR(__xludf.DUMMYFUNCTION("""COMPUTED_VALUE"""),"DMG: +50000, Fire DMG: +50000, Order DMG: +50000, Blood DMG: +25000, Celestial DMG: +25000 ++Dragons Luck II: If you have a dragon companion with you during the current battle add ++5 to your turn order roll. +-Cannot be forged +-Cannot be duplicated")</f>
        <v>DMG: +50000, Fire DMG: +50000, Order DMG: +50000, Blood DMG: +25000, Celestial DMG: +25000 ++Dragons Luck II: If you have a dragon companion with you during the current battle add ++5 to your turn order roll. +-Cannot be forged +-Cannot be duplicated</v>
      </c>
      <c r="G417" s="16">
        <f>IFERROR(__xludf.DUMMYFUNCTION("""COMPUTED_VALUE"""),7.98E8)</f>
        <v>798000000</v>
      </c>
      <c r="H417" s="16"/>
      <c r="I417" s="16"/>
      <c r="J417" s="16"/>
      <c r="K417" s="16"/>
      <c r="L417" s="16"/>
      <c r="M417" s="16"/>
      <c r="N417" s="16"/>
      <c r="O417" s="16"/>
      <c r="P417" s="16"/>
      <c r="Q417" s="16"/>
      <c r="R417" s="16"/>
      <c r="S417" s="16"/>
      <c r="T417" s="16"/>
      <c r="U417" s="16"/>
      <c r="V417" s="16"/>
      <c r="W417" s="16"/>
      <c r="X417" s="16"/>
      <c r="Y417" s="16"/>
      <c r="Z417" s="16"/>
    </row>
    <row r="418">
      <c r="A418" s="16" t="str">
        <f>IFERROR(__xludf.DUMMYFUNCTION("""COMPUTED_VALUE"""),"Dragonian Helm")</f>
        <v>Dragonian Helm</v>
      </c>
      <c r="B418" s="16"/>
      <c r="C418" s="16" t="str">
        <f>IFERROR(__xludf.DUMMYFUNCTION("""COMPUTED_VALUE"""),"Sword")</f>
        <v>Sword</v>
      </c>
      <c r="D418" s="16" t="str">
        <f>IFERROR(__xludf.DUMMYFUNCTION("""COMPUTED_VALUE"""),"Head")</f>
        <v>Head</v>
      </c>
      <c r="E418" s="16">
        <f>IFERROR(__xludf.DUMMYFUNCTION("""COMPUTED_VALUE"""),200.0)</f>
        <v>200</v>
      </c>
      <c r="F418"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18" s="16">
        <f>IFERROR(__xludf.DUMMYFUNCTION("""COMPUTED_VALUE"""),7.98E8)</f>
        <v>798000000</v>
      </c>
      <c r="H418" s="16"/>
      <c r="I418" s="16"/>
      <c r="J418" s="16"/>
      <c r="K418" s="16"/>
      <c r="L418" s="16"/>
      <c r="M418" s="16"/>
      <c r="N418" s="16"/>
      <c r="O418" s="16"/>
      <c r="P418" s="16"/>
      <c r="Q418" s="16"/>
      <c r="R418" s="16"/>
      <c r="S418" s="16"/>
      <c r="T418" s="16"/>
      <c r="U418" s="16"/>
      <c r="V418" s="16"/>
      <c r="W418" s="16"/>
      <c r="X418" s="16"/>
      <c r="Y418" s="16"/>
      <c r="Z418" s="16"/>
    </row>
    <row r="419">
      <c r="A419" s="16" t="str">
        <f>IFERROR(__xludf.DUMMYFUNCTION("""COMPUTED_VALUE"""),"Dragonian Pauldrons")</f>
        <v>Dragonian Pauldrons</v>
      </c>
      <c r="B419" s="16"/>
      <c r="C419" s="16"/>
      <c r="D419" s="16" t="str">
        <f>IFERROR(__xludf.DUMMYFUNCTION("""COMPUTED_VALUE"""),"Shoulders")</f>
        <v>Shoulders</v>
      </c>
      <c r="E419" s="16">
        <f>IFERROR(__xludf.DUMMYFUNCTION("""COMPUTED_VALUE"""),200.0)</f>
        <v>200</v>
      </c>
      <c r="F419"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19" s="16">
        <f>IFERROR(__xludf.DUMMYFUNCTION("""COMPUTED_VALUE"""),7.98E8)</f>
        <v>798000000</v>
      </c>
      <c r="H419" s="16"/>
      <c r="I419" s="16"/>
      <c r="J419" s="16"/>
      <c r="K419" s="16"/>
      <c r="L419" s="16"/>
      <c r="M419" s="16"/>
      <c r="N419" s="16"/>
      <c r="O419" s="16"/>
      <c r="P419" s="16"/>
      <c r="Q419" s="16"/>
      <c r="R419" s="16"/>
      <c r="S419" s="16"/>
      <c r="T419" s="16"/>
      <c r="U419" s="16"/>
      <c r="V419" s="16"/>
      <c r="W419" s="16"/>
      <c r="X419" s="16"/>
      <c r="Y419" s="16"/>
      <c r="Z419" s="16"/>
    </row>
    <row r="420">
      <c r="A420" s="16" t="str">
        <f>IFERROR(__xludf.DUMMYFUNCTION("""COMPUTED_VALUE"""),"Dragonian Chestplate")</f>
        <v>Dragonian Chestplate</v>
      </c>
      <c r="B420" s="16"/>
      <c r="C420" s="16"/>
      <c r="D420" s="16" t="str">
        <f>IFERROR(__xludf.DUMMYFUNCTION("""COMPUTED_VALUE"""),"Torso")</f>
        <v>Torso</v>
      </c>
      <c r="E420" s="16">
        <f>IFERROR(__xludf.DUMMYFUNCTION("""COMPUTED_VALUE"""),200.0)</f>
        <v>200</v>
      </c>
      <c r="F420"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0" s="16">
        <f>IFERROR(__xludf.DUMMYFUNCTION("""COMPUTED_VALUE"""),7.98E8)</f>
        <v>798000000</v>
      </c>
      <c r="H420" s="16"/>
      <c r="I420" s="16"/>
      <c r="J420" s="16"/>
      <c r="K420" s="16"/>
      <c r="L420" s="16"/>
      <c r="M420" s="16"/>
      <c r="N420" s="16"/>
      <c r="O420" s="16"/>
      <c r="P420" s="16"/>
      <c r="Q420" s="16"/>
      <c r="R420" s="16"/>
      <c r="S420" s="16"/>
      <c r="T420" s="16"/>
      <c r="U420" s="16"/>
      <c r="V420" s="16"/>
      <c r="W420" s="16"/>
      <c r="X420" s="16"/>
      <c r="Y420" s="16"/>
      <c r="Z420" s="16"/>
    </row>
    <row r="421">
      <c r="A421" s="16" t="str">
        <f>IFERROR(__xludf.DUMMYFUNCTION("""COMPUTED_VALUE"""),"Dragonian Vambraces")</f>
        <v>Dragonian Vambraces</v>
      </c>
      <c r="B421" s="16"/>
      <c r="C421" s="16"/>
      <c r="D421" s="16" t="str">
        <f>IFERROR(__xludf.DUMMYFUNCTION("""COMPUTED_VALUE"""),"Arms")</f>
        <v>Arms</v>
      </c>
      <c r="E421" s="16">
        <f>IFERROR(__xludf.DUMMYFUNCTION("""COMPUTED_VALUE"""),200.0)</f>
        <v>200</v>
      </c>
      <c r="F421"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1" s="16">
        <f>IFERROR(__xludf.DUMMYFUNCTION("""COMPUTED_VALUE"""),7.98E8)</f>
        <v>798000000</v>
      </c>
      <c r="H421" s="16"/>
      <c r="I421" s="16"/>
      <c r="J421" s="16"/>
      <c r="K421" s="16"/>
      <c r="L421" s="16"/>
      <c r="M421" s="16"/>
      <c r="N421" s="16"/>
      <c r="O421" s="16"/>
      <c r="P421" s="16"/>
      <c r="Q421" s="16"/>
      <c r="R421" s="16"/>
      <c r="S421" s="16"/>
      <c r="T421" s="16"/>
      <c r="U421" s="16"/>
      <c r="V421" s="16"/>
      <c r="W421" s="16"/>
      <c r="X421" s="16"/>
      <c r="Y421" s="16"/>
      <c r="Z421" s="16"/>
    </row>
    <row r="422">
      <c r="A422" s="16" t="str">
        <f>IFERROR(__xludf.DUMMYFUNCTION("""COMPUTED_VALUE"""),"Dragonian Greaves")</f>
        <v>Dragonian Greaves</v>
      </c>
      <c r="B422" s="16"/>
      <c r="C422" s="16"/>
      <c r="D422" s="16" t="str">
        <f>IFERROR(__xludf.DUMMYFUNCTION("""COMPUTED_VALUE"""),"Legs")</f>
        <v>Legs</v>
      </c>
      <c r="E422" s="16">
        <f>IFERROR(__xludf.DUMMYFUNCTION("""COMPUTED_VALUE"""),200.0)</f>
        <v>200</v>
      </c>
      <c r="F422"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2" s="16">
        <f>IFERROR(__xludf.DUMMYFUNCTION("""COMPUTED_VALUE"""),7.98E8)</f>
        <v>798000000</v>
      </c>
      <c r="H422" s="16"/>
      <c r="I422" s="16"/>
      <c r="J422" s="16"/>
      <c r="K422" s="16"/>
      <c r="L422" s="16"/>
      <c r="M422" s="16"/>
      <c r="N422" s="16"/>
      <c r="O422" s="16"/>
      <c r="P422" s="16"/>
      <c r="Q422" s="16"/>
      <c r="R422" s="16"/>
      <c r="S422" s="16"/>
      <c r="T422" s="16"/>
      <c r="U422" s="16"/>
      <c r="V422" s="16"/>
      <c r="W422" s="16"/>
      <c r="X422" s="16"/>
      <c r="Y422" s="16"/>
      <c r="Z422" s="16"/>
    </row>
    <row r="423">
      <c r="A423" s="16" t="str">
        <f>IFERROR(__xludf.DUMMYFUNCTION("""COMPUTED_VALUE"""),"Dragonian Boots")</f>
        <v>Dragonian Boots</v>
      </c>
      <c r="B423" s="16"/>
      <c r="C423" s="16"/>
      <c r="D423" s="16" t="str">
        <f>IFERROR(__xludf.DUMMYFUNCTION("""COMPUTED_VALUE"""),"Feet")</f>
        <v>Feet</v>
      </c>
      <c r="E423" s="16">
        <f>IFERROR(__xludf.DUMMYFUNCTION("""COMPUTED_VALUE"""),200.0)</f>
        <v>200</v>
      </c>
      <c r="F423"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3" s="16">
        <f>IFERROR(__xludf.DUMMYFUNCTION("""COMPUTED_VALUE"""),7.98E8)</f>
        <v>798000000</v>
      </c>
      <c r="H423" s="16"/>
      <c r="I423" s="16"/>
      <c r="J423" s="16"/>
      <c r="K423" s="16"/>
      <c r="L423" s="16"/>
      <c r="M423" s="16"/>
      <c r="N423" s="16"/>
      <c r="O423" s="16"/>
      <c r="P423" s="16"/>
      <c r="Q423" s="16"/>
      <c r="R423" s="16"/>
      <c r="S423" s="16"/>
      <c r="T423" s="16"/>
      <c r="U423" s="16"/>
      <c r="V423" s="16"/>
      <c r="W423" s="16"/>
      <c r="X423" s="16"/>
      <c r="Y423" s="16"/>
      <c r="Z423" s="16"/>
    </row>
    <row r="424">
      <c r="A424" s="16" t="str">
        <f>IFERROR(__xludf.DUMMYFUNCTION("""COMPUTED_VALUE"""),"Dragonian Pendent")</f>
        <v>Dragonian Pendent</v>
      </c>
      <c r="B424" s="16"/>
      <c r="C424" s="16"/>
      <c r="D424" s="16" t="str">
        <f>IFERROR(__xludf.DUMMYFUNCTION("""COMPUTED_VALUE"""),"Neck")</f>
        <v>Neck</v>
      </c>
      <c r="E424" s="16">
        <f>IFERROR(__xludf.DUMMYFUNCTION("""COMPUTED_VALUE"""),200.0)</f>
        <v>200</v>
      </c>
      <c r="F424" s="16" t="str">
        <f>IFERROR(__xludf.DUMMYFUNCTION("""COMPUTED_VALUE"""),", Celestial DEF: +15000 ++Dragon Dealer: Damage dealt to dragons by the wearer is increased by X4. +-Cannot be forged +-Cannot be duplicated")</f>
        <v>, Celestial DEF: +15000 ++Dragon Dealer: Damage dealt to dragons by the wearer is increased by X4. +-Cannot be forged +-Cannot be duplicated</v>
      </c>
      <c r="G424" s="16">
        <f>IFERROR(__xludf.DUMMYFUNCTION("""COMPUTED_VALUE"""),4350000.0)</f>
        <v>4350000</v>
      </c>
      <c r="H424" s="16"/>
      <c r="I424" s="16"/>
      <c r="J424" s="16"/>
      <c r="K424" s="16"/>
      <c r="L424" s="16"/>
      <c r="M424" s="16"/>
      <c r="N424" s="16"/>
      <c r="O424" s="16"/>
      <c r="P424" s="16"/>
      <c r="Q424" s="16"/>
      <c r="R424" s="16"/>
      <c r="S424" s="16"/>
      <c r="T424" s="16"/>
      <c r="U424" s="16"/>
      <c r="V424" s="16"/>
      <c r="W424" s="16"/>
      <c r="X424" s="16"/>
      <c r="Y424" s="16"/>
      <c r="Z424" s="16"/>
    </row>
    <row r="425">
      <c r="A425" s="16" t="str">
        <f>IFERROR(__xludf.DUMMYFUNCTION("""COMPUTED_VALUE"""),"Dragonian Ring")</f>
        <v>Dragonian Ring</v>
      </c>
      <c r="B425" s="16"/>
      <c r="C425" s="16"/>
      <c r="D425" s="16" t="str">
        <f>IFERROR(__xludf.DUMMYFUNCTION("""COMPUTED_VALUE"""),"Ring")</f>
        <v>Ring</v>
      </c>
      <c r="E425" s="16">
        <f>IFERROR(__xludf.DUMMYFUNCTION("""COMPUTED_VALUE"""),200.0)</f>
        <v>200</v>
      </c>
      <c r="F425" s="16" t="str">
        <f>IFERROR(__xludf.DUMMYFUNCTION("""COMPUTED_VALUE"""),", Celestial DEF: +15000 ++Dragon Dealer: Damage dealt to dragons by the wearer is increased by X4. +-Cannot be forged +-Cannot be duplicated")</f>
        <v>, Celestial DEF: +15000 ++Dragon Dealer: Damage dealt to dragons by the wearer is increased by X4. +-Cannot be forged +-Cannot be duplicated</v>
      </c>
      <c r="G425" s="16">
        <f>IFERROR(__xludf.DUMMYFUNCTION("""COMPUTED_VALUE"""),4350000.0)</f>
        <v>4350000</v>
      </c>
      <c r="H425" s="16"/>
      <c r="I425" s="16"/>
      <c r="J425" s="16"/>
      <c r="K425" s="16"/>
      <c r="L425" s="16"/>
      <c r="M425" s="16"/>
      <c r="N425" s="16"/>
      <c r="O425" s="16"/>
      <c r="P425" s="16"/>
      <c r="Q425" s="16"/>
      <c r="R425" s="16"/>
      <c r="S425" s="16"/>
      <c r="T425" s="16"/>
      <c r="U425" s="16"/>
      <c r="V425" s="16"/>
      <c r="W425" s="16"/>
      <c r="X425" s="16"/>
      <c r="Y425" s="16"/>
      <c r="Z425" s="16"/>
    </row>
    <row r="426">
      <c r="A426" s="16" t="str">
        <f>IFERROR(__xludf.DUMMYFUNCTION("""COMPUTED_VALUE"""),"Fishing Pole of Luck and Power")</f>
        <v>Fishing Pole of Luck and Power</v>
      </c>
      <c r="B426" s="16"/>
      <c r="C426" s="16" t="str">
        <f>IFERROR(__xludf.DUMMYFUNCTION("""COMPUTED_VALUE"""),"Club")</f>
        <v>Club</v>
      </c>
      <c r="D426" s="16" t="str">
        <f>IFERROR(__xludf.DUMMYFUNCTION("""COMPUTED_VALUE"""),"Hand")</f>
        <v>Hand</v>
      </c>
      <c r="E426" s="16">
        <f>IFERROR(__xludf.DUMMYFUNCTION("""COMPUTED_VALUE"""),1600.0)</f>
        <v>1600</v>
      </c>
      <c r="F426" s="16" t="str">
        <f>IFERROR(__xludf.DUMMYFUNCTION("""COMPUTED_VALUE"""),"DMG: +20000, Fire DMG: +20000, Water DMG: +20000, Storm DMG: +20000 ++Can be used as a weapon or to fish, Will cook fish that are caught. ++When you deal damage to a target with this item it will have a 50% chance to remove them from battle.")</f>
        <v>DMG: +20000, Fire DMG: +20000, Water DMG: +20000, Storm DMG: +20000 ++Can be used as a weapon or to fish, Will cook fish that are caught. ++When you deal damage to a target with this item it will have a 50% chance to remove them from battle.</v>
      </c>
      <c r="G426" s="16">
        <f>IFERROR(__xludf.DUMMYFUNCTION("""COMPUTED_VALUE"""),1.272E8)</f>
        <v>127200000</v>
      </c>
      <c r="H426" s="16"/>
      <c r="I426" s="16"/>
      <c r="J426" s="16"/>
      <c r="K426" s="16"/>
      <c r="L426" s="16"/>
      <c r="M426" s="16"/>
      <c r="N426" s="16"/>
      <c r="O426" s="16"/>
      <c r="P426" s="16"/>
      <c r="Q426" s="16"/>
      <c r="R426" s="16"/>
      <c r="S426" s="16"/>
      <c r="T426" s="16"/>
      <c r="U426" s="16"/>
      <c r="V426" s="16"/>
      <c r="W426" s="16"/>
      <c r="X426" s="16"/>
      <c r="Y426" s="16"/>
      <c r="Z426" s="16"/>
    </row>
    <row r="427">
      <c r="A427" s="16" t="str">
        <f>IFERROR(__xludf.DUMMYFUNCTION("""COMPUTED_VALUE"""),"Ancient Oni Pauldrons")</f>
        <v>Ancient Oni Pauldrons</v>
      </c>
      <c r="B427" s="16" t="str">
        <f>IFERROR(__xludf.DUMMYFUNCTION("""COMPUTED_VALUE"""),"An ancient relic to Zhenmay")</f>
        <v>An ancient relic to Zhenmay</v>
      </c>
      <c r="C427" s="16"/>
      <c r="D427" s="16" t="str">
        <f>IFERROR(__xludf.DUMMYFUNCTION("""COMPUTED_VALUE"""),"Shoulders")</f>
        <v>Shoulders</v>
      </c>
      <c r="E427" s="16">
        <f>IFERROR(__xludf.DUMMYFUNCTION("""COMPUTED_VALUE"""),200.0)</f>
        <v>200</v>
      </c>
      <c r="F427"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G427" s="16">
        <f>IFERROR(__xludf.DUMMYFUNCTION("""COMPUTED_VALUE"""),5.104E8)</f>
        <v>510400000</v>
      </c>
      <c r="H427" s="16"/>
      <c r="I427" s="16"/>
      <c r="J427" s="16"/>
      <c r="K427" s="16"/>
      <c r="L427" s="16"/>
      <c r="M427" s="16"/>
      <c r="N427" s="16"/>
      <c r="O427" s="16"/>
      <c r="P427" s="16"/>
      <c r="Q427" s="16"/>
      <c r="R427" s="16"/>
      <c r="S427" s="16"/>
      <c r="T427" s="16"/>
      <c r="U427" s="16"/>
      <c r="V427" s="16"/>
      <c r="W427" s="16"/>
      <c r="X427" s="16"/>
      <c r="Y427" s="16"/>
      <c r="Z427" s="16"/>
    </row>
    <row r="428">
      <c r="A428" s="16" t="str">
        <f>IFERROR(__xludf.DUMMYFUNCTION("""COMPUTED_VALUE"""),"Ancient Oni Vambraces")</f>
        <v>Ancient Oni Vambraces</v>
      </c>
      <c r="B428" s="16" t="str">
        <f>IFERROR(__xludf.DUMMYFUNCTION("""COMPUTED_VALUE"""),"An ancient relic to Zhenmay")</f>
        <v>An ancient relic to Zhenmay</v>
      </c>
      <c r="C428" s="16"/>
      <c r="D428" s="16" t="str">
        <f>IFERROR(__xludf.DUMMYFUNCTION("""COMPUTED_VALUE"""),"Arms")</f>
        <v>Arms</v>
      </c>
      <c r="E428" s="16">
        <f>IFERROR(__xludf.DUMMYFUNCTION("""COMPUTED_VALUE"""),200.0)</f>
        <v>200</v>
      </c>
      <c r="F428"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28" s="16">
        <f>IFERROR(__xludf.DUMMYFUNCTION("""COMPUTED_VALUE"""),5.104E8)</f>
        <v>510400000</v>
      </c>
      <c r="H428" s="16"/>
      <c r="I428" s="16"/>
      <c r="J428" s="16"/>
      <c r="K428" s="16"/>
      <c r="L428" s="16"/>
      <c r="M428" s="16"/>
      <c r="N428" s="16"/>
      <c r="O428" s="16"/>
      <c r="P428" s="16"/>
      <c r="Q428" s="16"/>
      <c r="R428" s="16"/>
      <c r="S428" s="16"/>
      <c r="T428" s="16"/>
      <c r="U428" s="16"/>
      <c r="V428" s="16"/>
      <c r="W428" s="16"/>
      <c r="X428" s="16"/>
      <c r="Y428" s="16"/>
      <c r="Z428" s="16"/>
    </row>
    <row r="429">
      <c r="A429" s="16" t="str">
        <f>IFERROR(__xludf.DUMMYFUNCTION("""COMPUTED_VALUE"""),"Ancient Oni Greaves")</f>
        <v>Ancient Oni Greaves</v>
      </c>
      <c r="B429" s="16" t="str">
        <f>IFERROR(__xludf.DUMMYFUNCTION("""COMPUTED_VALUE"""),"An ancient relic to Zhenmay")</f>
        <v>An ancient relic to Zhenmay</v>
      </c>
      <c r="C429" s="16"/>
      <c r="D429" s="16" t="str">
        <f>IFERROR(__xludf.DUMMYFUNCTION("""COMPUTED_VALUE"""),"Legs")</f>
        <v>Legs</v>
      </c>
      <c r="E429" s="16">
        <f>IFERROR(__xludf.DUMMYFUNCTION("""COMPUTED_VALUE"""),200.0)</f>
        <v>200</v>
      </c>
      <c r="F429"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29" s="16">
        <f>IFERROR(__xludf.DUMMYFUNCTION("""COMPUTED_VALUE"""),5.104E8)</f>
        <v>510400000</v>
      </c>
      <c r="H429" s="16"/>
      <c r="I429" s="16"/>
      <c r="J429" s="16"/>
      <c r="K429" s="16"/>
      <c r="L429" s="16"/>
      <c r="M429" s="16"/>
      <c r="N429" s="16"/>
      <c r="O429" s="16"/>
      <c r="P429" s="16"/>
      <c r="Q429" s="16"/>
      <c r="R429" s="16"/>
      <c r="S429" s="16"/>
      <c r="T429" s="16"/>
      <c r="U429" s="16"/>
      <c r="V429" s="16"/>
      <c r="W429" s="16"/>
      <c r="X429" s="16"/>
      <c r="Y429" s="16"/>
      <c r="Z429" s="16"/>
    </row>
    <row r="430">
      <c r="A430" s="16" t="str">
        <f>IFERROR(__xludf.DUMMYFUNCTION("""COMPUTED_VALUE"""),"Ancient Oni Boots")</f>
        <v>Ancient Oni Boots</v>
      </c>
      <c r="B430" s="16" t="str">
        <f>IFERROR(__xludf.DUMMYFUNCTION("""COMPUTED_VALUE"""),"An ancient relic to Zhenmay")</f>
        <v>An ancient relic to Zhenmay</v>
      </c>
      <c r="C430" s="16"/>
      <c r="D430" s="16" t="str">
        <f>IFERROR(__xludf.DUMMYFUNCTION("""COMPUTED_VALUE"""),"Feet")</f>
        <v>Feet</v>
      </c>
      <c r="E430" s="16">
        <f>IFERROR(__xludf.DUMMYFUNCTION("""COMPUTED_VALUE"""),200.0)</f>
        <v>200</v>
      </c>
      <c r="F430"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30" s="16">
        <f>IFERROR(__xludf.DUMMYFUNCTION("""COMPUTED_VALUE"""),5.104E8)</f>
        <v>510400000</v>
      </c>
      <c r="H430" s="16"/>
      <c r="I430" s="16"/>
      <c r="J430" s="16"/>
      <c r="K430" s="16"/>
      <c r="L430" s="16"/>
      <c r="M430" s="16"/>
      <c r="N430" s="16"/>
      <c r="O430" s="16"/>
      <c r="P430" s="16"/>
      <c r="Q430" s="16"/>
      <c r="R430" s="16"/>
      <c r="S430" s="16"/>
      <c r="T430" s="16"/>
      <c r="U430" s="16"/>
      <c r="V430" s="16"/>
      <c r="W430" s="16"/>
      <c r="X430" s="16"/>
      <c r="Y430" s="16"/>
      <c r="Z430" s="16"/>
    </row>
    <row r="431">
      <c r="A431" s="16" t="str">
        <f>IFERROR(__xludf.DUMMYFUNCTION("""COMPUTED_VALUE"""),"Ancient Oni Katana")</f>
        <v>Ancient Oni Katana</v>
      </c>
      <c r="B431" s="16" t="str">
        <f>IFERROR(__xludf.DUMMYFUNCTION("""COMPUTED_VALUE"""),"An ancient relic to Zhenmay")</f>
        <v>An ancient relic to Zhenmay</v>
      </c>
      <c r="C431" s="16" t="str">
        <f>IFERROR(__xludf.DUMMYFUNCTION("""COMPUTED_VALUE"""),"Sword")</f>
        <v>Sword</v>
      </c>
      <c r="D431" s="16" t="str">
        <f>IFERROR(__xludf.DUMMYFUNCTION("""COMPUTED_VALUE"""),"Hand")</f>
        <v>Hand</v>
      </c>
      <c r="E431" s="16">
        <f>IFERROR(__xludf.DUMMYFUNCTION("""COMPUTED_VALUE"""),200.0)</f>
        <v>200</v>
      </c>
      <c r="F431" s="16" t="str">
        <f>IFERROR(__xludf.DUMMYFUNCTION("""COMPUTED_VALUE"""),"DMG: +10000, Fire DMG: +10000, Physical DMG: +10000, Water DMG: +10000, Storm DMG: +10000, Earth DMG: +10000, Light DMG: +10000, Dark DMG: +10000, Spirit DMG: +10000, Order DMG: +10000, Chaos DMG: +10000, Nature DMG: +10000, Voodoo DMG: +10000, Blood DMG:"&amp;" +10000, Astral DMG: +10000, Celestial DMG: +10000 ++X2 additional damage for all elements. +-Only Samurai's, Monks, and Ninjas can equip. +-Cannot be forged +-Cannot be duplicated")</f>
        <v>DMG: +10000, Fire DMG: +10000, Physical DMG: +10000, Water DMG: +10000, Storm DMG: +10000, Earth DMG: +10000, Light DMG: +10000, Dark DMG: +10000, Spirit DMG: +10000, Order DMG: +10000, Chaos DMG: +10000, Nature DMG: +10000, Voodoo DMG: +10000, Blood DMG: +10000, Astral DMG: +10000, Celestial DMG: +10000 ++X2 additional damage for all elements. +-Only Samurai's, Monks, and Ninjas can equip. +-Cannot be forged +-Cannot be duplicated</v>
      </c>
      <c r="G431" s="16">
        <f>IFERROR(__xludf.DUMMYFUNCTION("""COMPUTED_VALUE"""),5.104E8)</f>
        <v>510400000</v>
      </c>
      <c r="H431" s="16"/>
      <c r="I431" s="16"/>
      <c r="J431" s="16"/>
      <c r="K431" s="16"/>
      <c r="L431" s="16"/>
      <c r="M431" s="16"/>
      <c r="N431" s="16"/>
      <c r="O431" s="16"/>
      <c r="P431" s="16"/>
      <c r="Q431" s="16"/>
      <c r="R431" s="16"/>
      <c r="S431" s="16"/>
      <c r="T431" s="16"/>
      <c r="U431" s="16"/>
      <c r="V431" s="16"/>
      <c r="W431" s="16"/>
      <c r="X431" s="16"/>
      <c r="Y431" s="16"/>
      <c r="Z431" s="16"/>
    </row>
    <row r="432">
      <c r="A432" s="16" t="str">
        <f>IFERROR(__xludf.DUMMYFUNCTION("""COMPUTED_VALUE"""),"The Grand Staff of Evil Flames")</f>
        <v>The Grand Staff of Evil Flames</v>
      </c>
      <c r="B432" s="16"/>
      <c r="C432" s="16" t="str">
        <f>IFERROR(__xludf.DUMMYFUNCTION("""COMPUTED_VALUE"""),"Staff")</f>
        <v>Staff</v>
      </c>
      <c r="D432" s="16" t="str">
        <f>IFERROR(__xludf.DUMMYFUNCTION("""COMPUTED_VALUE"""),"Hand")</f>
        <v>Hand</v>
      </c>
      <c r="E432" s="16">
        <f>IFERROR(__xludf.DUMMYFUNCTION("""COMPUTED_VALUE"""),1200.0)</f>
        <v>1200</v>
      </c>
      <c r="F432" s="16" t="str">
        <f>IFERROR(__xludf.DUMMYFUNCTION("""COMPUTED_VALUE"""),", Fire DMG: +20000, Dark DMG: +20000, Chaos DMG: +20000 ++X4 additional Dark, Fire, and Chaos damage for the user while equipped. +-Cannot be duplicated")</f>
        <v>, Fire DMG: +20000, Dark DMG: +20000, Chaos DMG: +20000 ++X4 additional Dark, Fire, and Chaos damage for the user while equipped. +-Cannot be duplicated</v>
      </c>
      <c r="G432" s="16">
        <f>IFERROR(__xludf.DUMMYFUNCTION("""COMPUTED_VALUE"""),7.14E7)</f>
        <v>71400000</v>
      </c>
      <c r="H432" s="16"/>
      <c r="I432" s="16"/>
      <c r="J432" s="16"/>
      <c r="K432" s="16"/>
      <c r="L432" s="16"/>
      <c r="M432" s="16"/>
      <c r="N432" s="16"/>
      <c r="O432" s="16"/>
      <c r="P432" s="16"/>
      <c r="Q432" s="16"/>
      <c r="R432" s="16"/>
      <c r="S432" s="16"/>
      <c r="T432" s="16"/>
      <c r="U432" s="16"/>
      <c r="V432" s="16"/>
      <c r="W432" s="16"/>
      <c r="X432" s="16"/>
      <c r="Y432" s="16"/>
      <c r="Z432" s="16"/>
    </row>
    <row r="433">
      <c r="A433" s="16" t="str">
        <f>IFERROR(__xludf.DUMMYFUNCTION("""COMPUTED_VALUE"""),"Soul Sword of The Endless Realm")</f>
        <v>Soul Sword of The Endless Realm</v>
      </c>
      <c r="B433" s="16"/>
      <c r="C433" s="16" t="str">
        <f>IFERROR(__xludf.DUMMYFUNCTION("""COMPUTED_VALUE"""),"Sword")</f>
        <v>Sword</v>
      </c>
      <c r="D433" s="16" t="str">
        <f>IFERROR(__xludf.DUMMYFUNCTION("""COMPUTED_VALUE"""),"Hand")</f>
        <v>Hand</v>
      </c>
      <c r="E433" s="16">
        <f>IFERROR(__xludf.DUMMYFUNCTION("""COMPUTED_VALUE"""),200.0)</f>
        <v>200</v>
      </c>
      <c r="F433" s="16" t="str">
        <f>IFERROR(__xludf.DUMMYFUNCTION("""COMPUTED_VALUE"""),"DMG: +150000, Dark DMG: +150000, Celestial DMG: +150000 ++While equipped if you have other soul related items equipped this sword will deal X8 additional damage, ++SP Steal: Gain SP back equal to the damage caused with this weapon. +-Cannot be duplicated.")</f>
        <v>DMG: +150000, Dark DMG: +150000, Celestial DMG: +150000 ++While equipped if you have other soul related items equipped this sword will deal X8 additional damage, ++SP Steal: Gain SP back equal to the damage caused with this weapon. +-Cannot be duplicated.</v>
      </c>
      <c r="G433" s="16">
        <f>IFERROR(__xludf.DUMMYFUNCTION("""COMPUTED_VALUE"""),4.0455E9)</f>
        <v>4045500000</v>
      </c>
      <c r="H433" s="16"/>
      <c r="I433" s="16"/>
      <c r="J433" s="16"/>
      <c r="K433" s="16"/>
      <c r="L433" s="16"/>
      <c r="M433" s="16"/>
      <c r="N433" s="16"/>
      <c r="O433" s="16"/>
      <c r="P433" s="16"/>
      <c r="Q433" s="16"/>
      <c r="R433" s="16"/>
      <c r="S433" s="16"/>
      <c r="T433" s="16"/>
      <c r="U433" s="16"/>
      <c r="V433" s="16"/>
      <c r="W433" s="16"/>
      <c r="X433" s="16"/>
      <c r="Y433" s="16"/>
      <c r="Z433" s="16"/>
    </row>
    <row r="434">
      <c r="A434" s="16" t="str">
        <f>IFERROR(__xludf.DUMMYFUNCTION("""COMPUTED_VALUE"""),"Rat King's Crown")</f>
        <v>Rat King's Crown</v>
      </c>
      <c r="B434" s="16"/>
      <c r="C434" s="16"/>
      <c r="D434" s="16" t="str">
        <f>IFERROR(__xludf.DUMMYFUNCTION("""COMPUTED_VALUE"""),"Head")</f>
        <v>Head</v>
      </c>
      <c r="E434" s="16">
        <f>IFERROR(__xludf.DUMMYFUNCTION("""COMPUTED_VALUE"""),1000.0)</f>
        <v>1000</v>
      </c>
      <c r="F434" s="16" t="str">
        <f>IFERROR(__xludf.DUMMYFUNCTION("""COMPUTED_VALUE"""),"DEF: +50000 ++If you or a party member dies this crown will summon a d2 of Lava Rats, Level determined by DM/GM, This effect can only be applied once per battle. +-Cannot be duplicated.")</f>
        <v>DEF: +50000 ++If you or a party member dies this crown will summon a d2 of Lava Rats, Level determined by DM/GM, This effect can only be applied once per battle. +-Cannot be duplicated.</v>
      </c>
      <c r="G434" s="16">
        <f>IFERROR(__xludf.DUMMYFUNCTION("""COMPUTED_VALUE"""),4.95E7)</f>
        <v>49500000</v>
      </c>
      <c r="H434" s="16"/>
      <c r="I434" s="16"/>
      <c r="J434" s="16"/>
      <c r="K434" s="16"/>
      <c r="L434" s="16"/>
      <c r="M434" s="16"/>
      <c r="N434" s="16"/>
      <c r="O434" s="16"/>
      <c r="P434" s="16"/>
      <c r="Q434" s="16"/>
      <c r="R434" s="16"/>
      <c r="S434" s="16"/>
      <c r="T434" s="16"/>
      <c r="U434" s="16"/>
      <c r="V434" s="16"/>
      <c r="W434" s="16"/>
      <c r="X434" s="16"/>
      <c r="Y434" s="16"/>
      <c r="Z434" s="16"/>
    </row>
    <row r="435">
      <c r="A435" s="16" t="str">
        <f>IFERROR(__xludf.DUMMYFUNCTION("""COMPUTED_VALUE"""),"Vermouth's Crown of Tides")</f>
        <v>Vermouth's Crown of Tides</v>
      </c>
      <c r="B435" s="16" t="str">
        <f>IFERROR(__xludf.DUMMYFUNCTION("""COMPUTED_VALUE"""),"A magical artifact that grants control over water and weather, allowing the wearer to manipulate aquatic elements.")</f>
        <v>A magical artifact that grants control over water and weather, allowing the wearer to manipulate aquatic elements.</v>
      </c>
      <c r="C435" s="16"/>
      <c r="D435" s="16" t="str">
        <f>IFERROR(__xludf.DUMMYFUNCTION("""COMPUTED_VALUE"""),"Head")</f>
        <v>Head</v>
      </c>
      <c r="E435" s="16">
        <f>IFERROR(__xludf.DUMMYFUNCTION("""COMPUTED_VALUE"""),700.0)</f>
        <v>700</v>
      </c>
      <c r="F435" s="16" t="str">
        <f>IFERROR(__xludf.DUMMYFUNCTION("""COMPUTED_VALUE"""),"DEF: +25000, Water DEF: +10000 ++Immunity to Water damage. ++X2 Additional Water damage for the user.")</f>
        <v>DEF: +25000, Water DEF: +10000 ++Immunity to Water damage. ++X2 Additional Water damage for the user.</v>
      </c>
      <c r="G435" s="16">
        <f>IFERROR(__xludf.DUMMYFUNCTION("""COMPUTED_VALUE"""),2.415E7)</f>
        <v>24150000</v>
      </c>
      <c r="H435" s="16"/>
      <c r="I435" s="16"/>
      <c r="J435" s="16"/>
      <c r="K435" s="16"/>
      <c r="L435" s="16"/>
      <c r="M435" s="16"/>
      <c r="N435" s="16"/>
      <c r="O435" s="16"/>
      <c r="P435" s="16"/>
      <c r="Q435" s="16"/>
      <c r="R435" s="16"/>
      <c r="S435" s="16"/>
      <c r="T435" s="16"/>
      <c r="U435" s="16"/>
      <c r="V435" s="16"/>
      <c r="W435" s="16"/>
      <c r="X435" s="16"/>
      <c r="Y435" s="16"/>
      <c r="Z435" s="16"/>
    </row>
    <row r="436">
      <c r="A436" s="16" t="str">
        <f>IFERROR(__xludf.DUMMYFUNCTION("""COMPUTED_VALUE"""),"ChronoMech Enigma")</f>
        <v>ChronoMech Enigma</v>
      </c>
      <c r="B436" s="16" t="str">
        <f>IFERROR(__xludf.DUMMYFUNCTION("""COMPUTED_VALUE"""),"A clockwork device that grants unique abilities.")</f>
        <v>A clockwork device that grants unique abilities.</v>
      </c>
      <c r="C436" s="16"/>
      <c r="D436" s="16" t="str">
        <f>IFERROR(__xludf.DUMMYFUNCTION("""COMPUTED_VALUE"""),"Hand")</f>
        <v>Hand</v>
      </c>
      <c r="E436" s="16">
        <f>IFERROR(__xludf.DUMMYFUNCTION("""COMPUTED_VALUE"""),200.0)</f>
        <v>200</v>
      </c>
      <c r="F436" s="16" t="str">
        <f>IFERROR(__xludf.DUMMYFUNCTION("""COMPUTED_VALUE"""),"DEF: +10000 ++Allows you to change the time of day to day or night. Can only be used once per journey while traveling. ++Fail/Succeed. +-Cannot be duplicated.")</f>
        <v>DEF: +10000 ++Allows you to change the time of day to day or night. Can only be used once per journey while traveling. ++Fail/Succeed. +-Cannot be duplicated.</v>
      </c>
      <c r="G436" s="16">
        <f>IFERROR(__xludf.DUMMYFUNCTION("""COMPUTED_VALUE"""),1900000.0)</f>
        <v>1900000</v>
      </c>
      <c r="H436" s="16"/>
      <c r="I436" s="16"/>
      <c r="J436" s="16"/>
      <c r="K436" s="16"/>
      <c r="L436" s="16"/>
      <c r="M436" s="16"/>
      <c r="N436" s="16"/>
      <c r="O436" s="16"/>
      <c r="P436" s="16"/>
      <c r="Q436" s="16"/>
      <c r="R436" s="16"/>
      <c r="S436" s="16"/>
      <c r="T436" s="16"/>
      <c r="U436" s="16"/>
      <c r="V436" s="16"/>
      <c r="W436" s="16"/>
      <c r="X436" s="16"/>
      <c r="Y436" s="16"/>
      <c r="Z436" s="16"/>
    </row>
    <row r="437">
      <c r="A437" s="16" t="str">
        <f>IFERROR(__xludf.DUMMYFUNCTION("""COMPUTED_VALUE"""),"Royal Sword of The Halloween Kingdom")</f>
        <v>Royal Sword of The Halloween Kingdom</v>
      </c>
      <c r="B437" s="16" t="str">
        <f>IFERROR(__xludf.DUMMYFUNCTION("""COMPUTED_VALUE"""),"Halloween Exclusive")</f>
        <v>Halloween Exclusive</v>
      </c>
      <c r="C437" s="16" t="str">
        <f>IFERROR(__xludf.DUMMYFUNCTION("""COMPUTED_VALUE"""),"Sword")</f>
        <v>Sword</v>
      </c>
      <c r="D437" s="16" t="str">
        <f>IFERROR(__xludf.DUMMYFUNCTION("""COMPUTED_VALUE"""),"Hand")</f>
        <v>Hand</v>
      </c>
      <c r="E437" s="16">
        <f>IFERROR(__xludf.DUMMYFUNCTION("""COMPUTED_VALUE"""),200.0)</f>
        <v>200</v>
      </c>
      <c r="F437" s="16" t="str">
        <f>IFERROR(__xludf.DUMMYFUNCTION("""COMPUTED_VALUE"""),"DMG: +50000, Fire DMG: +20000, Dark DMG: +20000, Spirit DMG: +20000, Chaos DMG: +20000, Stasis DMG: +20000, Twilight DMG: +20000, Voodoo DMG: +20000, Blood DMG: +20000, Celestial DMG: +20000 ++Hallows Guidance: +5 can be added to your d20 rolls, ++Royal S"&amp;"hadows of the Halloween Kingdom: 25% chance to cast conceal for no sp cost after successfully attacking an enemy with this weapon. +-Cannot be forged +-Cannot be duplicated")</f>
        <v>DMG: +50000, Fire DMG: +20000, Dark DMG: +20000, Spirit DMG: +20000, Chaos DMG: +20000, Stasis DMG: +20000, Twilight DMG: +20000, Voodoo DMG: +20000, Blood DMG: +20000, Celestial DMG: +20000 ++Hallows Guidance: +5 can be added to your d20 rolls, ++Royal Shadows of the Halloween Kingdom: 25% chance to cast conceal for no sp cost after successfully attacking an enemy with this weapon. +-Cannot be forged +-Cannot be duplicated</v>
      </c>
      <c r="G437" s="16">
        <f>IFERROR(__xludf.DUMMYFUNCTION("""COMPUTED_VALUE"""),1.0557E9)</f>
        <v>1055700000</v>
      </c>
      <c r="H437" s="16"/>
      <c r="I437" s="16"/>
      <c r="J437" s="16"/>
      <c r="K437" s="16"/>
      <c r="L437" s="16"/>
      <c r="M437" s="16"/>
      <c r="N437" s="16"/>
      <c r="O437" s="16"/>
      <c r="P437" s="16"/>
      <c r="Q437" s="16"/>
      <c r="R437" s="16"/>
      <c r="S437" s="16"/>
      <c r="T437" s="16"/>
      <c r="U437" s="16"/>
      <c r="V437" s="16"/>
      <c r="W437" s="16"/>
      <c r="X437" s="16"/>
      <c r="Y437" s="16"/>
      <c r="Z437" s="16"/>
    </row>
    <row r="438">
      <c r="A438" s="16" t="str">
        <f>IFERROR(__xludf.DUMMYFUNCTION("""COMPUTED_VALUE"""),"Royal Shield of The Halloween Kingdom")</f>
        <v>Royal Shield of The Halloween Kingdom</v>
      </c>
      <c r="B438" s="16" t="str">
        <f>IFERROR(__xludf.DUMMYFUNCTION("""COMPUTED_VALUE"""),"Halloween Exclusive")</f>
        <v>Halloween Exclusive</v>
      </c>
      <c r="C438" s="16" t="str">
        <f>IFERROR(__xludf.DUMMYFUNCTION("""COMPUTED_VALUE"""),"Towershield")</f>
        <v>Towershield</v>
      </c>
      <c r="D438" s="16" t="str">
        <f>IFERROR(__xludf.DUMMYFUNCTION("""COMPUTED_VALUE"""),"Hand")</f>
        <v>Hand</v>
      </c>
      <c r="E438" s="16">
        <f>IFERROR(__xludf.DUMMYFUNCTION("""COMPUTED_VALUE"""),200.0)</f>
        <v>200</v>
      </c>
      <c r="F438" s="16" t="str">
        <f>IFERROR(__xludf.DUMMYFUNCTION("""COMPUTED_VALUE"""),"DEF: +50000, Fire DEF: +20000, Dark DEF: +20000, Spirit DEF: +20000, Chaos DEF: +20000, Stasis DEF: +20000, Twilight DEF: +20000, Voodoo DEF: +20000, Blood DEF: +20000, Celestial DEF: +20000 ++Royal Ward of The Halloween Kingdom: 25% chance to be unaffect"&amp;"ed by a weapon attack. ++Pumpkin Thorns: 25% chance to inflict half the damage dealt to you back to the enemy. +-Cannot be forged +-Cannot be duplicated")</f>
        <v>DEF: +50000, Fire DEF: +20000, Dark DEF: +20000, Spirit DEF: +20000, Chaos DEF: +20000, Stasis DEF: +20000, Twilight DEF: +20000, Voodoo DEF: +20000, Blood DEF: +20000, Celestial DEF: +20000 ++Royal Ward of The Halloween Kingdom: 25% chance to be unaffected by a weapon attack. ++Pumpkin Thorns: 25% chance to inflict half the damage dealt to you back to the enemy. +-Cannot be forged +-Cannot be duplicated</v>
      </c>
      <c r="G438" s="16">
        <f>IFERROR(__xludf.DUMMYFUNCTION("""COMPUTED_VALUE"""),1.0557E9)</f>
        <v>1055700000</v>
      </c>
      <c r="H438" s="16"/>
      <c r="I438" s="16"/>
      <c r="J438" s="16"/>
      <c r="K438" s="16"/>
      <c r="L438" s="16"/>
      <c r="M438" s="16"/>
      <c r="N438" s="16"/>
      <c r="O438" s="16"/>
      <c r="P438" s="16"/>
      <c r="Q438" s="16"/>
      <c r="R438" s="16"/>
      <c r="S438" s="16"/>
      <c r="T438" s="16"/>
      <c r="U438" s="16"/>
      <c r="V438" s="16"/>
      <c r="W438" s="16"/>
      <c r="X438" s="16"/>
      <c r="Y438" s="16"/>
      <c r="Z438" s="16"/>
    </row>
    <row r="439">
      <c r="A439" s="16" t="str">
        <f>IFERROR(__xludf.DUMMYFUNCTION("""COMPUTED_VALUE"""),"Sacred Flaming Pearl")</f>
        <v>Sacred Flaming Pearl</v>
      </c>
      <c r="B439" s="16" t="str">
        <f>IFERROR(__xludf.DUMMYFUNCTION("""COMPUTED_VALUE"""),"Quest item.")</f>
        <v>Quest item.</v>
      </c>
      <c r="C439" s="16"/>
      <c r="D439" s="16" t="str">
        <f>IFERROR(__xludf.DUMMYFUNCTION("""COMPUTED_VALUE"""),"Hand")</f>
        <v>Hand</v>
      </c>
      <c r="E439" s="16">
        <f>IFERROR(__xludf.DUMMYFUNCTION("""COMPUTED_VALUE"""),1.0)</f>
        <v>1</v>
      </c>
      <c r="F439" s="16" t="str">
        <f>IFERROR(__xludf.DUMMYFUNCTION("""COMPUTED_VALUE""")," ++X4 additional fire damage for the user. +-Cannot be duplicated.")</f>
        <v> ++X4 additional fire damage for the user. +-Cannot be duplicated.</v>
      </c>
      <c r="G439" s="16">
        <f>IFERROR(__xludf.DUMMYFUNCTION("""COMPUTED_VALUE"""),0.0)</f>
        <v>0</v>
      </c>
      <c r="H439" s="16"/>
      <c r="I439" s="16"/>
      <c r="J439" s="16"/>
      <c r="K439" s="16"/>
      <c r="L439" s="16"/>
      <c r="M439" s="16"/>
      <c r="N439" s="16"/>
      <c r="O439" s="16"/>
      <c r="P439" s="16"/>
      <c r="Q439" s="16"/>
      <c r="R439" s="16"/>
      <c r="S439" s="16"/>
      <c r="T439" s="16"/>
      <c r="U439" s="16"/>
      <c r="V439" s="16"/>
      <c r="W439" s="16"/>
      <c r="X439" s="16"/>
      <c r="Y439" s="16"/>
      <c r="Z439" s="16"/>
    </row>
    <row r="440">
      <c r="A440" s="16" t="str">
        <f>IFERROR(__xludf.DUMMYFUNCTION("""COMPUTED_VALUE"""),"DragonScale Royal Helm")</f>
        <v>DragonScale Royal Helm</v>
      </c>
      <c r="B440" s="16"/>
      <c r="C440" s="16"/>
      <c r="D440" s="16" t="str">
        <f>IFERROR(__xludf.DUMMYFUNCTION("""COMPUTED_VALUE"""),"Head")</f>
        <v>Head</v>
      </c>
      <c r="E440" s="16">
        <f>IFERROR(__xludf.DUMMYFUNCTION("""COMPUTED_VALUE"""),200.0)</f>
        <v>200</v>
      </c>
      <c r="F440" s="16" t="str">
        <f>IFERROR(__xludf.DUMMYFUNCTION("""COMPUTED_VALUE"""),"DEF: +40000, Dark DEF: +10000, Chaos DEF: +10000, Celestial DEF: +10000 ++X2 Defense for the Wearer. ++Light Embodiment - When Equipped deal X2 Order and Light DMG ")</f>
        <v>DEF: +40000, Dark DEF: +10000, Chaos DEF: +10000, Celestial DEF: +10000 ++X2 Defense for the Wearer. ++Light Embodiment - When Equipped deal X2 Order and Light DMG </v>
      </c>
      <c r="G440" s="16">
        <f>IFERROR(__xludf.DUMMYFUNCTION("""COMPUTED_VALUE"""),9.73E7)</f>
        <v>97300000</v>
      </c>
      <c r="H440" s="16"/>
      <c r="I440" s="16"/>
      <c r="J440" s="16"/>
      <c r="K440" s="16"/>
      <c r="L440" s="16"/>
      <c r="M440" s="16"/>
      <c r="N440" s="16"/>
      <c r="O440" s="16"/>
      <c r="P440" s="16"/>
      <c r="Q440" s="16"/>
      <c r="R440" s="16"/>
      <c r="S440" s="16"/>
      <c r="T440" s="16"/>
      <c r="U440" s="16"/>
      <c r="V440" s="16"/>
      <c r="W440" s="16"/>
      <c r="X440" s="16"/>
      <c r="Y440" s="16"/>
      <c r="Z440" s="16"/>
    </row>
    <row r="441">
      <c r="A441" s="16" t="str">
        <f>IFERROR(__xludf.DUMMYFUNCTION("""COMPUTED_VALUE"""),"DragonScale Royal Chestplate")</f>
        <v>DragonScale Royal Chestplate</v>
      </c>
      <c r="B441" s="16"/>
      <c r="C441" s="16"/>
      <c r="D441" s="16" t="str">
        <f>IFERROR(__xludf.DUMMYFUNCTION("""COMPUTED_VALUE"""),"Torso")</f>
        <v>Torso</v>
      </c>
      <c r="E441" s="16">
        <f>IFERROR(__xludf.DUMMYFUNCTION("""COMPUTED_VALUE"""),200.0)</f>
        <v>200</v>
      </c>
      <c r="F441" s="16" t="str">
        <f>IFERROR(__xludf.DUMMYFUNCTION("""COMPUTED_VALUE"""),"DEF: +20000, Water DEF: +5000, Dark DEF: +10000, Chaos DEF: +10000, Celestial DEF: +10000 ++X4 Defense for the Wearer. ++Light Embodiment II - When Equipped deal X4 Order and Light DMG ")</f>
        <v>DEF: +20000, Water DEF: +5000, Dark DEF: +10000, Chaos DEF: +10000, Celestial DEF: +10000 ++X4 Defense for the Wearer. ++Light Embodiment II - When Equipped deal X4 Order and Light DMG </v>
      </c>
      <c r="G441" s="16">
        <f>IFERROR(__xludf.DUMMYFUNCTION("""COMPUTED_VALUE"""),5.995E7)</f>
        <v>59950000</v>
      </c>
      <c r="H441" s="16"/>
      <c r="I441" s="16"/>
      <c r="J441" s="16"/>
      <c r="K441" s="16"/>
      <c r="L441" s="16"/>
      <c r="M441" s="16"/>
      <c r="N441" s="16"/>
      <c r="O441" s="16"/>
      <c r="P441" s="16"/>
      <c r="Q441" s="16"/>
      <c r="R441" s="16"/>
      <c r="S441" s="16"/>
      <c r="T441" s="16"/>
      <c r="U441" s="16"/>
      <c r="V441" s="16"/>
      <c r="W441" s="16"/>
      <c r="X441" s="16"/>
      <c r="Y441" s="16"/>
      <c r="Z441" s="16"/>
    </row>
    <row r="442">
      <c r="A442" s="16" t="str">
        <f>IFERROR(__xludf.DUMMYFUNCTION("""COMPUTED_VALUE"""),"DragonScale Royal Vambraces")</f>
        <v>DragonScale Royal Vambraces</v>
      </c>
      <c r="B442" s="16"/>
      <c r="C442" s="16"/>
      <c r="D442" s="16" t="str">
        <f>IFERROR(__xludf.DUMMYFUNCTION("""COMPUTED_VALUE"""),"Arms")</f>
        <v>Arms</v>
      </c>
      <c r="E442" s="16">
        <f>IFERROR(__xludf.DUMMYFUNCTION("""COMPUTED_VALUE"""),200.0)</f>
        <v>200</v>
      </c>
      <c r="F442" s="16" t="str">
        <f>IFERROR(__xludf.DUMMYFUNCTION("""COMPUTED_VALUE"""),"DEF: +10000, Dark DEF: +10000, Chaos DEF: +10000, Celestial DEF: +10000 ++X2 Defense for the Wearer. ++Light Embodiment - When Equipped deal X2 Order and Light DMG ")</f>
        <v>DEF: +10000, Dark DEF: +10000, Chaos DEF: +10000, Celestial DEF: +10000 ++X2 Defense for the Wearer. ++Light Embodiment - When Equipped deal X2 Order and Light DMG </v>
      </c>
      <c r="G442" s="16">
        <f>IFERROR(__xludf.DUMMYFUNCTION("""COMPUTED_VALUE"""),3.16E7)</f>
        <v>31600000</v>
      </c>
      <c r="H442" s="16"/>
      <c r="I442" s="16"/>
      <c r="J442" s="16"/>
      <c r="K442" s="16"/>
      <c r="L442" s="16"/>
      <c r="M442" s="16"/>
      <c r="N442" s="16"/>
      <c r="O442" s="16"/>
      <c r="P442" s="16"/>
      <c r="Q442" s="16"/>
      <c r="R442" s="16"/>
      <c r="S442" s="16"/>
      <c r="T442" s="16"/>
      <c r="U442" s="16"/>
      <c r="V442" s="16"/>
      <c r="W442" s="16"/>
      <c r="X442" s="16"/>
      <c r="Y442" s="16"/>
      <c r="Z442" s="16"/>
    </row>
    <row r="443">
      <c r="A443" s="16" t="str">
        <f>IFERROR(__xludf.DUMMYFUNCTION("""COMPUTED_VALUE"""),"DragonScale Royal Greaves")</f>
        <v>DragonScale Royal Greaves</v>
      </c>
      <c r="B443" s="16"/>
      <c r="C443" s="16"/>
      <c r="D443" s="16" t="str">
        <f>IFERROR(__xludf.DUMMYFUNCTION("""COMPUTED_VALUE"""),"Legs")</f>
        <v>Legs</v>
      </c>
      <c r="E443" s="16">
        <f>IFERROR(__xludf.DUMMYFUNCTION("""COMPUTED_VALUE"""),200.0)</f>
        <v>200</v>
      </c>
      <c r="F443" s="16" t="str">
        <f>IFERROR(__xludf.DUMMYFUNCTION("""COMPUTED_VALUE"""),"DEF: +10000, Dark DEF: +10000, Chaos DEF: +10000, Celestial DEF: +10000 ++X2 Defense for the Wearer. ++Light Embodiment - When Equipped deal X2 Order and Light DMG ")</f>
        <v>DEF: +10000, Dark DEF: +10000, Chaos DEF: +10000, Celestial DEF: +10000 ++X2 Defense for the Wearer. ++Light Embodiment - When Equipped deal X2 Order and Light DMG </v>
      </c>
      <c r="G443" s="16">
        <f>IFERROR(__xludf.DUMMYFUNCTION("""COMPUTED_VALUE"""),3.16E7)</f>
        <v>31600000</v>
      </c>
      <c r="H443" s="16"/>
      <c r="I443" s="16"/>
      <c r="J443" s="16"/>
      <c r="K443" s="16"/>
      <c r="L443" s="16"/>
      <c r="M443" s="16"/>
      <c r="N443" s="16"/>
      <c r="O443" s="16"/>
      <c r="P443" s="16"/>
      <c r="Q443" s="16"/>
      <c r="R443" s="16"/>
      <c r="S443" s="16"/>
      <c r="T443" s="16"/>
      <c r="U443" s="16"/>
      <c r="V443" s="16"/>
      <c r="W443" s="16"/>
      <c r="X443" s="16"/>
      <c r="Y443" s="16"/>
      <c r="Z443" s="16"/>
    </row>
    <row r="444">
      <c r="A444" s="16" t="str">
        <f>IFERROR(__xludf.DUMMYFUNCTION("""COMPUTED_VALUE"""),"DragonScale Royal Shield")</f>
        <v>DragonScale Royal Shield</v>
      </c>
      <c r="B444" s="16"/>
      <c r="C444" s="16" t="str">
        <f>IFERROR(__xludf.DUMMYFUNCTION("""COMPUTED_VALUE"""),"Towershield")</f>
        <v>Towershield</v>
      </c>
      <c r="D444" s="16" t="str">
        <f>IFERROR(__xludf.DUMMYFUNCTION("""COMPUTED_VALUE"""),"Hand")</f>
        <v>Hand</v>
      </c>
      <c r="E444" s="16">
        <f>IFERROR(__xludf.DUMMYFUNCTION("""COMPUTED_VALUE"""),200.0)</f>
        <v>200</v>
      </c>
      <c r="F444" s="16" t="str">
        <f>IFERROR(__xludf.DUMMYFUNCTION("""COMPUTED_VALUE"""),"DEF: +55000, Dark DEF: +20000, Chaos DEF: +20000, Celestial DEF: +10000 ++X2 Defense for the Wearer. ++Light Embodiment - When Equipped deal X2 Order and Light DMG ")</f>
        <v>DEF: +55000, Dark DEF: +20000, Chaos DEF: +20000, Celestial DEF: +10000 ++X2 Defense for the Wearer. ++Light Embodiment - When Equipped deal X2 Order and Light DMG </v>
      </c>
      <c r="G444" s="16">
        <f>IFERROR(__xludf.DUMMYFUNCTION("""COMPUTED_VALUE"""),2.1945E8)</f>
        <v>219450000</v>
      </c>
      <c r="H444" s="16"/>
      <c r="I444" s="16"/>
      <c r="J444" s="16"/>
      <c r="K444" s="16"/>
      <c r="L444" s="16"/>
      <c r="M444" s="16"/>
      <c r="N444" s="16"/>
      <c r="O444" s="16"/>
      <c r="P444" s="16"/>
      <c r="Q444" s="16"/>
      <c r="R444" s="16"/>
      <c r="S444" s="16"/>
      <c r="T444" s="16"/>
      <c r="U444" s="16"/>
      <c r="V444" s="16"/>
      <c r="W444" s="16"/>
      <c r="X444" s="16"/>
      <c r="Y444" s="16"/>
      <c r="Z444" s="16"/>
    </row>
    <row r="445">
      <c r="A445" s="16" t="str">
        <f>IFERROR(__xludf.DUMMYFUNCTION("""COMPUTED_VALUE"""),"DragonScale Royal Boots")</f>
        <v>DragonScale Royal Boots</v>
      </c>
      <c r="B445" s="16"/>
      <c r="C445" s="16"/>
      <c r="D445" s="16" t="str">
        <f>IFERROR(__xludf.DUMMYFUNCTION("""COMPUTED_VALUE"""),"Feet")</f>
        <v>Feet</v>
      </c>
      <c r="E445" s="16">
        <f>IFERROR(__xludf.DUMMYFUNCTION("""COMPUTED_VALUE"""),200.0)</f>
        <v>200</v>
      </c>
      <c r="F445" s="16" t="str">
        <f>IFERROR(__xludf.DUMMYFUNCTION("""COMPUTED_VALUE"""),"DEF: +22000, Dark DEF: +10000, Chaos DEF: +10000, Celestial DEF: +10000 ++X2 Defense for the Wearer. ++Light Embodiment - When Equipped deal X2 Order and Light DMG ")</f>
        <v>DEF: +22000, Dark DEF: +10000, Chaos DEF: +10000, Celestial DEF: +10000 ++X2 Defense for the Wearer. ++Light Embodiment - When Equipped deal X2 Order and Light DMG </v>
      </c>
      <c r="G445" s="16">
        <f>IFERROR(__xludf.DUMMYFUNCTION("""COMPUTED_VALUE"""),5.356E7)</f>
        <v>53560000</v>
      </c>
      <c r="H445" s="16"/>
      <c r="I445" s="16"/>
      <c r="J445" s="16"/>
      <c r="K445" s="16"/>
      <c r="L445" s="16"/>
      <c r="M445" s="16"/>
      <c r="N445" s="16"/>
      <c r="O445" s="16"/>
      <c r="P445" s="16"/>
      <c r="Q445" s="16"/>
      <c r="R445" s="16"/>
      <c r="S445" s="16"/>
      <c r="T445" s="16"/>
      <c r="U445" s="16"/>
      <c r="V445" s="16"/>
      <c r="W445" s="16"/>
      <c r="X445" s="16"/>
      <c r="Y445" s="16"/>
      <c r="Z445" s="16"/>
    </row>
    <row r="446">
      <c r="A446" s="16" t="str">
        <f>IFERROR(__xludf.DUMMYFUNCTION("""COMPUTED_VALUE"""),"DragonScale Royal Pauldrons")</f>
        <v>DragonScale Royal Pauldrons</v>
      </c>
      <c r="B446" s="16"/>
      <c r="C446" s="16"/>
      <c r="D446" s="16" t="str">
        <f>IFERROR(__xludf.DUMMYFUNCTION("""COMPUTED_VALUE"""),"Shoulders")</f>
        <v>Shoulders</v>
      </c>
      <c r="E446" s="16">
        <f>IFERROR(__xludf.DUMMYFUNCTION("""COMPUTED_VALUE"""),200.0)</f>
        <v>200</v>
      </c>
      <c r="F446" s="16" t="str">
        <f>IFERROR(__xludf.DUMMYFUNCTION("""COMPUTED_VALUE"""),"DEF: +20000, Dark DEF: +10000, Chaos DEF: +10000, Celestial DEF: +10000 ++X2 Defense for the Wearer. ++Light Embodiment - When Equipped deal X2 Order and Light DMG ")</f>
        <v>DEF: +20000, Dark DEF: +10000, Chaos DEF: +10000, Celestial DEF: +10000 ++X2 Defense for the Wearer. ++Light Embodiment - When Equipped deal X2 Order and Light DMG </v>
      </c>
      <c r="G446" s="16">
        <f>IFERROR(__xludf.DUMMYFUNCTION("""COMPUTED_VALUE"""),4.95E7)</f>
        <v>49500000</v>
      </c>
      <c r="H446" s="16"/>
      <c r="I446" s="16"/>
      <c r="J446" s="16"/>
      <c r="K446" s="16"/>
      <c r="L446" s="16"/>
      <c r="M446" s="16"/>
      <c r="N446" s="16"/>
      <c r="O446" s="16"/>
      <c r="P446" s="16"/>
      <c r="Q446" s="16"/>
      <c r="R446" s="16"/>
      <c r="S446" s="16"/>
      <c r="T446" s="16"/>
      <c r="U446" s="16"/>
      <c r="V446" s="16"/>
      <c r="W446" s="16"/>
      <c r="X446" s="16"/>
      <c r="Y446" s="16"/>
      <c r="Z446" s="16"/>
    </row>
    <row r="447">
      <c r="A447" s="16" t="str">
        <f>IFERROR(__xludf.DUMMYFUNCTION("""COMPUTED_VALUE"""),"BLADE! OF! JUSTICE!!!!")</f>
        <v>BLADE! OF! JUSTICE!!!!</v>
      </c>
      <c r="B447" s="16"/>
      <c r="C447" s="16" t="str">
        <f>IFERROR(__xludf.DUMMYFUNCTION("""COMPUTED_VALUE"""),"Sword")</f>
        <v>Sword</v>
      </c>
      <c r="D447" s="16" t="str">
        <f>IFERROR(__xludf.DUMMYFUNCTION("""COMPUTED_VALUE"""),"Hand")</f>
        <v>Hand</v>
      </c>
      <c r="E447" s="16">
        <f>IFERROR(__xludf.DUMMYFUNCTION("""COMPUTED_VALUE"""),200.0)</f>
        <v>200</v>
      </c>
      <c r="F447" s="16" t="str">
        <f>IFERROR(__xludf.DUMMYFUNCTION("""COMPUTED_VALUE"""),"DMG: +100000, Light DMG: +10000, Order DMG: +10000, Celestial DMG: +10000 ++This Weapon will deal X4 damage while equipped against Criminals. ++Light Embodiment II - When Equipped deal X4 Order and Light DMG ")</f>
        <v>DMG: +100000, Light DMG: +10000, Order DMG: +10000, Celestial DMG: +10000 ++This Weapon will deal X4 damage while equipped against Criminals. ++Light Embodiment II - When Equipped deal X4 Order and Light DMG </v>
      </c>
      <c r="G447" s="16">
        <f>IFERROR(__xludf.DUMMYFUNCTION("""COMPUTED_VALUE"""),3.367E8)</f>
        <v>336700000</v>
      </c>
      <c r="H447" s="16"/>
      <c r="I447" s="16"/>
      <c r="J447" s="16"/>
      <c r="K447" s="16"/>
      <c r="L447" s="16"/>
      <c r="M447" s="16"/>
      <c r="N447" s="16"/>
      <c r="O447" s="16"/>
      <c r="P447" s="16"/>
      <c r="Q447" s="16"/>
      <c r="R447" s="16"/>
      <c r="S447" s="16"/>
      <c r="T447" s="16"/>
      <c r="U447" s="16"/>
      <c r="V447" s="16"/>
      <c r="W447" s="16"/>
      <c r="X447" s="16"/>
      <c r="Y447" s="16"/>
      <c r="Z447" s="16"/>
    </row>
    <row r="448">
      <c r="A448" s="16" t="str">
        <f>IFERROR(__xludf.DUMMYFUNCTION("""COMPUTED_VALUE"""),"Abstara Royal Helm")</f>
        <v>Abstara Royal Helm</v>
      </c>
      <c r="B448" s="16"/>
      <c r="C448" s="16"/>
      <c r="D448" s="16" t="str">
        <f>IFERROR(__xludf.DUMMYFUNCTION("""COMPUTED_VALUE"""),"Head")</f>
        <v>Head</v>
      </c>
      <c r="E448" s="16">
        <f>IFERROR(__xludf.DUMMYFUNCTION("""COMPUTED_VALUE"""),200.0)</f>
        <v>200</v>
      </c>
      <c r="F448"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48" s="16">
        <f>IFERROR(__xludf.DUMMYFUNCTION("""COMPUTED_VALUE"""),1.99E8)</f>
        <v>199000000</v>
      </c>
      <c r="H448" s="16"/>
      <c r="I448" s="16"/>
      <c r="J448" s="16"/>
      <c r="K448" s="16"/>
      <c r="L448" s="16"/>
      <c r="M448" s="16"/>
      <c r="N448" s="16"/>
      <c r="O448" s="16"/>
      <c r="P448" s="16"/>
      <c r="Q448" s="16"/>
      <c r="R448" s="16"/>
      <c r="S448" s="16"/>
      <c r="T448" s="16"/>
      <c r="U448" s="16"/>
      <c r="V448" s="16"/>
      <c r="W448" s="16"/>
      <c r="X448" s="16"/>
      <c r="Y448" s="16"/>
      <c r="Z448" s="16"/>
    </row>
    <row r="449">
      <c r="A449" s="16" t="str">
        <f>IFERROR(__xludf.DUMMYFUNCTION("""COMPUTED_VALUE"""),"Abstara Royal Chestplate")</f>
        <v>Abstara Royal Chestplate</v>
      </c>
      <c r="B449" s="16"/>
      <c r="C449" s="16"/>
      <c r="D449" s="16" t="str">
        <f>IFERROR(__xludf.DUMMYFUNCTION("""COMPUTED_VALUE"""),"Torso")</f>
        <v>Torso</v>
      </c>
      <c r="E449" s="16">
        <f>IFERROR(__xludf.DUMMYFUNCTION("""COMPUTED_VALUE"""),200.0)</f>
        <v>200</v>
      </c>
      <c r="F449"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49" s="16">
        <f>IFERROR(__xludf.DUMMYFUNCTION("""COMPUTED_VALUE"""),1.99E8)</f>
        <v>199000000</v>
      </c>
      <c r="H449" s="16"/>
      <c r="I449" s="16"/>
      <c r="J449" s="16"/>
      <c r="K449" s="16"/>
      <c r="L449" s="16"/>
      <c r="M449" s="16"/>
      <c r="N449" s="16"/>
      <c r="O449" s="16"/>
      <c r="P449" s="16"/>
      <c r="Q449" s="16"/>
      <c r="R449" s="16"/>
      <c r="S449" s="16"/>
      <c r="T449" s="16"/>
      <c r="U449" s="16"/>
      <c r="V449" s="16"/>
      <c r="W449" s="16"/>
      <c r="X449" s="16"/>
      <c r="Y449" s="16"/>
      <c r="Z449" s="16"/>
    </row>
    <row r="450">
      <c r="A450" s="16" t="str">
        <f>IFERROR(__xludf.DUMMYFUNCTION("""COMPUTED_VALUE"""),"Abstara Royal Vambraces")</f>
        <v>Abstara Royal Vambraces</v>
      </c>
      <c r="B450" s="16"/>
      <c r="C450" s="16"/>
      <c r="D450" s="16" t="str">
        <f>IFERROR(__xludf.DUMMYFUNCTION("""COMPUTED_VALUE"""),"Arms")</f>
        <v>Arms</v>
      </c>
      <c r="E450" s="16">
        <f>IFERROR(__xludf.DUMMYFUNCTION("""COMPUTED_VALUE"""),200.0)</f>
        <v>200</v>
      </c>
      <c r="F450"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0" s="16">
        <f>IFERROR(__xludf.DUMMYFUNCTION("""COMPUTED_VALUE"""),1.99E8)</f>
        <v>199000000</v>
      </c>
      <c r="H450" s="16"/>
      <c r="I450" s="16"/>
      <c r="J450" s="16"/>
      <c r="K450" s="16"/>
      <c r="L450" s="16"/>
      <c r="M450" s="16"/>
      <c r="N450" s="16"/>
      <c r="O450" s="16"/>
      <c r="P450" s="16"/>
      <c r="Q450" s="16"/>
      <c r="R450" s="16"/>
      <c r="S450" s="16"/>
      <c r="T450" s="16"/>
      <c r="U450" s="16"/>
      <c r="V450" s="16"/>
      <c r="W450" s="16"/>
      <c r="X450" s="16"/>
      <c r="Y450" s="16"/>
      <c r="Z450" s="16"/>
    </row>
    <row r="451">
      <c r="A451" s="16" t="str">
        <f>IFERROR(__xludf.DUMMYFUNCTION("""COMPUTED_VALUE"""),"Abstara Royal Greaves")</f>
        <v>Abstara Royal Greaves</v>
      </c>
      <c r="B451" s="16"/>
      <c r="C451" s="16"/>
      <c r="D451" s="16" t="str">
        <f>IFERROR(__xludf.DUMMYFUNCTION("""COMPUTED_VALUE"""),"Legs")</f>
        <v>Legs</v>
      </c>
      <c r="E451" s="16">
        <f>IFERROR(__xludf.DUMMYFUNCTION("""COMPUTED_VALUE"""),200.0)</f>
        <v>200</v>
      </c>
      <c r="F451"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1" s="16">
        <f>IFERROR(__xludf.DUMMYFUNCTION("""COMPUTED_VALUE"""),1.99E8)</f>
        <v>199000000</v>
      </c>
      <c r="H451" s="16"/>
      <c r="I451" s="16"/>
      <c r="J451" s="16"/>
      <c r="K451" s="16"/>
      <c r="L451" s="16"/>
      <c r="M451" s="16"/>
      <c r="N451" s="16"/>
      <c r="O451" s="16"/>
      <c r="P451" s="16"/>
      <c r="Q451" s="16"/>
      <c r="R451" s="16"/>
      <c r="S451" s="16"/>
      <c r="T451" s="16"/>
      <c r="U451" s="16"/>
      <c r="V451" s="16"/>
      <c r="W451" s="16"/>
      <c r="X451" s="16"/>
      <c r="Y451" s="16"/>
      <c r="Z451" s="16"/>
    </row>
    <row r="452">
      <c r="A452" s="16" t="str">
        <f>IFERROR(__xludf.DUMMYFUNCTION("""COMPUTED_VALUE"""),"Abstara Royal Shield")</f>
        <v>Abstara Royal Shield</v>
      </c>
      <c r="B452" s="16"/>
      <c r="C452" s="16" t="str">
        <f>IFERROR(__xludf.DUMMYFUNCTION("""COMPUTED_VALUE"""),"Towershield")</f>
        <v>Towershield</v>
      </c>
      <c r="D452" s="16" t="str">
        <f>IFERROR(__xludf.DUMMYFUNCTION("""COMPUTED_VALUE"""),"Hand")</f>
        <v>Hand</v>
      </c>
      <c r="E452" s="16">
        <f>IFERROR(__xludf.DUMMYFUNCTION("""COMPUTED_VALUE"""),200.0)</f>
        <v>200</v>
      </c>
      <c r="F452"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2" s="16">
        <f>IFERROR(__xludf.DUMMYFUNCTION("""COMPUTED_VALUE"""),1.99E8)</f>
        <v>199000000</v>
      </c>
      <c r="H452" s="16"/>
      <c r="I452" s="16"/>
      <c r="J452" s="16"/>
      <c r="K452" s="16"/>
      <c r="L452" s="16"/>
      <c r="M452" s="16"/>
      <c r="N452" s="16"/>
      <c r="O452" s="16"/>
      <c r="P452" s="16"/>
      <c r="Q452" s="16"/>
      <c r="R452" s="16"/>
      <c r="S452" s="16"/>
      <c r="T452" s="16"/>
      <c r="U452" s="16"/>
      <c r="V452" s="16"/>
      <c r="W452" s="16"/>
      <c r="X452" s="16"/>
      <c r="Y452" s="16"/>
      <c r="Z452" s="16"/>
    </row>
    <row r="453">
      <c r="A453" s="16" t="str">
        <f>IFERROR(__xludf.DUMMYFUNCTION("""COMPUTED_VALUE"""),"Abstara Royal Boots")</f>
        <v>Abstara Royal Boots</v>
      </c>
      <c r="B453" s="16"/>
      <c r="C453" s="16"/>
      <c r="D453" s="16" t="str">
        <f>IFERROR(__xludf.DUMMYFUNCTION("""COMPUTED_VALUE"""),"Feet")</f>
        <v>Feet</v>
      </c>
      <c r="E453" s="16">
        <f>IFERROR(__xludf.DUMMYFUNCTION("""COMPUTED_VALUE"""),200.0)</f>
        <v>200</v>
      </c>
      <c r="F453"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3" s="16">
        <f>IFERROR(__xludf.DUMMYFUNCTION("""COMPUTED_VALUE"""),1.99E8)</f>
        <v>199000000</v>
      </c>
      <c r="H453" s="16"/>
      <c r="I453" s="16"/>
      <c r="J453" s="16"/>
      <c r="K453" s="16"/>
      <c r="L453" s="16"/>
      <c r="M453" s="16"/>
      <c r="N453" s="16"/>
      <c r="O453" s="16"/>
      <c r="P453" s="16"/>
      <c r="Q453" s="16"/>
      <c r="R453" s="16"/>
      <c r="S453" s="16"/>
      <c r="T453" s="16"/>
      <c r="U453" s="16"/>
      <c r="V453" s="16"/>
      <c r="W453" s="16"/>
      <c r="X453" s="16"/>
      <c r="Y453" s="16"/>
      <c r="Z453" s="16"/>
    </row>
    <row r="454">
      <c r="A454" s="16" t="str">
        <f>IFERROR(__xludf.DUMMYFUNCTION("""COMPUTED_VALUE"""),"Abstara Royal Pauldrons")</f>
        <v>Abstara Royal Pauldrons</v>
      </c>
      <c r="B454" s="16"/>
      <c r="C454" s="16"/>
      <c r="D454" s="16" t="str">
        <f>IFERROR(__xludf.DUMMYFUNCTION("""COMPUTED_VALUE"""),"Shoulders")</f>
        <v>Shoulders</v>
      </c>
      <c r="E454" s="16">
        <f>IFERROR(__xludf.DUMMYFUNCTION("""COMPUTED_VALUE"""),200.0)</f>
        <v>200</v>
      </c>
      <c r="F454"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4" s="16">
        <f>IFERROR(__xludf.DUMMYFUNCTION("""COMPUTED_VALUE"""),1.99E8)</f>
        <v>199000000</v>
      </c>
      <c r="H454" s="16"/>
      <c r="I454" s="16"/>
      <c r="J454" s="16"/>
      <c r="K454" s="16"/>
      <c r="L454" s="16"/>
      <c r="M454" s="16"/>
      <c r="N454" s="16"/>
      <c r="O454" s="16"/>
      <c r="P454" s="16"/>
      <c r="Q454" s="16"/>
      <c r="R454" s="16"/>
      <c r="S454" s="16"/>
      <c r="T454" s="16"/>
      <c r="U454" s="16"/>
      <c r="V454" s="16"/>
      <c r="W454" s="16"/>
      <c r="X454" s="16"/>
      <c r="Y454" s="16"/>
      <c r="Z454" s="16"/>
    </row>
    <row r="455">
      <c r="A455" s="16" t="str">
        <f>IFERROR(__xludf.DUMMYFUNCTION("""COMPUTED_VALUE"""),"Feathered Hat of Roguish ""Justice""")</f>
        <v>Feathered Hat of Roguish "Justice"</v>
      </c>
      <c r="B455" s="16" t="str">
        <f>IFERROR(__xludf.DUMMYFUNCTION("""COMPUTED_VALUE"""),"Quest Item")</f>
        <v>Quest Item</v>
      </c>
      <c r="C455" s="16"/>
      <c r="D455" s="16" t="str">
        <f>IFERROR(__xludf.DUMMYFUNCTION("""COMPUTED_VALUE"""),"Head")</f>
        <v>Head</v>
      </c>
      <c r="E455" s="16">
        <f>IFERROR(__xludf.DUMMYFUNCTION("""COMPUTED_VALUE"""),200.0)</f>
        <v>200</v>
      </c>
      <c r="F455"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5" s="16">
        <f>IFERROR(__xludf.DUMMYFUNCTION("""COMPUTED_VALUE"""),3.16E7)</f>
        <v>31600000</v>
      </c>
      <c r="H455" s="16"/>
      <c r="I455" s="16"/>
      <c r="J455" s="16"/>
      <c r="K455" s="16"/>
      <c r="L455" s="16"/>
      <c r="M455" s="16"/>
      <c r="N455" s="16"/>
      <c r="O455" s="16"/>
      <c r="P455" s="16"/>
      <c r="Q455" s="16"/>
      <c r="R455" s="16"/>
      <c r="S455" s="16"/>
      <c r="T455" s="16"/>
      <c r="U455" s="16"/>
      <c r="V455" s="16"/>
      <c r="W455" s="16"/>
      <c r="X455" s="16"/>
      <c r="Y455" s="16"/>
      <c r="Z455" s="16"/>
    </row>
    <row r="456">
      <c r="A456" s="16" t="str">
        <f>IFERROR(__xludf.DUMMYFUNCTION("""COMPUTED_VALUE"""),"Cape of Misdeed")</f>
        <v>Cape of Misdeed</v>
      </c>
      <c r="B456" s="16" t="str">
        <f>IFERROR(__xludf.DUMMYFUNCTION("""COMPUTED_VALUE"""),"Quest Item")</f>
        <v>Quest Item</v>
      </c>
      <c r="C456" s="16"/>
      <c r="D456" s="16" t="str">
        <f>IFERROR(__xludf.DUMMYFUNCTION("""COMPUTED_VALUE"""),"Shoulders")</f>
        <v>Shoulders</v>
      </c>
      <c r="E456" s="16">
        <f>IFERROR(__xludf.DUMMYFUNCTION("""COMPUTED_VALUE"""),200.0)</f>
        <v>200</v>
      </c>
      <c r="F456" s="16" t="str">
        <f>IFERROR(__xludf.DUMMYFUNCTION("""COMPUTED_VALUE"""),"DEF: +1000, Light DEF: +10000, Order DEF: +10000, Celestial DEF: +1000 (Roguish Guise Set) ++X2 Money Stolen Via the Sword of Bad Luck. +1 Evasion When Fighting Guards. +-Cannot be duplicated +-Pirate/Marauder Only")</f>
        <v>DEF: +1000, Light DEF: +10000, Order DEF: +10000, Celestial DEF: +1000 (Roguish Guise Set) ++X2 Money Stolen Via the Sword of Bad Luck. +1 Evasion When Fighting Guards. +-Cannot be duplicated +-Pirate/Marauder Only</v>
      </c>
      <c r="G456" s="16">
        <f>IFERROR(__xludf.DUMMYFUNCTION("""COMPUTED_VALUE"""),9460000.0)</f>
        <v>9460000</v>
      </c>
      <c r="H456" s="16"/>
      <c r="I456" s="16"/>
      <c r="J456" s="16"/>
      <c r="K456" s="16"/>
      <c r="L456" s="16"/>
      <c r="M456" s="16"/>
      <c r="N456" s="16"/>
      <c r="O456" s="16"/>
      <c r="P456" s="16"/>
      <c r="Q456" s="16"/>
      <c r="R456" s="16"/>
      <c r="S456" s="16"/>
      <c r="T456" s="16"/>
      <c r="U456" s="16"/>
      <c r="V456" s="16"/>
      <c r="W456" s="16"/>
      <c r="X456" s="16"/>
      <c r="Y456" s="16"/>
      <c r="Z456" s="16"/>
    </row>
    <row r="457">
      <c r="A457" s="16" t="str">
        <f>IFERROR(__xludf.DUMMYFUNCTION("""COMPUTED_VALUE"""),"Doublet of Debauchery")</f>
        <v>Doublet of Debauchery</v>
      </c>
      <c r="B457" s="16" t="str">
        <f>IFERROR(__xludf.DUMMYFUNCTION("""COMPUTED_VALUE"""),"Quest Item")</f>
        <v>Quest Item</v>
      </c>
      <c r="C457" s="16"/>
      <c r="D457" s="16" t="str">
        <f>IFERROR(__xludf.DUMMYFUNCTION("""COMPUTED_VALUE"""),"Torso")</f>
        <v>Torso</v>
      </c>
      <c r="E457" s="16">
        <f>IFERROR(__xludf.DUMMYFUNCTION("""COMPUTED_VALUE"""),200.0)</f>
        <v>200</v>
      </c>
      <c r="F457" s="16" t="str">
        <f>IFERROR(__xludf.DUMMYFUNCTION("""COMPUTED_VALUE"""),"DEF: +20000, Light DEF: +20000, Order DEF: +20000, Celestial DEF: +10000 (Roguish Guise Set) ++X2 Money Stolen Via the Sword of Bad Luck. +1 Evasion When Fighting Guards. +-Cannot be duplicated +-Pirate/Marauder Only")</f>
        <v>DEF: +20000, Light DEF: +20000, Order DEF: +20000, Celestial DEF: +10000 (Roguish Guise Set) ++X2 Money Stolen Via the Sword of Bad Luck. +1 Evasion When Fighting Guards. +-Cannot be duplicated +-Pirate/Marauder Only</v>
      </c>
      <c r="G457" s="16">
        <f>IFERROR(__xludf.DUMMYFUNCTION("""COMPUTED_VALUE"""),9.73E7)</f>
        <v>97300000</v>
      </c>
      <c r="H457" s="16"/>
      <c r="I457" s="16"/>
      <c r="J457" s="16"/>
      <c r="K457" s="16"/>
      <c r="L457" s="16"/>
      <c r="M457" s="16"/>
      <c r="N457" s="16"/>
      <c r="O457" s="16"/>
      <c r="P457" s="16"/>
      <c r="Q457" s="16"/>
      <c r="R457" s="16"/>
      <c r="S457" s="16"/>
      <c r="T457" s="16"/>
      <c r="U457" s="16"/>
      <c r="V457" s="16"/>
      <c r="W457" s="16"/>
      <c r="X457" s="16"/>
      <c r="Y457" s="16"/>
      <c r="Z457" s="16"/>
    </row>
    <row r="458">
      <c r="A458" s="16" t="str">
        <f>IFERROR(__xludf.DUMMYFUNCTION("""COMPUTED_VALUE"""),"Leather Boots of Softstep")</f>
        <v>Leather Boots of Softstep</v>
      </c>
      <c r="B458" s="16" t="str">
        <f>IFERROR(__xludf.DUMMYFUNCTION("""COMPUTED_VALUE"""),"Quest Item")</f>
        <v>Quest Item</v>
      </c>
      <c r="C458" s="16"/>
      <c r="D458" s="16" t="str">
        <f>IFERROR(__xludf.DUMMYFUNCTION("""COMPUTED_VALUE"""),"Feet")</f>
        <v>Feet</v>
      </c>
      <c r="E458" s="16">
        <f>IFERROR(__xludf.DUMMYFUNCTION("""COMPUTED_VALUE"""),200.0)</f>
        <v>200</v>
      </c>
      <c r="F458"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8" s="16">
        <f>IFERROR(__xludf.DUMMYFUNCTION("""COMPUTED_VALUE"""),3.16E7)</f>
        <v>31600000</v>
      </c>
      <c r="H458" s="16"/>
      <c r="I458" s="16"/>
      <c r="J458" s="16"/>
      <c r="K458" s="16"/>
      <c r="L458" s="16"/>
      <c r="M458" s="16"/>
      <c r="N458" s="16"/>
      <c r="O458" s="16"/>
      <c r="P458" s="16"/>
      <c r="Q458" s="16"/>
      <c r="R458" s="16"/>
      <c r="S458" s="16"/>
      <c r="T458" s="16"/>
      <c r="U458" s="16"/>
      <c r="V458" s="16"/>
      <c r="W458" s="16"/>
      <c r="X458" s="16"/>
      <c r="Y458" s="16"/>
      <c r="Z458" s="16"/>
    </row>
    <row r="459">
      <c r="A459" s="16" t="str">
        <f>IFERROR(__xludf.DUMMYFUNCTION("""COMPUTED_VALUE"""),"Tights of Fabulous Thievery")</f>
        <v>Tights of Fabulous Thievery</v>
      </c>
      <c r="B459" s="16" t="str">
        <f>IFERROR(__xludf.DUMMYFUNCTION("""COMPUTED_VALUE"""),"Quest Item")</f>
        <v>Quest Item</v>
      </c>
      <c r="C459" s="16"/>
      <c r="D459" s="16" t="str">
        <f>IFERROR(__xludf.DUMMYFUNCTION("""COMPUTED_VALUE"""),"Legs")</f>
        <v>Legs</v>
      </c>
      <c r="E459" s="16">
        <f>IFERROR(__xludf.DUMMYFUNCTION("""COMPUTED_VALUE"""),200.0)</f>
        <v>200</v>
      </c>
      <c r="F459"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9" s="16">
        <f>IFERROR(__xludf.DUMMYFUNCTION("""COMPUTED_VALUE"""),3.16E7)</f>
        <v>31600000</v>
      </c>
      <c r="H459" s="16"/>
      <c r="I459" s="16"/>
      <c r="J459" s="16"/>
      <c r="K459" s="16"/>
      <c r="L459" s="16"/>
      <c r="M459" s="16"/>
      <c r="N459" s="16"/>
      <c r="O459" s="16"/>
      <c r="P459" s="16"/>
      <c r="Q459" s="16"/>
      <c r="R459" s="16"/>
      <c r="S459" s="16"/>
      <c r="T459" s="16"/>
      <c r="U459" s="16"/>
      <c r="V459" s="16"/>
      <c r="W459" s="16"/>
      <c r="X459" s="16"/>
      <c r="Y459" s="16"/>
      <c r="Z459" s="16"/>
    </row>
    <row r="460">
      <c r="A460" s="16" t="str">
        <f>IFERROR(__xludf.DUMMYFUNCTION("""COMPUTED_VALUE"""),"Fingerless Glove of Anonymity")</f>
        <v>Fingerless Glove of Anonymity</v>
      </c>
      <c r="B460" s="16" t="str">
        <f>IFERROR(__xludf.DUMMYFUNCTION("""COMPUTED_VALUE"""),"Quest Item")</f>
        <v>Quest Item</v>
      </c>
      <c r="C460" s="16" t="str">
        <f>IFERROR(__xludf.DUMMYFUNCTION("""COMPUTED_VALUE"""),"Claw")</f>
        <v>Claw</v>
      </c>
      <c r="D460" s="16" t="str">
        <f>IFERROR(__xludf.DUMMYFUNCTION("""COMPUTED_VALUE"""),"Hand")</f>
        <v>Hand</v>
      </c>
      <c r="E460" s="16">
        <f>IFERROR(__xludf.DUMMYFUNCTION("""COMPUTED_VALUE"""),200.0)</f>
        <v>200</v>
      </c>
      <c r="F460" s="16" t="str">
        <f>IFERROR(__xludf.DUMMYFUNCTION("""COMPUTED_VALUE"""),"DMG: +10000, Light DMG: +10000, Order DMG: +10000, Celestial DMG: +10000 (Roguish Guise Set) ++X2 Money Stolen Via the Sword of Bad Luck. +1 Evasion When Fighting Guards. ++5% Chance to not gain a bounty when committing a crime (Cannot be Increased) ++20%"&amp;" chance to remove enemy from battle +-Cannot be duplicated +-Pirate/Marauder Only")</f>
        <v>DMG: +10000, Light DMG: +10000, Order DMG: +10000, Celestial DMG: +10000 (Roguish Guise Set) ++X2 Money Stolen Via the Sword of Bad Luck. +1 Evasion When Fighting Guards. ++5% Chance to not gain a bounty when committing a crime (Cannot be Increased) ++20% chance to remove enemy from battle +-Cannot be duplicated +-Pirate/Marauder Only</v>
      </c>
      <c r="G460" s="16">
        <f>IFERROR(__xludf.DUMMYFUNCTION("""COMPUTED_VALUE"""),3.16E7)</f>
        <v>31600000</v>
      </c>
      <c r="H460" s="16"/>
      <c r="I460" s="16"/>
      <c r="J460" s="16"/>
      <c r="K460" s="16"/>
      <c r="L460" s="16"/>
      <c r="M460" s="16"/>
      <c r="N460" s="16"/>
      <c r="O460" s="16"/>
      <c r="P460" s="16"/>
      <c r="Q460" s="16"/>
      <c r="R460" s="16"/>
      <c r="S460" s="16"/>
      <c r="T460" s="16"/>
      <c r="U460" s="16"/>
      <c r="V460" s="16"/>
      <c r="W460" s="16"/>
      <c r="X460" s="16"/>
      <c r="Y460" s="16"/>
      <c r="Z460" s="16"/>
    </row>
    <row r="461">
      <c r="A461" s="16" t="str">
        <f>IFERROR(__xludf.DUMMYFUNCTION("""COMPUTED_VALUE"""),"Bracers of Dastardly Deflection")</f>
        <v>Bracers of Dastardly Deflection</v>
      </c>
      <c r="B461" s="16" t="str">
        <f>IFERROR(__xludf.DUMMYFUNCTION("""COMPUTED_VALUE"""),"Quest Item")</f>
        <v>Quest Item</v>
      </c>
      <c r="C461" s="16"/>
      <c r="D461" s="16" t="str">
        <f>IFERROR(__xludf.DUMMYFUNCTION("""COMPUTED_VALUE"""),"Arms")</f>
        <v>Arms</v>
      </c>
      <c r="E461" s="16">
        <f>IFERROR(__xludf.DUMMYFUNCTION("""COMPUTED_VALUE"""),200.0)</f>
        <v>200</v>
      </c>
      <c r="F461"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61" s="16">
        <f>IFERROR(__xludf.DUMMYFUNCTION("""COMPUTED_VALUE"""),3.16E7)</f>
        <v>31600000</v>
      </c>
      <c r="H461" s="16"/>
      <c r="I461" s="16"/>
      <c r="J461" s="16"/>
      <c r="K461" s="16"/>
      <c r="L461" s="16"/>
      <c r="M461" s="16"/>
      <c r="N461" s="16"/>
      <c r="O461" s="16"/>
      <c r="P461" s="16"/>
      <c r="Q461" s="16"/>
      <c r="R461" s="16"/>
      <c r="S461" s="16"/>
      <c r="T461" s="16"/>
      <c r="U461" s="16"/>
      <c r="V461" s="16"/>
      <c r="W461" s="16"/>
      <c r="X461" s="16"/>
      <c r="Y461" s="16"/>
      <c r="Z461" s="16"/>
    </row>
    <row r="462">
      <c r="A462" s="16" t="str">
        <f>IFERROR(__xludf.DUMMYFUNCTION("""COMPUTED_VALUE"""),"Amulet of the Goddess of Theft")</f>
        <v>Amulet of the Goddess of Theft</v>
      </c>
      <c r="B462" s="16" t="str">
        <f>IFERROR(__xludf.DUMMYFUNCTION("""COMPUTED_VALUE"""),"Quest Item")</f>
        <v>Quest Item</v>
      </c>
      <c r="C462" s="16"/>
      <c r="D462" s="16" t="str">
        <f>IFERROR(__xludf.DUMMYFUNCTION("""COMPUTED_VALUE"""),"Neck")</f>
        <v>Neck</v>
      </c>
      <c r="E462" s="16">
        <f>IFERROR(__xludf.DUMMYFUNCTION("""COMPUTED_VALUE"""),1.0)</f>
        <v>1</v>
      </c>
      <c r="F462" s="16" t="str">
        <f>IFERROR(__xludf.DUMMYFUNCTION("""COMPUTED_VALUE""")," (Roguish Guise Set) ++X2 Money Stolen Via the Sword of Bad Luck. +5 Evasion +-Cannot be forged +-Cannot be duplicated +-Pirate/Marauder Only")</f>
        <v> (Roguish Guise Set) ++X2 Money Stolen Via the Sword of Bad Luck. +5 Evasion +-Cannot be forged +-Cannot be duplicated +-Pirate/Marauder Only</v>
      </c>
      <c r="G462" s="16">
        <f>IFERROR(__xludf.DUMMYFUNCTION("""COMPUTED_VALUE"""),0.0)</f>
        <v>0</v>
      </c>
      <c r="H462" s="16"/>
      <c r="I462" s="16"/>
      <c r="J462" s="16"/>
      <c r="K462" s="16"/>
      <c r="L462" s="16"/>
      <c r="M462" s="16"/>
      <c r="N462" s="16"/>
      <c r="O462" s="16"/>
      <c r="P462" s="16"/>
      <c r="Q462" s="16"/>
      <c r="R462" s="16"/>
      <c r="S462" s="16"/>
      <c r="T462" s="16"/>
      <c r="U462" s="16"/>
      <c r="V462" s="16"/>
      <c r="W462" s="16"/>
      <c r="X462" s="16"/>
      <c r="Y462" s="16"/>
      <c r="Z462" s="16"/>
    </row>
    <row r="463">
      <c r="A463" s="16" t="str">
        <f>IFERROR(__xludf.DUMMYFUNCTION("""COMPUTED_VALUE"""),"Flute of The Majestic Forest")</f>
        <v>Flute of The Majestic Forest</v>
      </c>
      <c r="B463" s="16"/>
      <c r="C463" s="16" t="str">
        <f>IFERROR(__xludf.DUMMYFUNCTION("""COMPUTED_VALUE"""),"Instrument")</f>
        <v>Instrument</v>
      </c>
      <c r="D463" s="16" t="str">
        <f>IFERROR(__xludf.DUMMYFUNCTION("""COMPUTED_VALUE"""),"Hand")</f>
        <v>Hand</v>
      </c>
      <c r="E463" s="16">
        <f>IFERROR(__xludf.DUMMYFUNCTION("""COMPUTED_VALUE"""),300.0)</f>
        <v>300</v>
      </c>
      <c r="F463" s="16" t="str">
        <f>IFERROR(__xludf.DUMMYFUNCTION("""COMPUTED_VALUE"""),"DMG: +5000, Nature DMG: +5000, Acoustic DMG: +5000 ++X2 Additional Nature damage while equipped. ++Song of The Forest - Summons a nature mob determined by the DM/GM to assist you in battle. +-Cannot be duplicated. +-Only Bards can equip.")</f>
        <v>DMG: +5000, Nature DMG: +5000, Acoustic DMG: +5000 ++X2 Additional Nature damage while equipped. ++Song of The Forest - Summons a nature mob determined by the DM/GM to assist you in battle. +-Cannot be duplicated. +-Only Bards can equip.</v>
      </c>
      <c r="G463" s="16">
        <f>IFERROR(__xludf.DUMMYFUNCTION("""COMPUTED_VALUE"""),4350000.0)</f>
        <v>4350000</v>
      </c>
      <c r="H463" s="16"/>
      <c r="I463" s="16"/>
      <c r="J463" s="16"/>
      <c r="K463" s="16"/>
      <c r="L463" s="16"/>
      <c r="M463" s="16"/>
      <c r="N463" s="16"/>
      <c r="O463" s="16"/>
      <c r="P463" s="16"/>
      <c r="Q463" s="16"/>
      <c r="R463" s="16"/>
      <c r="S463" s="16"/>
      <c r="T463" s="16"/>
      <c r="U463" s="16"/>
      <c r="V463" s="16"/>
      <c r="W463" s="16"/>
      <c r="X463" s="16"/>
      <c r="Y463" s="16"/>
      <c r="Z463" s="16"/>
    </row>
    <row r="464">
      <c r="A464" s="16" t="str">
        <f>IFERROR(__xludf.DUMMYFUNCTION("""COMPUTED_VALUE"""),"Heatmore Tribal Drums")</f>
        <v>Heatmore Tribal Drums</v>
      </c>
      <c r="B464" s="16"/>
      <c r="C464" s="16" t="str">
        <f>IFERROR(__xludf.DUMMYFUNCTION("""COMPUTED_VALUE"""),"Instrument")</f>
        <v>Instrument</v>
      </c>
      <c r="D464" s="16" t="str">
        <f>IFERROR(__xludf.DUMMYFUNCTION("""COMPUTED_VALUE"""),"Hand")</f>
        <v>Hand</v>
      </c>
      <c r="E464" s="16">
        <f>IFERROR(__xludf.DUMMYFUNCTION("""COMPUTED_VALUE"""),600.0)</f>
        <v>600</v>
      </c>
      <c r="F464" s="16" t="str">
        <f>IFERROR(__xludf.DUMMYFUNCTION("""COMPUTED_VALUE"""),"DMG: +10000, Fire DMG: +10000, Acoustic DMG: +10000 ++X2 Additional Fire damage while equipped. ++Tribal Chant 25% chance to call Master Sawoogo to aid you in battle. +-Cannot be duplicated. +-Only Bards can equip.")</f>
        <v>DMG: +10000, Fire DMG: +10000, Acoustic DMG: +10000 ++X2 Additional Fire damage while equipped. ++Tribal Chant 25% chance to call Master Sawoogo to aid you in battle. +-Cannot be duplicated. +-Only Bards can equip.</v>
      </c>
      <c r="G464" s="16">
        <f>IFERROR(__xludf.DUMMYFUNCTION("""COMPUTED_VALUE"""),1.77E7)</f>
        <v>17700000</v>
      </c>
      <c r="H464" s="16"/>
      <c r="I464" s="16"/>
      <c r="J464" s="16"/>
      <c r="K464" s="16"/>
      <c r="L464" s="16"/>
      <c r="M464" s="16"/>
      <c r="N464" s="16"/>
      <c r="O464" s="16"/>
      <c r="P464" s="16"/>
      <c r="Q464" s="16"/>
      <c r="R464" s="16"/>
      <c r="S464" s="16"/>
      <c r="T464" s="16"/>
      <c r="U464" s="16"/>
      <c r="V464" s="16"/>
      <c r="W464" s="16"/>
      <c r="X464" s="16"/>
      <c r="Y464" s="16"/>
      <c r="Z464" s="16"/>
    </row>
    <row r="465">
      <c r="A465" s="16" t="str">
        <f>IFERROR(__xludf.DUMMYFUNCTION("""COMPUTED_VALUE"""),"Heatmore Tribal Maracas")</f>
        <v>Heatmore Tribal Maracas</v>
      </c>
      <c r="B465" s="16"/>
      <c r="C465" s="16" t="str">
        <f>IFERROR(__xludf.DUMMYFUNCTION("""COMPUTED_VALUE"""),"Instrument")</f>
        <v>Instrument</v>
      </c>
      <c r="D465" s="16" t="str">
        <f>IFERROR(__xludf.DUMMYFUNCTION("""COMPUTED_VALUE"""),"Hand")</f>
        <v>Hand</v>
      </c>
      <c r="E465" s="16">
        <f>IFERROR(__xludf.DUMMYFUNCTION("""COMPUTED_VALUE"""),900.0)</f>
        <v>900</v>
      </c>
      <c r="F465" s="16" t="str">
        <f>IFERROR(__xludf.DUMMYFUNCTION("""COMPUTED_VALUE"""),"DMG: +15000, Fire DMG: +15000, Acoustic DMG: +15000 ++X4 additional Fire and Acoustic damage while equipped. +-Cannot be duplicated. +-Only Bards can equip.")</f>
        <v>DMG: +15000, Fire DMG: +15000, Acoustic DMG: +15000 ++X4 additional Fire and Acoustic damage while equipped. +-Cannot be duplicated. +-Only Bards can equip.</v>
      </c>
      <c r="G465" s="16">
        <f>IFERROR(__xludf.DUMMYFUNCTION("""COMPUTED_VALUE"""),4.005E7)</f>
        <v>40050000</v>
      </c>
      <c r="H465" s="16"/>
      <c r="I465" s="16"/>
      <c r="J465" s="16"/>
      <c r="K465" s="16"/>
      <c r="L465" s="16"/>
      <c r="M465" s="16"/>
      <c r="N465" s="16"/>
      <c r="O465" s="16"/>
      <c r="P465" s="16"/>
      <c r="Q465" s="16"/>
      <c r="R465" s="16"/>
      <c r="S465" s="16"/>
      <c r="T465" s="16"/>
      <c r="U465" s="16"/>
      <c r="V465" s="16"/>
      <c r="W465" s="16"/>
      <c r="X465" s="16"/>
      <c r="Y465" s="16"/>
      <c r="Z465" s="16"/>
    </row>
    <row r="466">
      <c r="A466" s="16" t="str">
        <f>IFERROR(__xludf.DUMMYFUNCTION("""COMPUTED_VALUE"""),"Mask of Creeping Darkness")</f>
        <v>Mask of Creeping Darkness</v>
      </c>
      <c r="B466" s="16" t="str">
        <f>IFERROR(__xludf.DUMMYFUNCTION("""COMPUTED_VALUE"""),"Quest Item")</f>
        <v>Quest Item</v>
      </c>
      <c r="C466" s="16"/>
      <c r="D466" s="16" t="str">
        <f>IFERROR(__xludf.DUMMYFUNCTION("""COMPUTED_VALUE"""),"Head")</f>
        <v>Head</v>
      </c>
      <c r="E466" s="16">
        <f>IFERROR(__xludf.DUMMYFUNCTION("""COMPUTED_VALUE"""),200.0)</f>
        <v>200</v>
      </c>
      <c r="F466" s="16" t="str">
        <f>IFERROR(__xludf.DUMMYFUNCTION("""COMPUTED_VALUE"""),"DEF: +25000, Light DEF: +25000, Order DEF: +25000, Celestial DEF: +20000 ++X2 Damage whilst invulnerable breaking invulnerability upon being used. +-Cannot be Duplicated. +-Ninja Only")</f>
        <v>DEF: +25000, Light DEF: +25000, Order DEF: +25000, Celestial DEF: +20000 ++X2 Damage whilst invulnerable breaking invulnerability upon being used. +-Cannot be Duplicated. +-Ninja Only</v>
      </c>
      <c r="G466" s="16">
        <f>IFERROR(__xludf.DUMMYFUNCTION("""COMPUTED_VALUE"""),1.7955E8)</f>
        <v>179550000</v>
      </c>
      <c r="H466" s="16"/>
      <c r="I466" s="16"/>
      <c r="J466" s="16"/>
      <c r="K466" s="16"/>
      <c r="L466" s="16"/>
      <c r="M466" s="16"/>
      <c r="N466" s="16"/>
      <c r="O466" s="16"/>
      <c r="P466" s="16"/>
      <c r="Q466" s="16"/>
      <c r="R466" s="16"/>
      <c r="S466" s="16"/>
      <c r="T466" s="16"/>
      <c r="U466" s="16"/>
      <c r="V466" s="16"/>
      <c r="W466" s="16"/>
      <c r="X466" s="16"/>
      <c r="Y466" s="16"/>
      <c r="Z466" s="16"/>
    </row>
    <row r="467">
      <c r="A467" s="16" t="str">
        <f>IFERROR(__xludf.DUMMYFUNCTION("""COMPUTED_VALUE"""),"Chest of Evershifting Darkness")</f>
        <v>Chest of Evershifting Darkness</v>
      </c>
      <c r="B467" s="16" t="str">
        <f>IFERROR(__xludf.DUMMYFUNCTION("""COMPUTED_VALUE"""),"Quest Item")</f>
        <v>Quest Item</v>
      </c>
      <c r="C467" s="16"/>
      <c r="D467" s="16" t="str">
        <f>IFERROR(__xludf.DUMMYFUNCTION("""COMPUTED_VALUE"""),"Torso")</f>
        <v>Torso</v>
      </c>
      <c r="E467" s="16">
        <f>IFERROR(__xludf.DUMMYFUNCTION("""COMPUTED_VALUE"""),200.0)</f>
        <v>200</v>
      </c>
      <c r="F467" s="16" t="str">
        <f>IFERROR(__xludf.DUMMYFUNCTION("""COMPUTED_VALUE"""),"DEF: +25000, Light DEF: +25000, Order DEF: +25000, Celestial DEF: +30000 (Shuttering Shadows Set) ++X4 Damage whilst invulnerable breaking invulnerability upon being used. +-Cannot be Duplicated. +-Ninja Only")</f>
        <v>DEF: +25000, Light DEF: +25000, Order DEF: +25000, Celestial DEF: +30000 (Shuttering Shadows Set) ++X4 Damage whilst invulnerable breaking invulnerability upon being used. +-Cannot be Duplicated. +-Ninja Only</v>
      </c>
      <c r="G467" s="16">
        <f>IFERROR(__xludf.DUMMYFUNCTION("""COMPUTED_VALUE"""),2.1945E8)</f>
        <v>219450000</v>
      </c>
      <c r="H467" s="16"/>
      <c r="I467" s="16"/>
      <c r="J467" s="16"/>
      <c r="K467" s="16"/>
      <c r="L467" s="16"/>
      <c r="M467" s="16"/>
      <c r="N467" s="16"/>
      <c r="O467" s="16"/>
      <c r="P467" s="16"/>
      <c r="Q467" s="16"/>
      <c r="R467" s="16"/>
      <c r="S467" s="16"/>
      <c r="T467" s="16"/>
      <c r="U467" s="16"/>
      <c r="V467" s="16"/>
      <c r="W467" s="16"/>
      <c r="X467" s="16"/>
      <c r="Y467" s="16"/>
      <c r="Z467" s="16"/>
    </row>
    <row r="468">
      <c r="A468" s="16" t="str">
        <f>IFERROR(__xludf.DUMMYFUNCTION("""COMPUTED_VALUE"""),"Leather Boots of EDGINESS")</f>
        <v>Leather Boots of EDGINESS</v>
      </c>
      <c r="B468" s="16" t="str">
        <f>IFERROR(__xludf.DUMMYFUNCTION("""COMPUTED_VALUE"""),"Quest Item")</f>
        <v>Quest Item</v>
      </c>
      <c r="C468" s="16"/>
      <c r="D468" s="16" t="str">
        <f>IFERROR(__xludf.DUMMYFUNCTION("""COMPUTED_VALUE"""),"Feet")</f>
        <v>Feet</v>
      </c>
      <c r="E468" s="16">
        <f>IFERROR(__xludf.DUMMYFUNCTION("""COMPUTED_VALUE"""),200.0)</f>
        <v>200</v>
      </c>
      <c r="F468" s="16" t="str">
        <f>IFERROR(__xludf.DUMMYFUNCTION("""COMPUTED_VALUE"""),"DEF: +25000, Light DEF: +25000, Order DEF: +25000, Celestial DEF: +20000 (Shuttering Shadows Set) ++X2 Damage whilst invulnerable breaking invulnerability upon being used. +-Cannot be Duplicated. +-Ninja Only")</f>
        <v>DEF: +25000, Light DEF: +25000, Order DEF: +25000, Celestial DEF: +20000 (Shuttering Shadows Set) ++X2 Damage whilst invulnerable breaking invulnerability upon being used. +-Cannot be Duplicated. +-Ninja Only</v>
      </c>
      <c r="G468" s="16">
        <f>IFERROR(__xludf.DUMMYFUNCTION("""COMPUTED_VALUE"""),1.7955E8)</f>
        <v>179550000</v>
      </c>
      <c r="H468" s="16"/>
      <c r="I468" s="16"/>
      <c r="J468" s="16"/>
      <c r="K468" s="16"/>
      <c r="L468" s="16"/>
      <c r="M468" s="16"/>
      <c r="N468" s="16"/>
      <c r="O468" s="16"/>
      <c r="P468" s="16"/>
      <c r="Q468" s="16"/>
      <c r="R468" s="16"/>
      <c r="S468" s="16"/>
      <c r="T468" s="16"/>
      <c r="U468" s="16"/>
      <c r="V468" s="16"/>
      <c r="W468" s="16"/>
      <c r="X468" s="16"/>
      <c r="Y468" s="16"/>
      <c r="Z468" s="16"/>
    </row>
    <row r="469">
      <c r="A469" s="16" t="str">
        <f>IFERROR(__xludf.DUMMYFUNCTION("""COMPUTED_VALUE"""),"Silken Gloves of Dexterity")</f>
        <v>Silken Gloves of Dexterity</v>
      </c>
      <c r="B469" s="16" t="str">
        <f>IFERROR(__xludf.DUMMYFUNCTION("""COMPUTED_VALUE"""),"Quest Item")</f>
        <v>Quest Item</v>
      </c>
      <c r="C469" s="16"/>
      <c r="D469" s="16" t="str">
        <f>IFERROR(__xludf.DUMMYFUNCTION("""COMPUTED_VALUE"""),"Arms")</f>
        <v>Arms</v>
      </c>
      <c r="E469" s="16">
        <f>IFERROR(__xludf.DUMMYFUNCTION("""COMPUTED_VALUE"""),200.0)</f>
        <v>200</v>
      </c>
      <c r="F469" s="16" t="str">
        <f>IFERROR(__xludf.DUMMYFUNCTION("""COMPUTED_VALUE"""),"DEF: +25000, Light DEF: +25000, Order DEF: +25000, Celestial DEF: +20000 (Shuttering Shadows Set) ++gain +5 to attack rolls whilst invulnerable. ++the Knife attribute is 3X as likely to activate. +-Cannot be forged +-Cannot be duplicated +-Ninja Only")</f>
        <v>DEF: +25000, Light DEF: +25000, Order DEF: +25000, Celestial DEF: +20000 (Shuttering Shadows Set) ++gain +5 to attack rolls whilst invulnerable. ++the Knife attribute is 3X as likely to activate. +-Cannot be forged +-Cannot be duplicated +-Ninja Only</v>
      </c>
      <c r="G469" s="16">
        <f>IFERROR(__xludf.DUMMYFUNCTION("""COMPUTED_VALUE"""),1.7955E8)</f>
        <v>179550000</v>
      </c>
      <c r="H469" s="16"/>
      <c r="I469" s="16"/>
      <c r="J469" s="16"/>
      <c r="K469" s="16"/>
      <c r="L469" s="16"/>
      <c r="M469" s="16"/>
      <c r="N469" s="16"/>
      <c r="O469" s="16"/>
      <c r="P469" s="16"/>
      <c r="Q469" s="16"/>
      <c r="R469" s="16"/>
      <c r="S469" s="16"/>
      <c r="T469" s="16"/>
      <c r="U469" s="16"/>
      <c r="V469" s="16"/>
      <c r="W469" s="16"/>
      <c r="X469" s="16"/>
      <c r="Y469" s="16"/>
      <c r="Z469" s="16"/>
    </row>
    <row r="470">
      <c r="A470" s="16" t="str">
        <f>IFERROR(__xludf.DUMMYFUNCTION("""COMPUTED_VALUE"""),"Leggings of Swift Death")</f>
        <v>Leggings of Swift Death</v>
      </c>
      <c r="B470" s="16" t="str">
        <f>IFERROR(__xludf.DUMMYFUNCTION("""COMPUTED_VALUE"""),"Quest Item")</f>
        <v>Quest Item</v>
      </c>
      <c r="C470" s="16"/>
      <c r="D470" s="16" t="str">
        <f>IFERROR(__xludf.DUMMYFUNCTION("""COMPUTED_VALUE"""),"Legs")</f>
        <v>Legs</v>
      </c>
      <c r="E470" s="16">
        <f>IFERROR(__xludf.DUMMYFUNCTION("""COMPUTED_VALUE"""),200.0)</f>
        <v>200</v>
      </c>
      <c r="F470" s="16" t="str">
        <f>IFERROR(__xludf.DUMMYFUNCTION("""COMPUTED_VALUE"""),"DEF: +25000, Light DEF: +25000, Order DEF: +25000, Celestial DEF: +20000 (Shuttering Shadows Set) ++X2 Damage whilst invulnerable breaking invulnerability upon being used, +-Cannot be Duplicated, +-Ninja Only")</f>
        <v>DEF: +25000, Light DEF: +25000, Order DEF: +25000, Celestial DEF: +20000 (Shuttering Shadows Set) ++X2 Damage whilst invulnerable breaking invulnerability upon being used, +-Cannot be Duplicated, +-Ninja Only</v>
      </c>
      <c r="G470" s="16">
        <f>IFERROR(__xludf.DUMMYFUNCTION("""COMPUTED_VALUE"""),1.7955E8)</f>
        <v>179550000</v>
      </c>
      <c r="H470" s="16"/>
      <c r="I470" s="16"/>
      <c r="J470" s="16"/>
      <c r="K470" s="16"/>
      <c r="L470" s="16"/>
      <c r="M470" s="16"/>
      <c r="N470" s="16"/>
      <c r="O470" s="16"/>
      <c r="P470" s="16"/>
      <c r="Q470" s="16"/>
      <c r="R470" s="16"/>
      <c r="S470" s="16"/>
      <c r="T470" s="16"/>
      <c r="U470" s="16"/>
      <c r="V470" s="16"/>
      <c r="W470" s="16"/>
      <c r="X470" s="16"/>
      <c r="Y470" s="16"/>
      <c r="Z470" s="16"/>
    </row>
    <row r="471">
      <c r="A471" s="16" t="str">
        <f>IFERROR(__xludf.DUMMYFUNCTION("""COMPUTED_VALUE"""),"Cape of Illusion")</f>
        <v>Cape of Illusion</v>
      </c>
      <c r="B471" s="16" t="str">
        <f>IFERROR(__xludf.DUMMYFUNCTION("""COMPUTED_VALUE"""),"Quest Item")</f>
        <v>Quest Item</v>
      </c>
      <c r="C471" s="16"/>
      <c r="D471" s="16" t="str">
        <f>IFERROR(__xludf.DUMMYFUNCTION("""COMPUTED_VALUE"""),"Shoulders")</f>
        <v>Shoulders</v>
      </c>
      <c r="E471" s="16">
        <f>IFERROR(__xludf.DUMMYFUNCTION("""COMPUTED_VALUE"""),200.0)</f>
        <v>200</v>
      </c>
      <c r="F471" s="16" t="str">
        <f>IFERROR(__xludf.DUMMYFUNCTION("""COMPUTED_VALUE"""),"DEF: +25000, Light DEF: +25000, Order DEF: +25000, Celestial DEF: +20000 (Shuttering Shadows Set) ++X2 Damage whilst invulnerable breaking invulnerability upon being used, 50% chance to become unaffected by an Instant death effect. ++Conceal: upon enterin"&amp;"g combat you are invulnerable for 1 round or until you attack +-Cannot be forged +-Cannot be duplicated +-Ninja Only")</f>
        <v>DEF: +25000, Light DEF: +25000, Order DEF: +25000, Celestial DEF: +20000 (Shuttering Shadows Set) ++X2 Damage whilst invulnerable breaking invulnerability upon being used, 50% chance to become unaffected by an Instant death effect. ++Conceal: upon entering combat you are invulnerable for 1 round or until you attack +-Cannot be forged +-Cannot be duplicated +-Ninja Only</v>
      </c>
      <c r="G471" s="16">
        <f>IFERROR(__xludf.DUMMYFUNCTION("""COMPUTED_VALUE"""),1.7955E8)</f>
        <v>179550000</v>
      </c>
      <c r="H471" s="16"/>
      <c r="I471" s="16"/>
      <c r="J471" s="16"/>
      <c r="K471" s="16"/>
      <c r="L471" s="16"/>
      <c r="M471" s="16"/>
      <c r="N471" s="16"/>
      <c r="O471" s="16"/>
      <c r="P471" s="16"/>
      <c r="Q471" s="16"/>
      <c r="R471" s="16"/>
      <c r="S471" s="16"/>
      <c r="T471" s="16"/>
      <c r="U471" s="16"/>
      <c r="V471" s="16"/>
      <c r="W471" s="16"/>
      <c r="X471" s="16"/>
      <c r="Y471" s="16"/>
      <c r="Z471" s="16"/>
    </row>
    <row r="472">
      <c r="A472" s="16" t="str">
        <f>IFERROR(__xludf.DUMMYFUNCTION("""COMPUTED_VALUE"""),"Assassin's Kiss")</f>
        <v>Assassin's Kiss</v>
      </c>
      <c r="B472" s="16" t="str">
        <f>IFERROR(__xludf.DUMMYFUNCTION("""COMPUTED_VALUE"""),"Quest Item")</f>
        <v>Quest Item</v>
      </c>
      <c r="C472" s="16" t="str">
        <f>IFERROR(__xludf.DUMMYFUNCTION("""COMPUTED_VALUE"""),"Knife")</f>
        <v>Knife</v>
      </c>
      <c r="D472" s="16" t="str">
        <f>IFERROR(__xludf.DUMMYFUNCTION("""COMPUTED_VALUE"""),"Hand")</f>
        <v>Hand</v>
      </c>
      <c r="E472" s="16">
        <f>IFERROR(__xludf.DUMMYFUNCTION("""COMPUTED_VALUE"""),200.0)</f>
        <v>200</v>
      </c>
      <c r="F472" s="16" t="str">
        <f>IFERROR(__xludf.DUMMYFUNCTION("""COMPUTED_VALUE"""),"DMG: +50000, Dark DMG: +25000, Chaos DMG: +25000, Celestial DMG: +10000 (Shuttering Shadows Set) ++X4 Damage whilst invulnerable breaking invulnerability upon being used. ++When equipped with the Night's Edge attack with both weapons at the same time. +-C"&amp;"annot be Duplicated Must be used in conjunction with the Night's Edge or any weapon the Night's Edge is forged into, +-Ninja Only")</f>
        <v>DMG: +50000, Dark DMG: +25000, Chaos DMG: +25000, Celestial DMG: +10000 (Shuttering Shadows Set) ++X4 Damage whilst invulnerable breaking invulnerability upon being used. ++When equipped with the Night's Edge attack with both weapons at the same time. +-Cannot be Duplicated Must be used in conjunction with the Night's Edge or any weapon the Night's Edge is forged into, +-Ninja Only</v>
      </c>
      <c r="G472" s="16">
        <f>IFERROR(__xludf.DUMMYFUNCTION("""COMPUTED_VALUE"""),2.409E8)</f>
        <v>240900000</v>
      </c>
      <c r="H472" s="16"/>
      <c r="I472" s="16"/>
      <c r="J472" s="16"/>
      <c r="K472" s="16"/>
      <c r="L472" s="16"/>
      <c r="M472" s="16"/>
      <c r="N472" s="16"/>
      <c r="O472" s="16"/>
      <c r="P472" s="16"/>
      <c r="Q472" s="16"/>
      <c r="R472" s="16"/>
      <c r="S472" s="16"/>
      <c r="T472" s="16"/>
      <c r="U472" s="16"/>
      <c r="V472" s="16"/>
      <c r="W472" s="16"/>
      <c r="X472" s="16"/>
      <c r="Y472" s="16"/>
      <c r="Z472" s="16"/>
    </row>
    <row r="473">
      <c r="A473" s="16" t="str">
        <f>IFERROR(__xludf.DUMMYFUNCTION("""COMPUTED_VALUE"""),"Night's Edge")</f>
        <v>Night's Edge</v>
      </c>
      <c r="B473" s="16" t="str">
        <f>IFERROR(__xludf.DUMMYFUNCTION("""COMPUTED_VALUE"""),"Quest Item")</f>
        <v>Quest Item</v>
      </c>
      <c r="C473" s="16" t="str">
        <f>IFERROR(__xludf.DUMMYFUNCTION("""COMPUTED_VALUE"""),"Knife")</f>
        <v>Knife</v>
      </c>
      <c r="D473" s="16" t="str">
        <f>IFERROR(__xludf.DUMMYFUNCTION("""COMPUTED_VALUE"""),"Hand")</f>
        <v>Hand</v>
      </c>
      <c r="E473" s="16">
        <f>IFERROR(__xludf.DUMMYFUNCTION("""COMPUTED_VALUE"""),200.0)</f>
        <v>200</v>
      </c>
      <c r="F473" s="16" t="str">
        <f>IFERROR(__xludf.DUMMYFUNCTION("""COMPUTED_VALUE"""),"DMG: +50000, Dark DMG: +25000, Chaos DMG: +25000, Celestial DMG: +10000 (Shuttering Shadows Set) ++X4 Damage whilst invulnerable breaking invulnerability upon being used, When equipped with the Assassin's Kiss, attack with both weapons at the same time. +"&amp;"-Cannot be Duplicated, +-Must be Equipped with the Assassin's Kiss +-Ninja Only")</f>
        <v>DMG: +50000, Dark DMG: +25000, Chaos DMG: +25000, Celestial DMG: +10000 (Shuttering Shadows Set) ++X4 Damage whilst invulnerable breaking invulnerability upon being used, When equipped with the Assassin's Kiss, attack with both weapons at the same time. +-Cannot be Duplicated, +-Must be Equipped with the Assassin's Kiss +-Ninja Only</v>
      </c>
      <c r="G473" s="16">
        <f>IFERROR(__xludf.DUMMYFUNCTION("""COMPUTED_VALUE"""),2.409E8)</f>
        <v>240900000</v>
      </c>
      <c r="H473" s="16"/>
      <c r="I473" s="16"/>
      <c r="J473" s="16"/>
      <c r="K473" s="16"/>
      <c r="L473" s="16"/>
      <c r="M473" s="16"/>
      <c r="N473" s="16"/>
      <c r="O473" s="16"/>
      <c r="P473" s="16"/>
      <c r="Q473" s="16"/>
      <c r="R473" s="16"/>
      <c r="S473" s="16"/>
      <c r="T473" s="16"/>
      <c r="U473" s="16"/>
      <c r="V473" s="16"/>
      <c r="W473" s="16"/>
      <c r="X473" s="16"/>
      <c r="Y473" s="16"/>
      <c r="Z473" s="16"/>
    </row>
    <row r="474">
      <c r="A474" s="16" t="str">
        <f>IFERROR(__xludf.DUMMYFUNCTION("""COMPUTED_VALUE"""),"Ancient Draconian Deity Necklace")</f>
        <v>Ancient Draconian Deity Necklace</v>
      </c>
      <c r="B474" s="16"/>
      <c r="C474" s="16"/>
      <c r="D474" s="16" t="str">
        <f>IFERROR(__xludf.DUMMYFUNCTION("""COMPUTED_VALUE"""),"Neck")</f>
        <v>Neck</v>
      </c>
      <c r="E474" s="16">
        <f>IFERROR(__xludf.DUMMYFUNCTION("""COMPUTED_VALUE"""),1.0)</f>
        <v>1</v>
      </c>
      <c r="F474" s="16" t="str">
        <f>IFERROR(__xludf.DUMMYFUNCTION("""COMPUTED_VALUE""")," ++5 to all d20 rolls, +-Cannot be duplicated.")</f>
        <v> ++5 to all d20 rolls, +-Cannot be duplicated.</v>
      </c>
      <c r="G474" s="16">
        <f>IFERROR(__xludf.DUMMYFUNCTION("""COMPUTED_VALUE"""),0.0)</f>
        <v>0</v>
      </c>
      <c r="H474" s="16"/>
      <c r="I474" s="16"/>
      <c r="J474" s="16"/>
      <c r="K474" s="16"/>
      <c r="L474" s="16"/>
      <c r="M474" s="16"/>
      <c r="N474" s="16"/>
      <c r="O474" s="16"/>
      <c r="P474" s="16"/>
      <c r="Q474" s="16"/>
      <c r="R474" s="16"/>
      <c r="S474" s="16"/>
      <c r="T474" s="16"/>
      <c r="U474" s="16"/>
      <c r="V474" s="16"/>
      <c r="W474" s="16"/>
      <c r="X474" s="16"/>
      <c r="Y474" s="16"/>
      <c r="Z474" s="16"/>
    </row>
    <row r="475">
      <c r="A475" s="16" t="str">
        <f>IFERROR(__xludf.DUMMYFUNCTION("""COMPUTED_VALUE"""),"Gungnir")</f>
        <v>Gungnir</v>
      </c>
      <c r="B475" s="16"/>
      <c r="C475" s="16" t="str">
        <f>IFERROR(__xludf.DUMMYFUNCTION("""COMPUTED_VALUE"""),"Spear")</f>
        <v>Spear</v>
      </c>
      <c r="D475" s="16" t="str">
        <f>IFERROR(__xludf.DUMMYFUNCTION("""COMPUTED_VALUE"""),"Hand")</f>
        <v>Hand</v>
      </c>
      <c r="E475" s="16">
        <f>IFERROR(__xludf.DUMMYFUNCTION("""COMPUTED_VALUE"""),1.0)</f>
        <v>1</v>
      </c>
      <c r="F475" s="16" t="str">
        <f>IFERROR(__xludf.DUMMYFUNCTION("""COMPUTED_VALUE"""),"")</f>
        <v/>
      </c>
      <c r="G475" s="16">
        <f>IFERROR(__xludf.DUMMYFUNCTION("""COMPUTED_VALUE"""),0.0)</f>
        <v>0</v>
      </c>
      <c r="H475" s="16"/>
      <c r="I475" s="16"/>
      <c r="J475" s="16"/>
      <c r="K475" s="16"/>
      <c r="L475" s="16"/>
      <c r="M475" s="16"/>
      <c r="N475" s="16"/>
      <c r="O475" s="16"/>
      <c r="P475" s="16"/>
      <c r="Q475" s="16"/>
      <c r="R475" s="16"/>
      <c r="S475" s="16"/>
      <c r="T475" s="16"/>
      <c r="U475" s="16"/>
      <c r="V475" s="16"/>
      <c r="W475" s="16"/>
      <c r="X475" s="16"/>
      <c r="Y475" s="16"/>
      <c r="Z475" s="16"/>
    </row>
    <row r="476">
      <c r="A476" s="16" t="str">
        <f>IFERROR(__xludf.DUMMYFUNCTION("""COMPUTED_VALUE"""),"Gaia's Rock Hammer")</f>
        <v>Gaia's Rock Hammer</v>
      </c>
      <c r="B476" s="16" t="str">
        <f>IFERROR(__xludf.DUMMYFUNCTION("""COMPUTED_VALUE"""),"Quest Item")</f>
        <v>Quest Item</v>
      </c>
      <c r="C476" s="16" t="str">
        <f>IFERROR(__xludf.DUMMYFUNCTION("""COMPUTED_VALUE"""),"Club")</f>
        <v>Club</v>
      </c>
      <c r="D476" s="16" t="str">
        <f>IFERROR(__xludf.DUMMYFUNCTION("""COMPUTED_VALUE"""),"Hand")</f>
        <v>Hand</v>
      </c>
      <c r="E476" s="16">
        <f>IFERROR(__xludf.DUMMYFUNCTION("""COMPUTED_VALUE"""),200.0)</f>
        <v>200</v>
      </c>
      <c r="F476" s="16" t="str">
        <f>IFERROR(__xludf.DUMMYFUNCTION("""COMPUTED_VALUE"""),"DMG: +25000, Earth DMG: +100000, Nature DMG: +15000, Celestial DMG: +25000 ++X4 Earth damage. Gaia's Slumber: ++50% chance to put target to sleep. +-Cannot be duplicated, +-You can only acquire one of these")</f>
        <v>DMG: +25000, Earth DMG: +100000, Nature DMG: +15000, Celestial DMG: +25000 ++X4 Earth damage. Gaia's Slumber: ++50% chance to put target to sleep. +-Cannot be duplicated, +-You can only acquire one of these</v>
      </c>
      <c r="G476" s="16">
        <f>IFERROR(__xludf.DUMMYFUNCTION("""COMPUTED_VALUE"""),5.4285E8)</f>
        <v>542850000</v>
      </c>
      <c r="H476" s="16"/>
      <c r="I476" s="16"/>
      <c r="J476" s="16"/>
      <c r="K476" s="16"/>
      <c r="L476" s="16"/>
      <c r="M476" s="16"/>
      <c r="N476" s="16"/>
      <c r="O476" s="16"/>
      <c r="P476" s="16"/>
      <c r="Q476" s="16"/>
      <c r="R476" s="16"/>
      <c r="S476" s="16"/>
      <c r="T476" s="16"/>
      <c r="U476" s="16"/>
      <c r="V476" s="16"/>
      <c r="W476" s="16"/>
      <c r="X476" s="16"/>
      <c r="Y476" s="16"/>
      <c r="Z476" s="16"/>
    </row>
    <row r="477">
      <c r="A477" s="16" t="str">
        <f>IFERROR(__xludf.DUMMYFUNCTION("""COMPUTED_VALUE"""),"Bahamut's Claw")</f>
        <v>Bahamut's Claw</v>
      </c>
      <c r="B477" s="16" t="str">
        <f>IFERROR(__xludf.DUMMYFUNCTION("""COMPUTED_VALUE"""),"Mob Exclusive")</f>
        <v>Mob Exclusive</v>
      </c>
      <c r="C477" s="16" t="str">
        <f>IFERROR(__xludf.DUMMYFUNCTION("""COMPUTED_VALUE"""),"Claw")</f>
        <v>Claw</v>
      </c>
      <c r="D477" s="16" t="str">
        <f>IFERROR(__xludf.DUMMYFUNCTION("""COMPUTED_VALUE"""),"Hand")</f>
        <v>Hand</v>
      </c>
      <c r="E477" s="16">
        <f>IFERROR(__xludf.DUMMYFUNCTION("""COMPUTED_VALUE"""),200.0)</f>
        <v>200</v>
      </c>
      <c r="F477" s="16" t="str">
        <f>IFERROR(__xludf.DUMMYFUNCTION("""COMPUTED_VALUE"""),"DMG: +250000, Delta DMG: +250000, Celestial DMG: +250000 +-Cannot resist or be immune to this attack. ++Bahamut's Bloodlust: Heals Bahamut by 2X damage dealt with this weapon. 50% chance to remove any hit enemy from battle")</f>
        <v>DMG: +250000, Delta DMG: +250000, Celestial DMG: +250000 +-Cannot resist or be immune to this attack. ++Bahamut's Bloodlust: Heals Bahamut by 2X damage dealt with this weapon. 50% chance to remove any hit enemy from battle</v>
      </c>
      <c r="G477" s="16">
        <f>IFERROR(__xludf.DUMMYFUNCTION("""COMPUTED_VALUE"""),1.12425E10)</f>
        <v>11242500000</v>
      </c>
      <c r="H477" s="16"/>
      <c r="I477" s="16"/>
      <c r="J477" s="16"/>
      <c r="K477" s="16"/>
      <c r="L477" s="16"/>
      <c r="M477" s="16"/>
      <c r="N477" s="16"/>
      <c r="O477" s="16"/>
      <c r="P477" s="16"/>
      <c r="Q477" s="16"/>
      <c r="R477" s="16"/>
      <c r="S477" s="16"/>
      <c r="T477" s="16"/>
      <c r="U477" s="16"/>
      <c r="V477" s="16"/>
      <c r="W477" s="16"/>
      <c r="X477" s="16"/>
      <c r="Y477" s="16"/>
      <c r="Z477" s="16"/>
    </row>
    <row r="478">
      <c r="A478" s="16" t="str">
        <f>IFERROR(__xludf.DUMMYFUNCTION("""COMPUTED_VALUE"""),"Chronos' Staff of Time")</f>
        <v>Chronos' Staff of Time</v>
      </c>
      <c r="B478" s="16"/>
      <c r="C478" s="16" t="str">
        <f>IFERROR(__xludf.DUMMYFUNCTION("""COMPUTED_VALUE"""),"Staff")</f>
        <v>Staff</v>
      </c>
      <c r="D478" s="16" t="str">
        <f>IFERROR(__xludf.DUMMYFUNCTION("""COMPUTED_VALUE"""),"Hand")</f>
        <v>Hand</v>
      </c>
      <c r="E478" s="16">
        <f>IFERROR(__xludf.DUMMYFUNCTION("""COMPUTED_VALUE"""),1.0)</f>
        <v>1</v>
      </c>
      <c r="F478" s="16" t="str">
        <f>IFERROR(__xludf.DUMMYFUNCTION("""COMPUTED_VALUE"""),"")</f>
        <v/>
      </c>
      <c r="G478" s="16">
        <f>IFERROR(__xludf.DUMMYFUNCTION("""COMPUTED_VALUE"""),0.0)</f>
        <v>0</v>
      </c>
      <c r="H478" s="16"/>
      <c r="I478" s="16"/>
      <c r="J478" s="16"/>
      <c r="K478" s="16"/>
      <c r="L478" s="16"/>
      <c r="M478" s="16"/>
      <c r="N478" s="16"/>
      <c r="O478" s="16"/>
      <c r="P478" s="16"/>
      <c r="Q478" s="16"/>
      <c r="R478" s="16"/>
      <c r="S478" s="16"/>
      <c r="T478" s="16"/>
      <c r="U478" s="16"/>
      <c r="V478" s="16"/>
      <c r="W478" s="16"/>
      <c r="X478" s="16"/>
      <c r="Y478" s="16"/>
      <c r="Z478" s="16"/>
    </row>
    <row r="479">
      <c r="A479" s="16" t="str">
        <f>IFERROR(__xludf.DUMMYFUNCTION("""COMPUTED_VALUE"""),"Scimitar")</f>
        <v>Scimitar</v>
      </c>
      <c r="B479" s="16"/>
      <c r="C479" s="16" t="str">
        <f>IFERROR(__xludf.DUMMYFUNCTION("""COMPUTED_VALUE"""),"Sword")</f>
        <v>Sword</v>
      </c>
      <c r="D479" s="16" t="str">
        <f>IFERROR(__xludf.DUMMYFUNCTION("""COMPUTED_VALUE"""),"Hand")</f>
        <v>Hand</v>
      </c>
      <c r="E479" s="16">
        <f>IFERROR(__xludf.DUMMYFUNCTION("""COMPUTED_VALUE"""),300.0)</f>
        <v>300</v>
      </c>
      <c r="F479" s="16" t="str">
        <f>IFERROR(__xludf.DUMMYFUNCTION("""COMPUTED_VALUE"""),"DMG: +10000, Fire DMG: +5000")</f>
        <v>DMG: +10000, Fire DMG: +5000</v>
      </c>
      <c r="G479" s="16">
        <f>IFERROR(__xludf.DUMMYFUNCTION("""COMPUTED_VALUE"""),4350000.0)</f>
        <v>4350000</v>
      </c>
      <c r="H479" s="16"/>
      <c r="I479" s="16"/>
      <c r="J479" s="16"/>
      <c r="K479" s="16"/>
      <c r="L479" s="16"/>
      <c r="M479" s="16"/>
      <c r="N479" s="16"/>
      <c r="O479" s="16"/>
      <c r="P479" s="16"/>
      <c r="Q479" s="16"/>
      <c r="R479" s="16"/>
      <c r="S479" s="16"/>
      <c r="T479" s="16"/>
      <c r="U479" s="16"/>
      <c r="V479" s="16"/>
      <c r="W479" s="16"/>
      <c r="X479" s="16"/>
      <c r="Y479" s="16"/>
      <c r="Z479" s="16"/>
    </row>
    <row r="480">
      <c r="A480" s="16" t="str">
        <f>IFERROR(__xludf.DUMMYFUNCTION("""COMPUTED_VALUE"""),"Gaia's Helmet of Earthen Fortitude")</f>
        <v>Gaia's Helmet of Earthen Fortitude</v>
      </c>
      <c r="B480" s="16" t="str">
        <f>IFERROR(__xludf.DUMMYFUNCTION("""COMPUTED_VALUE"""),"Mob Exclusive")</f>
        <v>Mob Exclusive</v>
      </c>
      <c r="C480" s="16"/>
      <c r="D480" s="16" t="str">
        <f>IFERROR(__xludf.DUMMYFUNCTION("""COMPUTED_VALUE"""),"Head")</f>
        <v>Head</v>
      </c>
      <c r="E480" s="16">
        <f>IFERROR(__xludf.DUMMYFUNCTION("""COMPUTED_VALUE"""),200.0)</f>
        <v>200</v>
      </c>
      <c r="F480" s="16" t="str">
        <f>IFERROR(__xludf.DUMMYFUNCTION("""COMPUTED_VALUE"""),"DEF: +50000, Fire DEF: +35000, Celestial DEF: +50000 ++X2 Earth Damage for self. ++X2 Defense for self. ++Godly Authority: 50% chance to possess one enemy once per battle.")</f>
        <v>DEF: +50000, Fire DEF: +35000, Celestial DEF: +50000 ++X2 Earth Damage for self. ++X2 Defense for self. ++Godly Authority: 50% chance to possess one enemy once per battle.</v>
      </c>
      <c r="G480" s="16">
        <f>IFERROR(__xludf.DUMMYFUNCTION("""COMPUTED_VALUE"""),3.6315E8)</f>
        <v>363150000</v>
      </c>
      <c r="H480" s="16"/>
      <c r="I480" s="16"/>
      <c r="J480" s="16"/>
      <c r="K480" s="16"/>
      <c r="L480" s="16"/>
      <c r="M480" s="16"/>
      <c r="N480" s="16"/>
      <c r="O480" s="16"/>
      <c r="P480" s="16"/>
      <c r="Q480" s="16"/>
      <c r="R480" s="16"/>
      <c r="S480" s="16"/>
      <c r="T480" s="16"/>
      <c r="U480" s="16"/>
      <c r="V480" s="16"/>
      <c r="W480" s="16"/>
      <c r="X480" s="16"/>
      <c r="Y480" s="16"/>
      <c r="Z480" s="16"/>
    </row>
    <row r="481">
      <c r="A481" s="16" t="str">
        <f>IFERROR(__xludf.DUMMYFUNCTION("""COMPUTED_VALUE"""),"Gaia's Pendant")</f>
        <v>Gaia's Pendant</v>
      </c>
      <c r="B481" s="16" t="str">
        <f>IFERROR(__xludf.DUMMYFUNCTION("""COMPUTED_VALUE"""),"Mob Exclusive")</f>
        <v>Mob Exclusive</v>
      </c>
      <c r="C481" s="16"/>
      <c r="D481" s="16" t="str">
        <f>IFERROR(__xludf.DUMMYFUNCTION("""COMPUTED_VALUE"""),"Neck")</f>
        <v>Neck</v>
      </c>
      <c r="E481" s="16">
        <f>IFERROR(__xludf.DUMMYFUNCTION("""COMPUTED_VALUE"""),1.0)</f>
        <v>1</v>
      </c>
      <c r="F481" s="16" t="str">
        <f>IFERROR(__xludf.DUMMYFUNCTION("""COMPUTED_VALUE""")," ++Revives entire party upon death of the wearer. +-one use per battle")</f>
        <v> ++Revives entire party upon death of the wearer. +-one use per battle</v>
      </c>
      <c r="G481" s="16">
        <f>IFERROR(__xludf.DUMMYFUNCTION("""COMPUTED_VALUE"""),0.0)</f>
        <v>0</v>
      </c>
      <c r="H481" s="16"/>
      <c r="I481" s="16"/>
      <c r="J481" s="16"/>
      <c r="K481" s="16"/>
      <c r="L481" s="16"/>
      <c r="M481" s="16"/>
      <c r="N481" s="16"/>
      <c r="O481" s="16"/>
      <c r="P481" s="16"/>
      <c r="Q481" s="16"/>
      <c r="R481" s="16"/>
      <c r="S481" s="16"/>
      <c r="T481" s="16"/>
      <c r="U481" s="16"/>
      <c r="V481" s="16"/>
      <c r="W481" s="16"/>
      <c r="X481" s="16"/>
      <c r="Y481" s="16"/>
      <c r="Z481" s="16"/>
    </row>
    <row r="482">
      <c r="A482" s="16" t="str">
        <f>IFERROR(__xludf.DUMMYFUNCTION("""COMPUTED_VALUE"""),"Gaia's Sandals of Earthen Fortitude")</f>
        <v>Gaia's Sandals of Earthen Fortitude</v>
      </c>
      <c r="B482" s="16" t="str">
        <f>IFERROR(__xludf.DUMMYFUNCTION("""COMPUTED_VALUE"""),"Mob Exclusive")</f>
        <v>Mob Exclusive</v>
      </c>
      <c r="C482" s="16"/>
      <c r="D482" s="16" t="str">
        <f>IFERROR(__xludf.DUMMYFUNCTION("""COMPUTED_VALUE"""),"Feet")</f>
        <v>Feet</v>
      </c>
      <c r="E482" s="16">
        <f>IFERROR(__xludf.DUMMYFUNCTION("""COMPUTED_VALUE"""),200.0)</f>
        <v>200</v>
      </c>
      <c r="F482" s="16" t="str">
        <f>IFERROR(__xludf.DUMMYFUNCTION("""COMPUTED_VALUE"""),"DEF: +50000, Fire DEF: +35000, Celestial DEF: +50000 ++X2 Earth Damage for self. ++X2 Defense for self")</f>
        <v>DEF: +50000, Fire DEF: +35000, Celestial DEF: +50000 ++X2 Earth Damage for self. ++X2 Defense for self</v>
      </c>
      <c r="G482" s="16">
        <f>IFERROR(__xludf.DUMMYFUNCTION("""COMPUTED_VALUE"""),3.6315E8)</f>
        <v>363150000</v>
      </c>
      <c r="H482" s="16"/>
      <c r="I482" s="16"/>
      <c r="J482" s="16"/>
      <c r="K482" s="16"/>
      <c r="L482" s="16"/>
      <c r="M482" s="16"/>
      <c r="N482" s="16"/>
      <c r="O482" s="16"/>
      <c r="P482" s="16"/>
      <c r="Q482" s="16"/>
      <c r="R482" s="16"/>
      <c r="S482" s="16"/>
      <c r="T482" s="16"/>
      <c r="U482" s="16"/>
      <c r="V482" s="16"/>
      <c r="W482" s="16"/>
      <c r="X482" s="16"/>
      <c r="Y482" s="16"/>
      <c r="Z482" s="16"/>
    </row>
    <row r="483">
      <c r="A483" s="16" t="str">
        <f>IFERROR(__xludf.DUMMYFUNCTION("""COMPUTED_VALUE"""),"Gaia's Gloves")</f>
        <v>Gaia's Gloves</v>
      </c>
      <c r="B483" s="16" t="str">
        <f>IFERROR(__xludf.DUMMYFUNCTION("""COMPUTED_VALUE"""),"Mob Exclusive")</f>
        <v>Mob Exclusive</v>
      </c>
      <c r="C483" s="16"/>
      <c r="D483" s="16" t="str">
        <f>IFERROR(__xludf.DUMMYFUNCTION("""COMPUTED_VALUE"""),"Arms")</f>
        <v>Arms</v>
      </c>
      <c r="E483" s="16">
        <f>IFERROR(__xludf.DUMMYFUNCTION("""COMPUTED_VALUE"""),200.0)</f>
        <v>200</v>
      </c>
      <c r="F483" s="16" t="str">
        <f>IFERROR(__xludf.DUMMYFUNCTION("""COMPUTED_VALUE"""),"DEF: +50000, Fire DEF: +35000, Celestial DEF: +50000 ++X2 Earth Damage for self. ++X2 Defense for self")</f>
        <v>DEF: +50000, Fire DEF: +35000, Celestial DEF: +50000 ++X2 Earth Damage for self. ++X2 Defense for self</v>
      </c>
      <c r="G483" s="16">
        <f>IFERROR(__xludf.DUMMYFUNCTION("""COMPUTED_VALUE"""),3.6315E8)</f>
        <v>363150000</v>
      </c>
      <c r="H483" s="16"/>
      <c r="I483" s="16"/>
      <c r="J483" s="16"/>
      <c r="K483" s="16"/>
      <c r="L483" s="16"/>
      <c r="M483" s="16"/>
      <c r="N483" s="16"/>
      <c r="O483" s="16"/>
      <c r="P483" s="16"/>
      <c r="Q483" s="16"/>
      <c r="R483" s="16"/>
      <c r="S483" s="16"/>
      <c r="T483" s="16"/>
      <c r="U483" s="16"/>
      <c r="V483" s="16"/>
      <c r="W483" s="16"/>
      <c r="X483" s="16"/>
      <c r="Y483" s="16"/>
      <c r="Z483" s="16"/>
    </row>
    <row r="484">
      <c r="A484" s="16" t="str">
        <f>IFERROR(__xludf.DUMMYFUNCTION("""COMPUTED_VALUE"""),"Gaia's Gaiters")</f>
        <v>Gaia's Gaiters</v>
      </c>
      <c r="B484" s="16" t="str">
        <f>IFERROR(__xludf.DUMMYFUNCTION("""COMPUTED_VALUE"""),"Mob Exclusive")</f>
        <v>Mob Exclusive</v>
      </c>
      <c r="C484" s="16"/>
      <c r="D484" s="16" t="str">
        <f>IFERROR(__xludf.DUMMYFUNCTION("""COMPUTED_VALUE"""),"Legs")</f>
        <v>Legs</v>
      </c>
      <c r="E484" s="16">
        <f>IFERROR(__xludf.DUMMYFUNCTION("""COMPUTED_VALUE"""),200.0)</f>
        <v>200</v>
      </c>
      <c r="F484" s="16" t="str">
        <f>IFERROR(__xludf.DUMMYFUNCTION("""COMPUTED_VALUE"""),"DEF: +50000, Fire DEF: +35000, Celestial DEF: +50000 ++X2 Earth Damage for self. ++X2 Defense for self")</f>
        <v>DEF: +50000, Fire DEF: +35000, Celestial DEF: +50000 ++X2 Earth Damage for self. ++X2 Defense for self</v>
      </c>
      <c r="G484" s="16">
        <f>IFERROR(__xludf.DUMMYFUNCTION("""COMPUTED_VALUE"""),3.6315E8)</f>
        <v>363150000</v>
      </c>
      <c r="H484" s="16"/>
      <c r="I484" s="16"/>
      <c r="J484" s="16"/>
      <c r="K484" s="16"/>
      <c r="L484" s="16"/>
      <c r="M484" s="16"/>
      <c r="N484" s="16"/>
      <c r="O484" s="16"/>
      <c r="P484" s="16"/>
      <c r="Q484" s="16"/>
      <c r="R484" s="16"/>
      <c r="S484" s="16"/>
      <c r="T484" s="16"/>
      <c r="U484" s="16"/>
      <c r="V484" s="16"/>
      <c r="W484" s="16"/>
      <c r="X484" s="16"/>
      <c r="Y484" s="16"/>
      <c r="Z484" s="16"/>
    </row>
    <row r="485">
      <c r="A485" s="16" t="str">
        <f>IFERROR(__xludf.DUMMYFUNCTION("""COMPUTED_VALUE"""),"Gaia's Pauldrons")</f>
        <v>Gaia's Pauldrons</v>
      </c>
      <c r="B485" s="16" t="str">
        <f>IFERROR(__xludf.DUMMYFUNCTION("""COMPUTED_VALUE"""),"Mob Exclusive")</f>
        <v>Mob Exclusive</v>
      </c>
      <c r="C485" s="16"/>
      <c r="D485" s="16" t="str">
        <f>IFERROR(__xludf.DUMMYFUNCTION("""COMPUTED_VALUE"""),"Shoulders")</f>
        <v>Shoulders</v>
      </c>
      <c r="E485" s="16">
        <f>IFERROR(__xludf.DUMMYFUNCTION("""COMPUTED_VALUE"""),200.0)</f>
        <v>200</v>
      </c>
      <c r="F485" s="16" t="str">
        <f>IFERROR(__xludf.DUMMYFUNCTION("""COMPUTED_VALUE"""),"DEF: +50000, Fire DEF: +35000, Celestial DEF: +50000 ++X2 Earth Damage for self. ++X2 Defense for self")</f>
        <v>DEF: +50000, Fire DEF: +35000, Celestial DEF: +50000 ++X2 Earth Damage for self. ++X2 Defense for self</v>
      </c>
      <c r="G485" s="16">
        <f>IFERROR(__xludf.DUMMYFUNCTION("""COMPUTED_VALUE"""),3.6315E8)</f>
        <v>363150000</v>
      </c>
      <c r="H485" s="16"/>
      <c r="I485" s="16"/>
      <c r="J485" s="16"/>
      <c r="K485" s="16"/>
      <c r="L485" s="16"/>
      <c r="M485" s="16"/>
      <c r="N485" s="16"/>
      <c r="O485" s="16"/>
      <c r="P485" s="16"/>
      <c r="Q485" s="16"/>
      <c r="R485" s="16"/>
      <c r="S485" s="16"/>
      <c r="T485" s="16"/>
      <c r="U485" s="16"/>
      <c r="V485" s="16"/>
      <c r="W485" s="16"/>
      <c r="X485" s="16"/>
      <c r="Y485" s="16"/>
      <c r="Z485" s="16"/>
    </row>
    <row r="486">
      <c r="A486" s="16" t="str">
        <f>IFERROR(__xludf.DUMMYFUNCTION("""COMPUTED_VALUE"""),"Gaia's Chestpiece")</f>
        <v>Gaia's Chestpiece</v>
      </c>
      <c r="B486" s="16" t="str">
        <f>IFERROR(__xludf.DUMMYFUNCTION("""COMPUTED_VALUE"""),"Mob Exclusive")</f>
        <v>Mob Exclusive</v>
      </c>
      <c r="C486" s="16"/>
      <c r="D486" s="16" t="str">
        <f>IFERROR(__xludf.DUMMYFUNCTION("""COMPUTED_VALUE"""),"Torso")</f>
        <v>Torso</v>
      </c>
      <c r="E486" s="16">
        <f>IFERROR(__xludf.DUMMYFUNCTION("""COMPUTED_VALUE"""),200.0)</f>
        <v>200</v>
      </c>
      <c r="F486" s="16" t="str">
        <f>IFERROR(__xludf.DUMMYFUNCTION("""COMPUTED_VALUE"""),"DEF: +100000, Fire DEF: +70000, Celestial DEF: +100000 ++X2 Earth Damage for self. ++X2 Defense for self")</f>
        <v>DEF: +100000, Fire DEF: +70000, Celestial DEF: +100000 ++X2 Earth Damage for self. ++X2 Defense for self</v>
      </c>
      <c r="G486" s="16">
        <f>IFERROR(__xludf.DUMMYFUNCTION("""COMPUTED_VALUE"""),1.4553E9)</f>
        <v>1455300000</v>
      </c>
      <c r="H486" s="16"/>
      <c r="I486" s="16"/>
      <c r="J486" s="16"/>
      <c r="K486" s="16"/>
      <c r="L486" s="16"/>
      <c r="M486" s="16"/>
      <c r="N486" s="16"/>
      <c r="O486" s="16"/>
      <c r="P486" s="16"/>
      <c r="Q486" s="16"/>
      <c r="R486" s="16"/>
      <c r="S486" s="16"/>
      <c r="T486" s="16"/>
      <c r="U486" s="16"/>
      <c r="V486" s="16"/>
      <c r="W486" s="16"/>
      <c r="X486" s="16"/>
      <c r="Y486" s="16"/>
      <c r="Z486" s="16"/>
    </row>
    <row r="487">
      <c r="A487" s="16" t="str">
        <f>IFERROR(__xludf.DUMMYFUNCTION("""COMPUTED_VALUE"""),"Gaia's Ring")</f>
        <v>Gaia's Ring</v>
      </c>
      <c r="B487" s="16" t="str">
        <f>IFERROR(__xludf.DUMMYFUNCTION("""COMPUTED_VALUE"""),"Mob Exclusive")</f>
        <v>Mob Exclusive</v>
      </c>
      <c r="C487" s="16"/>
      <c r="D487" s="16" t="str">
        <f>IFERROR(__xludf.DUMMYFUNCTION("""COMPUTED_VALUE"""),"Ring")</f>
        <v>Ring</v>
      </c>
      <c r="E487" s="16">
        <f>IFERROR(__xludf.DUMMYFUNCTION("""COMPUTED_VALUE"""),1.0)</f>
        <v>1</v>
      </c>
      <c r="F487" s="16" t="str">
        <f>IFERROR(__xludf.DUMMYFUNCTION("""COMPUTED_VALUE""")," ++X4 defense for self and allies, 50 sp")</f>
        <v> ++X4 defense for self and allies, 50 sp</v>
      </c>
      <c r="G487" s="16">
        <f>IFERROR(__xludf.DUMMYFUNCTION("""COMPUTED_VALUE"""),0.0)</f>
        <v>0</v>
      </c>
      <c r="H487" s="16"/>
      <c r="I487" s="16"/>
      <c r="J487" s="16"/>
      <c r="K487" s="16"/>
      <c r="L487" s="16"/>
      <c r="M487" s="16"/>
      <c r="N487" s="16"/>
      <c r="O487" s="16"/>
      <c r="P487" s="16"/>
      <c r="Q487" s="16"/>
      <c r="R487" s="16"/>
      <c r="S487" s="16"/>
      <c r="T487" s="16"/>
      <c r="U487" s="16"/>
      <c r="V487" s="16"/>
      <c r="W487" s="16"/>
      <c r="X487" s="16"/>
      <c r="Y487" s="16"/>
      <c r="Z487" s="16"/>
    </row>
    <row r="488">
      <c r="A488" s="16" t="str">
        <f>IFERROR(__xludf.DUMMYFUNCTION("""COMPUTED_VALUE"""),"Paladin of Gaia's Bucket helm of Tenacity")</f>
        <v>Paladin of Gaia's Bucket helm of Tenacity</v>
      </c>
      <c r="B488" s="16" t="str">
        <f>IFERROR(__xludf.DUMMYFUNCTION("""COMPUTED_VALUE"""),"Quest Item")</f>
        <v>Quest Item</v>
      </c>
      <c r="C488" s="16"/>
      <c r="D488" s="16" t="str">
        <f>IFERROR(__xludf.DUMMYFUNCTION("""COMPUTED_VALUE"""),"Head")</f>
        <v>Head</v>
      </c>
      <c r="E488" s="16">
        <f>IFERROR(__xludf.DUMMYFUNCTION("""COMPUTED_VALUE"""),200.0)</f>
        <v>200</v>
      </c>
      <c r="F488" s="16" t="str">
        <f>IFERROR(__xludf.DUMMYFUNCTION("""COMPUTED_VALUE"""),"DEF: +20000, Fire DEF: +5000, Earth DEF: +35000, Celestial DEF: +20000 ++Gaia's Tenacity II: 10% Chance to revive after death +-Cannot be forged +-Cannot be duplicated +-(Paladin or Knight Class Only)")</f>
        <v>DEF: +20000, Fire DEF: +5000, Earth DEF: +35000, Celestial DEF: +20000 ++Gaia's Tenacity II: 10% Chance to revive after death +-Cannot be forged +-Cannot be duplicated +-(Paladin or Knight Class Only)</v>
      </c>
      <c r="G488" s="16">
        <f>IFERROR(__xludf.DUMMYFUNCTION("""COMPUTED_VALUE"""),1.272E8)</f>
        <v>127200000</v>
      </c>
      <c r="H488" s="16"/>
      <c r="I488" s="16"/>
      <c r="J488" s="16"/>
      <c r="K488" s="16"/>
      <c r="L488" s="16"/>
      <c r="M488" s="16"/>
      <c r="N488" s="16"/>
      <c r="O488" s="16"/>
      <c r="P488" s="16"/>
      <c r="Q488" s="16"/>
      <c r="R488" s="16"/>
      <c r="S488" s="16"/>
      <c r="T488" s="16"/>
      <c r="U488" s="16"/>
      <c r="V488" s="16"/>
      <c r="W488" s="16"/>
      <c r="X488" s="16"/>
      <c r="Y488" s="16"/>
      <c r="Z488" s="16"/>
    </row>
    <row r="489">
      <c r="A489" s="16" t="str">
        <f>IFERROR(__xludf.DUMMYFUNCTION("""COMPUTED_VALUE"""),"Paladin of Gaia's Stone Pauldrons")</f>
        <v>Paladin of Gaia's Stone Pauldrons</v>
      </c>
      <c r="B489" s="16" t="str">
        <f>IFERROR(__xludf.DUMMYFUNCTION("""COMPUTED_VALUE"""),"Quest Item")</f>
        <v>Quest Item</v>
      </c>
      <c r="C489" s="16"/>
      <c r="D489" s="16" t="str">
        <f>IFERROR(__xludf.DUMMYFUNCTION("""COMPUTED_VALUE"""),"Shoulders")</f>
        <v>Shoulders</v>
      </c>
      <c r="E489" s="16">
        <f>IFERROR(__xludf.DUMMYFUNCTION("""COMPUTED_VALUE"""),200.0)</f>
        <v>200</v>
      </c>
      <c r="F489" s="16" t="str">
        <f>IFERROR(__xludf.DUMMYFUNCTION("""COMPUTED_VALUE"""),"DEF: +20000, Fire DEF: +5000, Earth DEF: +35000, Celestial DEF: +20000 ++Blessing of Stone I: 2X Earth Damage +-(Paladin or Knight Class Only)")</f>
        <v>DEF: +20000, Fire DEF: +5000, Earth DEF: +35000, Celestial DEF: +20000 ++Blessing of Stone I: 2X Earth Damage +-(Paladin or Knight Class Only)</v>
      </c>
      <c r="G489" s="16">
        <f>IFERROR(__xludf.DUMMYFUNCTION("""COMPUTED_VALUE"""),1.272E8)</f>
        <v>127200000</v>
      </c>
      <c r="H489" s="16"/>
      <c r="I489" s="16"/>
      <c r="J489" s="16"/>
      <c r="K489" s="16"/>
      <c r="L489" s="16"/>
      <c r="M489" s="16"/>
      <c r="N489" s="16"/>
      <c r="O489" s="16"/>
      <c r="P489" s="16"/>
      <c r="Q489" s="16"/>
      <c r="R489" s="16"/>
      <c r="S489" s="16"/>
      <c r="T489" s="16"/>
      <c r="U489" s="16"/>
      <c r="V489" s="16"/>
      <c r="W489" s="16"/>
      <c r="X489" s="16"/>
      <c r="Y489" s="16"/>
      <c r="Z489" s="16"/>
    </row>
    <row r="490">
      <c r="A490" s="16" t="str">
        <f>IFERROR(__xludf.DUMMYFUNCTION("""COMPUTED_VALUE"""),"Paladin of Gaia's Emblazoned Chestpiece")</f>
        <v>Paladin of Gaia's Emblazoned Chestpiece</v>
      </c>
      <c r="B490" s="16" t="str">
        <f>IFERROR(__xludf.DUMMYFUNCTION("""COMPUTED_VALUE"""),"Quest Item")</f>
        <v>Quest Item</v>
      </c>
      <c r="C490" s="16"/>
      <c r="D490" s="16" t="str">
        <f>IFERROR(__xludf.DUMMYFUNCTION("""COMPUTED_VALUE"""),"Torso")</f>
        <v>Torso</v>
      </c>
      <c r="E490" s="16">
        <f>IFERROR(__xludf.DUMMYFUNCTION("""COMPUTED_VALUE"""),200.0)</f>
        <v>200</v>
      </c>
      <c r="F490" s="16" t="str">
        <f>IFERROR(__xludf.DUMMYFUNCTION("""COMPUTED_VALUE"""),"DEF: +50000, Fire DEF: +20000, Earth DEF: +70000, Celestial DEF: +50000 ++X2 defense for self and allies +-Paladin or Knight Class Only +-Can only equip one")</f>
        <v>DEF: +50000, Fire DEF: +20000, Earth DEF: +70000, Celestial DEF: +50000 ++X2 defense for self and allies +-Paladin or Knight Class Only +-Can only equip one</v>
      </c>
      <c r="G490" s="16">
        <f>IFERROR(__xludf.DUMMYFUNCTION("""COMPUTED_VALUE"""),7.201E8)</f>
        <v>720100000</v>
      </c>
      <c r="H490" s="16"/>
      <c r="I490" s="16"/>
      <c r="J490" s="16"/>
      <c r="K490" s="16"/>
      <c r="L490" s="16"/>
      <c r="M490" s="16"/>
      <c r="N490" s="16"/>
      <c r="O490" s="16"/>
      <c r="P490" s="16"/>
      <c r="Q490" s="16"/>
      <c r="R490" s="16"/>
      <c r="S490" s="16"/>
      <c r="T490" s="16"/>
      <c r="U490" s="16"/>
      <c r="V490" s="16"/>
      <c r="W490" s="16"/>
      <c r="X490" s="16"/>
      <c r="Y490" s="16"/>
      <c r="Z490" s="16"/>
    </row>
    <row r="491">
      <c r="A491" s="16" t="str">
        <f>IFERROR(__xludf.DUMMYFUNCTION("""COMPUTED_VALUE"""),"Paladin of Gaia's Vambraces")</f>
        <v>Paladin of Gaia's Vambraces</v>
      </c>
      <c r="B491" s="16" t="str">
        <f>IFERROR(__xludf.DUMMYFUNCTION("""COMPUTED_VALUE"""),"Quest Item")</f>
        <v>Quest Item</v>
      </c>
      <c r="C491" s="16"/>
      <c r="D491" s="16" t="str">
        <f>IFERROR(__xludf.DUMMYFUNCTION("""COMPUTED_VALUE"""),"Arms")</f>
        <v>Arms</v>
      </c>
      <c r="E491" s="16">
        <f>IFERROR(__xludf.DUMMYFUNCTION("""COMPUTED_VALUE"""),200.0)</f>
        <v>200</v>
      </c>
      <c r="F491" s="16" t="str">
        <f>IFERROR(__xludf.DUMMYFUNCTION("""COMPUTED_VALUE"""),"DEF: +20000, Fire DEF: +5000, Earth DEF: +35000, Celestial DEF: +20000 ++X2 defense for self and allies +-Paladin or Knight Class Only +-Can only equip one")</f>
        <v>DEF: +20000, Fire DEF: +5000, Earth DEF: +35000, Celestial DEF: +20000 ++X2 defense for self and allies +-Paladin or Knight Class Only +-Can only equip one</v>
      </c>
      <c r="G491" s="16">
        <f>IFERROR(__xludf.DUMMYFUNCTION("""COMPUTED_VALUE"""),1.272E8)</f>
        <v>127200000</v>
      </c>
      <c r="H491" s="16"/>
      <c r="I491" s="16"/>
      <c r="J491" s="16"/>
      <c r="K491" s="16"/>
      <c r="L491" s="16"/>
      <c r="M491" s="16"/>
      <c r="N491" s="16"/>
      <c r="O491" s="16"/>
      <c r="P491" s="16"/>
      <c r="Q491" s="16"/>
      <c r="R491" s="16"/>
      <c r="S491" s="16"/>
      <c r="T491" s="16"/>
      <c r="U491" s="16"/>
      <c r="V491" s="16"/>
      <c r="W491" s="16"/>
      <c r="X491" s="16"/>
      <c r="Y491" s="16"/>
      <c r="Z491" s="16"/>
    </row>
    <row r="492">
      <c r="A492" s="16" t="str">
        <f>IFERROR(__xludf.DUMMYFUNCTION("""COMPUTED_VALUE"""),"Paladin of Gaia's Plate Chausses")</f>
        <v>Paladin of Gaia's Plate Chausses</v>
      </c>
      <c r="B492" s="16" t="str">
        <f>IFERROR(__xludf.DUMMYFUNCTION("""COMPUTED_VALUE"""),"Quest Item")</f>
        <v>Quest Item</v>
      </c>
      <c r="C492" s="16"/>
      <c r="D492" s="16" t="str">
        <f>IFERROR(__xludf.DUMMYFUNCTION("""COMPUTED_VALUE"""),"Legs")</f>
        <v>Legs</v>
      </c>
      <c r="E492" s="16">
        <f>IFERROR(__xludf.DUMMYFUNCTION("""COMPUTED_VALUE"""),200.0)</f>
        <v>200</v>
      </c>
      <c r="F492" s="16" t="str">
        <f>IFERROR(__xludf.DUMMYFUNCTION("""COMPUTED_VALUE"""),"DEF: +20000, Fire DEF: +5000, Earth DEF: +35000, Celestial DEF: +20000 ++Blessing of Stone I: 2X Earth Damage +-Paladin or Knight Class Only +-Can only equip one")</f>
        <v>DEF: +20000, Fire DEF: +5000, Earth DEF: +35000, Celestial DEF: +20000 ++Blessing of Stone I: 2X Earth Damage +-Paladin or Knight Class Only +-Can only equip one</v>
      </c>
      <c r="G492" s="16">
        <f>IFERROR(__xludf.DUMMYFUNCTION("""COMPUTED_VALUE"""),1.272E8)</f>
        <v>127200000</v>
      </c>
      <c r="H492" s="16"/>
      <c r="I492" s="16"/>
      <c r="J492" s="16"/>
      <c r="K492" s="16"/>
      <c r="L492" s="16"/>
      <c r="M492" s="16"/>
      <c r="N492" s="16"/>
      <c r="O492" s="16"/>
      <c r="P492" s="16"/>
      <c r="Q492" s="16"/>
      <c r="R492" s="16"/>
      <c r="S492" s="16"/>
      <c r="T492" s="16"/>
      <c r="U492" s="16"/>
      <c r="V492" s="16"/>
      <c r="W492" s="16"/>
      <c r="X492" s="16"/>
      <c r="Y492" s="16"/>
      <c r="Z492" s="16"/>
    </row>
    <row r="493">
      <c r="A493" s="16" t="str">
        <f>IFERROR(__xludf.DUMMYFUNCTION("""COMPUTED_VALUE"""),"Paladin of Gaia's Sabatons")</f>
        <v>Paladin of Gaia's Sabatons</v>
      </c>
      <c r="B493" s="16" t="str">
        <f>IFERROR(__xludf.DUMMYFUNCTION("""COMPUTED_VALUE"""),"Quest Item")</f>
        <v>Quest Item</v>
      </c>
      <c r="C493" s="16"/>
      <c r="D493" s="16" t="str">
        <f>IFERROR(__xludf.DUMMYFUNCTION("""COMPUTED_VALUE"""),"Feet")</f>
        <v>Feet</v>
      </c>
      <c r="E493" s="16">
        <f>IFERROR(__xludf.DUMMYFUNCTION("""COMPUTED_VALUE"""),200.0)</f>
        <v>200</v>
      </c>
      <c r="F493" s="16" t="str">
        <f>IFERROR(__xludf.DUMMYFUNCTION("""COMPUTED_VALUE"""),"DEF: +20000, Fire DEF: +5000, Earth DEF: +35000, Celestial DEF: +20000 ++Blessing of Stone I: 2X Earth Damage +-Paladin or Knight Class Only +-Can only equip one")</f>
        <v>DEF: +20000, Fire DEF: +5000, Earth DEF: +35000, Celestial DEF: +20000 ++Blessing of Stone I: 2X Earth Damage +-Paladin or Knight Class Only +-Can only equip one</v>
      </c>
      <c r="G493" s="16">
        <f>IFERROR(__xludf.DUMMYFUNCTION("""COMPUTED_VALUE"""),1.272E8)</f>
        <v>127200000</v>
      </c>
      <c r="H493" s="16"/>
      <c r="I493" s="16"/>
      <c r="J493" s="16"/>
      <c r="K493" s="16"/>
      <c r="L493" s="16"/>
      <c r="M493" s="16"/>
      <c r="N493" s="16"/>
      <c r="O493" s="16"/>
      <c r="P493" s="16"/>
      <c r="Q493" s="16"/>
      <c r="R493" s="16"/>
      <c r="S493" s="16"/>
      <c r="T493" s="16"/>
      <c r="U493" s="16"/>
      <c r="V493" s="16"/>
      <c r="W493" s="16"/>
      <c r="X493" s="16"/>
      <c r="Y493" s="16"/>
      <c r="Z493" s="16"/>
    </row>
    <row r="494">
      <c r="A494" s="16" t="str">
        <f>IFERROR(__xludf.DUMMYFUNCTION("""COMPUTED_VALUE"""),"Paladin of Gaia's Ruby Ring")</f>
        <v>Paladin of Gaia's Ruby Ring</v>
      </c>
      <c r="B494" s="16" t="str">
        <f>IFERROR(__xludf.DUMMYFUNCTION("""COMPUTED_VALUE"""),"Quest Item")</f>
        <v>Quest Item</v>
      </c>
      <c r="C494" s="16"/>
      <c r="D494" s="16" t="str">
        <f>IFERROR(__xludf.DUMMYFUNCTION("""COMPUTED_VALUE"""),"Ring")</f>
        <v>Ring</v>
      </c>
      <c r="E494" s="16">
        <f>IFERROR(__xludf.DUMMYFUNCTION("""COMPUTED_VALUE"""),1.0)</f>
        <v>1</v>
      </c>
      <c r="F494" s="16" t="str">
        <f>IFERROR(__xludf.DUMMYFUNCTION("""COMPUTED_VALUE""")," ++Blessing of Stone II: 4X Earth Damage 
++Gaia's Tenacity I: 5% chance to revive after death +-Paladin or Knight Class Only +-Cannot be forged +-Cannot be duplicated +-Can only equip one")</f>
        <v> ++Blessing of Stone II: 4X Earth Damage 
++Gaia's Tenacity I: 5% chance to revive after death +-Paladin or Knight Class Only +-Cannot be forged +-Cannot be duplicated +-Can only equip one</v>
      </c>
      <c r="G494" s="16">
        <f>IFERROR(__xludf.DUMMYFUNCTION("""COMPUTED_VALUE"""),0.0)</f>
        <v>0</v>
      </c>
      <c r="H494" s="16"/>
      <c r="I494" s="16"/>
      <c r="J494" s="16"/>
      <c r="K494" s="16"/>
      <c r="L494" s="16"/>
      <c r="M494" s="16"/>
      <c r="N494" s="16"/>
      <c r="O494" s="16"/>
      <c r="P494" s="16"/>
      <c r="Q494" s="16"/>
      <c r="R494" s="16"/>
      <c r="S494" s="16"/>
      <c r="T494" s="16"/>
      <c r="U494" s="16"/>
      <c r="V494" s="16"/>
      <c r="W494" s="16"/>
      <c r="X494" s="16"/>
      <c r="Y494" s="16"/>
      <c r="Z494" s="16"/>
    </row>
    <row r="495">
      <c r="A495" s="16" t="str">
        <f>IFERROR(__xludf.DUMMYFUNCTION("""COMPUTED_VALUE"""),"Paladin of Gaia's Emerald Pendant")</f>
        <v>Paladin of Gaia's Emerald Pendant</v>
      </c>
      <c r="B495" s="16" t="str">
        <f>IFERROR(__xludf.DUMMYFUNCTION("""COMPUTED_VALUE"""),"Quest Item")</f>
        <v>Quest Item</v>
      </c>
      <c r="C495" s="16"/>
      <c r="D495" s="16" t="str">
        <f>IFERROR(__xludf.DUMMYFUNCTION("""COMPUTED_VALUE"""),"Neck")</f>
        <v>Neck</v>
      </c>
      <c r="E495" s="16">
        <f>IFERROR(__xludf.DUMMYFUNCTION("""COMPUTED_VALUE"""),1.0)</f>
        <v>1</v>
      </c>
      <c r="F495" s="16" t="str">
        <f>IFERROR(__xludf.DUMMYFUNCTION("""COMPUTED_VALUE""")," ++Blessing of Stone II: 4X Earth Damage 
++Gaia's Blessing I: 4X defense for self and allies 100 sp (Once per battle) +-(Paladin or Knight Class Only)")</f>
        <v> ++Blessing of Stone II: 4X Earth Damage 
++Gaia's Blessing I: 4X defense for self and allies 100 sp (Once per battle) +-(Paladin or Knight Class Only)</v>
      </c>
      <c r="G495" s="16">
        <f>IFERROR(__xludf.DUMMYFUNCTION("""COMPUTED_VALUE"""),0.0)</f>
        <v>0</v>
      </c>
      <c r="H495" s="16"/>
      <c r="I495" s="16"/>
      <c r="J495" s="16"/>
      <c r="K495" s="16"/>
      <c r="L495" s="16"/>
      <c r="M495" s="16"/>
      <c r="N495" s="16"/>
      <c r="O495" s="16"/>
      <c r="P495" s="16"/>
      <c r="Q495" s="16"/>
      <c r="R495" s="16"/>
      <c r="S495" s="16"/>
      <c r="T495" s="16"/>
      <c r="U495" s="16"/>
      <c r="V495" s="16"/>
      <c r="W495" s="16"/>
      <c r="X495" s="16"/>
      <c r="Y495" s="16"/>
      <c r="Z495" s="16"/>
    </row>
    <row r="496">
      <c r="A496" s="16" t="str">
        <f>IFERROR(__xludf.DUMMYFUNCTION("""COMPUTED_VALUE"""),"The Blacksmith's Forged Battleaxe ")</f>
        <v>The Blacksmith's Forged Battleaxe </v>
      </c>
      <c r="B496" s="16" t="str">
        <f>IFERROR(__xludf.DUMMYFUNCTION("""COMPUTED_VALUE"""),"Mob Exclusive")</f>
        <v>Mob Exclusive</v>
      </c>
      <c r="C496" s="16" t="str">
        <f>IFERROR(__xludf.DUMMYFUNCTION("""COMPUTED_VALUE"""),"Axe")</f>
        <v>Axe</v>
      </c>
      <c r="D496" s="16" t="str">
        <f>IFERROR(__xludf.DUMMYFUNCTION("""COMPUTED_VALUE"""),"Hand")</f>
        <v>Hand</v>
      </c>
      <c r="E496" s="16">
        <f>IFERROR(__xludf.DUMMYFUNCTION("""COMPUTED_VALUE"""),200.0)</f>
        <v>200</v>
      </c>
      <c r="F496" s="16" t="str">
        <f>IFERROR(__xludf.DUMMYFUNCTION("""COMPUTED_VALUE"""),"DMG: +100000, Fire DMG: +100000, Celestial DMG: +50000 (Hephaestus' Set) ++Forged Fury: Attacks with this weapon hit all enemies (all enemies can roll to evade). ++X2 Weapon damage")</f>
        <v>DMG: +100000, Fire DMG: +100000, Celestial DMG: +50000 (Hephaestus' Set) ++Forged Fury: Attacks with this weapon hit all enemies (all enemies can roll to evade). ++X2 Weapon damage</v>
      </c>
      <c r="G496" s="16">
        <f>IFERROR(__xludf.DUMMYFUNCTION("""COMPUTED_VALUE"""),1.2475E9)</f>
        <v>1247500000</v>
      </c>
      <c r="H496" s="16"/>
      <c r="I496" s="16"/>
      <c r="J496" s="16"/>
      <c r="K496" s="16"/>
      <c r="L496" s="16"/>
      <c r="M496" s="16"/>
      <c r="N496" s="16"/>
      <c r="O496" s="16"/>
      <c r="P496" s="16"/>
      <c r="Q496" s="16"/>
      <c r="R496" s="16"/>
      <c r="S496" s="16"/>
      <c r="T496" s="16"/>
      <c r="U496" s="16"/>
      <c r="V496" s="16"/>
      <c r="W496" s="16"/>
      <c r="X496" s="16"/>
      <c r="Y496" s="16"/>
      <c r="Z496" s="16"/>
    </row>
    <row r="497">
      <c r="A497" s="16" t="str">
        <f>IFERROR(__xludf.DUMMYFUNCTION("""COMPUTED_VALUE"""),"The Blacksmith's Forged Sword")</f>
        <v>The Blacksmith's Forged Sword</v>
      </c>
      <c r="B497" s="16" t="str">
        <f>IFERROR(__xludf.DUMMYFUNCTION("""COMPUTED_VALUE"""),"Mob Exclusive")</f>
        <v>Mob Exclusive</v>
      </c>
      <c r="C497" s="16" t="str">
        <f>IFERROR(__xludf.DUMMYFUNCTION("""COMPUTED_VALUE"""),"Sword")</f>
        <v>Sword</v>
      </c>
      <c r="D497" s="16" t="str">
        <f>IFERROR(__xludf.DUMMYFUNCTION("""COMPUTED_VALUE"""),"Hand")</f>
        <v>Hand</v>
      </c>
      <c r="E497" s="16">
        <f>IFERROR(__xludf.DUMMYFUNCTION("""COMPUTED_VALUE"""),200.0)</f>
        <v>200</v>
      </c>
      <c r="F497" s="16" t="str">
        <f>IFERROR(__xludf.DUMMYFUNCTION("""COMPUTED_VALUE"""),"DMG: +100000, Fire DMG: +100000, Celestial DMG: +50000 (Hephaestus' Set) ++Elemental Gem Slash: This weapon will have a 25% chance each to cast the following powers when attacking with this weapon; Molten Ruby Spikes, Searing Sapphire Strike, Energizing E"&amp;"merald Pulse.")</f>
        <v>DMG: +100000, Fire DMG: +100000, Celestial DMG: +50000 (Hephaestus' Set) ++Elemental Gem Slash: This weapon will have a 25% chance each to cast the following powers when attacking with this weapon; Molten Ruby Spikes, Searing Sapphire Strike, Energizing Emerald Pulse.</v>
      </c>
      <c r="G497" s="16">
        <f>IFERROR(__xludf.DUMMYFUNCTION("""COMPUTED_VALUE"""),1.2475E9)</f>
        <v>1247500000</v>
      </c>
      <c r="H497" s="16"/>
      <c r="I497" s="16"/>
      <c r="J497" s="16"/>
      <c r="K497" s="16"/>
      <c r="L497" s="16"/>
      <c r="M497" s="16"/>
      <c r="N497" s="16"/>
      <c r="O497" s="16"/>
      <c r="P497" s="16"/>
      <c r="Q497" s="16"/>
      <c r="R497" s="16"/>
      <c r="S497" s="16"/>
      <c r="T497" s="16"/>
      <c r="U497" s="16"/>
      <c r="V497" s="16"/>
      <c r="W497" s="16"/>
      <c r="X497" s="16"/>
      <c r="Y497" s="16"/>
      <c r="Z497" s="16"/>
    </row>
    <row r="498">
      <c r="A498" s="16" t="str">
        <f>IFERROR(__xludf.DUMMYFUNCTION("""COMPUTED_VALUE"""),"The Blacksmith's Forged Helmet")</f>
        <v>The Blacksmith's Forged Helmet</v>
      </c>
      <c r="B498" s="16" t="str">
        <f>IFERROR(__xludf.DUMMYFUNCTION("""COMPUTED_VALUE"""),"Mob Exclusive")</f>
        <v>Mob Exclusive</v>
      </c>
      <c r="C498" s="16"/>
      <c r="D498" s="16" t="str">
        <f>IFERROR(__xludf.DUMMYFUNCTION("""COMPUTED_VALUE"""),"Head")</f>
        <v>Head</v>
      </c>
      <c r="E498" s="16">
        <f>IFERROR(__xludf.DUMMYFUNCTION("""COMPUTED_VALUE"""),4000.0)</f>
        <v>4000</v>
      </c>
      <c r="F498" s="16" t="str">
        <f>IFERROR(__xludf.DUMMYFUNCTION("""COMPUTED_VALUE"""),"DEF: +200000 (Hephaestus' Set) ++Immune to freezing. ++Hephaestus' Fury: shoot an eye ray causing 10,000 damage (you cannot dodge this). ++X2 defense for self")</f>
        <v>DEF: +200000 (Hephaestus' Set) ++Immune to freezing. ++Hephaestus' Fury: shoot an eye ray causing 10,000 damage (you cannot dodge this). ++X2 defense for self</v>
      </c>
      <c r="G498" s="16">
        <f>IFERROR(__xludf.DUMMYFUNCTION("""COMPUTED_VALUE"""),7.98E8)</f>
        <v>798000000</v>
      </c>
      <c r="H498" s="16"/>
      <c r="I498" s="16"/>
      <c r="J498" s="16"/>
      <c r="K498" s="16"/>
      <c r="L498" s="16"/>
      <c r="M498" s="16"/>
      <c r="N498" s="16"/>
      <c r="O498" s="16"/>
      <c r="P498" s="16"/>
      <c r="Q498" s="16"/>
      <c r="R498" s="16"/>
      <c r="S498" s="16"/>
      <c r="T498" s="16"/>
      <c r="U498" s="16"/>
      <c r="V498" s="16"/>
      <c r="W498" s="16"/>
      <c r="X498" s="16"/>
      <c r="Y498" s="16"/>
      <c r="Z498" s="16"/>
    </row>
    <row r="499">
      <c r="A499" s="16" t="str">
        <f>IFERROR(__xludf.DUMMYFUNCTION("""COMPUTED_VALUE"""),"The Blacksmith's Forged Pauldrons")</f>
        <v>The Blacksmith's Forged Pauldrons</v>
      </c>
      <c r="B499" s="16" t="str">
        <f>IFERROR(__xludf.DUMMYFUNCTION("""COMPUTED_VALUE"""),"Mob Exclusive")</f>
        <v>Mob Exclusive</v>
      </c>
      <c r="C499" s="16"/>
      <c r="D499" s="16" t="str">
        <f>IFERROR(__xludf.DUMMYFUNCTION("""COMPUTED_VALUE"""),"Shoulders")</f>
        <v>Shoulders</v>
      </c>
      <c r="E499" s="16">
        <f>IFERROR(__xludf.DUMMYFUNCTION("""COMPUTED_VALUE"""),4000.0)</f>
        <v>4000</v>
      </c>
      <c r="F499" s="16" t="str">
        <f>IFERROR(__xludf.DUMMYFUNCTION("""COMPUTED_VALUE"""),"DEF: +200000 (Hephaestus' Set) ++Immune to Celestial. ++When Equipped you are invulnerable to damage unless you attack. ++When you battle with any undead you can deal X2 damage")</f>
        <v>DEF: +200000 (Hephaestus' Set) ++Immune to Celestial. ++When Equipped you are invulnerable to damage unless you attack. ++When you battle with any undead you can deal X2 damage</v>
      </c>
      <c r="G499" s="16">
        <f>IFERROR(__xludf.DUMMYFUNCTION("""COMPUTED_VALUE"""),7.98E8)</f>
        <v>798000000</v>
      </c>
      <c r="H499" s="16"/>
      <c r="I499" s="16"/>
      <c r="J499" s="16"/>
      <c r="K499" s="16"/>
      <c r="L499" s="16"/>
      <c r="M499" s="16"/>
      <c r="N499" s="16"/>
      <c r="O499" s="16"/>
      <c r="P499" s="16"/>
      <c r="Q499" s="16"/>
      <c r="R499" s="16"/>
      <c r="S499" s="16"/>
      <c r="T499" s="16"/>
      <c r="U499" s="16"/>
      <c r="V499" s="16"/>
      <c r="W499" s="16"/>
      <c r="X499" s="16"/>
      <c r="Y499" s="16"/>
      <c r="Z499" s="16"/>
    </row>
    <row r="500">
      <c r="A500" s="16" t="str">
        <f>IFERROR(__xludf.DUMMYFUNCTION("""COMPUTED_VALUE"""),"The Blacksmith's Forged Vambraces")</f>
        <v>The Blacksmith's Forged Vambraces</v>
      </c>
      <c r="B500" s="16" t="str">
        <f>IFERROR(__xludf.DUMMYFUNCTION("""COMPUTED_VALUE"""),"Mob Exclusive")</f>
        <v>Mob Exclusive</v>
      </c>
      <c r="C500" s="16"/>
      <c r="D500" s="16" t="str">
        <f>IFERROR(__xludf.DUMMYFUNCTION("""COMPUTED_VALUE"""),"Arms")</f>
        <v>Arms</v>
      </c>
      <c r="E500" s="16">
        <f>IFERROR(__xludf.DUMMYFUNCTION("""COMPUTED_VALUE"""),4000.0)</f>
        <v>4000</v>
      </c>
      <c r="F500" s="16" t="str">
        <f>IFERROR(__xludf.DUMMYFUNCTION("""COMPUTED_VALUE"""),"DEF: +200000 (Hephaestus' Set) ++Immune to Chaos and Dark. ++Upon taking fire damage instead heal by 5X that fire damage. ++Take 2X water Damage")</f>
        <v>DEF: +200000 (Hephaestus' Set) ++Immune to Chaos and Dark. ++Upon taking fire damage instead heal by 5X that fire damage. ++Take 2X water Damage</v>
      </c>
      <c r="G500" s="16">
        <f>IFERROR(__xludf.DUMMYFUNCTION("""COMPUTED_VALUE"""),7.98E8)</f>
        <v>798000000</v>
      </c>
      <c r="H500" s="16"/>
      <c r="I500" s="16"/>
      <c r="J500" s="16"/>
      <c r="K500" s="16"/>
      <c r="L500" s="16"/>
      <c r="M500" s="16"/>
      <c r="N500" s="16"/>
      <c r="O500" s="16"/>
      <c r="P500" s="16"/>
      <c r="Q500" s="16"/>
      <c r="R500" s="16"/>
      <c r="S500" s="16"/>
      <c r="T500" s="16"/>
      <c r="U500" s="16"/>
      <c r="V500" s="16"/>
      <c r="W500" s="16"/>
      <c r="X500" s="16"/>
      <c r="Y500" s="16"/>
      <c r="Z500" s="16"/>
    </row>
    <row r="501">
      <c r="A501" s="16" t="str">
        <f>IFERROR(__xludf.DUMMYFUNCTION("""COMPUTED_VALUE"""),"The Blacksmith's Forged Greaves")</f>
        <v>The Blacksmith's Forged Greaves</v>
      </c>
      <c r="B501" s="16" t="str">
        <f>IFERROR(__xludf.DUMMYFUNCTION("""COMPUTED_VALUE"""),"Mob Exclusive")</f>
        <v>Mob Exclusive</v>
      </c>
      <c r="C501" s="16"/>
      <c r="D501" s="16" t="str">
        <f>IFERROR(__xludf.DUMMYFUNCTION("""COMPUTED_VALUE"""),"Legs")</f>
        <v>Legs</v>
      </c>
      <c r="E501" s="16">
        <f>IFERROR(__xludf.DUMMYFUNCTION("""COMPUTED_VALUE"""),4000.0)</f>
        <v>4000</v>
      </c>
      <c r="F501" s="16" t="str">
        <f>IFERROR(__xludf.DUMMYFUNCTION("""COMPUTED_VALUE"""),"DEF: +200000 (Hephaestus' Set) ++When attacking with a weapon you have a 25% chance of attacking again with the same weapon. ++Increases all types of Damage by X2. ++Hephaetus's Undying Rage: Upon being killed or removed from battle revive with full healt"&amp;"h (once per battle)")</f>
        <v>DEF: +200000 (Hephaestus' Set) ++When attacking with a weapon you have a 25% chance of attacking again with the same weapon. ++Increases all types of Damage by X2. ++Hephaetus's Undying Rage: Upon being killed or removed from battle revive with full health (once per battle)</v>
      </c>
      <c r="G501" s="16">
        <f>IFERROR(__xludf.DUMMYFUNCTION("""COMPUTED_VALUE"""),7.98E8)</f>
        <v>798000000</v>
      </c>
      <c r="H501" s="16"/>
      <c r="I501" s="16"/>
      <c r="J501" s="16"/>
      <c r="K501" s="16"/>
      <c r="L501" s="16"/>
      <c r="M501" s="16"/>
      <c r="N501" s="16"/>
      <c r="O501" s="16"/>
      <c r="P501" s="16"/>
      <c r="Q501" s="16"/>
      <c r="R501" s="16"/>
      <c r="S501" s="16"/>
      <c r="T501" s="16"/>
      <c r="U501" s="16"/>
      <c r="V501" s="16"/>
      <c r="W501" s="16"/>
      <c r="X501" s="16"/>
      <c r="Y501" s="16"/>
      <c r="Z501" s="16"/>
    </row>
    <row r="502">
      <c r="A502" s="16" t="str">
        <f>IFERROR(__xludf.DUMMYFUNCTION("""COMPUTED_VALUE"""),"The Blacksmith's Forged Sabatons")</f>
        <v>The Blacksmith's Forged Sabatons</v>
      </c>
      <c r="B502" s="16" t="str">
        <f>IFERROR(__xludf.DUMMYFUNCTION("""COMPUTED_VALUE"""),"Mob Exclusive")</f>
        <v>Mob Exclusive</v>
      </c>
      <c r="C502" s="16"/>
      <c r="D502" s="16" t="str">
        <f>IFERROR(__xludf.DUMMYFUNCTION("""COMPUTED_VALUE"""),"Feet")</f>
        <v>Feet</v>
      </c>
      <c r="E502" s="16">
        <f>IFERROR(__xludf.DUMMYFUNCTION("""COMPUTED_VALUE"""),4000.0)</f>
        <v>4000</v>
      </c>
      <c r="F502" s="16" t="str">
        <f>IFERROR(__xludf.DUMMYFUNCTION("""COMPUTED_VALUE"""),"DEF: +200000 (Hephaestus' Set) ++At the start of your turn roll a d20 unaffected by roll bonuses 1-10 no effect 11-20 you act twice on your turn (does not stack with chaincast). ++Heavy Stomp: Causes enemies to be stunned for 1 round with a fail/succeed r"&amp;"oll (cooldown: 3 rounds). ++all weapons deal X2 Damage")</f>
        <v>DEF: +200000 (Hephaestus' Set) ++At the start of your turn roll a d20 unaffected by roll bonuses 1-10 no effect 11-20 you act twice on your turn (does not stack with chaincast). ++Heavy Stomp: Causes enemies to be stunned for 1 round with a fail/succeed roll (cooldown: 3 rounds). ++all weapons deal X2 Damage</v>
      </c>
      <c r="G502" s="16">
        <f>IFERROR(__xludf.DUMMYFUNCTION("""COMPUTED_VALUE"""),7.98E8)</f>
        <v>798000000</v>
      </c>
      <c r="H502" s="16"/>
      <c r="I502" s="16"/>
      <c r="J502" s="16"/>
      <c r="K502" s="16"/>
      <c r="L502" s="16"/>
      <c r="M502" s="16"/>
      <c r="N502" s="16"/>
      <c r="O502" s="16"/>
      <c r="P502" s="16"/>
      <c r="Q502" s="16"/>
      <c r="R502" s="16"/>
      <c r="S502" s="16"/>
      <c r="T502" s="16"/>
      <c r="U502" s="16"/>
      <c r="V502" s="16"/>
      <c r="W502" s="16"/>
      <c r="X502" s="16"/>
      <c r="Y502" s="16"/>
      <c r="Z502" s="16"/>
    </row>
    <row r="503">
      <c r="A503" s="16" t="str">
        <f>IFERROR(__xludf.DUMMYFUNCTION("""COMPUTED_VALUE"""),"The Blacksmith's Forged Cuirasses")</f>
        <v>The Blacksmith's Forged Cuirasses</v>
      </c>
      <c r="B503" s="16" t="str">
        <f>IFERROR(__xludf.DUMMYFUNCTION("""COMPUTED_VALUE"""),"Mob Exclusive")</f>
        <v>Mob Exclusive</v>
      </c>
      <c r="C503" s="16"/>
      <c r="D503" s="16" t="str">
        <f>IFERROR(__xludf.DUMMYFUNCTION("""COMPUTED_VALUE"""),"Torso")</f>
        <v>Torso</v>
      </c>
      <c r="E503" s="16">
        <f>IFERROR(__xludf.DUMMYFUNCTION("""COMPUTED_VALUE"""),4000.0)</f>
        <v>4000</v>
      </c>
      <c r="F503" s="16" t="str">
        <f>IFERROR(__xludf.DUMMYFUNCTION("""COMPUTED_VALUE"""),"DEF: +200000 (Hephaestus' Set) ++10 to all d20 rolls. ++50% to all percentage based abilities. ++Upon taking damage 25% chance to blind the one that hits you giving them blindness 3")</f>
        <v>DEF: +200000 (Hephaestus' Set) ++10 to all d20 rolls. ++50% to all percentage based abilities. ++Upon taking damage 25% chance to blind the one that hits you giving them blindness 3</v>
      </c>
      <c r="G503" s="16">
        <f>IFERROR(__xludf.DUMMYFUNCTION("""COMPUTED_VALUE"""),7.98E8)</f>
        <v>798000000</v>
      </c>
      <c r="H503" s="16"/>
      <c r="I503" s="16"/>
      <c r="J503" s="16"/>
      <c r="K503" s="16"/>
      <c r="L503" s="16"/>
      <c r="M503" s="16"/>
      <c r="N503" s="16"/>
      <c r="O503" s="16"/>
      <c r="P503" s="16"/>
      <c r="Q503" s="16"/>
      <c r="R503" s="16"/>
      <c r="S503" s="16"/>
      <c r="T503" s="16"/>
      <c r="U503" s="16"/>
      <c r="V503" s="16"/>
      <c r="W503" s="16"/>
      <c r="X503" s="16"/>
      <c r="Y503" s="16"/>
      <c r="Z503" s="16"/>
    </row>
    <row r="504">
      <c r="A504" s="16" t="str">
        <f>IFERROR(__xludf.DUMMYFUNCTION("""COMPUTED_VALUE"""),"The Blacksmith's Forged Ring")</f>
        <v>The Blacksmith's Forged Ring</v>
      </c>
      <c r="B504" s="16" t="str">
        <f>IFERROR(__xludf.DUMMYFUNCTION("""COMPUTED_VALUE"""),"Mob Exclusive")</f>
        <v>Mob Exclusive</v>
      </c>
      <c r="C504" s="16"/>
      <c r="D504" s="16" t="str">
        <f>IFERROR(__xludf.DUMMYFUNCTION("""COMPUTED_VALUE"""),"Ring")</f>
        <v>Ring</v>
      </c>
      <c r="E504" s="16">
        <f>IFERROR(__xludf.DUMMYFUNCTION("""COMPUTED_VALUE"""),1.0)</f>
        <v>1</v>
      </c>
      <c r="F504" s="16" t="str">
        <f>IFERROR(__xludf.DUMMYFUNCTION("""COMPUTED_VALUE""")," (Hephaestus' Set) ++Increase all types of damage by X2. ++Causes instant death with a fail/succeed roll. ++Inflict half the damage you take back to the enemy that dealt it for the first 3 rounds of battle.")</f>
        <v> (Hephaestus' Set) ++Increase all types of damage by X2. ++Causes instant death with a fail/succeed roll. ++Inflict half the damage you take back to the enemy that dealt it for the first 3 rounds of battle.</v>
      </c>
      <c r="G504" s="16">
        <f>IFERROR(__xludf.DUMMYFUNCTION("""COMPUTED_VALUE"""),0.0)</f>
        <v>0</v>
      </c>
      <c r="H504" s="16"/>
      <c r="I504" s="16"/>
      <c r="J504" s="16"/>
      <c r="K504" s="16"/>
      <c r="L504" s="16"/>
      <c r="M504" s="16"/>
      <c r="N504" s="16"/>
      <c r="O504" s="16"/>
      <c r="P504" s="16"/>
      <c r="Q504" s="16"/>
      <c r="R504" s="16"/>
      <c r="S504" s="16"/>
      <c r="T504" s="16"/>
      <c r="U504" s="16"/>
      <c r="V504" s="16"/>
      <c r="W504" s="16"/>
      <c r="X504" s="16"/>
      <c r="Y504" s="16"/>
      <c r="Z504" s="16"/>
    </row>
    <row r="505">
      <c r="A505" s="16" t="str">
        <f>IFERROR(__xludf.DUMMYFUNCTION("""COMPUTED_VALUE"""),"The Blacksmith's Forged Pendant")</f>
        <v>The Blacksmith's Forged Pendant</v>
      </c>
      <c r="B505" s="16" t="str">
        <f>IFERROR(__xludf.DUMMYFUNCTION("""COMPUTED_VALUE"""),"Mob Exclusive")</f>
        <v>Mob Exclusive</v>
      </c>
      <c r="C505" s="16"/>
      <c r="D505" s="16" t="str">
        <f>IFERROR(__xludf.DUMMYFUNCTION("""COMPUTED_VALUE"""),"Neck")</f>
        <v>Neck</v>
      </c>
      <c r="E505" s="16">
        <f>IFERROR(__xludf.DUMMYFUNCTION("""COMPUTED_VALUE"""),1.0)</f>
        <v>1</v>
      </c>
      <c r="F505" s="16" t="str">
        <f>IFERROR(__xludf.DUMMYFUNCTION("""COMPUTED_VALUE""")," (Hephaestus' Set) ++Forged items now deal double in damage for the wearer. ++If you kill an enemy with a weapon your HP and SP will fully be restored. ++Enemies deduct 2 from their rolls when targeting you")</f>
        <v> (Hephaestus' Set) ++Forged items now deal double in damage for the wearer. ++If you kill an enemy with a weapon your HP and SP will fully be restored. ++Enemies deduct 2 from their rolls when targeting you</v>
      </c>
      <c r="G505" s="16">
        <f>IFERROR(__xludf.DUMMYFUNCTION("""COMPUTED_VALUE"""),0.0)</f>
        <v>0</v>
      </c>
      <c r="H505" s="16"/>
      <c r="I505" s="16"/>
      <c r="J505" s="16"/>
      <c r="K505" s="16"/>
      <c r="L505" s="16"/>
      <c r="M505" s="16"/>
      <c r="N505" s="16"/>
      <c r="O505" s="16"/>
      <c r="P505" s="16"/>
      <c r="Q505" s="16"/>
      <c r="R505" s="16"/>
      <c r="S505" s="16"/>
      <c r="T505" s="16"/>
      <c r="U505" s="16"/>
      <c r="V505" s="16"/>
      <c r="W505" s="16"/>
      <c r="X505" s="16"/>
      <c r="Y505" s="16"/>
      <c r="Z505" s="16"/>
    </row>
    <row r="506">
      <c r="A506" s="16" t="str">
        <f>IFERROR(__xludf.DUMMYFUNCTION("""COMPUTED_VALUE"""),"The Blacksmith's Ring of Green Hatred")</f>
        <v>The Blacksmith's Ring of Green Hatred</v>
      </c>
      <c r="B506" s="16" t="str">
        <f>IFERROR(__xludf.DUMMYFUNCTION("""COMPUTED_VALUE"""),"Mob Exclusive")</f>
        <v>Mob Exclusive</v>
      </c>
      <c r="C506" s="16"/>
      <c r="D506" s="16" t="str">
        <f>IFERROR(__xludf.DUMMYFUNCTION("""COMPUTED_VALUE"""),"Ring")</f>
        <v>Ring</v>
      </c>
      <c r="E506" s="16">
        <f>IFERROR(__xludf.DUMMYFUNCTION("""COMPUTED_VALUE"""),1.0)</f>
        <v>1</v>
      </c>
      <c r="F506" s="16" t="str">
        <f>IFERROR(__xludf.DUMMYFUNCTION("""COMPUTED_VALUE""")," (Hephaestus' Set) ++All attacks deal X10 damage against any enemies with the starting town of Forest View.")</f>
        <v> (Hephaestus' Set) ++All attacks deal X10 damage against any enemies with the starting town of Forest View.</v>
      </c>
      <c r="G506" s="16">
        <f>IFERROR(__xludf.DUMMYFUNCTION("""COMPUTED_VALUE"""),0.0)</f>
        <v>0</v>
      </c>
      <c r="H506" s="16"/>
      <c r="I506" s="16"/>
      <c r="J506" s="16"/>
      <c r="K506" s="16"/>
      <c r="L506" s="16"/>
      <c r="M506" s="16"/>
      <c r="N506" s="16"/>
      <c r="O506" s="16"/>
      <c r="P506" s="16"/>
      <c r="Q506" s="16"/>
      <c r="R506" s="16"/>
      <c r="S506" s="16"/>
      <c r="T506" s="16"/>
      <c r="U506" s="16"/>
      <c r="V506" s="16"/>
      <c r="W506" s="16"/>
      <c r="X506" s="16"/>
      <c r="Y506" s="16"/>
      <c r="Z506" s="16"/>
    </row>
    <row r="507">
      <c r="A507" s="16" t="str">
        <f>IFERROR(__xludf.DUMMYFUNCTION("""COMPUTED_VALUE"""),"Ring o' Strength and Fire")</f>
        <v>Ring o' Strength and Fire</v>
      </c>
      <c r="B507" s="16"/>
      <c r="C507" s="16"/>
      <c r="D507" s="16" t="str">
        <f>IFERROR(__xludf.DUMMYFUNCTION("""COMPUTED_VALUE"""),"Ring")</f>
        <v>Ring</v>
      </c>
      <c r="E507" s="16">
        <f>IFERROR(__xludf.DUMMYFUNCTION("""COMPUTED_VALUE"""),1.0)</f>
        <v>1</v>
      </c>
      <c r="F507" s="16" t="str">
        <f>IFERROR(__xludf.DUMMYFUNCTION("""COMPUTED_VALUE""")," ++Grants immunity to fire. ++Grants X2 damage. +-Can only equip one +-Cannot be duplicated")</f>
        <v> ++Grants immunity to fire. ++Grants X2 damage. +-Can only equip one +-Cannot be duplicated</v>
      </c>
      <c r="G507" s="16">
        <f>IFERROR(__xludf.DUMMYFUNCTION("""COMPUTED_VALUE"""),0.0)</f>
        <v>0</v>
      </c>
      <c r="H507" s="16"/>
      <c r="I507" s="16"/>
      <c r="J507" s="16"/>
      <c r="K507" s="16"/>
      <c r="L507" s="16"/>
      <c r="M507" s="16"/>
      <c r="N507" s="16"/>
      <c r="O507" s="16"/>
      <c r="P507" s="16"/>
      <c r="Q507" s="16"/>
      <c r="R507" s="16"/>
      <c r="S507" s="16"/>
      <c r="T507" s="16"/>
      <c r="U507" s="16"/>
      <c r="V507" s="16"/>
      <c r="W507" s="16"/>
      <c r="X507" s="16"/>
      <c r="Y507" s="16"/>
      <c r="Z507" s="16"/>
    </row>
    <row r="508">
      <c r="A508" s="16" t="str">
        <f>IFERROR(__xludf.DUMMYFUNCTION("""COMPUTED_VALUE"""),"Ring o' Fortitude and Earth")</f>
        <v>Ring o' Fortitude and Earth</v>
      </c>
      <c r="B508" s="16"/>
      <c r="C508" s="16"/>
      <c r="D508" s="16" t="str">
        <f>IFERROR(__xludf.DUMMYFUNCTION("""COMPUTED_VALUE"""),"Ring")</f>
        <v>Ring</v>
      </c>
      <c r="E508" s="16">
        <f>IFERROR(__xludf.DUMMYFUNCTION("""COMPUTED_VALUE"""),1.0)</f>
        <v>1</v>
      </c>
      <c r="F508" s="16" t="str">
        <f>IFERROR(__xludf.DUMMYFUNCTION("""COMPUTED_VALUE""")," ++Grants immunity to Earth. ++Grants X2 Defense. +-Can only equip one +-Cannot be duplicated")</f>
        <v> ++Grants immunity to Earth. ++Grants X2 Defense. +-Can only equip one +-Cannot be duplicated</v>
      </c>
      <c r="G508" s="16">
        <f>IFERROR(__xludf.DUMMYFUNCTION("""COMPUTED_VALUE"""),0.0)</f>
        <v>0</v>
      </c>
      <c r="H508" s="16"/>
      <c r="I508" s="16"/>
      <c r="J508" s="16"/>
      <c r="K508" s="16"/>
      <c r="L508" s="16"/>
      <c r="M508" s="16"/>
      <c r="N508" s="16"/>
      <c r="O508" s="16"/>
      <c r="P508" s="16"/>
      <c r="Q508" s="16"/>
      <c r="R508" s="16"/>
      <c r="S508" s="16"/>
      <c r="T508" s="16"/>
      <c r="U508" s="16"/>
      <c r="V508" s="16"/>
      <c r="W508" s="16"/>
      <c r="X508" s="16"/>
      <c r="Y508" s="16"/>
      <c r="Z508" s="16"/>
    </row>
    <row r="509">
      <c r="A509" s="16" t="str">
        <f>IFERROR(__xludf.DUMMYFUNCTION("""COMPUTED_VALUE"""),"Ring o' Agility and Water")</f>
        <v>Ring o' Agility and Water</v>
      </c>
      <c r="B509" s="16"/>
      <c r="C509" s="16"/>
      <c r="D509" s="16" t="str">
        <f>IFERROR(__xludf.DUMMYFUNCTION("""COMPUTED_VALUE"""),"Ring")</f>
        <v>Ring</v>
      </c>
      <c r="E509" s="16">
        <f>IFERROR(__xludf.DUMMYFUNCTION("""COMPUTED_VALUE"""),1.0)</f>
        <v>1</v>
      </c>
      <c r="F509" s="16" t="str">
        <f>IFERROR(__xludf.DUMMYFUNCTION("""COMPUTED_VALUE""")," ++Grants Immunity to Water. ++Grants +5 to evasion. +-Can only equip one +-Cannot be duplicated")</f>
        <v> ++Grants Immunity to Water. ++Grants +5 to evasion. +-Can only equip one +-Cannot be duplicated</v>
      </c>
      <c r="G509" s="16">
        <f>IFERROR(__xludf.DUMMYFUNCTION("""COMPUTED_VALUE"""),0.0)</f>
        <v>0</v>
      </c>
      <c r="H509" s="16"/>
      <c r="I509" s="16"/>
      <c r="J509" s="16"/>
      <c r="K509" s="16"/>
      <c r="L509" s="16"/>
      <c r="M509" s="16"/>
      <c r="N509" s="16"/>
      <c r="O509" s="16"/>
      <c r="P509" s="16"/>
      <c r="Q509" s="16"/>
      <c r="R509" s="16"/>
      <c r="S509" s="16"/>
      <c r="T509" s="16"/>
      <c r="U509" s="16"/>
      <c r="V509" s="16"/>
      <c r="W509" s="16"/>
      <c r="X509" s="16"/>
      <c r="Y509" s="16"/>
      <c r="Z509" s="16"/>
    </row>
    <row r="510">
      <c r="A510" s="16" t="str">
        <f>IFERROR(__xludf.DUMMYFUNCTION("""COMPUTED_VALUE"""),"Ring o' Power and Delta")</f>
        <v>Ring o' Power and Delta</v>
      </c>
      <c r="B510" s="16"/>
      <c r="C510" s="16"/>
      <c r="D510" s="16" t="str">
        <f>IFERROR(__xludf.DUMMYFUNCTION("""COMPUTED_VALUE"""),"Ring")</f>
        <v>Ring</v>
      </c>
      <c r="E510" s="16">
        <f>IFERROR(__xludf.DUMMYFUNCTION("""COMPUTED_VALUE"""),1.0)</f>
        <v>1</v>
      </c>
      <c r="F510" s="16" t="str">
        <f>IFERROR(__xludf.DUMMYFUNCTION("""COMPUTED_VALUE""")," ++Grants X4 Delta damage. ++Take Half delta damage. +-Can only equip one +-Cannot be duplicated")</f>
        <v> ++Grants X4 Delta damage. ++Take Half delta damage. +-Can only equip one +-Cannot be duplicated</v>
      </c>
      <c r="G510" s="16">
        <f>IFERROR(__xludf.DUMMYFUNCTION("""COMPUTED_VALUE"""),0.0)</f>
        <v>0</v>
      </c>
      <c r="H510" s="16"/>
      <c r="I510" s="16"/>
      <c r="J510" s="16"/>
      <c r="K510" s="16"/>
      <c r="L510" s="16"/>
      <c r="M510" s="16"/>
      <c r="N510" s="16"/>
      <c r="O510" s="16"/>
      <c r="P510" s="16"/>
      <c r="Q510" s="16"/>
      <c r="R510" s="16"/>
      <c r="S510" s="16"/>
      <c r="T510" s="16"/>
      <c r="U510" s="16"/>
      <c r="V510" s="16"/>
      <c r="W510" s="16"/>
      <c r="X510" s="16"/>
      <c r="Y510" s="16"/>
      <c r="Z510" s="16"/>
    </row>
    <row r="511">
      <c r="A511" s="16" t="str">
        <f>IFERROR(__xludf.DUMMYFUNCTION("""COMPUTED_VALUE"""),"Ring o' Courage and Order")</f>
        <v>Ring o' Courage and Order</v>
      </c>
      <c r="B511" s="16"/>
      <c r="C511" s="16"/>
      <c r="D511" s="16" t="str">
        <f>IFERROR(__xludf.DUMMYFUNCTION("""COMPUTED_VALUE"""),"Ring")</f>
        <v>Ring</v>
      </c>
      <c r="E511" s="16">
        <f>IFERROR(__xludf.DUMMYFUNCTION("""COMPUTED_VALUE"""),1.0)</f>
        <v>1</v>
      </c>
      <c r="F511" s="16" t="str">
        <f>IFERROR(__xludf.DUMMYFUNCTION("""COMPUTED_VALUE""")," ++Grants Immunity to Order. ++Enemies halve their rolls when fleeing. +-Can only equip one +-Cannot be duplicated")</f>
        <v> ++Grants Immunity to Order. ++Enemies halve their rolls when fleeing. +-Can only equip one +-Cannot be duplicated</v>
      </c>
      <c r="G511" s="16">
        <f>IFERROR(__xludf.DUMMYFUNCTION("""COMPUTED_VALUE"""),0.0)</f>
        <v>0</v>
      </c>
      <c r="H511" s="16"/>
      <c r="I511" s="16"/>
      <c r="J511" s="16"/>
      <c r="K511" s="16"/>
      <c r="L511" s="16"/>
      <c r="M511" s="16"/>
      <c r="N511" s="16"/>
      <c r="O511" s="16"/>
      <c r="P511" s="16"/>
      <c r="Q511" s="16"/>
      <c r="R511" s="16"/>
      <c r="S511" s="16"/>
      <c r="T511" s="16"/>
      <c r="U511" s="16"/>
      <c r="V511" s="16"/>
      <c r="W511" s="16"/>
      <c r="X511" s="16"/>
      <c r="Y511" s="16"/>
      <c r="Z511" s="16"/>
    </row>
    <row r="512">
      <c r="A512" s="16" t="str">
        <f>IFERROR(__xludf.DUMMYFUNCTION("""COMPUTED_VALUE"""),"Ring o' Resilience and Physicality")</f>
        <v>Ring o' Resilience and Physicality</v>
      </c>
      <c r="B512" s="16"/>
      <c r="C512" s="16"/>
      <c r="D512" s="16" t="str">
        <f>IFERROR(__xludf.DUMMYFUNCTION("""COMPUTED_VALUE"""),"Ring")</f>
        <v>Ring</v>
      </c>
      <c r="E512" s="16">
        <f>IFERROR(__xludf.DUMMYFUNCTION("""COMPUTED_VALUE"""),1.0)</f>
        <v>1</v>
      </c>
      <c r="F512" s="16" t="str">
        <f>IFERROR(__xludf.DUMMYFUNCTION("""COMPUTED_VALUE""")," ++Grants Immunity to Natural attacks. ++Grants +5 Mobility. +-Can only equip one +-Cannot be duplicated")</f>
        <v> ++Grants Immunity to Natural attacks. ++Grants +5 Mobility. +-Can only equip one +-Cannot be duplicated</v>
      </c>
      <c r="G512" s="16">
        <f>IFERROR(__xludf.DUMMYFUNCTION("""COMPUTED_VALUE"""),0.0)</f>
        <v>0</v>
      </c>
      <c r="H512" s="16"/>
      <c r="I512" s="16"/>
      <c r="J512" s="16"/>
      <c r="K512" s="16"/>
      <c r="L512" s="16"/>
      <c r="M512" s="16"/>
      <c r="N512" s="16"/>
      <c r="O512" s="16"/>
      <c r="P512" s="16"/>
      <c r="Q512" s="16"/>
      <c r="R512" s="16"/>
      <c r="S512" s="16"/>
      <c r="T512" s="16"/>
      <c r="U512" s="16"/>
      <c r="V512" s="16"/>
      <c r="W512" s="16"/>
      <c r="X512" s="16"/>
      <c r="Y512" s="16"/>
      <c r="Z512" s="16"/>
    </row>
    <row r="513">
      <c r="A513" s="16" t="str">
        <f>IFERROR(__xludf.DUMMYFUNCTION("""COMPUTED_VALUE"""),"Ring o' Insanity and Chaos")</f>
        <v>Ring o' Insanity and Chaos</v>
      </c>
      <c r="B513" s="16"/>
      <c r="C513" s="16"/>
      <c r="D513" s="16" t="str">
        <f>IFERROR(__xludf.DUMMYFUNCTION("""COMPUTED_VALUE"""),"Ring")</f>
        <v>Ring</v>
      </c>
      <c r="E513" s="16">
        <f>IFERROR(__xludf.DUMMYFUNCTION("""COMPUTED_VALUE"""),1.0)</f>
        <v>1</v>
      </c>
      <c r="F513" s="16" t="str">
        <f>IFERROR(__xludf.DUMMYFUNCTION("""COMPUTED_VALUE""")," ++Grants Immunity to Chaos. +5 to Intimidation. +-Can only equip one +-Cannot be duplicated")</f>
        <v> ++Grants Immunity to Chaos. +5 to Intimidation. +-Can only equip one +-Cannot be duplicated</v>
      </c>
      <c r="G513" s="16">
        <f>IFERROR(__xludf.DUMMYFUNCTION("""COMPUTED_VALUE"""),0.0)</f>
        <v>0</v>
      </c>
      <c r="H513" s="16"/>
      <c r="I513" s="16"/>
      <c r="J513" s="16"/>
      <c r="K513" s="16"/>
      <c r="L513" s="16"/>
      <c r="M513" s="16"/>
      <c r="N513" s="16"/>
      <c r="O513" s="16"/>
      <c r="P513" s="16"/>
      <c r="Q513" s="16"/>
      <c r="R513" s="16"/>
      <c r="S513" s="16"/>
      <c r="T513" s="16"/>
      <c r="U513" s="16"/>
      <c r="V513" s="16"/>
      <c r="W513" s="16"/>
      <c r="X513" s="16"/>
      <c r="Y513" s="16"/>
      <c r="Z513" s="16"/>
    </row>
    <row r="514">
      <c r="A514" s="16" t="str">
        <f>IFERROR(__xludf.DUMMYFUNCTION("""COMPUTED_VALUE"""),"Ring o' Debonair and Light")</f>
        <v>Ring o' Debonair and Light</v>
      </c>
      <c r="B514" s="16"/>
      <c r="C514" s="16"/>
      <c r="D514" s="16" t="str">
        <f>IFERROR(__xludf.DUMMYFUNCTION("""COMPUTED_VALUE"""),"Ring")</f>
        <v>Ring</v>
      </c>
      <c r="E514" s="16">
        <f>IFERROR(__xludf.DUMMYFUNCTION("""COMPUTED_VALUE"""),1.0)</f>
        <v>1</v>
      </c>
      <c r="F514" s="16" t="str">
        <f>IFERROR(__xludf.DUMMYFUNCTION("""COMPUTED_VALUE""")," ++Grants Immunity to Light. +5 to Charisma. +-Can only equip one +-Cannot be duplicated")</f>
        <v> ++Grants Immunity to Light. +5 to Charisma. +-Can only equip one +-Cannot be duplicated</v>
      </c>
      <c r="G514" s="16">
        <f>IFERROR(__xludf.DUMMYFUNCTION("""COMPUTED_VALUE"""),0.0)</f>
        <v>0</v>
      </c>
      <c r="H514" s="16"/>
      <c r="I514" s="16"/>
      <c r="J514" s="16"/>
      <c r="K514" s="16"/>
      <c r="L514" s="16"/>
      <c r="M514" s="16"/>
      <c r="N514" s="16"/>
      <c r="O514" s="16"/>
      <c r="P514" s="16"/>
      <c r="Q514" s="16"/>
      <c r="R514" s="16"/>
      <c r="S514" s="16"/>
      <c r="T514" s="16"/>
      <c r="U514" s="16"/>
      <c r="V514" s="16"/>
      <c r="W514" s="16"/>
      <c r="X514" s="16"/>
      <c r="Y514" s="16"/>
      <c r="Z514" s="16"/>
    </row>
    <row r="515">
      <c r="A515" s="16" t="str">
        <f>IFERROR(__xludf.DUMMYFUNCTION("""COMPUTED_VALUE"""),"Ring o' Spite and Blood")</f>
        <v>Ring o' Spite and Blood</v>
      </c>
      <c r="B515" s="16"/>
      <c r="C515" s="16"/>
      <c r="D515" s="16" t="str">
        <f>IFERROR(__xludf.DUMMYFUNCTION("""COMPUTED_VALUE"""),"Ring")</f>
        <v>Ring</v>
      </c>
      <c r="E515" s="16">
        <f>IFERROR(__xludf.DUMMYFUNCTION("""COMPUTED_VALUE"""),1.0)</f>
        <v>1</v>
      </c>
      <c r="F515" s="16" t="str">
        <f>IFERROR(__xludf.DUMMYFUNCTION("""COMPUTED_VALUE""")," ++Grants Immunity to Blood. ++X4 Blood damage, ++Deal X4 damage to any enemy who attempted to attack you. +-Can only equip one +-Cannot be duplicated")</f>
        <v> ++Grants Immunity to Blood. ++X4 Blood damage, ++Deal X4 damage to any enemy who attempted to attack you. +-Can only equip one +-Cannot be duplicated</v>
      </c>
      <c r="G515" s="16">
        <f>IFERROR(__xludf.DUMMYFUNCTION("""COMPUTED_VALUE"""),0.0)</f>
        <v>0</v>
      </c>
      <c r="H515" s="16"/>
      <c r="I515" s="16"/>
      <c r="J515" s="16"/>
      <c r="K515" s="16"/>
      <c r="L515" s="16"/>
      <c r="M515" s="16"/>
      <c r="N515" s="16"/>
      <c r="O515" s="16"/>
      <c r="P515" s="16"/>
      <c r="Q515" s="16"/>
      <c r="R515" s="16"/>
      <c r="S515" s="16"/>
      <c r="T515" s="16"/>
      <c r="U515" s="16"/>
      <c r="V515" s="16"/>
      <c r="W515" s="16"/>
      <c r="X515" s="16"/>
      <c r="Y515" s="16"/>
      <c r="Z515" s="16"/>
    </row>
    <row r="516">
      <c r="A516" s="16" t="str">
        <f>IFERROR(__xludf.DUMMYFUNCTION("""COMPUTED_VALUE"""),"Ring o' Neurodivergence and Spirit")</f>
        <v>Ring o' Neurodivergence and Spirit</v>
      </c>
      <c r="B516" s="16"/>
      <c r="C516" s="16"/>
      <c r="D516" s="16" t="str">
        <f>IFERROR(__xludf.DUMMYFUNCTION("""COMPUTED_VALUE"""),"Ring")</f>
        <v>Ring</v>
      </c>
      <c r="E516" s="16">
        <f>IFERROR(__xludf.DUMMYFUNCTION("""COMPUTED_VALUE"""),1.0)</f>
        <v>1</v>
      </c>
      <c r="F516" s="16" t="str">
        <f>IFERROR(__xludf.DUMMYFUNCTION("""COMPUTED_VALUE""")," ++Grants Immunity to Spirit. ++As an action you can Create a clone of yourself who has the same stats as yourself once per battle, 200 sp. +-Can only equip one +-Cannot be duplicated")</f>
        <v> ++Grants Immunity to Spirit. ++As an action you can Create a clone of yourself who has the same stats as yourself once per battle, 200 sp. +-Can only equip one +-Cannot be duplicated</v>
      </c>
      <c r="G516" s="16">
        <f>IFERROR(__xludf.DUMMYFUNCTION("""COMPUTED_VALUE"""),0.0)</f>
        <v>0</v>
      </c>
      <c r="H516" s="16"/>
      <c r="I516" s="16"/>
      <c r="J516" s="16"/>
      <c r="K516" s="16"/>
      <c r="L516" s="16"/>
      <c r="M516" s="16"/>
      <c r="N516" s="16"/>
      <c r="O516" s="16"/>
      <c r="P516" s="16"/>
      <c r="Q516" s="16"/>
      <c r="R516" s="16"/>
      <c r="S516" s="16"/>
      <c r="T516" s="16"/>
      <c r="U516" s="16"/>
      <c r="V516" s="16"/>
      <c r="W516" s="16"/>
      <c r="X516" s="16"/>
      <c r="Y516" s="16"/>
      <c r="Z516" s="16"/>
    </row>
    <row r="517">
      <c r="A517" s="16" t="str">
        <f>IFERROR(__xludf.DUMMYFUNCTION("""COMPUTED_VALUE"""),"Ring o' Impassivity and Storm")</f>
        <v>Ring o' Impassivity and Storm</v>
      </c>
      <c r="B517" s="16"/>
      <c r="C517" s="16"/>
      <c r="D517" s="16" t="str">
        <f>IFERROR(__xludf.DUMMYFUNCTION("""COMPUTED_VALUE"""),"Ring")</f>
        <v>Ring</v>
      </c>
      <c r="E517" s="16">
        <f>IFERROR(__xludf.DUMMYFUNCTION("""COMPUTED_VALUE"""),1.0)</f>
        <v>1</v>
      </c>
      <c r="F517" s="16" t="str">
        <f>IFERROR(__xludf.DUMMYFUNCTION("""COMPUTED_VALUE""")," ++Grants Immunity to Storm. ++20% chance to be unaffected by magic that affects you including your own. +-Can only equip one +-Cannot be duplicated")</f>
        <v> ++Grants Immunity to Storm. ++20% chance to be unaffected by magic that affects you including your own. +-Can only equip one +-Cannot be duplicated</v>
      </c>
      <c r="G517" s="16">
        <f>IFERROR(__xludf.DUMMYFUNCTION("""COMPUTED_VALUE"""),0.0)</f>
        <v>0</v>
      </c>
      <c r="H517" s="16"/>
      <c r="I517" s="16"/>
      <c r="J517" s="16"/>
      <c r="K517" s="16"/>
      <c r="L517" s="16"/>
      <c r="M517" s="16"/>
      <c r="N517" s="16"/>
      <c r="O517" s="16"/>
      <c r="P517" s="16"/>
      <c r="Q517" s="16"/>
      <c r="R517" s="16"/>
      <c r="S517" s="16"/>
      <c r="T517" s="16"/>
      <c r="U517" s="16"/>
      <c r="V517" s="16"/>
      <c r="W517" s="16"/>
      <c r="X517" s="16"/>
      <c r="Y517" s="16"/>
      <c r="Z517" s="16"/>
    </row>
    <row r="518">
      <c r="A518" s="16" t="str">
        <f>IFERROR(__xludf.DUMMYFUNCTION("""COMPUTED_VALUE"""),"Ring o' Rigidity and Stasis")</f>
        <v>Ring o' Rigidity and Stasis</v>
      </c>
      <c r="B518" s="16"/>
      <c r="C518" s="16"/>
      <c r="D518" s="16" t="str">
        <f>IFERROR(__xludf.DUMMYFUNCTION("""COMPUTED_VALUE"""),"Ring")</f>
        <v>Ring</v>
      </c>
      <c r="E518" s="16">
        <f>IFERROR(__xludf.DUMMYFUNCTION("""COMPUTED_VALUE"""),1.0)</f>
        <v>1</v>
      </c>
      <c r="F518" s="16" t="str">
        <f>IFERROR(__xludf.DUMMYFUNCTION("""COMPUTED_VALUE""")," ++You take half Damage from both Chaos and Light. ++Grants a 30% chance to be unaffected by status affects. +-Can only equip one +-Cannot be duplicated")</f>
        <v> ++You take half Damage from both Chaos and Light. ++Grants a 30% chance to be unaffected by status affects. +-Can only equip one +-Cannot be duplicated</v>
      </c>
      <c r="G518" s="16">
        <f>IFERROR(__xludf.DUMMYFUNCTION("""COMPUTED_VALUE"""),0.0)</f>
        <v>0</v>
      </c>
      <c r="H518" s="16"/>
      <c r="I518" s="16"/>
      <c r="J518" s="16"/>
      <c r="K518" s="16"/>
      <c r="L518" s="16"/>
      <c r="M518" s="16"/>
      <c r="N518" s="16"/>
      <c r="O518" s="16"/>
      <c r="P518" s="16"/>
      <c r="Q518" s="16"/>
      <c r="R518" s="16"/>
      <c r="S518" s="16"/>
      <c r="T518" s="16"/>
      <c r="U518" s="16"/>
      <c r="V518" s="16"/>
      <c r="W518" s="16"/>
      <c r="X518" s="16"/>
      <c r="Y518" s="16"/>
      <c r="Z518" s="16"/>
    </row>
    <row r="519">
      <c r="A519" s="16" t="str">
        <f>IFERROR(__xludf.DUMMYFUNCTION("""COMPUTED_VALUE"""),"Ring o' Loyalty and Celestial")</f>
        <v>Ring o' Loyalty and Celestial</v>
      </c>
      <c r="B519" s="16"/>
      <c r="C519" s="16"/>
      <c r="D519" s="16" t="str">
        <f>IFERROR(__xludf.DUMMYFUNCTION("""COMPUTED_VALUE"""),"Ring")</f>
        <v>Ring</v>
      </c>
      <c r="E519" s="16">
        <f>IFERROR(__xludf.DUMMYFUNCTION("""COMPUTED_VALUE"""),1.0)</f>
        <v>1</v>
      </c>
      <c r="F519" s="16" t="str">
        <f>IFERROR(__xludf.DUMMYFUNCTION("""COMPUTED_VALUE""")," ++Grants X6 Celestial damage. Take half damage from celestial. +-Can only equip one +-Cannot be duplicated")</f>
        <v> ++Grants X6 Celestial damage. Take half damage from celestial. +-Can only equip one +-Cannot be duplicated</v>
      </c>
      <c r="G519" s="16">
        <f>IFERROR(__xludf.DUMMYFUNCTION("""COMPUTED_VALUE"""),0.0)</f>
        <v>0</v>
      </c>
      <c r="H519" s="16"/>
      <c r="I519" s="16"/>
      <c r="J519" s="16"/>
      <c r="K519" s="16"/>
      <c r="L519" s="16"/>
      <c r="M519" s="16"/>
      <c r="N519" s="16"/>
      <c r="O519" s="16"/>
      <c r="P519" s="16"/>
      <c r="Q519" s="16"/>
      <c r="R519" s="16"/>
      <c r="S519" s="16"/>
      <c r="T519" s="16"/>
      <c r="U519" s="16"/>
      <c r="V519" s="16"/>
      <c r="W519" s="16"/>
      <c r="X519" s="16"/>
      <c r="Y519" s="16"/>
      <c r="Z519" s="16"/>
    </row>
    <row r="520">
      <c r="A520" s="16" t="str">
        <f>IFERROR(__xludf.DUMMYFUNCTION("""COMPUTED_VALUE"""),"Ring o' Arrogance and Twilight")</f>
        <v>Ring o' Arrogance and Twilight</v>
      </c>
      <c r="B520" s="16"/>
      <c r="C520" s="16"/>
      <c r="D520" s="16" t="str">
        <f>IFERROR(__xludf.DUMMYFUNCTION("""COMPUTED_VALUE"""),"Ring")</f>
        <v>Ring</v>
      </c>
      <c r="E520" s="16">
        <f>IFERROR(__xludf.DUMMYFUNCTION("""COMPUTED_VALUE"""),1.0)</f>
        <v>1</v>
      </c>
      <c r="F520" s="16" t="str">
        <f>IFERROR(__xludf.DUMMYFUNCTION("""COMPUTED_VALUE""")," ++You take Half Damage from both Light and Dark. Grants immunity to Instant Death. +-Can only equip one +-Cannot be duplicated")</f>
        <v> ++You take Half Damage from both Light and Dark. Grants immunity to Instant Death. +-Can only equip one +-Cannot be duplicated</v>
      </c>
      <c r="G520" s="16">
        <f>IFERROR(__xludf.DUMMYFUNCTION("""COMPUTED_VALUE"""),0.0)</f>
        <v>0</v>
      </c>
      <c r="H520" s="16"/>
      <c r="I520" s="16"/>
      <c r="J520" s="16"/>
      <c r="K520" s="16"/>
      <c r="L520" s="16"/>
      <c r="M520" s="16"/>
      <c r="N520" s="16"/>
      <c r="O520" s="16"/>
      <c r="P520" s="16"/>
      <c r="Q520" s="16"/>
      <c r="R520" s="16"/>
      <c r="S520" s="16"/>
      <c r="T520" s="16"/>
      <c r="U520" s="16"/>
      <c r="V520" s="16"/>
      <c r="W520" s="16"/>
      <c r="X520" s="16"/>
      <c r="Y520" s="16"/>
      <c r="Z520" s="16"/>
    </row>
    <row r="521">
      <c r="A521" s="16" t="str">
        <f>IFERROR(__xludf.DUMMYFUNCTION("""COMPUTED_VALUE"""),"Ring o' Grace and Astral")</f>
        <v>Ring o' Grace and Astral</v>
      </c>
      <c r="B521" s="16"/>
      <c r="C521" s="16"/>
      <c r="D521" s="16" t="str">
        <f>IFERROR(__xludf.DUMMYFUNCTION("""COMPUTED_VALUE"""),"Ring")</f>
        <v>Ring</v>
      </c>
      <c r="E521" s="16">
        <f>IFERROR(__xludf.DUMMYFUNCTION("""COMPUTED_VALUE"""),1.0)</f>
        <v>1</v>
      </c>
      <c r="F521" s="16" t="str">
        <f>IFERROR(__xludf.DUMMYFUNCTION("""COMPUTED_VALUE""")," ++Grants Immunity to Astral. ++You roll twice when rolling to evade and take the higher result. +-Can only equip one +-Cannot be duplicated")</f>
        <v> ++Grants Immunity to Astral. ++You roll twice when rolling to evade and take the higher result. +-Can only equip one +-Cannot be duplicated</v>
      </c>
      <c r="G521" s="16">
        <f>IFERROR(__xludf.DUMMYFUNCTION("""COMPUTED_VALUE"""),0.0)</f>
        <v>0</v>
      </c>
      <c r="H521" s="16"/>
      <c r="I521" s="16"/>
      <c r="J521" s="16"/>
      <c r="K521" s="16"/>
      <c r="L521" s="16"/>
      <c r="M521" s="16"/>
      <c r="N521" s="16"/>
      <c r="O521" s="16"/>
      <c r="P521" s="16"/>
      <c r="Q521" s="16"/>
      <c r="R521" s="16"/>
      <c r="S521" s="16"/>
      <c r="T521" s="16"/>
      <c r="U521" s="16"/>
      <c r="V521" s="16"/>
      <c r="W521" s="16"/>
      <c r="X521" s="16"/>
      <c r="Y521" s="16"/>
      <c r="Z521" s="16"/>
    </row>
    <row r="522">
      <c r="A522" s="16" t="str">
        <f>IFERROR(__xludf.DUMMYFUNCTION("""COMPUTED_VALUE"""),"Ring o' Villainy and Voodoo")</f>
        <v>Ring o' Villainy and Voodoo</v>
      </c>
      <c r="B522" s="16"/>
      <c r="C522" s="16"/>
      <c r="D522" s="16" t="str">
        <f>IFERROR(__xludf.DUMMYFUNCTION("""COMPUTED_VALUE"""),"Ring")</f>
        <v>Ring</v>
      </c>
      <c r="E522" s="16">
        <f>IFERROR(__xludf.DUMMYFUNCTION("""COMPUTED_VALUE"""),1.0)</f>
        <v>1</v>
      </c>
      <c r="F522" s="16" t="str">
        <f>IFERROR(__xludf.DUMMYFUNCTION("""COMPUTED_VALUE""")," ++Grants Immunity to Voodoo. ++You automatically succeed at using confiscate and get a ++2 to any roll related to committing a crime. X4 Voodoo damage. +-Can only equip one +-Cannot be duplicated. +-Cannot become a Spira guard if you wear this.")</f>
        <v> ++Grants Immunity to Voodoo. ++You automatically succeed at using confiscate and get a ++2 to any roll related to committing a crime. X4 Voodoo damage. +-Can only equip one +-Cannot be duplicated. +-Cannot become a Spira guard if you wear this.</v>
      </c>
      <c r="G522" s="16">
        <f>IFERROR(__xludf.DUMMYFUNCTION("""COMPUTED_VALUE"""),0.0)</f>
        <v>0</v>
      </c>
      <c r="H522" s="16"/>
      <c r="I522" s="16"/>
      <c r="J522" s="16"/>
      <c r="K522" s="16"/>
      <c r="L522" s="16"/>
      <c r="M522" s="16"/>
      <c r="N522" s="16"/>
      <c r="O522" s="16"/>
      <c r="P522" s="16"/>
      <c r="Q522" s="16"/>
      <c r="R522" s="16"/>
      <c r="S522" s="16"/>
      <c r="T522" s="16"/>
      <c r="U522" s="16"/>
      <c r="V522" s="16"/>
      <c r="W522" s="16"/>
      <c r="X522" s="16"/>
      <c r="Y522" s="16"/>
      <c r="Z522" s="16"/>
    </row>
    <row r="523">
      <c r="A523" s="16" t="str">
        <f>IFERROR(__xludf.DUMMYFUNCTION("""COMPUTED_VALUE"""),"The Bow of The Verdant Forest")</f>
        <v>The Bow of The Verdant Forest</v>
      </c>
      <c r="B523" s="16" t="str">
        <f>IFERROR(__xludf.DUMMYFUNCTION("""COMPUTED_VALUE"""),"Quest Item")</f>
        <v>Quest Item</v>
      </c>
      <c r="C523" s="16"/>
      <c r="D523" s="16" t="str">
        <f>IFERROR(__xludf.DUMMYFUNCTION("""COMPUTED_VALUE"""),"Hand")</f>
        <v>Hand</v>
      </c>
      <c r="E523" s="16">
        <f>IFERROR(__xludf.DUMMYFUNCTION("""COMPUTED_VALUE"""),200.0)</f>
        <v>200</v>
      </c>
      <c r="F523" s="16" t="str">
        <f>IFERROR(__xludf.DUMMYFUNCTION("""COMPUTED_VALUE"""),"DMG: +20000, Chaos DMG: +20000, Nature DMG: +20000, Celestial DMG: +5000 (Forest Paladin Set) ++X2 Nature damage. ++Verdant Shot: Fire a shot dealing your total defense as Nature damage 1000sp. +-Archer, Hunter, and Paladin of The Forest Class only.")</f>
        <v>DMG: +20000, Chaos DMG: +20000, Nature DMG: +20000, Celestial DMG: +5000 (Forest Paladin Set) ++X2 Nature damage. ++Verdant Shot: Fire a shot dealing your total defense as Nature damage 1000sp. +-Archer, Hunter, and Paladin of The Forest Class only.</v>
      </c>
      <c r="G523" s="16">
        <f>IFERROR(__xludf.DUMMYFUNCTION("""COMPUTED_VALUE"""),8.385E7)</f>
        <v>83850000</v>
      </c>
      <c r="H523" s="16"/>
      <c r="I523" s="16"/>
      <c r="J523" s="16"/>
      <c r="K523" s="16"/>
      <c r="L523" s="16"/>
      <c r="M523" s="16"/>
      <c r="N523" s="16"/>
      <c r="O523" s="16"/>
      <c r="P523" s="16"/>
      <c r="Q523" s="16"/>
      <c r="R523" s="16"/>
      <c r="S523" s="16"/>
      <c r="T523" s="16"/>
      <c r="U523" s="16"/>
      <c r="V523" s="16"/>
      <c r="W523" s="16"/>
      <c r="X523" s="16"/>
      <c r="Y523" s="16"/>
      <c r="Z523" s="16"/>
    </row>
    <row r="524">
      <c r="A524" s="16" t="str">
        <f>IFERROR(__xludf.DUMMYFUNCTION("""COMPUTED_VALUE"""),"Enchanted Wooden Buckler of The Verdant Forest")</f>
        <v>Enchanted Wooden Buckler of The Verdant Forest</v>
      </c>
      <c r="B524" s="16" t="str">
        <f>IFERROR(__xludf.DUMMYFUNCTION("""COMPUTED_VALUE"""),"Quest Item")</f>
        <v>Quest Item</v>
      </c>
      <c r="C524" s="16"/>
      <c r="D524" s="16" t="str">
        <f>IFERROR(__xludf.DUMMYFUNCTION("""COMPUTED_VALUE"""),"Hand")</f>
        <v>Hand</v>
      </c>
      <c r="E524" s="16">
        <f>IFERROR(__xludf.DUMMYFUNCTION("""COMPUTED_VALUE"""),200.0)</f>
        <v>200</v>
      </c>
      <c r="F524" s="16" t="str">
        <f>IFERROR(__xludf.DUMMYFUNCTION("""COMPUTED_VALUE"""),"DEF: +50000, Water DEF: +25000, Order DEF: +25000, Celestial DEF: +25000 (Forest Paladin Set) ++Counted as a weapon for the purpose of the parry ability. ++Nature's Law: When Fighting in a Natural Environment your total defense is doubled. +-Archer, Hunte"&amp;"r, and Paladin of The Forest Class only.")</f>
        <v>DEF: +50000, Water DEF: +25000, Order DEF: +25000, Celestial DEF: +25000 (Forest Paladin Set) ++Counted as a weapon for the purpose of the parry ability. ++Nature's Law: When Fighting in a Natural Environment your total defense is doubled. +-Archer, Hunter, and Paladin of The Forest Class only.</v>
      </c>
      <c r="G524" s="16">
        <f>IFERROR(__xludf.DUMMYFUNCTION("""COMPUTED_VALUE"""),3.1125E8)</f>
        <v>311250000</v>
      </c>
      <c r="H524" s="16"/>
      <c r="I524" s="16"/>
      <c r="J524" s="16"/>
      <c r="K524" s="16"/>
      <c r="L524" s="16"/>
      <c r="M524" s="16"/>
      <c r="N524" s="16"/>
      <c r="O524" s="16"/>
      <c r="P524" s="16"/>
      <c r="Q524" s="16"/>
      <c r="R524" s="16"/>
      <c r="S524" s="16"/>
      <c r="T524" s="16"/>
      <c r="U524" s="16"/>
      <c r="V524" s="16"/>
      <c r="W524" s="16"/>
      <c r="X524" s="16"/>
      <c r="Y524" s="16"/>
      <c r="Z524" s="16"/>
    </row>
    <row r="525">
      <c r="A525" s="16" t="str">
        <f>IFERROR(__xludf.DUMMYFUNCTION("""COMPUTED_VALUE"""),"Cowl of the Eagle's Sight")</f>
        <v>Cowl of the Eagle's Sight</v>
      </c>
      <c r="B525" s="16" t="str">
        <f>IFERROR(__xludf.DUMMYFUNCTION("""COMPUTED_VALUE"""),"Quest Item")</f>
        <v>Quest Item</v>
      </c>
      <c r="C525" s="16"/>
      <c r="D525" s="16" t="str">
        <f>IFERROR(__xludf.DUMMYFUNCTION("""COMPUTED_VALUE"""),"Head")</f>
        <v>Head</v>
      </c>
      <c r="E525" s="16">
        <f>IFERROR(__xludf.DUMMYFUNCTION("""COMPUTED_VALUE"""),200.0)</f>
        <v>200</v>
      </c>
      <c r="F525" s="16" t="str">
        <f>IFERROR(__xludf.DUMMYFUNCTION("""COMPUTED_VALUE"""),"DEF: +20000, Water DEF: +10000, Order DEF: +10000, Celestial DEF: +10000 (Forest Paladin Set) ++Blessing of The Greens I: X2 Nature damage. ++Eagle Eyed: When in a forest you gain Truesight for the first round of battle. +-Archer, Hunter, and Paladin of T"&amp;"he Forest Class only.")</f>
        <v>DEF: +20000, Water DEF: +10000, Order DEF: +10000, Celestial DEF: +10000 (Forest Paladin Set) ++Blessing of The Greens I: X2 Nature damage. ++Eagle Eyed: When in a forest you gain Truesight for the first round of battle. +-Archer, Hunter, and Paladin of The Forest Class only.</v>
      </c>
      <c r="G525" s="16">
        <f>IFERROR(__xludf.DUMMYFUNCTION("""COMPUTED_VALUE"""),4.95E7)</f>
        <v>49500000</v>
      </c>
      <c r="H525" s="16"/>
      <c r="I525" s="16"/>
      <c r="J525" s="16"/>
      <c r="K525" s="16"/>
      <c r="L525" s="16"/>
      <c r="M525" s="16"/>
      <c r="N525" s="16"/>
      <c r="O525" s="16"/>
      <c r="P525" s="16"/>
      <c r="Q525" s="16"/>
      <c r="R525" s="16"/>
      <c r="S525" s="16"/>
      <c r="T525" s="16"/>
      <c r="U525" s="16"/>
      <c r="V525" s="16"/>
      <c r="W525" s="16"/>
      <c r="X525" s="16"/>
      <c r="Y525" s="16"/>
      <c r="Z525" s="16"/>
    </row>
    <row r="526">
      <c r="A526" s="16" t="str">
        <f>IFERROR(__xludf.DUMMYFUNCTION("""COMPUTED_VALUE"""),"Ailettes of the Forest's Splendor")</f>
        <v>Ailettes of the Forest's Splendor</v>
      </c>
      <c r="B526" s="16" t="str">
        <f>IFERROR(__xludf.DUMMYFUNCTION("""COMPUTED_VALUE"""),"Quest Item")</f>
        <v>Quest Item</v>
      </c>
      <c r="C526" s="16"/>
      <c r="D526" s="16" t="str">
        <f>IFERROR(__xludf.DUMMYFUNCTION("""COMPUTED_VALUE"""),"Shoulders")</f>
        <v>Shoulders</v>
      </c>
      <c r="E526" s="16">
        <f>IFERROR(__xludf.DUMMYFUNCTION("""COMPUTED_VALUE"""),200.0)</f>
        <v>200</v>
      </c>
      <c r="F526" s="16" t="str">
        <f>IFERROR(__xludf.DUMMYFUNCTION("""COMPUTED_VALUE"""),"DEF: +20000, Water DEF: +10000, Order DEF: +10000, Celestial DEF: +10000 (Forest Paladin Set) ++Blessing of The Quiver I: X2 Bow damage. +-Archer, Hunter, and Paladin of The Forest Class only.")</f>
        <v>DEF: +20000, Water DEF: +10000, Order DEF: +10000, Celestial DEF: +10000 (Forest Paladin Set) ++Blessing of The Quiver I: X2 Bow damage. +-Archer, Hunter, and Paladin of The Forest Class only.</v>
      </c>
      <c r="G526" s="16">
        <f>IFERROR(__xludf.DUMMYFUNCTION("""COMPUTED_VALUE"""),4.95E7)</f>
        <v>49500000</v>
      </c>
      <c r="H526" s="16"/>
      <c r="I526" s="16"/>
      <c r="J526" s="16"/>
      <c r="K526" s="16"/>
      <c r="L526" s="16"/>
      <c r="M526" s="16"/>
      <c r="N526" s="16"/>
      <c r="O526" s="16"/>
      <c r="P526" s="16"/>
      <c r="Q526" s="16"/>
      <c r="R526" s="16"/>
      <c r="S526" s="16"/>
      <c r="T526" s="16"/>
      <c r="U526" s="16"/>
      <c r="V526" s="16"/>
      <c r="W526" s="16"/>
      <c r="X526" s="16"/>
      <c r="Y526" s="16"/>
      <c r="Z526" s="16"/>
    </row>
    <row r="527">
      <c r="A527" s="16" t="str">
        <f>IFERROR(__xludf.DUMMYFUNCTION("""COMPUTED_VALUE"""),"Bracer of Trueshot")</f>
        <v>Bracer of Trueshot</v>
      </c>
      <c r="B527" s="16" t="str">
        <f>IFERROR(__xludf.DUMMYFUNCTION("""COMPUTED_VALUE"""),"Quest Item")</f>
        <v>Quest Item</v>
      </c>
      <c r="C527" s="16"/>
      <c r="D527" s="16" t="str">
        <f>IFERROR(__xludf.DUMMYFUNCTION("""COMPUTED_VALUE"""),"Arms")</f>
        <v>Arms</v>
      </c>
      <c r="E527" s="16">
        <f>IFERROR(__xludf.DUMMYFUNCTION("""COMPUTED_VALUE"""),200.0)</f>
        <v>200</v>
      </c>
      <c r="F527" s="16" t="str">
        <f>IFERROR(__xludf.DUMMYFUNCTION("""COMPUTED_VALUE"""),"DEF: +20000, Water DEF: +10000, Order DEF: +10000, Celestial DEF: +10000 (Forest Paladin Set) ++Blessing of The Forest's Quiver: X2 Nature and Bow damage. ++Deadly Aim: Upon killing an enemy with a bow you double your next attack roll with a bow. +-Archer"&amp;", Hunter, and Paladin of The Forest Class only.")</f>
        <v>DEF: +20000, Water DEF: +10000, Order DEF: +10000, Celestial DEF: +10000 (Forest Paladin Set) ++Blessing of The Forest's Quiver: X2 Nature and Bow damage. ++Deadly Aim: Upon killing an enemy with a bow you double your next attack roll with a bow. +-Archer, Hunter, and Paladin of The Forest Class only.</v>
      </c>
      <c r="G527" s="16">
        <f>IFERROR(__xludf.DUMMYFUNCTION("""COMPUTED_VALUE"""),4.95E7)</f>
        <v>49500000</v>
      </c>
      <c r="H527" s="16"/>
      <c r="I527" s="16"/>
      <c r="J527" s="16"/>
      <c r="K527" s="16"/>
      <c r="L527" s="16"/>
      <c r="M527" s="16"/>
      <c r="N527" s="16"/>
      <c r="O527" s="16"/>
      <c r="P527" s="16"/>
      <c r="Q527" s="16"/>
      <c r="R527" s="16"/>
      <c r="S527" s="16"/>
      <c r="T527" s="16"/>
      <c r="U527" s="16"/>
      <c r="V527" s="16"/>
      <c r="W527" s="16"/>
      <c r="X527" s="16"/>
      <c r="Y527" s="16"/>
      <c r="Z527" s="16"/>
    </row>
    <row r="528">
      <c r="A528" s="16" t="str">
        <f>IFERROR(__xludf.DUMMYFUNCTION("""COMPUTED_VALUE"""),"Leather Cuirass of Barkskin")</f>
        <v>Leather Cuirass of Barkskin</v>
      </c>
      <c r="B528" s="16" t="str">
        <f>IFERROR(__xludf.DUMMYFUNCTION("""COMPUTED_VALUE"""),"Quest Item")</f>
        <v>Quest Item</v>
      </c>
      <c r="C528" s="16"/>
      <c r="D528" s="16" t="str">
        <f>IFERROR(__xludf.DUMMYFUNCTION("""COMPUTED_VALUE"""),"Torso")</f>
        <v>Torso</v>
      </c>
      <c r="E528" s="16">
        <f>IFERROR(__xludf.DUMMYFUNCTION("""COMPUTED_VALUE"""),200.0)</f>
        <v>200</v>
      </c>
      <c r="F528" s="16" t="str">
        <f>IFERROR(__xludf.DUMMYFUNCTION("""COMPUTED_VALUE"""),"DEF: +30000, Water DEF: +15000, Order DEF: +15000, Celestial DEF: +15000 (Forest Paladin Set) ++Blessing of The Greens I: X2 Nature damage. ++Barkskin: X2 defense for self. 50 sp. +-Archer, Hunter, and Paladin of The Forest Class only.")</f>
        <v>DEF: +30000, Water DEF: +15000, Order DEF: +15000, Celestial DEF: +15000 (Forest Paladin Set) ++Blessing of The Greens I: X2 Nature damage. ++Barkskin: X2 defense for self. 50 sp. +-Archer, Hunter, and Paladin of The Forest Class only.</v>
      </c>
      <c r="G528" s="16">
        <f>IFERROR(__xludf.DUMMYFUNCTION("""COMPUTED_VALUE"""),1.1175E8)</f>
        <v>111750000</v>
      </c>
      <c r="H528" s="16"/>
      <c r="I528" s="16"/>
      <c r="J528" s="16"/>
      <c r="K528" s="16"/>
      <c r="L528" s="16"/>
      <c r="M528" s="16"/>
      <c r="N528" s="16"/>
      <c r="O528" s="16"/>
      <c r="P528" s="16"/>
      <c r="Q528" s="16"/>
      <c r="R528" s="16"/>
      <c r="S528" s="16"/>
      <c r="T528" s="16"/>
      <c r="U528" s="16"/>
      <c r="V528" s="16"/>
      <c r="W528" s="16"/>
      <c r="X528" s="16"/>
      <c r="Y528" s="16"/>
      <c r="Z528" s="16"/>
    </row>
    <row r="529">
      <c r="A529" s="16" t="str">
        <f>IFERROR(__xludf.DUMMYFUNCTION("""COMPUTED_VALUE"""),"Greaves of The Verdant Forest")</f>
        <v>Greaves of The Verdant Forest</v>
      </c>
      <c r="B529" s="16" t="str">
        <f>IFERROR(__xludf.DUMMYFUNCTION("""COMPUTED_VALUE"""),"Quest Item")</f>
        <v>Quest Item</v>
      </c>
      <c r="C529" s="16"/>
      <c r="D529" s="16" t="str">
        <f>IFERROR(__xludf.DUMMYFUNCTION("""COMPUTED_VALUE"""),"Legs")</f>
        <v>Legs</v>
      </c>
      <c r="E529" s="16">
        <f>IFERROR(__xludf.DUMMYFUNCTION("""COMPUTED_VALUE"""),200.0)</f>
        <v>200</v>
      </c>
      <c r="F529" s="16" t="str">
        <f>IFERROR(__xludf.DUMMYFUNCTION("""COMPUTED_VALUE"""),"DEF: +20000, Water DEF: +10000, Order DEF: +10000, Celestial DEF: +10000 (Forest Paladin Set) ++Blessing of The Quiver I: X2 Bow damage. +-Archer, Hunter, and Paladin of The Forest Class only.")</f>
        <v>DEF: +20000, Water DEF: +10000, Order DEF: +10000, Celestial DEF: +10000 (Forest Paladin Set) ++Blessing of The Quiver I: X2 Bow damage. +-Archer, Hunter, and Paladin of The Forest Class only.</v>
      </c>
      <c r="G529" s="16">
        <f>IFERROR(__xludf.DUMMYFUNCTION("""COMPUTED_VALUE"""),4.95E7)</f>
        <v>49500000</v>
      </c>
      <c r="H529" s="16"/>
      <c r="I529" s="16"/>
      <c r="J529" s="16"/>
      <c r="K529" s="16"/>
      <c r="L529" s="16"/>
      <c r="M529" s="16"/>
      <c r="N529" s="16"/>
      <c r="O529" s="16"/>
      <c r="P529" s="16"/>
      <c r="Q529" s="16"/>
      <c r="R529" s="16"/>
      <c r="S529" s="16"/>
      <c r="T529" s="16"/>
      <c r="U529" s="16"/>
      <c r="V529" s="16"/>
      <c r="W529" s="16"/>
      <c r="X529" s="16"/>
      <c r="Y529" s="16"/>
      <c r="Z529" s="16"/>
    </row>
    <row r="530">
      <c r="A530" s="16" t="str">
        <f>IFERROR(__xludf.DUMMYFUNCTION("""COMPUTED_VALUE"""),"Boots of The Verdant Forest")</f>
        <v>Boots of The Verdant Forest</v>
      </c>
      <c r="B530" s="16" t="str">
        <f>IFERROR(__xludf.DUMMYFUNCTION("""COMPUTED_VALUE"""),"Quest Item")</f>
        <v>Quest Item</v>
      </c>
      <c r="C530" s="16"/>
      <c r="D530" s="16" t="str">
        <f>IFERROR(__xludf.DUMMYFUNCTION("""COMPUTED_VALUE"""),"Feet")</f>
        <v>Feet</v>
      </c>
      <c r="E530" s="16">
        <f>IFERROR(__xludf.DUMMYFUNCTION("""COMPUTED_VALUE"""),200.0)</f>
        <v>200</v>
      </c>
      <c r="F530" s="16" t="str">
        <f>IFERROR(__xludf.DUMMYFUNCTION("""COMPUTED_VALUE"""),"DEF: +20000, Water DEF: +10000, Order DEF: +10000, Celestial DEF: +10000 (Forest Paladin Set) Blessing of The Greens I: X2 Nature damage. Deal X4 Nature damage for the first bow attack you make under the effect of haste +-Archer, Hunter, and Paladin of Th"&amp;"e Forest Class only.")</f>
        <v>DEF: +20000, Water DEF: +10000, Order DEF: +10000, Celestial DEF: +10000 (Forest Paladin Set) Blessing of The Greens I: X2 Nature damage. Deal X4 Nature damage for the first bow attack you make under the effect of haste +-Archer, Hunter, and Paladin of The Forest Class only.</v>
      </c>
      <c r="G530" s="16">
        <f>IFERROR(__xludf.DUMMYFUNCTION("""COMPUTED_VALUE"""),4.95E7)</f>
        <v>49500000</v>
      </c>
      <c r="H530" s="16"/>
      <c r="I530" s="16"/>
      <c r="J530" s="16"/>
      <c r="K530" s="16"/>
      <c r="L530" s="16"/>
      <c r="M530" s="16"/>
      <c r="N530" s="16"/>
      <c r="O530" s="16"/>
      <c r="P530" s="16"/>
      <c r="Q530" s="16"/>
      <c r="R530" s="16"/>
      <c r="S530" s="16"/>
      <c r="T530" s="16"/>
      <c r="U530" s="16"/>
      <c r="V530" s="16"/>
      <c r="W530" s="16"/>
      <c r="X530" s="16"/>
      <c r="Y530" s="16"/>
      <c r="Z530" s="16"/>
    </row>
    <row r="531">
      <c r="A531" s="16" t="str">
        <f>IFERROR(__xludf.DUMMYFUNCTION("""COMPUTED_VALUE"""),"Emerald Ring of The Forest")</f>
        <v>Emerald Ring of The Forest</v>
      </c>
      <c r="B531" s="16" t="str">
        <f>IFERROR(__xludf.DUMMYFUNCTION("""COMPUTED_VALUE"""),"Quest Item")</f>
        <v>Quest Item</v>
      </c>
      <c r="C531" s="16"/>
      <c r="D531" s="16" t="str">
        <f>IFERROR(__xludf.DUMMYFUNCTION("""COMPUTED_VALUE"""),"Ring")</f>
        <v>Ring</v>
      </c>
      <c r="E531" s="16">
        <f>IFERROR(__xludf.DUMMYFUNCTION("""COMPUTED_VALUE"""),1.0)</f>
        <v>1</v>
      </c>
      <c r="F531" s="16" t="str">
        <f>IFERROR(__xludf.DUMMYFUNCTION("""COMPUTED_VALUE""")," (Forest Paladin Set) ++Regrowth: Heals target by 5000 and grants them Invigorated 5, 75sp. ++X4 outgoing healing +-Archer, Hunter, and Paladin of The Forest Class only.")</f>
        <v> (Forest Paladin Set) ++Regrowth: Heals target by 5000 and grants them Invigorated 5, 75sp. ++X4 outgoing healing +-Archer, Hunter, and Paladin of The Forest Class only.</v>
      </c>
      <c r="G531" s="16">
        <f>IFERROR(__xludf.DUMMYFUNCTION("""COMPUTED_VALUE"""),0.0)</f>
        <v>0</v>
      </c>
      <c r="H531" s="16"/>
      <c r="I531" s="16"/>
      <c r="J531" s="16"/>
      <c r="K531" s="16"/>
      <c r="L531" s="16"/>
      <c r="M531" s="16"/>
      <c r="N531" s="16"/>
      <c r="O531" s="16"/>
      <c r="P531" s="16"/>
      <c r="Q531" s="16"/>
      <c r="R531" s="16"/>
      <c r="S531" s="16"/>
      <c r="T531" s="16"/>
      <c r="U531" s="16"/>
      <c r="V531" s="16"/>
      <c r="W531" s="16"/>
      <c r="X531" s="16"/>
      <c r="Y531" s="16"/>
      <c r="Z531" s="16"/>
    </row>
    <row r="532">
      <c r="A532" s="16" t="str">
        <f>IFERROR(__xludf.DUMMYFUNCTION("""COMPUTED_VALUE"""),"Emerald Amulet of The Forest")</f>
        <v>Emerald Amulet of The Forest</v>
      </c>
      <c r="B532" s="16" t="str">
        <f>IFERROR(__xludf.DUMMYFUNCTION("""COMPUTED_VALUE"""),"Quest Item")</f>
        <v>Quest Item</v>
      </c>
      <c r="C532" s="16"/>
      <c r="D532" s="16" t="str">
        <f>IFERROR(__xludf.DUMMYFUNCTION("""COMPUTED_VALUE"""),"Neck")</f>
        <v>Neck</v>
      </c>
      <c r="E532" s="16">
        <f>IFERROR(__xludf.DUMMYFUNCTION("""COMPUTED_VALUE"""),1.0)</f>
        <v>1</v>
      </c>
      <c r="F532" s="16" t="str">
        <f>IFERROR(__xludf.DUMMYFUNCTION("""COMPUTED_VALUE""")," (Forest Paladin Set) ++Artemis' Godly Grace: Grants all allies Invigorated 5, Haste 3, Truesight 3, and 4X defense and Nature Damage, can only be casted once per battle, 500 sp +-Archer, Hunter, and Paladin of The Forest Class only.")</f>
        <v> (Forest Paladin Set) ++Artemis' Godly Grace: Grants all allies Invigorated 5, Haste 3, Truesight 3, and 4X defense and Nature Damage, can only be casted once per battle, 500 sp +-Archer, Hunter, and Paladin of The Forest Class only.</v>
      </c>
      <c r="G532" s="16">
        <f>IFERROR(__xludf.DUMMYFUNCTION("""COMPUTED_VALUE"""),0.0)</f>
        <v>0</v>
      </c>
      <c r="H532" s="16"/>
      <c r="I532" s="16"/>
      <c r="J532" s="16"/>
      <c r="K532" s="16"/>
      <c r="L532" s="16"/>
      <c r="M532" s="16"/>
      <c r="N532" s="16"/>
      <c r="O532" s="16"/>
      <c r="P532" s="16"/>
      <c r="Q532" s="16"/>
      <c r="R532" s="16"/>
      <c r="S532" s="16"/>
      <c r="T532" s="16"/>
      <c r="U532" s="16"/>
      <c r="V532" s="16"/>
      <c r="W532" s="16"/>
      <c r="X532" s="16"/>
      <c r="Y532" s="16"/>
      <c r="Z532" s="16"/>
    </row>
    <row r="533">
      <c r="A533" s="16" t="str">
        <f>IFERROR(__xludf.DUMMYFUNCTION("""COMPUTED_VALUE"""),"Artemis' Crown of The Forest")</f>
        <v>Artemis' Crown of The Forest</v>
      </c>
      <c r="B533" s="16" t="str">
        <f>IFERROR(__xludf.DUMMYFUNCTION("""COMPUTED_VALUE"""),"Mob Exclusive. The crown that was gifted to Aranyani upon her ascension to godhood")</f>
        <v>Mob Exclusive. The crown that was gifted to Aranyani upon her ascension to godhood</v>
      </c>
      <c r="C533" s="16"/>
      <c r="D533" s="16" t="str">
        <f>IFERROR(__xludf.DUMMYFUNCTION("""COMPUTED_VALUE"""),"Head")</f>
        <v>Head</v>
      </c>
      <c r="E533" s="16">
        <f>IFERROR(__xludf.DUMMYFUNCTION("""COMPUTED_VALUE"""),2000.0)</f>
        <v>2000</v>
      </c>
      <c r="F533" s="16" t="str">
        <f>IFERROR(__xludf.DUMMYFUNCTION("""COMPUTED_VALUE"""),"DEF: +50000, Water DEF: +25000, Order DEF: +25000 ++Blessing of the Forest's Quiver II: X4 Nature and Bow damage. ++Eagle Eyed: When in a forest you gain Truesight for the first round of battle. ++Goddess's Cold Stare: 15% chance to Freeze all enemies (no"&amp;"t affected by modifiers) 1000SP. +-can only be equipped by Artemis.")</f>
        <v>DEF: +50000, Water DEF: +25000, Order DEF: +25000 ++Blessing of the Forest's Quiver II: X4 Nature and Bow damage. ++Eagle Eyed: When in a forest you gain Truesight for the first round of battle. ++Goddess's Cold Stare: 15% chance to Freeze all enemies (not affected by modifiers) 1000SP. +-can only be equipped by Artemis.</v>
      </c>
      <c r="G533" s="16">
        <f>IFERROR(__xludf.DUMMYFUNCTION("""COMPUTED_VALUE"""),1.99E8)</f>
        <v>199000000</v>
      </c>
      <c r="H533" s="16"/>
      <c r="I533" s="16"/>
      <c r="J533" s="16"/>
      <c r="K533" s="16"/>
      <c r="L533" s="16"/>
      <c r="M533" s="16"/>
      <c r="N533" s="16"/>
      <c r="O533" s="16"/>
      <c r="P533" s="16"/>
      <c r="Q533" s="16"/>
      <c r="R533" s="16"/>
      <c r="S533" s="16"/>
      <c r="T533" s="16"/>
      <c r="U533" s="16"/>
      <c r="V533" s="16"/>
      <c r="W533" s="16"/>
      <c r="X533" s="16"/>
      <c r="Y533" s="16"/>
      <c r="Z533" s="16"/>
    </row>
    <row r="534">
      <c r="A534" s="16" t="str">
        <f>IFERROR(__xludf.DUMMYFUNCTION("""COMPUTED_VALUE"""),"Artemis' Bow of Divine Wrath")</f>
        <v>Artemis' Bow of Divine Wrath</v>
      </c>
      <c r="B534" s="16" t="str">
        <f>IFERROR(__xludf.DUMMYFUNCTION("""COMPUTED_VALUE"""),"Mob Exclusive.")</f>
        <v>Mob Exclusive.</v>
      </c>
      <c r="C534" s="16" t="str">
        <f>IFERROR(__xludf.DUMMYFUNCTION("""COMPUTED_VALUE"""),"Bow")</f>
        <v>Bow</v>
      </c>
      <c r="D534" s="16" t="str">
        <f>IFERROR(__xludf.DUMMYFUNCTION("""COMPUTED_VALUE"""),"Hand")</f>
        <v>Hand</v>
      </c>
      <c r="E534" s="16">
        <f>IFERROR(__xludf.DUMMYFUNCTION("""COMPUTED_VALUE"""),12000.0)</f>
        <v>12000</v>
      </c>
      <c r="F534" s="16" t="str">
        <f>IFERROR(__xludf.DUMMYFUNCTION("""COMPUTED_VALUE"""),"DMG: +200000, Chaos DMG: +200000, Nature DMG: +200000 ++Marked: When affected by Truesight you can mark a single target as per the effect ""Marked"" for 1 round. 20 sp. ++The target cannot resist or be immune to this weapon attack  +-can only be equipped "&amp;"by Artemis")</f>
        <v>DMG: +200000, Chaos DMG: +200000, Nature DMG: +200000 ++Marked: When affected by Truesight you can mark a single target as per the effect "Marked" for 1 round. 20 sp. ++The target cannot resist or be immune to this weapon attack  +-can only be equipped by Artemis</v>
      </c>
      <c r="G534" s="16">
        <f>IFERROR(__xludf.DUMMYFUNCTION("""COMPUTED_VALUE"""),7.194E9)</f>
        <v>7194000000</v>
      </c>
      <c r="H534" s="16"/>
      <c r="I534" s="16"/>
      <c r="J534" s="16"/>
      <c r="K534" s="16"/>
      <c r="L534" s="16"/>
      <c r="M534" s="16"/>
      <c r="N534" s="16"/>
      <c r="O534" s="16"/>
      <c r="P534" s="16"/>
      <c r="Q534" s="16"/>
      <c r="R534" s="16"/>
      <c r="S534" s="16"/>
      <c r="T534" s="16"/>
      <c r="U534" s="16"/>
      <c r="V534" s="16"/>
      <c r="W534" s="16"/>
      <c r="X534" s="16"/>
      <c r="Y534" s="16"/>
      <c r="Z534" s="16"/>
    </row>
    <row r="535">
      <c r="A535" s="16" t="str">
        <f>IFERROR(__xludf.DUMMYFUNCTION("""COMPUTED_VALUE"""),"Artemis' Shield of Divine Grace")</f>
        <v>Artemis' Shield of Divine Grace</v>
      </c>
      <c r="B535" s="16" t="str">
        <f>IFERROR(__xludf.DUMMYFUNCTION("""COMPUTED_VALUE"""),"Mob Exclusive")</f>
        <v>Mob Exclusive</v>
      </c>
      <c r="C535" s="16" t="str">
        <f>IFERROR(__xludf.DUMMYFUNCTION("""COMPUTED_VALUE"""),"Buckler")</f>
        <v>Buckler</v>
      </c>
      <c r="D535" s="16" t="str">
        <f>IFERROR(__xludf.DUMMYFUNCTION("""COMPUTED_VALUE"""),"Hand")</f>
        <v>Hand</v>
      </c>
      <c r="E535" s="16">
        <f>IFERROR(__xludf.DUMMYFUNCTION("""COMPUTED_VALUE"""),6000.0)</f>
        <v>6000</v>
      </c>
      <c r="F535" s="16" t="str">
        <f>IFERROR(__xludf.DUMMYFUNCTION("""COMPUTED_VALUE"""),"DEF: +150000, Water DEF: +75000, Order DEF: +75000 ++Living Shield: When hit by a weapon attack 50% chance to inflict slowness 3 and disarm 3, +-can only be equipped by Artemis.")</f>
        <v>DEF: +150000, Water DEF: +75000, Order DEF: +75000 ++Living Shield: When hit by a weapon attack 50% chance to inflict slowness 3 and disarm 3, +-can only be equipped by Artemis.</v>
      </c>
      <c r="G535" s="16">
        <f>IFERROR(__xludf.DUMMYFUNCTION("""COMPUTED_VALUE"""),1.797E9)</f>
        <v>1797000000</v>
      </c>
      <c r="H535" s="16"/>
      <c r="I535" s="16"/>
      <c r="J535" s="16"/>
      <c r="K535" s="16"/>
      <c r="L535" s="16"/>
      <c r="M535" s="16"/>
      <c r="N535" s="16"/>
      <c r="O535" s="16"/>
      <c r="P535" s="16"/>
      <c r="Q535" s="16"/>
      <c r="R535" s="16"/>
      <c r="S535" s="16"/>
      <c r="T535" s="16"/>
      <c r="U535" s="16"/>
      <c r="V535" s="16"/>
      <c r="W535" s="16"/>
      <c r="X535" s="16"/>
      <c r="Y535" s="16"/>
      <c r="Z535" s="16"/>
    </row>
    <row r="536">
      <c r="A536" s="16" t="str">
        <f>IFERROR(__xludf.DUMMYFUNCTION("""COMPUTED_VALUE"""),"Artemis' Divine Quiver")</f>
        <v>Artemis' Divine Quiver</v>
      </c>
      <c r="B536" s="16" t="str">
        <f>IFERROR(__xludf.DUMMYFUNCTION("""COMPUTED_VALUE"""),"Mob Exclusive")</f>
        <v>Mob Exclusive</v>
      </c>
      <c r="C536" s="16"/>
      <c r="D536" s="16" t="str">
        <f>IFERROR(__xludf.DUMMYFUNCTION("""COMPUTED_VALUE"""),"Shoulders")</f>
        <v>Shoulders</v>
      </c>
      <c r="E536" s="16">
        <f>IFERROR(__xludf.DUMMYFUNCTION("""COMPUTED_VALUE"""),1.0)</f>
        <v>1</v>
      </c>
      <c r="F536" s="16" t="str">
        <f>IFERROR(__xludf.DUMMYFUNCTION("""COMPUTED_VALUE""")," ++Blessing of the Forest's Quiver II: X4 Nature and Bow damage. ++Godspeed: Wearer Gets 2 actions every round. ++Quick Shot: Attack twice with your bow 10000 sp. +-can only be equipped by Artemis.")</f>
        <v> ++Blessing of the Forest's Quiver II: X4 Nature and Bow damage. ++Godspeed: Wearer Gets 2 actions every round. ++Quick Shot: Attack twice with your bow 10000 sp. +-can only be equipped by Artemis.</v>
      </c>
      <c r="G536" s="16">
        <f>IFERROR(__xludf.DUMMYFUNCTION("""COMPUTED_VALUE"""),0.0)</f>
        <v>0</v>
      </c>
      <c r="H536" s="16"/>
      <c r="I536" s="16"/>
      <c r="J536" s="16"/>
      <c r="K536" s="16"/>
      <c r="L536" s="16"/>
      <c r="M536" s="16"/>
      <c r="N536" s="16"/>
      <c r="O536" s="16"/>
      <c r="P536" s="16"/>
      <c r="Q536" s="16"/>
      <c r="R536" s="16"/>
      <c r="S536" s="16"/>
      <c r="T536" s="16"/>
      <c r="U536" s="16"/>
      <c r="V536" s="16"/>
      <c r="W536" s="16"/>
      <c r="X536" s="16"/>
      <c r="Y536" s="16"/>
      <c r="Z536" s="16"/>
    </row>
    <row r="537">
      <c r="A537" s="16" t="str">
        <f>IFERROR(__xludf.DUMMYFUNCTION("""COMPUTED_VALUE"""),"Artemis' Toga of Divine Beauty")</f>
        <v>Artemis' Toga of Divine Beauty</v>
      </c>
      <c r="B537" s="16" t="str">
        <f>IFERROR(__xludf.DUMMYFUNCTION("""COMPUTED_VALUE"""),"Mob Exclusive")</f>
        <v>Mob Exclusive</v>
      </c>
      <c r="C537" s="16"/>
      <c r="D537" s="16" t="str">
        <f>IFERROR(__xludf.DUMMYFUNCTION("""COMPUTED_VALUE"""),"Torso")</f>
        <v>Torso</v>
      </c>
      <c r="E537" s="16">
        <f>IFERROR(__xludf.DUMMYFUNCTION("""COMPUTED_VALUE"""),4000.0)</f>
        <v>4000</v>
      </c>
      <c r="F537" s="16" t="str">
        <f>IFERROR(__xludf.DUMMYFUNCTION("""COMPUTED_VALUE"""),"DEF: +100000, Water DEF: +50000, Order DEF: +50000 ++Blessing of the Forest's Quiver II: X4 Nature and Bow damage. ++Godly Charm: 10% chance at the start of battle to force an enemy to fight for you +-can only be equipped by Artemis.")</f>
        <v>DEF: +100000, Water DEF: +50000, Order DEF: +50000 ++Blessing of the Forest's Quiver II: X4 Nature and Bow damage. ++Godly Charm: 10% chance at the start of battle to force an enemy to fight for you +-can only be equipped by Artemis.</v>
      </c>
      <c r="G537" s="16">
        <f>IFERROR(__xludf.DUMMYFUNCTION("""COMPUTED_VALUE"""),7.98E8)</f>
        <v>798000000</v>
      </c>
      <c r="H537" s="16"/>
      <c r="I537" s="16"/>
      <c r="J537" s="16"/>
      <c r="K537" s="16"/>
      <c r="L537" s="16"/>
      <c r="M537" s="16"/>
      <c r="N537" s="16"/>
      <c r="O537" s="16"/>
      <c r="P537" s="16"/>
      <c r="Q537" s="16"/>
      <c r="R537" s="16"/>
      <c r="S537" s="16"/>
      <c r="T537" s="16"/>
      <c r="U537" s="16"/>
      <c r="V537" s="16"/>
      <c r="W537" s="16"/>
      <c r="X537" s="16"/>
      <c r="Y537" s="16"/>
      <c r="Z537" s="16"/>
    </row>
    <row r="538">
      <c r="A538" s="16" t="str">
        <f>IFERROR(__xludf.DUMMYFUNCTION("""COMPUTED_VALUE"""),"Artemis' Bracer of The Archer Goddess")</f>
        <v>Artemis' Bracer of The Archer Goddess</v>
      </c>
      <c r="B538" s="16" t="str">
        <f>IFERROR(__xludf.DUMMYFUNCTION("""COMPUTED_VALUE"""),"Mob Exclusive")</f>
        <v>Mob Exclusive</v>
      </c>
      <c r="C538" s="16"/>
      <c r="D538" s="16" t="str">
        <f>IFERROR(__xludf.DUMMYFUNCTION("""COMPUTED_VALUE"""),"Arms")</f>
        <v>Arms</v>
      </c>
      <c r="E538" s="16">
        <f>IFERROR(__xludf.DUMMYFUNCTION("""COMPUTED_VALUE"""),2000.0)</f>
        <v>2000</v>
      </c>
      <c r="F538" s="16" t="str">
        <f>IFERROR(__xludf.DUMMYFUNCTION("""COMPUTED_VALUE"""),"DEF: +50000, Water DEF: +25000, Order DEF: +25000 ++Blessing of the Forest's Quiver II: X4 Nature and Bow damage. ++Godly Archery: When you hit an enemy with your bow you gain the effects of Haste +-can only be equipped by Artemis.")</f>
        <v>DEF: +50000, Water DEF: +25000, Order DEF: +25000 ++Blessing of the Forest's Quiver II: X4 Nature and Bow damage. ++Godly Archery: When you hit an enemy with your bow you gain the effects of Haste +-can only be equipped by Artemis.</v>
      </c>
      <c r="G538" s="16">
        <f>IFERROR(__xludf.DUMMYFUNCTION("""COMPUTED_VALUE"""),1.99E8)</f>
        <v>199000000</v>
      </c>
      <c r="H538" s="16"/>
      <c r="I538" s="16"/>
      <c r="J538" s="16"/>
      <c r="K538" s="16"/>
      <c r="L538" s="16"/>
      <c r="M538" s="16"/>
      <c r="N538" s="16"/>
      <c r="O538" s="16"/>
      <c r="P538" s="16"/>
      <c r="Q538" s="16"/>
      <c r="R538" s="16"/>
      <c r="S538" s="16"/>
      <c r="T538" s="16"/>
      <c r="U538" s="16"/>
      <c r="V538" s="16"/>
      <c r="W538" s="16"/>
      <c r="X538" s="16"/>
      <c r="Y538" s="16"/>
      <c r="Z538" s="16"/>
    </row>
    <row r="539">
      <c r="A539" s="16" t="str">
        <f>IFERROR(__xludf.DUMMYFUNCTION("""COMPUTED_VALUE"""),"Artemis' Leggings of Divine Agility")</f>
        <v>Artemis' Leggings of Divine Agility</v>
      </c>
      <c r="B539" s="16" t="str">
        <f>IFERROR(__xludf.DUMMYFUNCTION("""COMPUTED_VALUE"""),"Mob Exclusive")</f>
        <v>Mob Exclusive</v>
      </c>
      <c r="C539" s="16"/>
      <c r="D539" s="16" t="str">
        <f>IFERROR(__xludf.DUMMYFUNCTION("""COMPUTED_VALUE"""),"Legs")</f>
        <v>Legs</v>
      </c>
      <c r="E539" s="16">
        <f>IFERROR(__xludf.DUMMYFUNCTION("""COMPUTED_VALUE"""),2000.0)</f>
        <v>2000</v>
      </c>
      <c r="F539" s="16" t="str">
        <f>IFERROR(__xludf.DUMMYFUNCTION("""COMPUTED_VALUE"""),"DEF: +50000, Water DEF: +25000, Order DEF: +25000 ++Blessing of The Greens II: X4 Nature Damage +-can only be equipped by Artemis")</f>
        <v>DEF: +50000, Water DEF: +25000, Order DEF: +25000 ++Blessing of The Greens II: X4 Nature Damage +-can only be equipped by Artemis</v>
      </c>
      <c r="G539" s="16">
        <f>IFERROR(__xludf.DUMMYFUNCTION("""COMPUTED_VALUE"""),1.99E8)</f>
        <v>199000000</v>
      </c>
      <c r="H539" s="16"/>
      <c r="I539" s="16"/>
      <c r="J539" s="16"/>
      <c r="K539" s="16"/>
      <c r="L539" s="16"/>
      <c r="M539" s="16"/>
      <c r="N539" s="16"/>
      <c r="O539" s="16"/>
      <c r="P539" s="16"/>
      <c r="Q539" s="16"/>
      <c r="R539" s="16"/>
      <c r="S539" s="16"/>
      <c r="T539" s="16"/>
      <c r="U539" s="16"/>
      <c r="V539" s="16"/>
      <c r="W539" s="16"/>
      <c r="X539" s="16"/>
      <c r="Y539" s="16"/>
      <c r="Z539" s="16"/>
    </row>
    <row r="540">
      <c r="A540" s="16" t="str">
        <f>IFERROR(__xludf.DUMMYFUNCTION("""COMPUTED_VALUE"""),"Artemis' Sandals of Divine Speed")</f>
        <v>Artemis' Sandals of Divine Speed</v>
      </c>
      <c r="B540" s="16" t="str">
        <f>IFERROR(__xludf.DUMMYFUNCTION("""COMPUTED_VALUE"""),"Mob Exclusive")</f>
        <v>Mob Exclusive</v>
      </c>
      <c r="C540" s="16"/>
      <c r="D540" s="16" t="str">
        <f>IFERROR(__xludf.DUMMYFUNCTION("""COMPUTED_VALUE"""),"Feet")</f>
        <v>Feet</v>
      </c>
      <c r="E540" s="16">
        <f>IFERROR(__xludf.DUMMYFUNCTION("""COMPUTED_VALUE"""),2000.0)</f>
        <v>2000</v>
      </c>
      <c r="F540" s="16" t="str">
        <f>IFERROR(__xludf.DUMMYFUNCTION("""COMPUTED_VALUE"""),"DEF: +50000, Water DEF: +25000, Order DEF: +25000 ++Blessing of Speed: when affected by haste you gain an extra action. +-can only be equipped by Artemis.")</f>
        <v>DEF: +50000, Water DEF: +25000, Order DEF: +25000 ++Blessing of Speed: when affected by haste you gain an extra action. +-can only be equipped by Artemis.</v>
      </c>
      <c r="G540" s="16">
        <f>IFERROR(__xludf.DUMMYFUNCTION("""COMPUTED_VALUE"""),1.99E8)</f>
        <v>199000000</v>
      </c>
      <c r="H540" s="16"/>
      <c r="I540" s="16"/>
      <c r="J540" s="16"/>
      <c r="K540" s="16"/>
      <c r="L540" s="16"/>
      <c r="M540" s="16"/>
      <c r="N540" s="16"/>
      <c r="O540" s="16"/>
      <c r="P540" s="16"/>
      <c r="Q540" s="16"/>
      <c r="R540" s="16"/>
      <c r="S540" s="16"/>
      <c r="T540" s="16"/>
      <c r="U540" s="16"/>
      <c r="V540" s="16"/>
      <c r="W540" s="16"/>
      <c r="X540" s="16"/>
      <c r="Y540" s="16"/>
      <c r="Z540" s="16"/>
    </row>
    <row r="541">
      <c r="A541" s="16" t="str">
        <f>IFERROR(__xludf.DUMMYFUNCTION("""COMPUTED_VALUE"""),"Artemis' Ring")</f>
        <v>Artemis' Ring</v>
      </c>
      <c r="B541" s="16" t="str">
        <f>IFERROR(__xludf.DUMMYFUNCTION("""COMPUTED_VALUE"""),"Mob Exclusive")</f>
        <v>Mob Exclusive</v>
      </c>
      <c r="C541" s="16"/>
      <c r="D541" s="16" t="str">
        <f>IFERROR(__xludf.DUMMYFUNCTION("""COMPUTED_VALUE"""),"Ring")</f>
        <v>Ring</v>
      </c>
      <c r="E541" s="16">
        <f>IFERROR(__xludf.DUMMYFUNCTION("""COMPUTED_VALUE"""),1.0)</f>
        <v>1</v>
      </c>
      <c r="F541" s="16" t="str">
        <f>IFERROR(__xludf.DUMMYFUNCTION("""COMPUTED_VALUE""")," ++10% chance to revive after dying once. +-can only be equipped by Artemis.")</f>
        <v> ++10% chance to revive after dying once. +-can only be equipped by Artemis.</v>
      </c>
      <c r="G541" s="16">
        <f>IFERROR(__xludf.DUMMYFUNCTION("""COMPUTED_VALUE"""),0.0)</f>
        <v>0</v>
      </c>
      <c r="H541" s="16"/>
      <c r="I541" s="16"/>
      <c r="J541" s="16"/>
      <c r="K541" s="16"/>
      <c r="L541" s="16"/>
      <c r="M541" s="16"/>
      <c r="N541" s="16"/>
      <c r="O541" s="16"/>
      <c r="P541" s="16"/>
      <c r="Q541" s="16"/>
      <c r="R541" s="16"/>
      <c r="S541" s="16"/>
      <c r="T541" s="16"/>
      <c r="U541" s="16"/>
      <c r="V541" s="16"/>
      <c r="W541" s="16"/>
      <c r="X541" s="16"/>
      <c r="Y541" s="16"/>
      <c r="Z541" s="16"/>
    </row>
    <row r="542">
      <c r="A542" s="16" t="str">
        <f>IFERROR(__xludf.DUMMYFUNCTION("""COMPUTED_VALUE"""),"Artemis' Fang Necklace")</f>
        <v>Artemis' Fang Necklace</v>
      </c>
      <c r="B542" s="16" t="str">
        <f>IFERROR(__xludf.DUMMYFUNCTION("""COMPUTED_VALUE"""),"Mob Exclusive")</f>
        <v>Mob Exclusive</v>
      </c>
      <c r="C542" s="16"/>
      <c r="D542" s="16" t="str">
        <f>IFERROR(__xludf.DUMMYFUNCTION("""COMPUTED_VALUE"""),"Neck")</f>
        <v>Neck</v>
      </c>
      <c r="E542" s="16">
        <f>IFERROR(__xludf.DUMMYFUNCTION("""COMPUTED_VALUE"""),1.0)</f>
        <v>1</v>
      </c>
      <c r="F542" s="16" t="str">
        <f>IFERROR(__xludf.DUMMYFUNCTION("""COMPUTED_VALUE""")," Upon killing an enemy you emit a sharp aura with a 10% chance of instant death to all enemies. +-can only be equipped by Artemis.")</f>
        <v> Upon killing an enemy you emit a sharp aura with a 10% chance of instant death to all enemies. +-can only be equipped by Artemis.</v>
      </c>
      <c r="G542" s="16">
        <f>IFERROR(__xludf.DUMMYFUNCTION("""COMPUTED_VALUE"""),0.0)</f>
        <v>0</v>
      </c>
      <c r="H542" s="16"/>
      <c r="I542" s="16"/>
      <c r="J542" s="16"/>
      <c r="K542" s="16"/>
      <c r="L542" s="16"/>
      <c r="M542" s="16"/>
      <c r="N542" s="16"/>
      <c r="O542" s="16"/>
      <c r="P542" s="16"/>
      <c r="Q542" s="16"/>
      <c r="R542" s="16"/>
      <c r="S542" s="16"/>
      <c r="T542" s="16"/>
      <c r="U542" s="16"/>
      <c r="V542" s="16"/>
      <c r="W542" s="16"/>
      <c r="X542" s="16"/>
      <c r="Y542" s="16"/>
      <c r="Z542" s="16"/>
    </row>
    <row r="543">
      <c r="A543" s="16" t="str">
        <f>IFERROR(__xludf.DUMMYFUNCTION("""COMPUTED_VALUE"""),"Forged Paladin's Helm")</f>
        <v>Forged Paladin's Helm</v>
      </c>
      <c r="B543" s="16" t="str">
        <f>IFERROR(__xludf.DUMMYFUNCTION("""COMPUTED_VALUE"""),"Quest Item")</f>
        <v>Quest Item</v>
      </c>
      <c r="C543" s="16"/>
      <c r="D543" s="16" t="str">
        <f>IFERROR(__xludf.DUMMYFUNCTION("""COMPUTED_VALUE"""),"Head")</f>
        <v>Head</v>
      </c>
      <c r="E543" s="16">
        <f>IFERROR(__xludf.DUMMYFUNCTION("""COMPUTED_VALUE"""),200.0)</f>
        <v>200</v>
      </c>
      <c r="F543" s="16" t="str">
        <f>IFERROR(__xludf.DUMMYFUNCTION("""COMPUTED_VALUE"""),"DEF: +25000, Fire DEF: +10000, Water DEF: +5000, Nature DEF: +25000, Celestial DEF: +10000 ++X2 Firearm damage. ++Weakness Detection: When attacking an enemy with fire vulnerability roll twice and take the higher roll for all attacks against that enemy. +"&amp;"-Forged Paladin Class Only.")</f>
        <v>DEF: +25000, Fire DEF: +10000, Water DEF: +5000, Nature DEF: +25000, Celestial DEF: +10000 ++X2 Firearm damage. ++Weakness Detection: When attacking an enemy with fire vulnerability roll twice and take the higher roll for all attacks against that enemy. +-Forged Paladin Class Only.</v>
      </c>
      <c r="G543" s="16">
        <f>IFERROR(__xludf.DUMMYFUNCTION("""COMPUTED_VALUE"""),1.1175E8)</f>
        <v>111750000</v>
      </c>
      <c r="H543" s="16"/>
      <c r="I543" s="16"/>
      <c r="J543" s="16"/>
      <c r="K543" s="16"/>
      <c r="L543" s="16"/>
      <c r="M543" s="16"/>
      <c r="N543" s="16"/>
      <c r="O543" s="16"/>
      <c r="P543" s="16"/>
      <c r="Q543" s="16"/>
      <c r="R543" s="16"/>
      <c r="S543" s="16"/>
      <c r="T543" s="16"/>
      <c r="U543" s="16"/>
      <c r="V543" s="16"/>
      <c r="W543" s="16"/>
      <c r="X543" s="16"/>
      <c r="Y543" s="16"/>
      <c r="Z543" s="16"/>
    </row>
    <row r="544">
      <c r="A544" s="16" t="str">
        <f>IFERROR(__xludf.DUMMYFUNCTION("""COMPUTED_VALUE"""),"Forged Paladin's Pauldrons")</f>
        <v>Forged Paladin's Pauldrons</v>
      </c>
      <c r="B544" s="16" t="str">
        <f>IFERROR(__xludf.DUMMYFUNCTION("""COMPUTED_VALUE"""),"Quest Item")</f>
        <v>Quest Item</v>
      </c>
      <c r="C544" s="16"/>
      <c r="D544" s="16" t="str">
        <f>IFERROR(__xludf.DUMMYFUNCTION("""COMPUTED_VALUE"""),"Shoulders")</f>
        <v>Shoulders</v>
      </c>
      <c r="E544" s="16">
        <f>IFERROR(__xludf.DUMMYFUNCTION("""COMPUTED_VALUE"""),200.0)</f>
        <v>200</v>
      </c>
      <c r="F544" s="16" t="str">
        <f>IFERROR(__xludf.DUMMYFUNCTION("""COMPUTED_VALUE"""),"DEF: +25000, Fire DEF: +10000, Water DEF: +5000, Nature DEF: +25000, Celestial DEF: +10000 ++When hit with a non-natural attack inflict the attacker with Burn 1000 for 3 rounds +-Forged Paladin Class Only.")</f>
        <v>DEF: +25000, Fire DEF: +10000, Water DEF: +5000, Nature DEF: +25000, Celestial DEF: +10000 ++When hit with a non-natural attack inflict the attacker with Burn 1000 for 3 rounds +-Forged Paladin Class Only.</v>
      </c>
      <c r="G544" s="16">
        <f>IFERROR(__xludf.DUMMYFUNCTION("""COMPUTED_VALUE"""),1.1175E8)</f>
        <v>111750000</v>
      </c>
      <c r="H544" s="16"/>
      <c r="I544" s="16"/>
      <c r="J544" s="16"/>
      <c r="K544" s="16"/>
      <c r="L544" s="16"/>
      <c r="M544" s="16"/>
      <c r="N544" s="16"/>
      <c r="O544" s="16"/>
      <c r="P544" s="16"/>
      <c r="Q544" s="16"/>
      <c r="R544" s="16"/>
      <c r="S544" s="16"/>
      <c r="T544" s="16"/>
      <c r="U544" s="16"/>
      <c r="V544" s="16"/>
      <c r="W544" s="16"/>
      <c r="X544" s="16"/>
      <c r="Y544" s="16"/>
      <c r="Z544" s="16"/>
    </row>
    <row r="545">
      <c r="A545" s="16" t="str">
        <f>IFERROR(__xludf.DUMMYFUNCTION("""COMPUTED_VALUE"""),"Forged Paladin's Plate")</f>
        <v>Forged Paladin's Plate</v>
      </c>
      <c r="B545" s="16" t="str">
        <f>IFERROR(__xludf.DUMMYFUNCTION("""COMPUTED_VALUE"""),"Quest Item")</f>
        <v>Quest Item</v>
      </c>
      <c r="C545" s="16"/>
      <c r="D545" s="16" t="str">
        <f>IFERROR(__xludf.DUMMYFUNCTION("""COMPUTED_VALUE"""),"Torso")</f>
        <v>Torso</v>
      </c>
      <c r="E545" s="16">
        <f>IFERROR(__xludf.DUMMYFUNCTION("""COMPUTED_VALUE"""),200.0)</f>
        <v>200</v>
      </c>
      <c r="F545" s="16" t="str">
        <f>IFERROR(__xludf.DUMMYFUNCTION("""COMPUTED_VALUE"""),"DEF: +35000, Fire DEF: +15000, Water DEF: +5000, Nature DEF: +30000, Celestial DEF: +15000 ++X4 Fire damage. ++fire immunity +-Forged Paladin Class Only.")</f>
        <v>DEF: +35000, Fire DEF: +15000, Water DEF: +5000, Nature DEF: +30000, Celestial DEF: +15000 ++X4 Fire damage. ++fire immunity +-Forged Paladin Class Only.</v>
      </c>
      <c r="G545" s="16">
        <f>IFERROR(__xludf.DUMMYFUNCTION("""COMPUTED_VALUE"""),1.99E8)</f>
        <v>199000000</v>
      </c>
      <c r="H545" s="16"/>
      <c r="I545" s="16"/>
      <c r="J545" s="16"/>
      <c r="K545" s="16"/>
      <c r="L545" s="16"/>
      <c r="M545" s="16"/>
      <c r="N545" s="16"/>
      <c r="O545" s="16"/>
      <c r="P545" s="16"/>
      <c r="Q545" s="16"/>
      <c r="R545" s="16"/>
      <c r="S545" s="16"/>
      <c r="T545" s="16"/>
      <c r="U545" s="16"/>
      <c r="V545" s="16"/>
      <c r="W545" s="16"/>
      <c r="X545" s="16"/>
      <c r="Y545" s="16"/>
      <c r="Z545" s="16"/>
    </row>
    <row r="546">
      <c r="A546" s="16" t="str">
        <f>IFERROR(__xludf.DUMMYFUNCTION("""COMPUTED_VALUE"""),"Forged Paladin's Vambraces")</f>
        <v>Forged Paladin's Vambraces</v>
      </c>
      <c r="B546" s="16" t="str">
        <f>IFERROR(__xludf.DUMMYFUNCTION("""COMPUTED_VALUE"""),"Quest Item")</f>
        <v>Quest Item</v>
      </c>
      <c r="C546" s="16"/>
      <c r="D546" s="16" t="str">
        <f>IFERROR(__xludf.DUMMYFUNCTION("""COMPUTED_VALUE"""),"Arms")</f>
        <v>Arms</v>
      </c>
      <c r="E546" s="16">
        <f>IFERROR(__xludf.DUMMYFUNCTION("""COMPUTED_VALUE"""),200.0)</f>
        <v>200</v>
      </c>
      <c r="F546" s="16" t="str">
        <f>IFERROR(__xludf.DUMMYFUNCTION("""COMPUTED_VALUE"""),"DEF: +25000, Fire DEF: +10000, Water DEF: +5000, Nature DEF: +25000, Celestial DEF: +10000 ++When attacking with a firearm deal X4 damage. ++The target cannot resist or be immune to fire damage dealt by firearms. +-Forged Paladin Class Only.")</f>
        <v>DEF: +25000, Fire DEF: +10000, Water DEF: +5000, Nature DEF: +25000, Celestial DEF: +10000 ++When attacking with a firearm deal X4 damage. ++The target cannot resist or be immune to fire damage dealt by firearms. +-Forged Paladin Class Only.</v>
      </c>
      <c r="G546" s="16">
        <f>IFERROR(__xludf.DUMMYFUNCTION("""COMPUTED_VALUE"""),1.1175E8)</f>
        <v>111750000</v>
      </c>
      <c r="H546" s="16"/>
      <c r="I546" s="16"/>
      <c r="J546" s="16"/>
      <c r="K546" s="16"/>
      <c r="L546" s="16"/>
      <c r="M546" s="16"/>
      <c r="N546" s="16"/>
      <c r="O546" s="16"/>
      <c r="P546" s="16"/>
      <c r="Q546" s="16"/>
      <c r="R546" s="16"/>
      <c r="S546" s="16"/>
      <c r="T546" s="16"/>
      <c r="U546" s="16"/>
      <c r="V546" s="16"/>
      <c r="W546" s="16"/>
      <c r="X546" s="16"/>
      <c r="Y546" s="16"/>
      <c r="Z546" s="16"/>
    </row>
    <row r="547">
      <c r="A547" s="16" t="str">
        <f>IFERROR(__xludf.DUMMYFUNCTION("""COMPUTED_VALUE"""),"Forged Firearm")</f>
        <v>Forged Firearm</v>
      </c>
      <c r="B547" s="16" t="str">
        <f>IFERROR(__xludf.DUMMYFUNCTION("""COMPUTED_VALUE"""),"Quest Item")</f>
        <v>Quest Item</v>
      </c>
      <c r="C547" s="16" t="str">
        <f>IFERROR(__xludf.DUMMYFUNCTION("""COMPUTED_VALUE"""),"Firearm")</f>
        <v>Firearm</v>
      </c>
      <c r="D547" s="16" t="str">
        <f>IFERROR(__xludf.DUMMYFUNCTION("""COMPUTED_VALUE"""),"Hand")</f>
        <v>Hand</v>
      </c>
      <c r="E547" s="16">
        <f>IFERROR(__xludf.DUMMYFUNCTION("""COMPUTED_VALUE"""),200.0)</f>
        <v>200</v>
      </c>
      <c r="F547" s="16" t="str">
        <f>IFERROR(__xludf.DUMMYFUNCTION("""COMPUTED_VALUE"""),"DMG: +50000, Fire DMG: +25000, Celestial DMG: +25000 ++X2 Firearm Damage. ++When equipped with the rest of the Forged Paladin gear deal X6 damage with this weapon. +-Forged Paladin Class Only.")</f>
        <v>DMG: +50000, Fire DMG: +25000, Celestial DMG: +25000 ++X2 Firearm Damage. ++When equipped with the rest of the Forged Paladin gear deal X6 damage with this weapon. +-Forged Paladin Class Only.</v>
      </c>
      <c r="G547" s="16">
        <f>IFERROR(__xludf.DUMMYFUNCTION("""COMPUTED_VALUE"""),1.99E8)</f>
        <v>199000000</v>
      </c>
      <c r="H547" s="16"/>
      <c r="I547" s="16"/>
      <c r="J547" s="16"/>
      <c r="K547" s="16"/>
      <c r="L547" s="16"/>
      <c r="M547" s="16"/>
      <c r="N547" s="16"/>
      <c r="O547" s="16"/>
      <c r="P547" s="16"/>
      <c r="Q547" s="16"/>
      <c r="R547" s="16"/>
      <c r="S547" s="16"/>
      <c r="T547" s="16"/>
      <c r="U547" s="16"/>
      <c r="V547" s="16"/>
      <c r="W547" s="16"/>
      <c r="X547" s="16"/>
      <c r="Y547" s="16"/>
      <c r="Z547" s="16"/>
    </row>
    <row r="548">
      <c r="A548" s="16" t="str">
        <f>IFERROR(__xludf.DUMMYFUNCTION("""COMPUTED_VALUE"""),"Forged Towershield")</f>
        <v>Forged Towershield</v>
      </c>
      <c r="B548" s="16" t="str">
        <f>IFERROR(__xludf.DUMMYFUNCTION("""COMPUTED_VALUE"""),"Quest Item")</f>
        <v>Quest Item</v>
      </c>
      <c r="C548" s="16" t="str">
        <f>IFERROR(__xludf.DUMMYFUNCTION("""COMPUTED_VALUE"""),"Towershield")</f>
        <v>Towershield</v>
      </c>
      <c r="D548" s="16" t="str">
        <f>IFERROR(__xludf.DUMMYFUNCTION("""COMPUTED_VALUE"""),"Hand")</f>
        <v>Hand</v>
      </c>
      <c r="E548" s="16">
        <f>IFERROR(__xludf.DUMMYFUNCTION("""COMPUTED_VALUE"""),200.0)</f>
        <v>200</v>
      </c>
      <c r="F548" s="16" t="str">
        <f>IFERROR(__xludf.DUMMYFUNCTION("""COMPUTED_VALUE"""),"DEF: +50000, Fire DEF: +25000, Water DEF: +15000, Nature DEF: +50000, Celestial DEF: +25000 ++X2 defense. ++When equipped with the rest of the Forged Paladin gear gain X6 defense. +-Forged Paladin Class Only.")</f>
        <v>DEF: +50000, Fire DEF: +25000, Water DEF: +15000, Nature DEF: +50000, Celestial DEF: +25000 ++X2 defense. ++When equipped with the rest of the Forged Paladin gear gain X6 defense. +-Forged Paladin Class Only.</v>
      </c>
      <c r="G548" s="16">
        <f>IFERROR(__xludf.DUMMYFUNCTION("""COMPUTED_VALUE"""),5.4285E8)</f>
        <v>542850000</v>
      </c>
      <c r="H548" s="16"/>
      <c r="I548" s="16"/>
      <c r="J548" s="16"/>
      <c r="K548" s="16"/>
      <c r="L548" s="16"/>
      <c r="M548" s="16"/>
      <c r="N548" s="16"/>
      <c r="O548" s="16"/>
      <c r="P548" s="16"/>
      <c r="Q548" s="16"/>
      <c r="R548" s="16"/>
      <c r="S548" s="16"/>
      <c r="T548" s="16"/>
      <c r="U548" s="16"/>
      <c r="V548" s="16"/>
      <c r="W548" s="16"/>
      <c r="X548" s="16"/>
      <c r="Y548" s="16"/>
      <c r="Z548" s="16"/>
    </row>
    <row r="549">
      <c r="A549" s="16" t="str">
        <f>IFERROR(__xludf.DUMMYFUNCTION("""COMPUTED_VALUE"""),"Forged Leg guard")</f>
        <v>Forged Leg guard</v>
      </c>
      <c r="B549" s="16" t="str">
        <f>IFERROR(__xludf.DUMMYFUNCTION("""COMPUTED_VALUE"""),"Quest Item")</f>
        <v>Quest Item</v>
      </c>
      <c r="C549" s="16"/>
      <c r="D549" s="16" t="str">
        <f>IFERROR(__xludf.DUMMYFUNCTION("""COMPUTED_VALUE"""),"Legs")</f>
        <v>Legs</v>
      </c>
      <c r="E549" s="16">
        <f>IFERROR(__xludf.DUMMYFUNCTION("""COMPUTED_VALUE"""),200.0)</f>
        <v>200</v>
      </c>
      <c r="F549" s="16" t="str">
        <f>IFERROR(__xludf.DUMMYFUNCTION("""COMPUTED_VALUE"""),"DEF: +25000, Fire DEF: +10000, Water DEF: +5000, Nature DEF: +25000, Celestial DEF: +10000 ++When affected by Burn, Heal by the damage instead. +-Forged Paladin Class Only.")</f>
        <v>DEF: +25000, Fire DEF: +10000, Water DEF: +5000, Nature DEF: +25000, Celestial DEF: +10000 ++When affected by Burn, Heal by the damage instead. +-Forged Paladin Class Only.</v>
      </c>
      <c r="G549" s="16">
        <f>IFERROR(__xludf.DUMMYFUNCTION("""COMPUTED_VALUE"""),1.1175E8)</f>
        <v>111750000</v>
      </c>
      <c r="H549" s="16"/>
      <c r="I549" s="16"/>
      <c r="J549" s="16"/>
      <c r="K549" s="16"/>
      <c r="L549" s="16"/>
      <c r="M549" s="16"/>
      <c r="N549" s="16"/>
      <c r="O549" s="16"/>
      <c r="P549" s="16"/>
      <c r="Q549" s="16"/>
      <c r="R549" s="16"/>
      <c r="S549" s="16"/>
      <c r="T549" s="16"/>
      <c r="U549" s="16"/>
      <c r="V549" s="16"/>
      <c r="W549" s="16"/>
      <c r="X549" s="16"/>
      <c r="Y549" s="16"/>
      <c r="Z549" s="16"/>
    </row>
    <row r="550">
      <c r="A550" s="16" t="str">
        <f>IFERROR(__xludf.DUMMYFUNCTION("""COMPUTED_VALUE"""),"Forged Sabatons")</f>
        <v>Forged Sabatons</v>
      </c>
      <c r="B550" s="16" t="str">
        <f>IFERROR(__xludf.DUMMYFUNCTION("""COMPUTED_VALUE"""),"Quest Item")</f>
        <v>Quest Item</v>
      </c>
      <c r="C550" s="16"/>
      <c r="D550" s="16" t="str">
        <f>IFERROR(__xludf.DUMMYFUNCTION("""COMPUTED_VALUE"""),"Feet")</f>
        <v>Feet</v>
      </c>
      <c r="E550" s="16">
        <f>IFERROR(__xludf.DUMMYFUNCTION("""COMPUTED_VALUE"""),200.0)</f>
        <v>200</v>
      </c>
      <c r="F550" s="16" t="str">
        <f>IFERROR(__xludf.DUMMYFUNCTION("""COMPUTED_VALUE"""),"DEF: +25000, Fire DEF: +10000, Water DEF: +5000, Nature DEF: +25000, Celestial DEF: +10000 ++When attacking with a fire spell add ++5 to roll. +-Forged Paladin Class Only.")</f>
        <v>DEF: +25000, Fire DEF: +10000, Water DEF: +5000, Nature DEF: +25000, Celestial DEF: +10000 ++When attacking with a fire spell add ++5 to roll. +-Forged Paladin Class Only.</v>
      </c>
      <c r="G550" s="16">
        <f>IFERROR(__xludf.DUMMYFUNCTION("""COMPUTED_VALUE"""),1.1175E8)</f>
        <v>111750000</v>
      </c>
      <c r="H550" s="16"/>
      <c r="I550" s="16"/>
      <c r="J550" s="16"/>
      <c r="K550" s="16"/>
      <c r="L550" s="16"/>
      <c r="M550" s="16"/>
      <c r="N550" s="16"/>
      <c r="O550" s="16"/>
      <c r="P550" s="16"/>
      <c r="Q550" s="16"/>
      <c r="R550" s="16"/>
      <c r="S550" s="16"/>
      <c r="T550" s="16"/>
      <c r="U550" s="16"/>
      <c r="V550" s="16"/>
      <c r="W550" s="16"/>
      <c r="X550" s="16"/>
      <c r="Y550" s="16"/>
      <c r="Z550" s="16"/>
    </row>
    <row r="551">
      <c r="A551" s="16" t="str">
        <f>IFERROR(__xludf.DUMMYFUNCTION("""COMPUTED_VALUE"""),"Scrap Ring")</f>
        <v>Scrap Ring</v>
      </c>
      <c r="B551" s="16" t="str">
        <f>IFERROR(__xludf.DUMMYFUNCTION("""COMPUTED_VALUE"""),"Quest Item")</f>
        <v>Quest Item</v>
      </c>
      <c r="C551" s="16"/>
      <c r="D551" s="16" t="str">
        <f>IFERROR(__xludf.DUMMYFUNCTION("""COMPUTED_VALUE"""),"Ring")</f>
        <v>Ring</v>
      </c>
      <c r="E551" s="16">
        <f>IFERROR(__xludf.DUMMYFUNCTION("""COMPUTED_VALUE"""),1.0)</f>
        <v>1</v>
      </c>
      <c r="F551" s="16" t="str">
        <f>IFERROR(__xludf.DUMMYFUNCTION("""COMPUTED_VALUE""")," ++When you attack an enemy with a firearm, inflict Marked 3. +-Forged Paladin Class Only.")</f>
        <v> ++When you attack an enemy with a firearm, inflict Marked 3. +-Forged Paladin Class Only.</v>
      </c>
      <c r="G551" s="16">
        <f>IFERROR(__xludf.DUMMYFUNCTION("""COMPUTED_VALUE"""),0.0)</f>
        <v>0</v>
      </c>
      <c r="H551" s="16"/>
      <c r="I551" s="16"/>
      <c r="J551" s="16"/>
      <c r="K551" s="16"/>
      <c r="L551" s="16"/>
      <c r="M551" s="16"/>
      <c r="N551" s="16"/>
      <c r="O551" s="16"/>
      <c r="P551" s="16"/>
      <c r="Q551" s="16"/>
      <c r="R551" s="16"/>
      <c r="S551" s="16"/>
      <c r="T551" s="16"/>
      <c r="U551" s="16"/>
      <c r="V551" s="16"/>
      <c r="W551" s="16"/>
      <c r="X551" s="16"/>
      <c r="Y551" s="16"/>
      <c r="Z551" s="16"/>
    </row>
    <row r="552">
      <c r="A552" s="16" t="str">
        <f>IFERROR(__xludf.DUMMYFUNCTION("""COMPUTED_VALUE"""),"Scrap Gorget")</f>
        <v>Scrap Gorget</v>
      </c>
      <c r="B552" s="16" t="str">
        <f>IFERROR(__xludf.DUMMYFUNCTION("""COMPUTED_VALUE"""),"Quest Item")</f>
        <v>Quest Item</v>
      </c>
      <c r="C552" s="16"/>
      <c r="D552" s="16" t="str">
        <f>IFERROR(__xludf.DUMMYFUNCTION("""COMPUTED_VALUE"""),"Neck")</f>
        <v>Neck</v>
      </c>
      <c r="E552" s="16">
        <f>IFERROR(__xludf.DUMMYFUNCTION("""COMPUTED_VALUE"""),1.0)</f>
        <v>1</v>
      </c>
      <c r="F552" s="16" t="str">
        <f>IFERROR(__xludf.DUMMYFUNCTION("""COMPUTED_VALUE""")," ++When being attacked with any form of firearm deal half damage back to the enemy that attacked you. +-Forged Paladin Class Only.")</f>
        <v> ++When being attacked with any form of firearm deal half damage back to the enemy that attacked you. +-Forged Paladin Class Only.</v>
      </c>
      <c r="G552" s="16">
        <f>IFERROR(__xludf.DUMMYFUNCTION("""COMPUTED_VALUE"""),0.0)</f>
        <v>0</v>
      </c>
      <c r="H552" s="16"/>
      <c r="I552" s="16"/>
      <c r="J552" s="16"/>
      <c r="K552" s="16"/>
      <c r="L552" s="16"/>
      <c r="M552" s="16"/>
      <c r="N552" s="16"/>
      <c r="O552" s="16"/>
      <c r="P552" s="16"/>
      <c r="Q552" s="16"/>
      <c r="R552" s="16"/>
      <c r="S552" s="16"/>
      <c r="T552" s="16"/>
      <c r="U552" s="16"/>
      <c r="V552" s="16"/>
      <c r="W552" s="16"/>
      <c r="X552" s="16"/>
      <c r="Y552" s="16"/>
      <c r="Z552" s="16"/>
    </row>
    <row r="553">
      <c r="A553" s="16" t="str">
        <f>IFERROR(__xludf.DUMMYFUNCTION("""COMPUTED_VALUE"""),"Minstrel's Cap")</f>
        <v>Minstrel's Cap</v>
      </c>
      <c r="B553" s="16" t="str">
        <f>IFERROR(__xludf.DUMMYFUNCTION("""COMPUTED_VALUE"""),"Quest Item")</f>
        <v>Quest Item</v>
      </c>
      <c r="C553" s="16"/>
      <c r="D553" s="16" t="str">
        <f>IFERROR(__xludf.DUMMYFUNCTION("""COMPUTED_VALUE"""),"Head")</f>
        <v>Head</v>
      </c>
      <c r="E553" s="16">
        <f>IFERROR(__xludf.DUMMYFUNCTION("""COMPUTED_VALUE"""),400.0)</f>
        <v>400</v>
      </c>
      <c r="F553" s="16" t="str">
        <f>IFERROR(__xludf.DUMMYFUNCTION("""COMPUTED_VALUE"""),"DEF: +20000 ++20,000 ACC and ATK. ++Upon reaching 5 stacks of Disoriented inflict Marked 3 on all enemies. +-Paladin of The Party and Bard Class only.")</f>
        <v>DEF: +20000 ++20,000 ACC and ATK. ++Upon reaching 5 stacks of Disoriented inflict Marked 3 on all enemies. +-Paladin of The Party and Bard Class only.</v>
      </c>
      <c r="G553" s="16">
        <f>IFERROR(__xludf.DUMMYFUNCTION("""COMPUTED_VALUE"""),7800000.0)</f>
        <v>7800000</v>
      </c>
      <c r="H553" s="16"/>
      <c r="I553" s="16"/>
      <c r="J553" s="16"/>
      <c r="K553" s="16"/>
      <c r="L553" s="16"/>
      <c r="M553" s="16"/>
      <c r="N553" s="16"/>
      <c r="O553" s="16"/>
      <c r="P553" s="16"/>
      <c r="Q553" s="16"/>
      <c r="R553" s="16"/>
      <c r="S553" s="16"/>
      <c r="T553" s="16"/>
      <c r="U553" s="16"/>
      <c r="V553" s="16"/>
      <c r="W553" s="16"/>
      <c r="X553" s="16"/>
      <c r="Y553" s="16"/>
      <c r="Z553" s="16"/>
    </row>
    <row r="554">
      <c r="A554" s="16" t="str">
        <f>IFERROR(__xludf.DUMMYFUNCTION("""COMPUTED_VALUE"""),"Minstrel's Cape")</f>
        <v>Minstrel's Cape</v>
      </c>
      <c r="B554" s="16" t="str">
        <f>IFERROR(__xludf.DUMMYFUNCTION("""COMPUTED_VALUE"""),"Quest Item")</f>
        <v>Quest Item</v>
      </c>
      <c r="C554" s="16"/>
      <c r="D554" s="16" t="str">
        <f>IFERROR(__xludf.DUMMYFUNCTION("""COMPUTED_VALUE"""),"Shoulders")</f>
        <v>Shoulders</v>
      </c>
      <c r="E554" s="16">
        <f>IFERROR(__xludf.DUMMYFUNCTION("""COMPUTED_VALUE"""),400.0)</f>
        <v>400</v>
      </c>
      <c r="F554" s="16" t="str">
        <f>IFERROR(__xludf.DUMMYFUNCTION("""COMPUTED_VALUE"""),"DEF: +20000 ++ 20,000 ACC and ATK. ++When casting any form of buffing spell, double the effects for the rest of the round. +-Paladin of The Party and Bard Class only.")</f>
        <v>DEF: +20000 ++ 20,000 ACC and ATK. ++When casting any form of buffing spell, double the effects for the rest of the round. +-Paladin of The Party and Bard Class only.</v>
      </c>
      <c r="G554" s="16">
        <f>IFERROR(__xludf.DUMMYFUNCTION("""COMPUTED_VALUE"""),7800000.0)</f>
        <v>7800000</v>
      </c>
      <c r="H554" s="16"/>
      <c r="I554" s="16"/>
      <c r="J554" s="16"/>
      <c r="K554" s="16"/>
      <c r="L554" s="16"/>
      <c r="M554" s="16"/>
      <c r="N554" s="16"/>
      <c r="O554" s="16"/>
      <c r="P554" s="16"/>
      <c r="Q554" s="16"/>
      <c r="R554" s="16"/>
      <c r="S554" s="16"/>
      <c r="T554" s="16"/>
      <c r="U554" s="16"/>
      <c r="V554" s="16"/>
      <c r="W554" s="16"/>
      <c r="X554" s="16"/>
      <c r="Y554" s="16"/>
      <c r="Z554" s="16"/>
    </row>
    <row r="555">
      <c r="A555" s="16" t="str">
        <f>IFERROR(__xludf.DUMMYFUNCTION("""COMPUTED_VALUE"""),"Minstrel's Doublet")</f>
        <v>Minstrel's Doublet</v>
      </c>
      <c r="B555" s="16" t="str">
        <f>IFERROR(__xludf.DUMMYFUNCTION("""COMPUTED_VALUE"""),"Quest Item")</f>
        <v>Quest Item</v>
      </c>
      <c r="C555" s="16"/>
      <c r="D555" s="16" t="str">
        <f>IFERROR(__xludf.DUMMYFUNCTION("""COMPUTED_VALUE"""),"Torso")</f>
        <v>Torso</v>
      </c>
      <c r="E555" s="16">
        <f>IFERROR(__xludf.DUMMYFUNCTION("""COMPUTED_VALUE"""),800.0)</f>
        <v>800</v>
      </c>
      <c r="F555" s="16" t="str">
        <f>IFERROR(__xludf.DUMMYFUNCTION("""COMPUTED_VALUE"""),"DEF: +40000 ++20,000 ACC and ATK. ++Upon surpassing 3 stacks of Disoriented you gain Invigorated until you drop below 3 stacks of Disoriented. +-Paladin of The Party and Bard Class only.")</f>
        <v>DEF: +40000 ++20,000 ACC and ATK. ++Upon surpassing 3 stacks of Disoriented you gain Invigorated until you drop below 3 stacks of Disoriented. +-Paladin of The Party and Bard Class only.</v>
      </c>
      <c r="G555" s="16">
        <f>IFERROR(__xludf.DUMMYFUNCTION("""COMPUTED_VALUE"""),3.16E7)</f>
        <v>31600000</v>
      </c>
      <c r="H555" s="16"/>
      <c r="I555" s="16"/>
      <c r="J555" s="16"/>
      <c r="K555" s="16"/>
      <c r="L555" s="16"/>
      <c r="M555" s="16"/>
      <c r="N555" s="16"/>
      <c r="O555" s="16"/>
      <c r="P555" s="16"/>
      <c r="Q555" s="16"/>
      <c r="R555" s="16"/>
      <c r="S555" s="16"/>
      <c r="T555" s="16"/>
      <c r="U555" s="16"/>
      <c r="V555" s="16"/>
      <c r="W555" s="16"/>
      <c r="X555" s="16"/>
      <c r="Y555" s="16"/>
      <c r="Z555" s="16"/>
    </row>
    <row r="556">
      <c r="A556" s="16" t="str">
        <f>IFERROR(__xludf.DUMMYFUNCTION("""COMPUTED_VALUE"""),"Minstrel's Cuffs")</f>
        <v>Minstrel's Cuffs</v>
      </c>
      <c r="B556" s="16" t="str">
        <f>IFERROR(__xludf.DUMMYFUNCTION("""COMPUTED_VALUE"""),"Quest Item")</f>
        <v>Quest Item</v>
      </c>
      <c r="C556" s="16"/>
      <c r="D556" s="16" t="str">
        <f>IFERROR(__xludf.DUMMYFUNCTION("""COMPUTED_VALUE"""),"Arms")</f>
        <v>Arms</v>
      </c>
      <c r="E556" s="16">
        <f>IFERROR(__xludf.DUMMYFUNCTION("""COMPUTED_VALUE"""),400.0)</f>
        <v>400</v>
      </c>
      <c r="F556" s="16" t="str">
        <f>IFERROR(__xludf.DUMMYFUNCTION("""COMPUTED_VALUE"""),"DEF: +20000 ++20,000 ACC and ATK. ++When using the entire Minstrel set you Double the DEF, ACC, and ATK of all allies. +-Paladin of The Party and Bard Class only.")</f>
        <v>DEF: +20000 ++20,000 ACC and ATK. ++When using the entire Minstrel set you Double the DEF, ACC, and ATK of all allies. +-Paladin of The Party and Bard Class only.</v>
      </c>
      <c r="G556" s="16">
        <f>IFERROR(__xludf.DUMMYFUNCTION("""COMPUTED_VALUE"""),7800000.0)</f>
        <v>7800000</v>
      </c>
      <c r="H556" s="16"/>
      <c r="I556" s="16"/>
      <c r="J556" s="16"/>
      <c r="K556" s="16"/>
      <c r="L556" s="16"/>
      <c r="M556" s="16"/>
      <c r="N556" s="16"/>
      <c r="O556" s="16"/>
      <c r="P556" s="16"/>
      <c r="Q556" s="16"/>
      <c r="R556" s="16"/>
      <c r="S556" s="16"/>
      <c r="T556" s="16"/>
      <c r="U556" s="16"/>
      <c r="V556" s="16"/>
      <c r="W556" s="16"/>
      <c r="X556" s="16"/>
      <c r="Y556" s="16"/>
      <c r="Z556" s="16"/>
    </row>
    <row r="557">
      <c r="A557" s="16" t="str">
        <f>IFERROR(__xludf.DUMMYFUNCTION("""COMPUTED_VALUE"""),"Heavenly Lute")</f>
        <v>Heavenly Lute</v>
      </c>
      <c r="B557" s="16" t="str">
        <f>IFERROR(__xludf.DUMMYFUNCTION("""COMPUTED_VALUE"""),"Quest Item")</f>
        <v>Quest Item</v>
      </c>
      <c r="C557" s="16" t="str">
        <f>IFERROR(__xludf.DUMMYFUNCTION("""COMPUTED_VALUE"""),"Instrument")</f>
        <v>Instrument</v>
      </c>
      <c r="D557" s="16" t="str">
        <f>IFERROR(__xludf.DUMMYFUNCTION("""COMPUTED_VALUE"""),"Hand")</f>
        <v>Hand</v>
      </c>
      <c r="E557" s="16">
        <f>IFERROR(__xludf.DUMMYFUNCTION("""COMPUTED_VALUE"""),900.0)</f>
        <v>900</v>
      </c>
      <c r="F557" s="16" t="str">
        <f>IFERROR(__xludf.DUMMYFUNCTION("""COMPUTED_VALUE"""),"DMG: +20000, Acoustic DMG: +25000 ++When attacking an enemy with this weapon gain 1 stack of Disoriented. ++May The Show Go On!: Expend all stacks of Disoriented dealing X*15000 Acoustic Damage for every stack of Disoriented expended,100 sp. +-Paladin of "&amp;"The Party and Bard Class only.")</f>
        <v>DMG: +20000, Acoustic DMG: +25000 ++When attacking an enemy with this weapon gain 1 stack of Disoriented. ++May The Show Go On!: Expend all stacks of Disoriented dealing X*15000 Acoustic Damage for every stack of Disoriented expended,100 sp. +-Paladin of The Party and Bard Class only.</v>
      </c>
      <c r="G557" s="16">
        <f>IFERROR(__xludf.DUMMYFUNCTION("""COMPUTED_VALUE"""),4.005E7)</f>
        <v>40050000</v>
      </c>
      <c r="H557" s="16"/>
      <c r="I557" s="16"/>
      <c r="J557" s="16"/>
      <c r="K557" s="16"/>
      <c r="L557" s="16"/>
      <c r="M557" s="16"/>
      <c r="N557" s="16"/>
      <c r="O557" s="16"/>
      <c r="P557" s="16"/>
      <c r="Q557" s="16"/>
      <c r="R557" s="16"/>
      <c r="S557" s="16"/>
      <c r="T557" s="16"/>
      <c r="U557" s="16"/>
      <c r="V557" s="16"/>
      <c r="W557" s="16"/>
      <c r="X557" s="16"/>
      <c r="Y557" s="16"/>
      <c r="Z557" s="16"/>
    </row>
    <row r="558">
      <c r="A558" s="16" t="str">
        <f>IFERROR(__xludf.DUMMYFUNCTION("""COMPUTED_VALUE"""),"Wine Stained Buckler With Portable Alcoholism")</f>
        <v>Wine Stained Buckler With Portable Alcoholism</v>
      </c>
      <c r="B558" s="16" t="str">
        <f>IFERROR(__xludf.DUMMYFUNCTION("""COMPUTED_VALUE"""),"Quest Item")</f>
        <v>Quest Item</v>
      </c>
      <c r="C558" s="16" t="str">
        <f>IFERROR(__xludf.DUMMYFUNCTION("""COMPUTED_VALUE"""),"Buckler")</f>
        <v>Buckler</v>
      </c>
      <c r="D558" s="16" t="str">
        <f>IFERROR(__xludf.DUMMYFUNCTION("""COMPUTED_VALUE"""),"Hand")</f>
        <v>Hand</v>
      </c>
      <c r="E558" s="16">
        <f>IFERROR(__xludf.DUMMYFUNCTION("""COMPUTED_VALUE"""),1500.0)</f>
        <v>1500</v>
      </c>
      <c r="F558" s="16" t="str">
        <f>IFERROR(__xludf.DUMMYFUNCTION("""COMPUTED_VALUE"""),"DEF: +50000, Acoustic DEF: +25000 ++Free Wine for All!: When hitting an enemy with this Buckler inflict 3 stacks of Disoriented on that enemy. +-That all you got?: When hit by any attack take 2 stacks of Disoriented. +-Paladin of The Party and Bard Class "&amp;"only.")</f>
        <v>DEF: +50000, Acoustic DEF: +25000 ++Free Wine for All!: When hitting an enemy with this Buckler inflict 3 stacks of Disoriented on that enemy. +-That all you got?: When hit by any attack take 2 stacks of Disoriented. +-Paladin of The Party and Bard Class only.</v>
      </c>
      <c r="G558" s="16">
        <f>IFERROR(__xludf.DUMMYFUNCTION("""COMPUTED_VALUE"""),1.1175E8)</f>
        <v>111750000</v>
      </c>
      <c r="H558" s="16"/>
      <c r="I558" s="16"/>
      <c r="J558" s="16"/>
      <c r="K558" s="16"/>
      <c r="L558" s="16"/>
      <c r="M558" s="16"/>
      <c r="N558" s="16"/>
      <c r="O558" s="16"/>
      <c r="P558" s="16"/>
      <c r="Q558" s="16"/>
      <c r="R558" s="16"/>
      <c r="S558" s="16"/>
      <c r="T558" s="16"/>
      <c r="U558" s="16"/>
      <c r="V558" s="16"/>
      <c r="W558" s="16"/>
      <c r="X558" s="16"/>
      <c r="Y558" s="16"/>
      <c r="Z558" s="16"/>
    </row>
    <row r="559">
      <c r="A559" s="16" t="str">
        <f>IFERROR(__xludf.DUMMYFUNCTION("""COMPUTED_VALUE"""),"Minstrel's Tights")</f>
        <v>Minstrel's Tights</v>
      </c>
      <c r="B559" s="16" t="str">
        <f>IFERROR(__xludf.DUMMYFUNCTION("""COMPUTED_VALUE"""),"Quest Item")</f>
        <v>Quest Item</v>
      </c>
      <c r="C559" s="16"/>
      <c r="D559" s="16" t="str">
        <f>IFERROR(__xludf.DUMMYFUNCTION("""COMPUTED_VALUE"""),"Legs")</f>
        <v>Legs</v>
      </c>
      <c r="E559" s="16">
        <f>IFERROR(__xludf.DUMMYFUNCTION("""COMPUTED_VALUE"""),400.0)</f>
        <v>400</v>
      </c>
      <c r="F559" s="16" t="str">
        <f>IFERROR(__xludf.DUMMYFUNCTION("""COMPUTED_VALUE"""),"DEF: +20000 ++20,000 ACC and ATK. ++X2 Acoustic Damage +-Paladin of The Party and Bard Class only.")</f>
        <v>DEF: +20000 ++20,000 ACC and ATK. ++X2 Acoustic Damage +-Paladin of The Party and Bard Class only.</v>
      </c>
      <c r="G559" s="16">
        <f>IFERROR(__xludf.DUMMYFUNCTION("""COMPUTED_VALUE"""),7800000.0)</f>
        <v>7800000</v>
      </c>
      <c r="H559" s="16"/>
      <c r="I559" s="16"/>
      <c r="J559" s="16"/>
      <c r="K559" s="16"/>
      <c r="L559" s="16"/>
      <c r="M559" s="16"/>
      <c r="N559" s="16"/>
      <c r="O559" s="16"/>
      <c r="P559" s="16"/>
      <c r="Q559" s="16"/>
      <c r="R559" s="16"/>
      <c r="S559" s="16"/>
      <c r="T559" s="16"/>
      <c r="U559" s="16"/>
      <c r="V559" s="16"/>
      <c r="W559" s="16"/>
      <c r="X559" s="16"/>
      <c r="Y559" s="16"/>
      <c r="Z559" s="16"/>
    </row>
    <row r="560">
      <c r="A560" s="16" t="str">
        <f>IFERROR(__xludf.DUMMYFUNCTION("""COMPUTED_VALUE"""),"Minstrel's Boots")</f>
        <v>Minstrel's Boots</v>
      </c>
      <c r="B560" s="16" t="str">
        <f>IFERROR(__xludf.DUMMYFUNCTION("""COMPUTED_VALUE"""),"Quest Item")</f>
        <v>Quest Item</v>
      </c>
      <c r="C560" s="16"/>
      <c r="D560" s="16" t="str">
        <f>IFERROR(__xludf.DUMMYFUNCTION("""COMPUTED_VALUE"""),"Feet")</f>
        <v>Feet</v>
      </c>
      <c r="E560" s="16">
        <f>IFERROR(__xludf.DUMMYFUNCTION("""COMPUTED_VALUE"""),400.0)</f>
        <v>400</v>
      </c>
      <c r="F560" s="16" t="str">
        <f>IFERROR(__xludf.DUMMYFUNCTION("""COMPUTED_VALUE"""),"DEF: +20000 ++20,000 ACC and ATK. ++Never Ending Dance of The Divine: Upon reaching 5 stacks of Disoriented inflict Haste 3 to all allies +-Paladin of The Party and Bard Class only.")</f>
        <v>DEF: +20000 ++20,000 ACC and ATK. ++Never Ending Dance of The Divine: Upon reaching 5 stacks of Disoriented inflict Haste 3 to all allies +-Paladin of The Party and Bard Class only.</v>
      </c>
      <c r="G560" s="16">
        <f>IFERROR(__xludf.DUMMYFUNCTION("""COMPUTED_VALUE"""),7800000.0)</f>
        <v>7800000</v>
      </c>
      <c r="H560" s="16"/>
      <c r="I560" s="16"/>
      <c r="J560" s="16"/>
      <c r="K560" s="16"/>
      <c r="L560" s="16"/>
      <c r="M560" s="16"/>
      <c r="N560" s="16"/>
      <c r="O560" s="16"/>
      <c r="P560" s="16"/>
      <c r="Q560" s="16"/>
      <c r="R560" s="16"/>
      <c r="S560" s="16"/>
      <c r="T560" s="16"/>
      <c r="U560" s="16"/>
      <c r="V560" s="16"/>
      <c r="W560" s="16"/>
      <c r="X560" s="16"/>
      <c r="Y560" s="16"/>
      <c r="Z560" s="16"/>
    </row>
    <row r="561">
      <c r="A561" s="16" t="str">
        <f>IFERROR(__xludf.DUMMYFUNCTION("""COMPUTED_VALUE"""),"Brass Ring of Blackout Drunkenness")</f>
        <v>Brass Ring of Blackout Drunkenness</v>
      </c>
      <c r="B561" s="16" t="str">
        <f>IFERROR(__xludf.DUMMYFUNCTION("""COMPUTED_VALUE"""),"Quest Item")</f>
        <v>Quest Item</v>
      </c>
      <c r="C561" s="16"/>
      <c r="D561" s="16" t="str">
        <f>IFERROR(__xludf.DUMMYFUNCTION("""COMPUTED_VALUE"""),"Ring")</f>
        <v>Ring</v>
      </c>
      <c r="E561" s="16">
        <f>IFERROR(__xludf.DUMMYFUNCTION("""COMPUTED_VALUE"""),1.0)</f>
        <v>1</v>
      </c>
      <c r="F561" s="16" t="str">
        <f>IFERROR(__xludf.DUMMYFUNCTION("""COMPUTED_VALUE""")," ++Upon Reaching 10 stacks of Disoriented remove a random enemy from battle whilst also being removed from battle yourself. +-Paladin of The Party and Bard Class only.")</f>
        <v> ++Upon Reaching 10 stacks of Disoriented remove a random enemy from battle whilst also being removed from battle yourself. +-Paladin of The Party and Bard Class only.</v>
      </c>
      <c r="G561" s="16">
        <f>IFERROR(__xludf.DUMMYFUNCTION("""COMPUTED_VALUE"""),0.0)</f>
        <v>0</v>
      </c>
      <c r="H561" s="16"/>
      <c r="I561" s="16"/>
      <c r="J561" s="16"/>
      <c r="K561" s="16"/>
      <c r="L561" s="16"/>
      <c r="M561" s="16"/>
      <c r="N561" s="16"/>
      <c r="O561" s="16"/>
      <c r="P561" s="16"/>
      <c r="Q561" s="16"/>
      <c r="R561" s="16"/>
      <c r="S561" s="16"/>
      <c r="T561" s="16"/>
      <c r="U561" s="16"/>
      <c r="V561" s="16"/>
      <c r="W561" s="16"/>
      <c r="X561" s="16"/>
      <c r="Y561" s="16"/>
      <c r="Z561" s="16"/>
    </row>
    <row r="562">
      <c r="A562" s="16" t="str">
        <f>IFERROR(__xludf.DUMMYFUNCTION("""COMPUTED_VALUE"""),"Wreath of The Party's Fervor")</f>
        <v>Wreath of The Party's Fervor</v>
      </c>
      <c r="B562" s="16" t="str">
        <f>IFERROR(__xludf.DUMMYFUNCTION("""COMPUTED_VALUE"""),"Quest Item")</f>
        <v>Quest Item</v>
      </c>
      <c r="C562" s="16"/>
      <c r="D562" s="16" t="str">
        <f>IFERROR(__xludf.DUMMYFUNCTION("""COMPUTED_VALUE"""),"Neck")</f>
        <v>Neck</v>
      </c>
      <c r="E562" s="16">
        <f>IFERROR(__xludf.DUMMYFUNCTION("""COMPUTED_VALUE"""),1.0)</f>
        <v>1</v>
      </c>
      <c r="F562" s="16" t="str">
        <f>IFERROR(__xludf.DUMMYFUNCTION("""COMPUTED_VALUE""")," ++When dealing Acoustic damage to any enemy there is a 5% chance for that enemy to be pacified for 3 rounds +-Paladin of The Party and Bard Class only.")</f>
        <v> ++When dealing Acoustic damage to any enemy there is a 5% chance for that enemy to be pacified for 3 rounds +-Paladin of The Party and Bard Class only.</v>
      </c>
      <c r="G562" s="16">
        <f>IFERROR(__xludf.DUMMYFUNCTION("""COMPUTED_VALUE"""),0.0)</f>
        <v>0</v>
      </c>
      <c r="H562" s="16"/>
      <c r="I562" s="16"/>
      <c r="J562" s="16"/>
      <c r="K562" s="16"/>
      <c r="L562" s="16"/>
      <c r="M562" s="16"/>
      <c r="N562" s="16"/>
      <c r="O562" s="16"/>
      <c r="P562" s="16"/>
      <c r="Q562" s="16"/>
      <c r="R562" s="16"/>
      <c r="S562" s="16"/>
      <c r="T562" s="16"/>
      <c r="U562" s="16"/>
      <c r="V562" s="16"/>
      <c r="W562" s="16"/>
      <c r="X562" s="16"/>
      <c r="Y562" s="16"/>
      <c r="Z562" s="16"/>
    </row>
    <row r="563">
      <c r="A563" s="16" t="str">
        <f>IFERROR(__xludf.DUMMYFUNCTION("""COMPUTED_VALUE"""),"Pauldrons of Tritonoch")</f>
        <v>Pauldrons of Tritonoch</v>
      </c>
      <c r="B563" s="16"/>
      <c r="C563" s="16"/>
      <c r="D563" s="16" t="str">
        <f>IFERROR(__xludf.DUMMYFUNCTION("""COMPUTED_VALUE"""),"Shoulders")</f>
        <v>Shoulders</v>
      </c>
      <c r="E563" s="16">
        <f>IFERROR(__xludf.DUMMYFUNCTION("""COMPUTED_VALUE"""),800.0)</f>
        <v>800</v>
      </c>
      <c r="F563" s="16" t="str">
        <f>IFERROR(__xludf.DUMMYFUNCTION("""COMPUTED_VALUE"""),"DEF: +20000, Water DEF: +20000 ++Waves of Entitlement - x5 additional Water damage")</f>
        <v>DEF: +20000, Water DEF: +20000 ++Waves of Entitlement - x5 additional Water damage</v>
      </c>
      <c r="G563" s="16">
        <f>IFERROR(__xludf.DUMMYFUNCTION("""COMPUTED_VALUE"""),3.16E7)</f>
        <v>31600000</v>
      </c>
      <c r="H563" s="16"/>
      <c r="I563" s="16"/>
      <c r="J563" s="16"/>
      <c r="K563" s="16"/>
      <c r="L563" s="16"/>
      <c r="M563" s="16"/>
      <c r="N563" s="16"/>
      <c r="O563" s="16"/>
      <c r="P563" s="16"/>
      <c r="Q563" s="16"/>
      <c r="R563" s="16"/>
      <c r="S563" s="16"/>
      <c r="T563" s="16"/>
      <c r="U563" s="16"/>
      <c r="V563" s="16"/>
      <c r="W563" s="16"/>
      <c r="X563" s="16"/>
      <c r="Y563" s="16"/>
      <c r="Z563" s="16"/>
    </row>
    <row r="564">
      <c r="A564" s="16" t="str">
        <f>IFERROR(__xludf.DUMMYFUNCTION("""COMPUTED_VALUE"""),"Chestplate of Tritonoch")</f>
        <v>Chestplate of Tritonoch</v>
      </c>
      <c r="B564" s="16"/>
      <c r="C564" s="16"/>
      <c r="D564" s="16" t="str">
        <f>IFERROR(__xludf.DUMMYFUNCTION("""COMPUTED_VALUE"""),"Torso")</f>
        <v>Torso</v>
      </c>
      <c r="E564" s="16">
        <f>IFERROR(__xludf.DUMMYFUNCTION("""COMPUTED_VALUE"""),800.0)</f>
        <v>800</v>
      </c>
      <c r="F564" s="16" t="str">
        <f>IFERROR(__xludf.DUMMYFUNCTION("""COMPUTED_VALUE"""),"DEF: +20000, Water DEF: +20000 ++Waves of Entitlement - x5 additional Water damage")</f>
        <v>DEF: +20000, Water DEF: +20000 ++Waves of Entitlement - x5 additional Water damage</v>
      </c>
      <c r="G564" s="16">
        <f>IFERROR(__xludf.DUMMYFUNCTION("""COMPUTED_VALUE"""),3.16E7)</f>
        <v>31600000</v>
      </c>
      <c r="H564" s="16"/>
      <c r="I564" s="16"/>
      <c r="J564" s="16"/>
      <c r="K564" s="16"/>
      <c r="L564" s="16"/>
      <c r="M564" s="16"/>
      <c r="N564" s="16"/>
      <c r="O564" s="16"/>
      <c r="P564" s="16"/>
      <c r="Q564" s="16"/>
      <c r="R564" s="16"/>
      <c r="S564" s="16"/>
      <c r="T564" s="16"/>
      <c r="U564" s="16"/>
      <c r="V564" s="16"/>
      <c r="W564" s="16"/>
      <c r="X564" s="16"/>
      <c r="Y564" s="16"/>
      <c r="Z564" s="16"/>
    </row>
    <row r="565">
      <c r="A565" s="16" t="str">
        <f>IFERROR(__xludf.DUMMYFUNCTION("""COMPUTED_VALUE"""),"Vambraces of Tritonoch")</f>
        <v>Vambraces of Tritonoch</v>
      </c>
      <c r="B565" s="16"/>
      <c r="C565" s="16"/>
      <c r="D565" s="16" t="str">
        <f>IFERROR(__xludf.DUMMYFUNCTION("""COMPUTED_VALUE"""),"Arms")</f>
        <v>Arms</v>
      </c>
      <c r="E565" s="16">
        <f>IFERROR(__xludf.DUMMYFUNCTION("""COMPUTED_VALUE"""),800.0)</f>
        <v>800</v>
      </c>
      <c r="F565" s="16" t="str">
        <f>IFERROR(__xludf.DUMMYFUNCTION("""COMPUTED_VALUE"""),"DEF: +20000, Water DEF: +20000 ++Waves of Entitlement - x5 additional Water damage")</f>
        <v>DEF: +20000, Water DEF: +20000 ++Waves of Entitlement - x5 additional Water damage</v>
      </c>
      <c r="G565" s="16">
        <f>IFERROR(__xludf.DUMMYFUNCTION("""COMPUTED_VALUE"""),3.16E7)</f>
        <v>31600000</v>
      </c>
      <c r="H565" s="16"/>
      <c r="I565" s="16"/>
      <c r="J565" s="16"/>
      <c r="K565" s="16"/>
      <c r="L565" s="16"/>
      <c r="M565" s="16"/>
      <c r="N565" s="16"/>
      <c r="O565" s="16"/>
      <c r="P565" s="16"/>
      <c r="Q565" s="16"/>
      <c r="R565" s="16"/>
      <c r="S565" s="16"/>
      <c r="T565" s="16"/>
      <c r="U565" s="16"/>
      <c r="V565" s="16"/>
      <c r="W565" s="16"/>
      <c r="X565" s="16"/>
      <c r="Y565" s="16"/>
      <c r="Z565" s="16"/>
    </row>
    <row r="566">
      <c r="A566" s="16" t="str">
        <f>IFERROR(__xludf.DUMMYFUNCTION("""COMPUTED_VALUE"""),"Trident of Tritonoch")</f>
        <v>Trident of Tritonoch</v>
      </c>
      <c r="B566" s="16"/>
      <c r="C566" s="16" t="str">
        <f>IFERROR(__xludf.DUMMYFUNCTION("""COMPUTED_VALUE"""),"Spear")</f>
        <v>Spear</v>
      </c>
      <c r="D566" s="16" t="str">
        <f>IFERROR(__xludf.DUMMYFUNCTION("""COMPUTED_VALUE"""),"Hand")</f>
        <v>Hand</v>
      </c>
      <c r="E566" s="16">
        <f>IFERROR(__xludf.DUMMYFUNCTION("""COMPUTED_VALUE"""),200.0)</f>
        <v>200</v>
      </c>
      <c r="F566" s="16" t="str">
        <f>IFERROR(__xludf.DUMMYFUNCTION("""COMPUTED_VALUE"""),"DMG: +20000, Water DMG: +20000, Celestial DMG: +20000 ++Waves of Entitlement II - x10 additional Water damage. 20% chance of Slowness 3 to the target. +-Cannot be duplicated")</f>
        <v>DMG: +20000, Water DMG: +20000, Celestial DMG: +20000 ++Waves of Entitlement II - x10 additional Water damage. 20% chance of Slowness 3 to the target. +-Cannot be duplicated</v>
      </c>
      <c r="G566" s="16">
        <f>IFERROR(__xludf.DUMMYFUNCTION("""COMPUTED_VALUE"""),7.14E7)</f>
        <v>71400000</v>
      </c>
      <c r="H566" s="16"/>
      <c r="I566" s="16"/>
      <c r="J566" s="16"/>
      <c r="K566" s="16"/>
      <c r="L566" s="16"/>
      <c r="M566" s="16"/>
      <c r="N566" s="16"/>
      <c r="O566" s="16"/>
      <c r="P566" s="16"/>
      <c r="Q566" s="16"/>
      <c r="R566" s="16"/>
      <c r="S566" s="16"/>
      <c r="T566" s="16"/>
      <c r="U566" s="16"/>
      <c r="V566" s="16"/>
      <c r="W566" s="16"/>
      <c r="X566" s="16"/>
      <c r="Y566" s="16"/>
      <c r="Z566" s="16"/>
    </row>
    <row r="567">
      <c r="A567" s="16" t="str">
        <f>IFERROR(__xludf.DUMMYFUNCTION("""COMPUTED_VALUE"""),"Boots of Tritonoch")</f>
        <v>Boots of Tritonoch</v>
      </c>
      <c r="B567" s="16"/>
      <c r="C567" s="16"/>
      <c r="D567" s="16" t="str">
        <f>IFERROR(__xludf.DUMMYFUNCTION("""COMPUTED_VALUE"""),"Feet")</f>
        <v>Feet</v>
      </c>
      <c r="E567" s="16">
        <f>IFERROR(__xludf.DUMMYFUNCTION("""COMPUTED_VALUE"""),800.0)</f>
        <v>800</v>
      </c>
      <c r="F567" s="16" t="str">
        <f>IFERROR(__xludf.DUMMYFUNCTION("""COMPUTED_VALUE"""),"DEF: +20000, Water DEF: +20000 ++Waves of Entitlement - x5 additional Water damage")</f>
        <v>DEF: +20000, Water DEF: +20000 ++Waves of Entitlement - x5 additional Water damage</v>
      </c>
      <c r="G567" s="16">
        <f>IFERROR(__xludf.DUMMYFUNCTION("""COMPUTED_VALUE"""),3.16E7)</f>
        <v>31600000</v>
      </c>
      <c r="H567" s="16"/>
      <c r="I567" s="16"/>
      <c r="J567" s="16"/>
      <c r="K567" s="16"/>
      <c r="L567" s="16"/>
      <c r="M567" s="16"/>
      <c r="N567" s="16"/>
      <c r="O567" s="16"/>
      <c r="P567" s="16"/>
      <c r="Q567" s="16"/>
      <c r="R567" s="16"/>
      <c r="S567" s="16"/>
      <c r="T567" s="16"/>
      <c r="U567" s="16"/>
      <c r="V567" s="16"/>
      <c r="W567" s="16"/>
      <c r="X567" s="16"/>
      <c r="Y567" s="16"/>
      <c r="Z567" s="16"/>
    </row>
    <row r="568">
      <c r="A568" s="16" t="str">
        <f>IFERROR(__xludf.DUMMYFUNCTION("""COMPUTED_VALUE"""),"Steel Bandit Dagger")</f>
        <v>Steel Bandit Dagger</v>
      </c>
      <c r="B568" s="16"/>
      <c r="C568" s="16" t="str">
        <f>IFERROR(__xludf.DUMMYFUNCTION("""COMPUTED_VALUE"""),"Knife")</f>
        <v>Knife</v>
      </c>
      <c r="D568" s="16" t="str">
        <f>IFERROR(__xludf.DUMMYFUNCTION("""COMPUTED_VALUE"""),"Hand")</f>
        <v>Hand</v>
      </c>
      <c r="E568" s="16">
        <f>IFERROR(__xludf.DUMMYFUNCTION("""COMPUTED_VALUE"""),1000.0)</f>
        <v>1000</v>
      </c>
      <c r="F568" s="16" t="str">
        <f>IFERROR(__xludf.DUMMYFUNCTION("""COMPUTED_VALUE"""),"DMG: +50000 ++10% chance to steal gilders upon hitting an enemy guilders stolen are equivalent to 1,000*d20")</f>
        <v>DMG: +50000 ++10% chance to steal gilders upon hitting an enemy guilders stolen are equivalent to 1,000*d20</v>
      </c>
      <c r="G568" s="16">
        <f>IFERROR(__xludf.DUMMYFUNCTION("""COMPUTED_VALUE"""),4.95E7)</f>
        <v>49500000</v>
      </c>
      <c r="H568" s="16"/>
      <c r="I568" s="16"/>
      <c r="J568" s="16"/>
      <c r="K568" s="16"/>
      <c r="L568" s="16"/>
      <c r="M568" s="16"/>
      <c r="N568" s="16"/>
      <c r="O568" s="16"/>
      <c r="P568" s="16"/>
      <c r="Q568" s="16"/>
      <c r="R568" s="16"/>
      <c r="S568" s="16"/>
      <c r="T568" s="16"/>
      <c r="U568" s="16"/>
      <c r="V568" s="16"/>
      <c r="W568" s="16"/>
      <c r="X568" s="16"/>
      <c r="Y568" s="16"/>
      <c r="Z568" s="16"/>
    </row>
    <row r="569">
      <c r="A569" s="16" t="str">
        <f>IFERROR(__xludf.DUMMYFUNCTION("""COMPUTED_VALUE"""),"Bandit Hide Helm")</f>
        <v>Bandit Hide Helm</v>
      </c>
      <c r="B569" s="16"/>
      <c r="C569" s="16"/>
      <c r="D569" s="16" t="str">
        <f>IFERROR(__xludf.DUMMYFUNCTION("""COMPUTED_VALUE"""),"Head")</f>
        <v>Head</v>
      </c>
      <c r="E569" s="16">
        <f>IFERROR(__xludf.DUMMYFUNCTION("""COMPUTED_VALUE"""),1000.0)</f>
        <v>1000</v>
      </c>
      <c r="F569" s="16" t="str">
        <f>IFERROR(__xludf.DUMMYFUNCTION("""COMPUTED_VALUE"""),"DEF: +50000")</f>
        <v>DEF: +50000</v>
      </c>
      <c r="G569" s="16">
        <f>IFERROR(__xludf.DUMMYFUNCTION("""COMPUTED_VALUE"""),4.95E7)</f>
        <v>49500000</v>
      </c>
      <c r="H569" s="16"/>
      <c r="I569" s="16"/>
      <c r="J569" s="16"/>
      <c r="K569" s="16"/>
      <c r="L569" s="16"/>
      <c r="M569" s="16"/>
      <c r="N569" s="16"/>
      <c r="O569" s="16"/>
      <c r="P569" s="16"/>
      <c r="Q569" s="16"/>
      <c r="R569" s="16"/>
      <c r="S569" s="16"/>
      <c r="T569" s="16"/>
      <c r="U569" s="16"/>
      <c r="V569" s="16"/>
      <c r="W569" s="16"/>
      <c r="X569" s="16"/>
      <c r="Y569" s="16"/>
      <c r="Z569" s="16"/>
    </row>
    <row r="570">
      <c r="A570" s="16" t="str">
        <f>IFERROR(__xludf.DUMMYFUNCTION("""COMPUTED_VALUE"""),"Bandit Hide Padding")</f>
        <v>Bandit Hide Padding</v>
      </c>
      <c r="B570" s="16"/>
      <c r="C570" s="16"/>
      <c r="D570" s="16" t="str">
        <f>IFERROR(__xludf.DUMMYFUNCTION("""COMPUTED_VALUE"""),"Shoulders")</f>
        <v>Shoulders</v>
      </c>
      <c r="E570" s="16">
        <f>IFERROR(__xludf.DUMMYFUNCTION("""COMPUTED_VALUE"""),1000.0)</f>
        <v>1000</v>
      </c>
      <c r="F570" s="16" t="str">
        <f>IFERROR(__xludf.DUMMYFUNCTION("""COMPUTED_VALUE"""),"DEF: +50000")</f>
        <v>DEF: +50000</v>
      </c>
      <c r="G570" s="16">
        <f>IFERROR(__xludf.DUMMYFUNCTION("""COMPUTED_VALUE"""),4.95E7)</f>
        <v>49500000</v>
      </c>
      <c r="H570" s="16"/>
      <c r="I570" s="16"/>
      <c r="J570" s="16"/>
      <c r="K570" s="16"/>
      <c r="L570" s="16"/>
      <c r="M570" s="16"/>
      <c r="N570" s="16"/>
      <c r="O570" s="16"/>
      <c r="P570" s="16"/>
      <c r="Q570" s="16"/>
      <c r="R570" s="16"/>
      <c r="S570" s="16"/>
      <c r="T570" s="16"/>
      <c r="U570" s="16"/>
      <c r="V570" s="16"/>
      <c r="W570" s="16"/>
      <c r="X570" s="16"/>
      <c r="Y570" s="16"/>
      <c r="Z570" s="16"/>
    </row>
    <row r="571">
      <c r="A571" s="16" t="str">
        <f>IFERROR(__xludf.DUMMYFUNCTION("""COMPUTED_VALUE"""),"Bandit Hide Chestplate")</f>
        <v>Bandit Hide Chestplate</v>
      </c>
      <c r="B571" s="16"/>
      <c r="C571" s="16"/>
      <c r="D571" s="16" t="str">
        <f>IFERROR(__xludf.DUMMYFUNCTION("""COMPUTED_VALUE"""),"Torso")</f>
        <v>Torso</v>
      </c>
      <c r="E571" s="16">
        <f>IFERROR(__xludf.DUMMYFUNCTION("""COMPUTED_VALUE"""),1000.0)</f>
        <v>1000</v>
      </c>
      <c r="F571" s="16" t="str">
        <f>IFERROR(__xludf.DUMMYFUNCTION("""COMPUTED_VALUE"""),"DEF: +50000 ++X2 damage with Knives")</f>
        <v>DEF: +50000 ++X2 damage with Knives</v>
      </c>
      <c r="G571" s="16">
        <f>IFERROR(__xludf.DUMMYFUNCTION("""COMPUTED_VALUE"""),4.95E7)</f>
        <v>49500000</v>
      </c>
      <c r="H571" s="16"/>
      <c r="I571" s="16"/>
      <c r="J571" s="16"/>
      <c r="K571" s="16"/>
      <c r="L571" s="16"/>
      <c r="M571" s="16"/>
      <c r="N571" s="16"/>
      <c r="O571" s="16"/>
      <c r="P571" s="16"/>
      <c r="Q571" s="16"/>
      <c r="R571" s="16"/>
      <c r="S571" s="16"/>
      <c r="T571" s="16"/>
      <c r="U571" s="16"/>
      <c r="V571" s="16"/>
      <c r="W571" s="16"/>
      <c r="X571" s="16"/>
      <c r="Y571" s="16"/>
      <c r="Z571" s="16"/>
    </row>
    <row r="572">
      <c r="A572" s="16" t="str">
        <f>IFERROR(__xludf.DUMMYFUNCTION("""COMPUTED_VALUE"""),"Bandit Hide Vambraces")</f>
        <v>Bandit Hide Vambraces</v>
      </c>
      <c r="B572" s="16"/>
      <c r="C572" s="16"/>
      <c r="D572" s="16" t="str">
        <f>IFERROR(__xludf.DUMMYFUNCTION("""COMPUTED_VALUE"""),"Arms")</f>
        <v>Arms</v>
      </c>
      <c r="E572" s="16">
        <f>IFERROR(__xludf.DUMMYFUNCTION("""COMPUTED_VALUE"""),1000.0)</f>
        <v>1000</v>
      </c>
      <c r="F572" s="16" t="str">
        <f>IFERROR(__xludf.DUMMYFUNCTION("""COMPUTED_VALUE"""),"DEF: +50000")</f>
        <v>DEF: +50000</v>
      </c>
      <c r="G572" s="16">
        <f>IFERROR(__xludf.DUMMYFUNCTION("""COMPUTED_VALUE"""),4.95E7)</f>
        <v>49500000</v>
      </c>
      <c r="H572" s="16"/>
      <c r="I572" s="16"/>
      <c r="J572" s="16"/>
      <c r="K572" s="16"/>
      <c r="L572" s="16"/>
      <c r="M572" s="16"/>
      <c r="N572" s="16"/>
      <c r="O572" s="16"/>
      <c r="P572" s="16"/>
      <c r="Q572" s="16"/>
      <c r="R572" s="16"/>
      <c r="S572" s="16"/>
      <c r="T572" s="16"/>
      <c r="U572" s="16"/>
      <c r="V572" s="16"/>
      <c r="W572" s="16"/>
      <c r="X572" s="16"/>
      <c r="Y572" s="16"/>
      <c r="Z572" s="16"/>
    </row>
    <row r="573">
      <c r="A573" s="16" t="str">
        <f>IFERROR(__xludf.DUMMYFUNCTION("""COMPUTED_VALUE"""),"Bandit Hide Greaves")</f>
        <v>Bandit Hide Greaves</v>
      </c>
      <c r="B573" s="16"/>
      <c r="C573" s="16"/>
      <c r="D573" s="16" t="str">
        <f>IFERROR(__xludf.DUMMYFUNCTION("""COMPUTED_VALUE"""),"Legs")</f>
        <v>Legs</v>
      </c>
      <c r="E573" s="16">
        <f>IFERROR(__xludf.DUMMYFUNCTION("""COMPUTED_VALUE"""),1000.0)</f>
        <v>1000</v>
      </c>
      <c r="F573" s="16" t="str">
        <f>IFERROR(__xludf.DUMMYFUNCTION("""COMPUTED_VALUE"""),"DEF: +50000")</f>
        <v>DEF: +50000</v>
      </c>
      <c r="G573" s="16">
        <f>IFERROR(__xludf.DUMMYFUNCTION("""COMPUTED_VALUE"""),4.95E7)</f>
        <v>49500000</v>
      </c>
      <c r="H573" s="16"/>
      <c r="I573" s="16"/>
      <c r="J573" s="16"/>
      <c r="K573" s="16"/>
      <c r="L573" s="16"/>
      <c r="M573" s="16"/>
      <c r="N573" s="16"/>
      <c r="O573" s="16"/>
      <c r="P573" s="16"/>
      <c r="Q573" s="16"/>
      <c r="R573" s="16"/>
      <c r="S573" s="16"/>
      <c r="T573" s="16"/>
      <c r="U573" s="16"/>
      <c r="V573" s="16"/>
      <c r="W573" s="16"/>
      <c r="X573" s="16"/>
      <c r="Y573" s="16"/>
      <c r="Z573" s="16"/>
    </row>
    <row r="574">
      <c r="A574" s="16" t="str">
        <f>IFERROR(__xludf.DUMMYFUNCTION("""COMPUTED_VALUE"""),"Bandit Hide Boots")</f>
        <v>Bandit Hide Boots</v>
      </c>
      <c r="B574" s="16"/>
      <c r="C574" s="16"/>
      <c r="D574" s="16" t="str">
        <f>IFERROR(__xludf.DUMMYFUNCTION("""COMPUTED_VALUE"""),"Feet")</f>
        <v>Feet</v>
      </c>
      <c r="E574" s="16">
        <f>IFERROR(__xludf.DUMMYFUNCTION("""COMPUTED_VALUE"""),1000.0)</f>
        <v>1000</v>
      </c>
      <c r="F574" s="16" t="str">
        <f>IFERROR(__xludf.DUMMYFUNCTION("""COMPUTED_VALUE"""),"DEF: +50000  ++5 to all confiscate, pickpocket, or take rolls")</f>
        <v>DEF: +50000  ++5 to all confiscate, pickpocket, or take rolls</v>
      </c>
      <c r="G574" s="16">
        <f>IFERROR(__xludf.DUMMYFUNCTION("""COMPUTED_VALUE"""),4.95E7)</f>
        <v>49500000</v>
      </c>
      <c r="H574" s="16"/>
      <c r="I574" s="16"/>
      <c r="J574" s="16"/>
      <c r="K574" s="16"/>
      <c r="L574" s="16"/>
      <c r="M574" s="16"/>
      <c r="N574" s="16"/>
      <c r="O574" s="16"/>
      <c r="P574" s="16"/>
      <c r="Q574" s="16"/>
      <c r="R574" s="16"/>
      <c r="S574" s="16"/>
      <c r="T574" s="16"/>
      <c r="U574" s="16"/>
      <c r="V574" s="16"/>
      <c r="W574" s="16"/>
      <c r="X574" s="16"/>
      <c r="Y574" s="16"/>
      <c r="Z574" s="16"/>
    </row>
    <row r="575">
      <c r="A575" s="16" t="str">
        <f>IFERROR(__xludf.DUMMYFUNCTION("""COMPUTED_VALUE"""),"Nunchucks")</f>
        <v>Nunchucks</v>
      </c>
      <c r="B575" s="16"/>
      <c r="C575" s="16" t="str">
        <f>IFERROR(__xludf.DUMMYFUNCTION("""COMPUTED_VALUE"""),"Club")</f>
        <v>Club</v>
      </c>
      <c r="D575" s="16" t="str">
        <f>IFERROR(__xludf.DUMMYFUNCTION("""COMPUTED_VALUE"""),"Hand")</f>
        <v>Hand</v>
      </c>
      <c r="E575" s="16">
        <f>IFERROR(__xludf.DUMMYFUNCTION("""COMPUTED_VALUE"""),3000.0)</f>
        <v>3000</v>
      </c>
      <c r="F575" s="16" t="str">
        <f>IFERROR(__xludf.DUMMYFUNCTION("""COMPUTED_VALUE"""),"DMG: +150000 ++10% chance to disarm your enemy when hitting them")</f>
        <v>DMG: +150000 ++10% chance to disarm your enemy when hitting them</v>
      </c>
      <c r="G575" s="16">
        <f>IFERROR(__xludf.DUMMYFUNCTION("""COMPUTED_VALUE"""),4.485E8)</f>
        <v>448500000</v>
      </c>
      <c r="H575" s="16"/>
      <c r="I575" s="16"/>
      <c r="J575" s="16"/>
      <c r="K575" s="16"/>
      <c r="L575" s="16"/>
      <c r="M575" s="16"/>
      <c r="N575" s="16"/>
      <c r="O575" s="16"/>
      <c r="P575" s="16"/>
      <c r="Q575" s="16"/>
      <c r="R575" s="16"/>
      <c r="S575" s="16"/>
      <c r="T575" s="16"/>
      <c r="U575" s="16"/>
      <c r="V575" s="16"/>
      <c r="W575" s="16"/>
      <c r="X575" s="16"/>
      <c r="Y575" s="16"/>
      <c r="Z575" s="16"/>
    </row>
    <row r="576">
      <c r="A576" s="16" t="str">
        <f>IFERROR(__xludf.DUMMYFUNCTION("""COMPUTED_VALUE"""),"Shuriken (Enhanced)")</f>
        <v>Shuriken (Enhanced)</v>
      </c>
      <c r="B576" s="16" t="str">
        <f>IFERROR(__xludf.DUMMYFUNCTION("""COMPUTED_VALUE"""),"the tantamount Ninja weapon, requires a level of dexterity you probably don't possess")</f>
        <v>the tantamount Ninja weapon, requires a level of dexterity you probably don't possess</v>
      </c>
      <c r="C576" s="16" t="str">
        <f>IFERROR(__xludf.DUMMYFUNCTION("""COMPUTED_VALUE"""),"Boomerang")</f>
        <v>Boomerang</v>
      </c>
      <c r="D576" s="16" t="str">
        <f>IFERROR(__xludf.DUMMYFUNCTION("""COMPUTED_VALUE"""),"Hand")</f>
        <v>Hand</v>
      </c>
      <c r="E576" s="16">
        <f>IFERROR(__xludf.DUMMYFUNCTION("""COMPUTED_VALUE"""),1500.0)</f>
        <v>1500</v>
      </c>
      <c r="F576" s="16" t="str">
        <f>IFERROR(__xludf.DUMMYFUNCTION("""COMPUTED_VALUE"""),"DMG: +50000, Blood DMG: +25000 ++Returns when thrown, can throw up to 4 in one attack (roll 1d4 to determine)")</f>
        <v>DMG: +50000, Blood DMG: +25000 ++Returns when thrown, can throw up to 4 in one attack (roll 1d4 to determine)</v>
      </c>
      <c r="G576" s="16">
        <f>IFERROR(__xludf.DUMMYFUNCTION("""COMPUTED_VALUE"""),1.1175E8)</f>
        <v>111750000</v>
      </c>
      <c r="H576" s="16"/>
      <c r="I576" s="16"/>
      <c r="J576" s="16"/>
      <c r="K576" s="16"/>
      <c r="L576" s="16"/>
      <c r="M576" s="16"/>
      <c r="N576" s="16"/>
      <c r="O576" s="16"/>
      <c r="P576" s="16"/>
      <c r="Q576" s="16"/>
      <c r="R576" s="16"/>
      <c r="S576" s="16"/>
      <c r="T576" s="16"/>
      <c r="U576" s="16"/>
      <c r="V576" s="16"/>
      <c r="W576" s="16"/>
      <c r="X576" s="16"/>
      <c r="Y576" s="16"/>
      <c r="Z576" s="16"/>
    </row>
    <row r="577">
      <c r="A577" s="16" t="str">
        <f>IFERROR(__xludf.DUMMYFUNCTION("""COMPUTED_VALUE"""),"Poison Dart Gun")</f>
        <v>Poison Dart Gun</v>
      </c>
      <c r="B577" s="16" t="str">
        <f>IFERROR(__xludf.DUMMYFUNCTION("""COMPUTED_VALUE"""),"Poisoners first, and most trusty weapon. Nearly as old as the poison masters themselves these weapons have been part of the ")</f>
        <v>Poisoners first, and most trusty weapon. Nearly as old as the poison masters themselves these weapons have been part of the </v>
      </c>
      <c r="C577" s="16" t="str">
        <f>IFERROR(__xludf.DUMMYFUNCTION("""COMPUTED_VALUE"""),"Firearm")</f>
        <v>Firearm</v>
      </c>
      <c r="D577" s="16" t="str">
        <f>IFERROR(__xludf.DUMMYFUNCTION("""COMPUTED_VALUE"""),"Hand")</f>
        <v>Hand</v>
      </c>
      <c r="E577" s="16">
        <f>IFERROR(__xludf.DUMMYFUNCTION("""COMPUTED_VALUE"""),2000.0)</f>
        <v>2000</v>
      </c>
      <c r="F577" s="16" t="str">
        <f>IFERROR(__xludf.DUMMYFUNCTION("""COMPUTED_VALUE"""),"DMG: +75000, Voodoo DMG: +25000 ++Inflicts Poison 2500 for 2 rounds. ++Uses darts as ammo")</f>
        <v>DMG: +75000, Voodoo DMG: +25000 ++Inflicts Poison 2500 for 2 rounds. ++Uses darts as ammo</v>
      </c>
      <c r="G577" s="16">
        <f>IFERROR(__xludf.DUMMYFUNCTION("""COMPUTED_VALUE"""),1.99E8)</f>
        <v>199000000</v>
      </c>
      <c r="H577" s="16"/>
      <c r="I577" s="16"/>
      <c r="J577" s="16"/>
      <c r="K577" s="16"/>
      <c r="L577" s="16"/>
      <c r="M577" s="16"/>
      <c r="N577" s="16"/>
      <c r="O577" s="16"/>
      <c r="P577" s="16"/>
      <c r="Q577" s="16"/>
      <c r="R577" s="16"/>
      <c r="S577" s="16"/>
      <c r="T577" s="16"/>
      <c r="U577" s="16"/>
      <c r="V577" s="16"/>
      <c r="W577" s="16"/>
      <c r="X577" s="16"/>
      <c r="Y577" s="16"/>
      <c r="Z577" s="16"/>
    </row>
    <row r="578">
      <c r="A578" s="16" t="str">
        <f>IFERROR(__xludf.DUMMYFUNCTION("""COMPUTED_VALUE"""),"Poison Tipped Needle")</f>
        <v>Poison Tipped Needle</v>
      </c>
      <c r="B578" s="16" t="str">
        <f>IFERROR(__xludf.DUMMYFUNCTION("""COMPUTED_VALUE"""),"A needle dipped in master Wushang's thousand poisons or some other Wuxia novel esque bullshit")</f>
        <v>A needle dipped in master Wushang's thousand poisons or some other Wuxia novel esque bullshit</v>
      </c>
      <c r="C578" s="16" t="str">
        <f>IFERROR(__xludf.DUMMYFUNCTION("""COMPUTED_VALUE"""),"Knife")</f>
        <v>Knife</v>
      </c>
      <c r="D578" s="16" t="str">
        <f>IFERROR(__xludf.DUMMYFUNCTION("""COMPUTED_VALUE"""),"Hand")</f>
        <v>Hand</v>
      </c>
      <c r="E578" s="16">
        <f>IFERROR(__xludf.DUMMYFUNCTION("""COMPUTED_VALUE"""),2000.0)</f>
        <v>2000</v>
      </c>
      <c r="F578" s="16" t="str">
        <f>IFERROR(__xludf.DUMMYFUNCTION("""COMPUTED_VALUE"""),"DMG: +75000, Voodoo DMG: +25000 ++When rolling a Natural 19 or 20 deals X3 Damage. ++Inflicts Poison 100")</f>
        <v>DMG: +75000, Voodoo DMG: +25000 ++When rolling a Natural 19 or 20 deals X3 Damage. ++Inflicts Poison 100</v>
      </c>
      <c r="G578" s="16">
        <f>IFERROR(__xludf.DUMMYFUNCTION("""COMPUTED_VALUE"""),1.99E8)</f>
        <v>199000000</v>
      </c>
      <c r="H578" s="16"/>
      <c r="I578" s="16"/>
      <c r="J578" s="16"/>
      <c r="K578" s="16"/>
      <c r="L578" s="16"/>
      <c r="M578" s="16"/>
      <c r="N578" s="16"/>
      <c r="O578" s="16"/>
      <c r="P578" s="16"/>
      <c r="Q578" s="16"/>
      <c r="R578" s="16"/>
      <c r="S578" s="16"/>
      <c r="T578" s="16"/>
      <c r="U578" s="16"/>
      <c r="V578" s="16"/>
      <c r="W578" s="16"/>
      <c r="X578" s="16"/>
      <c r="Y578" s="16"/>
      <c r="Z578" s="16"/>
    </row>
    <row r="579">
      <c r="A579" s="16" t="str">
        <f>IFERROR(__xludf.DUMMYFUNCTION("""COMPUTED_VALUE"""),"Katana (Enhanced)")</f>
        <v>Katana (Enhanced)</v>
      </c>
      <c r="B579" s="16" t="str">
        <f>IFERROR(__xludf.DUMMYFUNCTION("""COMPUTED_VALUE"""),"The sword of weebs and actual samurai alike, surprisingly yes, weebs do exist in Spira")</f>
        <v>The sword of weebs and actual samurai alike, surprisingly yes, weebs do exist in Spira</v>
      </c>
      <c r="C579" s="16" t="str">
        <f>IFERROR(__xludf.DUMMYFUNCTION("""COMPUTED_VALUE"""),"Sword")</f>
        <v>Sword</v>
      </c>
      <c r="D579" s="16" t="str">
        <f>IFERROR(__xludf.DUMMYFUNCTION("""COMPUTED_VALUE"""),"Hand")</f>
        <v>Hand</v>
      </c>
      <c r="E579" s="16">
        <f>IFERROR(__xludf.DUMMYFUNCTION("""COMPUTED_VALUE"""),2500.0)</f>
        <v>2500</v>
      </c>
      <c r="F579" s="16" t="str">
        <f>IFERROR(__xludf.DUMMYFUNCTION("""COMPUTED_VALUE"""),"DMG: +125000 ++Triples the chance for the sword ability to activate, +-Cannot be Forged")</f>
        <v>DMG: +125000 ++Triples the chance for the sword ability to activate, +-Cannot be Forged</v>
      </c>
      <c r="G579" s="16">
        <f>IFERROR(__xludf.DUMMYFUNCTION("""COMPUTED_VALUE"""),3.1125E8)</f>
        <v>311250000</v>
      </c>
      <c r="H579" s="16"/>
      <c r="I579" s="16"/>
      <c r="J579" s="16"/>
      <c r="K579" s="16"/>
      <c r="L579" s="16"/>
      <c r="M579" s="16"/>
      <c r="N579" s="16"/>
      <c r="O579" s="16"/>
      <c r="P579" s="16"/>
      <c r="Q579" s="16"/>
      <c r="R579" s="16"/>
      <c r="S579" s="16"/>
      <c r="T579" s="16"/>
      <c r="U579" s="16"/>
      <c r="V579" s="16"/>
      <c r="W579" s="16"/>
      <c r="X579" s="16"/>
      <c r="Y579" s="16"/>
      <c r="Z579" s="16"/>
    </row>
    <row r="580">
      <c r="A580" s="16" t="str">
        <f>IFERROR(__xludf.DUMMYFUNCTION("""COMPUTED_VALUE"""),"Ninja Initiate's Cowl")</f>
        <v>Ninja Initiate's Cowl</v>
      </c>
      <c r="B580" s="16" t="str">
        <f>IFERROR(__xludf.DUMMYFUNCTION("""COMPUTED_VALUE"""),"Armor given to newbie Ninja's who have yet to choose a master")</f>
        <v>Armor given to newbie Ninja's who have yet to choose a master</v>
      </c>
      <c r="C580" s="16"/>
      <c r="D580" s="16" t="str">
        <f>IFERROR(__xludf.DUMMYFUNCTION("""COMPUTED_VALUE"""),"Head")</f>
        <v>Head</v>
      </c>
      <c r="E580" s="16">
        <f>IFERROR(__xludf.DUMMYFUNCTION("""COMPUTED_VALUE"""),2500.0)</f>
        <v>2500</v>
      </c>
      <c r="F580" s="16" t="str">
        <f>IFERROR(__xludf.DUMMYFUNCTION("""COMPUTED_VALUE"""),"DEF: +125000 ++X2 damage with Knives")</f>
        <v>DEF: +125000 ++X2 damage with Knives</v>
      </c>
      <c r="G580" s="16">
        <f>IFERROR(__xludf.DUMMYFUNCTION("""COMPUTED_VALUE"""),3.1125E8)</f>
        <v>311250000</v>
      </c>
      <c r="H580" s="16"/>
      <c r="I580" s="16"/>
      <c r="J580" s="16"/>
      <c r="K580" s="16"/>
      <c r="L580" s="16"/>
      <c r="M580" s="16"/>
      <c r="N580" s="16"/>
      <c r="O580" s="16"/>
      <c r="P580" s="16"/>
      <c r="Q580" s="16"/>
      <c r="R580" s="16"/>
      <c r="S580" s="16"/>
      <c r="T580" s="16"/>
      <c r="U580" s="16"/>
      <c r="V580" s="16"/>
      <c r="W580" s="16"/>
      <c r="X580" s="16"/>
      <c r="Y580" s="16"/>
      <c r="Z580" s="16"/>
    </row>
    <row r="581">
      <c r="A581" s="16" t="str">
        <f>IFERROR(__xludf.DUMMYFUNCTION("""COMPUTED_VALUE"""),"Ninja Initiate's Cape")</f>
        <v>Ninja Initiate's Cape</v>
      </c>
      <c r="B581" s="16" t="str">
        <f>IFERROR(__xludf.DUMMYFUNCTION("""COMPUTED_VALUE"""),"Armor given to newbie Ninja's who have yet to choose a master")</f>
        <v>Armor given to newbie Ninja's who have yet to choose a master</v>
      </c>
      <c r="C581" s="16"/>
      <c r="D581" s="16" t="str">
        <f>IFERROR(__xludf.DUMMYFUNCTION("""COMPUTED_VALUE"""),"Shoulders")</f>
        <v>Shoulders</v>
      </c>
      <c r="E581" s="16">
        <f>IFERROR(__xludf.DUMMYFUNCTION("""COMPUTED_VALUE"""),2500.0)</f>
        <v>2500</v>
      </c>
      <c r="F581" s="16" t="str">
        <f>IFERROR(__xludf.DUMMYFUNCTION("""COMPUTED_VALUE"""),"DEF: +125000 ++X2 damage with Knives")</f>
        <v>DEF: +125000 ++X2 damage with Knives</v>
      </c>
      <c r="G581" s="16">
        <f>IFERROR(__xludf.DUMMYFUNCTION("""COMPUTED_VALUE"""),3.1125E8)</f>
        <v>311250000</v>
      </c>
      <c r="H581" s="16"/>
      <c r="I581" s="16"/>
      <c r="J581" s="16"/>
      <c r="K581" s="16"/>
      <c r="L581" s="16"/>
      <c r="M581" s="16"/>
      <c r="N581" s="16"/>
      <c r="O581" s="16"/>
      <c r="P581" s="16"/>
      <c r="Q581" s="16"/>
      <c r="R581" s="16"/>
      <c r="S581" s="16"/>
      <c r="T581" s="16"/>
      <c r="U581" s="16"/>
      <c r="V581" s="16"/>
      <c r="W581" s="16"/>
      <c r="X581" s="16"/>
      <c r="Y581" s="16"/>
      <c r="Z581" s="16"/>
    </row>
    <row r="582">
      <c r="A582" s="16" t="str">
        <f>IFERROR(__xludf.DUMMYFUNCTION("""COMPUTED_VALUE"""),"Ninja Initiate's Vest")</f>
        <v>Ninja Initiate's Vest</v>
      </c>
      <c r="B582" s="16" t="str">
        <f>IFERROR(__xludf.DUMMYFUNCTION("""COMPUTED_VALUE"""),"Armor given to newbie Ninja's who have yet to choose a master")</f>
        <v>Armor given to newbie Ninja's who have yet to choose a master</v>
      </c>
      <c r="C582" s="16"/>
      <c r="D582" s="16" t="str">
        <f>IFERROR(__xludf.DUMMYFUNCTION("""COMPUTED_VALUE"""),"Torso")</f>
        <v>Torso</v>
      </c>
      <c r="E582" s="16">
        <f>IFERROR(__xludf.DUMMYFUNCTION("""COMPUTED_VALUE"""),2500.0)</f>
        <v>2500</v>
      </c>
      <c r="F582" s="16" t="str">
        <f>IFERROR(__xludf.DUMMYFUNCTION("""COMPUTED_VALUE"""),"DEF: +125000 ++X2 damage with Knives")</f>
        <v>DEF: +125000 ++X2 damage with Knives</v>
      </c>
      <c r="G582" s="16">
        <f>IFERROR(__xludf.DUMMYFUNCTION("""COMPUTED_VALUE"""),3.1125E8)</f>
        <v>311250000</v>
      </c>
      <c r="H582" s="16"/>
      <c r="I582" s="16"/>
      <c r="J582" s="16"/>
      <c r="K582" s="16"/>
      <c r="L582" s="16"/>
      <c r="M582" s="16"/>
      <c r="N582" s="16"/>
      <c r="O582" s="16"/>
      <c r="P582" s="16"/>
      <c r="Q582" s="16"/>
      <c r="R582" s="16"/>
      <c r="S582" s="16"/>
      <c r="T582" s="16"/>
      <c r="U582" s="16"/>
      <c r="V582" s="16"/>
      <c r="W582" s="16"/>
      <c r="X582" s="16"/>
      <c r="Y582" s="16"/>
      <c r="Z582" s="16"/>
    </row>
    <row r="583">
      <c r="A583" s="16" t="str">
        <f>IFERROR(__xludf.DUMMYFUNCTION("""COMPUTED_VALUE"""),"Ninja Initiate's Gloves")</f>
        <v>Ninja Initiate's Gloves</v>
      </c>
      <c r="B583" s="16" t="str">
        <f>IFERROR(__xludf.DUMMYFUNCTION("""COMPUTED_VALUE"""),"Armor given to newbie Ninja's who have yet to choose a master")</f>
        <v>Armor given to newbie Ninja's who have yet to choose a master</v>
      </c>
      <c r="C583" s="16"/>
      <c r="D583" s="16" t="str">
        <f>IFERROR(__xludf.DUMMYFUNCTION("""COMPUTED_VALUE"""),"Arms")</f>
        <v>Arms</v>
      </c>
      <c r="E583" s="16">
        <f>IFERROR(__xludf.DUMMYFUNCTION("""COMPUTED_VALUE"""),2500.0)</f>
        <v>2500</v>
      </c>
      <c r="F583" s="16" t="str">
        <f>IFERROR(__xludf.DUMMYFUNCTION("""COMPUTED_VALUE"""),"DEF: +125000 ++X2 damage with Knives")</f>
        <v>DEF: +125000 ++X2 damage with Knives</v>
      </c>
      <c r="G583" s="16">
        <f>IFERROR(__xludf.DUMMYFUNCTION("""COMPUTED_VALUE"""),3.1125E8)</f>
        <v>311250000</v>
      </c>
      <c r="H583" s="16"/>
      <c r="I583" s="16"/>
      <c r="J583" s="16"/>
      <c r="K583" s="16"/>
      <c r="L583" s="16"/>
      <c r="M583" s="16"/>
      <c r="N583" s="16"/>
      <c r="O583" s="16"/>
      <c r="P583" s="16"/>
      <c r="Q583" s="16"/>
      <c r="R583" s="16"/>
      <c r="S583" s="16"/>
      <c r="T583" s="16"/>
      <c r="U583" s="16"/>
      <c r="V583" s="16"/>
      <c r="W583" s="16"/>
      <c r="X583" s="16"/>
      <c r="Y583" s="16"/>
      <c r="Z583" s="16"/>
    </row>
    <row r="584">
      <c r="A584" s="16" t="str">
        <f>IFERROR(__xludf.DUMMYFUNCTION("""COMPUTED_VALUE"""),"Ninja Initiate's Sarouel")</f>
        <v>Ninja Initiate's Sarouel</v>
      </c>
      <c r="B584" s="16" t="str">
        <f>IFERROR(__xludf.DUMMYFUNCTION("""COMPUTED_VALUE"""),"Armor given to newbie Ninja's who have yet to choose a master")</f>
        <v>Armor given to newbie Ninja's who have yet to choose a master</v>
      </c>
      <c r="C584" s="16"/>
      <c r="D584" s="16" t="str">
        <f>IFERROR(__xludf.DUMMYFUNCTION("""COMPUTED_VALUE"""),"Legs")</f>
        <v>Legs</v>
      </c>
      <c r="E584" s="16">
        <f>IFERROR(__xludf.DUMMYFUNCTION("""COMPUTED_VALUE"""),2500.0)</f>
        <v>2500</v>
      </c>
      <c r="F584" s="16" t="str">
        <f>IFERROR(__xludf.DUMMYFUNCTION("""COMPUTED_VALUE"""),"DEF: +125000 ++X2 damage with Knives")</f>
        <v>DEF: +125000 ++X2 damage with Knives</v>
      </c>
      <c r="G584" s="16">
        <f>IFERROR(__xludf.DUMMYFUNCTION("""COMPUTED_VALUE"""),3.1125E8)</f>
        <v>311250000</v>
      </c>
      <c r="H584" s="16"/>
      <c r="I584" s="16"/>
      <c r="J584" s="16"/>
      <c r="K584" s="16"/>
      <c r="L584" s="16"/>
      <c r="M584" s="16"/>
      <c r="N584" s="16"/>
      <c r="O584" s="16"/>
      <c r="P584" s="16"/>
      <c r="Q584" s="16"/>
      <c r="R584" s="16"/>
      <c r="S584" s="16"/>
      <c r="T584" s="16"/>
      <c r="U584" s="16"/>
      <c r="V584" s="16"/>
      <c r="W584" s="16"/>
      <c r="X584" s="16"/>
      <c r="Y584" s="16"/>
      <c r="Z584" s="16"/>
    </row>
    <row r="585">
      <c r="A585" s="16" t="str">
        <f>IFERROR(__xludf.DUMMYFUNCTION("""COMPUTED_VALUE"""),"Ninja Initiate's Sandals")</f>
        <v>Ninja Initiate's Sandals</v>
      </c>
      <c r="B585" s="16" t="str">
        <f>IFERROR(__xludf.DUMMYFUNCTION("""COMPUTED_VALUE"""),"Armor given to newbie Ninja's who have yet to choose a master")</f>
        <v>Armor given to newbie Ninja's who have yet to choose a master</v>
      </c>
      <c r="C585" s="16"/>
      <c r="D585" s="16" t="str">
        <f>IFERROR(__xludf.DUMMYFUNCTION("""COMPUTED_VALUE"""),"Feet")</f>
        <v>Feet</v>
      </c>
      <c r="E585" s="16">
        <f>IFERROR(__xludf.DUMMYFUNCTION("""COMPUTED_VALUE"""),2500.0)</f>
        <v>2500</v>
      </c>
      <c r="F585" s="16" t="str">
        <f>IFERROR(__xludf.DUMMYFUNCTION("""COMPUTED_VALUE"""),"DEF: +125000 ++X2 damage with Knives")</f>
        <v>DEF: +125000 ++X2 damage with Knives</v>
      </c>
      <c r="G585" s="16">
        <f>IFERROR(__xludf.DUMMYFUNCTION("""COMPUTED_VALUE"""),3.1125E8)</f>
        <v>311250000</v>
      </c>
      <c r="H585" s="16"/>
      <c r="I585" s="16"/>
      <c r="J585" s="16"/>
      <c r="K585" s="16"/>
      <c r="L585" s="16"/>
      <c r="M585" s="16"/>
      <c r="N585" s="16"/>
      <c r="O585" s="16"/>
      <c r="P585" s="16"/>
      <c r="Q585" s="16"/>
      <c r="R585" s="16"/>
      <c r="S585" s="16"/>
      <c r="T585" s="16"/>
      <c r="U585" s="16"/>
      <c r="V585" s="16"/>
      <c r="W585" s="16"/>
      <c r="X585" s="16"/>
      <c r="Y585" s="16"/>
      <c r="Z585" s="16"/>
    </row>
    <row r="586">
      <c r="A586" s="16" t="str">
        <f>IFERROR(__xludf.DUMMYFUNCTION("""COMPUTED_VALUE"""),"Sai")</f>
        <v>Sai</v>
      </c>
      <c r="B586" s="16" t="str">
        <f>IFERROR(__xludf.DUMMYFUNCTION("""COMPUTED_VALUE"""),"A weapon designed for redirecting an enemies blade and then striking for their vitals")</f>
        <v>A weapon designed for redirecting an enemies blade and then striking for their vitals</v>
      </c>
      <c r="C586" s="16" t="str">
        <f>IFERROR(__xludf.DUMMYFUNCTION("""COMPUTED_VALUE"""),"Knife")</f>
        <v>Knife</v>
      </c>
      <c r="D586" s="16" t="str">
        <f>IFERROR(__xludf.DUMMYFUNCTION("""COMPUTED_VALUE"""),"Hand")</f>
        <v>Hand</v>
      </c>
      <c r="E586" s="16">
        <f>IFERROR(__xludf.DUMMYFUNCTION("""COMPUTED_VALUE"""),2500.0)</f>
        <v>2500</v>
      </c>
      <c r="F586" s="16" t="str">
        <f>IFERROR(__xludf.DUMMYFUNCTION("""COMPUTED_VALUE"""),"DEF: +125000 ++Defensive Fighting: This weapon uses it's DEF as damage for attacks made with the weapon. ++Dastardly Deflection: 25% chance to parry any weapon attacks targeting the user.")</f>
        <v>DEF: +125000 ++Defensive Fighting: This weapon uses it's DEF as damage for attacks made with the weapon. ++Dastardly Deflection: 25% chance to parry any weapon attacks targeting the user.</v>
      </c>
      <c r="G586" s="16">
        <f>IFERROR(__xludf.DUMMYFUNCTION("""COMPUTED_VALUE"""),3.1125E8)</f>
        <v>311250000</v>
      </c>
      <c r="H586" s="16"/>
      <c r="I586" s="16"/>
      <c r="J586" s="16"/>
      <c r="K586" s="16"/>
      <c r="L586" s="16"/>
      <c r="M586" s="16"/>
      <c r="N586" s="16"/>
      <c r="O586" s="16"/>
      <c r="P586" s="16"/>
      <c r="Q586" s="16"/>
      <c r="R586" s="16"/>
      <c r="S586" s="16"/>
      <c r="T586" s="16"/>
      <c r="U586" s="16"/>
      <c r="V586" s="16"/>
      <c r="W586" s="16"/>
      <c r="X586" s="16"/>
      <c r="Y586" s="16"/>
      <c r="Z586" s="16"/>
    </row>
    <row r="587">
      <c r="A587" s="16" t="str">
        <f>IFERROR(__xludf.DUMMYFUNCTION("""COMPUTED_VALUE"""),"Poison Master's Mask")</f>
        <v>Poison Master's Mask</v>
      </c>
      <c r="B587"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7" s="16"/>
      <c r="D587" s="16" t="str">
        <f>IFERROR(__xludf.DUMMYFUNCTION("""COMPUTED_VALUE"""),"Head")</f>
        <v>Head</v>
      </c>
      <c r="E587" s="16">
        <f>IFERROR(__xludf.DUMMYFUNCTION("""COMPUTED_VALUE"""),2500.0)</f>
        <v>2500</v>
      </c>
      <c r="F587" s="16" t="str">
        <f>IFERROR(__xludf.DUMMYFUNCTION("""COMPUTED_VALUE"""),"DEF: +125000 ++X2 Poison damage")</f>
        <v>DEF: +125000 ++X2 Poison damage</v>
      </c>
      <c r="G587" s="16">
        <f>IFERROR(__xludf.DUMMYFUNCTION("""COMPUTED_VALUE"""),3.1125E8)</f>
        <v>311250000</v>
      </c>
      <c r="H587" s="16"/>
      <c r="I587" s="16"/>
      <c r="J587" s="16"/>
      <c r="K587" s="16"/>
      <c r="L587" s="16"/>
      <c r="M587" s="16"/>
      <c r="N587" s="16"/>
      <c r="O587" s="16"/>
      <c r="P587" s="16"/>
      <c r="Q587" s="16"/>
      <c r="R587" s="16"/>
      <c r="S587" s="16"/>
      <c r="T587" s="16"/>
      <c r="U587" s="16"/>
      <c r="V587" s="16"/>
      <c r="W587" s="16"/>
      <c r="X587" s="16"/>
      <c r="Y587" s="16"/>
      <c r="Z587" s="16"/>
    </row>
    <row r="588">
      <c r="A588" s="16" t="str">
        <f>IFERROR(__xludf.DUMMYFUNCTION("""COMPUTED_VALUE"""),"Poison Master's Cape")</f>
        <v>Poison Master's Cape</v>
      </c>
      <c r="B588"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8" s="16"/>
      <c r="D588" s="16" t="str">
        <f>IFERROR(__xludf.DUMMYFUNCTION("""COMPUTED_VALUE"""),"Shoulders")</f>
        <v>Shoulders</v>
      </c>
      <c r="E588" s="16">
        <f>IFERROR(__xludf.DUMMYFUNCTION("""COMPUTED_VALUE"""),2500.0)</f>
        <v>2500</v>
      </c>
      <c r="F588" s="16" t="str">
        <f>IFERROR(__xludf.DUMMYFUNCTION("""COMPUTED_VALUE"""),"DEF: +125000 ++X2 Poison damage")</f>
        <v>DEF: +125000 ++X2 Poison damage</v>
      </c>
      <c r="G588" s="16">
        <f>IFERROR(__xludf.DUMMYFUNCTION("""COMPUTED_VALUE"""),3.1125E8)</f>
        <v>311250000</v>
      </c>
      <c r="H588" s="16"/>
      <c r="I588" s="16"/>
      <c r="J588" s="16"/>
      <c r="K588" s="16"/>
      <c r="L588" s="16"/>
      <c r="M588" s="16"/>
      <c r="N588" s="16"/>
      <c r="O588" s="16"/>
      <c r="P588" s="16"/>
      <c r="Q588" s="16"/>
      <c r="R588" s="16"/>
      <c r="S588" s="16"/>
      <c r="T588" s="16"/>
      <c r="U588" s="16"/>
      <c r="V588" s="16"/>
      <c r="W588" s="16"/>
      <c r="X588" s="16"/>
      <c r="Y588" s="16"/>
      <c r="Z588" s="16"/>
    </row>
    <row r="589">
      <c r="A589" s="16" t="str">
        <f>IFERROR(__xludf.DUMMYFUNCTION("""COMPUTED_VALUE"""),"Poison Master's Robe")</f>
        <v>Poison Master's Robe</v>
      </c>
      <c r="B589"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9" s="16"/>
      <c r="D589" s="16" t="str">
        <f>IFERROR(__xludf.DUMMYFUNCTION("""COMPUTED_VALUE"""),"Torso")</f>
        <v>Torso</v>
      </c>
      <c r="E589" s="16">
        <f>IFERROR(__xludf.DUMMYFUNCTION("""COMPUTED_VALUE"""),2500.0)</f>
        <v>2500</v>
      </c>
      <c r="F589" s="16" t="str">
        <f>IFERROR(__xludf.DUMMYFUNCTION("""COMPUTED_VALUE"""),"DEF: +125000")</f>
        <v>DEF: +125000</v>
      </c>
      <c r="G589" s="16">
        <f>IFERROR(__xludf.DUMMYFUNCTION("""COMPUTED_VALUE"""),3.1125E8)</f>
        <v>311250000</v>
      </c>
      <c r="H589" s="16"/>
      <c r="I589" s="16"/>
      <c r="J589" s="16"/>
      <c r="K589" s="16"/>
      <c r="L589" s="16"/>
      <c r="M589" s="16"/>
      <c r="N589" s="16"/>
      <c r="O589" s="16"/>
      <c r="P589" s="16"/>
      <c r="Q589" s="16"/>
      <c r="R589" s="16"/>
      <c r="S589" s="16"/>
      <c r="T589" s="16"/>
      <c r="U589" s="16"/>
      <c r="V589" s="16"/>
      <c r="W589" s="16"/>
      <c r="X589" s="16"/>
      <c r="Y589" s="16"/>
      <c r="Z589" s="16"/>
    </row>
    <row r="590">
      <c r="A590" s="16" t="str">
        <f>IFERROR(__xludf.DUMMYFUNCTION("""COMPUTED_VALUE"""),"Poison Master's Heavy Duty Gloves")</f>
        <v>Poison Master's Heavy Duty Gloves</v>
      </c>
      <c r="B590"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0" s="16"/>
      <c r="D590" s="16" t="str">
        <f>IFERROR(__xludf.DUMMYFUNCTION("""COMPUTED_VALUE"""),"Arms")</f>
        <v>Arms</v>
      </c>
      <c r="E590" s="16">
        <f>IFERROR(__xludf.DUMMYFUNCTION("""COMPUTED_VALUE"""),2500.0)</f>
        <v>2500</v>
      </c>
      <c r="F590" s="16" t="str">
        <f>IFERROR(__xludf.DUMMYFUNCTION("""COMPUTED_VALUE"""),"DEF: +125000 ++Poison Immunity")</f>
        <v>DEF: +125000 ++Poison Immunity</v>
      </c>
      <c r="G590" s="16">
        <f>IFERROR(__xludf.DUMMYFUNCTION("""COMPUTED_VALUE"""),3.1125E8)</f>
        <v>311250000</v>
      </c>
      <c r="H590" s="16"/>
      <c r="I590" s="16"/>
      <c r="J590" s="16"/>
      <c r="K590" s="16"/>
      <c r="L590" s="16"/>
      <c r="M590" s="16"/>
      <c r="N590" s="16"/>
      <c r="O590" s="16"/>
      <c r="P590" s="16"/>
      <c r="Q590" s="16"/>
      <c r="R590" s="16"/>
      <c r="S590" s="16"/>
      <c r="T590" s="16"/>
      <c r="U590" s="16"/>
      <c r="V590" s="16"/>
      <c r="W590" s="16"/>
      <c r="X590" s="16"/>
      <c r="Y590" s="16"/>
      <c r="Z590" s="16"/>
    </row>
    <row r="591">
      <c r="A591" s="16" t="str">
        <f>IFERROR(__xludf.DUMMYFUNCTION("""COMPUTED_VALUE"""),"Poison Master's Sarouel")</f>
        <v>Poison Master's Sarouel</v>
      </c>
      <c r="B591"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1" s="16"/>
      <c r="D591" s="16" t="str">
        <f>IFERROR(__xludf.DUMMYFUNCTION("""COMPUTED_VALUE"""),"Legs")</f>
        <v>Legs</v>
      </c>
      <c r="E591" s="16">
        <f>IFERROR(__xludf.DUMMYFUNCTION("""COMPUTED_VALUE"""),2500.0)</f>
        <v>2500</v>
      </c>
      <c r="F591" s="16" t="str">
        <f>IFERROR(__xludf.DUMMYFUNCTION("""COMPUTED_VALUE"""),"DEF: +125000")</f>
        <v>DEF: +125000</v>
      </c>
      <c r="G591" s="16">
        <f>IFERROR(__xludf.DUMMYFUNCTION("""COMPUTED_VALUE"""),3.1125E8)</f>
        <v>311250000</v>
      </c>
      <c r="H591" s="16"/>
      <c r="I591" s="16"/>
      <c r="J591" s="16"/>
      <c r="K591" s="16"/>
      <c r="L591" s="16"/>
      <c r="M591" s="16"/>
      <c r="N591" s="16"/>
      <c r="O591" s="16"/>
      <c r="P591" s="16"/>
      <c r="Q591" s="16"/>
      <c r="R591" s="16"/>
      <c r="S591" s="16"/>
      <c r="T591" s="16"/>
      <c r="U591" s="16"/>
      <c r="V591" s="16"/>
      <c r="W591" s="16"/>
      <c r="X591" s="16"/>
      <c r="Y591" s="16"/>
      <c r="Z591" s="16"/>
    </row>
    <row r="592">
      <c r="A592" s="16" t="str">
        <f>IFERROR(__xludf.DUMMYFUNCTION("""COMPUTED_VALUE"""),"Poison Master's Boots")</f>
        <v>Poison Master's Boots</v>
      </c>
      <c r="B592"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2" s="16"/>
      <c r="D592" s="16" t="str">
        <f>IFERROR(__xludf.DUMMYFUNCTION("""COMPUTED_VALUE"""),"Feet")</f>
        <v>Feet</v>
      </c>
      <c r="E592" s="16">
        <f>IFERROR(__xludf.DUMMYFUNCTION("""COMPUTED_VALUE"""),2500.0)</f>
        <v>2500</v>
      </c>
      <c r="F592" s="16" t="str">
        <f>IFERROR(__xludf.DUMMYFUNCTION("""COMPUTED_VALUE"""),"DEF: +125000 ++When an enemy is Poisoned gain Haste 3")</f>
        <v>DEF: +125000 ++When an enemy is Poisoned gain Haste 3</v>
      </c>
      <c r="G592" s="16">
        <f>IFERROR(__xludf.DUMMYFUNCTION("""COMPUTED_VALUE"""),3.1125E8)</f>
        <v>311250000</v>
      </c>
      <c r="H592" s="16"/>
      <c r="I592" s="16"/>
      <c r="J592" s="16"/>
      <c r="K592" s="16"/>
      <c r="L592" s="16"/>
      <c r="M592" s="16"/>
      <c r="N592" s="16"/>
      <c r="O592" s="16"/>
      <c r="P592" s="16"/>
      <c r="Q592" s="16"/>
      <c r="R592" s="16"/>
      <c r="S592" s="16"/>
      <c r="T592" s="16"/>
      <c r="U592" s="16"/>
      <c r="V592" s="16"/>
      <c r="W592" s="16"/>
      <c r="X592" s="16"/>
      <c r="Y592" s="16"/>
      <c r="Z592" s="16"/>
    </row>
    <row r="593">
      <c r="A593" s="16" t="str">
        <f>IFERROR(__xludf.DUMMYFUNCTION("""COMPUTED_VALUE"""),"Ambusher's Cowl")</f>
        <v>Ambusher's Cowl</v>
      </c>
      <c r="B593" s="16" t="str">
        <f>IFERROR(__xludf.DUMMYFUNCTION("""COMPUTED_VALUE"""),"The armor of intermediate ninja's who have decided to pursue the art of the ambush to the extreme")</f>
        <v>The armor of intermediate ninja's who have decided to pursue the art of the ambush to the extreme</v>
      </c>
      <c r="C593" s="16"/>
      <c r="D593" s="16" t="str">
        <f>IFERROR(__xludf.DUMMYFUNCTION("""COMPUTED_VALUE"""),"Head")</f>
        <v>Head</v>
      </c>
      <c r="E593" s="16">
        <f>IFERROR(__xludf.DUMMYFUNCTION("""COMPUTED_VALUE"""),2500.0)</f>
        <v>2500</v>
      </c>
      <c r="F593" s="16" t="str">
        <f>IFERROR(__xludf.DUMMYFUNCTION("""COMPUTED_VALUE"""),"DEF: +125000 ++Conceal is Guaranteed to cast if the last action you took was a weapon attack")</f>
        <v>DEF: +125000 ++Conceal is Guaranteed to cast if the last action you took was a weapon attack</v>
      </c>
      <c r="G593" s="16">
        <f>IFERROR(__xludf.DUMMYFUNCTION("""COMPUTED_VALUE"""),3.1125E8)</f>
        <v>311250000</v>
      </c>
      <c r="H593" s="16"/>
      <c r="I593" s="16"/>
      <c r="J593" s="16"/>
      <c r="K593" s="16"/>
      <c r="L593" s="16"/>
      <c r="M593" s="16"/>
      <c r="N593" s="16"/>
      <c r="O593" s="16"/>
      <c r="P593" s="16"/>
      <c r="Q593" s="16"/>
      <c r="R593" s="16"/>
      <c r="S593" s="16"/>
      <c r="T593" s="16"/>
      <c r="U593" s="16"/>
      <c r="V593" s="16"/>
      <c r="W593" s="16"/>
      <c r="X593" s="16"/>
      <c r="Y593" s="16"/>
      <c r="Z593" s="16"/>
    </row>
    <row r="594">
      <c r="A594" s="16" t="str">
        <f>IFERROR(__xludf.DUMMYFUNCTION("""COMPUTED_VALUE"""),"Ambusher's Cape")</f>
        <v>Ambusher's Cape</v>
      </c>
      <c r="B594" s="16" t="str">
        <f>IFERROR(__xludf.DUMMYFUNCTION("""COMPUTED_VALUE"""),"The armor of intermediate ninja's who have decided to pursue the art of the ambush to the extreme")</f>
        <v>The armor of intermediate ninja's who have decided to pursue the art of the ambush to the extreme</v>
      </c>
      <c r="C594" s="16"/>
      <c r="D594" s="16" t="str">
        <f>IFERROR(__xludf.DUMMYFUNCTION("""COMPUTED_VALUE"""),"Shoulders")</f>
        <v>Shoulders</v>
      </c>
      <c r="E594" s="16">
        <f>IFERROR(__xludf.DUMMYFUNCTION("""COMPUTED_VALUE"""),2500.0)</f>
        <v>2500</v>
      </c>
      <c r="F594" s="16" t="str">
        <f>IFERROR(__xludf.DUMMYFUNCTION("""COMPUTED_VALUE"""),"DEF: +125000 ++Conceal: upon entering combat you are invulnerable for 1 round or until you attack")</f>
        <v>DEF: +125000 ++Conceal: upon entering combat you are invulnerable for 1 round or until you attack</v>
      </c>
      <c r="G594" s="16">
        <f>IFERROR(__xludf.DUMMYFUNCTION("""COMPUTED_VALUE"""),3.1125E8)</f>
        <v>311250000</v>
      </c>
      <c r="H594" s="16"/>
      <c r="I594" s="16"/>
      <c r="J594" s="16"/>
      <c r="K594" s="16"/>
      <c r="L594" s="16"/>
      <c r="M594" s="16"/>
      <c r="N594" s="16"/>
      <c r="O594" s="16"/>
      <c r="P594" s="16"/>
      <c r="Q594" s="16"/>
      <c r="R594" s="16"/>
      <c r="S594" s="16"/>
      <c r="T594" s="16"/>
      <c r="U594" s="16"/>
      <c r="V594" s="16"/>
      <c r="W594" s="16"/>
      <c r="X594" s="16"/>
      <c r="Y594" s="16"/>
      <c r="Z594" s="16"/>
    </row>
    <row r="595">
      <c r="A595" s="16" t="str">
        <f>IFERROR(__xludf.DUMMYFUNCTION("""COMPUTED_VALUE"""),"Ambusher's Vest")</f>
        <v>Ambusher's Vest</v>
      </c>
      <c r="B595" s="16" t="str">
        <f>IFERROR(__xludf.DUMMYFUNCTION("""COMPUTED_VALUE"""),"The armor of intermediate ninja's who have decided to pursue the art of the ambush to the extreme")</f>
        <v>The armor of intermediate ninja's who have decided to pursue the art of the ambush to the extreme</v>
      </c>
      <c r="C595" s="16"/>
      <c r="D595" s="16" t="str">
        <f>IFERROR(__xludf.DUMMYFUNCTION("""COMPUTED_VALUE"""),"Torso")</f>
        <v>Torso</v>
      </c>
      <c r="E595" s="16">
        <f>IFERROR(__xludf.DUMMYFUNCTION("""COMPUTED_VALUE"""),2500.0)</f>
        <v>2500</v>
      </c>
      <c r="F595" s="16" t="str">
        <f>IFERROR(__xludf.DUMMYFUNCTION("""COMPUTED_VALUE"""),"DEF: +125000 ++When breaking concealment deal X2 damage")</f>
        <v>DEF: +125000 ++When breaking concealment deal X2 damage</v>
      </c>
      <c r="G595" s="16">
        <f>IFERROR(__xludf.DUMMYFUNCTION("""COMPUTED_VALUE"""),3.1125E8)</f>
        <v>311250000</v>
      </c>
      <c r="H595" s="16"/>
      <c r="I595" s="16"/>
      <c r="J595" s="16"/>
      <c r="K595" s="16"/>
      <c r="L595" s="16"/>
      <c r="M595" s="16"/>
      <c r="N595" s="16"/>
      <c r="O595" s="16"/>
      <c r="P595" s="16"/>
      <c r="Q595" s="16"/>
      <c r="R595" s="16"/>
      <c r="S595" s="16"/>
      <c r="T595" s="16"/>
      <c r="U595" s="16"/>
      <c r="V595" s="16"/>
      <c r="W595" s="16"/>
      <c r="X595" s="16"/>
      <c r="Y595" s="16"/>
      <c r="Z595" s="16"/>
    </row>
    <row r="596">
      <c r="A596" s="16" t="str">
        <f>IFERROR(__xludf.DUMMYFUNCTION("""COMPUTED_VALUE"""),"Ambusher's Gloves")</f>
        <v>Ambusher's Gloves</v>
      </c>
      <c r="B596" s="16" t="str">
        <f>IFERROR(__xludf.DUMMYFUNCTION("""COMPUTED_VALUE"""),"The armor of intermediate ninja's who have decided to pursue the art of the ambush to the extreme")</f>
        <v>The armor of intermediate ninja's who have decided to pursue the art of the ambush to the extreme</v>
      </c>
      <c r="C596" s="16"/>
      <c r="D596" s="16" t="str">
        <f>IFERROR(__xludf.DUMMYFUNCTION("""COMPUTED_VALUE"""),"Arms")</f>
        <v>Arms</v>
      </c>
      <c r="E596" s="16">
        <f>IFERROR(__xludf.DUMMYFUNCTION("""COMPUTED_VALUE"""),2500.0)</f>
        <v>2500</v>
      </c>
      <c r="F596" s="16" t="str">
        <f>IFERROR(__xludf.DUMMYFUNCTION("""COMPUTED_VALUE"""),"DEF: +125000 ++X2 damage with knives, ++Knife ability is 3 times as likely to activate. +-Cannot be forged +-Cannot be duplicated")</f>
        <v>DEF: +125000 ++X2 damage with knives, ++Knife ability is 3 times as likely to activate. +-Cannot be forged +-Cannot be duplicated</v>
      </c>
      <c r="G596" s="16">
        <f>IFERROR(__xludf.DUMMYFUNCTION("""COMPUTED_VALUE"""),3.1125E8)</f>
        <v>311250000</v>
      </c>
      <c r="H596" s="16"/>
      <c r="I596" s="16"/>
      <c r="J596" s="16"/>
      <c r="K596" s="16"/>
      <c r="L596" s="16"/>
      <c r="M596" s="16"/>
      <c r="N596" s="16"/>
      <c r="O596" s="16"/>
      <c r="P596" s="16"/>
      <c r="Q596" s="16"/>
      <c r="R596" s="16"/>
      <c r="S596" s="16"/>
      <c r="T596" s="16"/>
      <c r="U596" s="16"/>
      <c r="V596" s="16"/>
      <c r="W596" s="16"/>
      <c r="X596" s="16"/>
      <c r="Y596" s="16"/>
      <c r="Z596" s="16"/>
    </row>
    <row r="597">
      <c r="A597" s="16" t="str">
        <f>IFERROR(__xludf.DUMMYFUNCTION("""COMPUTED_VALUE"""),"Ambusher's Sarouel")</f>
        <v>Ambusher's Sarouel</v>
      </c>
      <c r="B597" s="16" t="str">
        <f>IFERROR(__xludf.DUMMYFUNCTION("""COMPUTED_VALUE"""),"The armor of intermediate ninja's who have decided to pursue the art of the ambush to the extreme")</f>
        <v>The armor of intermediate ninja's who have decided to pursue the art of the ambush to the extreme</v>
      </c>
      <c r="C597" s="16"/>
      <c r="D597" s="16" t="str">
        <f>IFERROR(__xludf.DUMMYFUNCTION("""COMPUTED_VALUE"""),"Legs")</f>
        <v>Legs</v>
      </c>
      <c r="E597" s="16">
        <f>IFERROR(__xludf.DUMMYFUNCTION("""COMPUTED_VALUE"""),2500.0)</f>
        <v>2500</v>
      </c>
      <c r="F597" s="16" t="str">
        <f>IFERROR(__xludf.DUMMYFUNCTION("""COMPUTED_VALUE"""),"DEF: +125000 ++X2 damage with knives")</f>
        <v>DEF: +125000 ++X2 damage with knives</v>
      </c>
      <c r="G597" s="16">
        <f>IFERROR(__xludf.DUMMYFUNCTION("""COMPUTED_VALUE"""),3.1125E8)</f>
        <v>311250000</v>
      </c>
      <c r="H597" s="16"/>
      <c r="I597" s="16"/>
      <c r="J597" s="16"/>
      <c r="K597" s="16"/>
      <c r="L597" s="16"/>
      <c r="M597" s="16"/>
      <c r="N597" s="16"/>
      <c r="O597" s="16"/>
      <c r="P597" s="16"/>
      <c r="Q597" s="16"/>
      <c r="R597" s="16"/>
      <c r="S597" s="16"/>
      <c r="T597" s="16"/>
      <c r="U597" s="16"/>
      <c r="V597" s="16"/>
      <c r="W597" s="16"/>
      <c r="X597" s="16"/>
      <c r="Y597" s="16"/>
      <c r="Z597" s="16"/>
    </row>
    <row r="598">
      <c r="A598" s="16" t="str">
        <f>IFERROR(__xludf.DUMMYFUNCTION("""COMPUTED_VALUE"""),"Ambusher's Sandals")</f>
        <v>Ambusher's Sandals</v>
      </c>
      <c r="B598" s="16" t="str">
        <f>IFERROR(__xludf.DUMMYFUNCTION("""COMPUTED_VALUE"""),"The armor of intermediate ninja's who have decided to pursue the art of the ambush to the extreme")</f>
        <v>The armor of intermediate ninja's who have decided to pursue the art of the ambush to the extreme</v>
      </c>
      <c r="C598" s="16"/>
      <c r="D598" s="16" t="str">
        <f>IFERROR(__xludf.DUMMYFUNCTION("""COMPUTED_VALUE"""),"Feet")</f>
        <v>Feet</v>
      </c>
      <c r="E598" s="16">
        <f>IFERROR(__xludf.DUMMYFUNCTION("""COMPUTED_VALUE"""),2500.0)</f>
        <v>2500</v>
      </c>
      <c r="F598" s="16" t="str">
        <f>IFERROR(__xludf.DUMMYFUNCTION("""COMPUTED_VALUE"""),"DEF: +125000 ++When breaking concealment gain invigorate 5")</f>
        <v>DEF: +125000 ++When breaking concealment gain invigorate 5</v>
      </c>
      <c r="G598" s="16">
        <f>IFERROR(__xludf.DUMMYFUNCTION("""COMPUTED_VALUE"""),3.1125E8)</f>
        <v>311250000</v>
      </c>
      <c r="H598" s="16"/>
      <c r="I598" s="16"/>
      <c r="J598" s="16"/>
      <c r="K598" s="16"/>
      <c r="L598" s="16"/>
      <c r="M598" s="16"/>
      <c r="N598" s="16"/>
      <c r="O598" s="16"/>
      <c r="P598" s="16"/>
      <c r="Q598" s="16"/>
      <c r="R598" s="16"/>
      <c r="S598" s="16"/>
      <c r="T598" s="16"/>
      <c r="U598" s="16"/>
      <c r="V598" s="16"/>
      <c r="W598" s="16"/>
      <c r="X598" s="16"/>
      <c r="Y598" s="16"/>
      <c r="Z598" s="16"/>
    </row>
    <row r="599">
      <c r="A599" s="16" t="str">
        <f>IFERROR(__xludf.DUMMYFUNCTION("""COMPUTED_VALUE"""),"Blade of Ancestral Blood")</f>
        <v>Blade of Ancestral Blood</v>
      </c>
      <c r="B599" s="16" t="str">
        <f>IFERROR(__xludf.DUMMYFUNCTION("""COMPUTED_VALUE"""),"(Quest Item) This knife holds all the grief of Inugima, the man who turned his back on his clan and lived in grief for his decision until the day he died. The blade is stained red with the blood of Inugima's family and now is stained with his as well. It "&amp;"still seems to hold some special power and you guess it's story probably isn't over yet.")</f>
        <v>(Quest Item) This knife holds all the grief of Inugima, the man who turned his back on his clan and lived in grief for his decision until the day he died. The blade is stained red with the blood of Inugima's family and now is stained with his as well. It still seems to hold some special power and you guess it's story probably isn't over yet.</v>
      </c>
      <c r="C599" s="16" t="str">
        <f>IFERROR(__xludf.DUMMYFUNCTION("""COMPUTED_VALUE"""),"Knife")</f>
        <v>Knife</v>
      </c>
      <c r="D599" s="16" t="str">
        <f>IFERROR(__xludf.DUMMYFUNCTION("""COMPUTED_VALUE"""),"Hand")</f>
        <v>Hand</v>
      </c>
      <c r="E599" s="16">
        <f>IFERROR(__xludf.DUMMYFUNCTION("""COMPUTED_VALUE"""),200.0)</f>
        <v>200</v>
      </c>
      <c r="F599" s="16" t="str">
        <f>IFERROR(__xludf.DUMMYFUNCTION("""COMPUTED_VALUE"""),"DMG: +50000, Chaos DMG: +50000, Voodoo DMG: +50000, Blood DMG: +100000, Celestial DMG: +50000 (Knife) ++The Cursed Knife Forged in Blood: X4 blood damage. ++The Blood of the Backstabbed: When hitting an enemy from concealment you gain a further X4 blood d"&amp;"amage for the rest of battle and Invigorated 3. ++Repentance: Stab yourself and use your blood to attack you enemy dealing 100000 blood damage and 1000 bleed on hit 5000 hp +-Cannot be Duplicated")</f>
        <v>DMG: +50000, Chaos DMG: +50000, Voodoo DMG: +50000, Blood DMG: +100000, Celestial DMG: +50000 (Knife) ++The Cursed Knife Forged in Blood: X4 blood damage. ++The Blood of the Backstabbed: When hitting an enemy from concealment you gain a further X4 blood damage for the rest of battle and Invigorated 3. ++Repentance: Stab yourself and use your blood to attack you enemy dealing 100000 blood damage and 1000 bleed on hit 5000 hp +-Cannot be Duplicated</v>
      </c>
      <c r="G599" s="16">
        <f>IFERROR(__xludf.DUMMYFUNCTION("""COMPUTED_VALUE"""),1.797E9)</f>
        <v>1797000000</v>
      </c>
      <c r="H599" s="16"/>
      <c r="I599" s="16"/>
      <c r="J599" s="16"/>
      <c r="K599" s="16"/>
      <c r="L599" s="16"/>
      <c r="M599" s="16"/>
      <c r="N599" s="16"/>
      <c r="O599" s="16"/>
      <c r="P599" s="16"/>
      <c r="Q599" s="16"/>
      <c r="R599" s="16"/>
      <c r="S599" s="16"/>
      <c r="T599" s="16"/>
      <c r="U599" s="16"/>
      <c r="V599" s="16"/>
      <c r="W599" s="16"/>
      <c r="X599" s="16"/>
      <c r="Y599" s="16"/>
      <c r="Z599" s="16"/>
    </row>
    <row r="600">
      <c r="A600" s="16" t="str">
        <f>IFERROR(__xludf.DUMMYFUNCTION("""COMPUTED_VALUE"""),"Lunaris, Sword of The Moon")</f>
        <v>Lunaris, Sword of The Moon</v>
      </c>
      <c r="B600" s="16" t="str">
        <f>IFERROR(__xludf.DUMMYFUNCTION("""COMPUTED_VALUE"""),"(Quest Item) This blade, Bathed in the light of the fallen moon Goddess holds the power of the moon itself within, it was brought into being when a blade forged in the blood of those betrayed and broken by one they loved was brought to the once beautiful "&amp;"shrine of the betrayed Goddess where it was reformed with the power of the goddess's will and holds within it her wish to protect those around her.")</f>
        <v>(Quest Item) This blade, Bathed in the light of the fallen moon Goddess holds the power of the moon itself within, it was brought into being when a blade forged in the blood of those betrayed and broken by one they loved was brought to the once beautiful shrine of the betrayed Goddess where it was reformed with the power of the goddess's will and holds within it her wish to protect those around her.</v>
      </c>
      <c r="C600" s="16" t="str">
        <f>IFERROR(__xludf.DUMMYFUNCTION("""COMPUTED_VALUE"""),"Sword")</f>
        <v>Sword</v>
      </c>
      <c r="D600" s="16" t="str">
        <f>IFERROR(__xludf.DUMMYFUNCTION("""COMPUTED_VALUE"""),"Hand")</f>
        <v>Hand</v>
      </c>
      <c r="E600" s="16">
        <f>IFERROR(__xludf.DUMMYFUNCTION("""COMPUTED_VALUE"""),200.0)</f>
        <v>200</v>
      </c>
      <c r="F600" s="16" t="str">
        <f>IFERROR(__xludf.DUMMYFUNCTION("""COMPUTED_VALUE"""),"DEF: +200000, Light DEF: +100000, Astral DEF: +200000, Celestial DEF: +100000 (Sword) ++The Blade Blessed By The Stars Above: X6 Astral Damage and this blade uses it's defense as damage. ++To Protect Those You Love: When fighting with at least 2 allies de"&amp;"al X6 further damage with this weapon. ++Forgiveness: Raise your sword into the sky drowning the battlefield in the light of the moon no matter what time it is or where you are. This moonlight protects you and your allies granting you all X2 Defense and N"&amp;"ullifies all Dark and Chaos spells cast on the battlefield regardless of who casts them. +-Cannot be Duplicated")</f>
        <v>DEF: +200000, Light DEF: +100000, Astral DEF: +200000, Celestial DEF: +100000 (Sword) ++The Blade Blessed By The Stars Above: X6 Astral Damage and this blade uses it's defense as damage. ++To Protect Those You Love: When fighting with at least 2 allies deal X6 further damage with this weapon. ++Forgiveness: Raise your sword into the sky drowning the battlefield in the light of the moon no matter what time it is or where you are. This moonlight protects you and your allies granting you all X2 Defense and Nullifies all Dark and Chaos spells cast on the battlefield regardless of who casts them. +-Cannot be Duplicated</v>
      </c>
      <c r="G600" s="16">
        <f>IFERROR(__xludf.DUMMYFUNCTION("""COMPUTED_VALUE"""),7.194E9)</f>
        <v>7194000000</v>
      </c>
      <c r="H600" s="16"/>
      <c r="I600" s="16"/>
      <c r="J600" s="16"/>
      <c r="K600" s="16"/>
      <c r="L600" s="16"/>
      <c r="M600" s="16"/>
      <c r="N600" s="16"/>
      <c r="O600" s="16"/>
      <c r="P600" s="16"/>
      <c r="Q600" s="16"/>
      <c r="R600" s="16"/>
      <c r="S600" s="16"/>
      <c r="T600" s="16"/>
      <c r="U600" s="16"/>
      <c r="V600" s="16"/>
      <c r="W600" s="16"/>
      <c r="X600" s="16"/>
      <c r="Y600" s="16"/>
      <c r="Z600" s="16"/>
    </row>
    <row r="601">
      <c r="A601" s="16" t="str">
        <f>IFERROR(__xludf.DUMMYFUNCTION("""COMPUTED_VALUE"""),"Master Inugima's Cowl")</f>
        <v>Master Inugima's Cowl</v>
      </c>
      <c r="B601" s="16" t="str">
        <f>IFERROR(__xludf.DUMMYFUNCTION("""COMPUTED_VALUE"""),"Mob Exclusive")</f>
        <v>Mob Exclusive</v>
      </c>
      <c r="C601" s="16"/>
      <c r="D601" s="16" t="str">
        <f>IFERROR(__xludf.DUMMYFUNCTION("""COMPUTED_VALUE"""),"Head")</f>
        <v>Head</v>
      </c>
      <c r="E601" s="16">
        <f>IFERROR(__xludf.DUMMYFUNCTION("""COMPUTED_VALUE"""),1.0)</f>
        <v>1</v>
      </c>
      <c r="F601" s="16" t="str">
        <f>IFERROR(__xludf.DUMMYFUNCTION("""COMPUTED_VALUE"""),"")</f>
        <v/>
      </c>
      <c r="G601" s="16">
        <f>IFERROR(__xludf.DUMMYFUNCTION("""COMPUTED_VALUE"""),0.0)</f>
        <v>0</v>
      </c>
      <c r="H601" s="16"/>
      <c r="I601" s="16"/>
      <c r="J601" s="16"/>
      <c r="K601" s="16"/>
      <c r="L601" s="16"/>
      <c r="M601" s="16"/>
      <c r="N601" s="16"/>
      <c r="O601" s="16"/>
      <c r="P601" s="16"/>
      <c r="Q601" s="16"/>
      <c r="R601" s="16"/>
      <c r="S601" s="16"/>
      <c r="T601" s="16"/>
      <c r="U601" s="16"/>
      <c r="V601" s="16"/>
      <c r="W601" s="16"/>
      <c r="X601" s="16"/>
      <c r="Y601" s="16"/>
      <c r="Z601" s="16"/>
    </row>
    <row r="602">
      <c r="A602" s="16" t="str">
        <f>IFERROR(__xludf.DUMMYFUNCTION("""COMPUTED_VALUE"""),"Master Inugima's Cape")</f>
        <v>Master Inugima's Cape</v>
      </c>
      <c r="B602" s="16" t="str">
        <f>IFERROR(__xludf.DUMMYFUNCTION("""COMPUTED_VALUE"""),"Mob Exclusive")</f>
        <v>Mob Exclusive</v>
      </c>
      <c r="C602" s="16"/>
      <c r="D602" s="16" t="str">
        <f>IFERROR(__xludf.DUMMYFUNCTION("""COMPUTED_VALUE"""),"Shoulders")</f>
        <v>Shoulders</v>
      </c>
      <c r="E602" s="16">
        <f>IFERROR(__xludf.DUMMYFUNCTION("""COMPUTED_VALUE"""),1.0)</f>
        <v>1</v>
      </c>
      <c r="F602" s="16" t="str">
        <f>IFERROR(__xludf.DUMMYFUNCTION("""COMPUTED_VALUE"""),"")</f>
        <v/>
      </c>
      <c r="G602" s="16">
        <f>IFERROR(__xludf.DUMMYFUNCTION("""COMPUTED_VALUE"""),0.0)</f>
        <v>0</v>
      </c>
      <c r="H602" s="16"/>
      <c r="I602" s="16"/>
      <c r="J602" s="16"/>
      <c r="K602" s="16"/>
      <c r="L602" s="16"/>
      <c r="M602" s="16"/>
      <c r="N602" s="16"/>
      <c r="O602" s="16"/>
      <c r="P602" s="16"/>
      <c r="Q602" s="16"/>
      <c r="R602" s="16"/>
      <c r="S602" s="16"/>
      <c r="T602" s="16"/>
      <c r="U602" s="16"/>
      <c r="V602" s="16"/>
      <c r="W602" s="16"/>
      <c r="X602" s="16"/>
      <c r="Y602" s="16"/>
      <c r="Z602" s="16"/>
    </row>
    <row r="603">
      <c r="A603" s="16" t="str">
        <f>IFERROR(__xludf.DUMMYFUNCTION("""COMPUTED_VALUE"""),"Master Inugima's Cloak")</f>
        <v>Master Inugima's Cloak</v>
      </c>
      <c r="B603" s="16" t="str">
        <f>IFERROR(__xludf.DUMMYFUNCTION("""COMPUTED_VALUE"""),"Mob Exclusive")</f>
        <v>Mob Exclusive</v>
      </c>
      <c r="C603" s="16"/>
      <c r="D603" s="16" t="str">
        <f>IFERROR(__xludf.DUMMYFUNCTION("""COMPUTED_VALUE"""),"Torso")</f>
        <v>Torso</v>
      </c>
      <c r="E603" s="16">
        <f>IFERROR(__xludf.DUMMYFUNCTION("""COMPUTED_VALUE"""),1.0)</f>
        <v>1</v>
      </c>
      <c r="F603" s="16" t="str">
        <f>IFERROR(__xludf.DUMMYFUNCTION("""COMPUTED_VALUE"""),"")</f>
        <v/>
      </c>
      <c r="G603" s="16">
        <f>IFERROR(__xludf.DUMMYFUNCTION("""COMPUTED_VALUE"""),0.0)</f>
        <v>0</v>
      </c>
      <c r="H603" s="16"/>
      <c r="I603" s="16"/>
      <c r="J603" s="16"/>
      <c r="K603" s="16"/>
      <c r="L603" s="16"/>
      <c r="M603" s="16"/>
      <c r="N603" s="16"/>
      <c r="O603" s="16"/>
      <c r="P603" s="16"/>
      <c r="Q603" s="16"/>
      <c r="R603" s="16"/>
      <c r="S603" s="16"/>
      <c r="T603" s="16"/>
      <c r="U603" s="16"/>
      <c r="V603" s="16"/>
      <c r="W603" s="16"/>
      <c r="X603" s="16"/>
      <c r="Y603" s="16"/>
      <c r="Z603" s="16"/>
    </row>
    <row r="604">
      <c r="A604" s="16" t="str">
        <f>IFERROR(__xludf.DUMMYFUNCTION("""COMPUTED_VALUE"""),"Master Inugima's Gloves")</f>
        <v>Master Inugima's Gloves</v>
      </c>
      <c r="B604" s="16" t="str">
        <f>IFERROR(__xludf.DUMMYFUNCTION("""COMPUTED_VALUE"""),"Mob Exclusive")</f>
        <v>Mob Exclusive</v>
      </c>
      <c r="C604" s="16"/>
      <c r="D604" s="16" t="str">
        <f>IFERROR(__xludf.DUMMYFUNCTION("""COMPUTED_VALUE"""),"Arms")</f>
        <v>Arms</v>
      </c>
      <c r="E604" s="16">
        <f>IFERROR(__xludf.DUMMYFUNCTION("""COMPUTED_VALUE"""),1.0)</f>
        <v>1</v>
      </c>
      <c r="F604" s="16" t="str">
        <f>IFERROR(__xludf.DUMMYFUNCTION("""COMPUTED_VALUE"""),"")</f>
        <v/>
      </c>
      <c r="G604" s="16">
        <f>IFERROR(__xludf.DUMMYFUNCTION("""COMPUTED_VALUE"""),0.0)</f>
        <v>0</v>
      </c>
      <c r="H604" s="16"/>
      <c r="I604" s="16"/>
      <c r="J604" s="16"/>
      <c r="K604" s="16"/>
      <c r="L604" s="16"/>
      <c r="M604" s="16"/>
      <c r="N604" s="16"/>
      <c r="O604" s="16"/>
      <c r="P604" s="16"/>
      <c r="Q604" s="16"/>
      <c r="R604" s="16"/>
      <c r="S604" s="16"/>
      <c r="T604" s="16"/>
      <c r="U604" s="16"/>
      <c r="V604" s="16"/>
      <c r="W604" s="16"/>
      <c r="X604" s="16"/>
      <c r="Y604" s="16"/>
      <c r="Z604" s="16"/>
    </row>
    <row r="605">
      <c r="A605" s="16" t="str">
        <f>IFERROR(__xludf.DUMMYFUNCTION("""COMPUTED_VALUE"""),"Master Inugima's Sarouel")</f>
        <v>Master Inugima's Sarouel</v>
      </c>
      <c r="B605" s="16" t="str">
        <f>IFERROR(__xludf.DUMMYFUNCTION("""COMPUTED_VALUE"""),"Mob Exclusive")</f>
        <v>Mob Exclusive</v>
      </c>
      <c r="C605" s="16"/>
      <c r="D605" s="16" t="str">
        <f>IFERROR(__xludf.DUMMYFUNCTION("""COMPUTED_VALUE"""),"Legs")</f>
        <v>Legs</v>
      </c>
      <c r="E605" s="16">
        <f>IFERROR(__xludf.DUMMYFUNCTION("""COMPUTED_VALUE"""),1.0)</f>
        <v>1</v>
      </c>
      <c r="F605" s="16" t="str">
        <f>IFERROR(__xludf.DUMMYFUNCTION("""COMPUTED_VALUE"""),"")</f>
        <v/>
      </c>
      <c r="G605" s="16">
        <f>IFERROR(__xludf.DUMMYFUNCTION("""COMPUTED_VALUE"""),0.0)</f>
        <v>0</v>
      </c>
      <c r="H605" s="16"/>
      <c r="I605" s="16"/>
      <c r="J605" s="16"/>
      <c r="K605" s="16"/>
      <c r="L605" s="16"/>
      <c r="M605" s="16"/>
      <c r="N605" s="16"/>
      <c r="O605" s="16"/>
      <c r="P605" s="16"/>
      <c r="Q605" s="16"/>
      <c r="R605" s="16"/>
      <c r="S605" s="16"/>
      <c r="T605" s="16"/>
      <c r="U605" s="16"/>
      <c r="V605" s="16"/>
      <c r="W605" s="16"/>
      <c r="X605" s="16"/>
      <c r="Y605" s="16"/>
      <c r="Z605" s="16"/>
    </row>
    <row r="606">
      <c r="A606" s="16" t="str">
        <f>IFERROR(__xludf.DUMMYFUNCTION("""COMPUTED_VALUE"""),"Master Inugima's Boots")</f>
        <v>Master Inugima's Boots</v>
      </c>
      <c r="B606" s="16" t="str">
        <f>IFERROR(__xludf.DUMMYFUNCTION("""COMPUTED_VALUE"""),"Mob Exclusive")</f>
        <v>Mob Exclusive</v>
      </c>
      <c r="C606" s="16"/>
      <c r="D606" s="16" t="str">
        <f>IFERROR(__xludf.DUMMYFUNCTION("""COMPUTED_VALUE"""),"Feet")</f>
        <v>Feet</v>
      </c>
      <c r="E606" s="16">
        <f>IFERROR(__xludf.DUMMYFUNCTION("""COMPUTED_VALUE"""),1.0)</f>
        <v>1</v>
      </c>
      <c r="F606" s="16" t="str">
        <f>IFERROR(__xludf.DUMMYFUNCTION("""COMPUTED_VALUE"""),"")</f>
        <v/>
      </c>
      <c r="G606" s="16">
        <f>IFERROR(__xludf.DUMMYFUNCTION("""COMPUTED_VALUE"""),0.0)</f>
        <v>0</v>
      </c>
      <c r="H606" s="16"/>
      <c r="I606" s="16"/>
      <c r="J606" s="16"/>
      <c r="K606" s="16"/>
      <c r="L606" s="16"/>
      <c r="M606" s="16"/>
      <c r="N606" s="16"/>
      <c r="O606" s="16"/>
      <c r="P606" s="16"/>
      <c r="Q606" s="16"/>
      <c r="R606" s="16"/>
      <c r="S606" s="16"/>
      <c r="T606" s="16"/>
      <c r="U606" s="16"/>
      <c r="V606" s="16"/>
      <c r="W606" s="16"/>
      <c r="X606" s="16"/>
      <c r="Y606" s="16"/>
      <c r="Z606" s="16"/>
    </row>
    <row r="607">
      <c r="A607" s="16" t="str">
        <f>IFERROR(__xludf.DUMMYFUNCTION("""COMPUTED_VALUE"""),"Master Inugima's Ring")</f>
        <v>Master Inugima's Ring</v>
      </c>
      <c r="B607" s="16" t="str">
        <f>IFERROR(__xludf.DUMMYFUNCTION("""COMPUTED_VALUE"""),"Mob Exclusive")</f>
        <v>Mob Exclusive</v>
      </c>
      <c r="C607" s="16"/>
      <c r="D607" s="16" t="str">
        <f>IFERROR(__xludf.DUMMYFUNCTION("""COMPUTED_VALUE"""),"Finger")</f>
        <v>Finger</v>
      </c>
      <c r="E607" s="16">
        <f>IFERROR(__xludf.DUMMYFUNCTION("""COMPUTED_VALUE"""),1.0)</f>
        <v>1</v>
      </c>
      <c r="F607" s="16" t="str">
        <f>IFERROR(__xludf.DUMMYFUNCTION("""COMPUTED_VALUE""")," ++Grants Immunity being unable to act from any sources including sleep, stun, frozen, etc. +-Can only be equipped by Master Inugima Equipping this ring will devour the soul of he who equips it killing them permanently")</f>
        <v> ++Grants Immunity being unable to act from any sources including sleep, stun, frozen, etc. +-Can only be equipped by Master Inugima Equipping this ring will devour the soul of he who equips it killing them permanently</v>
      </c>
      <c r="G607" s="16">
        <f>IFERROR(__xludf.DUMMYFUNCTION("""COMPUTED_VALUE"""),0.0)</f>
        <v>0</v>
      </c>
      <c r="H607" s="16"/>
      <c r="I607" s="16"/>
      <c r="J607" s="16"/>
      <c r="K607" s="16"/>
      <c r="L607" s="16"/>
      <c r="M607" s="16"/>
      <c r="N607" s="16"/>
      <c r="O607" s="16"/>
      <c r="P607" s="16"/>
      <c r="Q607" s="16"/>
      <c r="R607" s="16"/>
      <c r="S607" s="16"/>
      <c r="T607" s="16"/>
      <c r="U607" s="16"/>
      <c r="V607" s="16"/>
      <c r="W607" s="16"/>
      <c r="X607" s="16"/>
      <c r="Y607" s="16"/>
      <c r="Z607" s="16"/>
    </row>
    <row r="608">
      <c r="A608" s="16" t="str">
        <f>IFERROR(__xludf.DUMMYFUNCTION("""COMPUTED_VALUE"""),"Master Inugima's Pendant")</f>
        <v>Master Inugima's Pendant</v>
      </c>
      <c r="B608" s="16" t="str">
        <f>IFERROR(__xludf.DUMMYFUNCTION("""COMPUTED_VALUE"""),"Mob Exclusive")</f>
        <v>Mob Exclusive</v>
      </c>
      <c r="C608" s="16"/>
      <c r="D608" s="16" t="str">
        <f>IFERROR(__xludf.DUMMYFUNCTION("""COMPUTED_VALUE"""),"Neck")</f>
        <v>Neck</v>
      </c>
      <c r="E608" s="16">
        <f>IFERROR(__xludf.DUMMYFUNCTION("""COMPUTED_VALUE"""),1.0)</f>
        <v>1</v>
      </c>
      <c r="F608" s="16" t="str">
        <f>IFERROR(__xludf.DUMMYFUNCTION("""COMPUTED_VALUE"""),"")</f>
        <v/>
      </c>
      <c r="G608" s="16">
        <f>IFERROR(__xludf.DUMMYFUNCTION("""COMPUTED_VALUE"""),0.0)</f>
        <v>0</v>
      </c>
      <c r="H608" s="16"/>
      <c r="I608" s="16"/>
      <c r="J608" s="16"/>
      <c r="K608" s="16"/>
      <c r="L608" s="16"/>
      <c r="M608" s="16"/>
      <c r="N608" s="16"/>
      <c r="O608" s="16"/>
      <c r="P608" s="16"/>
      <c r="Q608" s="16"/>
      <c r="R608" s="16"/>
      <c r="S608" s="16"/>
      <c r="T608" s="16"/>
      <c r="U608" s="16"/>
      <c r="V608" s="16"/>
      <c r="W608" s="16"/>
      <c r="X608" s="16"/>
      <c r="Y608" s="16"/>
      <c r="Z608" s="16"/>
    </row>
    <row r="609">
      <c r="A609" s="16" t="str">
        <f>IFERROR(__xludf.DUMMYFUNCTION("""COMPUTED_VALUE"""),"Amulet of Giving")</f>
        <v>Amulet of Giving</v>
      </c>
      <c r="B609" s="16" t="str">
        <f>IFERROR(__xludf.DUMMYFUNCTION("""COMPUTED_VALUE"""),"Thanksgiving Event Item")</f>
        <v>Thanksgiving Event Item</v>
      </c>
      <c r="C609" s="16"/>
      <c r="D609" s="16" t="str">
        <f>IFERROR(__xludf.DUMMYFUNCTION("""COMPUTED_VALUE"""),"Neck")</f>
        <v>Neck</v>
      </c>
      <c r="E609" s="16">
        <f>IFERROR(__xludf.DUMMYFUNCTION("""COMPUTED_VALUE"""),1.0)</f>
        <v>1</v>
      </c>
      <c r="F609" s="16" t="str">
        <f>IFERROR(__xludf.DUMMYFUNCTION("""COMPUTED_VALUE""")," ++Allows you to give up your next turn turn to give a party member a second turn. +-one use per battle +-Cannot be duplicated.")</f>
        <v> ++Allows you to give up your next turn turn to give a party member a second turn. +-one use per battle +-Cannot be duplicated.</v>
      </c>
      <c r="G609" s="16">
        <f>IFERROR(__xludf.DUMMYFUNCTION("""COMPUTED_VALUE"""),0.0)</f>
        <v>0</v>
      </c>
      <c r="H609" s="16"/>
      <c r="I609" s="16"/>
      <c r="J609" s="16"/>
      <c r="K609" s="16"/>
      <c r="L609" s="16"/>
      <c r="M609" s="16"/>
      <c r="N609" s="16"/>
      <c r="O609" s="16"/>
      <c r="P609" s="16"/>
      <c r="Q609" s="16"/>
      <c r="R609" s="16"/>
      <c r="S609" s="16"/>
      <c r="T609" s="16"/>
      <c r="U609" s="16"/>
      <c r="V609" s="16"/>
      <c r="W609" s="16"/>
      <c r="X609" s="16"/>
      <c r="Y609" s="16"/>
      <c r="Z609" s="16"/>
    </row>
    <row r="610">
      <c r="A610" s="16" t="str">
        <f>IFERROR(__xludf.DUMMYFUNCTION("""COMPUTED_VALUE"""),"Pilgrim's Hat")</f>
        <v>Pilgrim's Hat</v>
      </c>
      <c r="B610" s="16" t="str">
        <f>IFERROR(__xludf.DUMMYFUNCTION("""COMPUTED_VALUE"""),"Thanksgiving Event Item")</f>
        <v>Thanksgiving Event Item</v>
      </c>
      <c r="C610" s="16"/>
      <c r="D610" s="16" t="str">
        <f>IFERROR(__xludf.DUMMYFUNCTION("""COMPUTED_VALUE"""),"Head")</f>
        <v>Head</v>
      </c>
      <c r="E610" s="16">
        <f>IFERROR(__xludf.DUMMYFUNCTION("""COMPUTED_VALUE"""),1.0)</f>
        <v>1</v>
      </c>
      <c r="F610" s="16" t="str">
        <f>IFERROR(__xludf.DUMMYFUNCTION("""COMPUTED_VALUE""")," ++Double the hunger, thirst, and energy you receive when consuming a consumable. +-Cannot be duplicated.")</f>
        <v> ++Double the hunger, thirst, and energy you receive when consuming a consumable. +-Cannot be duplicated.</v>
      </c>
      <c r="G610" s="16">
        <f>IFERROR(__xludf.DUMMYFUNCTION("""COMPUTED_VALUE"""),0.0)</f>
        <v>0</v>
      </c>
      <c r="H610" s="16"/>
      <c r="I610" s="16"/>
      <c r="J610" s="16"/>
      <c r="K610" s="16"/>
      <c r="L610" s="16"/>
      <c r="M610" s="16"/>
      <c r="N610" s="16"/>
      <c r="O610" s="16"/>
      <c r="P610" s="16"/>
      <c r="Q610" s="16"/>
      <c r="R610" s="16"/>
      <c r="S610" s="16"/>
      <c r="T610" s="16"/>
      <c r="U610" s="16"/>
      <c r="V610" s="16"/>
      <c r="W610" s="16"/>
      <c r="X610" s="16"/>
      <c r="Y610" s="16"/>
      <c r="Z610" s="16"/>
    </row>
    <row r="611">
      <c r="A611" s="16" t="str">
        <f>IFERROR(__xludf.DUMMYFUNCTION("""COMPUTED_VALUE"""),"Dragon Flute")</f>
        <v>Dragon Flute</v>
      </c>
      <c r="B611" s="16" t="str">
        <f>IFERROR(__xludf.DUMMYFUNCTION("""COMPUTED_VALUE"""),"A flute carved from dragon bone that exudes an enchanting aura when played. It is said that this flute was given as a gift to the dragonoids to signal peace between them and the dragons.")</f>
        <v>A flute carved from dragon bone that exudes an enchanting aura when played. It is said that this flute was given as a gift to the dragonoids to signal peace between them and the dragons.</v>
      </c>
      <c r="C611" s="16" t="str">
        <f>IFERROR(__xludf.DUMMYFUNCTION("""COMPUTED_VALUE"""),"Instrument")</f>
        <v>Instrument</v>
      </c>
      <c r="D611" s="16" t="str">
        <f>IFERROR(__xludf.DUMMYFUNCTION("""COMPUTED_VALUE"""),"Hand")</f>
        <v>Hand</v>
      </c>
      <c r="E611" s="16">
        <f>IFERROR(__xludf.DUMMYFUNCTION("""COMPUTED_VALUE"""),100.0)</f>
        <v>100</v>
      </c>
      <c r="F611" s="16" t="str">
        <f>IFERROR(__xludf.DUMMYFUNCTION("""COMPUTED_VALUE"""),", Acoustic DMG: +5000 ++Summons 1 of the following dragons with a d4 roll: Fire Dragon, Poison Dragon, Storm Dragon, Ancient Water Dragon, Level determined by dm/gm. +-one use per battle")</f>
        <v>, Acoustic DMG: +5000 ++Summons 1 of the following dragons with a d4 roll: Fire Dragon, Poison Dragon, Storm Dragon, Ancient Water Dragon, Level determined by dm/gm. +-one use per battle</v>
      </c>
      <c r="G611" s="16">
        <f>IFERROR(__xludf.DUMMYFUNCTION("""COMPUTED_VALUE"""),450000.0)</f>
        <v>450000</v>
      </c>
      <c r="H611" s="16"/>
      <c r="I611" s="16"/>
      <c r="J611" s="16"/>
      <c r="K611" s="16"/>
      <c r="L611" s="16"/>
      <c r="M611" s="16"/>
      <c r="N611" s="16"/>
      <c r="O611" s="16"/>
      <c r="P611" s="16"/>
      <c r="Q611" s="16"/>
      <c r="R611" s="16"/>
      <c r="S611" s="16"/>
      <c r="T611" s="16"/>
      <c r="U611" s="16"/>
      <c r="V611" s="16"/>
      <c r="W611" s="16"/>
      <c r="X611" s="16"/>
      <c r="Y611" s="16"/>
      <c r="Z611" s="16"/>
    </row>
    <row r="612">
      <c r="A612" s="16" t="str">
        <f>IFERROR(__xludf.DUMMYFUNCTION("""COMPUTED_VALUE"""),"Harbingers' Helm of the Unrestrained (Spira)")</f>
        <v>Harbingers' Helm of the Unrestrained (Spira)</v>
      </c>
      <c r="B612" s="16" t="str">
        <f>IFERROR(__xludf.DUMMYFUNCTION("""COMPUTED_VALUE"""),"The helmet is made of a dark steel which invades the weares mind, originally takes the appearance of a hood but becomes covers more of the wearers face and becomes more bestial looking as the wearer gives in to their insanity more and more.")</f>
        <v>The helmet is made of a dark steel which invades the weares mind, originally takes the appearance of a hood but becomes covers more of the wearers face and becomes more bestial looking as the wearer gives in to their insanity more and more.</v>
      </c>
      <c r="C612" s="16"/>
      <c r="D612" s="16" t="str">
        <f>IFERROR(__xludf.DUMMYFUNCTION("""COMPUTED_VALUE"""),"Head")</f>
        <v>Head</v>
      </c>
      <c r="E612" s="16">
        <f>IFERROR(__xludf.DUMMYFUNCTION("""COMPUTED_VALUE"""),200.0)</f>
        <v>200</v>
      </c>
      <c r="F612"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++Unbroken will - You become immune to all effects that would prevent you from taking your turn.")</f>
        <v>DEF: +50000, Fire DEF: +10000, Water DEF: +10000, Storm DEF: +10000, Earth DEF: +10000, Light DEF: +10000, Dark DEF: +10000, Spirit DEF: +10000, Order DEF: +10000, Chaos DEF: +10000, Nature DEF: +10000, Voodoo DEF: +10000, Blood DEF: +10000, Zen DEF: +10000, Astral DEF: +10000, Celestial DEF: +10000 ++Unbroken will - You become immune to all effects that would prevent you from taking your turn.</v>
      </c>
      <c r="G612" s="16">
        <f>IFERROR(__xludf.DUMMYFUNCTION("""COMPUTED_VALUE"""),7.98E8)</f>
        <v>798000000</v>
      </c>
      <c r="H612" s="16"/>
      <c r="I612" s="16"/>
      <c r="J612" s="16"/>
      <c r="K612" s="16"/>
      <c r="L612" s="16"/>
      <c r="M612" s="16"/>
      <c r="N612" s="16"/>
      <c r="O612" s="16"/>
      <c r="P612" s="16"/>
      <c r="Q612" s="16"/>
      <c r="R612" s="16"/>
      <c r="S612" s="16"/>
      <c r="T612" s="16"/>
      <c r="U612" s="16"/>
      <c r="V612" s="16"/>
      <c r="W612" s="16"/>
      <c r="X612" s="16"/>
      <c r="Y612" s="16"/>
      <c r="Z612" s="16"/>
    </row>
    <row r="613">
      <c r="A613" s="16" t="str">
        <f>IFERROR(__xludf.DUMMYFUNCTION("""COMPUTED_VALUE"""),"Harbingers' Shifting Pauldrons (Spira)")</f>
        <v>Harbingers' Shifting Pauldrons (Spira)</v>
      </c>
      <c r="B613" s="16" t="str">
        <f>IFERROR(__xludf.DUMMYFUNCTION("""COMPUTED_VALUE"""),"(Quest Item) This knife holds all the grief of Inugima, the man who turned his back on his clan and lived in grief for his descision until the day he died. The blade is stained red with the blood of Inugima's family and now is stained with his as well. It"&amp;" still seems to hold some special power and you guess it's story probably isn't over yet.")</f>
        <v>(Quest Item) This knife holds all the grief of Inugima, the man who turned his back on his clan and lived in grief for his descision until the day he died. The blade is stained red with the blood of Inugima's family and now is stained with his as well. It still seems to hold some special power and you guess it's story probably isn't over yet.</v>
      </c>
      <c r="C613" s="16"/>
      <c r="D613" s="16" t="str">
        <f>IFERROR(__xludf.DUMMYFUNCTION("""COMPUTED_VALUE"""),"Shoulders")</f>
        <v>Shoulders</v>
      </c>
      <c r="E613" s="16">
        <f>IFERROR(__xludf.DUMMYFUNCTION("""COMPUTED_VALUE"""),200.0)</f>
        <v>200</v>
      </c>
      <c r="F613"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++Adrenaline - Upon being hit with any attack gain 1 stack of Insanity.")</f>
        <v>DEF: +50000, Fire DEF: +10000, Water DEF: +10000, Storm DEF: +10000, Earth DEF: +10000, Light DEF: +10000, Dark DEF: +10000, Spirit DEF: +10000, Order DEF: +10000, Chaos DEF: +10000, Nature DEF: +10000, Voodoo DEF: +10000, Blood DEF: +10000, Zen DEF: +10000, Astral DEF: +10000, Celestial DEF: +10000 ++Adrenaline - Upon being hit with any attack gain 1 stack of Insanity.</v>
      </c>
      <c r="G613" s="16">
        <f>IFERROR(__xludf.DUMMYFUNCTION("""COMPUTED_VALUE"""),7.98E8)</f>
        <v>798000000</v>
      </c>
      <c r="H613" s="16"/>
      <c r="I613" s="16"/>
      <c r="J613" s="16"/>
      <c r="K613" s="16"/>
      <c r="L613" s="16"/>
      <c r="M613" s="16"/>
      <c r="N613" s="16"/>
      <c r="O613" s="16"/>
      <c r="P613" s="16"/>
      <c r="Q613" s="16"/>
      <c r="R613" s="16"/>
      <c r="S613" s="16"/>
      <c r="T613" s="16"/>
      <c r="U613" s="16"/>
      <c r="V613" s="16"/>
      <c r="W613" s="16"/>
      <c r="X613" s="16"/>
      <c r="Y613" s="16"/>
      <c r="Z613" s="16"/>
    </row>
    <row r="614">
      <c r="A614" s="16" t="str">
        <f>IFERROR(__xludf.DUMMYFUNCTION("""COMPUTED_VALUE"""),"Harbingers' Emblazoned Chest of The Encroaching Void (Spira)")</f>
        <v>Harbingers' Emblazoned Chest of The Encroaching Void (Spira)</v>
      </c>
      <c r="B614" s="16" t="str">
        <f>IFERROR(__xludf.DUMMYFUNCTION("""COMPUTED_VALUE"""),"The Harbinger's armor is made of a dark steel which drives its wearer progressively further whilst in combat. The armor takes the rage of its wearer and multiplies it tenfold whilst breaking off the subconscious limiters on a wearers strength.")</f>
        <v>The Harbinger's armor is made of a dark steel which drives its wearer progressively further whilst in combat. The armor takes the rage of its wearer and multiplies it tenfold whilst breaking off the subconscious limiters on a wearers strength.</v>
      </c>
      <c r="C614" s="16"/>
      <c r="D614" s="16" t="str">
        <f>IFERROR(__xludf.DUMMYFUNCTION("""COMPUTED_VALUE"""),"Torso")</f>
        <v>Torso</v>
      </c>
      <c r="E614" s="16">
        <f>IFERROR(__xludf.DUMMYFUNCTION("""COMPUTED_VALUE"""),200.0)</f>
        <v>200</v>
      </c>
      <c r="F614"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++Bloodlust - Upon targeting any enemy with an attack gain 2 stacks of insanity")</f>
        <v>DEF: +50000, Fire DEF: +10000, Water DEF: +10000, Storm DEF: +10000, Earth DEF: +10000, Light DEF: +10000, Dark DEF: +10000, Spirit DEF: +10000, Order DEF: +10000, Chaos DEF: +10000, Nature DEF: +10000, Voodoo DEF: +10000, Blood DEF: +10000, Zen DEF: +10000, Astral DEF: +10000, Celestial DEF: +10000 ++Bloodlust - Upon targeting any enemy with an attack gain 2 stacks of insanity</v>
      </c>
      <c r="G614" s="16">
        <f>IFERROR(__xludf.DUMMYFUNCTION("""COMPUTED_VALUE"""),7.98E8)</f>
        <v>798000000</v>
      </c>
      <c r="H614" s="16"/>
      <c r="I614" s="16"/>
      <c r="J614" s="16"/>
      <c r="K614" s="16"/>
      <c r="L614" s="16"/>
      <c r="M614" s="16"/>
      <c r="N614" s="16"/>
      <c r="O614" s="16"/>
      <c r="P614" s="16"/>
      <c r="Q614" s="16"/>
      <c r="R614" s="16"/>
      <c r="S614" s="16"/>
      <c r="T614" s="16"/>
      <c r="U614" s="16"/>
      <c r="V614" s="16"/>
      <c r="W614" s="16"/>
      <c r="X614" s="16"/>
      <c r="Y614" s="16"/>
      <c r="Z614" s="16"/>
    </row>
    <row r="615">
      <c r="A615" s="16" t="str">
        <f>IFERROR(__xludf.DUMMYFUNCTION("""COMPUTED_VALUE"""),"Harbingers' Broken Fettering (Spira)")</f>
        <v>Harbingers' Broken Fettering (Spira)</v>
      </c>
      <c r="B615" s="16" t="str">
        <f>IFERROR(__xludf.DUMMYFUNCTION("""COMPUTED_VALUE"""),"Some have witnessed how the wearers of this mythical armor seem completely unreactive to the pain and it is speculated that the armor itself temporarily cuts off all feelings of pain to keep the wearer fighting.")</f>
        <v>Some have witnessed how the wearers of this mythical armor seem completely unreactive to the pain and it is speculated that the armor itself temporarily cuts off all feelings of pain to keep the wearer fighting.</v>
      </c>
      <c r="C615" s="16"/>
      <c r="D615" s="16" t="str">
        <f>IFERROR(__xludf.DUMMYFUNCTION("""COMPUTED_VALUE"""),"Arms")</f>
        <v>Arms</v>
      </c>
      <c r="E615" s="16">
        <f>IFERROR(__xludf.DUMMYFUNCTION("""COMPUTED_VALUE"""),200.0)</f>
        <v>200</v>
      </c>
      <c r="F615"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++To Break From Your Shackles - You lash out cleaving your way through reality creating a small distortion dealing 500,000 delta damage to all enemies and allies and inflict Shuttering 5, requiring everyone to"&amp;" roll a fail or succeed roll to bind themselves to this plane or have a party member who succeeded use an action to help them, or if they fail 5 times they will be lost to the void forever, consumes 10 stacks of insanity to cast (Permadeath)(considered an"&amp;" instant death effect for purposes of immunity)")</f>
        <v>DEF: +50000, Fire DEF: +10000, Water DEF: +10000, Storm DEF: +10000, Earth DEF: +10000, Light DEF: +10000, Dark DEF: +10000, Spirit DEF: +10000, Order DEF: +10000, Chaos DEF: +10000, Nature DEF: +10000, Voodoo DEF: +10000, Blood DEF: +10000, Zen DEF: +10000, Astral DEF: +10000, Celestial DEF: +10000 ++To Break From Your Shackles - You lash out cleaving your way through reality creating a small distortion dealing 500,000 delta damage to all enemies and allies and inflict Shuttering 5, requiring everyone to roll a fail or succeed roll to bind themselves to this plane or have a party member who succeeded use an action to help them, or if they fail 5 times they will be lost to the void forever, consumes 10 stacks of insanity to cast (Permadeath)(considered an instant death effect for purposes of immunity)</v>
      </c>
      <c r="G615" s="16">
        <f>IFERROR(__xludf.DUMMYFUNCTION("""COMPUTED_VALUE"""),7.98E8)</f>
        <v>798000000</v>
      </c>
      <c r="H615" s="16"/>
      <c r="I615" s="16"/>
      <c r="J615" s="16"/>
      <c r="K615" s="16"/>
      <c r="L615" s="16"/>
      <c r="M615" s="16"/>
      <c r="N615" s="16"/>
      <c r="O615" s="16"/>
      <c r="P615" s="16"/>
      <c r="Q615" s="16"/>
      <c r="R615" s="16"/>
      <c r="S615" s="16"/>
      <c r="T615" s="16"/>
      <c r="U615" s="16"/>
      <c r="V615" s="16"/>
      <c r="W615" s="16"/>
      <c r="X615" s="16"/>
      <c r="Y615" s="16"/>
      <c r="Z615" s="16"/>
    </row>
    <row r="616">
      <c r="A616" s="16" t="str">
        <f>IFERROR(__xludf.DUMMYFUNCTION("""COMPUTED_VALUE"""),"Harbingers' Ethereal Chausses (Spira)")</f>
        <v>Harbingers' Ethereal Chausses (Spira)</v>
      </c>
      <c r="B616" s="16" t="str">
        <f>IFERROR(__xludf.DUMMYFUNCTION("""COMPUTED_VALUE"""),"Even with broken bones the armor will not allow the wearer to stop fighting, spikes will form from the armor piercing into the damaged limbs and letting the wearer continue controller these destroyed limbs via the armor itself.")</f>
        <v>Even with broken bones the armor will not allow the wearer to stop fighting, spikes will form from the armor piercing into the damaged limbs and letting the wearer continue controller these destroyed limbs via the armor itself.</v>
      </c>
      <c r="C616" s="16"/>
      <c r="D616" s="16" t="str">
        <f>IFERROR(__xludf.DUMMYFUNCTION("""COMPUTED_VALUE"""),"Legs")</f>
        <v>Legs</v>
      </c>
      <c r="E616" s="16">
        <f>IFERROR(__xludf.DUMMYFUNCTION("""COMPUTED_VALUE"""),200.0)</f>
        <v>200</v>
      </c>
      <c r="F616"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++Voidal Instinct - 50% chance to avoid all delta attacks and instant death effects
++To the Last Drop of Blood - Grants immunity to slowness.")</f>
        <v>DEF: +50000, Fire DEF: +10000, Water DEF: +10000, Storm DEF: +10000, Earth DEF: +10000, Light DEF: +10000, Dark DEF: +10000, Spirit DEF: +10000, Order DEF: +10000, Chaos DEF: +10000, Nature DEF: +10000, Voodoo DEF: +10000, Blood DEF: +10000, Zen DEF: +10000, Astral DEF: +10000, Celestial DEF: +10000 ++Voidal Instinct - 50% chance to avoid all delta attacks and instant death effects
++To the Last Drop of Blood - Grants immunity to slowness.</v>
      </c>
      <c r="G616" s="16">
        <f>IFERROR(__xludf.DUMMYFUNCTION("""COMPUTED_VALUE"""),7.98E8)</f>
        <v>798000000</v>
      </c>
      <c r="H616" s="16"/>
      <c r="I616" s="16"/>
      <c r="J616" s="16"/>
      <c r="K616" s="16"/>
      <c r="L616" s="16"/>
      <c r="M616" s="16"/>
      <c r="N616" s="16"/>
      <c r="O616" s="16"/>
      <c r="P616" s="16"/>
      <c r="Q616" s="16"/>
      <c r="R616" s="16"/>
      <c r="S616" s="16"/>
      <c r="T616" s="16"/>
      <c r="U616" s="16"/>
      <c r="V616" s="16"/>
      <c r="W616" s="16"/>
      <c r="X616" s="16"/>
      <c r="Y616" s="16"/>
      <c r="Z616" s="16"/>
    </row>
    <row r="617">
      <c r="A617" s="16" t="str">
        <f>IFERROR(__xludf.DUMMYFUNCTION("""COMPUTED_VALUE"""),"Harbingers' Spiked Sabatons (Spira)")</f>
        <v>Harbingers' Spiked Sabatons (Spira)</v>
      </c>
      <c r="B617" s="16"/>
      <c r="C617" s="16"/>
      <c r="D617" s="16" t="str">
        <f>IFERROR(__xludf.DUMMYFUNCTION("""COMPUTED_VALUE"""),"Feet")</f>
        <v>Feet</v>
      </c>
      <c r="E617" s="16">
        <f>IFERROR(__xludf.DUMMYFUNCTION("""COMPUTED_VALUE"""),200.0)</f>
        <v>200</v>
      </c>
      <c r="F617"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++Leg Sweep - Strike at an opponent's legs making a hit or miss attack (adding mobility) on hit you knock the opponent to the ground inflicting them with slowness 3")</f>
        <v>DEF: +50000, Fire DEF: +10000, Water DEF: +10000, Storm DEF: +10000, Earth DEF: +10000, Light DEF: +10000, Dark DEF: +10000, Spirit DEF: +10000, Order DEF: +10000, Chaos DEF: +10000, Nature DEF: +10000, Voodoo DEF: +10000, Blood DEF: +10000, Zen DEF: +10000, Astral DEF: +10000, Celestial DEF: +10000 ++Leg Sweep - Strike at an opponent's legs making a hit or miss attack (adding mobility) on hit you knock the opponent to the ground inflicting them with slowness 3</v>
      </c>
      <c r="G617" s="16">
        <f>IFERROR(__xludf.DUMMYFUNCTION("""COMPUTED_VALUE"""),7.98E8)</f>
        <v>798000000</v>
      </c>
      <c r="H617" s="16"/>
      <c r="I617" s="16"/>
      <c r="J617" s="16"/>
      <c r="K617" s="16"/>
      <c r="L617" s="16"/>
      <c r="M617" s="16"/>
      <c r="N617" s="16"/>
      <c r="O617" s="16"/>
      <c r="P617" s="16"/>
      <c r="Q617" s="16"/>
      <c r="R617" s="16"/>
      <c r="S617" s="16"/>
      <c r="T617" s="16"/>
      <c r="U617" s="16"/>
      <c r="V617" s="16"/>
      <c r="W617" s="16"/>
      <c r="X617" s="16"/>
      <c r="Y617" s="16"/>
      <c r="Z617" s="16"/>
    </row>
    <row r="618">
      <c r="A618" s="16" t="str">
        <f>IFERROR(__xludf.DUMMYFUNCTION("""COMPUTED_VALUE"""),"Harbingers' Vow (Spira)")</f>
        <v>Harbingers' Vow (Spira)</v>
      </c>
      <c r="B618" s="16"/>
      <c r="C618" s="16"/>
      <c r="D618" s="16" t="str">
        <f>IFERROR(__xludf.DUMMYFUNCTION("""COMPUTED_VALUE"""),"Finger")</f>
        <v>Finger</v>
      </c>
      <c r="E618" s="16">
        <f>IFERROR(__xludf.DUMMYFUNCTION("""COMPUTED_VALUE"""),1.0)</f>
        <v>1</v>
      </c>
      <c r="F618" s="16" t="str">
        <f>IFERROR(__xludf.DUMMYFUNCTION("""COMPUTED_VALUE""")," ++Pervading Madness - at the start of each of your turns flip a coin with heads being 1 and tails being 2 or roll a d2, gain that many stacks of insanity")</f>
        <v> ++Pervading Madness - at the start of each of your turns flip a coin with heads being 1 and tails being 2 or roll a d2, gain that many stacks of insanity</v>
      </c>
      <c r="G618" s="16">
        <f>IFERROR(__xludf.DUMMYFUNCTION("""COMPUTED_VALUE"""),0.0)</f>
        <v>0</v>
      </c>
      <c r="H618" s="16"/>
      <c r="I618" s="16"/>
      <c r="J618" s="16"/>
      <c r="K618" s="16"/>
      <c r="L618" s="16"/>
      <c r="M618" s="16"/>
      <c r="N618" s="16"/>
      <c r="O618" s="16"/>
      <c r="P618" s="16"/>
      <c r="Q618" s="16"/>
      <c r="R618" s="16"/>
      <c r="S618" s="16"/>
      <c r="T618" s="16"/>
      <c r="U618" s="16"/>
      <c r="V618" s="16"/>
      <c r="W618" s="16"/>
      <c r="X618" s="16"/>
      <c r="Y618" s="16"/>
      <c r="Z618" s="16"/>
    </row>
    <row r="619">
      <c r="A619" s="16" t="str">
        <f>IFERROR(__xludf.DUMMYFUNCTION("""COMPUTED_VALUE"""),"Harbingers' Resolve (Spira)")</f>
        <v>Harbingers' Resolve (Spira)</v>
      </c>
      <c r="B619" s="16"/>
      <c r="C619" s="16"/>
      <c r="D619" s="16" t="str">
        <f>IFERROR(__xludf.DUMMYFUNCTION("""COMPUTED_VALUE"""),"Neck")</f>
        <v>Neck</v>
      </c>
      <c r="E619" s="16">
        <f>IFERROR(__xludf.DUMMYFUNCTION("""COMPUTED_VALUE"""),1.0)</f>
        <v>1</v>
      </c>
      <c r="F619" s="16" t="str">
        <f>IFERROR(__xludf.DUMMYFUNCTION("""COMPUTED_VALUE""")," ++To the Death! - Upon taking lethal damage resist it with 1 hp and gain 10 stacks of insanity (once per battle)")</f>
        <v> ++To the Death! - Upon taking lethal damage resist it with 1 hp and gain 10 stacks of insanity (once per battle)</v>
      </c>
      <c r="G619" s="16">
        <f>IFERROR(__xludf.DUMMYFUNCTION("""COMPUTED_VALUE"""),0.0)</f>
        <v>0</v>
      </c>
      <c r="H619" s="16"/>
      <c r="I619" s="16"/>
      <c r="J619" s="16"/>
      <c r="K619" s="16"/>
      <c r="L619" s="16"/>
      <c r="M619" s="16"/>
      <c r="N619" s="16"/>
      <c r="O619" s="16"/>
      <c r="P619" s="16"/>
      <c r="Q619" s="16"/>
      <c r="R619" s="16"/>
      <c r="S619" s="16"/>
      <c r="T619" s="16"/>
      <c r="U619" s="16"/>
      <c r="V619" s="16"/>
      <c r="W619" s="16"/>
      <c r="X619" s="16"/>
      <c r="Y619" s="16"/>
      <c r="Z619" s="16"/>
    </row>
    <row r="620">
      <c r="A620" s="16" t="str">
        <f>IFERROR(__xludf.DUMMYFUNCTION("""COMPUTED_VALUE"""),"Harbingers' Fist of Iron (Spira)")</f>
        <v>Harbingers' Fist of Iron (Spira)</v>
      </c>
      <c r="B620" s="16"/>
      <c r="C620" s="16" t="str">
        <f>IFERROR(__xludf.DUMMYFUNCTION("""COMPUTED_VALUE"""),"Gauntlet")</f>
        <v>Gauntlet</v>
      </c>
      <c r="D620" s="16" t="str">
        <f>IFERROR(__xludf.DUMMYFUNCTION("""COMPUTED_VALUE"""),"Hand")</f>
        <v>Hand</v>
      </c>
      <c r="E620" s="16">
        <f>IFERROR(__xludf.DUMMYFUNCTION("""COMPUTED_VALUE"""),200.0)</f>
        <v>200</v>
      </c>
      <c r="F620" s="16" t="str">
        <f>IFERROR(__xludf.DUMMYFUNCTION("""COMPUTED_VALUE"""),"DEF: +50000, Celestial DEF: +50000 ++One fist of Iron -  When attacking with this weapon you can choose to attack with the Harbingers' Claw of Steel in the same action. ++Throat Grab - make a hit or miss attack to prevent an enemy from acting on their tur"&amp;"n as long as they remain grappled. To break free from the grapple the enemy must roll evasion to attempt to break free from your grasp at the end of each of your turns. ++20% chance to remove enemy from battle")</f>
        <v>DEF: +50000, Celestial DEF: +50000 ++One fist of Iron -  When attacking with this weapon you can choose to attack with the Harbingers' Claw of Steel in the same action. ++Throat Grab - make a hit or miss attack to prevent an enemy from acting on their turn as long as they remain grappled. To break free from the grapple the enemy must roll evasion to attempt to break free from your grasp at the end of each of your turns. ++20% chance to remove enemy from battle</v>
      </c>
      <c r="G620" s="16">
        <f>IFERROR(__xludf.DUMMYFUNCTION("""COMPUTED_VALUE"""),1.99E8)</f>
        <v>199000000</v>
      </c>
      <c r="H620" s="16"/>
      <c r="I620" s="16"/>
      <c r="J620" s="16"/>
      <c r="K620" s="16"/>
      <c r="L620" s="16"/>
      <c r="M620" s="16"/>
      <c r="N620" s="16"/>
      <c r="O620" s="16"/>
      <c r="P620" s="16"/>
      <c r="Q620" s="16"/>
      <c r="R620" s="16"/>
      <c r="S620" s="16"/>
      <c r="T620" s="16"/>
      <c r="U620" s="16"/>
      <c r="V620" s="16"/>
      <c r="W620" s="16"/>
      <c r="X620" s="16"/>
      <c r="Y620" s="16"/>
      <c r="Z620" s="16"/>
    </row>
    <row r="621">
      <c r="A621" s="16" t="str">
        <f>IFERROR(__xludf.DUMMYFUNCTION("""COMPUTED_VALUE"""),"Harbingers' Claw of Steel (Spira)")</f>
        <v>Harbingers' Claw of Steel (Spira)</v>
      </c>
      <c r="B621" s="16"/>
      <c r="C621" s="16" t="str">
        <f>IFERROR(__xludf.DUMMYFUNCTION("""COMPUTED_VALUE"""),"Claw")</f>
        <v>Claw</v>
      </c>
      <c r="D621" s="16" t="str">
        <f>IFERROR(__xludf.DUMMYFUNCTION("""COMPUTED_VALUE"""),"Hand")</f>
        <v>Hand</v>
      </c>
      <c r="E621" s="16">
        <f>IFERROR(__xludf.DUMMYFUNCTION("""COMPUTED_VALUE"""),200.0)</f>
        <v>200</v>
      </c>
      <c r="F621" s="16" t="str">
        <f>IFERROR(__xludf.DUMMYFUNCTION("""COMPUTED_VALUE"""),"DMG: +50000, Delta DMG: +25000, Celestial DMG: +25000 ++And Another of Steel - When attacking with this weapon you can choose to attack with the Harbingers' Fist of Iron in the same action. ++Elemental Rend - inflicts 1000 damage per round of each element"&amp;" (Excluding Acoustic, Zen, Time, Physical, Melee, and Ranged) when attacking an enemy ++Maddening Blows - targeting an enemy with this weapon inflicts you with 1 stack of insanity")</f>
        <v>DMG: +50000, Delta DMG: +25000, Celestial DMG: +25000 ++And Another of Steel - When attacking with this weapon you can choose to attack with the Harbingers' Fist of Iron in the same action. ++Elemental Rend - inflicts 1000 damage per round of each element (Excluding Acoustic, Zen, Time, Physical, Melee, and Ranged) when attacking an enemy ++Maddening Blows - targeting an enemy with this weapon inflicts you with 1 stack of insanity</v>
      </c>
      <c r="G621" s="16">
        <f>IFERROR(__xludf.DUMMYFUNCTION("""COMPUTED_VALUE"""),1.99E8)</f>
        <v>199000000</v>
      </c>
      <c r="H621" s="16"/>
      <c r="I621" s="16"/>
      <c r="J621" s="16"/>
      <c r="K621" s="16"/>
      <c r="L621" s="16"/>
      <c r="M621" s="16"/>
      <c r="N621" s="16"/>
      <c r="O621" s="16"/>
      <c r="P621" s="16"/>
      <c r="Q621" s="16"/>
      <c r="R621" s="16"/>
      <c r="S621" s="16"/>
      <c r="T621" s="16"/>
      <c r="U621" s="16"/>
      <c r="V621" s="16"/>
      <c r="W621" s="16"/>
      <c r="X621" s="16"/>
      <c r="Y621" s="16"/>
      <c r="Z621" s="16"/>
    </row>
    <row r="622">
      <c r="A622" s="16" t="str">
        <f>IFERROR(__xludf.DUMMYFUNCTION("""COMPUTED_VALUE"""),"Eagles Claw")</f>
        <v>Eagles Claw</v>
      </c>
      <c r="B622" s="16"/>
      <c r="C622" s="16" t="str">
        <f>IFERROR(__xludf.DUMMYFUNCTION("""COMPUTED_VALUE"""),"Claw")</f>
        <v>Claw</v>
      </c>
      <c r="D622" s="16" t="str">
        <f>IFERROR(__xludf.DUMMYFUNCTION("""COMPUTED_VALUE"""),"Hand")</f>
        <v>Hand</v>
      </c>
      <c r="E622" s="16">
        <f>IFERROR(__xludf.DUMMYFUNCTION("""COMPUTED_VALUE"""),200.0)</f>
        <v>200</v>
      </c>
      <c r="F622" s="16" t="str">
        <f>IFERROR(__xludf.DUMMYFUNCTION("""COMPUTED_VALUE"""),"DMG: +10000 ++Eagles Removal - 20% Chance to remove the target from battle. ")</f>
        <v>DMG: +10000 ++Eagles Removal - 20% Chance to remove the target from battle. </v>
      </c>
      <c r="G622" s="16">
        <f>IFERROR(__xludf.DUMMYFUNCTION("""COMPUTED_VALUE"""),1900000.0)</f>
        <v>1900000</v>
      </c>
      <c r="H622" s="16"/>
      <c r="I622" s="16"/>
      <c r="J622" s="16"/>
      <c r="K622" s="16"/>
      <c r="L622" s="16"/>
      <c r="M622" s="16"/>
      <c r="N622" s="16"/>
      <c r="O622" s="16"/>
      <c r="P622" s="16"/>
      <c r="Q622" s="16"/>
      <c r="R622" s="16"/>
      <c r="S622" s="16"/>
      <c r="T622" s="16"/>
      <c r="U622" s="16"/>
      <c r="V622" s="16"/>
      <c r="W622" s="16"/>
      <c r="X622" s="16"/>
      <c r="Y622" s="16"/>
      <c r="Z622" s="16"/>
    </row>
    <row r="623">
      <c r="A623" s="16" t="str">
        <f>IFERROR(__xludf.DUMMYFUNCTION("""COMPUTED_VALUE"""),"Golden Gauntlet")</f>
        <v>Golden Gauntlet</v>
      </c>
      <c r="B623" s="16"/>
      <c r="C623" s="16" t="str">
        <f>IFERROR(__xludf.DUMMYFUNCTION("""COMPUTED_VALUE"""),"Gauntlet")</f>
        <v>Gauntlet</v>
      </c>
      <c r="D623" s="16" t="str">
        <f>IFERROR(__xludf.DUMMYFUNCTION("""COMPUTED_VALUE"""),"Hand")</f>
        <v>Hand</v>
      </c>
      <c r="E623" s="16">
        <f>IFERROR(__xludf.DUMMYFUNCTION("""COMPUTED_VALUE"""),200.0)</f>
        <v>200</v>
      </c>
      <c r="F623" s="16" t="str">
        <f>IFERROR(__xludf.DUMMYFUNCTION("""COMPUTED_VALUE"""),"DMG: +5000, Light DMG: +2500, Order DMG: +2500")</f>
        <v>DMG: +5000, Light DMG: +2500, Order DMG: +2500</v>
      </c>
      <c r="G623" s="16">
        <f>IFERROR(__xludf.DUMMYFUNCTION("""COMPUTED_VALUE"""),1900000.0)</f>
        <v>1900000</v>
      </c>
      <c r="H623" s="16"/>
      <c r="I623" s="16"/>
      <c r="J623" s="16"/>
      <c r="K623" s="16"/>
      <c r="L623" s="16"/>
      <c r="M623" s="16"/>
      <c r="N623" s="16"/>
      <c r="O623" s="16"/>
      <c r="P623" s="16"/>
      <c r="Q623" s="16"/>
      <c r="R623" s="16"/>
      <c r="S623" s="16"/>
      <c r="T623" s="16"/>
      <c r="U623" s="16"/>
      <c r="V623" s="16"/>
      <c r="W623" s="16"/>
      <c r="X623" s="16"/>
      <c r="Y623" s="16"/>
      <c r="Z623" s="16"/>
    </row>
    <row r="624">
      <c r="A624" s="16" t="str">
        <f>IFERROR(__xludf.DUMMYFUNCTION("""COMPUTED_VALUE"""),"Hand Crossbow")</f>
        <v>Hand Crossbow</v>
      </c>
      <c r="B624" s="16"/>
      <c r="C624" s="16" t="str">
        <f>IFERROR(__xludf.DUMMYFUNCTION("""COMPUTED_VALUE"""),"Bow")</f>
        <v>Bow</v>
      </c>
      <c r="D624" s="16" t="str">
        <f>IFERROR(__xludf.DUMMYFUNCTION("""COMPUTED_VALUE"""),"Hand")</f>
        <v>Hand</v>
      </c>
      <c r="E624" s="16">
        <f>IFERROR(__xludf.DUMMYFUNCTION("""COMPUTED_VALUE"""),200.0)</f>
        <v>200</v>
      </c>
      <c r="F624" s="16" t="str">
        <f>IFERROR(__xludf.DUMMYFUNCTION("""COMPUTED_VALUE"""),"DMG: +10000")</f>
        <v>DMG: +10000</v>
      </c>
      <c r="G624" s="16">
        <f>IFERROR(__xludf.DUMMYFUNCTION("""COMPUTED_VALUE"""),1900000.0)</f>
        <v>1900000</v>
      </c>
      <c r="H624" s="16"/>
      <c r="I624" s="16"/>
      <c r="J624" s="16"/>
      <c r="K624" s="16"/>
      <c r="L624" s="16"/>
      <c r="M624" s="16"/>
      <c r="N624" s="16"/>
      <c r="O624" s="16"/>
      <c r="P624" s="16"/>
      <c r="Q624" s="16"/>
      <c r="R624" s="16"/>
      <c r="S624" s="16"/>
      <c r="T624" s="16"/>
      <c r="U624" s="16"/>
      <c r="V624" s="16"/>
      <c r="W624" s="16"/>
      <c r="X624" s="16"/>
      <c r="Y624" s="16"/>
      <c r="Z624" s="16"/>
    </row>
    <row r="625">
      <c r="A625" s="16" t="str">
        <f>IFERROR(__xludf.DUMMYFUNCTION("""COMPUTED_VALUE"""),"Flintlock Pistol")</f>
        <v>Flintlock Pistol</v>
      </c>
      <c r="B625" s="16"/>
      <c r="C625" s="16" t="str">
        <f>IFERROR(__xludf.DUMMYFUNCTION("""COMPUTED_VALUE"""),"Firearm")</f>
        <v>Firearm</v>
      </c>
      <c r="D625" s="16" t="str">
        <f>IFERROR(__xludf.DUMMYFUNCTION("""COMPUTED_VALUE"""),"Hand")</f>
        <v>Hand</v>
      </c>
      <c r="E625" s="16">
        <f>IFERROR(__xludf.DUMMYFUNCTION("""COMPUTED_VALUE"""),200.0)</f>
        <v>200</v>
      </c>
      <c r="F625" s="16" t="str">
        <f>IFERROR(__xludf.DUMMYFUNCTION("""COMPUTED_VALUE"""),"DMG: +10000")</f>
        <v>DMG: +10000</v>
      </c>
      <c r="G625" s="16">
        <f>IFERROR(__xludf.DUMMYFUNCTION("""COMPUTED_VALUE"""),1900000.0)</f>
        <v>1900000</v>
      </c>
      <c r="H625" s="16"/>
      <c r="I625" s="16"/>
      <c r="J625" s="16"/>
      <c r="K625" s="16"/>
      <c r="L625" s="16"/>
      <c r="M625" s="16"/>
      <c r="N625" s="16"/>
      <c r="O625" s="16"/>
      <c r="P625" s="16"/>
      <c r="Q625" s="16"/>
      <c r="R625" s="16"/>
      <c r="S625" s="16"/>
      <c r="T625" s="16"/>
      <c r="U625" s="16"/>
      <c r="V625" s="16"/>
      <c r="W625" s="16"/>
      <c r="X625" s="16"/>
      <c r="Y625" s="16"/>
      <c r="Z625" s="16"/>
    </row>
    <row r="626">
      <c r="A626" s="16" t="str">
        <f>IFERROR(__xludf.DUMMYFUNCTION("""COMPUTED_VALUE"""),"Head of Gévaudan")</f>
        <v>Head of Gévaudan</v>
      </c>
      <c r="B626" s="16"/>
      <c r="C626" s="16"/>
      <c r="D626" s="16" t="str">
        <f>IFERROR(__xludf.DUMMYFUNCTION("""COMPUTED_VALUE"""),"Head")</f>
        <v>Head</v>
      </c>
      <c r="E626" s="16">
        <f>IFERROR(__xludf.DUMMYFUNCTION("""COMPUTED_VALUE"""),200.0)</f>
        <v>200</v>
      </c>
      <c r="F626" s="16" t="str">
        <f>IFERROR(__xludf.DUMMYFUNCTION("""COMPUTED_VALUE"""),"DEF: +10000 ++ +5 to intimidation, ++Soul Shake: Allows to cast ""Shaken Soul""")</f>
        <v>DEF: +10000 ++ +5 to intimidation, ++Soul Shake: Allows to cast "Shaken Soul"</v>
      </c>
      <c r="G626" s="16">
        <f>IFERROR(__xludf.DUMMYFUNCTION("""COMPUTED_VALUE"""),1900000.0)</f>
        <v>1900000</v>
      </c>
      <c r="H626" s="16"/>
      <c r="I626" s="16"/>
      <c r="J626" s="16"/>
      <c r="K626" s="16"/>
      <c r="L626" s="16"/>
      <c r="M626" s="16"/>
      <c r="N626" s="16"/>
      <c r="O626" s="16"/>
      <c r="P626" s="16"/>
      <c r="Q626" s="16"/>
      <c r="R626" s="16"/>
      <c r="S626" s="16"/>
      <c r="T626" s="16"/>
      <c r="U626" s="16"/>
      <c r="V626" s="16"/>
      <c r="W626" s="16"/>
      <c r="X626" s="16"/>
      <c r="Y626" s="16"/>
      <c r="Z626" s="16"/>
    </row>
    <row r="627">
      <c r="A627" s="16" t="str">
        <f>IFERROR(__xludf.DUMMYFUNCTION("""COMPUTED_VALUE"""),"Phantasmal Scythe")</f>
        <v>Phantasmal Scythe</v>
      </c>
      <c r="B627" s="16"/>
      <c r="C627" s="16" t="str">
        <f>IFERROR(__xludf.DUMMYFUNCTION("""COMPUTED_VALUE"""),"Scythe")</f>
        <v>Scythe</v>
      </c>
      <c r="D627" s="16" t="str">
        <f>IFERROR(__xludf.DUMMYFUNCTION("""COMPUTED_VALUE"""),"Hand")</f>
        <v>Hand</v>
      </c>
      <c r="E627" s="16">
        <f>IFERROR(__xludf.DUMMYFUNCTION("""COMPUTED_VALUE"""),1000.0)</f>
        <v>1000</v>
      </c>
      <c r="F627" s="16" t="str">
        <f>IFERROR(__xludf.DUMMYFUNCTION("""COMPUTED_VALUE"""),", Spirit DMG: +50000")</f>
        <v>, Spirit DMG: +50000</v>
      </c>
      <c r="G627" s="16">
        <f>IFERROR(__xludf.DUMMYFUNCTION("""COMPUTED_VALUE"""),4.95E7)</f>
        <v>49500000</v>
      </c>
      <c r="H627" s="16"/>
      <c r="I627" s="16"/>
      <c r="J627" s="16"/>
      <c r="K627" s="16"/>
      <c r="L627" s="16"/>
      <c r="M627" s="16"/>
      <c r="N627" s="16"/>
      <c r="O627" s="16"/>
      <c r="P627" s="16"/>
      <c r="Q627" s="16"/>
      <c r="R627" s="16"/>
      <c r="S627" s="16"/>
      <c r="T627" s="16"/>
      <c r="U627" s="16"/>
      <c r="V627" s="16"/>
      <c r="W627" s="16"/>
      <c r="X627" s="16"/>
      <c r="Y627" s="16"/>
      <c r="Z627" s="16"/>
    </row>
    <row r="628">
      <c r="A628" s="16" t="str">
        <f>IFERROR(__xludf.DUMMYFUNCTION("""COMPUTED_VALUE"""),"Piranha Tooth Dagger")</f>
        <v>Piranha Tooth Dagger</v>
      </c>
      <c r="B628" s="16"/>
      <c r="C628" s="16" t="str">
        <f>IFERROR(__xludf.DUMMYFUNCTION("""COMPUTED_VALUE"""),"Knife")</f>
        <v>Knife</v>
      </c>
      <c r="D628" s="16" t="str">
        <f>IFERROR(__xludf.DUMMYFUNCTION("""COMPUTED_VALUE"""),"Hand")</f>
        <v>Hand</v>
      </c>
      <c r="E628" s="16">
        <f>IFERROR(__xludf.DUMMYFUNCTION("""COMPUTED_VALUE"""),10.0)</f>
        <v>10</v>
      </c>
      <c r="F628" s="16" t="str">
        <f>IFERROR(__xludf.DUMMYFUNCTION("""COMPUTED_VALUE"""),"DMG: +500 ++Increases damage by X2 for every time you hit an enemy with this weapon during a single battle (Goes back to normal damage after battle)")</f>
        <v>DMG: +500 ++Increases damage by X2 for every time you hit an enemy with this weapon during a single battle (Goes back to normal damage after battle)</v>
      </c>
      <c r="G628" s="16">
        <f>IFERROR(__xludf.DUMMYFUNCTION("""COMPUTED_VALUE"""),1000.0)</f>
        <v>1000</v>
      </c>
      <c r="H628" s="16"/>
      <c r="I628" s="16"/>
      <c r="J628" s="16"/>
      <c r="K628" s="16"/>
      <c r="L628" s="16"/>
      <c r="M628" s="16"/>
      <c r="N628" s="16"/>
      <c r="O628" s="16"/>
      <c r="P628" s="16"/>
      <c r="Q628" s="16"/>
      <c r="R628" s="16"/>
      <c r="S628" s="16"/>
      <c r="T628" s="16"/>
      <c r="U628" s="16"/>
      <c r="V628" s="16"/>
      <c r="W628" s="16"/>
      <c r="X628" s="16"/>
      <c r="Y628" s="16"/>
      <c r="Z628" s="16"/>
    </row>
    <row r="629">
      <c r="A629" s="16" t="str">
        <f>IFERROR(__xludf.DUMMYFUNCTION("""COMPUTED_VALUE"""),"Rhino Horn Spear")</f>
        <v>Rhino Horn Spear</v>
      </c>
      <c r="B629" s="16"/>
      <c r="C629" s="16" t="str">
        <f>IFERROR(__xludf.DUMMYFUNCTION("""COMPUTED_VALUE"""),"Spear")</f>
        <v>Spear</v>
      </c>
      <c r="D629" s="16" t="str">
        <f>IFERROR(__xludf.DUMMYFUNCTION("""COMPUTED_VALUE"""),"Hand")</f>
        <v>Hand</v>
      </c>
      <c r="E629" s="16">
        <f>IFERROR(__xludf.DUMMYFUNCTION("""COMPUTED_VALUE"""),200.0)</f>
        <v>200</v>
      </c>
      <c r="F629" s="16" t="str">
        <f>IFERROR(__xludf.DUMMYFUNCTION("""COMPUTED_VALUE"""),"DMG: +10000 ++Charge - The first attack made with this weapon deals X2 damage")</f>
        <v>DMG: +10000 ++Charge - The first attack made with this weapon deals X2 damage</v>
      </c>
      <c r="G629" s="16">
        <f>IFERROR(__xludf.DUMMYFUNCTION("""COMPUTED_VALUE"""),1900000.0)</f>
        <v>1900000</v>
      </c>
      <c r="H629" s="16"/>
      <c r="I629" s="16"/>
      <c r="J629" s="16"/>
      <c r="K629" s="16"/>
      <c r="L629" s="16"/>
      <c r="M629" s="16"/>
      <c r="N629" s="16"/>
      <c r="O629" s="16"/>
      <c r="P629" s="16"/>
      <c r="Q629" s="16"/>
      <c r="R629" s="16"/>
      <c r="S629" s="16"/>
      <c r="T629" s="16"/>
      <c r="U629" s="16"/>
      <c r="V629" s="16"/>
      <c r="W629" s="16"/>
      <c r="X629" s="16"/>
      <c r="Y629" s="16"/>
      <c r="Z629" s="16"/>
    </row>
    <row r="630">
      <c r="A630" s="16" t="str">
        <f>IFERROR(__xludf.DUMMYFUNCTION("""COMPUTED_VALUE"""),"Rock Axe")</f>
        <v>Rock Axe</v>
      </c>
      <c r="B630" s="16"/>
      <c r="C630" s="16" t="str">
        <f>IFERROR(__xludf.DUMMYFUNCTION("""COMPUTED_VALUE"""),"Axe")</f>
        <v>Axe</v>
      </c>
      <c r="D630" s="16" t="str">
        <f>IFERROR(__xludf.DUMMYFUNCTION("""COMPUTED_VALUE"""),"Hand")</f>
        <v>Hand</v>
      </c>
      <c r="E630" s="16">
        <f>IFERROR(__xludf.DUMMYFUNCTION("""COMPUTED_VALUE"""),40.0)</f>
        <v>40</v>
      </c>
      <c r="F630" s="16" t="str">
        <f>IFERROR(__xludf.DUMMYFUNCTION("""COMPUTED_VALUE"""),"DMG: +1000, Earth DMG: +1000")</f>
        <v>DMG: +1000, Earth DMG: +1000</v>
      </c>
      <c r="G630" s="16">
        <f>IFERROR(__xludf.DUMMYFUNCTION("""COMPUTED_VALUE"""),60000.0)</f>
        <v>60000</v>
      </c>
      <c r="H630" s="16"/>
      <c r="I630" s="16"/>
      <c r="J630" s="16"/>
      <c r="K630" s="16"/>
      <c r="L630" s="16"/>
      <c r="M630" s="16"/>
      <c r="N630" s="16"/>
      <c r="O630" s="16"/>
      <c r="P630" s="16"/>
      <c r="Q630" s="16"/>
      <c r="R630" s="16"/>
      <c r="S630" s="16"/>
      <c r="T630" s="16"/>
      <c r="U630" s="16"/>
      <c r="V630" s="16"/>
      <c r="W630" s="16"/>
      <c r="X630" s="16"/>
      <c r="Y630" s="16"/>
      <c r="Z630" s="16"/>
    </row>
    <row r="631">
      <c r="A631" s="16" t="str">
        <f>IFERROR(__xludf.DUMMYFUNCTION("""COMPUTED_VALUE"""),"Saber Tooth")</f>
        <v>Saber Tooth</v>
      </c>
      <c r="B631" s="16"/>
      <c r="C631" s="16" t="str">
        <f>IFERROR(__xludf.DUMMYFUNCTION("""COMPUTED_VALUE"""),"Knife")</f>
        <v>Knife</v>
      </c>
      <c r="D631" s="16" t="str">
        <f>IFERROR(__xludf.DUMMYFUNCTION("""COMPUTED_VALUE"""),"Hand")</f>
        <v>Hand</v>
      </c>
      <c r="E631" s="16">
        <f>IFERROR(__xludf.DUMMYFUNCTION("""COMPUTED_VALUE"""),200.0)</f>
        <v>200</v>
      </c>
      <c r="F631" s="16" t="str">
        <f>IFERROR(__xludf.DUMMYFUNCTION("""COMPUTED_VALUE"""),"DMG: +10000")</f>
        <v>DMG: +10000</v>
      </c>
      <c r="G631" s="16">
        <f>IFERROR(__xludf.DUMMYFUNCTION("""COMPUTED_VALUE"""),1900000.0)</f>
        <v>1900000</v>
      </c>
      <c r="H631" s="16"/>
      <c r="I631" s="16"/>
      <c r="J631" s="16"/>
      <c r="K631" s="16"/>
      <c r="L631" s="16"/>
      <c r="M631" s="16"/>
      <c r="N631" s="16"/>
      <c r="O631" s="16"/>
      <c r="P631" s="16"/>
      <c r="Q631" s="16"/>
      <c r="R631" s="16"/>
      <c r="S631" s="16"/>
      <c r="T631" s="16"/>
      <c r="U631" s="16"/>
      <c r="V631" s="16"/>
      <c r="W631" s="16"/>
      <c r="X631" s="16"/>
      <c r="Y631" s="16"/>
      <c r="Z631" s="16"/>
    </row>
    <row r="632">
      <c r="A632" s="16" t="str">
        <f>IFERROR(__xludf.DUMMYFUNCTION("""COMPUTED_VALUE"""),"Worm Tooth Chainsaw")</f>
        <v>Worm Tooth Chainsaw</v>
      </c>
      <c r="B632" s="16"/>
      <c r="C632" s="16" t="str">
        <f>IFERROR(__xludf.DUMMYFUNCTION("""COMPUTED_VALUE"""),"Axe")</f>
        <v>Axe</v>
      </c>
      <c r="D632" s="16" t="str">
        <f>IFERROR(__xludf.DUMMYFUNCTION("""COMPUTED_VALUE"""),"Hand")</f>
        <v>Hand</v>
      </c>
      <c r="E632" s="16">
        <f>IFERROR(__xludf.DUMMYFUNCTION("""COMPUTED_VALUE"""),1200.0)</f>
        <v>1200</v>
      </c>
      <c r="F632" s="16" t="str">
        <f>IFERROR(__xludf.DUMMYFUNCTION("""COMPUTED_VALUE"""),"DMG: +50000, Blood DMG: +10000 ++Spinning Chain - Make a hit or miss attack (Adding Mobility) on hit set an enemies defense to 0 for 1 round 500 sp")</f>
        <v>DMG: +50000, Blood DMG: +10000 ++Spinning Chain - Make a hit or miss attack (Adding Mobility) on hit set an enemies defense to 0 for 1 round 500 sp</v>
      </c>
      <c r="G632" s="16">
        <f>IFERROR(__xludf.DUMMYFUNCTION("""COMPUTED_VALUE"""),7.14E7)</f>
        <v>71400000</v>
      </c>
      <c r="H632" s="16"/>
      <c r="I632" s="16"/>
      <c r="J632" s="16"/>
      <c r="K632" s="16"/>
      <c r="L632" s="16"/>
      <c r="M632" s="16"/>
      <c r="N632" s="16"/>
      <c r="O632" s="16"/>
      <c r="P632" s="16"/>
      <c r="Q632" s="16"/>
      <c r="R632" s="16"/>
      <c r="S632" s="16"/>
      <c r="T632" s="16"/>
      <c r="U632" s="16"/>
      <c r="V632" s="16"/>
      <c r="W632" s="16"/>
      <c r="X632" s="16"/>
      <c r="Y632" s="16"/>
      <c r="Z632" s="16"/>
    </row>
    <row r="633">
      <c r="A633" s="16" t="str">
        <f>IFERROR(__xludf.DUMMYFUNCTION("""COMPUTED_VALUE"""),"Shark Tooth Greatclub")</f>
        <v>Shark Tooth Greatclub</v>
      </c>
      <c r="B633" s="16"/>
      <c r="C633" s="16" t="str">
        <f>IFERROR(__xludf.DUMMYFUNCTION("""COMPUTED_VALUE"""),"Club")</f>
        <v>Club</v>
      </c>
      <c r="D633" s="16" t="str">
        <f>IFERROR(__xludf.DUMMYFUNCTION("""COMPUTED_VALUE"""),"Hand")</f>
        <v>Hand</v>
      </c>
      <c r="E633" s="16">
        <f>IFERROR(__xludf.DUMMYFUNCTION("""COMPUTED_VALUE"""),500.0)</f>
        <v>500</v>
      </c>
      <c r="F633" s="16" t="str">
        <f>IFERROR(__xludf.DUMMYFUNCTION("""COMPUTED_VALUE"""),"DMG: +25000 ++Abrasive Blow - hitting an enemy with this weapon causes them to be Injured graveky inflicting them with slowness until healed by any means.")</f>
        <v>DMG: +25000 ++Abrasive Blow - hitting an enemy with this weapon causes them to be Injured graveky inflicting them with slowness until healed by any means.</v>
      </c>
      <c r="G633" s="16">
        <f>IFERROR(__xludf.DUMMYFUNCTION("""COMPUTED_VALUE"""),1.225E7)</f>
        <v>12250000</v>
      </c>
      <c r="H633" s="16"/>
      <c r="I633" s="16"/>
      <c r="J633" s="16"/>
      <c r="K633" s="16"/>
      <c r="L633" s="16"/>
      <c r="M633" s="16"/>
      <c r="N633" s="16"/>
      <c r="O633" s="16"/>
      <c r="P633" s="16"/>
      <c r="Q633" s="16"/>
      <c r="R633" s="16"/>
      <c r="S633" s="16"/>
      <c r="T633" s="16"/>
      <c r="U633" s="16"/>
      <c r="V633" s="16"/>
      <c r="W633" s="16"/>
      <c r="X633" s="16"/>
      <c r="Y633" s="16"/>
      <c r="Z633" s="16"/>
    </row>
    <row r="634">
      <c r="A634" s="16" t="str">
        <f>IFERROR(__xludf.DUMMYFUNCTION("""COMPUTED_VALUE"""),"Sticky Slime Guantlets")</f>
        <v>Sticky Slime Guantlets</v>
      </c>
      <c r="B634" s="16"/>
      <c r="C634" s="16" t="str">
        <f>IFERROR(__xludf.DUMMYFUNCTION("""COMPUTED_VALUE"""),"Gauntlet")</f>
        <v>Gauntlet</v>
      </c>
      <c r="D634" s="16" t="str">
        <f>IFERROR(__xludf.DUMMYFUNCTION("""COMPUTED_VALUE"""),"Hand")</f>
        <v>Hand</v>
      </c>
      <c r="E634" s="16">
        <f>IFERROR(__xludf.DUMMYFUNCTION("""COMPUTED_VALUE"""),400.0)</f>
        <v>400</v>
      </c>
      <c r="F634" s="16" t="str">
        <f>IFERROR(__xludf.DUMMYFUNCTION("""COMPUTED_VALUE"""),"DEF: +20000 ++Slimey Grasp - When these gloves are equipped the natural power ""take"" Is guaranteed to succeed.")</f>
        <v>DEF: +20000 ++Slimey Grasp - When these gloves are equipped the natural power "take" Is guaranteed to succeed.</v>
      </c>
      <c r="G634" s="16">
        <f>IFERROR(__xludf.DUMMYFUNCTION("""COMPUTED_VALUE"""),7800000.0)</f>
        <v>7800000</v>
      </c>
      <c r="H634" s="16"/>
      <c r="I634" s="16"/>
      <c r="J634" s="16"/>
      <c r="K634" s="16"/>
      <c r="L634" s="16"/>
      <c r="M634" s="16"/>
      <c r="N634" s="16"/>
      <c r="O634" s="16"/>
      <c r="P634" s="16"/>
      <c r="Q634" s="16"/>
      <c r="R634" s="16"/>
      <c r="S634" s="16"/>
      <c r="T634" s="16"/>
      <c r="U634" s="16"/>
      <c r="V634" s="16"/>
      <c r="W634" s="16"/>
      <c r="X634" s="16"/>
      <c r="Y634" s="16"/>
      <c r="Z634" s="16"/>
    </row>
    <row r="635">
      <c r="A635" s="16" t="str">
        <f>IFERROR(__xludf.DUMMYFUNCTION("""COMPUTED_VALUE"""),"Draconic Scythe")</f>
        <v>Draconic Scythe</v>
      </c>
      <c r="B635" s="16"/>
      <c r="C635" s="16" t="str">
        <f>IFERROR(__xludf.DUMMYFUNCTION("""COMPUTED_VALUE"""),"Scythe")</f>
        <v>Scythe</v>
      </c>
      <c r="D635" s="16" t="str">
        <f>IFERROR(__xludf.DUMMYFUNCTION("""COMPUTED_VALUE"""),"Hand")</f>
        <v>Hand</v>
      </c>
      <c r="E635" s="16">
        <f>IFERROR(__xludf.DUMMYFUNCTION("""COMPUTED_VALUE"""),2000.0)</f>
        <v>2000</v>
      </c>
      <c r="F635" s="16" t="str">
        <f>IFERROR(__xludf.DUMMYFUNCTION("""COMPUTED_VALUE"""),", Spirit DMG: +100000 ++Draconic Soul - When Fighting alongside any draconic allies (including Dragon companions or Dragonians) or if the wielder itself is draconic this weapon deals an additional X5 damage")</f>
        <v>, Spirit DMG: +100000 ++Draconic Soul - When Fighting alongside any draconic allies (including Dragon companions or Dragonians) or if the wielder itself is draconic this weapon deals an additional X5 damage</v>
      </c>
      <c r="G635" s="16">
        <f>IFERROR(__xludf.DUMMYFUNCTION("""COMPUTED_VALUE"""),1.99E8)</f>
        <v>199000000</v>
      </c>
      <c r="H635" s="16"/>
      <c r="I635" s="16"/>
      <c r="J635" s="16"/>
      <c r="K635" s="16"/>
      <c r="L635" s="16"/>
      <c r="M635" s="16"/>
      <c r="N635" s="16"/>
      <c r="O635" s="16"/>
      <c r="P635" s="16"/>
      <c r="Q635" s="16"/>
      <c r="R635" s="16"/>
      <c r="S635" s="16"/>
      <c r="T635" s="16"/>
      <c r="U635" s="16"/>
      <c r="V635" s="16"/>
      <c r="W635" s="16"/>
      <c r="X635" s="16"/>
      <c r="Y635" s="16"/>
      <c r="Z635" s="16"/>
    </row>
    <row r="636">
      <c r="A636" s="16" t="str">
        <f>IFERROR(__xludf.DUMMYFUNCTION("""COMPUTED_VALUE"""),"Elemental Scythe")</f>
        <v>Elemental Scythe</v>
      </c>
      <c r="B636" s="16"/>
      <c r="C636" s="16" t="str">
        <f>IFERROR(__xludf.DUMMYFUNCTION("""COMPUTED_VALUE"""),"Scythe")</f>
        <v>Scythe</v>
      </c>
      <c r="D636" s="16" t="str">
        <f>IFERROR(__xludf.DUMMYFUNCTION("""COMPUTED_VALUE"""),"Hand")</f>
        <v>Hand</v>
      </c>
      <c r="E636" s="16">
        <f>IFERROR(__xludf.DUMMYFUNCTION("""COMPUTED_VALUE"""),2000.0)</f>
        <v>2000</v>
      </c>
      <c r="F636" s="16" t="str">
        <f>IFERROR(__xludf.DUMMYFUNCTION("""COMPUTED_VALUE"""),", Fire DMG: +20000, Physical DMG: +20000, Water DMG: +20000, Storm DMG: +20000, Earth DMG: +20000 ++This scythe is unnaffected by Immunities to fire, earth, nature, water, or storm.")</f>
        <v>, Fire DMG: +20000, Physical DMG: +20000, Water DMG: +20000, Storm DMG: +20000, Earth DMG: +20000 ++This scythe is unnaffected by Immunities to fire, earth, nature, water, or storm.</v>
      </c>
      <c r="G636" s="16">
        <f>IFERROR(__xludf.DUMMYFUNCTION("""COMPUTED_VALUE"""),1.99E8)</f>
        <v>199000000</v>
      </c>
      <c r="H636" s="16"/>
      <c r="I636" s="16"/>
      <c r="J636" s="16"/>
      <c r="K636" s="16"/>
      <c r="L636" s="16"/>
      <c r="M636" s="16"/>
      <c r="N636" s="16"/>
      <c r="O636" s="16"/>
      <c r="P636" s="16"/>
      <c r="Q636" s="16"/>
      <c r="R636" s="16"/>
      <c r="S636" s="16"/>
      <c r="T636" s="16"/>
      <c r="U636" s="16"/>
      <c r="V636" s="16"/>
      <c r="W636" s="16"/>
      <c r="X636" s="16"/>
      <c r="Y636" s="16"/>
      <c r="Z636" s="16"/>
    </row>
    <row r="637">
      <c r="A637" s="16" t="str">
        <f>IFERROR(__xludf.DUMMYFUNCTION("""COMPUTED_VALUE"""),"Staff of the Elemental King of Water")</f>
        <v>Staff of the Elemental King of Water</v>
      </c>
      <c r="B637" s="16"/>
      <c r="C637" s="16" t="str">
        <f>IFERROR(__xludf.DUMMYFUNCTION("""COMPUTED_VALUE"""),"Staff")</f>
        <v>Staff</v>
      </c>
      <c r="D637" s="16" t="str">
        <f>IFERROR(__xludf.DUMMYFUNCTION("""COMPUTED_VALUE"""),"Hand")</f>
        <v>Hand</v>
      </c>
      <c r="E637" s="16">
        <f>IFERROR(__xludf.DUMMYFUNCTION("""COMPUTED_VALUE"""),1000.0)</f>
        <v>1000</v>
      </c>
      <c r="F637" s="16" t="str">
        <f>IFERROR(__xludf.DUMMYFUNCTION("""COMPUTED_VALUE"""),", Water DMG: +50000 ++Summoned Water Elementals deal 5X water damage")</f>
        <v>, Water DMG: +50000 ++Summoned Water Elementals deal 5X water damage</v>
      </c>
      <c r="G637" s="16">
        <f>IFERROR(__xludf.DUMMYFUNCTION("""COMPUTED_VALUE"""),4.95E7)</f>
        <v>49500000</v>
      </c>
      <c r="H637" s="16"/>
      <c r="I637" s="16"/>
      <c r="J637" s="16"/>
      <c r="K637" s="16"/>
      <c r="L637" s="16"/>
      <c r="M637" s="16"/>
      <c r="N637" s="16"/>
      <c r="O637" s="16"/>
      <c r="P637" s="16"/>
      <c r="Q637" s="16"/>
      <c r="R637" s="16"/>
      <c r="S637" s="16"/>
      <c r="T637" s="16"/>
      <c r="U637" s="16"/>
      <c r="V637" s="16"/>
      <c r="W637" s="16"/>
      <c r="X637" s="16"/>
      <c r="Y637" s="16"/>
      <c r="Z637" s="16"/>
    </row>
    <row r="638">
      <c r="A638" s="16" t="str">
        <f>IFERROR(__xludf.DUMMYFUNCTION("""COMPUTED_VALUE"""),"Bashe's Tail")</f>
        <v>Bashe's Tail</v>
      </c>
      <c r="B638" s="16"/>
      <c r="C638" s="16"/>
      <c r="D638" s="16" t="str">
        <f>IFERROR(__xludf.DUMMYFUNCTION("""COMPUTED_VALUE"""),"Legs")</f>
        <v>Legs</v>
      </c>
      <c r="E638" s="16">
        <f>IFERROR(__xludf.DUMMYFUNCTION("""COMPUTED_VALUE"""),800.0)</f>
        <v>800</v>
      </c>
      <c r="F638" s="16" t="str">
        <f>IFERROR(__xludf.DUMMYFUNCTION("""COMPUTED_VALUE"""),"DEF: +40000 ++Smash - Allows you to attack with the tail as if it were a club weapon")</f>
        <v>DEF: +40000 ++Smash - Allows you to attack with the tail as if it were a club weapon</v>
      </c>
      <c r="G638" s="16">
        <f>IFERROR(__xludf.DUMMYFUNCTION("""COMPUTED_VALUE"""),3.16E7)</f>
        <v>31600000</v>
      </c>
      <c r="H638" s="16"/>
      <c r="I638" s="16"/>
      <c r="J638" s="16"/>
      <c r="K638" s="16"/>
      <c r="L638" s="16"/>
      <c r="M638" s="16"/>
      <c r="N638" s="16"/>
      <c r="O638" s="16"/>
      <c r="P638" s="16"/>
      <c r="Q638" s="16"/>
      <c r="R638" s="16"/>
      <c r="S638" s="16"/>
      <c r="T638" s="16"/>
      <c r="U638" s="16"/>
      <c r="V638" s="16"/>
      <c r="W638" s="16"/>
      <c r="X638" s="16"/>
      <c r="Y638" s="16"/>
      <c r="Z638" s="16"/>
    </row>
    <row r="639">
      <c r="A639" s="16" t="str">
        <f>IFERROR(__xludf.DUMMYFUNCTION("""COMPUTED_VALUE"""),"Bashe's Flute")</f>
        <v>Bashe's Flute</v>
      </c>
      <c r="B639" s="16"/>
      <c r="C639" s="16" t="str">
        <f>IFERROR(__xludf.DUMMYFUNCTION("""COMPUTED_VALUE"""),"Instrument")</f>
        <v>Instrument</v>
      </c>
      <c r="D639" s="16" t="str">
        <f>IFERROR(__xludf.DUMMYFUNCTION("""COMPUTED_VALUE"""),"Hand")</f>
        <v>Hand</v>
      </c>
      <c r="E639" s="16">
        <f>IFERROR(__xludf.DUMMYFUNCTION("""COMPUTED_VALUE"""),1000.0)</f>
        <v>1000</v>
      </c>
      <c r="F639" s="16" t="str">
        <f>IFERROR(__xludf.DUMMYFUNCTION("""COMPUTED_VALUE"""),", Acoustic DMG: +50000 ++When Equipped with Bashe's Tail Deal 5X damage and cast 2 acoustic powers in an action instead of one for your first turn")</f>
        <v>, Acoustic DMG: +50000 ++When Equipped with Bashe's Tail Deal 5X damage and cast 2 acoustic powers in an action instead of one for your first turn</v>
      </c>
      <c r="G639" s="16">
        <f>IFERROR(__xludf.DUMMYFUNCTION("""COMPUTED_VALUE"""),4.95E7)</f>
        <v>49500000</v>
      </c>
      <c r="H639" s="16"/>
      <c r="I639" s="16"/>
      <c r="J639" s="16"/>
      <c r="K639" s="16"/>
      <c r="L639" s="16"/>
      <c r="M639" s="16"/>
      <c r="N639" s="16"/>
      <c r="O639" s="16"/>
      <c r="P639" s="16"/>
      <c r="Q639" s="16"/>
      <c r="R639" s="16"/>
      <c r="S639" s="16"/>
      <c r="T639" s="16"/>
      <c r="U639" s="16"/>
      <c r="V639" s="16"/>
      <c r="W639" s="16"/>
      <c r="X639" s="16"/>
      <c r="Y639" s="16"/>
      <c r="Z639" s="16"/>
    </row>
    <row r="640">
      <c r="A640" s="16" t="str">
        <f>IFERROR(__xludf.DUMMYFUNCTION("""COMPUTED_VALUE"""),"Grash's Favorite Length Of Iron")</f>
        <v>Grash's Favorite Length Of Iron</v>
      </c>
      <c r="B640" s="16"/>
      <c r="C640" s="16" t="str">
        <f>IFERROR(__xludf.DUMMYFUNCTION("""COMPUTED_VALUE"""),"Club")</f>
        <v>Club</v>
      </c>
      <c r="D640" s="16" t="str">
        <f>IFERROR(__xludf.DUMMYFUNCTION("""COMPUTED_VALUE"""),"Hand")</f>
        <v>Hand</v>
      </c>
      <c r="E640" s="16">
        <f>IFERROR(__xludf.DUMMYFUNCTION("""COMPUTED_VALUE"""),2000.0)</f>
        <v>2000</v>
      </c>
      <c r="F640" s="16" t="str">
        <f>IFERROR(__xludf.DUMMYFUNCTION("""COMPUTED_VALUE"""),"DMG: +100000 ++When a Samurai Wields this weapon they get access to the ""Grash's Smashing Success"" Natural Power")</f>
        <v>DMG: +100000 ++When a Samurai Wields this weapon they get access to the "Grash's Smashing Success" Natural Power</v>
      </c>
      <c r="G640" s="16">
        <f>IFERROR(__xludf.DUMMYFUNCTION("""COMPUTED_VALUE"""),1.99E8)</f>
        <v>199000000</v>
      </c>
      <c r="H640" s="16"/>
      <c r="I640" s="16"/>
      <c r="J640" s="16"/>
      <c r="K640" s="16"/>
      <c r="L640" s="16"/>
      <c r="M640" s="16"/>
      <c r="N640" s="16"/>
      <c r="O640" s="16"/>
      <c r="P640" s="16"/>
      <c r="Q640" s="16"/>
      <c r="R640" s="16"/>
      <c r="S640" s="16"/>
      <c r="T640" s="16"/>
      <c r="U640" s="16"/>
      <c r="V640" s="16"/>
      <c r="W640" s="16"/>
      <c r="X640" s="16"/>
      <c r="Y640" s="16"/>
      <c r="Z640" s="16"/>
    </row>
    <row r="641">
      <c r="A641" s="16" t="str">
        <f>IFERROR(__xludf.DUMMYFUNCTION("""COMPUTED_VALUE"""),"Wolf Tooth Neclace")</f>
        <v>Wolf Tooth Neclace</v>
      </c>
      <c r="B641" s="16"/>
      <c r="C641" s="16"/>
      <c r="D641" s="16" t="str">
        <f>IFERROR(__xludf.DUMMYFUNCTION("""COMPUTED_VALUE"""),"Neck")</f>
        <v>Neck</v>
      </c>
      <c r="E641" s="16">
        <f>IFERROR(__xludf.DUMMYFUNCTION("""COMPUTED_VALUE"""),1.0)</f>
        <v>1</v>
      </c>
      <c r="F641" s="16" t="str">
        <f>IFERROR(__xludf.DUMMYFUNCTION("""COMPUTED_VALUE""")," ++When fighting alongside a Beast Companion you get +5 to all weapon attacks (Wearing multiple does not cause this effect to stack)")</f>
        <v> ++When fighting alongside a Beast Companion you get +5 to all weapon attacks (Wearing multiple does not cause this effect to stack)</v>
      </c>
      <c r="G641" s="16">
        <f>IFERROR(__xludf.DUMMYFUNCTION("""COMPUTED_VALUE"""),0.0)</f>
        <v>0</v>
      </c>
      <c r="H641" s="16"/>
      <c r="I641" s="16"/>
      <c r="J641" s="16"/>
      <c r="K641" s="16"/>
      <c r="L641" s="16"/>
      <c r="M641" s="16"/>
      <c r="N641" s="16"/>
      <c r="O641" s="16"/>
      <c r="P641" s="16"/>
      <c r="Q641" s="16"/>
      <c r="R641" s="16"/>
      <c r="S641" s="16"/>
      <c r="T641" s="16"/>
      <c r="U641" s="16"/>
      <c r="V641" s="16"/>
      <c r="W641" s="16"/>
      <c r="X641" s="16"/>
      <c r="Y641" s="16"/>
      <c r="Z641" s="16"/>
    </row>
    <row r="642">
      <c r="A642" s="16" t="str">
        <f>IFERROR(__xludf.DUMMYFUNCTION("""COMPUTED_VALUE"""),"Dragon Scale Necklace")</f>
        <v>Dragon Scale Necklace</v>
      </c>
      <c r="B642" s="16"/>
      <c r="C642" s="16"/>
      <c r="D642" s="16" t="str">
        <f>IFERROR(__xludf.DUMMYFUNCTION("""COMPUTED_VALUE"""),"Neck")</f>
        <v>Neck</v>
      </c>
      <c r="E642" s="16">
        <f>IFERROR(__xludf.DUMMYFUNCTION("""COMPUTED_VALUE"""),1.0)</f>
        <v>1</v>
      </c>
      <c r="F642" s="16" t="str">
        <f>IFERROR(__xludf.DUMMYFUNCTION("""COMPUTED_VALUE""")," ++When fighting alongside a Draconic Companion you get +5 to all weapon attacks (Wearing multiple does not cause this effect to stack)")</f>
        <v> ++When fighting alongside a Draconic Companion you get +5 to all weapon attacks (Wearing multiple does not cause this effect to stack)</v>
      </c>
      <c r="G642" s="16">
        <f>IFERROR(__xludf.DUMMYFUNCTION("""COMPUTED_VALUE"""),0.0)</f>
        <v>0</v>
      </c>
      <c r="H642" s="16"/>
      <c r="I642" s="16"/>
      <c r="J642" s="16"/>
      <c r="K642" s="16"/>
      <c r="L642" s="16"/>
      <c r="M642" s="16"/>
      <c r="N642" s="16"/>
      <c r="O642" s="16"/>
      <c r="P642" s="16"/>
      <c r="Q642" s="16"/>
      <c r="R642" s="16"/>
      <c r="S642" s="16"/>
      <c r="T642" s="16"/>
      <c r="U642" s="16"/>
      <c r="V642" s="16"/>
      <c r="W642" s="16"/>
      <c r="X642" s="16"/>
      <c r="Y642" s="16"/>
      <c r="Z642" s="16"/>
    </row>
    <row r="643">
      <c r="A643" s="16" t="str">
        <f>IFERROR(__xludf.DUMMYFUNCTION("""COMPUTED_VALUE"""),"Heavenly Necklace")</f>
        <v>Heavenly Necklace</v>
      </c>
      <c r="B643" s="16"/>
      <c r="C643" s="16"/>
      <c r="D643" s="16" t="str">
        <f>IFERROR(__xludf.DUMMYFUNCTION("""COMPUTED_VALUE"""),"Neck")</f>
        <v>Neck</v>
      </c>
      <c r="E643" s="16">
        <f>IFERROR(__xludf.DUMMYFUNCTION("""COMPUTED_VALUE"""),1.0)</f>
        <v>1</v>
      </c>
      <c r="F643" s="16" t="str">
        <f>IFERROR(__xludf.DUMMYFUNCTION("""COMPUTED_VALUE""")," ++When fighting alongside a Heavenly Companion you get +5 to all weapon attacks (Wearing multiple does not cause this effect to stack)")</f>
        <v> ++When fighting alongside a Heavenly Companion you get +5 to all weapon attacks (Wearing multiple does not cause this effect to stack)</v>
      </c>
      <c r="G643" s="16">
        <f>IFERROR(__xludf.DUMMYFUNCTION("""COMPUTED_VALUE"""),0.0)</f>
        <v>0</v>
      </c>
      <c r="H643" s="16"/>
      <c r="I643" s="16"/>
      <c r="J643" s="16"/>
      <c r="K643" s="16"/>
      <c r="L643" s="16"/>
      <c r="M643" s="16"/>
      <c r="N643" s="16"/>
      <c r="O643" s="16"/>
      <c r="P643" s="16"/>
      <c r="Q643" s="16"/>
      <c r="R643" s="16"/>
      <c r="S643" s="16"/>
      <c r="T643" s="16"/>
      <c r="U643" s="16"/>
      <c r="V643" s="16"/>
      <c r="W643" s="16"/>
      <c r="X643" s="16"/>
      <c r="Y643" s="16"/>
      <c r="Z643" s="16"/>
    </row>
    <row r="644">
      <c r="A644" s="16" t="str">
        <f>IFERROR(__xludf.DUMMYFUNCTION("""COMPUTED_VALUE"""),"Demonic Necklace")</f>
        <v>Demonic Necklace</v>
      </c>
      <c r="B644" s="16"/>
      <c r="C644" s="16"/>
      <c r="D644" s="16" t="str">
        <f>IFERROR(__xludf.DUMMYFUNCTION("""COMPUTED_VALUE"""),"Neck")</f>
        <v>Neck</v>
      </c>
      <c r="E644" s="16">
        <f>IFERROR(__xludf.DUMMYFUNCTION("""COMPUTED_VALUE"""),1.0)</f>
        <v>1</v>
      </c>
      <c r="F644" s="16" t="str">
        <f>IFERROR(__xludf.DUMMYFUNCTION("""COMPUTED_VALUE""")," ++When fighting alongside a Demonic Companion you get +5 to all weapon attacks (Wearing multiple does not cause this effect to stack)")</f>
        <v> ++When fighting alongside a Demonic Companion you get +5 to all weapon attacks (Wearing multiple does not cause this effect to stack)</v>
      </c>
      <c r="G644" s="16">
        <f>IFERROR(__xludf.DUMMYFUNCTION("""COMPUTED_VALUE"""),0.0)</f>
        <v>0</v>
      </c>
      <c r="H644" s="16"/>
      <c r="I644" s="16"/>
      <c r="J644" s="16"/>
      <c r="K644" s="16"/>
      <c r="L644" s="16"/>
      <c r="M644" s="16"/>
      <c r="N644" s="16"/>
      <c r="O644" s="16"/>
      <c r="P644" s="16"/>
      <c r="Q644" s="16"/>
      <c r="R644" s="16"/>
      <c r="S644" s="16"/>
      <c r="T644" s="16"/>
      <c r="U644" s="16"/>
      <c r="V644" s="16"/>
      <c r="W644" s="16"/>
      <c r="X644" s="16"/>
      <c r="Y644" s="16"/>
      <c r="Z644" s="16"/>
    </row>
    <row r="645">
      <c r="A645" s="16" t="str">
        <f>IFERROR(__xludf.DUMMYFUNCTION("""COMPUTED_VALUE"""),"The Cloak of Gévaudan")</f>
        <v>The Cloak of Gévaudan</v>
      </c>
      <c r="B645" s="16"/>
      <c r="C645" s="16"/>
      <c r="D645" s="16" t="str">
        <f>IFERROR(__xludf.DUMMYFUNCTION("""COMPUTED_VALUE"""),"Shoulders")</f>
        <v>Shoulders</v>
      </c>
      <c r="E645" s="16">
        <f>IFERROR(__xludf.DUMMYFUNCTION("""COMPUTED_VALUE"""),800.0)</f>
        <v>800</v>
      </c>
      <c r="F645" s="16" t="str">
        <f>IFERROR(__xludf.DUMMYFUNCTION("""COMPUTED_VALUE"""),"DEF: +25000, Fire DEF: +15000 ++The warm coat grants you immunity to freezing.")</f>
        <v>DEF: +25000, Fire DEF: +15000 ++The warm coat grants you immunity to freezing.</v>
      </c>
      <c r="G645" s="16">
        <f>IFERROR(__xludf.DUMMYFUNCTION("""COMPUTED_VALUE"""),3.16E7)</f>
        <v>31600000</v>
      </c>
      <c r="H645" s="16"/>
      <c r="I645" s="16"/>
      <c r="J645" s="16"/>
      <c r="K645" s="16"/>
      <c r="L645" s="16"/>
      <c r="M645" s="16"/>
      <c r="N645" s="16"/>
      <c r="O645" s="16"/>
      <c r="P645" s="16"/>
      <c r="Q645" s="16"/>
      <c r="R645" s="16"/>
      <c r="S645" s="16"/>
      <c r="T645" s="16"/>
      <c r="U645" s="16"/>
      <c r="V645" s="16"/>
      <c r="W645" s="16"/>
      <c r="X645" s="16"/>
      <c r="Y645" s="16"/>
      <c r="Z645" s="16"/>
    </row>
    <row r="646">
      <c r="A646" s="16" t="str">
        <f>IFERROR(__xludf.DUMMYFUNCTION("""COMPUTED_VALUE"""),"Spirit Glyph")</f>
        <v>Spirit Glyph</v>
      </c>
      <c r="B646" s="16"/>
      <c r="C646" s="16"/>
      <c r="D646" s="16" t="str">
        <f>IFERROR(__xludf.DUMMYFUNCTION("""COMPUTED_VALUE"""),"Ring")</f>
        <v>Ring</v>
      </c>
      <c r="E646" s="16">
        <f>IFERROR(__xludf.DUMMYFUNCTION("""COMPUTED_VALUE"""),1.0)</f>
        <v>1</v>
      </c>
      <c r="F646" s="16" t="str">
        <f>IFERROR(__xludf.DUMMYFUNCTION("""COMPUTED_VALUE""")," ++When Fighting alongside a spirit companion you get ++5 to all weapon attacks. ++You get access to the ""Spiritual Meld"" Spell (Wearing multiple does not cause this effect to stack)")</f>
        <v> ++When Fighting alongside a spirit companion you get ++5 to all weapon attacks. ++You get access to the "Spiritual Meld" Spell (Wearing multiple does not cause this effect to stack)</v>
      </c>
      <c r="G646" s="16">
        <f>IFERROR(__xludf.DUMMYFUNCTION("""COMPUTED_VALUE"""),0.0)</f>
        <v>0</v>
      </c>
      <c r="H646" s="16"/>
      <c r="I646" s="16"/>
      <c r="J646" s="16"/>
      <c r="K646" s="16"/>
      <c r="L646" s="16"/>
      <c r="M646" s="16"/>
      <c r="N646" s="16"/>
      <c r="O646" s="16"/>
      <c r="P646" s="16"/>
      <c r="Q646" s="16"/>
      <c r="R646" s="16"/>
      <c r="S646" s="16"/>
      <c r="T646" s="16"/>
      <c r="U646" s="16"/>
      <c r="V646" s="16"/>
      <c r="W646" s="16"/>
      <c r="X646" s="16"/>
      <c r="Y646" s="16"/>
      <c r="Z646" s="16"/>
    </row>
    <row r="647">
      <c r="A647" s="16" t="str">
        <f>IFERROR(__xludf.DUMMYFUNCTION("""COMPUTED_VALUE"""),"Necromantic Sigil")</f>
        <v>Necromantic Sigil</v>
      </c>
      <c r="B647" s="16"/>
      <c r="C647" s="16"/>
      <c r="D647" s="16" t="str">
        <f>IFERROR(__xludf.DUMMYFUNCTION("""COMPUTED_VALUE"""),"Ring")</f>
        <v>Ring</v>
      </c>
      <c r="E647" s="16">
        <f>IFERROR(__xludf.DUMMYFUNCTION("""COMPUTED_VALUE"""),1.0)</f>
        <v>1</v>
      </c>
      <c r="F647" s="16" t="str">
        <f>IFERROR(__xludf.DUMMYFUNCTION("""COMPUTED_VALUE""")," ++When Fighting alongside an undead companion you get +5 to all weapon attacks (Wearing multiple does not cause this effect to stack)")</f>
        <v> ++When Fighting alongside an undead companion you get +5 to all weapon attacks (Wearing multiple does not cause this effect to stack)</v>
      </c>
      <c r="G647" s="16">
        <f>IFERROR(__xludf.DUMMYFUNCTION("""COMPUTED_VALUE"""),0.0)</f>
        <v>0</v>
      </c>
      <c r="H647" s="16"/>
      <c r="I647" s="16"/>
      <c r="J647" s="16"/>
      <c r="K647" s="16"/>
      <c r="L647" s="16"/>
      <c r="M647" s="16"/>
      <c r="N647" s="16"/>
      <c r="O647" s="16"/>
      <c r="P647" s="16"/>
      <c r="Q647" s="16"/>
      <c r="R647" s="16"/>
      <c r="S647" s="16"/>
      <c r="T647" s="16"/>
      <c r="U647" s="16"/>
      <c r="V647" s="16"/>
      <c r="W647" s="16"/>
      <c r="X647" s="16"/>
      <c r="Y647" s="16"/>
      <c r="Z647" s="16"/>
    </row>
    <row r="648">
      <c r="A648" s="16" t="str">
        <f>IFERROR(__xludf.DUMMYFUNCTION("""COMPUTED_VALUE"""),"Dragonslayer")</f>
        <v>Dragonslayer</v>
      </c>
      <c r="B648" s="16" t="str">
        <f>IFERROR(__xludf.DUMMYFUNCTION("""COMPUTED_VALUE"""),"It was too big to be called a sword. Massive, thick, heavy, and far too rough. Indeed, it was a heap of raw iron.")</f>
        <v>It was too big to be called a sword. Massive, thick, heavy, and far too rough. Indeed, it was a heap of raw iron.</v>
      </c>
      <c r="C648" s="16" t="str">
        <f>IFERROR(__xludf.DUMMYFUNCTION("""COMPUTED_VALUE"""),"Sword")</f>
        <v>Sword</v>
      </c>
      <c r="D648" s="16" t="str">
        <f>IFERROR(__xludf.DUMMYFUNCTION("""COMPUTED_VALUE"""),"Hand")</f>
        <v>Hand</v>
      </c>
      <c r="E648" s="16">
        <f>IFERROR(__xludf.DUMMYFUNCTION("""COMPUTED_VALUE"""),2000.0)</f>
        <v>2000</v>
      </c>
      <c r="F648" s="16" t="str">
        <f>IFERROR(__xludf.DUMMYFUNCTION("""COMPUTED_VALUE"""),"DMG: +100000 ++Deals X10 damage when fighting a Dragon or Monstrosity")</f>
        <v>DMG: +100000 ++Deals X10 damage when fighting a Dragon or Monstrosity</v>
      </c>
      <c r="G648" s="16">
        <f>IFERROR(__xludf.DUMMYFUNCTION("""COMPUTED_VALUE"""),1.99E8)</f>
        <v>199000000</v>
      </c>
      <c r="H648" s="16"/>
      <c r="I648" s="16"/>
      <c r="J648" s="16"/>
      <c r="K648" s="16"/>
      <c r="L648" s="16"/>
      <c r="M648" s="16"/>
      <c r="N648" s="16"/>
      <c r="O648" s="16"/>
      <c r="P648" s="16"/>
      <c r="Q648" s="16"/>
      <c r="R648" s="16"/>
      <c r="S648" s="16"/>
      <c r="T648" s="16"/>
      <c r="U648" s="16"/>
      <c r="V648" s="16"/>
      <c r="W648" s="16"/>
      <c r="X648" s="16"/>
      <c r="Y648" s="16"/>
      <c r="Z648" s="16"/>
    </row>
    <row r="649">
      <c r="A649" s="16" t="str">
        <f>IFERROR(__xludf.DUMMYFUNCTION("""COMPUTED_VALUE"""),"Rusted Halberd")</f>
        <v>Rusted Halberd</v>
      </c>
      <c r="B649" s="16"/>
      <c r="C649" s="16" t="str">
        <f>IFERROR(__xludf.DUMMYFUNCTION("""COMPUTED_VALUE"""),"Spear")</f>
        <v>Spear</v>
      </c>
      <c r="D649" s="16" t="str">
        <f>IFERROR(__xludf.DUMMYFUNCTION("""COMPUTED_VALUE"""),"Hand")</f>
        <v>Hand</v>
      </c>
      <c r="E649" s="16">
        <f>IFERROR(__xludf.DUMMYFUNCTION("""COMPUTED_VALUE"""),100.0)</f>
        <v>100</v>
      </c>
      <c r="F649" s="16" t="str">
        <f>IFERROR(__xludf.DUMMYFUNCTION("""COMPUTED_VALUE"""),"DMG: +5000")</f>
        <v>DMG: +5000</v>
      </c>
      <c r="G649" s="16">
        <f>IFERROR(__xludf.DUMMYFUNCTION("""COMPUTED_VALUE"""),450000.0)</f>
        <v>450000</v>
      </c>
      <c r="H649" s="16"/>
      <c r="I649" s="16"/>
      <c r="J649" s="16"/>
      <c r="K649" s="16"/>
      <c r="L649" s="16"/>
      <c r="M649" s="16"/>
      <c r="N649" s="16"/>
      <c r="O649" s="16"/>
      <c r="P649" s="16"/>
      <c r="Q649" s="16"/>
      <c r="R649" s="16"/>
      <c r="S649" s="16"/>
      <c r="T649" s="16"/>
      <c r="U649" s="16"/>
      <c r="V649" s="16"/>
      <c r="W649" s="16"/>
      <c r="X649" s="16"/>
      <c r="Y649" s="16"/>
      <c r="Z649" s="16"/>
    </row>
    <row r="650">
      <c r="A650" s="16" t="str">
        <f>IFERROR(__xludf.DUMMYFUNCTION("""COMPUTED_VALUE"""),"Diseased Rapier")</f>
        <v>Diseased Rapier</v>
      </c>
      <c r="B650" s="16"/>
      <c r="C650" s="16" t="str">
        <f>IFERROR(__xludf.DUMMYFUNCTION("""COMPUTED_VALUE"""),"Sword")</f>
        <v>Sword</v>
      </c>
      <c r="D650" s="16" t="str">
        <f>IFERROR(__xludf.DUMMYFUNCTION("""COMPUTED_VALUE"""),"Hand")</f>
        <v>Hand</v>
      </c>
      <c r="E650" s="16">
        <f>IFERROR(__xludf.DUMMYFUNCTION("""COMPUTED_VALUE"""),50.0)</f>
        <v>50</v>
      </c>
      <c r="F650" s="16" t="str">
        <f>IFERROR(__xludf.DUMMYFUNCTION("""COMPUTED_VALUE"""),"DMG: +2500 ++15% chance to inflict the target with a random non-pemanent disease")</f>
        <v>DMG: +2500 ++15% chance to inflict the target with a random non-pemanent disease</v>
      </c>
      <c r="G650" s="16">
        <f>IFERROR(__xludf.DUMMYFUNCTION("""COMPUTED_VALUE"""),100000.0)</f>
        <v>100000</v>
      </c>
      <c r="H650" s="16"/>
      <c r="I650" s="16"/>
      <c r="J650" s="16"/>
      <c r="K650" s="16"/>
      <c r="L650" s="16"/>
      <c r="M650" s="16"/>
      <c r="N650" s="16"/>
      <c r="O650" s="16"/>
      <c r="P650" s="16"/>
      <c r="Q650" s="16"/>
      <c r="R650" s="16"/>
      <c r="S650" s="16"/>
      <c r="T650" s="16"/>
      <c r="U650" s="16"/>
      <c r="V650" s="16"/>
      <c r="W650" s="16"/>
      <c r="X650" s="16"/>
      <c r="Y650" s="16"/>
      <c r="Z650" s="16"/>
    </row>
    <row r="651">
      <c r="A651" s="16" t="str">
        <f>IFERROR(__xludf.DUMMYFUNCTION("""COMPUTED_VALUE"""),"Symbol of Greed")</f>
        <v>Symbol of Greed</v>
      </c>
      <c r="B651" s="16"/>
      <c r="C651" s="16"/>
      <c r="D651" s="16" t="str">
        <f>IFERROR(__xludf.DUMMYFUNCTION("""COMPUTED_VALUE"""),"Finger")</f>
        <v>Finger</v>
      </c>
      <c r="E651" s="16">
        <f>IFERROR(__xludf.DUMMYFUNCTION("""COMPUTED_VALUE"""),1.0)</f>
        <v>1</v>
      </c>
      <c r="F651" s="16" t="str">
        <f>IFERROR(__xludf.DUMMYFUNCTION("""COMPUTED_VALUE""")," ++Great Deal - When determining the difficulty to haggle with a shopkeeper, the shopkeeper rolls the difficulty twice and takes the lower number +-(merchant class only)")</f>
        <v> ++Great Deal - When determining the difficulty to haggle with a shopkeeper, the shopkeeper rolls the difficulty twice and takes the lower number +-(merchant class only)</v>
      </c>
      <c r="G651" s="16">
        <f>IFERROR(__xludf.DUMMYFUNCTION("""COMPUTED_VALUE"""),0.0)</f>
        <v>0</v>
      </c>
      <c r="H651" s="16"/>
      <c r="I651" s="16"/>
      <c r="J651" s="16"/>
      <c r="K651" s="16"/>
      <c r="L651" s="16"/>
      <c r="M651" s="16"/>
      <c r="N651" s="16"/>
      <c r="O651" s="16"/>
      <c r="P651" s="16"/>
      <c r="Q651" s="16"/>
      <c r="R651" s="16"/>
      <c r="S651" s="16"/>
      <c r="T651" s="16"/>
      <c r="U651" s="16"/>
      <c r="V651" s="16"/>
      <c r="W651" s="16"/>
      <c r="X651" s="16"/>
      <c r="Y651" s="16"/>
      <c r="Z651" s="16"/>
    </row>
    <row r="652">
      <c r="A652" s="16" t="str">
        <f>IFERROR(__xludf.DUMMYFUNCTION("""COMPUTED_VALUE"""),"Enchanted Quiver")</f>
        <v>Enchanted Quiver</v>
      </c>
      <c r="B652" s="16"/>
      <c r="C652" s="16"/>
      <c r="D652" s="16" t="str">
        <f>IFERROR(__xludf.DUMMYFUNCTION("""COMPUTED_VALUE"""),"Shoulders")</f>
        <v>Shoulders</v>
      </c>
      <c r="E652" s="16">
        <f>IFERROR(__xludf.DUMMYFUNCTION("""COMPUTED_VALUE"""),1.0)</f>
        <v>1</v>
      </c>
      <c r="F652" s="16" t="str">
        <f>IFERROR(__xludf.DUMMYFUNCTION("""COMPUTED_VALUE""")," ++Magic Arrow - ++5 to all attack rolls with a bow +-(Archer Class Only)")</f>
        <v> ++Magic Arrow - ++5 to all attack rolls with a bow +-(Archer Class Only)</v>
      </c>
      <c r="G652" s="16">
        <f>IFERROR(__xludf.DUMMYFUNCTION("""COMPUTED_VALUE"""),0.0)</f>
        <v>0</v>
      </c>
      <c r="H652" s="16"/>
      <c r="I652" s="16"/>
      <c r="J652" s="16"/>
      <c r="K652" s="16"/>
      <c r="L652" s="16"/>
      <c r="M652" s="16"/>
      <c r="N652" s="16"/>
      <c r="O652" s="16"/>
      <c r="P652" s="16"/>
      <c r="Q652" s="16"/>
      <c r="R652" s="16"/>
      <c r="S652" s="16"/>
      <c r="T652" s="16"/>
      <c r="U652" s="16"/>
      <c r="V652" s="16"/>
      <c r="W652" s="16"/>
      <c r="X652" s="16"/>
      <c r="Y652" s="16"/>
      <c r="Z652" s="16"/>
    </row>
    <row r="653">
      <c r="A653" s="16" t="str">
        <f>IFERROR(__xludf.DUMMYFUNCTION("""COMPUTED_VALUE"""),"Ring of the Siren")</f>
        <v>Ring of the Siren</v>
      </c>
      <c r="B653" s="16"/>
      <c r="C653" s="16"/>
      <c r="D653" s="16" t="str">
        <f>IFERROR(__xludf.DUMMYFUNCTION("""COMPUTED_VALUE"""),"Finger")</f>
        <v>Finger</v>
      </c>
      <c r="E653" s="16">
        <f>IFERROR(__xludf.DUMMYFUNCTION("""COMPUTED_VALUE"""),1.0)</f>
        <v>1</v>
      </c>
      <c r="F653" s="16" t="str">
        <f>IFERROR(__xludf.DUMMYFUNCTION("""COMPUTED_VALUE""")," ++X2 acoustic damage ++Song of the Siren - At the start of battle you may roll a fail or Succeed roll to enchant an enemy, causing them to join your side, (for the sake of immunities this counts as possession) +-(Bard Class Only)")</f>
        <v> ++X2 acoustic damage ++Song of the Siren - At the start of battle you may roll a fail or Succeed roll to enchant an enemy, causing them to join your side, (for the sake of immunities this counts as possession) +-(Bard Class Only)</v>
      </c>
      <c r="G653" s="16">
        <f>IFERROR(__xludf.DUMMYFUNCTION("""COMPUTED_VALUE"""),0.0)</f>
        <v>0</v>
      </c>
      <c r="H653" s="16"/>
      <c r="I653" s="16"/>
      <c r="J653" s="16"/>
      <c r="K653" s="16"/>
      <c r="L653" s="16"/>
      <c r="M653" s="16"/>
      <c r="N653" s="16"/>
      <c r="O653" s="16"/>
      <c r="P653" s="16"/>
      <c r="Q653" s="16"/>
      <c r="R653" s="16"/>
      <c r="S653" s="16"/>
      <c r="T653" s="16"/>
      <c r="U653" s="16"/>
      <c r="V653" s="16"/>
      <c r="W653" s="16"/>
      <c r="X653" s="16"/>
      <c r="Y653" s="16"/>
      <c r="Z653" s="16"/>
    </row>
    <row r="654">
      <c r="A654" s="16" t="str">
        <f>IFERROR(__xludf.DUMMYFUNCTION("""COMPUTED_VALUE"""),"Amulet of The Berserker")</f>
        <v>Amulet of The Berserker</v>
      </c>
      <c r="B654" s="16"/>
      <c r="C654" s="16"/>
      <c r="D654" s="16" t="str">
        <f>IFERROR(__xludf.DUMMYFUNCTION("""COMPUTED_VALUE"""),"Neck")</f>
        <v>Neck</v>
      </c>
      <c r="E654" s="16">
        <f>IFERROR(__xludf.DUMMYFUNCTION("""COMPUTED_VALUE"""),1.0)</f>
        <v>1</v>
      </c>
      <c r="F654" s="16" t="str">
        <f>IFERROR(__xludf.DUMMYFUNCTION("""COMPUTED_VALUE""")," ++Berserk - When attacking or being attacked gain 1 stack of Insanity +-(Brawler Class Only)")</f>
        <v> ++Berserk - When attacking or being attacked gain 1 stack of Insanity +-(Brawler Class Only)</v>
      </c>
      <c r="G654" s="16">
        <f>IFERROR(__xludf.DUMMYFUNCTION("""COMPUTED_VALUE"""),0.0)</f>
        <v>0</v>
      </c>
      <c r="H654" s="16"/>
      <c r="I654" s="16"/>
      <c r="J654" s="16"/>
      <c r="K654" s="16"/>
      <c r="L654" s="16"/>
      <c r="M654" s="16"/>
      <c r="N654" s="16"/>
      <c r="O654" s="16"/>
      <c r="P654" s="16"/>
      <c r="Q654" s="16"/>
      <c r="R654" s="16"/>
      <c r="S654" s="16"/>
      <c r="T654" s="16"/>
      <c r="U654" s="16"/>
      <c r="V654" s="16"/>
      <c r="W654" s="16"/>
      <c r="X654" s="16"/>
      <c r="Y654" s="16"/>
      <c r="Z654" s="16"/>
    </row>
    <row r="655">
      <c r="A655" s="16" t="str">
        <f>IFERROR(__xludf.DUMMYFUNCTION("""COMPUTED_VALUE"""),"Mask of the Cultist")</f>
        <v>Mask of the Cultist</v>
      </c>
      <c r="B655" s="16"/>
      <c r="C655" s="16"/>
      <c r="D655" s="16" t="str">
        <f>IFERROR(__xludf.DUMMYFUNCTION("""COMPUTED_VALUE"""),"Head")</f>
        <v>Head</v>
      </c>
      <c r="E655" s="16">
        <f>IFERROR(__xludf.DUMMYFUNCTION("""COMPUTED_VALUE"""),1.0)</f>
        <v>1</v>
      </c>
      <c r="F655" s="16" t="str">
        <f>IFERROR(__xludf.DUMMYFUNCTION("""COMPUTED_VALUE""")," ++One of Us - when fighting alongside another party member with an evil alignment you gain +5 to your attack rolls. +-(Cultist Class Only)")</f>
        <v> ++One of Us - when fighting alongside another party member with an evil alignment you gain +5 to your attack rolls. +-(Cultist Class Only)</v>
      </c>
      <c r="G655" s="16">
        <f>IFERROR(__xludf.DUMMYFUNCTION("""COMPUTED_VALUE"""),0.0)</f>
        <v>0</v>
      </c>
      <c r="H655" s="16"/>
      <c r="I655" s="16"/>
      <c r="J655" s="16"/>
      <c r="K655" s="16"/>
      <c r="L655" s="16"/>
      <c r="M655" s="16"/>
      <c r="N655" s="16"/>
      <c r="O655" s="16"/>
      <c r="P655" s="16"/>
      <c r="Q655" s="16"/>
      <c r="R655" s="16"/>
      <c r="S655" s="16"/>
      <c r="T655" s="16"/>
      <c r="U655" s="16"/>
      <c r="V655" s="16"/>
      <c r="W655" s="16"/>
      <c r="X655" s="16"/>
      <c r="Y655" s="16"/>
      <c r="Z655" s="16"/>
    </row>
    <row r="656">
      <c r="A656" s="16" t="str">
        <f>IFERROR(__xludf.DUMMYFUNCTION("""COMPUTED_VALUE"""),"""Natural"" Cologne")</f>
        <v>"Natural" Cologne</v>
      </c>
      <c r="B656" s="16"/>
      <c r="C656" s="16"/>
      <c r="D656" s="16" t="str">
        <f>IFERROR(__xludf.DUMMYFUNCTION("""COMPUTED_VALUE"""),"Neck")</f>
        <v>Neck</v>
      </c>
      <c r="E656" s="16">
        <f>IFERROR(__xludf.DUMMYFUNCTION("""COMPUTED_VALUE"""),1.0)</f>
        <v>1</v>
      </c>
      <c r="F656" s="16" t="str">
        <f>IFERROR(__xludf.DUMMYFUNCTION("""COMPUTED_VALUE""")," ++Animal Friend - When trying to tame a creature you only have to succeed on a charisma roll twice instead of thrice +-(Druid Class Only)")</f>
        <v> ++Animal Friend - When trying to tame a creature you only have to succeed on a charisma roll twice instead of thrice +-(Druid Class Only)</v>
      </c>
      <c r="G656" s="16">
        <f>IFERROR(__xludf.DUMMYFUNCTION("""COMPUTED_VALUE"""),0.0)</f>
        <v>0</v>
      </c>
      <c r="H656" s="16"/>
      <c r="I656" s="16"/>
      <c r="J656" s="16"/>
      <c r="K656" s="16"/>
      <c r="L656" s="16"/>
      <c r="M656" s="16"/>
      <c r="N656" s="16"/>
      <c r="O656" s="16"/>
      <c r="P656" s="16"/>
      <c r="Q656" s="16"/>
      <c r="R656" s="16"/>
      <c r="S656" s="16"/>
      <c r="T656" s="16"/>
      <c r="U656" s="16"/>
      <c r="V656" s="16"/>
      <c r="W656" s="16"/>
      <c r="X656" s="16"/>
      <c r="Y656" s="16"/>
      <c r="Z656" s="16"/>
    </row>
    <row r="657">
      <c r="A657" s="16" t="str">
        <f>IFERROR(__xludf.DUMMYFUNCTION("""COMPUTED_VALUE"""),"Bonded Ring")</f>
        <v>Bonded Ring</v>
      </c>
      <c r="B657" s="16"/>
      <c r="C657" s="16"/>
      <c r="D657" s="16" t="str">
        <f>IFERROR(__xludf.DUMMYFUNCTION("""COMPUTED_VALUE"""),"Finger")</f>
        <v>Finger</v>
      </c>
      <c r="E657" s="16">
        <f>IFERROR(__xludf.DUMMYFUNCTION("""COMPUTED_VALUE"""),1.0)</f>
        <v>1</v>
      </c>
      <c r="F657" s="16" t="str">
        <f>IFERROR(__xludf.DUMMYFUNCTION("""COMPUTED_VALUE""")," ++A Bond Stronger Than Iron - When with a hatched companion you gain a 10% chance to be unnaffected by an attack +-one use per battle +-(Cavalier Class Only)")</f>
        <v> ++A Bond Stronger Than Iron - When with a hatched companion you gain a 10% chance to be unnaffected by an attack +-one use per battle +-(Cavalier Class Only)</v>
      </c>
      <c r="G657" s="16">
        <f>IFERROR(__xludf.DUMMYFUNCTION("""COMPUTED_VALUE"""),0.0)</f>
        <v>0</v>
      </c>
      <c r="H657" s="16"/>
      <c r="I657" s="16"/>
      <c r="J657" s="16"/>
      <c r="K657" s="16"/>
      <c r="L657" s="16"/>
      <c r="M657" s="16"/>
      <c r="N657" s="16"/>
      <c r="O657" s="16"/>
      <c r="P657" s="16"/>
      <c r="Q657" s="16"/>
      <c r="R657" s="16"/>
      <c r="S657" s="16"/>
      <c r="T657" s="16"/>
      <c r="U657" s="16"/>
      <c r="V657" s="16"/>
      <c r="W657" s="16"/>
      <c r="X657" s="16"/>
      <c r="Y657" s="16"/>
      <c r="Z657" s="16"/>
    </row>
    <row r="658">
      <c r="A658" s="16" t="str">
        <f>IFERROR(__xludf.DUMMYFUNCTION("""COMPUTED_VALUE"""),"Deadeye Brooch")</f>
        <v>Deadeye Brooch</v>
      </c>
      <c r="B658" s="16"/>
      <c r="C658" s="16"/>
      <c r="D658" s="16" t="str">
        <f>IFERROR(__xludf.DUMMYFUNCTION("""COMPUTED_VALUE"""),"Neck")</f>
        <v>Neck</v>
      </c>
      <c r="E658" s="16">
        <f>IFERROR(__xludf.DUMMYFUNCTION("""COMPUTED_VALUE"""),1.0)</f>
        <v>1</v>
      </c>
      <c r="F658" s="16" t="str">
        <f>IFERROR(__xludf.DUMMYFUNCTION("""COMPUTED_VALUE""")," ++One Shot, One Kill - If you kill an enemy with one shot using a firearm you can attack again with the firearm +-(Gunslinger Class Only)")</f>
        <v> ++One Shot, One Kill - If you kill an enemy with one shot using a firearm you can attack again with the firearm +-(Gunslinger Class Only)</v>
      </c>
      <c r="G658" s="16">
        <f>IFERROR(__xludf.DUMMYFUNCTION("""COMPUTED_VALUE"""),0.0)</f>
        <v>0</v>
      </c>
      <c r="H658" s="16"/>
      <c r="I658" s="16"/>
      <c r="J658" s="16"/>
      <c r="K658" s="16"/>
      <c r="L658" s="16"/>
      <c r="M658" s="16"/>
      <c r="N658" s="16"/>
      <c r="O658" s="16"/>
      <c r="P658" s="16"/>
      <c r="Q658" s="16"/>
      <c r="R658" s="16"/>
      <c r="S658" s="16"/>
      <c r="T658" s="16"/>
      <c r="U658" s="16"/>
      <c r="V658" s="16"/>
      <c r="W658" s="16"/>
      <c r="X658" s="16"/>
      <c r="Y658" s="16"/>
      <c r="Z658" s="16"/>
    </row>
    <row r="659">
      <c r="A659" s="16" t="str">
        <f>IFERROR(__xludf.DUMMYFUNCTION("""COMPUTED_VALUE"""),"Tool Kit")</f>
        <v>Tool Kit</v>
      </c>
      <c r="B659" s="16"/>
      <c r="C659" s="16"/>
      <c r="D659" s="16" t="str">
        <f>IFERROR(__xludf.DUMMYFUNCTION("""COMPUTED_VALUE"""),"Ring")</f>
        <v>Ring</v>
      </c>
      <c r="E659" s="16">
        <f>IFERROR(__xludf.DUMMYFUNCTION("""COMPUTED_VALUE"""),1.0)</f>
        <v>1</v>
      </c>
      <c r="F659" s="16" t="str">
        <f>IFERROR(__xludf.DUMMYFUNCTION("""COMPUTED_VALUE""")," ++The Right Tool For The Job - once per dungeon you are guaranteed to disable a trap +-(Hunter Class Only)")</f>
        <v> ++The Right Tool For The Job - once per dungeon you are guaranteed to disable a trap +-(Hunter Class Only)</v>
      </c>
      <c r="G659" s="16">
        <f>IFERROR(__xludf.DUMMYFUNCTION("""COMPUTED_VALUE"""),0.0)</f>
        <v>0</v>
      </c>
      <c r="H659" s="16"/>
      <c r="I659" s="16"/>
      <c r="J659" s="16"/>
      <c r="K659" s="16"/>
      <c r="L659" s="16"/>
      <c r="M659" s="16"/>
      <c r="N659" s="16"/>
      <c r="O659" s="16"/>
      <c r="P659" s="16"/>
      <c r="Q659" s="16"/>
      <c r="R659" s="16"/>
      <c r="S659" s="16"/>
      <c r="T659" s="16"/>
      <c r="U659" s="16"/>
      <c r="V659" s="16"/>
      <c r="W659" s="16"/>
      <c r="X659" s="16"/>
      <c r="Y659" s="16"/>
      <c r="Z659" s="16"/>
    </row>
    <row r="660">
      <c r="A660" s="16" t="str">
        <f>IFERROR(__xludf.DUMMYFUNCTION("""COMPUTED_VALUE"""),"Basic Bitch Award")</f>
        <v>Basic Bitch Award</v>
      </c>
      <c r="B660" s="16"/>
      <c r="C660" s="16"/>
      <c r="D660" s="16" t="str">
        <f>IFERROR(__xludf.DUMMYFUNCTION("""COMPUTED_VALUE"""),"Ring")</f>
        <v>Ring</v>
      </c>
      <c r="E660" s="16">
        <f>IFERROR(__xludf.DUMMYFUNCTION("""COMPUTED_VALUE"""),1.0)</f>
        <v>1</v>
      </c>
      <c r="F660" s="16" t="str">
        <f>IFERROR(__xludf.DUMMYFUNCTION("""COMPUTED_VALUE""")," ++Joe Schmoe - +5 Charisma +-(Knight Class Only)")</f>
        <v> ++Joe Schmoe - +5 Charisma +-(Knight Class Only)</v>
      </c>
      <c r="G660" s="16">
        <f>IFERROR(__xludf.DUMMYFUNCTION("""COMPUTED_VALUE"""),0.0)</f>
        <v>0</v>
      </c>
      <c r="H660" s="16"/>
      <c r="I660" s="16"/>
      <c r="J660" s="16"/>
      <c r="K660" s="16"/>
      <c r="L660" s="16"/>
      <c r="M660" s="16"/>
      <c r="N660" s="16"/>
      <c r="O660" s="16"/>
      <c r="P660" s="16"/>
      <c r="Q660" s="16"/>
      <c r="R660" s="16"/>
      <c r="S660" s="16"/>
      <c r="T660" s="16"/>
      <c r="U660" s="16"/>
      <c r="V660" s="16"/>
      <c r="W660" s="16"/>
      <c r="X660" s="16"/>
      <c r="Y660" s="16"/>
      <c r="Z660" s="16"/>
    </row>
    <row r="661">
      <c r="A661" s="16" t="str">
        <f>IFERROR(__xludf.DUMMYFUNCTION("""COMPUTED_VALUE"""),"Ring of The Frail Scholar")</f>
        <v>Ring of The Frail Scholar</v>
      </c>
      <c r="B661" s="16"/>
      <c r="C661" s="16"/>
      <c r="D661" s="16" t="str">
        <f>IFERROR(__xludf.DUMMYFUNCTION("""COMPUTED_VALUE"""),"Ring")</f>
        <v>Ring</v>
      </c>
      <c r="E661" s="16">
        <f>IFERROR(__xludf.DUMMYFUNCTION("""COMPUTED_VALUE"""),1.0)</f>
        <v>1</v>
      </c>
      <c r="F661" s="16" t="str">
        <f>IFERROR(__xludf.DUMMYFUNCTION("""COMPUTED_VALUE""")," ++Frail Scholar - Lowers HP by half but doubles SP +-(Mage, Wizard, and Sorcerer Class Only)")</f>
        <v> ++Frail Scholar - Lowers HP by half but doubles SP +-(Mage, Wizard, and Sorcerer Class Only)</v>
      </c>
      <c r="G661" s="16">
        <f>IFERROR(__xludf.DUMMYFUNCTION("""COMPUTED_VALUE"""),0.0)</f>
        <v>0</v>
      </c>
      <c r="H661" s="16"/>
      <c r="I661" s="16"/>
      <c r="J661" s="16"/>
      <c r="K661" s="16"/>
      <c r="L661" s="16"/>
      <c r="M661" s="16"/>
      <c r="N661" s="16"/>
      <c r="O661" s="16"/>
      <c r="P661" s="16"/>
      <c r="Q661" s="16"/>
      <c r="R661" s="16"/>
      <c r="S661" s="16"/>
      <c r="T661" s="16"/>
      <c r="U661" s="16"/>
      <c r="V661" s="16"/>
      <c r="W661" s="16"/>
      <c r="X661" s="16"/>
      <c r="Y661" s="16"/>
      <c r="Z661" s="16"/>
    </row>
    <row r="662">
      <c r="A662" s="16" t="str">
        <f>IFERROR(__xludf.DUMMYFUNCTION("""COMPUTED_VALUE"""),"Ring of Sticky FIngers")</f>
        <v>Ring of Sticky FIngers</v>
      </c>
      <c r="B662" s="16"/>
      <c r="C662" s="16"/>
      <c r="D662" s="16" t="str">
        <f>IFERROR(__xludf.DUMMYFUNCTION("""COMPUTED_VALUE"""),"Ring")</f>
        <v>Ring</v>
      </c>
      <c r="E662" s="16">
        <f>IFERROR(__xludf.DUMMYFUNCTION("""COMPUTED_VALUE"""),1.0)</f>
        <v>1</v>
      </c>
      <c r="F662" s="16" t="str">
        <f>IFERROR(__xludf.DUMMYFUNCTION("""COMPUTED_VALUE""")," ++Sticky FIngers - Allows you to use confiscate, take, and pickpocket skills twice +-(Marauder Class Only)")</f>
        <v> ++Sticky FIngers - Allows you to use confiscate, take, and pickpocket skills twice +-(Marauder Class Only)</v>
      </c>
      <c r="G662" s="16">
        <f>IFERROR(__xludf.DUMMYFUNCTION("""COMPUTED_VALUE"""),0.0)</f>
        <v>0</v>
      </c>
      <c r="H662" s="16"/>
      <c r="I662" s="16"/>
      <c r="J662" s="16"/>
      <c r="K662" s="16"/>
      <c r="L662" s="16"/>
      <c r="M662" s="16"/>
      <c r="N662" s="16"/>
      <c r="O662" s="16"/>
      <c r="P662" s="16"/>
      <c r="Q662" s="16"/>
      <c r="R662" s="16"/>
      <c r="S662" s="16"/>
      <c r="T662" s="16"/>
      <c r="U662" s="16"/>
      <c r="V662" s="16"/>
      <c r="W662" s="16"/>
      <c r="X662" s="16"/>
      <c r="Y662" s="16"/>
      <c r="Z662" s="16"/>
    </row>
    <row r="663">
      <c r="A663" s="16" t="str">
        <f>IFERROR(__xludf.DUMMYFUNCTION("""COMPUTED_VALUE"""),"Spirit Furnace")</f>
        <v>Spirit Furnace</v>
      </c>
      <c r="B663" s="16"/>
      <c r="C663" s="16"/>
      <c r="D663" s="16" t="str">
        <f>IFERROR(__xludf.DUMMYFUNCTION("""COMPUTED_VALUE"""),"Neck")</f>
        <v>Neck</v>
      </c>
      <c r="E663" s="16">
        <f>IFERROR(__xludf.DUMMYFUNCTION("""COMPUTED_VALUE"""),1.0)</f>
        <v>1</v>
      </c>
      <c r="F663" s="16" t="str">
        <f>IFERROR(__xludf.DUMMYFUNCTION("""COMPUTED_VALUE""")," ++Cultivation - If you have not yet attacked during the current battle you deal X4 additional damage during your next attack.. +-(Monk Class Only)")</f>
        <v> ++Cultivation - If you have not yet attacked during the current battle you deal X4 additional damage during your next attack.. +-(Monk Class Only)</v>
      </c>
      <c r="G663" s="16">
        <f>IFERROR(__xludf.DUMMYFUNCTION("""COMPUTED_VALUE"""),0.0)</f>
        <v>0</v>
      </c>
      <c r="H663" s="16"/>
      <c r="I663" s="16"/>
      <c r="J663" s="16"/>
      <c r="K663" s="16"/>
      <c r="L663" s="16"/>
      <c r="M663" s="16"/>
      <c r="N663" s="16"/>
      <c r="O663" s="16"/>
      <c r="P663" s="16"/>
      <c r="Q663" s="16"/>
      <c r="R663" s="16"/>
      <c r="S663" s="16"/>
      <c r="T663" s="16"/>
      <c r="U663" s="16"/>
      <c r="V663" s="16"/>
      <c r="W663" s="16"/>
      <c r="X663" s="16"/>
      <c r="Y663" s="16"/>
      <c r="Z663" s="16"/>
    </row>
    <row r="664">
      <c r="A664" s="16" t="str">
        <f>IFERROR(__xludf.DUMMYFUNCTION("""COMPUTED_VALUE"""),"Smokebomb Pouch")</f>
        <v>Smokebomb Pouch</v>
      </c>
      <c r="B664" s="16"/>
      <c r="C664" s="16"/>
      <c r="D664" s="16" t="str">
        <f>IFERROR(__xludf.DUMMYFUNCTION("""COMPUTED_VALUE"""),"Legs")</f>
        <v>Legs</v>
      </c>
      <c r="E664" s="16">
        <f>IFERROR(__xludf.DUMMYFUNCTION("""COMPUTED_VALUE"""),1.0)</f>
        <v>1</v>
      </c>
      <c r="F664" s="16" t="str">
        <f>IFERROR(__xludf.DUMMYFUNCTION("""COMPUTED_VALUE""")," ++Smoke Bomb - Conceal abilities are guaranteed to succeed +-(Ninja Class Only)")</f>
        <v> ++Smoke Bomb - Conceal abilities are guaranteed to succeed +-(Ninja Class Only)</v>
      </c>
      <c r="G664" s="16">
        <f>IFERROR(__xludf.DUMMYFUNCTION("""COMPUTED_VALUE"""),0.0)</f>
        <v>0</v>
      </c>
      <c r="H664" s="16"/>
      <c r="I664" s="16"/>
      <c r="J664" s="16"/>
      <c r="K664" s="16"/>
      <c r="L664" s="16"/>
      <c r="M664" s="16"/>
      <c r="N664" s="16"/>
      <c r="O664" s="16"/>
      <c r="P664" s="16"/>
      <c r="Q664" s="16"/>
      <c r="R664" s="16"/>
      <c r="S664" s="16"/>
      <c r="T664" s="16"/>
      <c r="U664" s="16"/>
      <c r="V664" s="16"/>
      <c r="W664" s="16"/>
      <c r="X664" s="16"/>
      <c r="Y664" s="16"/>
      <c r="Z664" s="16"/>
    </row>
    <row r="665">
      <c r="A665" s="16" t="str">
        <f>IFERROR(__xludf.DUMMYFUNCTION("""COMPUTED_VALUE"""),"Certificate of Shield Bashing School")</f>
        <v>Certificate of Shield Bashing School</v>
      </c>
      <c r="B665" s="16"/>
      <c r="C665" s="16"/>
      <c r="D665" s="16" t="str">
        <f>IFERROR(__xludf.DUMMYFUNCTION("""COMPUTED_VALUE"""),"Neck")</f>
        <v>Neck</v>
      </c>
      <c r="E665" s="16">
        <f>IFERROR(__xludf.DUMMYFUNCTION("""COMPUTED_VALUE"""),1.0)</f>
        <v>1</v>
      </c>
      <c r="F665" s="16" t="str">
        <f>IFERROR(__xludf.DUMMYFUNCTION("""COMPUTED_VALUE""")," ++Shield Bash Extraordinaire - When attacking with a shield you may add your mobility bonus to the attack roll +-(Paladin Class Only)")</f>
        <v> ++Shield Bash Extraordinaire - When attacking with a shield you may add your mobility bonus to the attack roll +-(Paladin Class Only)</v>
      </c>
      <c r="G665" s="16">
        <f>IFERROR(__xludf.DUMMYFUNCTION("""COMPUTED_VALUE"""),0.0)</f>
        <v>0</v>
      </c>
      <c r="H665" s="16"/>
      <c r="I665" s="16"/>
      <c r="J665" s="16"/>
      <c r="K665" s="16"/>
      <c r="L665" s="16"/>
      <c r="M665" s="16"/>
      <c r="N665" s="16"/>
      <c r="O665" s="16"/>
      <c r="P665" s="16"/>
      <c r="Q665" s="16"/>
      <c r="R665" s="16"/>
      <c r="S665" s="16"/>
      <c r="T665" s="16"/>
      <c r="U665" s="16"/>
      <c r="V665" s="16"/>
      <c r="W665" s="16"/>
      <c r="X665" s="16"/>
      <c r="Y665" s="16"/>
      <c r="Z665" s="16"/>
    </row>
    <row r="666">
      <c r="A666" s="16" t="str">
        <f>IFERROR(__xludf.DUMMYFUNCTION("""COMPUTED_VALUE"""),"Goblet of Greed")</f>
        <v>Goblet of Greed</v>
      </c>
      <c r="B666" s="16"/>
      <c r="C666" s="16"/>
      <c r="D666" s="16" t="str">
        <f>IFERROR(__xludf.DUMMYFUNCTION("""COMPUTED_VALUE"""),"Neck")</f>
        <v>Neck</v>
      </c>
      <c r="E666" s="16">
        <f>IFERROR(__xludf.DUMMYFUNCTION("""COMPUTED_VALUE"""),1.0)</f>
        <v>1</v>
      </c>
      <c r="F666" s="16" t="str">
        <f>IFERROR(__xludf.DUMMYFUNCTION("""COMPUTED_VALUE""")," ++MORE!!! MOOOORE!!!!! - multiply your damage by X*2 until the end of battle where X is equal to the amount of times you stole from someone during battle. +-(Pirate Class Only)")</f>
        <v> ++MORE!!! MOOOORE!!!!! - multiply your damage by X*2 until the end of battle where X is equal to the amount of times you stole from someone during battle. +-(Pirate Class Only)</v>
      </c>
      <c r="G666" s="16">
        <f>IFERROR(__xludf.DUMMYFUNCTION("""COMPUTED_VALUE"""),0.0)</f>
        <v>0</v>
      </c>
      <c r="H666" s="16"/>
      <c r="I666" s="16"/>
      <c r="J666" s="16"/>
      <c r="K666" s="16"/>
      <c r="L666" s="16"/>
      <c r="M666" s="16"/>
      <c r="N666" s="16"/>
      <c r="O666" s="16"/>
      <c r="P666" s="16"/>
      <c r="Q666" s="16"/>
      <c r="R666" s="16"/>
      <c r="S666" s="16"/>
      <c r="T666" s="16"/>
      <c r="U666" s="16"/>
      <c r="V666" s="16"/>
      <c r="W666" s="16"/>
      <c r="X666" s="16"/>
      <c r="Y666" s="16"/>
      <c r="Z666" s="16"/>
    </row>
    <row r="667">
      <c r="A667" s="16" t="str">
        <f>IFERROR(__xludf.DUMMYFUNCTION("""COMPUTED_VALUE"""),"Holy Symbol")</f>
        <v>Holy Symbol</v>
      </c>
      <c r="B667" s="16"/>
      <c r="C667" s="16"/>
      <c r="D667" s="16" t="str">
        <f>IFERROR(__xludf.DUMMYFUNCTION("""COMPUTED_VALUE"""),"Neck")</f>
        <v>Neck</v>
      </c>
      <c r="E667" s="16">
        <f>IFERROR(__xludf.DUMMYFUNCTION("""COMPUTED_VALUE"""),1.0)</f>
        <v>1</v>
      </c>
      <c r="F667" s="16" t="str">
        <f>IFERROR(__xludf.DUMMYFUNCTION("""COMPUTED_VALUE""")," ++Holy Prescence - You can prevent 1 curse, disease, or possesion from affecting a party member once per battle/journey. +-(Priest Class Only)")</f>
        <v> ++Holy Prescence - You can prevent 1 curse, disease, or possesion from affecting a party member once per battle/journey. +-(Priest Class Only)</v>
      </c>
      <c r="G667" s="16">
        <f>IFERROR(__xludf.DUMMYFUNCTION("""COMPUTED_VALUE"""),0.0)</f>
        <v>0</v>
      </c>
      <c r="H667" s="16"/>
      <c r="I667" s="16"/>
      <c r="J667" s="16"/>
      <c r="K667" s="16"/>
      <c r="L667" s="16"/>
      <c r="M667" s="16"/>
      <c r="N667" s="16"/>
      <c r="O667" s="16"/>
      <c r="P667" s="16"/>
      <c r="Q667" s="16"/>
      <c r="R667" s="16"/>
      <c r="S667" s="16"/>
      <c r="T667" s="16"/>
      <c r="U667" s="16"/>
      <c r="V667" s="16"/>
      <c r="W667" s="16"/>
      <c r="X667" s="16"/>
      <c r="Y667" s="16"/>
      <c r="Z667" s="16"/>
    </row>
    <row r="668">
      <c r="A668" s="16" t="str">
        <f>IFERROR(__xludf.DUMMYFUNCTION("""COMPUTED_VALUE"""),"Mysterious Merchant's Scythe")</f>
        <v>Mysterious Merchant's Scythe</v>
      </c>
      <c r="B668" s="16" t="str">
        <f>IFERROR(__xludf.DUMMYFUNCTION("""COMPUTED_VALUE"""),"The scythe of the mysterious merchant himself imbued with a great power")</f>
        <v>The scythe of the mysterious merchant himself imbued with a great power</v>
      </c>
      <c r="C668" s="16" t="str">
        <f>IFERROR(__xludf.DUMMYFUNCTION("""COMPUTED_VALUE"""),"Scythe")</f>
        <v>Scythe</v>
      </c>
      <c r="D668" s="16" t="str">
        <f>IFERROR(__xludf.DUMMYFUNCTION("""COMPUTED_VALUE"""),"Hand")</f>
        <v>Hand</v>
      </c>
      <c r="E668" s="16">
        <f>IFERROR(__xludf.DUMMYFUNCTION("""COMPUTED_VALUE"""),1000.0)</f>
        <v>1000</v>
      </c>
      <c r="F668" s="16" t="str">
        <f>IFERROR(__xludf.DUMMYFUNCTION("""COMPUTED_VALUE"""),", Spirit DMG: +50000 ++Burning Souls - This weapon can devour up to 100 souls to increase it's damage by X*1000 with X representing the souls imbued. When at maximum souls Imbued you can unleash an attack dealing 500,000 Spirit damage to all enemies but s"&amp;"tunning you until the end of battle. +-(Reaper Class Only). ++(0/100 Souls imbued)")</f>
        <v>, Spirit DMG: +50000 ++Burning Souls - This weapon can devour up to 100 souls to increase it's damage by X*1000 with X representing the souls imbued. When at maximum souls Imbued you can unleash an attack dealing 500,000 Spirit damage to all enemies but stunning you until the end of battle. +-(Reaper Class Only). ++(0/100 Souls imbued)</v>
      </c>
      <c r="G668" s="16">
        <f>IFERROR(__xludf.DUMMYFUNCTION("""COMPUTED_VALUE"""),4.95E7)</f>
        <v>49500000</v>
      </c>
      <c r="H668" s="16"/>
      <c r="I668" s="16"/>
      <c r="J668" s="16"/>
      <c r="K668" s="16"/>
      <c r="L668" s="16"/>
      <c r="M668" s="16"/>
      <c r="N668" s="16"/>
      <c r="O668" s="16"/>
      <c r="P668" s="16"/>
      <c r="Q668" s="16"/>
      <c r="R668" s="16"/>
      <c r="S668" s="16"/>
      <c r="T668" s="16"/>
      <c r="U668" s="16"/>
      <c r="V668" s="16"/>
      <c r="W668" s="16"/>
      <c r="X668" s="16"/>
      <c r="Y668" s="16"/>
      <c r="Z668" s="16"/>
    </row>
    <row r="669">
      <c r="A669" s="16" t="str">
        <f>IFERROR(__xludf.DUMMYFUNCTION("""COMPUTED_VALUE"""),"Cursed Saya")</f>
        <v>Cursed Saya</v>
      </c>
      <c r="B669" s="16" t="str">
        <f>IFERROR(__xludf.DUMMYFUNCTION("""COMPUTED_VALUE"""),"A saya unearthed in an ancient temple, those wearing this saya feel an unbeleivable surge of joy and power seeing their opponents in a weakend state.")</f>
        <v>A saya unearthed in an ancient temple, those wearing this saya feel an unbeleivable surge of joy and power seeing their opponents in a weakend state.</v>
      </c>
      <c r="C669" s="16"/>
      <c r="D669" s="16" t="str">
        <f>IFERROR(__xludf.DUMMYFUNCTION("""COMPUTED_VALUE"""),"Legs")</f>
        <v>Legs</v>
      </c>
      <c r="E669" s="16">
        <f>IFERROR(__xludf.DUMMYFUNCTION("""COMPUTED_VALUE"""),1.0)</f>
        <v>1</v>
      </c>
      <c r="F669" s="16" t="str">
        <f>IFERROR(__xludf.DUMMYFUNCTION("""COMPUTED_VALUE""")," ++Debilitating Strike - When attacking an enemy with your weapon deal X2 damage for every negative effect inflicted on that enemy +-(Samurai Class Only)")</f>
        <v> ++Debilitating Strike - When attacking an enemy with your weapon deal X2 damage for every negative effect inflicted on that enemy +-(Samurai Class Only)</v>
      </c>
      <c r="G669" s="16">
        <f>IFERROR(__xludf.DUMMYFUNCTION("""COMPUTED_VALUE"""),0.0)</f>
        <v>0</v>
      </c>
      <c r="H669" s="16"/>
      <c r="I669" s="16"/>
      <c r="J669" s="16"/>
      <c r="K669" s="16"/>
      <c r="L669" s="16"/>
      <c r="M669" s="16"/>
      <c r="N669" s="16"/>
      <c r="O669" s="16"/>
      <c r="P669" s="16"/>
      <c r="Q669" s="16"/>
      <c r="R669" s="16"/>
      <c r="S669" s="16"/>
      <c r="T669" s="16"/>
      <c r="U669" s="16"/>
      <c r="V669" s="16"/>
      <c r="W669" s="16"/>
      <c r="X669" s="16"/>
      <c r="Y669" s="16"/>
      <c r="Z669" s="16"/>
    </row>
    <row r="670">
      <c r="A670" s="16" t="str">
        <f>IFERROR(__xludf.DUMMYFUNCTION("""COMPUTED_VALUE"""),"Shamanic Staff")</f>
        <v>Shamanic Staff</v>
      </c>
      <c r="B670" s="16" t="str">
        <f>IFERROR(__xludf.DUMMYFUNCTION("""COMPUTED_VALUE"""),"A long staff made with elder wood, the magic focus of this weapon is a piece of Hanged Man's Jasper, a rare gemstone with a high affinity for spirit magic.")</f>
        <v>A long staff made with elder wood, the magic focus of this weapon is a piece of Hanged Man's Jasper, a rare gemstone with a high affinity for spirit magic.</v>
      </c>
      <c r="C670" s="16" t="str">
        <f>IFERROR(__xludf.DUMMYFUNCTION("""COMPUTED_VALUE"""),"Staff")</f>
        <v>Staff</v>
      </c>
      <c r="D670" s="16" t="str">
        <f>IFERROR(__xludf.DUMMYFUNCTION("""COMPUTED_VALUE"""),"Hand")</f>
        <v>Hand</v>
      </c>
      <c r="E670" s="16">
        <f>IFERROR(__xludf.DUMMYFUNCTION("""COMPUTED_VALUE"""),1500.0)</f>
        <v>1500</v>
      </c>
      <c r="F670" s="16" t="str">
        <f>IFERROR(__xludf.DUMMYFUNCTION("""COMPUTED_VALUE"""),", Fire DMG: +25000, Spirit DMG: +25000, Voodoo DMG: +25000 ++In Tandem - When attacking any enemy that your spirit has previously targetted you gain a +5 to attack rolls against that enemy. Cost: 500 sp")</f>
        <v>, Fire DMG: +25000, Spirit DMG: +25000, Voodoo DMG: +25000 ++In Tandem - When attacking any enemy that your spirit has previously targetted you gain a +5 to attack rolls against that enemy. Cost: 500 sp</v>
      </c>
      <c r="G670" s="16">
        <f>IFERROR(__xludf.DUMMYFUNCTION("""COMPUTED_VALUE"""),1.1175E8)</f>
        <v>111750000</v>
      </c>
      <c r="H670" s="16"/>
      <c r="I670" s="16"/>
      <c r="J670" s="16"/>
      <c r="K670" s="16"/>
      <c r="L670" s="16"/>
      <c r="M670" s="16"/>
      <c r="N670" s="16"/>
      <c r="O670" s="16"/>
      <c r="P670" s="16"/>
      <c r="Q670" s="16"/>
      <c r="R670" s="16"/>
      <c r="S670" s="16"/>
      <c r="T670" s="16"/>
      <c r="U670" s="16"/>
      <c r="V670" s="16"/>
      <c r="W670" s="16"/>
      <c r="X670" s="16"/>
      <c r="Y670" s="16"/>
      <c r="Z670" s="16"/>
    </row>
    <row r="671">
      <c r="A671" s="16" t="str">
        <f>IFERROR(__xludf.DUMMYFUNCTION("""COMPUTED_VALUE"""),"Rune Necklace")</f>
        <v>Rune Necklace</v>
      </c>
      <c r="B671" s="16" t="str">
        <f>IFERROR(__xludf.DUMMYFUNCTION("""COMPUTED_VALUE"""),"A necklace given to Shaman's upon completeing their rite, to be a High shaman, the spirits recognize this as a sign of power and bow to those wearing this necklace.")</f>
        <v>A necklace given to Shaman's upon completeing their rite, to be a High shaman, the spirits recognize this as a sign of power and bow to those wearing this necklace.</v>
      </c>
      <c r="C671" s="16"/>
      <c r="D671" s="16" t="str">
        <f>IFERROR(__xludf.DUMMYFUNCTION("""COMPUTED_VALUE"""),"Neck")</f>
        <v>Neck</v>
      </c>
      <c r="E671" s="16">
        <f>IFERROR(__xludf.DUMMYFUNCTION("""COMPUTED_VALUE"""),1.0)</f>
        <v>1</v>
      </c>
      <c r="F671" s="16" t="str">
        <f>IFERROR(__xludf.DUMMYFUNCTION("""COMPUTED_VALUE""")," ++Spirit's Friend - Any summoned Spirit gains +5 to all perks and X2 base stats +-(Shaman Class Only)")</f>
        <v> ++Spirit's Friend - Any summoned Spirit gains +5 to all perks and X2 base stats +-(Shaman Class Only)</v>
      </c>
      <c r="G671" s="16">
        <f>IFERROR(__xludf.DUMMYFUNCTION("""COMPUTED_VALUE"""),0.0)</f>
        <v>0</v>
      </c>
      <c r="H671" s="16"/>
      <c r="I671" s="16"/>
      <c r="J671" s="16"/>
      <c r="K671" s="16"/>
      <c r="L671" s="16"/>
      <c r="M671" s="16"/>
      <c r="N671" s="16"/>
      <c r="O671" s="16"/>
      <c r="P671" s="16"/>
      <c r="Q671" s="16"/>
      <c r="R671" s="16"/>
      <c r="S671" s="16"/>
      <c r="T671" s="16"/>
      <c r="U671" s="16"/>
      <c r="V671" s="16"/>
      <c r="W671" s="16"/>
      <c r="X671" s="16"/>
      <c r="Y671" s="16"/>
      <c r="Z671" s="16"/>
    </row>
    <row r="672">
      <c r="A672" s="16" t="str">
        <f>IFERROR(__xludf.DUMMYFUNCTION("""COMPUTED_VALUE"""),"Spell Sponge")</f>
        <v>Spell Sponge</v>
      </c>
      <c r="B672" s="16" t="str">
        <f>IFERROR(__xludf.DUMMYFUNCTION("""COMPUTED_VALUE"""),"A mushroom found rarely in an unknown cave within Spira it has high magic absorption powers and those with magical bloodlines can weild these to great effect to reverse their enemies back upon them.")</f>
        <v>A mushroom found rarely in an unknown cave within Spira it has high magic absorption powers and those with magical bloodlines can weild these to great effect to reverse their enemies back upon them.</v>
      </c>
      <c r="C672" s="16"/>
      <c r="D672" s="16" t="str">
        <f>IFERROR(__xludf.DUMMYFUNCTION("""COMPUTED_VALUE"""),"Neck")</f>
        <v>Neck</v>
      </c>
      <c r="E672" s="16">
        <f>IFERROR(__xludf.DUMMYFUNCTION("""COMPUTED_VALUE"""),1.0)</f>
        <v>1</v>
      </c>
      <c r="F672" s="16" t="str">
        <f>IFERROR(__xludf.DUMMYFUNCTION("""COMPUTED_VALUE""")," ++Spell Sponge - If you are unaffected by a spell casted by an enemy you can choose to immediately cast the same spell back at them even if you don't have the spell equipped or don't know the spell +-(Mage, Wizard, and Sorcerer Class Only)")</f>
        <v> ++Spell Sponge - If you are unaffected by a spell casted by an enemy you can choose to immediately cast the same spell back at them even if you don't have the spell equipped or don't know the spell +-(Mage, Wizard, and Sorcerer Class Only)</v>
      </c>
      <c r="G672" s="16">
        <f>IFERROR(__xludf.DUMMYFUNCTION("""COMPUTED_VALUE"""),0.0)</f>
        <v>0</v>
      </c>
      <c r="H672" s="16"/>
      <c r="I672" s="16"/>
      <c r="J672" s="16"/>
      <c r="K672" s="16"/>
      <c r="L672" s="16"/>
      <c r="M672" s="16"/>
      <c r="N672" s="16"/>
      <c r="O672" s="16"/>
      <c r="P672" s="16"/>
      <c r="Q672" s="16"/>
      <c r="R672" s="16"/>
      <c r="S672" s="16"/>
      <c r="T672" s="16"/>
      <c r="U672" s="16"/>
      <c r="V672" s="16"/>
      <c r="W672" s="16"/>
      <c r="X672" s="16"/>
      <c r="Y672" s="16"/>
      <c r="Z672" s="16"/>
    </row>
    <row r="673">
      <c r="A673" s="16" t="str">
        <f>IFERROR(__xludf.DUMMYFUNCTION("""COMPUTED_VALUE"""),"Viking's Warpaint")</f>
        <v>Viking's Warpaint</v>
      </c>
      <c r="B673" s="16" t="str">
        <f>IFERROR(__xludf.DUMMYFUNCTION("""COMPUTED_VALUE"""),"A set of primitive paint imported from Knappadalr, for some reason these paints fill you with rage.")</f>
        <v>A set of primitive paint imported from Knappadalr, for some reason these paints fill you with rage.</v>
      </c>
      <c r="C673" s="16"/>
      <c r="D673" s="16" t="str">
        <f>IFERROR(__xludf.DUMMYFUNCTION("""COMPUTED_VALUE"""),"Head")</f>
        <v>Head</v>
      </c>
      <c r="E673" s="16">
        <f>IFERROR(__xludf.DUMMYFUNCTION("""COMPUTED_VALUE"""),1.0)</f>
        <v>1</v>
      </c>
      <c r="F673" s="16" t="str">
        <f>IFERROR(__xludf.DUMMYFUNCTION("""COMPUTED_VALUE""")," ++Rage - When you either parry or are unaffected by a weapon attack your next attack deals X4 damage +-(Viking Class Only)")</f>
        <v> ++Rage - When you either parry or are unaffected by a weapon attack your next attack deals X4 damage +-(Viking Class Only)</v>
      </c>
      <c r="G673" s="16">
        <f>IFERROR(__xludf.DUMMYFUNCTION("""COMPUTED_VALUE"""),0.0)</f>
        <v>0</v>
      </c>
      <c r="H673" s="16"/>
      <c r="I673" s="16"/>
      <c r="J673" s="16"/>
      <c r="K673" s="16"/>
      <c r="L673" s="16"/>
      <c r="M673" s="16"/>
      <c r="N673" s="16"/>
      <c r="O673" s="16"/>
      <c r="P673" s="16"/>
      <c r="Q673" s="16"/>
      <c r="R673" s="16"/>
      <c r="S673" s="16"/>
      <c r="T673" s="16"/>
      <c r="U673" s="16"/>
      <c r="V673" s="16"/>
      <c r="W673" s="16"/>
      <c r="X673" s="16"/>
      <c r="Y673" s="16"/>
      <c r="Z673" s="16"/>
    </row>
    <row r="674">
      <c r="A674" s="16" t="str">
        <f>IFERROR(__xludf.DUMMYFUNCTION("""COMPUTED_VALUE"""),"Speed Shoes")</f>
        <v>Speed Shoes</v>
      </c>
      <c r="B674" s="16" t="str">
        <f>IFERROR(__xludf.DUMMYFUNCTION("""COMPUTED_VALUE"""),"A pair of red shoes that make you feel like dancing.")</f>
        <v>A pair of red shoes that make you feel like dancing.</v>
      </c>
      <c r="C674" s="16"/>
      <c r="D674" s="16" t="str">
        <f>IFERROR(__xludf.DUMMYFUNCTION("""COMPUTED_VALUE"""),"Feet")</f>
        <v>Feet</v>
      </c>
      <c r="E674" s="16">
        <f>IFERROR(__xludf.DUMMYFUNCTION("""COMPUTED_VALUE"""),1.0)</f>
        <v>1</v>
      </c>
      <c r="F674" s="16" t="str">
        <f>IFERROR(__xludf.DUMMYFUNCTION("""COMPUTED_VALUE""")," ++Can't Touch This - When you successfully dodge an attack you can immediate attack with a weapon attack +-(Warrior Class Only)")</f>
        <v> ++Can't Touch This - When you successfully dodge an attack you can immediate attack with a weapon attack +-(Warrior Class Only)</v>
      </c>
      <c r="G674" s="16">
        <f>IFERROR(__xludf.DUMMYFUNCTION("""COMPUTED_VALUE"""),0.0)</f>
        <v>0</v>
      </c>
      <c r="H674" s="16"/>
      <c r="I674" s="16"/>
      <c r="J674" s="16"/>
      <c r="K674" s="16"/>
      <c r="L674" s="16"/>
      <c r="M674" s="16"/>
      <c r="N674" s="16"/>
      <c r="O674" s="16"/>
      <c r="P674" s="16"/>
      <c r="Q674" s="16"/>
      <c r="R674" s="16"/>
      <c r="S674" s="16"/>
      <c r="T674" s="16"/>
      <c r="U674" s="16"/>
      <c r="V674" s="16"/>
      <c r="W674" s="16"/>
      <c r="X674" s="16"/>
      <c r="Y674" s="16"/>
      <c r="Z674" s="16"/>
    </row>
    <row r="675">
      <c r="A675" s="16" t="str">
        <f>IFERROR(__xludf.DUMMYFUNCTION("""COMPUTED_VALUE"""),"Book of Hexes")</f>
        <v>Book of Hexes</v>
      </c>
      <c r="B675" s="16" t="str">
        <f>IFERROR(__xludf.DUMMYFUNCTION("""COMPUTED_VALUE"""),"The staple item for a witch.")</f>
        <v>The staple item for a witch.</v>
      </c>
      <c r="C675" s="16"/>
      <c r="D675" s="16" t="str">
        <f>IFERROR(__xludf.DUMMYFUNCTION("""COMPUTED_VALUE"""),"Legs")</f>
        <v>Legs</v>
      </c>
      <c r="E675" s="16">
        <f>IFERROR(__xludf.DUMMYFUNCTION("""COMPUTED_VALUE"""),1.0)</f>
        <v>1</v>
      </c>
      <c r="F675" s="16" t="str">
        <f>IFERROR(__xludf.DUMMYFUNCTION("""COMPUTED_VALUE""")," ++Hex - Any enemy you inflict with a debuff takes X2 additional damage from the self and all allies. +-(Witch Class Only)")</f>
        <v> ++Hex - Any enemy you inflict with a debuff takes X2 additional damage from the self and all allies. +-(Witch Class Only)</v>
      </c>
      <c r="G675" s="16">
        <f>IFERROR(__xludf.DUMMYFUNCTION("""COMPUTED_VALUE"""),0.0)</f>
        <v>0</v>
      </c>
      <c r="H675" s="16"/>
      <c r="I675" s="16"/>
      <c r="J675" s="16"/>
      <c r="K675" s="16"/>
      <c r="L675" s="16"/>
      <c r="M675" s="16"/>
      <c r="N675" s="16"/>
      <c r="O675" s="16"/>
      <c r="P675" s="16"/>
      <c r="Q675" s="16"/>
      <c r="R675" s="16"/>
      <c r="S675" s="16"/>
      <c r="T675" s="16"/>
      <c r="U675" s="16"/>
      <c r="V675" s="16"/>
      <c r="W675" s="16"/>
      <c r="X675" s="16"/>
      <c r="Y675" s="16"/>
      <c r="Z675" s="16"/>
    </row>
    <row r="676">
      <c r="A676" s="16" t="str">
        <f>IFERROR(__xludf.DUMMYFUNCTION("""COMPUTED_VALUE"""),"Ring of Boring")</f>
        <v>Ring of Boring</v>
      </c>
      <c r="B676" s="16" t="str">
        <f>IFERROR(__xludf.DUMMYFUNCTION("""COMPUTED_VALUE"""),"The item for people who made a character but decided they were ""too good"" for it's abilities.")</f>
        <v>The item for people who made a character but decided they were "too good" for it's abilities.</v>
      </c>
      <c r="C676" s="16"/>
      <c r="D676" s="16" t="str">
        <f>IFERROR(__xludf.DUMMYFUNCTION("""COMPUTED_VALUE"""),"Finger")</f>
        <v>Finger</v>
      </c>
      <c r="E676" s="16">
        <f>IFERROR(__xludf.DUMMYFUNCTION("""COMPUTED_VALUE"""),1.0)</f>
        <v>1</v>
      </c>
      <c r="F676" s="16" t="str">
        <f>IFERROR(__xludf.DUMMYFUNCTION("""COMPUTED_VALUE""")," ++Why are you so boring? - X2 additional damage.")</f>
        <v> ++Why are you so boring? - X2 additional damage.</v>
      </c>
      <c r="G676" s="16">
        <f>IFERROR(__xludf.DUMMYFUNCTION("""COMPUTED_VALUE"""),0.0)</f>
        <v>0</v>
      </c>
      <c r="H676" s="16"/>
      <c r="I676" s="16"/>
      <c r="J676" s="16"/>
      <c r="K676" s="16"/>
      <c r="L676" s="16"/>
      <c r="M676" s="16"/>
      <c r="N676" s="16"/>
      <c r="O676" s="16"/>
      <c r="P676" s="16"/>
      <c r="Q676" s="16"/>
      <c r="R676" s="16"/>
      <c r="S676" s="16"/>
      <c r="T676" s="16"/>
      <c r="U676" s="16"/>
      <c r="V676" s="16"/>
      <c r="W676" s="16"/>
      <c r="X676" s="16"/>
      <c r="Y676" s="16"/>
      <c r="Z676" s="16"/>
    </row>
    <row r="677">
      <c r="A677" s="16" t="str">
        <f>IFERROR(__xludf.DUMMYFUNCTION("""COMPUTED_VALUE"""),"Frozen Spearman's High-Low Dress")</f>
        <v>Frozen Spearman's High-Low Dress</v>
      </c>
      <c r="B677" s="16"/>
      <c r="C677" s="16"/>
      <c r="D677" s="16" t="str">
        <f>IFERROR(__xludf.DUMMYFUNCTION("""COMPUTED_VALUE"""),"Torso")</f>
        <v>Torso</v>
      </c>
      <c r="E677" s="16">
        <f>IFERROR(__xludf.DUMMYFUNCTION("""COMPUTED_VALUE"""),200.0)</f>
        <v>200</v>
      </c>
      <c r="F677" s="16" t="str">
        <f>IFERROR(__xludf.DUMMYFUNCTION("""COMPUTED_VALUE"""),"DEF: +25000, Earth DEF: +25000, Nature DEF: +25000, Celestial DEF: +25000 ++Regal Authority - At the start of battle there's a 25% chance of recruiting one enemy to join you (100% if they are a player with a starting town in any tundra region) This counts"&amp;" as possession for the purposes of immunity")</f>
        <v>DEF: +25000, Earth DEF: +25000, Nature DEF: +25000, Celestial DEF: +25000 ++Regal Authority - At the start of battle there's a 25% chance of recruiting one enemy to join you (100% if they are a player with a starting town in any tundra region) This counts as possession for the purposes of immunity</v>
      </c>
      <c r="G677" s="16">
        <f>IFERROR(__xludf.DUMMYFUNCTION("""COMPUTED_VALUE"""),1.99E8)</f>
        <v>199000000</v>
      </c>
      <c r="H677" s="16"/>
      <c r="I677" s="16"/>
      <c r="J677" s="16"/>
      <c r="K677" s="16"/>
      <c r="L677" s="16"/>
      <c r="M677" s="16"/>
      <c r="N677" s="16"/>
      <c r="O677" s="16"/>
      <c r="P677" s="16"/>
      <c r="Q677" s="16"/>
      <c r="R677" s="16"/>
      <c r="S677" s="16"/>
      <c r="T677" s="16"/>
      <c r="U677" s="16"/>
      <c r="V677" s="16"/>
      <c r="W677" s="16"/>
      <c r="X677" s="16"/>
      <c r="Y677" s="16"/>
      <c r="Z677" s="16"/>
    </row>
    <row r="678">
      <c r="A678" s="16" t="str">
        <f>IFERROR(__xludf.DUMMYFUNCTION("""COMPUTED_VALUE"""),"Frozen Spearman's Jhodpur's")</f>
        <v>Frozen Spearman's Jhodpur's</v>
      </c>
      <c r="B678" s="16"/>
      <c r="C678" s="16"/>
      <c r="D678" s="16" t="str">
        <f>IFERROR(__xludf.DUMMYFUNCTION("""COMPUTED_VALUE"""),"Legs")</f>
        <v>Legs</v>
      </c>
      <c r="E678" s="16">
        <f>IFERROR(__xludf.DUMMYFUNCTION("""COMPUTED_VALUE"""),200.0)</f>
        <v>200</v>
      </c>
      <c r="F678" s="16" t="str">
        <f>IFERROR(__xludf.DUMMYFUNCTION("""COMPUTED_VALUE"""),"DEF: +25000, Earth DEF: +25000, Nature DEF: +25000, Celestial DEF: +25000 ++Cavalry Charge - Summon a frosty steed to run down your enemies dealing 50,000 unavoidable Storm damage with a 15% chance of freeing all enemies - 500 sp")</f>
        <v>DEF: +25000, Earth DEF: +25000, Nature DEF: +25000, Celestial DEF: +25000 ++Cavalry Charge - Summon a frosty steed to run down your enemies dealing 50,000 unavoidable Storm damage with a 15% chance of freeing all enemies - 500 sp</v>
      </c>
      <c r="G678" s="16">
        <f>IFERROR(__xludf.DUMMYFUNCTION("""COMPUTED_VALUE"""),1.99E8)</f>
        <v>199000000</v>
      </c>
      <c r="H678" s="16"/>
      <c r="I678" s="16"/>
      <c r="J678" s="16"/>
      <c r="K678" s="16"/>
      <c r="L678" s="16"/>
      <c r="M678" s="16"/>
      <c r="N678" s="16"/>
      <c r="O678" s="16"/>
      <c r="P678" s="16"/>
      <c r="Q678" s="16"/>
      <c r="R678" s="16"/>
      <c r="S678" s="16"/>
      <c r="T678" s="16"/>
      <c r="U678" s="16"/>
      <c r="V678" s="16"/>
      <c r="W678" s="16"/>
      <c r="X678" s="16"/>
      <c r="Y678" s="16"/>
      <c r="Z678" s="16"/>
    </row>
    <row r="679">
      <c r="A679" s="16" t="str">
        <f>IFERROR(__xludf.DUMMYFUNCTION("""COMPUTED_VALUE"""),"Frozen Spearman's Fur Boots")</f>
        <v>Frozen Spearman's Fur Boots</v>
      </c>
      <c r="B679" s="16"/>
      <c r="C679" s="16"/>
      <c r="D679" s="16" t="str">
        <f>IFERROR(__xludf.DUMMYFUNCTION("""COMPUTED_VALUE"""),"Feet")</f>
        <v>Feet</v>
      </c>
      <c r="E679" s="16">
        <f>IFERROR(__xludf.DUMMYFUNCTION("""COMPUTED_VALUE"""),200.0)</f>
        <v>200</v>
      </c>
      <c r="F679" s="16" t="str">
        <f>IFERROR(__xludf.DUMMYFUNCTION("""COMPUTED_VALUE"""),"DEF: +25000, Earth DEF: +25000, Nature DEF: +25000, Celestial DEF: +25000 ++Frosty Footwork - Upon successfully hitting an enemy you can make a second attack")</f>
        <v>DEF: +25000, Earth DEF: +25000, Nature DEF: +25000, Celestial DEF: +25000 ++Frosty Footwork - Upon successfully hitting an enemy you can make a second attack</v>
      </c>
      <c r="G679" s="16">
        <f>IFERROR(__xludf.DUMMYFUNCTION("""COMPUTED_VALUE"""),1.99E8)</f>
        <v>199000000</v>
      </c>
      <c r="H679" s="16"/>
      <c r="I679" s="16"/>
      <c r="J679" s="16"/>
      <c r="K679" s="16"/>
      <c r="L679" s="16"/>
      <c r="M679" s="16"/>
      <c r="N679" s="16"/>
      <c r="O679" s="16"/>
      <c r="P679" s="16"/>
      <c r="Q679" s="16"/>
      <c r="R679" s="16"/>
      <c r="S679" s="16"/>
      <c r="T679" s="16"/>
      <c r="U679" s="16"/>
      <c r="V679" s="16"/>
      <c r="W679" s="16"/>
      <c r="X679" s="16"/>
      <c r="Y679" s="16"/>
      <c r="Z679" s="16"/>
    </row>
    <row r="680">
      <c r="A680" s="16" t="str">
        <f>IFERROR(__xludf.DUMMYFUNCTION("""COMPUTED_VALUE"""),"Frozen Spearman's Bracers")</f>
        <v>Frozen Spearman's Bracers</v>
      </c>
      <c r="B680" s="16"/>
      <c r="C680" s="16"/>
      <c r="D680" s="16" t="str">
        <f>IFERROR(__xludf.DUMMYFUNCTION("""COMPUTED_VALUE"""),"Arms")</f>
        <v>Arms</v>
      </c>
      <c r="E680" s="16">
        <f>IFERROR(__xludf.DUMMYFUNCTION("""COMPUTED_VALUE"""),200.0)</f>
        <v>200</v>
      </c>
      <c r="F680" s="16" t="str">
        <f>IFERROR(__xludf.DUMMYFUNCTION("""COMPUTED_VALUE"""),"DEF: +25000, Earth DEF: +25000, Nature DEF: +25000, Celestial DEF: +25000 ++Queen's Counter - Upon successfully evading an attack you can Immediately attack the person who attacked you.")</f>
        <v>DEF: +25000, Earth DEF: +25000, Nature DEF: +25000, Celestial DEF: +25000 ++Queen's Counter - Upon successfully evading an attack you can Immediately attack the person who attacked you.</v>
      </c>
      <c r="G680" s="16">
        <f>IFERROR(__xludf.DUMMYFUNCTION("""COMPUTED_VALUE"""),1.99E8)</f>
        <v>199000000</v>
      </c>
      <c r="H680" s="16"/>
      <c r="I680" s="16"/>
      <c r="J680" s="16"/>
      <c r="K680" s="16"/>
      <c r="L680" s="16"/>
      <c r="M680" s="16"/>
      <c r="N680" s="16"/>
      <c r="O680" s="16"/>
      <c r="P680" s="16"/>
      <c r="Q680" s="16"/>
      <c r="R680" s="16"/>
      <c r="S680" s="16"/>
      <c r="T680" s="16"/>
      <c r="U680" s="16"/>
      <c r="V680" s="16"/>
      <c r="W680" s="16"/>
      <c r="X680" s="16"/>
      <c r="Y680" s="16"/>
      <c r="Z680" s="16"/>
    </row>
    <row r="681">
      <c r="A681" s="16" t="str">
        <f>IFERROR(__xludf.DUMMYFUNCTION("""COMPUTED_VALUE"""),"Frozen Spearman's Fur Cloak")</f>
        <v>Frozen Spearman's Fur Cloak</v>
      </c>
      <c r="B681" s="16"/>
      <c r="C681" s="16"/>
      <c r="D681" s="16" t="str">
        <f>IFERROR(__xludf.DUMMYFUNCTION("""COMPUTED_VALUE"""),"Pauldrons")</f>
        <v>Pauldrons</v>
      </c>
      <c r="E681" s="16">
        <f>IFERROR(__xludf.DUMMYFUNCTION("""COMPUTED_VALUE"""),200.0)</f>
        <v>200</v>
      </c>
      <c r="F681" s="16" t="str">
        <f>IFERROR(__xludf.DUMMYFUNCTION("""COMPUTED_VALUE"""),"DEF: +25000, Earth DEF: +25000, Nature DEF: +25000, Celestial DEF: +25000 ++A Land of Ice and Snow - X4 Storm and Water damage")</f>
        <v>DEF: +25000, Earth DEF: +25000, Nature DEF: +25000, Celestial DEF: +25000 ++A Land of Ice and Snow - X4 Storm and Water damage</v>
      </c>
      <c r="G681" s="16">
        <f>IFERROR(__xludf.DUMMYFUNCTION("""COMPUTED_VALUE"""),1.99E8)</f>
        <v>199000000</v>
      </c>
      <c r="H681" s="16"/>
      <c r="I681" s="16"/>
      <c r="J681" s="16"/>
      <c r="K681" s="16"/>
      <c r="L681" s="16"/>
      <c r="M681" s="16"/>
      <c r="N681" s="16"/>
      <c r="O681" s="16"/>
      <c r="P681" s="16"/>
      <c r="Q681" s="16"/>
      <c r="R681" s="16"/>
      <c r="S681" s="16"/>
      <c r="T681" s="16"/>
      <c r="U681" s="16"/>
      <c r="V681" s="16"/>
      <c r="W681" s="16"/>
      <c r="X681" s="16"/>
      <c r="Y681" s="16"/>
      <c r="Z681" s="16"/>
    </row>
    <row r="682">
      <c r="A682" s="16" t="str">
        <f>IFERROR(__xludf.DUMMYFUNCTION("""COMPUTED_VALUE"""),"Frost Mage's Cloak")</f>
        <v>Frost Mage's Cloak</v>
      </c>
      <c r="B682" s="16"/>
      <c r="C682" s="16"/>
      <c r="D682" s="16" t="str">
        <f>IFERROR(__xludf.DUMMYFUNCTION("""COMPUTED_VALUE"""),"Torso")</f>
        <v>Torso</v>
      </c>
      <c r="E682" s="16">
        <f>IFERROR(__xludf.DUMMYFUNCTION("""COMPUTED_VALUE"""),200.0)</f>
        <v>200</v>
      </c>
      <c r="F682"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2" s="16">
        <f>IFERROR(__xludf.DUMMYFUNCTION("""COMPUTED_VALUE"""),4350000.0)</f>
        <v>4350000</v>
      </c>
      <c r="H682" s="16"/>
      <c r="I682" s="16"/>
      <c r="J682" s="16"/>
      <c r="K682" s="16"/>
      <c r="L682" s="16"/>
      <c r="M682" s="16"/>
      <c r="N682" s="16"/>
      <c r="O682" s="16"/>
      <c r="P682" s="16"/>
      <c r="Q682" s="16"/>
      <c r="R682" s="16"/>
      <c r="S682" s="16"/>
      <c r="T682" s="16"/>
      <c r="U682" s="16"/>
      <c r="V682" s="16"/>
      <c r="W682" s="16"/>
      <c r="X682" s="16"/>
      <c r="Y682" s="16"/>
      <c r="Z682" s="16"/>
    </row>
    <row r="683">
      <c r="A683" s="16" t="str">
        <f>IFERROR(__xludf.DUMMYFUNCTION("""COMPUTED_VALUE"""),"Frost Mage's Boots")</f>
        <v>Frost Mage's Boots</v>
      </c>
      <c r="B683" s="16"/>
      <c r="C683" s="16"/>
      <c r="D683" s="16" t="str">
        <f>IFERROR(__xludf.DUMMYFUNCTION("""COMPUTED_VALUE"""),"Feet")</f>
        <v>Feet</v>
      </c>
      <c r="E683" s="16">
        <f>IFERROR(__xludf.DUMMYFUNCTION("""COMPUTED_VALUE"""),200.0)</f>
        <v>200</v>
      </c>
      <c r="F683"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3" s="16">
        <f>IFERROR(__xludf.DUMMYFUNCTION("""COMPUTED_VALUE"""),4350000.0)</f>
        <v>4350000</v>
      </c>
      <c r="H683" s="16"/>
      <c r="I683" s="16"/>
      <c r="J683" s="16"/>
      <c r="K683" s="16"/>
      <c r="L683" s="16"/>
      <c r="M683" s="16"/>
      <c r="N683" s="16"/>
      <c r="O683" s="16"/>
      <c r="P683" s="16"/>
      <c r="Q683" s="16"/>
      <c r="R683" s="16"/>
      <c r="S683" s="16"/>
      <c r="T683" s="16"/>
      <c r="U683" s="16"/>
      <c r="V683" s="16"/>
      <c r="W683" s="16"/>
      <c r="X683" s="16"/>
      <c r="Y683" s="16"/>
      <c r="Z683" s="16"/>
    </row>
    <row r="684">
      <c r="A684" s="16" t="str">
        <f>IFERROR(__xludf.DUMMYFUNCTION("""COMPUTED_VALUE"""),"Frost Mage's Hood")</f>
        <v>Frost Mage's Hood</v>
      </c>
      <c r="B684" s="16"/>
      <c r="C684" s="16"/>
      <c r="D684" s="16" t="str">
        <f>IFERROR(__xludf.DUMMYFUNCTION("""COMPUTED_VALUE"""),"Head")</f>
        <v>Head</v>
      </c>
      <c r="E684" s="16">
        <f>IFERROR(__xludf.DUMMYFUNCTION("""COMPUTED_VALUE"""),200.0)</f>
        <v>200</v>
      </c>
      <c r="F684"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4" s="16">
        <f>IFERROR(__xludf.DUMMYFUNCTION("""COMPUTED_VALUE"""),4350000.0)</f>
        <v>4350000</v>
      </c>
      <c r="H684" s="16"/>
      <c r="I684" s="16"/>
      <c r="J684" s="16"/>
      <c r="K684" s="16"/>
      <c r="L684" s="16"/>
      <c r="M684" s="16"/>
      <c r="N684" s="16"/>
      <c r="O684" s="16"/>
      <c r="P684" s="16"/>
      <c r="Q684" s="16"/>
      <c r="R684" s="16"/>
      <c r="S684" s="16"/>
      <c r="T684" s="16"/>
      <c r="U684" s="16"/>
      <c r="V684" s="16"/>
      <c r="W684" s="16"/>
      <c r="X684" s="16"/>
      <c r="Y684" s="16"/>
      <c r="Z684" s="16"/>
    </row>
    <row r="685">
      <c r="A685" s="16" t="str">
        <f>IFERROR(__xludf.DUMMYFUNCTION("""COMPUTED_VALUE"""),"Crown of Frozen Swords")</f>
        <v>Crown of Frozen Swords</v>
      </c>
      <c r="B685" s="16"/>
      <c r="C685" s="16"/>
      <c r="D685" s="16" t="str">
        <f>IFERROR(__xludf.DUMMYFUNCTION("""COMPUTED_VALUE"""),"Head")</f>
        <v>Head</v>
      </c>
      <c r="E685" s="16">
        <f>IFERROR(__xludf.DUMMYFUNCTION("""COMPUTED_VALUE"""),200.0)</f>
        <v>200</v>
      </c>
      <c r="F685" s="16" t="str">
        <f>IFERROR(__xludf.DUMMYFUNCTION("""COMPUTED_VALUE"""),"DEF: +50000, Earth DEF: +50000, Nature DEF: +50000, Celestial DEF: +50000 ++King of The Frozen Wastes - X2 Storm damage ++15% chance to hit all enemies with a weapon attack")</f>
        <v>DEF: +50000, Earth DEF: +50000, Nature DEF: +50000, Celestial DEF: +50000 ++King of The Frozen Wastes - X2 Storm damage ++15% chance to hit all enemies with a weapon attack</v>
      </c>
      <c r="G685" s="16">
        <f>IFERROR(__xludf.DUMMYFUNCTION("""COMPUTED_VALUE"""),7.98E8)</f>
        <v>798000000</v>
      </c>
      <c r="H685" s="16"/>
      <c r="I685" s="16"/>
      <c r="J685" s="16"/>
      <c r="K685" s="16"/>
      <c r="L685" s="16"/>
      <c r="M685" s="16"/>
      <c r="N685" s="16"/>
      <c r="O685" s="16"/>
      <c r="P685" s="16"/>
      <c r="Q685" s="16"/>
      <c r="R685" s="16"/>
      <c r="S685" s="16"/>
      <c r="T685" s="16"/>
      <c r="U685" s="16"/>
      <c r="V685" s="16"/>
      <c r="W685" s="16"/>
      <c r="X685" s="16"/>
      <c r="Y685" s="16"/>
      <c r="Z685" s="16"/>
    </row>
    <row r="686">
      <c r="A686" s="16" t="str">
        <f>IFERROR(__xludf.DUMMYFUNCTION("""COMPUTED_VALUE"""),"Frost-bitten Cape")</f>
        <v>Frost-bitten Cape</v>
      </c>
      <c r="B686" s="16"/>
      <c r="C686" s="16"/>
      <c r="D686" s="16" t="str">
        <f>IFERROR(__xludf.DUMMYFUNCTION("""COMPUTED_VALUE"""),"Shoulders")</f>
        <v>Shoulders</v>
      </c>
      <c r="E686" s="16">
        <f>IFERROR(__xludf.DUMMYFUNCTION("""COMPUTED_VALUE"""),200.0)</f>
        <v>200</v>
      </c>
      <c r="F686" s="16" t="str">
        <f>IFERROR(__xludf.DUMMYFUNCTION("""COMPUTED_VALUE"""),"DEF: +50000, Earth DEF: +50000, Nature DEF: +50000, Celestial DEF: +50000 ++Frostbite - Enemies hit with a weapon attack take 5000 Storm damage per round for 3 rounds")</f>
        <v>DEF: +50000, Earth DEF: +50000, Nature DEF: +50000, Celestial DEF: +50000 ++Frostbite - Enemies hit with a weapon attack take 5000 Storm damage per round for 3 rounds</v>
      </c>
      <c r="G686" s="16">
        <f>IFERROR(__xludf.DUMMYFUNCTION("""COMPUTED_VALUE"""),7.98E8)</f>
        <v>798000000</v>
      </c>
      <c r="H686" s="16"/>
      <c r="I686" s="16"/>
      <c r="J686" s="16"/>
      <c r="K686" s="16"/>
      <c r="L686" s="16"/>
      <c r="M686" s="16"/>
      <c r="N686" s="16"/>
      <c r="O686" s="16"/>
      <c r="P686" s="16"/>
      <c r="Q686" s="16"/>
      <c r="R686" s="16"/>
      <c r="S686" s="16"/>
      <c r="T686" s="16"/>
      <c r="U686" s="16"/>
      <c r="V686" s="16"/>
      <c r="W686" s="16"/>
      <c r="X686" s="16"/>
      <c r="Y686" s="16"/>
      <c r="Z686" s="16"/>
    </row>
    <row r="687">
      <c r="A687" s="16" t="str">
        <f>IFERROR(__xludf.DUMMYFUNCTION("""COMPUTED_VALUE"""),"Ice-steel Pauldrons")</f>
        <v>Ice-steel Pauldrons</v>
      </c>
      <c r="B687" s="16"/>
      <c r="C687" s="16"/>
      <c r="D687" s="16" t="str">
        <f>IFERROR(__xludf.DUMMYFUNCTION("""COMPUTED_VALUE"""),"Shoulders")</f>
        <v>Shoulders</v>
      </c>
      <c r="E687" s="16">
        <f>IFERROR(__xludf.DUMMYFUNCTION("""COMPUTED_VALUE"""),200.0)</f>
        <v>200</v>
      </c>
      <c r="F687" s="16" t="str">
        <f>IFERROR(__xludf.DUMMYFUNCTION("""COMPUTED_VALUE"""),"DEF: +50000, Earth DEF: +50000, Nature DEF: +50000, Celestial DEF: +50000 ++Cold Shoulder - Immunity to freeze")</f>
        <v>DEF: +50000, Earth DEF: +50000, Nature DEF: +50000, Celestial DEF: +50000 ++Cold Shoulder - Immunity to freeze</v>
      </c>
      <c r="G687" s="16">
        <f>IFERROR(__xludf.DUMMYFUNCTION("""COMPUTED_VALUE"""),7.98E8)</f>
        <v>798000000</v>
      </c>
      <c r="H687" s="16"/>
      <c r="I687" s="16"/>
      <c r="J687" s="16"/>
      <c r="K687" s="16"/>
      <c r="L687" s="16"/>
      <c r="M687" s="16"/>
      <c r="N687" s="16"/>
      <c r="O687" s="16"/>
      <c r="P687" s="16"/>
      <c r="Q687" s="16"/>
      <c r="R687" s="16"/>
      <c r="S687" s="16"/>
      <c r="T687" s="16"/>
      <c r="U687" s="16"/>
      <c r="V687" s="16"/>
      <c r="W687" s="16"/>
      <c r="X687" s="16"/>
      <c r="Y687" s="16"/>
      <c r="Z687" s="16"/>
    </row>
    <row r="688">
      <c r="A688" s="16" t="str">
        <f>IFERROR(__xludf.DUMMYFUNCTION("""COMPUTED_VALUE"""),"Ice-steel Bracers")</f>
        <v>Ice-steel Bracers</v>
      </c>
      <c r="B688" s="16"/>
      <c r="C688" s="16"/>
      <c r="D688" s="16" t="str">
        <f>IFERROR(__xludf.DUMMYFUNCTION("""COMPUTED_VALUE"""),"Arms")</f>
        <v>Arms</v>
      </c>
      <c r="E688" s="16">
        <f>IFERROR(__xludf.DUMMYFUNCTION("""COMPUTED_VALUE"""),200.0)</f>
        <v>200</v>
      </c>
      <c r="F688" s="16" t="str">
        <f>IFERROR(__xludf.DUMMYFUNCTION("""COMPUTED_VALUE"""),"DEF: +50000, Earth DEF: +50000, Nature DEF: +50000, Celestial DEF: +50000 ++A Moment of Weakness - (Can only target frozen enemies) Strike the enemy with your weapon dealing X3 Weapon damage and Giving the enemy disoriented 3 - 500 sp")</f>
        <v>DEF: +50000, Earth DEF: +50000, Nature DEF: +50000, Celestial DEF: +50000 ++A Moment of Weakness - (Can only target frozen enemies) Strike the enemy with your weapon dealing X3 Weapon damage and Giving the enemy disoriented 3 - 500 sp</v>
      </c>
      <c r="G688" s="16">
        <f>IFERROR(__xludf.DUMMYFUNCTION("""COMPUTED_VALUE"""),7.98E8)</f>
        <v>798000000</v>
      </c>
      <c r="H688" s="16"/>
      <c r="I688" s="16"/>
      <c r="J688" s="16"/>
      <c r="K688" s="16"/>
      <c r="L688" s="16"/>
      <c r="M688" s="16"/>
      <c r="N688" s="16"/>
      <c r="O688" s="16"/>
      <c r="P688" s="16"/>
      <c r="Q688" s="16"/>
      <c r="R688" s="16"/>
      <c r="S688" s="16"/>
      <c r="T688" s="16"/>
      <c r="U688" s="16"/>
      <c r="V688" s="16"/>
      <c r="W688" s="16"/>
      <c r="X688" s="16"/>
      <c r="Y688" s="16"/>
      <c r="Z688" s="16"/>
    </row>
    <row r="689">
      <c r="A689" s="16" t="str">
        <f>IFERROR(__xludf.DUMMYFUNCTION("""COMPUTED_VALUE"""),"Ice-steel Chausses")</f>
        <v>Ice-steel Chausses</v>
      </c>
      <c r="B689" s="16" t="str">
        <f>IFERROR(__xludf.DUMMYFUNCTION("""COMPUTED_VALUE"""),"The chinks in the armor suggest a lack of care over the past years.")</f>
        <v>The chinks in the armor suggest a lack of care over the past years.</v>
      </c>
      <c r="C689" s="16"/>
      <c r="D689" s="16" t="str">
        <f>IFERROR(__xludf.DUMMYFUNCTION("""COMPUTED_VALUE"""),"Legs")</f>
        <v>Legs</v>
      </c>
      <c r="E689" s="16">
        <f>IFERROR(__xludf.DUMMYFUNCTION("""COMPUTED_VALUE"""),200.0)</f>
        <v>200</v>
      </c>
      <c r="F689" s="16" t="str">
        <f>IFERROR(__xludf.DUMMYFUNCTION("""COMPUTED_VALUE"""),"DEF: +50000, Earth DEF: +50000, Nature DEF: +50000, Celestial DEF: +50000 ++X2 Weapon Damage")</f>
        <v>DEF: +50000, Earth DEF: +50000, Nature DEF: +50000, Celestial DEF: +50000 ++X2 Weapon Damage</v>
      </c>
      <c r="G689" s="16">
        <f>IFERROR(__xludf.DUMMYFUNCTION("""COMPUTED_VALUE"""),7.98E8)</f>
        <v>798000000</v>
      </c>
      <c r="H689" s="16"/>
      <c r="I689" s="16"/>
      <c r="J689" s="16"/>
      <c r="K689" s="16"/>
      <c r="L689" s="16"/>
      <c r="M689" s="16"/>
      <c r="N689" s="16"/>
      <c r="O689" s="16"/>
      <c r="P689" s="16"/>
      <c r="Q689" s="16"/>
      <c r="R689" s="16"/>
      <c r="S689" s="16"/>
      <c r="T689" s="16"/>
      <c r="U689" s="16"/>
      <c r="V689" s="16"/>
      <c r="W689" s="16"/>
      <c r="X689" s="16"/>
      <c r="Y689" s="16"/>
      <c r="Z689" s="16"/>
    </row>
    <row r="690">
      <c r="A690" s="16" t="str">
        <f>IFERROR(__xludf.DUMMYFUNCTION("""COMPUTED_VALUE"""),"Frost Stompers")</f>
        <v>Frost Stompers</v>
      </c>
      <c r="B690" s="16" t="str">
        <f>IFERROR(__xludf.DUMMYFUNCTION("""COMPUTED_VALUE"""),"These frozen iron boots are covered in a layer of permafrost, it seems as though they'll never thaw.")</f>
        <v>These frozen iron boots are covered in a layer of permafrost, it seems as though they'll never thaw.</v>
      </c>
      <c r="C690" s="16"/>
      <c r="D690" s="16" t="str">
        <f>IFERROR(__xludf.DUMMYFUNCTION("""COMPUTED_VALUE"""),"Feet")</f>
        <v>Feet</v>
      </c>
      <c r="E690" s="16">
        <f>IFERROR(__xludf.DUMMYFUNCTION("""COMPUTED_VALUE"""),200.0)</f>
        <v>200</v>
      </c>
      <c r="F690" s="16" t="str">
        <f>IFERROR(__xludf.DUMMYFUNCTION("""COMPUTED_VALUE"""),"DEF: +50000, Earth DEF: +50000, Nature DEF: +50000, Celestial DEF: +50000 ++X2 Storm Damage")</f>
        <v>DEF: +50000, Earth DEF: +50000, Nature DEF: +50000, Celestial DEF: +50000 ++X2 Storm Damage</v>
      </c>
      <c r="G690" s="16">
        <f>IFERROR(__xludf.DUMMYFUNCTION("""COMPUTED_VALUE"""),7.98E8)</f>
        <v>798000000</v>
      </c>
      <c r="H690" s="16"/>
      <c r="I690" s="16"/>
      <c r="J690" s="16"/>
      <c r="K690" s="16"/>
      <c r="L690" s="16"/>
      <c r="M690" s="16"/>
      <c r="N690" s="16"/>
      <c r="O690" s="16"/>
      <c r="P690" s="16"/>
      <c r="Q690" s="16"/>
      <c r="R690" s="16"/>
      <c r="S690" s="16"/>
      <c r="T690" s="16"/>
      <c r="U690" s="16"/>
      <c r="V690" s="16"/>
      <c r="W690" s="16"/>
      <c r="X690" s="16"/>
      <c r="Y690" s="16"/>
      <c r="Z690" s="16"/>
    </row>
    <row r="691">
      <c r="A691" s="16" t="str">
        <f>IFERROR(__xludf.DUMMYFUNCTION("""COMPUTED_VALUE"""),"Plate of the Frozen Sun")</f>
        <v>Plate of the Frozen Sun</v>
      </c>
      <c r="B691" s="16" t="str">
        <f>IFERROR(__xludf.DUMMYFUNCTION("""COMPUTED_VALUE"""),"""The king was not always as he is now, but the yearly curse of the ice mage has him colder than usual"" ~old man")</f>
        <v>"The king was not always as he is now, but the yearly curse of the ice mage has him colder than usual" ~old man</v>
      </c>
      <c r="C691" s="16"/>
      <c r="D691" s="16" t="str">
        <f>IFERROR(__xludf.DUMMYFUNCTION("""COMPUTED_VALUE"""),"Torso")</f>
        <v>Torso</v>
      </c>
      <c r="E691" s="16">
        <f>IFERROR(__xludf.DUMMYFUNCTION("""COMPUTED_VALUE"""),200.0)</f>
        <v>200</v>
      </c>
      <c r="F691" s="16" t="str">
        <f>IFERROR(__xludf.DUMMYFUNCTION("""COMPUTED_VALUE"""),"DEF: +50000, Earth DEF: +50000, Nature DEF: +50000, Celestial DEF: +50000 ++Freezing Absorption - Can absorb one summoned creature adding their stats on top of your for 3 rounds but giving you a 50% chance of attacking a random ally instead of an enemy - "&amp;"500 sp")</f>
        <v>DEF: +50000, Earth DEF: +50000, Nature DEF: +50000, Celestial DEF: +50000 ++Freezing Absorption - Can absorb one summoned creature adding their stats on top of your for 3 rounds but giving you a 50% chance of attacking a random ally instead of an enemy - 500 sp</v>
      </c>
      <c r="G691" s="16">
        <f>IFERROR(__xludf.DUMMYFUNCTION("""COMPUTED_VALUE"""),7.98E8)</f>
        <v>798000000</v>
      </c>
      <c r="H691" s="16"/>
      <c r="I691" s="16"/>
      <c r="J691" s="16"/>
      <c r="K691" s="16"/>
      <c r="L691" s="16"/>
      <c r="M691" s="16"/>
      <c r="N691" s="16"/>
      <c r="O691" s="16"/>
      <c r="P691" s="16"/>
      <c r="Q691" s="16"/>
      <c r="R691" s="16"/>
      <c r="S691" s="16"/>
      <c r="T691" s="16"/>
      <c r="U691" s="16"/>
      <c r="V691" s="16"/>
      <c r="W691" s="16"/>
      <c r="X691" s="16"/>
      <c r="Y691" s="16"/>
      <c r="Z691" s="16"/>
    </row>
    <row r="692">
      <c r="A692" s="16" t="str">
        <f>IFERROR(__xludf.DUMMYFUNCTION("""COMPUTED_VALUE"""),"Frost Mage's Staff")</f>
        <v>Frost Mage's Staff</v>
      </c>
      <c r="B692" s="16" t="str">
        <f>IFERROR(__xludf.DUMMYFUNCTION("""COMPUTED_VALUE"""),"""FREEZE"" ~Frost mage")</f>
        <v>"FREEZE" ~Frost mage</v>
      </c>
      <c r="C692" s="16" t="str">
        <f>IFERROR(__xludf.DUMMYFUNCTION("""COMPUTED_VALUE"""),"Staff")</f>
        <v>Staff</v>
      </c>
      <c r="D692" s="16" t="str">
        <f>IFERROR(__xludf.DUMMYFUNCTION("""COMPUTED_VALUE"""),"Hand")</f>
        <v>Hand</v>
      </c>
      <c r="E692" s="16">
        <f>IFERROR(__xludf.DUMMYFUNCTION("""COMPUTED_VALUE"""),200.0)</f>
        <v>200</v>
      </c>
      <c r="F692" s="16" t="str">
        <f>IFERROR(__xludf.DUMMYFUNCTION("""COMPUTED_VALUE"""),", Water DMG: +50000, Storm DMG: +50000, Celestial DMG: +50000 ++Damages all enemies, ++Cannot Avoid ++ +500SP ++X4 Water and Storm Damage ++25% chance to freeze the enemies +-Cannot be forged +-Cannot be duplicated")</f>
        <v>, Water DMG: +50000, Storm DMG: +50000, Celestial DMG: +50000 ++Damages all enemies, ++Cannot Avoid ++ +500SP ++X4 Water and Storm Damage ++25% chance to freeze the enemies +-Cannot be forged +-Cannot be duplicated</v>
      </c>
      <c r="G692" s="16">
        <f>IFERROR(__xludf.DUMMYFUNCTION("""COMPUTED_VALUE"""),4.485E8)</f>
        <v>448500000</v>
      </c>
      <c r="H692" s="16"/>
      <c r="I692" s="16"/>
      <c r="J692" s="16"/>
      <c r="K692" s="16"/>
      <c r="L692" s="16"/>
      <c r="M692" s="16"/>
      <c r="N692" s="16"/>
      <c r="O692" s="16"/>
      <c r="P692" s="16"/>
      <c r="Q692" s="16"/>
      <c r="R692" s="16"/>
      <c r="S692" s="16"/>
      <c r="T692" s="16"/>
      <c r="U692" s="16"/>
      <c r="V692" s="16"/>
      <c r="W692" s="16"/>
      <c r="X692" s="16"/>
      <c r="Y692" s="16"/>
      <c r="Z692" s="16"/>
    </row>
    <row r="693">
      <c r="A693" s="16" t="str">
        <f>IFERROR(__xludf.DUMMYFUNCTION("""COMPUTED_VALUE"""),"Snowball")</f>
        <v>Snowball</v>
      </c>
      <c r="B693" s="16" t="str">
        <f>IFERROR(__xludf.DUMMYFUNCTION("""COMPUTED_VALUE"""),"""If you even think about hitting me with that I'll fill one with lead and bash your skull with it"" ~Gwennivir")</f>
        <v>"If you even think about hitting me with that I'll fill one with lead and bash your skull with it" ~Gwennivir</v>
      </c>
      <c r="C693" s="16" t="str">
        <f>IFERROR(__xludf.DUMMYFUNCTION("""COMPUTED_VALUE"""),"Boomerang")</f>
        <v>Boomerang</v>
      </c>
      <c r="D693" s="16" t="str">
        <f>IFERROR(__xludf.DUMMYFUNCTION("""COMPUTED_VALUE"""),"Hand")</f>
        <v>Hand</v>
      </c>
      <c r="E693" s="16">
        <f>IFERROR(__xludf.DUMMYFUNCTION("""COMPUTED_VALUE"""),200.0)</f>
        <v>200</v>
      </c>
      <c r="F693" s="16" t="str">
        <f>IFERROR(__xludf.DUMMYFUNCTION("""COMPUTED_VALUE"""),", Water DMG: +10000 ++25% Chance to freeze the target, ++25% chance to turn the target into a Demon Snowman and recruit them to the users side for 2 rounds (this counts as a possession).")</f>
        <v>, Water DMG: +10000 ++25% Chance to freeze the target, ++25% chance to turn the target into a Demon Snowman and recruit them to the users side for 2 rounds (this counts as a possession).</v>
      </c>
      <c r="G693" s="16">
        <f>IFERROR(__xludf.DUMMYFUNCTION("""COMPUTED_VALUE"""),1900000.0)</f>
        <v>1900000</v>
      </c>
      <c r="H693" s="16"/>
      <c r="I693" s="16"/>
      <c r="J693" s="16"/>
      <c r="K693" s="16"/>
      <c r="L693" s="16"/>
      <c r="M693" s="16"/>
      <c r="N693" s="16"/>
      <c r="O693" s="16"/>
      <c r="P693" s="16"/>
      <c r="Q693" s="16"/>
      <c r="R693" s="16"/>
      <c r="S693" s="16"/>
      <c r="T693" s="16"/>
      <c r="U693" s="16"/>
      <c r="V693" s="16"/>
      <c r="W693" s="16"/>
      <c r="X693" s="16"/>
      <c r="Y693" s="16"/>
      <c r="Z693" s="16"/>
    </row>
    <row r="694">
      <c r="A694" s="16" t="str">
        <f>IFERROR(__xludf.DUMMYFUNCTION("""COMPUTED_VALUE"""),"Corvid Cloak")</f>
        <v>Corvid Cloak</v>
      </c>
      <c r="B694" s="16" t="str">
        <f>IFERROR(__xludf.DUMMYFUNCTION("""COMPUTED_VALUE"""),"Formed from the feathers of many crows and ravens, this cloak has an imposing presence.")</f>
        <v>Formed from the feathers of many crows and ravens, this cloak has an imposing presence.</v>
      </c>
      <c r="C694" s="16"/>
      <c r="D694" s="16" t="str">
        <f>IFERROR(__xludf.DUMMYFUNCTION("""COMPUTED_VALUE"""),"Shoulders")</f>
        <v>Shoulders</v>
      </c>
      <c r="E694" s="16">
        <f>IFERROR(__xludf.DUMMYFUNCTION("""COMPUTED_VALUE"""),1.0)</f>
        <v>1</v>
      </c>
      <c r="F694" s="16" t="str">
        <f>IFERROR(__xludf.DUMMYFUNCTION("""COMPUTED_VALUE""")," ++On WIngs of Death: When an enemy or ally dies of poison all Base stats are doubled for 3 rounds and +5 to all perks +-Cannot be Duplicated")</f>
        <v> ++On WIngs of Death: When an enemy or ally dies of poison all Base stats are doubled for 3 rounds and +5 to all perks +-Cannot be Duplicated</v>
      </c>
      <c r="G694" s="16">
        <f>IFERROR(__xludf.DUMMYFUNCTION("""COMPUTED_VALUE"""),0.0)</f>
        <v>0</v>
      </c>
      <c r="H694" s="16"/>
      <c r="I694" s="16"/>
      <c r="J694" s="16"/>
      <c r="K694" s="16"/>
      <c r="L694" s="16"/>
      <c r="M694" s="16"/>
      <c r="N694" s="16"/>
      <c r="O694" s="16"/>
      <c r="P694" s="16"/>
      <c r="Q694" s="16"/>
      <c r="R694" s="16"/>
      <c r="S694" s="16"/>
      <c r="T694" s="16"/>
      <c r="U694" s="16"/>
      <c r="V694" s="16"/>
      <c r="W694" s="16"/>
      <c r="X694" s="16"/>
      <c r="Y694" s="16"/>
      <c r="Z694" s="16"/>
    </row>
    <row r="695">
      <c r="A695" s="16" t="str">
        <f>IFERROR(__xludf.DUMMYFUNCTION("""COMPUTED_VALUE"""),"Plague Doctor's Mask")</f>
        <v>Plague Doctor's Mask</v>
      </c>
      <c r="B695" s="16" t="str">
        <f>IFERROR(__xludf.DUMMYFUNCTION("""COMPUTED_VALUE"""),"""The eyes of the plague doctors can see all the impurities of not just one's body, but one's soul, it is our goal- nay, our purpose, to cure these impurities"" ~Kaillon, The Last WItch Doctor")</f>
        <v>"The eyes of the plague doctors can see all the impurities of not just one's body, but one's soul, it is our goal- nay, our purpose, to cure these impurities" ~Kaillon, The Last WItch Doctor</v>
      </c>
      <c r="C695" s="16"/>
      <c r="D695" s="16" t="str">
        <f>IFERROR(__xludf.DUMMYFUNCTION("""COMPUTED_VALUE"""),"Head")</f>
        <v>Head</v>
      </c>
      <c r="E695" s="16">
        <f>IFERROR(__xludf.DUMMYFUNCTION("""COMPUTED_VALUE"""),1.0)</f>
        <v>1</v>
      </c>
      <c r="F695" s="16" t="str">
        <f>IFERROR(__xludf.DUMMYFUNCTION("""COMPUTED_VALUE""")," ++Plague Doctor: 25% chance to be unaffected by a disease +-Cannot be Duplicated")</f>
        <v> ++Plague Doctor: 25% chance to be unaffected by a disease +-Cannot be Duplicated</v>
      </c>
      <c r="G695" s="16">
        <f>IFERROR(__xludf.DUMMYFUNCTION("""COMPUTED_VALUE"""),0.0)</f>
        <v>0</v>
      </c>
      <c r="H695" s="16"/>
      <c r="I695" s="16"/>
      <c r="J695" s="16"/>
      <c r="K695" s="16"/>
      <c r="L695" s="16"/>
      <c r="M695" s="16"/>
      <c r="N695" s="16"/>
      <c r="O695" s="16"/>
      <c r="P695" s="16"/>
      <c r="Q695" s="16"/>
      <c r="R695" s="16"/>
      <c r="S695" s="16"/>
      <c r="T695" s="16"/>
      <c r="U695" s="16"/>
      <c r="V695" s="16"/>
      <c r="W695" s="16"/>
      <c r="X695" s="16"/>
      <c r="Y695" s="16"/>
      <c r="Z695" s="16"/>
    </row>
    <row r="696">
      <c r="A696" s="16" t="str">
        <f>IFERROR(__xludf.DUMMYFUNCTION("""COMPUTED_VALUE"""),"""The Only Cure""")</f>
        <v>"The Only Cure"</v>
      </c>
      <c r="B696" s="16" t="str">
        <f>IFERROR(__xludf.DUMMYFUNCTION("""COMPUTED_VALUE"""),"""Sometimes, there is no cure for one's disease,
in those times it is our job to be merciful,
Truly, the only cure is death"" ~Kaillon, The Last Witch Doctor")</f>
        <v>"Sometimes, there is no cure for one's disease,
in those times it is our job to be merciful,
Truly, the only cure is death" ~Kaillon, The Last Witch Doctor</v>
      </c>
      <c r="C696" s="16"/>
      <c r="D696" s="16" t="str">
        <f>IFERROR(__xludf.DUMMYFUNCTION("""COMPUTED_VALUE"""),"Neck")</f>
        <v>Neck</v>
      </c>
      <c r="E696" s="16">
        <f>IFERROR(__xludf.DUMMYFUNCTION("""COMPUTED_VALUE"""),1.0)</f>
        <v>1</v>
      </c>
      <c r="F696" s="16" t="str">
        <f>IFERROR(__xludf.DUMMYFUNCTION("""COMPUTED_VALUE""")," ++""Is Death"": The first time a single ally dies in a battle they survive on 1 hp with halved defense, atack, and accuracy for 3 rounds. +-Cannot be Duplicated")</f>
        <v> ++"Is Death": The first time a single ally dies in a battle they survive on 1 hp with halved defense, atack, and accuracy for 3 rounds. +-Cannot be Duplicated</v>
      </c>
      <c r="G696" s="16">
        <f>IFERROR(__xludf.DUMMYFUNCTION("""COMPUTED_VALUE"""),0.0)</f>
        <v>0</v>
      </c>
      <c r="H696" s="16"/>
      <c r="I696" s="16"/>
      <c r="J696" s="16"/>
      <c r="K696" s="16"/>
      <c r="L696" s="16"/>
      <c r="M696" s="16"/>
      <c r="N696" s="16"/>
      <c r="O696" s="16"/>
      <c r="P696" s="16"/>
      <c r="Q696" s="16"/>
      <c r="R696" s="16"/>
      <c r="S696" s="16"/>
      <c r="T696" s="16"/>
      <c r="U696" s="16"/>
      <c r="V696" s="16"/>
      <c r="W696" s="16"/>
      <c r="X696" s="16"/>
      <c r="Y696" s="16"/>
      <c r="Z696" s="16"/>
    </row>
    <row r="697">
      <c r="A697" s="16" t="str">
        <f>IFERROR(__xludf.DUMMYFUNCTION("""COMPUTED_VALUE"""),"Plague Doctor's Gloves")</f>
        <v>Plague Doctor's Gloves</v>
      </c>
      <c r="B697" s="16" t="str">
        <f>IFERROR(__xludf.DUMMYFUNCTION("""COMPUTED_VALUE"""),"These gloves have been stained with blood and potions over the years.")</f>
        <v>These gloves have been stained with blood and potions over the years.</v>
      </c>
      <c r="C697" s="16"/>
      <c r="D697" s="16" t="str">
        <f>IFERROR(__xludf.DUMMYFUNCTION("""COMPUTED_VALUE"""),"Arms")</f>
        <v>Arms</v>
      </c>
      <c r="E697" s="16">
        <f>IFERROR(__xludf.DUMMYFUNCTION("""COMPUTED_VALUE"""),1.0)</f>
        <v>1</v>
      </c>
      <c r="F697" s="16" t="str">
        <f>IFERROR(__xludf.DUMMYFUNCTION("""COMPUTED_VALUE""")," ++Poisoner I:X2 damage +-Cannot be Duplicated")</f>
        <v> ++Poisoner I:X2 damage +-Cannot be Duplicated</v>
      </c>
      <c r="G697" s="16">
        <f>IFERROR(__xludf.DUMMYFUNCTION("""COMPUTED_VALUE"""),0.0)</f>
        <v>0</v>
      </c>
      <c r="H697" s="16"/>
      <c r="I697" s="16"/>
      <c r="J697" s="16"/>
      <c r="K697" s="16"/>
      <c r="L697" s="16"/>
      <c r="M697" s="16"/>
      <c r="N697" s="16"/>
      <c r="O697" s="16"/>
      <c r="P697" s="16"/>
      <c r="Q697" s="16"/>
      <c r="R697" s="16"/>
      <c r="S697" s="16"/>
      <c r="T697" s="16"/>
      <c r="U697" s="16"/>
      <c r="V697" s="16"/>
      <c r="W697" s="16"/>
      <c r="X697" s="16"/>
      <c r="Y697" s="16"/>
      <c r="Z697" s="16"/>
    </row>
    <row r="698">
      <c r="A698" s="16" t="str">
        <f>IFERROR(__xludf.DUMMYFUNCTION("""COMPUTED_VALUE"""),"Plague Doctor's Sarouel")</f>
        <v>Plague Doctor's Sarouel</v>
      </c>
      <c r="B698" s="16" t="str">
        <f>IFERROR(__xludf.DUMMYFUNCTION("""COMPUTED_VALUE"""),"These pants serve no real purpose within the foul night swamp, but they are the traditional wear of the plague doctors.")</f>
        <v>These pants serve no real purpose within the foul night swamp, but they are the traditional wear of the plague doctors.</v>
      </c>
      <c r="C698" s="16"/>
      <c r="D698" s="16" t="str">
        <f>IFERROR(__xludf.DUMMYFUNCTION("""COMPUTED_VALUE"""),"Legs")</f>
        <v>Legs</v>
      </c>
      <c r="E698" s="16">
        <f>IFERROR(__xludf.DUMMYFUNCTION("""COMPUTED_VALUE"""),1.0)</f>
        <v>1</v>
      </c>
      <c r="F698" s="16" t="str">
        <f>IFERROR(__xludf.DUMMYFUNCTION("""COMPUTED_VALUE""")," ++Poisoner I:X2 damage +-Cannot be Duplicated")</f>
        <v> ++Poisoner I:X2 damage +-Cannot be Duplicated</v>
      </c>
      <c r="G698" s="16">
        <f>IFERROR(__xludf.DUMMYFUNCTION("""COMPUTED_VALUE"""),0.0)</f>
        <v>0</v>
      </c>
      <c r="H698" s="16"/>
      <c r="I698" s="16"/>
      <c r="J698" s="16"/>
      <c r="K698" s="16"/>
      <c r="L698" s="16"/>
      <c r="M698" s="16"/>
      <c r="N698" s="16"/>
      <c r="O698" s="16"/>
      <c r="P698" s="16"/>
      <c r="Q698" s="16"/>
      <c r="R698" s="16"/>
      <c r="S698" s="16"/>
      <c r="T698" s="16"/>
      <c r="U698" s="16"/>
      <c r="V698" s="16"/>
      <c r="W698" s="16"/>
      <c r="X698" s="16"/>
      <c r="Y698" s="16"/>
      <c r="Z698" s="16"/>
    </row>
    <row r="699">
      <c r="A699" s="16" t="str">
        <f>IFERROR(__xludf.DUMMYFUNCTION("""COMPUTED_VALUE"""),"Plague Doctor's Boots")</f>
        <v>Plague Doctor's Boots</v>
      </c>
      <c r="B699" s="16" t="str">
        <f>IFERROR(__xludf.DUMMYFUNCTION("""COMPUTED_VALUE"""),"These boots have been designed for optimal movement through all kinds of hazards.")</f>
        <v>These boots have been designed for optimal movement through all kinds of hazards.</v>
      </c>
      <c r="C699" s="16"/>
      <c r="D699" s="16" t="str">
        <f>IFERROR(__xludf.DUMMYFUNCTION("""COMPUTED_VALUE"""),"Feet")</f>
        <v>Feet</v>
      </c>
      <c r="E699" s="16">
        <f>IFERROR(__xludf.DUMMYFUNCTION("""COMPUTED_VALUE"""),1.0)</f>
        <v>1</v>
      </c>
      <c r="F699" s="16" t="str">
        <f>IFERROR(__xludf.DUMMYFUNCTION("""COMPUTED_VALUE""")," ++Swamp Stompers: You take only half the effect of environmental hazards +-Cannot be Duplicated")</f>
        <v> ++Swamp Stompers: You take only half the effect of environmental hazards +-Cannot be Duplicated</v>
      </c>
      <c r="G699" s="16">
        <f>IFERROR(__xludf.DUMMYFUNCTION("""COMPUTED_VALUE"""),0.0)</f>
        <v>0</v>
      </c>
      <c r="H699" s="16"/>
      <c r="I699" s="16"/>
      <c r="J699" s="16"/>
      <c r="K699" s="16"/>
      <c r="L699" s="16"/>
      <c r="M699" s="16"/>
      <c r="N699" s="16"/>
      <c r="O699" s="16"/>
      <c r="P699" s="16"/>
      <c r="Q699" s="16"/>
      <c r="R699" s="16"/>
      <c r="S699" s="16"/>
      <c r="T699" s="16"/>
      <c r="U699" s="16"/>
      <c r="V699" s="16"/>
      <c r="W699" s="16"/>
      <c r="X699" s="16"/>
      <c r="Y699" s="16"/>
      <c r="Z699" s="16"/>
    </row>
    <row r="700">
      <c r="A700" s="16" t="str">
        <f>IFERROR(__xludf.DUMMYFUNCTION("""COMPUTED_VALUE"""),"Plague Doctor's Apron")</f>
        <v>Plague Doctor's Apron</v>
      </c>
      <c r="B700" s="16" t="str">
        <f>IFERROR(__xludf.DUMMYFUNCTION("""COMPUTED_VALUE"""),"The thick leather of this apron ensures that accidents with poison are minimalized.")</f>
        <v>The thick leather of this apron ensures that accidents with poison are minimalized.</v>
      </c>
      <c r="C700" s="16"/>
      <c r="D700" s="16" t="str">
        <f>IFERROR(__xludf.DUMMYFUNCTION("""COMPUTED_VALUE"""),"Torso")</f>
        <v>Torso</v>
      </c>
      <c r="E700" s="16">
        <f>IFERROR(__xludf.DUMMYFUNCTION("""COMPUTED_VALUE"""),1.0)</f>
        <v>1</v>
      </c>
      <c r="F700" s="16" t="str">
        <f>IFERROR(__xludf.DUMMYFUNCTION("""COMPUTED_VALUE""")," ++Spllatter Proof: Immune to poison +-Cannot be Duplicated")</f>
        <v> ++Spllatter Proof: Immune to poison +-Cannot be Duplicated</v>
      </c>
      <c r="G700" s="16">
        <f>IFERROR(__xludf.DUMMYFUNCTION("""COMPUTED_VALUE"""),0.0)</f>
        <v>0</v>
      </c>
      <c r="H700" s="16"/>
      <c r="I700" s="16"/>
      <c r="J700" s="16"/>
      <c r="K700" s="16"/>
      <c r="L700" s="16"/>
      <c r="M700" s="16"/>
      <c r="N700" s="16"/>
      <c r="O700" s="16"/>
      <c r="P700" s="16"/>
      <c r="Q700" s="16"/>
      <c r="R700" s="16"/>
      <c r="S700" s="16"/>
      <c r="T700" s="16"/>
      <c r="U700" s="16"/>
      <c r="V700" s="16"/>
      <c r="W700" s="16"/>
      <c r="X700" s="16"/>
      <c r="Y700" s="16"/>
      <c r="Z700" s="16"/>
    </row>
    <row r="701">
      <c r="A701" s="16" t="str">
        <f>IFERROR(__xludf.DUMMYFUNCTION("""COMPUTED_VALUE"""),"Poisonous Hand Crossbow")</f>
        <v>Poisonous Hand Crossbow</v>
      </c>
      <c r="B701" s="16" t="str">
        <f>IFERROR(__xludf.DUMMYFUNCTION("""COMPUTED_VALUE"""),"""Because sometimes the only viable tactic, is a dirty one"" ~Gwennivir")</f>
        <v>"Because sometimes the only viable tactic, is a dirty one" ~Gwennivir</v>
      </c>
      <c r="C701" s="16" t="str">
        <f>IFERROR(__xludf.DUMMYFUNCTION("""COMPUTED_VALUE"""),"Bow")</f>
        <v>Bow</v>
      </c>
      <c r="D701" s="16" t="str">
        <f>IFERROR(__xludf.DUMMYFUNCTION("""COMPUTED_VALUE"""),"Hand")</f>
        <v>Hand</v>
      </c>
      <c r="E701" s="16">
        <f>IFERROR(__xludf.DUMMYFUNCTION("""COMPUTED_VALUE"""),1000.0)</f>
        <v>1000</v>
      </c>
      <c r="F701" s="16" t="str">
        <f>IFERROR(__xludf.DUMMYFUNCTION("""COMPUTED_VALUE"""),"DMG: +50000 ++Poisoned I: Hitting an enemy with this weapon inflicts 500 poison")</f>
        <v>DMG: +50000 ++Poisoned I: Hitting an enemy with this weapon inflicts 500 poison</v>
      </c>
      <c r="G701" s="16">
        <f>IFERROR(__xludf.DUMMYFUNCTION("""COMPUTED_VALUE"""),4.95E7)</f>
        <v>49500000</v>
      </c>
      <c r="H701" s="16"/>
      <c r="I701" s="16"/>
      <c r="J701" s="16"/>
      <c r="K701" s="16"/>
      <c r="L701" s="16"/>
      <c r="M701" s="16"/>
      <c r="N701" s="16"/>
      <c r="O701" s="16"/>
      <c r="P701" s="16"/>
      <c r="Q701" s="16"/>
      <c r="R701" s="16"/>
      <c r="S701" s="16"/>
      <c r="T701" s="16"/>
      <c r="U701" s="16"/>
      <c r="V701" s="16"/>
      <c r="W701" s="16"/>
      <c r="X701" s="16"/>
      <c r="Y701" s="16"/>
      <c r="Z701" s="16"/>
    </row>
    <row r="702">
      <c r="A702" s="16" t="str">
        <f>IFERROR(__xludf.DUMMYFUNCTION("""COMPUTED_VALUE"""),"Poison Tipped Knife")</f>
        <v>Poison Tipped Knife</v>
      </c>
      <c r="B702" s="16" t="str">
        <f>IFERROR(__xludf.DUMMYFUNCTION("""COMPUTED_VALUE"""),"""It isn't the most graceful end, and it isn't quick by any means... What, you thought I'd defend it?"" ~Gwennivir")</f>
        <v>"It isn't the most graceful end, and it isn't quick by any means... What, you thought I'd defend it?" ~Gwennivir</v>
      </c>
      <c r="C702" s="16" t="str">
        <f>IFERROR(__xludf.DUMMYFUNCTION("""COMPUTED_VALUE"""),"Knife")</f>
        <v>Knife</v>
      </c>
      <c r="D702" s="16" t="str">
        <f>IFERROR(__xludf.DUMMYFUNCTION("""COMPUTED_VALUE"""),"Hand")</f>
        <v>Hand</v>
      </c>
      <c r="E702" s="16">
        <f>IFERROR(__xludf.DUMMYFUNCTION("""COMPUTED_VALUE"""),1000.0)</f>
        <v>1000</v>
      </c>
      <c r="F702" s="16" t="str">
        <f>IFERROR(__xludf.DUMMYFUNCTION("""COMPUTED_VALUE"""),"DMG: +50000 ++Poisoned I: Hitting an enemy with this weapon inflicts 500 poison")</f>
        <v>DMG: +50000 ++Poisoned I: Hitting an enemy with this weapon inflicts 500 poison</v>
      </c>
      <c r="G702" s="16">
        <f>IFERROR(__xludf.DUMMYFUNCTION("""COMPUTED_VALUE"""),4.95E7)</f>
        <v>49500000</v>
      </c>
      <c r="H702" s="16"/>
      <c r="I702" s="16"/>
      <c r="J702" s="16"/>
      <c r="K702" s="16"/>
      <c r="L702" s="16"/>
      <c r="M702" s="16"/>
      <c r="N702" s="16"/>
      <c r="O702" s="16"/>
      <c r="P702" s="16"/>
      <c r="Q702" s="16"/>
      <c r="R702" s="16"/>
      <c r="S702" s="16"/>
      <c r="T702" s="16"/>
      <c r="U702" s="16"/>
      <c r="V702" s="16"/>
      <c r="W702" s="16"/>
      <c r="X702" s="16"/>
      <c r="Y702" s="16"/>
      <c r="Z702" s="16"/>
    </row>
    <row r="703">
      <c r="A703" s="16" t="str">
        <f>IFERROR(__xludf.DUMMYFUNCTION("""COMPUTED_VALUE"""),"Frozen Head-Splitter")</f>
        <v>Frozen Head-Splitter</v>
      </c>
      <c r="B703" s="16" t="str">
        <f>IFERROR(__xludf.DUMMYFUNCTION("""COMPUTED_VALUE"""),"""Those trolls in the northern territories, who do you think taught them how to use those clubs they always carry around? It's as if they simply learned it overnight one day."" ~Mysterious Merchant")</f>
        <v>"Those trolls in the northern territories, who do you think taught them how to use those clubs they always carry around? It's as if they simply learned it overnight one day." ~Mysterious Merchant</v>
      </c>
      <c r="C703" s="16" t="str">
        <f>IFERROR(__xludf.DUMMYFUNCTION("""COMPUTED_VALUE"""),"Club")</f>
        <v>Club</v>
      </c>
      <c r="D703" s="16" t="str">
        <f>IFERROR(__xludf.DUMMYFUNCTION("""COMPUTED_VALUE"""),"Hand")</f>
        <v>Hand</v>
      </c>
      <c r="E703" s="16">
        <f>IFERROR(__xludf.DUMMYFUNCTION("""COMPUTED_VALUE"""),1200.0)</f>
        <v>1200</v>
      </c>
      <c r="F703" s="16" t="str">
        <f>IFERROR(__xludf.DUMMYFUNCTION("""COMPUTED_VALUE"""),"DMG: +50000, Storm DMG: +10000 ++Big Bashin' Stick - 25% chance to stun an enemy upon hitting them for 2 rounds(percent stacks with weapon ability), ++Big Freezin' Stick - 15% chance to freeze an enemy upon hitting them")</f>
        <v>DMG: +50000, Storm DMG: +10000 ++Big Bashin' Stick - 25% chance to stun an enemy upon hitting them for 2 rounds(percent stacks with weapon ability), ++Big Freezin' Stick - 15% chance to freeze an enemy upon hitting them</v>
      </c>
      <c r="G703" s="16">
        <f>IFERROR(__xludf.DUMMYFUNCTION("""COMPUTED_VALUE"""),7.14E7)</f>
        <v>71400000</v>
      </c>
      <c r="H703" s="16"/>
      <c r="I703" s="16"/>
      <c r="J703" s="16"/>
      <c r="K703" s="16"/>
      <c r="L703" s="16"/>
      <c r="M703" s="16"/>
      <c r="N703" s="16"/>
      <c r="O703" s="16"/>
      <c r="P703" s="16"/>
      <c r="Q703" s="16"/>
      <c r="R703" s="16"/>
      <c r="S703" s="16"/>
      <c r="T703" s="16"/>
      <c r="U703" s="16"/>
      <c r="V703" s="16"/>
      <c r="W703" s="16"/>
      <c r="X703" s="16"/>
      <c r="Y703" s="16"/>
      <c r="Z703" s="16"/>
    </row>
    <row r="704">
      <c r="A704" s="16" t="str">
        <f>IFERROR(__xludf.DUMMYFUNCTION("""COMPUTED_VALUE"""),"Fireball Cannon")</f>
        <v>Fireball Cannon</v>
      </c>
      <c r="B704" s="16" t="str">
        <f>IFERROR(__xludf.DUMMYFUNCTION("""COMPUTED_VALUE"""),"""Sometimes fire is the only answer to the question,"" ~Gwennivir")</f>
        <v>"Sometimes fire is the only answer to the question," ~Gwennivir</v>
      </c>
      <c r="C704" s="16" t="str">
        <f>IFERROR(__xludf.DUMMYFUNCTION("""COMPUTED_VALUE"""),"Firearm")</f>
        <v>Firearm</v>
      </c>
      <c r="D704" s="16" t="str">
        <f>IFERROR(__xludf.DUMMYFUNCTION("""COMPUTED_VALUE"""),"BoatGun")</f>
        <v>BoatGun</v>
      </c>
      <c r="E704" s="16">
        <f>IFERROR(__xludf.DUMMYFUNCTION("""COMPUTED_VALUE"""),1000.0)</f>
        <v>1000</v>
      </c>
      <c r="F704" s="16" t="str">
        <f>IFERROR(__xludf.DUMMYFUNCTION("""COMPUTED_VALUE"""),"DMG: +30000, Fire DMG: +20000 ++Burn 10,000. ++Requires Fire Cannon Balls")</f>
        <v>DMG: +30000, Fire DMG: +20000 ++Burn 10,000. ++Requires Fire Cannon Balls</v>
      </c>
      <c r="G704" s="16">
        <f>IFERROR(__xludf.DUMMYFUNCTION("""COMPUTED_VALUE"""),4.95E7)</f>
        <v>49500000</v>
      </c>
      <c r="H704" s="16"/>
      <c r="I704" s="16"/>
      <c r="J704" s="16"/>
      <c r="K704" s="16"/>
      <c r="L704" s="16"/>
      <c r="M704" s="16"/>
      <c r="N704" s="16"/>
      <c r="O704" s="16"/>
      <c r="P704" s="16"/>
      <c r="Q704" s="16"/>
      <c r="R704" s="16"/>
      <c r="S704" s="16"/>
      <c r="T704" s="16"/>
      <c r="U704" s="16"/>
      <c r="V704" s="16"/>
      <c r="W704" s="16"/>
      <c r="X704" s="16"/>
      <c r="Y704" s="16"/>
      <c r="Z704" s="16"/>
    </row>
    <row r="705">
      <c r="A705" s="16" t="str">
        <f>IFERROR(__xludf.DUMMYFUNCTION("""COMPUTED_VALUE"""),"Harpoon Gun")</f>
        <v>Harpoon Gun</v>
      </c>
      <c r="B705" s="16" t="str">
        <f>IFERROR(__xludf.DUMMYFUNCTION("""COMPUTED_VALUE"""),"""You could use this for whaling and shark hunting, or you could use it to catch a few pirates, I don't judge,"" ~Gwennivir")</f>
        <v>"You could use this for whaling and shark hunting, or you could use it to catch a few pirates, I don't judge," ~Gwennivir</v>
      </c>
      <c r="C705" s="16" t="str">
        <f>IFERROR(__xludf.DUMMYFUNCTION("""COMPUTED_VALUE"""),"Spear")</f>
        <v>Spear</v>
      </c>
      <c r="D705" s="16" t="str">
        <f>IFERROR(__xludf.DUMMYFUNCTION("""COMPUTED_VALUE"""),"BoatGun")</f>
        <v>BoatGun</v>
      </c>
      <c r="E705" s="16">
        <f>IFERROR(__xludf.DUMMYFUNCTION("""COMPUTED_VALUE"""),400.0)</f>
        <v>400</v>
      </c>
      <c r="F705" s="16" t="str">
        <f>IFERROR(__xludf.DUMMYFUNCTION("""COMPUTED_VALUE"""),"DMG: +10000, Blood DMG: +10000 ++Bleed 10,000. ")</f>
        <v>DMG: +10000, Blood DMG: +10000 ++Bleed 10,000. </v>
      </c>
      <c r="G705" s="16">
        <f>IFERROR(__xludf.DUMMYFUNCTION("""COMPUTED_VALUE"""),7800000.0)</f>
        <v>7800000</v>
      </c>
      <c r="H705" s="16"/>
      <c r="I705" s="16"/>
      <c r="J705" s="16"/>
      <c r="K705" s="16"/>
      <c r="L705" s="16"/>
      <c r="M705" s="16"/>
      <c r="N705" s="16"/>
      <c r="O705" s="16"/>
      <c r="P705" s="16"/>
      <c r="Q705" s="16"/>
      <c r="R705" s="16"/>
      <c r="S705" s="16"/>
      <c r="T705" s="16"/>
      <c r="U705" s="16"/>
      <c r="V705" s="16"/>
      <c r="W705" s="16"/>
      <c r="X705" s="16"/>
      <c r="Y705" s="16"/>
      <c r="Z705" s="16"/>
    </row>
    <row r="706">
      <c r="A706" s="16" t="str">
        <f>IFERROR(__xludf.DUMMYFUNCTION("""COMPUTED_VALUE"""),"Torpedo Launcher")</f>
        <v>Torpedo Launcher</v>
      </c>
      <c r="B706" s="16" t="str">
        <f>IFERROR(__xludf.DUMMYFUNCTION("""COMPUTED_VALUE"""),"""Sometimes you need a little more bang for your buck, in those times you need a torpedo,"" ~Gwennivir")</f>
        <v>"Sometimes you need a little more bang for your buck, in those times you need a torpedo," ~Gwennivir</v>
      </c>
      <c r="C706" s="16" t="str">
        <f>IFERROR(__xludf.DUMMYFUNCTION("""COMPUTED_VALUE"""),"Firearm")</f>
        <v>Firearm</v>
      </c>
      <c r="D706" s="16" t="str">
        <f>IFERROR(__xludf.DUMMYFUNCTION("""COMPUTED_VALUE"""),"BoatGun")</f>
        <v>BoatGun</v>
      </c>
      <c r="E706" s="16">
        <f>IFERROR(__xludf.DUMMYFUNCTION("""COMPUTED_VALUE"""),1000.0)</f>
        <v>1000</v>
      </c>
      <c r="F706" s="16" t="str">
        <f>IFERROR(__xludf.DUMMYFUNCTION("""COMPUTED_VALUE"""),"DMG: +50000 ++ Requires Torpedos")</f>
        <v>DMG: +50000 ++ Requires Torpedos</v>
      </c>
      <c r="G706" s="16">
        <f>IFERROR(__xludf.DUMMYFUNCTION("""COMPUTED_VALUE"""),4.95E7)</f>
        <v>49500000</v>
      </c>
      <c r="H706" s="16"/>
      <c r="I706" s="16"/>
      <c r="J706" s="16"/>
      <c r="K706" s="16"/>
      <c r="L706" s="16"/>
      <c r="M706" s="16"/>
      <c r="N706" s="16"/>
      <c r="O706" s="16"/>
      <c r="P706" s="16"/>
      <c r="Q706" s="16"/>
      <c r="R706" s="16"/>
      <c r="S706" s="16"/>
      <c r="T706" s="16"/>
      <c r="U706" s="16"/>
      <c r="V706" s="16"/>
      <c r="W706" s="16"/>
      <c r="X706" s="16"/>
      <c r="Y706" s="16"/>
      <c r="Z706" s="16"/>
    </row>
    <row r="707">
      <c r="A707" s="16" t="str">
        <f>IFERROR(__xludf.DUMMYFUNCTION("""COMPUTED_VALUE"""),"Double Barrel Shotgun")</f>
        <v>Double Barrel Shotgun</v>
      </c>
      <c r="B707" s="16" t="str">
        <f>IFERROR(__xludf.DUMMYFUNCTION("""COMPUTED_VALUE"""),"""Because what's better than one barrel? Two,"" ~Gwennivir")</f>
        <v>"Because what's better than one barrel? Two," ~Gwennivir</v>
      </c>
      <c r="C707" s="16" t="str">
        <f>IFERROR(__xludf.DUMMYFUNCTION("""COMPUTED_VALUE"""),"Firearm")</f>
        <v>Firearm</v>
      </c>
      <c r="D707" s="16" t="str">
        <f>IFERROR(__xludf.DUMMYFUNCTION("""COMPUTED_VALUE"""),"Hand")</f>
        <v>Hand</v>
      </c>
      <c r="E707" s="16">
        <f>IFERROR(__xludf.DUMMYFUNCTION("""COMPUTED_VALUE"""),800.0)</f>
        <v>800</v>
      </c>
      <c r="F707" s="16" t="str">
        <f>IFERROR(__xludf.DUMMYFUNCTION("""COMPUTED_VALUE"""),"DMG: +20000, Blood DMG: +20000 ++You can use this Firearm twice on your turn during battle if you attack with it +-Cannot be forged +-Cannot be duplicated")</f>
        <v>DMG: +20000, Blood DMG: +20000 ++You can use this Firearm twice on your turn during battle if you attack with it +-Cannot be forged +-Cannot be duplicated</v>
      </c>
      <c r="G707" s="16">
        <f>IFERROR(__xludf.DUMMYFUNCTION("""COMPUTED_VALUE"""),3.16E7)</f>
        <v>31600000</v>
      </c>
      <c r="H707" s="16"/>
      <c r="I707" s="16"/>
      <c r="J707" s="16"/>
      <c r="K707" s="16"/>
      <c r="L707" s="16"/>
      <c r="M707" s="16"/>
      <c r="N707" s="16"/>
      <c r="O707" s="16"/>
      <c r="P707" s="16"/>
      <c r="Q707" s="16"/>
      <c r="R707" s="16"/>
      <c r="S707" s="16"/>
      <c r="T707" s="16"/>
      <c r="U707" s="16"/>
      <c r="V707" s="16"/>
      <c r="W707" s="16"/>
      <c r="X707" s="16"/>
      <c r="Y707" s="16"/>
      <c r="Z707" s="16"/>
    </row>
    <row r="708">
      <c r="A708" s="16" t="str">
        <f>IFERROR(__xludf.DUMMYFUNCTION("""COMPUTED_VALUE"""),"Single Barrel Shotgun")</f>
        <v>Single Barrel Shotgun</v>
      </c>
      <c r="B708" s="16" t="str">
        <f>IFERROR(__xludf.DUMMYFUNCTION("""COMPUTED_VALUE"""),"""For when you want to put more than one hole in your enemies at a time"" ~Gwennivir")</f>
        <v>"For when you want to put more than one hole in your enemies at a time" ~Gwennivir</v>
      </c>
      <c r="C708" s="16" t="str">
        <f>IFERROR(__xludf.DUMMYFUNCTION("""COMPUTED_VALUE"""),"Firearm")</f>
        <v>Firearm</v>
      </c>
      <c r="D708" s="16" t="str">
        <f>IFERROR(__xludf.DUMMYFUNCTION("""COMPUTED_VALUE"""),"Hand")</f>
        <v>Hand</v>
      </c>
      <c r="E708" s="16">
        <f>IFERROR(__xludf.DUMMYFUNCTION("""COMPUTED_VALUE"""),400.0)</f>
        <v>400</v>
      </c>
      <c r="F708" s="16" t="str">
        <f>IFERROR(__xludf.DUMMYFUNCTION("""COMPUTED_VALUE"""),"DMG: +10000, Blood DMG: +10000")</f>
        <v>DMG: +10000, Blood DMG: +10000</v>
      </c>
      <c r="G708" s="16">
        <f>IFERROR(__xludf.DUMMYFUNCTION("""COMPUTED_VALUE"""),7800000.0)</f>
        <v>7800000</v>
      </c>
      <c r="H708" s="16"/>
      <c r="I708" s="16"/>
      <c r="J708" s="16"/>
      <c r="K708" s="16"/>
      <c r="L708" s="16"/>
      <c r="M708" s="16"/>
      <c r="N708" s="16"/>
      <c r="O708" s="16"/>
      <c r="P708" s="16"/>
      <c r="Q708" s="16"/>
      <c r="R708" s="16"/>
      <c r="S708" s="16"/>
      <c r="T708" s="16"/>
      <c r="U708" s="16"/>
      <c r="V708" s="16"/>
      <c r="W708" s="16"/>
      <c r="X708" s="16"/>
      <c r="Y708" s="16"/>
      <c r="Z708" s="16"/>
    </row>
    <row r="709">
      <c r="A709" s="16" t="str">
        <f>IFERROR(__xludf.DUMMYFUNCTION("""COMPUTED_VALUE"""),"Poison Staff")</f>
        <v>Poison Staff</v>
      </c>
      <c r="B709" s="16" t="str">
        <f>IFERROR(__xludf.DUMMYFUNCTION("""COMPUTED_VALUE"""),"""Poison is generally looked down upon as a cowardly tactic by all but the poison master, but you must admit to it's efficieny"" ~Poison Master Hun")</f>
        <v>"Poison is generally looked down upon as a cowardly tactic by all but the poison master, but you must admit to it's efficieny" ~Poison Master Hun</v>
      </c>
      <c r="C709" s="16" t="str">
        <f>IFERROR(__xludf.DUMMYFUNCTION("""COMPUTED_VALUE"""),"Staff")</f>
        <v>Staff</v>
      </c>
      <c r="D709" s="16" t="str">
        <f>IFERROR(__xludf.DUMMYFUNCTION("""COMPUTED_VALUE"""),"Hand")</f>
        <v>Hand</v>
      </c>
      <c r="E709" s="16">
        <f>IFERROR(__xludf.DUMMYFUNCTION("""COMPUTED_VALUE"""),2000.0)</f>
        <v>2000</v>
      </c>
      <c r="F709" s="16" t="str">
        <f>IFERROR(__xludf.DUMMYFUNCTION("""COMPUTED_VALUE"""),", Nature DMG: +100000 ++ Poison 20,000")</f>
        <v>, Nature DMG: +100000 ++ Poison 20,000</v>
      </c>
      <c r="G709" s="16">
        <f>IFERROR(__xludf.DUMMYFUNCTION("""COMPUTED_VALUE"""),1.99E8)</f>
        <v>199000000</v>
      </c>
      <c r="H709" s="16"/>
      <c r="I709" s="16"/>
      <c r="J709" s="16"/>
      <c r="K709" s="16"/>
      <c r="L709" s="16"/>
      <c r="M709" s="16"/>
      <c r="N709" s="16"/>
      <c r="O709" s="16"/>
      <c r="P709" s="16"/>
      <c r="Q709" s="16"/>
      <c r="R709" s="16"/>
      <c r="S709" s="16"/>
      <c r="T709" s="16"/>
      <c r="U709" s="16"/>
      <c r="V709" s="16"/>
      <c r="W709" s="16"/>
      <c r="X709" s="16"/>
      <c r="Y709" s="16"/>
      <c r="Z709" s="16"/>
    </row>
    <row r="710">
      <c r="A710" s="16" t="str">
        <f>IFERROR(__xludf.DUMMYFUNCTION("""COMPUTED_VALUE"""),"Chameldrians Staff of Thriving Blossoms")</f>
        <v>Chameldrians Staff of Thriving Blossoms</v>
      </c>
      <c r="B710" s="16" t="str">
        <f>IFERROR(__xludf.DUMMYFUNCTION("""COMPUTED_VALUE"""),"""Truly a beatiful show of Chameldrian craftsmanship, too bad it's more often than not going to be pointed at you"" ~Poison Master Hun")</f>
        <v>"Truly a beatiful show of Chameldrian craftsmanship, too bad it's more often than not going to be pointed at you" ~Poison Master Hun</v>
      </c>
      <c r="C710" s="16" t="str">
        <f>IFERROR(__xludf.DUMMYFUNCTION("""COMPUTED_VALUE"""),"Staff")</f>
        <v>Staff</v>
      </c>
      <c r="D710" s="16" t="str">
        <f>IFERROR(__xludf.DUMMYFUNCTION("""COMPUTED_VALUE"""),"Hand")</f>
        <v>Hand</v>
      </c>
      <c r="E710" s="16">
        <f>IFERROR(__xludf.DUMMYFUNCTION("""COMPUTED_VALUE"""),2000.0)</f>
        <v>2000</v>
      </c>
      <c r="F710" s="16" t="str">
        <f>IFERROR(__xludf.DUMMYFUNCTION("""COMPUTED_VALUE"""),", Nature : +100000 ++Natures Shield - If you take damage that would kill you, you will live at 1hp once per battle. +-Cannot be forged. +-Cannot be duplicated.")</f>
        <v>, Nature : +100000 ++Natures Shield - If you take damage that would kill you, you will live at 1hp once per battle. +-Cannot be forged. +-Cannot be duplicated.</v>
      </c>
      <c r="G710" s="16">
        <f>IFERROR(__xludf.DUMMYFUNCTION("""COMPUTED_VALUE"""),1.99E8)</f>
        <v>199000000</v>
      </c>
      <c r="H710" s="16"/>
      <c r="I710" s="16"/>
      <c r="J710" s="16"/>
      <c r="K710" s="16"/>
      <c r="L710" s="16"/>
      <c r="M710" s="16"/>
      <c r="N710" s="16"/>
      <c r="O710" s="16"/>
      <c r="P710" s="16"/>
      <c r="Q710" s="16"/>
      <c r="R710" s="16"/>
      <c r="S710" s="16"/>
      <c r="T710" s="16"/>
      <c r="U710" s="16"/>
      <c r="V710" s="16"/>
      <c r="W710" s="16"/>
      <c r="X710" s="16"/>
      <c r="Y710" s="16"/>
      <c r="Z710" s="16"/>
    </row>
    <row r="711">
      <c r="A711" s="16" t="str">
        <f>IFERROR(__xludf.DUMMYFUNCTION("""COMPUTED_VALUE"""),"Cooper's Memento")</f>
        <v>Cooper's Memento</v>
      </c>
      <c r="B711" s="16" t="str">
        <f>IFERROR(__xludf.DUMMYFUNCTION("""COMPUTED_VALUE"""),"A small stopwatch, the ticking has stopped.")</f>
        <v>A small stopwatch, the ticking has stopped.</v>
      </c>
      <c r="C711" s="16" t="str">
        <f>IFERROR(__xludf.DUMMYFUNCTION("""COMPUTED_VALUE"""),"Item")</f>
        <v>Item</v>
      </c>
      <c r="D711" s="16" t="str">
        <f>IFERROR(__xludf.DUMMYFUNCTION("""COMPUTED_VALUE"""),"Arms")</f>
        <v>Arms</v>
      </c>
      <c r="E711" s="16">
        <f>IFERROR(__xludf.DUMMYFUNCTION("""COMPUTED_VALUE"""),1.0)</f>
        <v>1</v>
      </c>
      <c r="F711" s="16" t="str">
        <f>IFERROR(__xludf.DUMMYFUNCTION("""COMPUTED_VALUE""")," ++15% chance to be unaffected by a curse")</f>
        <v> ++15% chance to be unaffected by a curse</v>
      </c>
      <c r="G711" s="16">
        <f>IFERROR(__xludf.DUMMYFUNCTION("""COMPUTED_VALUE"""),0.0)</f>
        <v>0</v>
      </c>
      <c r="H711" s="16"/>
      <c r="I711" s="16"/>
      <c r="J711" s="16"/>
      <c r="K711" s="16"/>
      <c r="L711" s="16"/>
      <c r="M711" s="16"/>
      <c r="N711" s="16"/>
      <c r="O711" s="16"/>
      <c r="P711" s="16"/>
      <c r="Q711" s="16"/>
      <c r="R711" s="16"/>
      <c r="S711" s="16"/>
      <c r="T711" s="16"/>
      <c r="U711" s="16"/>
      <c r="V711" s="16"/>
      <c r="W711" s="16"/>
      <c r="X711" s="16"/>
      <c r="Y711" s="16"/>
      <c r="Z711" s="16"/>
    </row>
    <row r="712">
      <c r="A712" s="16" t="str">
        <f>IFERROR(__xludf.DUMMYFUNCTION("""COMPUTED_VALUE"""),"Gaian Champion's Shield")</f>
        <v>Gaian Champion's Shield</v>
      </c>
      <c r="B712" s="16" t="str">
        <f>IFERROR(__xludf.DUMMYFUNCTION("""COMPUTED_VALUE"""),"""We are born to be the shield of the people, too many paladins forget this simple fact"" ~Grisaia")</f>
        <v>"We are born to be the shield of the people, too many paladins forget this simple fact" ~Grisaia</v>
      </c>
      <c r="C712" s="16" t="str">
        <f>IFERROR(__xludf.DUMMYFUNCTION("""COMPUTED_VALUE"""),"Towershield")</f>
        <v>Towershield</v>
      </c>
      <c r="D712" s="16" t="str">
        <f>IFERROR(__xludf.DUMMYFUNCTION("""COMPUTED_VALUE"""),"Hand")</f>
        <v>Hand</v>
      </c>
      <c r="E712" s="16">
        <f>IFERROR(__xludf.DUMMYFUNCTION("""COMPUTED_VALUE"""),200.0)</f>
        <v>200</v>
      </c>
      <c r="F712" s="16" t="str">
        <f>IFERROR(__xludf.DUMMYFUNCTION("""COMPUTED_VALUE"""),"DEF: +50000, Fire DEF: +50000, Storm DEF: +50000, Earth DEF: +50000, Celestial DEF: +50000 ++15% chance to prevent an ally from taking damage when hit by an attack. ++X6 Earth Damage +-Cannot be Duplicated")</f>
        <v>DEF: +50000, Fire DEF: +50000, Storm DEF: +50000, Earth DEF: +50000, Celestial DEF: +50000 ++15% chance to prevent an ally from taking damage when hit by an attack. ++X6 Earth Damage +-Cannot be Duplicated</v>
      </c>
      <c r="G712" s="16">
        <f>IFERROR(__xludf.DUMMYFUNCTION("""COMPUTED_VALUE"""),1.2475E9)</f>
        <v>1247500000</v>
      </c>
      <c r="H712" s="16"/>
      <c r="I712" s="16"/>
      <c r="J712" s="16"/>
      <c r="K712" s="16"/>
      <c r="L712" s="16"/>
      <c r="M712" s="16"/>
      <c r="N712" s="16"/>
      <c r="O712" s="16"/>
      <c r="P712" s="16"/>
      <c r="Q712" s="16"/>
      <c r="R712" s="16"/>
      <c r="S712" s="16"/>
      <c r="T712" s="16"/>
      <c r="U712" s="16"/>
      <c r="V712" s="16"/>
      <c r="W712" s="16"/>
      <c r="X712" s="16"/>
      <c r="Y712" s="16"/>
      <c r="Z712" s="16"/>
    </row>
    <row r="713">
      <c r="A713" s="16" t="str">
        <f>IFERROR(__xludf.DUMMYFUNCTION("""COMPUTED_VALUE"""),"The Billowing Bludgeon")</f>
        <v>The Billowing Bludgeon</v>
      </c>
      <c r="B713" s="16" t="str">
        <f>IFERROR(__xludf.DUMMYFUNCTION("""COMPUTED_VALUE"""),"""Sure, you could use this as how a staff is supposed to be used, but hitting your enemy on the head with it is more fun"" ~Fire Tiki Mountain Shaman")</f>
        <v>"Sure, you could use this as how a staff is supposed to be used, but hitting your enemy on the head with it is more fun" ~Fire Tiki Mountain Shaman</v>
      </c>
      <c r="C713" s="16" t="str">
        <f>IFERROR(__xludf.DUMMYFUNCTION("""COMPUTED_VALUE"""),"Staff")</f>
        <v>Staff</v>
      </c>
      <c r="D713" s="16" t="str">
        <f>IFERROR(__xludf.DUMMYFUNCTION("""COMPUTED_VALUE"""),"Hand")</f>
        <v>Hand</v>
      </c>
      <c r="E713" s="16">
        <f>IFERROR(__xludf.DUMMYFUNCTION("""COMPUTED_VALUE"""),200.0)</f>
        <v>200</v>
      </c>
      <c r="F713" s="16" t="str">
        <f>IFERROR(__xludf.DUMMYFUNCTION("""COMPUTED_VALUE"""),"DMG: +75000, Fire DMG: +75000, Earth DMG: +75000, Celestial DMG: +75000 ++X6 Earth and Fire damage. ++Additional X6 Earth and Fire damage if the enemy is Vulerable to either damage type. ++Billowing Smoke - Cover the field in smoke and flames giving enemi"&amp;"es Blindness 3 and Burn 5000 for 3 rounds. 1000 sp")</f>
        <v>DMG: +75000, Fire DMG: +75000, Earth DMG: +75000, Celestial DMG: +75000 ++X6 Earth and Fire damage. ++Additional X6 Earth and Fire damage if the enemy is Vulerable to either damage type. ++Billowing Smoke - Cover the field in smoke and flames giving enemies Blindness 3 and Burn 5000 for 3 rounds. 1000 sp</v>
      </c>
      <c r="G713" s="16">
        <f>IFERROR(__xludf.DUMMYFUNCTION("""COMPUTED_VALUE"""),1.797E9)</f>
        <v>1797000000</v>
      </c>
      <c r="H713" s="16"/>
      <c r="I713" s="16"/>
      <c r="J713" s="16"/>
      <c r="K713" s="16"/>
      <c r="L713" s="16"/>
      <c r="M713" s="16"/>
      <c r="N713" s="16"/>
      <c r="O713" s="16"/>
      <c r="P713" s="16"/>
      <c r="Q713" s="16"/>
      <c r="R713" s="16"/>
      <c r="S713" s="16"/>
      <c r="T713" s="16"/>
      <c r="U713" s="16"/>
      <c r="V713" s="16"/>
      <c r="W713" s="16"/>
      <c r="X713" s="16"/>
      <c r="Y713" s="16"/>
      <c r="Z713" s="16"/>
    </row>
    <row r="714">
      <c r="A714" s="16" t="str">
        <f>IFERROR(__xludf.DUMMYFUNCTION("""COMPUTED_VALUE"""),"Home Run Bat")</f>
        <v>Home Run Bat</v>
      </c>
      <c r="B714" s="16"/>
      <c r="C714" s="16" t="str">
        <f>IFERROR(__xludf.DUMMYFUNCTION("""COMPUTED_VALUE"""),"Club")</f>
        <v>Club</v>
      </c>
      <c r="D714" s="16" t="str">
        <f>IFERROR(__xludf.DUMMYFUNCTION("""COMPUTED_VALUE"""),"Hand")</f>
        <v>Hand</v>
      </c>
      <c r="E714" s="16">
        <f>IFERROR(__xludf.DUMMYFUNCTION("""COMPUTED_VALUE"""),200.0)</f>
        <v>200</v>
      </c>
      <c r="F714" s="16" t="str">
        <f>IFERROR(__xludf.DUMMYFUNCTION("""COMPUTED_VALUE"""),"DMG: +100000, Celestial DMG: +100000 ++Batter Up! - Plus 2 to turn order roll. ++Home Run - If you roll a 20 or higher while attacking with this weapon the attack roll becomes double. +-Cannot be forged. +-Cannot be duplicated.")</f>
        <v>DMG: +100000, Celestial DMG: +100000 ++Batter Up! - Plus 2 to turn order roll. ++Home Run - If you roll a 20 or higher while attacking with this weapon the attack roll becomes double. +-Cannot be forged. +-Cannot be duplicated.</v>
      </c>
      <c r="G714" s="16">
        <f>IFERROR(__xludf.DUMMYFUNCTION("""COMPUTED_VALUE"""),7.98E8)</f>
        <v>798000000</v>
      </c>
      <c r="H714" s="16"/>
      <c r="I714" s="16"/>
      <c r="J714" s="16"/>
      <c r="K714" s="16"/>
      <c r="L714" s="16"/>
      <c r="M714" s="16"/>
      <c r="N714" s="16"/>
      <c r="O714" s="16"/>
      <c r="P714" s="16"/>
      <c r="Q714" s="16"/>
      <c r="R714" s="16"/>
      <c r="S714" s="16"/>
      <c r="T714" s="16"/>
      <c r="U714" s="16"/>
      <c r="V714" s="16"/>
      <c r="W714" s="16"/>
      <c r="X714" s="16"/>
      <c r="Y714" s="16"/>
      <c r="Z714" s="16"/>
    </row>
    <row r="715">
      <c r="A715" s="16" t="str">
        <f>IFERROR(__xludf.DUMMYFUNCTION("""COMPUTED_VALUE"""),"Lunar New Year Dragon Head")</f>
        <v>Lunar New Year Dragon Head</v>
      </c>
      <c r="B715" s="16"/>
      <c r="C715" s="16" t="str">
        <f>IFERROR(__xludf.DUMMYFUNCTION("""COMPUTED_VALUE"""),"Item")</f>
        <v>Item</v>
      </c>
      <c r="D715" s="16" t="str">
        <f>IFERROR(__xludf.DUMMYFUNCTION("""COMPUTED_VALUE"""),"Head")</f>
        <v>Head</v>
      </c>
      <c r="E715" s="16">
        <f>IFERROR(__xludf.DUMMYFUNCTION("""COMPUTED_VALUE"""),200.0)</f>
        <v>200</v>
      </c>
      <c r="F715" s="16" t="str">
        <f>IFERROR(__xludf.DUMMYFUNCTION("""COMPUTED_VALUE"""),"DEF: +25000, Fire DEF: +25000, Celestial DEF: +25000 ++Gain ""Greater Dragon's Breath"" Power. ++X2 additional Fire Damage.")</f>
        <v>DEF: +25000, Fire DEF: +25000, Celestial DEF: +25000 ++Gain "Greater Dragon's Breath" Power. ++X2 additional Fire Damage.</v>
      </c>
      <c r="G715" s="16">
        <f>IFERROR(__xludf.DUMMYFUNCTION("""COMPUTED_VALUE"""),1.1175E8)</f>
        <v>111750000</v>
      </c>
      <c r="H715" s="16"/>
      <c r="I715" s="16"/>
      <c r="J715" s="16"/>
      <c r="K715" s="16"/>
      <c r="L715" s="16"/>
      <c r="M715" s="16"/>
      <c r="N715" s="16"/>
      <c r="O715" s="16"/>
      <c r="P715" s="16"/>
      <c r="Q715" s="16"/>
      <c r="R715" s="16"/>
      <c r="S715" s="16"/>
      <c r="T715" s="16"/>
      <c r="U715" s="16"/>
      <c r="V715" s="16"/>
      <c r="W715" s="16"/>
      <c r="X715" s="16"/>
      <c r="Y715" s="16"/>
      <c r="Z715" s="16"/>
    </row>
    <row r="716">
      <c r="A716" s="16" t="str">
        <f>IFERROR(__xludf.DUMMYFUNCTION("""COMPUTED_VALUE"""),"Lunar New Year Dragon Shoulders")</f>
        <v>Lunar New Year Dragon Shoulders</v>
      </c>
      <c r="B716" s="16"/>
      <c r="C716" s="16" t="str">
        <f>IFERROR(__xludf.DUMMYFUNCTION("""COMPUTED_VALUE"""),"Item")</f>
        <v>Item</v>
      </c>
      <c r="D716" s="16" t="str">
        <f>IFERROR(__xludf.DUMMYFUNCTION("""COMPUTED_VALUE"""),"Shoulders")</f>
        <v>Shoulders</v>
      </c>
      <c r="E716" s="16">
        <f>IFERROR(__xludf.DUMMYFUNCTION("""COMPUTED_VALUE"""),200.0)</f>
        <v>200</v>
      </c>
      <c r="F716" s="16" t="str">
        <f>IFERROR(__xludf.DUMMYFUNCTION("""COMPUTED_VALUE"""),"DEF: +25000, Fire DEF: +25000, Celestial DEF: +25000 ++X2 additional Fire Damage.")</f>
        <v>DEF: +25000, Fire DEF: +25000, Celestial DEF: +25000 ++X2 additional Fire Damage.</v>
      </c>
      <c r="G716" s="16">
        <f>IFERROR(__xludf.DUMMYFUNCTION("""COMPUTED_VALUE"""),1.1175E8)</f>
        <v>111750000</v>
      </c>
      <c r="H716" s="16"/>
      <c r="I716" s="16"/>
      <c r="J716" s="16"/>
      <c r="K716" s="16"/>
      <c r="L716" s="16"/>
      <c r="M716" s="16"/>
      <c r="N716" s="16"/>
      <c r="O716" s="16"/>
      <c r="P716" s="16"/>
      <c r="Q716" s="16"/>
      <c r="R716" s="16"/>
      <c r="S716" s="16"/>
      <c r="T716" s="16"/>
      <c r="U716" s="16"/>
      <c r="V716" s="16"/>
      <c r="W716" s="16"/>
      <c r="X716" s="16"/>
      <c r="Y716" s="16"/>
      <c r="Z716" s="16"/>
    </row>
    <row r="717">
      <c r="A717" s="16" t="str">
        <f>IFERROR(__xludf.DUMMYFUNCTION("""COMPUTED_VALUE"""),"Lunar New Year Dragon Arms")</f>
        <v>Lunar New Year Dragon Arms</v>
      </c>
      <c r="B717" s="16"/>
      <c r="C717" s="16" t="str">
        <f>IFERROR(__xludf.DUMMYFUNCTION("""COMPUTED_VALUE"""),"Item")</f>
        <v>Item</v>
      </c>
      <c r="D717" s="16" t="str">
        <f>IFERROR(__xludf.DUMMYFUNCTION("""COMPUTED_VALUE"""),"Arms")</f>
        <v>Arms</v>
      </c>
      <c r="E717" s="16">
        <f>IFERROR(__xludf.DUMMYFUNCTION("""COMPUTED_VALUE"""),200.0)</f>
        <v>200</v>
      </c>
      <c r="F717" s="16" t="str">
        <f>IFERROR(__xludf.DUMMYFUNCTION("""COMPUTED_VALUE"""),"DEF: +25000, Fire DEF: +25000, Celestial DEF: +25000 ++X2 additional Fire Damage.")</f>
        <v>DEF: +25000, Fire DEF: +25000, Celestial DEF: +25000 ++X2 additional Fire Damage.</v>
      </c>
      <c r="G717" s="16">
        <f>IFERROR(__xludf.DUMMYFUNCTION("""COMPUTED_VALUE"""),1.1175E8)</f>
        <v>111750000</v>
      </c>
      <c r="H717" s="16"/>
      <c r="I717" s="16"/>
      <c r="J717" s="16"/>
      <c r="K717" s="16"/>
      <c r="L717" s="16"/>
      <c r="M717" s="16"/>
      <c r="N717" s="16"/>
      <c r="O717" s="16"/>
      <c r="P717" s="16"/>
      <c r="Q717" s="16"/>
      <c r="R717" s="16"/>
      <c r="S717" s="16"/>
      <c r="T717" s="16"/>
      <c r="U717" s="16"/>
      <c r="V717" s="16"/>
      <c r="W717" s="16"/>
      <c r="X717" s="16"/>
      <c r="Y717" s="16"/>
      <c r="Z717" s="16"/>
    </row>
    <row r="718">
      <c r="A718" s="16" t="str">
        <f>IFERROR(__xludf.DUMMYFUNCTION("""COMPUTED_VALUE"""),"Lunar New Year Dragon Torso")</f>
        <v>Lunar New Year Dragon Torso</v>
      </c>
      <c r="B718" s="16"/>
      <c r="C718" s="16" t="str">
        <f>IFERROR(__xludf.DUMMYFUNCTION("""COMPUTED_VALUE"""),"Item")</f>
        <v>Item</v>
      </c>
      <c r="D718" s="16" t="str">
        <f>IFERROR(__xludf.DUMMYFUNCTION("""COMPUTED_VALUE"""),"Torso")</f>
        <v>Torso</v>
      </c>
      <c r="E718" s="16">
        <f>IFERROR(__xludf.DUMMYFUNCTION("""COMPUTED_VALUE"""),200.0)</f>
        <v>200</v>
      </c>
      <c r="F718" s="16" t="str">
        <f>IFERROR(__xludf.DUMMYFUNCTION("""COMPUTED_VALUE"""),"DEF: +25000, Fire DEF: +25000, Celestial DEF: +25000 ++X2 additional Fire Damage.")</f>
        <v>DEF: +25000, Fire DEF: +25000, Celestial DEF: +25000 ++X2 additional Fire Damage.</v>
      </c>
      <c r="G718" s="16">
        <f>IFERROR(__xludf.DUMMYFUNCTION("""COMPUTED_VALUE"""),1.1175E8)</f>
        <v>111750000</v>
      </c>
      <c r="H718" s="16"/>
      <c r="I718" s="16"/>
      <c r="J718" s="16"/>
      <c r="K718" s="16"/>
      <c r="L718" s="16"/>
      <c r="M718" s="16"/>
      <c r="N718" s="16"/>
      <c r="O718" s="16"/>
      <c r="P718" s="16"/>
      <c r="Q718" s="16"/>
      <c r="R718" s="16"/>
      <c r="S718" s="16"/>
      <c r="T718" s="16"/>
      <c r="U718" s="16"/>
      <c r="V718" s="16"/>
      <c r="W718" s="16"/>
      <c r="X718" s="16"/>
      <c r="Y718" s="16"/>
      <c r="Z718" s="16"/>
    </row>
    <row r="719">
      <c r="A719" s="16" t="str">
        <f>IFERROR(__xludf.DUMMYFUNCTION("""COMPUTED_VALUE"""),"Lunar New Year Dragon Legs")</f>
        <v>Lunar New Year Dragon Legs</v>
      </c>
      <c r="B719" s="16"/>
      <c r="C719" s="16" t="str">
        <f>IFERROR(__xludf.DUMMYFUNCTION("""COMPUTED_VALUE"""),"Item")</f>
        <v>Item</v>
      </c>
      <c r="D719" s="16" t="str">
        <f>IFERROR(__xludf.DUMMYFUNCTION("""COMPUTED_VALUE"""),"Legs")</f>
        <v>Legs</v>
      </c>
      <c r="E719" s="16">
        <f>IFERROR(__xludf.DUMMYFUNCTION("""COMPUTED_VALUE"""),200.0)</f>
        <v>200</v>
      </c>
      <c r="F719" s="16" t="str">
        <f>IFERROR(__xludf.DUMMYFUNCTION("""COMPUTED_VALUE"""),"DEF: +25000, Fire DEF: +25000, Celestial DEF: +25000 ++X2 additional Fire Damage.")</f>
        <v>DEF: +25000, Fire DEF: +25000, Celestial DEF: +25000 ++X2 additional Fire Damage.</v>
      </c>
      <c r="G719" s="16">
        <f>IFERROR(__xludf.DUMMYFUNCTION("""COMPUTED_VALUE"""),1.1175E8)</f>
        <v>111750000</v>
      </c>
      <c r="H719" s="16"/>
      <c r="I719" s="16"/>
      <c r="J719" s="16"/>
      <c r="K719" s="16"/>
      <c r="L719" s="16"/>
      <c r="M719" s="16"/>
      <c r="N719" s="16"/>
      <c r="O719" s="16"/>
      <c r="P719" s="16"/>
      <c r="Q719" s="16"/>
      <c r="R719" s="16"/>
      <c r="S719" s="16"/>
      <c r="T719" s="16"/>
      <c r="U719" s="16"/>
      <c r="V719" s="16"/>
      <c r="W719" s="16"/>
      <c r="X719" s="16"/>
      <c r="Y719" s="16"/>
      <c r="Z719" s="16"/>
    </row>
    <row r="720">
      <c r="A720" s="16" t="str">
        <f>IFERROR(__xludf.DUMMYFUNCTION("""COMPUTED_VALUE"""),"Lunar New Year Dragon Feet")</f>
        <v>Lunar New Year Dragon Feet</v>
      </c>
      <c r="B720" s="16"/>
      <c r="C720" s="16" t="str">
        <f>IFERROR(__xludf.DUMMYFUNCTION("""COMPUTED_VALUE"""),"Item")</f>
        <v>Item</v>
      </c>
      <c r="D720" s="16" t="str">
        <f>IFERROR(__xludf.DUMMYFUNCTION("""COMPUTED_VALUE"""),"Feet")</f>
        <v>Feet</v>
      </c>
      <c r="E720" s="16">
        <f>IFERROR(__xludf.DUMMYFUNCTION("""COMPUTED_VALUE"""),200.0)</f>
        <v>200</v>
      </c>
      <c r="F720" s="16" t="str">
        <f>IFERROR(__xludf.DUMMYFUNCTION("""COMPUTED_VALUE"""),"DEF: +25000, Fire DEF: +25000, Celestial DEF: +25000 ++X2 additional Fire Damage.")</f>
        <v>DEF: +25000, Fire DEF: +25000, Celestial DEF: +25000 ++X2 additional Fire Damage.</v>
      </c>
      <c r="G720" s="16">
        <f>IFERROR(__xludf.DUMMYFUNCTION("""COMPUTED_VALUE"""),1.1175E8)</f>
        <v>111750000</v>
      </c>
      <c r="H720" s="16"/>
      <c r="I720" s="16"/>
      <c r="J720" s="16"/>
      <c r="K720" s="16"/>
      <c r="L720" s="16"/>
      <c r="M720" s="16"/>
      <c r="N720" s="16"/>
      <c r="O720" s="16"/>
      <c r="P720" s="16"/>
      <c r="Q720" s="16"/>
      <c r="R720" s="16"/>
      <c r="S720" s="16"/>
      <c r="T720" s="16"/>
      <c r="U720" s="16"/>
      <c r="V720" s="16"/>
      <c r="W720" s="16"/>
      <c r="X720" s="16"/>
      <c r="Y720" s="16"/>
      <c r="Z720" s="16"/>
    </row>
    <row r="721">
      <c r="A721" s="16" t="str">
        <f>IFERROR(__xludf.DUMMYFUNCTION("""COMPUTED_VALUE"""),"Spirit Blade")</f>
        <v>Spirit Blade</v>
      </c>
      <c r="B721" s="16"/>
      <c r="C721" s="16" t="str">
        <f>IFERROR(__xludf.DUMMYFUNCTION("""COMPUTED_VALUE"""),"Sword")</f>
        <v>Sword</v>
      </c>
      <c r="D721" s="16" t="str">
        <f>IFERROR(__xludf.DUMMYFUNCTION("""COMPUTED_VALUE"""),"Hand")</f>
        <v>Hand</v>
      </c>
      <c r="E721" s="16">
        <f>IFERROR(__xludf.DUMMYFUNCTION("""COMPUTED_VALUE"""),600.0)</f>
        <v>600</v>
      </c>
      <c r="F721" s="16" t="str">
        <f>IFERROR(__xludf.DUMMYFUNCTION("""COMPUTED_VALUE"""),"DMG: +20000, Light DMG: +10000")</f>
        <v>DMG: +20000, Light DMG: +10000</v>
      </c>
      <c r="G721" s="16">
        <f>IFERROR(__xludf.DUMMYFUNCTION("""COMPUTED_VALUE"""),1.77E7)</f>
        <v>17700000</v>
      </c>
      <c r="H721" s="16"/>
      <c r="I721" s="16"/>
      <c r="J721" s="16"/>
      <c r="K721" s="16"/>
      <c r="L721" s="16"/>
      <c r="M721" s="16"/>
      <c r="N721" s="16"/>
      <c r="O721" s="16"/>
      <c r="P721" s="16"/>
      <c r="Q721" s="16"/>
      <c r="R721" s="16"/>
      <c r="S721" s="16"/>
      <c r="T721" s="16"/>
      <c r="U721" s="16"/>
      <c r="V721" s="16"/>
      <c r="W721" s="16"/>
      <c r="X721" s="16"/>
      <c r="Y721" s="16"/>
      <c r="Z721" s="16"/>
    </row>
    <row r="722">
      <c r="A722" s="16" t="str">
        <f>IFERROR(__xludf.DUMMYFUNCTION("""COMPUTED_VALUE"""),"Spirit Shield")</f>
        <v>Spirit Shield</v>
      </c>
      <c r="B722" s="16"/>
      <c r="C722" s="16" t="str">
        <f>IFERROR(__xludf.DUMMYFUNCTION("""COMPUTED_VALUE"""),"Buckler")</f>
        <v>Buckler</v>
      </c>
      <c r="D722" s="16" t="str">
        <f>IFERROR(__xludf.DUMMYFUNCTION("""COMPUTED_VALUE"""),"Hand")</f>
        <v>Hand</v>
      </c>
      <c r="E722" s="16">
        <f>IFERROR(__xludf.DUMMYFUNCTION("""COMPUTED_VALUE"""),600.0)</f>
        <v>600</v>
      </c>
      <c r="F722" s="16" t="str">
        <f>IFERROR(__xludf.DUMMYFUNCTION("""COMPUTED_VALUE"""),"DEF: +20000, Light DEF: +10000")</f>
        <v>DEF: +20000, Light DEF: +10000</v>
      </c>
      <c r="G722" s="16">
        <f>IFERROR(__xludf.DUMMYFUNCTION("""COMPUTED_VALUE"""),1.77E7)</f>
        <v>17700000</v>
      </c>
      <c r="H722" s="16"/>
      <c r="I722" s="16"/>
      <c r="J722" s="16"/>
      <c r="K722" s="16"/>
      <c r="L722" s="16"/>
      <c r="M722" s="16"/>
      <c r="N722" s="16"/>
      <c r="O722" s="16"/>
      <c r="P722" s="16"/>
      <c r="Q722" s="16"/>
      <c r="R722" s="16"/>
      <c r="S722" s="16"/>
      <c r="T722" s="16"/>
      <c r="U722" s="16"/>
      <c r="V722" s="16"/>
      <c r="W722" s="16"/>
      <c r="X722" s="16"/>
      <c r="Y722" s="16"/>
      <c r="Z722" s="16"/>
    </row>
    <row r="723">
      <c r="A723" s="16" t="str">
        <f>IFERROR(__xludf.DUMMYFUNCTION("""COMPUTED_VALUE"""),"Mage's Hood")</f>
        <v>Mage's Hood</v>
      </c>
      <c r="B723" s="16"/>
      <c r="C723" s="16" t="str">
        <f>IFERROR(__xludf.DUMMYFUNCTION("""COMPUTED_VALUE"""),"Item")</f>
        <v>Item</v>
      </c>
      <c r="D723" s="16" t="str">
        <f>IFERROR(__xludf.DUMMYFUNCTION("""COMPUTED_VALUE"""),"Head")</f>
        <v>Head</v>
      </c>
      <c r="E723" s="16">
        <f>IFERROR(__xludf.DUMMYFUNCTION("""COMPUTED_VALUE"""),1.0)</f>
        <v>1</v>
      </c>
      <c r="F723" s="16" t="str">
        <f>IFERROR(__xludf.DUMMYFUNCTION("""COMPUTED_VALUE""")," ++5000 additional HP and SP. ++Plus 2 Wisdom. +-Cannot be forged. +-Cannot be duplicateed.")</f>
        <v> ++5000 additional HP and SP. ++Plus 2 Wisdom. +-Cannot be forged. +-Cannot be duplicateed.</v>
      </c>
      <c r="G723" s="16">
        <f>IFERROR(__xludf.DUMMYFUNCTION("""COMPUTED_VALUE"""),0.0)</f>
        <v>0</v>
      </c>
      <c r="H723" s="16"/>
      <c r="I723" s="16"/>
      <c r="J723" s="16"/>
      <c r="K723" s="16"/>
      <c r="L723" s="16"/>
      <c r="M723" s="16"/>
      <c r="N723" s="16"/>
      <c r="O723" s="16"/>
      <c r="P723" s="16"/>
      <c r="Q723" s="16"/>
      <c r="R723" s="16"/>
      <c r="S723" s="16"/>
      <c r="T723" s="16"/>
      <c r="U723" s="16"/>
      <c r="V723" s="16"/>
      <c r="W723" s="16"/>
      <c r="X723" s="16"/>
      <c r="Y723" s="16"/>
      <c r="Z723" s="16"/>
    </row>
    <row r="724">
      <c r="A724" s="16" t="str">
        <f>IFERROR(__xludf.DUMMYFUNCTION("""COMPUTED_VALUE"""),"Mage's Cloak")</f>
        <v>Mage's Cloak</v>
      </c>
      <c r="B724" s="16"/>
      <c r="C724" s="16" t="str">
        <f>IFERROR(__xludf.DUMMYFUNCTION("""COMPUTED_VALUE"""),"Item")</f>
        <v>Item</v>
      </c>
      <c r="D724" s="16" t="str">
        <f>IFERROR(__xludf.DUMMYFUNCTION("""COMPUTED_VALUE"""),"Torso")</f>
        <v>Torso</v>
      </c>
      <c r="E724" s="16">
        <f>IFERROR(__xludf.DUMMYFUNCTION("""COMPUTED_VALUE"""),1.0)</f>
        <v>1</v>
      </c>
      <c r="F724" s="16" t="str">
        <f>IFERROR(__xludf.DUMMYFUNCTION("""COMPUTED_VALUE""")," ++5000 additional HP and SP. ++Plus 2 Wisdom. +-Cannot be forged. +-Cannot be duplicateed.")</f>
        <v> ++5000 additional HP and SP. ++Plus 2 Wisdom. +-Cannot be forged. +-Cannot be duplicateed.</v>
      </c>
      <c r="G724" s="16">
        <f>IFERROR(__xludf.DUMMYFUNCTION("""COMPUTED_VALUE"""),0.0)</f>
        <v>0</v>
      </c>
      <c r="H724" s="16"/>
      <c r="I724" s="16"/>
      <c r="J724" s="16"/>
      <c r="K724" s="16"/>
      <c r="L724" s="16"/>
      <c r="M724" s="16"/>
      <c r="N724" s="16"/>
      <c r="O724" s="16"/>
      <c r="P724" s="16"/>
      <c r="Q724" s="16"/>
      <c r="R724" s="16"/>
      <c r="S724" s="16"/>
      <c r="T724" s="16"/>
      <c r="U724" s="16"/>
      <c r="V724" s="16"/>
      <c r="W724" s="16"/>
      <c r="X724" s="16"/>
      <c r="Y724" s="16"/>
      <c r="Z724" s="16"/>
    </row>
    <row r="725">
      <c r="A725" s="16" t="str">
        <f>IFERROR(__xludf.DUMMYFUNCTION("""COMPUTED_VALUE"""),"Mage's Shoes")</f>
        <v>Mage's Shoes</v>
      </c>
      <c r="B725" s="16"/>
      <c r="C725" s="16" t="str">
        <f>IFERROR(__xludf.DUMMYFUNCTION("""COMPUTED_VALUE"""),"Item")</f>
        <v>Item</v>
      </c>
      <c r="D725" s="16" t="str">
        <f>IFERROR(__xludf.DUMMYFUNCTION("""COMPUTED_VALUE"""),"Feet")</f>
        <v>Feet</v>
      </c>
      <c r="E725" s="16">
        <f>IFERROR(__xludf.DUMMYFUNCTION("""COMPUTED_VALUE"""),1.0)</f>
        <v>1</v>
      </c>
      <c r="F725" s="16" t="str">
        <f>IFERROR(__xludf.DUMMYFUNCTION("""COMPUTED_VALUE""")," ++5000 additional HP and SP. ++Plus 1 Wisdom. +-Cannot be forged. +-Cannot be duplicateed.")</f>
        <v> ++5000 additional HP and SP. ++Plus 1 Wisdom. +-Cannot be forged. +-Cannot be duplicateed.</v>
      </c>
      <c r="G725" s="16">
        <f>IFERROR(__xludf.DUMMYFUNCTION("""COMPUTED_VALUE"""),0.0)</f>
        <v>0</v>
      </c>
      <c r="H725" s="16"/>
      <c r="I725" s="16"/>
      <c r="J725" s="16"/>
      <c r="K725" s="16"/>
      <c r="L725" s="16"/>
      <c r="M725" s="16"/>
      <c r="N725" s="16"/>
      <c r="O725" s="16"/>
      <c r="P725" s="16"/>
      <c r="Q725" s="16"/>
      <c r="R725" s="16"/>
      <c r="S725" s="16"/>
      <c r="T725" s="16"/>
      <c r="U725" s="16"/>
      <c r="V725" s="16"/>
      <c r="W725" s="16"/>
      <c r="X725" s="16"/>
      <c r="Y725" s="16"/>
      <c r="Z725" s="16"/>
    </row>
    <row r="726">
      <c r="A726" s="16" t="str">
        <f>IFERROR(__xludf.DUMMYFUNCTION("""COMPUTED_VALUE"""),"Sorcerer's Hood")</f>
        <v>Sorcerer's Hood</v>
      </c>
      <c r="B726" s="16"/>
      <c r="C726" s="16" t="str">
        <f>IFERROR(__xludf.DUMMYFUNCTION("""COMPUTED_VALUE"""),"Item")</f>
        <v>Item</v>
      </c>
      <c r="D726" s="16" t="str">
        <f>IFERROR(__xludf.DUMMYFUNCTION("""COMPUTED_VALUE"""),"Head")</f>
        <v>Head</v>
      </c>
      <c r="E726" s="16">
        <f>IFERROR(__xludf.DUMMYFUNCTION("""COMPUTED_VALUE"""),1.0)</f>
        <v>1</v>
      </c>
      <c r="F726" s="16" t="str">
        <f>IFERROR(__xludf.DUMMYFUNCTION("""COMPUTED_VALUE""")," ++2500 additional HP and SP. ++Plus 2 Wisdom. +-Cannot be forged. +-Cannot be duplicateed.")</f>
        <v> ++2500 additional HP and SP. ++Plus 2 Wisdom. +-Cannot be forged. +-Cannot be duplicateed.</v>
      </c>
      <c r="G726" s="16">
        <f>IFERROR(__xludf.DUMMYFUNCTION("""COMPUTED_VALUE"""),0.0)</f>
        <v>0</v>
      </c>
      <c r="H726" s="16"/>
      <c r="I726" s="16"/>
      <c r="J726" s="16"/>
      <c r="K726" s="16"/>
      <c r="L726" s="16"/>
      <c r="M726" s="16"/>
      <c r="N726" s="16"/>
      <c r="O726" s="16"/>
      <c r="P726" s="16"/>
      <c r="Q726" s="16"/>
      <c r="R726" s="16"/>
      <c r="S726" s="16"/>
      <c r="T726" s="16"/>
      <c r="U726" s="16"/>
      <c r="V726" s="16"/>
      <c r="W726" s="16"/>
      <c r="X726" s="16"/>
      <c r="Y726" s="16"/>
      <c r="Z726" s="16"/>
    </row>
    <row r="727">
      <c r="A727" s="16" t="str">
        <f>IFERROR(__xludf.DUMMYFUNCTION("""COMPUTED_VALUE"""),"Sorcerer's Cloak")</f>
        <v>Sorcerer's Cloak</v>
      </c>
      <c r="B727" s="16"/>
      <c r="C727" s="16" t="str">
        <f>IFERROR(__xludf.DUMMYFUNCTION("""COMPUTED_VALUE"""),"Item")</f>
        <v>Item</v>
      </c>
      <c r="D727" s="16" t="str">
        <f>IFERROR(__xludf.DUMMYFUNCTION("""COMPUTED_VALUE"""),"Torso")</f>
        <v>Torso</v>
      </c>
      <c r="E727" s="16">
        <f>IFERROR(__xludf.DUMMYFUNCTION("""COMPUTED_VALUE"""),1.0)</f>
        <v>1</v>
      </c>
      <c r="F727" s="16" t="str">
        <f>IFERROR(__xludf.DUMMYFUNCTION("""COMPUTED_VALUE""")," ++2500 additional HP and SP. ++Plus 2 Wisdom. +-Cannot be forged. +-Cannot be duplicateed.")</f>
        <v> ++2500 additional HP and SP. ++Plus 2 Wisdom. +-Cannot be forged. +-Cannot be duplicateed.</v>
      </c>
      <c r="G727" s="16">
        <f>IFERROR(__xludf.DUMMYFUNCTION("""COMPUTED_VALUE"""),0.0)</f>
        <v>0</v>
      </c>
      <c r="H727" s="16"/>
      <c r="I727" s="16"/>
      <c r="J727" s="16"/>
      <c r="K727" s="16"/>
      <c r="L727" s="16"/>
      <c r="M727" s="16"/>
      <c r="N727" s="16"/>
      <c r="O727" s="16"/>
      <c r="P727" s="16"/>
      <c r="Q727" s="16"/>
      <c r="R727" s="16"/>
      <c r="S727" s="16"/>
      <c r="T727" s="16"/>
      <c r="U727" s="16"/>
      <c r="V727" s="16"/>
      <c r="W727" s="16"/>
      <c r="X727" s="16"/>
      <c r="Y727" s="16"/>
      <c r="Z727" s="16"/>
    </row>
    <row r="728">
      <c r="A728" s="16" t="str">
        <f>IFERROR(__xludf.DUMMYFUNCTION("""COMPUTED_VALUE"""),"Sorcerer's Shoes")</f>
        <v>Sorcerer's Shoes</v>
      </c>
      <c r="B728" s="16"/>
      <c r="C728" s="16" t="str">
        <f>IFERROR(__xludf.DUMMYFUNCTION("""COMPUTED_VALUE"""),"Item")</f>
        <v>Item</v>
      </c>
      <c r="D728" s="16" t="str">
        <f>IFERROR(__xludf.DUMMYFUNCTION("""COMPUTED_VALUE"""),"Feet")</f>
        <v>Feet</v>
      </c>
      <c r="E728" s="16">
        <f>IFERROR(__xludf.DUMMYFUNCTION("""COMPUTED_VALUE"""),1.0)</f>
        <v>1</v>
      </c>
      <c r="F728" s="16" t="str">
        <f>IFERROR(__xludf.DUMMYFUNCTION("""COMPUTED_VALUE""")," ++2500 additional HP and SP. ++Plus 1 Wisdom. +-Cannot be forged. +-Cannot be duplicateed.")</f>
        <v> ++2500 additional HP and SP. ++Plus 1 Wisdom. +-Cannot be forged. +-Cannot be duplicateed.</v>
      </c>
      <c r="G728" s="16">
        <f>IFERROR(__xludf.DUMMYFUNCTION("""COMPUTED_VALUE"""),0.0)</f>
        <v>0</v>
      </c>
      <c r="H728" s="16"/>
      <c r="I728" s="16"/>
      <c r="J728" s="16"/>
      <c r="K728" s="16"/>
      <c r="L728" s="16"/>
      <c r="M728" s="16"/>
      <c r="N728" s="16"/>
      <c r="O728" s="16"/>
      <c r="P728" s="16"/>
      <c r="Q728" s="16"/>
      <c r="R728" s="16"/>
      <c r="S728" s="16"/>
      <c r="T728" s="16"/>
      <c r="U728" s="16"/>
      <c r="V728" s="16"/>
      <c r="W728" s="16"/>
      <c r="X728" s="16"/>
      <c r="Y728" s="16"/>
      <c r="Z728" s="16"/>
    </row>
    <row r="729">
      <c r="A729" s="16" t="str">
        <f>IFERROR(__xludf.DUMMYFUNCTION("""COMPUTED_VALUE"""),"Wizard's Hood")</f>
        <v>Wizard's Hood</v>
      </c>
      <c r="B729" s="16"/>
      <c r="C729" s="16" t="str">
        <f>IFERROR(__xludf.DUMMYFUNCTION("""COMPUTED_VALUE"""),"Item")</f>
        <v>Item</v>
      </c>
      <c r="D729" s="16" t="str">
        <f>IFERROR(__xludf.DUMMYFUNCTION("""COMPUTED_VALUE"""),"Head")</f>
        <v>Head</v>
      </c>
      <c r="E729" s="16">
        <f>IFERROR(__xludf.DUMMYFUNCTION("""COMPUTED_VALUE"""),1.0)</f>
        <v>1</v>
      </c>
      <c r="F729" s="16" t="str">
        <f>IFERROR(__xludf.DUMMYFUNCTION("""COMPUTED_VALUE""")," ++1000 additional HP and SP. ++X2 Spell Damage. +-Cannot be forged. +-Cannot be duplicateed.")</f>
        <v> ++1000 additional HP and SP. ++X2 Spell Damage. +-Cannot be forged. +-Cannot be duplicateed.</v>
      </c>
      <c r="G729" s="16">
        <f>IFERROR(__xludf.DUMMYFUNCTION("""COMPUTED_VALUE"""),0.0)</f>
        <v>0</v>
      </c>
      <c r="H729" s="16"/>
      <c r="I729" s="16"/>
      <c r="J729" s="16"/>
      <c r="K729" s="16"/>
      <c r="L729" s="16"/>
      <c r="M729" s="16"/>
      <c r="N729" s="16"/>
      <c r="O729" s="16"/>
      <c r="P729" s="16"/>
      <c r="Q729" s="16"/>
      <c r="R729" s="16"/>
      <c r="S729" s="16"/>
      <c r="T729" s="16"/>
      <c r="U729" s="16"/>
      <c r="V729" s="16"/>
      <c r="W729" s="16"/>
      <c r="X729" s="16"/>
      <c r="Y729" s="16"/>
      <c r="Z729" s="16"/>
    </row>
    <row r="730">
      <c r="A730" s="16" t="str">
        <f>IFERROR(__xludf.DUMMYFUNCTION("""COMPUTED_VALUE"""),"Wizard's Cloak")</f>
        <v>Wizard's Cloak</v>
      </c>
      <c r="B730" s="16"/>
      <c r="C730" s="16" t="str">
        <f>IFERROR(__xludf.DUMMYFUNCTION("""COMPUTED_VALUE"""),"Item")</f>
        <v>Item</v>
      </c>
      <c r="D730" s="16" t="str">
        <f>IFERROR(__xludf.DUMMYFUNCTION("""COMPUTED_VALUE"""),"Torso")</f>
        <v>Torso</v>
      </c>
      <c r="E730" s="16">
        <f>IFERROR(__xludf.DUMMYFUNCTION("""COMPUTED_VALUE"""),1.0)</f>
        <v>1</v>
      </c>
      <c r="F730" s="16" t="str">
        <f>IFERROR(__xludf.DUMMYFUNCTION("""COMPUTED_VALUE""")," ++1000 additional HP and SP. ++X2 Spell Damage. +-Cannot be forged. +-Cannot be duplicateed.")</f>
        <v> ++1000 additional HP and SP. ++X2 Spell Damage. +-Cannot be forged. +-Cannot be duplicateed.</v>
      </c>
      <c r="G730" s="16">
        <f>IFERROR(__xludf.DUMMYFUNCTION("""COMPUTED_VALUE"""),0.0)</f>
        <v>0</v>
      </c>
      <c r="H730" s="16"/>
      <c r="I730" s="16"/>
      <c r="J730" s="16"/>
      <c r="K730" s="16"/>
      <c r="L730" s="16"/>
      <c r="M730" s="16"/>
      <c r="N730" s="16"/>
      <c r="O730" s="16"/>
      <c r="P730" s="16"/>
      <c r="Q730" s="16"/>
      <c r="R730" s="16"/>
      <c r="S730" s="16"/>
      <c r="T730" s="16"/>
      <c r="U730" s="16"/>
      <c r="V730" s="16"/>
      <c r="W730" s="16"/>
      <c r="X730" s="16"/>
      <c r="Y730" s="16"/>
      <c r="Z730" s="16"/>
    </row>
    <row r="731">
      <c r="A731" s="16" t="str">
        <f>IFERROR(__xludf.DUMMYFUNCTION("""COMPUTED_VALUE"""),"Wizard's Shoes")</f>
        <v>Wizard's Shoes</v>
      </c>
      <c r="B731" s="16"/>
      <c r="C731" s="16" t="str">
        <f>IFERROR(__xludf.DUMMYFUNCTION("""COMPUTED_VALUE"""),"Item")</f>
        <v>Item</v>
      </c>
      <c r="D731" s="16" t="str">
        <f>IFERROR(__xludf.DUMMYFUNCTION("""COMPUTED_VALUE"""),"Feet")</f>
        <v>Feet</v>
      </c>
      <c r="E731" s="16">
        <f>IFERROR(__xludf.DUMMYFUNCTION("""COMPUTED_VALUE"""),1.0)</f>
        <v>1</v>
      </c>
      <c r="F731" s="16" t="str">
        <f>IFERROR(__xludf.DUMMYFUNCTION("""COMPUTED_VALUE""")," ++1000 additional HP and SP. ++X2 Spell Damage. +-Cannot be forged. +-Cannot be duplicateed.")</f>
        <v> ++1000 additional HP and SP. ++X2 Spell Damage. +-Cannot be forged. +-Cannot be duplicateed.</v>
      </c>
      <c r="G731" s="16">
        <f>IFERROR(__xludf.DUMMYFUNCTION("""COMPUTED_VALUE"""),0.0)</f>
        <v>0</v>
      </c>
      <c r="H731" s="16"/>
      <c r="I731" s="16"/>
      <c r="J731" s="16"/>
      <c r="K731" s="16"/>
      <c r="L731" s="16"/>
      <c r="M731" s="16"/>
      <c r="N731" s="16"/>
      <c r="O731" s="16"/>
      <c r="P731" s="16"/>
      <c r="Q731" s="16"/>
      <c r="R731" s="16"/>
      <c r="S731" s="16"/>
      <c r="T731" s="16"/>
      <c r="U731" s="16"/>
      <c r="V731" s="16"/>
      <c r="W731" s="16"/>
      <c r="X731" s="16"/>
      <c r="Y731" s="16"/>
      <c r="Z731" s="16"/>
    </row>
    <row r="732">
      <c r="A732" s="16" t="str">
        <f>IFERROR(__xludf.DUMMYFUNCTION("""COMPUTED_VALUE"""),"Gunslinger's Cap")</f>
        <v>Gunslinger's Cap</v>
      </c>
      <c r="B732" s="16"/>
      <c r="C732" s="16" t="str">
        <f>IFERROR(__xludf.DUMMYFUNCTION("""COMPUTED_VALUE"""),"Item")</f>
        <v>Item</v>
      </c>
      <c r="D732" s="16" t="str">
        <f>IFERROR(__xludf.DUMMYFUNCTION("""COMPUTED_VALUE"""),"Head")</f>
        <v>Head</v>
      </c>
      <c r="E732" s="16">
        <f>IFERROR(__xludf.DUMMYFUNCTION("""COMPUTED_VALUE"""),1.0)</f>
        <v>1</v>
      </c>
      <c r="F732" s="16" t="str">
        <f>IFERROR(__xludf.DUMMYFUNCTION("""COMPUTED_VALUE""")," ++10,000 ACC and ATK. ++2 Mobility +-Cannot be forged or duplicated")</f>
        <v> ++10,000 ACC and ATK. ++2 Mobility +-Cannot be forged or duplicated</v>
      </c>
      <c r="G732" s="16">
        <f>IFERROR(__xludf.DUMMYFUNCTION("""COMPUTED_VALUE"""),0.0)</f>
        <v>0</v>
      </c>
      <c r="H732" s="16"/>
      <c r="I732" s="16"/>
      <c r="J732" s="16"/>
      <c r="K732" s="16"/>
      <c r="L732" s="16"/>
      <c r="M732" s="16"/>
      <c r="N732" s="16"/>
      <c r="O732" s="16"/>
      <c r="P732" s="16"/>
      <c r="Q732" s="16"/>
      <c r="R732" s="16"/>
      <c r="S732" s="16"/>
      <c r="T732" s="16"/>
      <c r="U732" s="16"/>
      <c r="V732" s="16"/>
      <c r="W732" s="16"/>
      <c r="X732" s="16"/>
      <c r="Y732" s="16"/>
      <c r="Z732" s="16"/>
    </row>
    <row r="733">
      <c r="A733" s="16" t="str">
        <f>IFERROR(__xludf.DUMMYFUNCTION("""COMPUTED_VALUE"""),"Gunslinger's Shirt")</f>
        <v>Gunslinger's Shirt</v>
      </c>
      <c r="B733" s="16"/>
      <c r="C733" s="16" t="str">
        <f>IFERROR(__xludf.DUMMYFUNCTION("""COMPUTED_VALUE"""),"Item")</f>
        <v>Item</v>
      </c>
      <c r="D733" s="16" t="str">
        <f>IFERROR(__xludf.DUMMYFUNCTION("""COMPUTED_VALUE"""),"Torso")</f>
        <v>Torso</v>
      </c>
      <c r="E733" s="16">
        <f>IFERROR(__xludf.DUMMYFUNCTION("""COMPUTED_VALUE"""),1.0)</f>
        <v>1</v>
      </c>
      <c r="F733" s="16" t="str">
        <f>IFERROR(__xludf.DUMMYFUNCTION("""COMPUTED_VALUE""")," ++10,000 ACC and ATK. ++2 Mobility +-Cannot be forged or duplicated")</f>
        <v> ++10,000 ACC and ATK. ++2 Mobility +-Cannot be forged or duplicated</v>
      </c>
      <c r="G733" s="16">
        <f>IFERROR(__xludf.DUMMYFUNCTION("""COMPUTED_VALUE"""),0.0)</f>
        <v>0</v>
      </c>
      <c r="H733" s="16"/>
      <c r="I733" s="16"/>
      <c r="J733" s="16"/>
      <c r="K733" s="16"/>
      <c r="L733" s="16"/>
      <c r="M733" s="16"/>
      <c r="N733" s="16"/>
      <c r="O733" s="16"/>
      <c r="P733" s="16"/>
      <c r="Q733" s="16"/>
      <c r="R733" s="16"/>
      <c r="S733" s="16"/>
      <c r="T733" s="16"/>
      <c r="U733" s="16"/>
      <c r="V733" s="16"/>
      <c r="W733" s="16"/>
      <c r="X733" s="16"/>
      <c r="Y733" s="16"/>
      <c r="Z733" s="16"/>
    </row>
    <row r="734">
      <c r="A734" s="16" t="str">
        <f>IFERROR(__xludf.DUMMYFUNCTION("""COMPUTED_VALUE"""),"Gunslinger's Boots")</f>
        <v>Gunslinger's Boots</v>
      </c>
      <c r="B734" s="16"/>
      <c r="C734" s="16" t="str">
        <f>IFERROR(__xludf.DUMMYFUNCTION("""COMPUTED_VALUE"""),"Item")</f>
        <v>Item</v>
      </c>
      <c r="D734" s="16" t="str">
        <f>IFERROR(__xludf.DUMMYFUNCTION("""COMPUTED_VALUE"""),"Feet")</f>
        <v>Feet</v>
      </c>
      <c r="E734" s="16">
        <f>IFERROR(__xludf.DUMMYFUNCTION("""COMPUTED_VALUE"""),1.0)</f>
        <v>1</v>
      </c>
      <c r="F734" s="16" t="str">
        <f>IFERROR(__xludf.DUMMYFUNCTION("""COMPUTED_VALUE""")," ++10,000 ACC and ATK. ++1 Mobility +-Cannot be forged or duplicated")</f>
        <v> ++10,000 ACC and ATK. ++1 Mobility +-Cannot be forged or duplicated</v>
      </c>
      <c r="G734" s="16">
        <f>IFERROR(__xludf.DUMMYFUNCTION("""COMPUTED_VALUE"""),0.0)</f>
        <v>0</v>
      </c>
      <c r="H734" s="16"/>
      <c r="I734" s="16"/>
      <c r="J734" s="16"/>
      <c r="K734" s="16"/>
      <c r="L734" s="16"/>
      <c r="M734" s="16"/>
      <c r="N734" s="16"/>
      <c r="O734" s="16"/>
      <c r="P734" s="16"/>
      <c r="Q734" s="16"/>
      <c r="R734" s="16"/>
      <c r="S734" s="16"/>
      <c r="T734" s="16"/>
      <c r="U734" s="16"/>
      <c r="V734" s="16"/>
      <c r="W734" s="16"/>
      <c r="X734" s="16"/>
      <c r="Y734" s="16"/>
      <c r="Z734" s="16"/>
    </row>
    <row r="735">
      <c r="A735" s="16" t="str">
        <f>IFERROR(__xludf.DUMMYFUNCTION("""COMPUTED_VALUE"""),"Bard's Coif")</f>
        <v>Bard's Coif</v>
      </c>
      <c r="B735" s="16"/>
      <c r="C735" s="16" t="str">
        <f>IFERROR(__xludf.DUMMYFUNCTION("""COMPUTED_VALUE"""),"Item")</f>
        <v>Item</v>
      </c>
      <c r="D735" s="16" t="str">
        <f>IFERROR(__xludf.DUMMYFUNCTION("""COMPUTED_VALUE"""),"Head")</f>
        <v>Head</v>
      </c>
      <c r="E735" s="16">
        <f>IFERROR(__xludf.DUMMYFUNCTION("""COMPUTED_VALUE"""),1.0)</f>
        <v>1</v>
      </c>
      <c r="F735" s="16" t="str">
        <f>IFERROR(__xludf.DUMMYFUNCTION("""COMPUTED_VALUE""")," ++10,000 ACC and ATK. ++2 Charisma +-Cannot be forged or duplicated")</f>
        <v> ++10,000 ACC and ATK. ++2 Charisma +-Cannot be forged or duplicated</v>
      </c>
      <c r="G735" s="16">
        <f>IFERROR(__xludf.DUMMYFUNCTION("""COMPUTED_VALUE"""),0.0)</f>
        <v>0</v>
      </c>
      <c r="H735" s="16"/>
      <c r="I735" s="16"/>
      <c r="J735" s="16"/>
      <c r="K735" s="16"/>
      <c r="L735" s="16"/>
      <c r="M735" s="16"/>
      <c r="N735" s="16"/>
      <c r="O735" s="16"/>
      <c r="P735" s="16"/>
      <c r="Q735" s="16"/>
      <c r="R735" s="16"/>
      <c r="S735" s="16"/>
      <c r="T735" s="16"/>
      <c r="U735" s="16"/>
      <c r="V735" s="16"/>
      <c r="W735" s="16"/>
      <c r="X735" s="16"/>
      <c r="Y735" s="16"/>
      <c r="Z735" s="16"/>
    </row>
    <row r="736">
      <c r="A736" s="16" t="str">
        <f>IFERROR(__xludf.DUMMYFUNCTION("""COMPUTED_VALUE"""),"Bard's Gambeson")</f>
        <v>Bard's Gambeson</v>
      </c>
      <c r="B736" s="16"/>
      <c r="C736" s="16" t="str">
        <f>IFERROR(__xludf.DUMMYFUNCTION("""COMPUTED_VALUE"""),"Item")</f>
        <v>Item</v>
      </c>
      <c r="D736" s="16" t="str">
        <f>IFERROR(__xludf.DUMMYFUNCTION("""COMPUTED_VALUE"""),"Torso")</f>
        <v>Torso</v>
      </c>
      <c r="E736" s="16">
        <f>IFERROR(__xludf.DUMMYFUNCTION("""COMPUTED_VALUE"""),1.0)</f>
        <v>1</v>
      </c>
      <c r="F736" s="16" t="str">
        <f>IFERROR(__xludf.DUMMYFUNCTION("""COMPUTED_VALUE""")," ++10,000 ACC and ATK. ++2 Charisma +-Cannot be forged or duplicated")</f>
        <v> ++10,000 ACC and ATK. ++2 Charisma +-Cannot be forged or duplicated</v>
      </c>
      <c r="G736" s="16">
        <f>IFERROR(__xludf.DUMMYFUNCTION("""COMPUTED_VALUE"""),0.0)</f>
        <v>0</v>
      </c>
      <c r="H736" s="16"/>
      <c r="I736" s="16"/>
      <c r="J736" s="16"/>
      <c r="K736" s="16"/>
      <c r="L736" s="16"/>
      <c r="M736" s="16"/>
      <c r="N736" s="16"/>
      <c r="O736" s="16"/>
      <c r="P736" s="16"/>
      <c r="Q736" s="16"/>
      <c r="R736" s="16"/>
      <c r="S736" s="16"/>
      <c r="T736" s="16"/>
      <c r="U736" s="16"/>
      <c r="V736" s="16"/>
      <c r="W736" s="16"/>
      <c r="X736" s="16"/>
      <c r="Y736" s="16"/>
      <c r="Z736" s="16"/>
    </row>
    <row r="737">
      <c r="A737" s="16" t="str">
        <f>IFERROR(__xludf.DUMMYFUNCTION("""COMPUTED_VALUE"""),"Bard's Shoes")</f>
        <v>Bard's Shoes</v>
      </c>
      <c r="B737" s="16"/>
      <c r="C737" s="16" t="str">
        <f>IFERROR(__xludf.DUMMYFUNCTION("""COMPUTED_VALUE"""),"Item")</f>
        <v>Item</v>
      </c>
      <c r="D737" s="16" t="str">
        <f>IFERROR(__xludf.DUMMYFUNCTION("""COMPUTED_VALUE"""),"Feet")</f>
        <v>Feet</v>
      </c>
      <c r="E737" s="16">
        <f>IFERROR(__xludf.DUMMYFUNCTION("""COMPUTED_VALUE"""),1.0)</f>
        <v>1</v>
      </c>
      <c r="F737" s="16" t="str">
        <f>IFERROR(__xludf.DUMMYFUNCTION("""COMPUTED_VALUE""")," ++10,000 ACC and ATK. ++1 Charisma +-Cannot be forged or duplicated")</f>
        <v> ++10,000 ACC and ATK. ++1 Charisma +-Cannot be forged or duplicated</v>
      </c>
      <c r="G737" s="16">
        <f>IFERROR(__xludf.DUMMYFUNCTION("""COMPUTED_VALUE"""),0.0)</f>
        <v>0</v>
      </c>
      <c r="H737" s="16"/>
      <c r="I737" s="16"/>
      <c r="J737" s="16"/>
      <c r="K737" s="16"/>
      <c r="L737" s="16"/>
      <c r="M737" s="16"/>
      <c r="N737" s="16"/>
      <c r="O737" s="16"/>
      <c r="P737" s="16"/>
      <c r="Q737" s="16"/>
      <c r="R737" s="16"/>
      <c r="S737" s="16"/>
      <c r="T737" s="16"/>
      <c r="U737" s="16"/>
      <c r="V737" s="16"/>
      <c r="W737" s="16"/>
      <c r="X737" s="16"/>
      <c r="Y737" s="16"/>
      <c r="Z737" s="16"/>
    </row>
    <row r="738">
      <c r="A738" s="16" t="str">
        <f>IFERROR(__xludf.DUMMYFUNCTION("""COMPUTED_VALUE"""),"Dragonscale Skirt")</f>
        <v>Dragonscale Skirt</v>
      </c>
      <c r="B738" s="16"/>
      <c r="C738" s="16" t="str">
        <f>IFERROR(__xludf.DUMMYFUNCTION("""COMPUTED_VALUE"""),"Item")</f>
        <v>Item</v>
      </c>
      <c r="D738" s="16" t="str">
        <f>IFERROR(__xludf.DUMMYFUNCTION("""COMPUTED_VALUE"""),"Legs")</f>
        <v>Legs</v>
      </c>
      <c r="E738" s="16">
        <f>IFERROR(__xludf.DUMMYFUNCTION("""COMPUTED_VALUE"""),1.0)</f>
        <v>1</v>
      </c>
      <c r="F738" s="16" t="str">
        <f>IFERROR(__xludf.DUMMYFUNCTION("""COMPUTED_VALUE""")," ++7,000 additional HP and SP, ++2 Mobility +-Cannot be forged or duplicated")</f>
        <v> ++7,000 additional HP and SP, ++2 Mobility +-Cannot be forged or duplicated</v>
      </c>
      <c r="G738" s="16">
        <f>IFERROR(__xludf.DUMMYFUNCTION("""COMPUTED_VALUE"""),0.0)</f>
        <v>0</v>
      </c>
      <c r="H738" s="16"/>
      <c r="I738" s="16"/>
      <c r="J738" s="16"/>
      <c r="K738" s="16"/>
      <c r="L738" s="16"/>
      <c r="M738" s="16"/>
      <c r="N738" s="16"/>
      <c r="O738" s="16"/>
      <c r="P738" s="16"/>
      <c r="Q738" s="16"/>
      <c r="R738" s="16"/>
      <c r="S738" s="16"/>
      <c r="T738" s="16"/>
      <c r="U738" s="16"/>
      <c r="V738" s="16"/>
      <c r="W738" s="16"/>
      <c r="X738" s="16"/>
      <c r="Y738" s="16"/>
      <c r="Z738" s="16"/>
    </row>
    <row r="739">
      <c r="A739" s="16" t="str">
        <f>IFERROR(__xludf.DUMMYFUNCTION("""COMPUTED_VALUE"""),"Dragonscale Cape")</f>
        <v>Dragonscale Cape</v>
      </c>
      <c r="B739" s="16"/>
      <c r="C739" s="16" t="str">
        <f>IFERROR(__xludf.DUMMYFUNCTION("""COMPUTED_VALUE"""),"Item")</f>
        <v>Item</v>
      </c>
      <c r="D739" s="16" t="str">
        <f>IFERROR(__xludf.DUMMYFUNCTION("""COMPUTED_VALUE"""),"Shoulders")</f>
        <v>Shoulders</v>
      </c>
      <c r="E739" s="16">
        <f>IFERROR(__xludf.DUMMYFUNCTION("""COMPUTED_VALUE"""),1.0)</f>
        <v>1</v>
      </c>
      <c r="F739" s="16" t="str">
        <f>IFERROR(__xludf.DUMMYFUNCTION("""COMPUTED_VALUE""")," ++8,300 additional HP and SP, +-Cannot be forged or duplicated")</f>
        <v> ++8,300 additional HP and SP, +-Cannot be forged or duplicated</v>
      </c>
      <c r="G739" s="16">
        <f>IFERROR(__xludf.DUMMYFUNCTION("""COMPUTED_VALUE"""),0.0)</f>
        <v>0</v>
      </c>
      <c r="H739" s="16"/>
      <c r="I739" s="16"/>
      <c r="J739" s="16"/>
      <c r="K739" s="16"/>
      <c r="L739" s="16"/>
      <c r="M739" s="16"/>
      <c r="N739" s="16"/>
      <c r="O739" s="16"/>
      <c r="P739" s="16"/>
      <c r="Q739" s="16"/>
      <c r="R739" s="16"/>
      <c r="S739" s="16"/>
      <c r="T739" s="16"/>
      <c r="U739" s="16"/>
      <c r="V739" s="16"/>
      <c r="W739" s="16"/>
      <c r="X739" s="16"/>
      <c r="Y739" s="16"/>
      <c r="Z739" s="16"/>
    </row>
    <row r="740">
      <c r="A740" s="16" t="str">
        <f>IFERROR(__xludf.DUMMYFUNCTION("""COMPUTED_VALUE"""),"Broken Dragonscale Mail")</f>
        <v>Broken Dragonscale Mail</v>
      </c>
      <c r="B740" s="16"/>
      <c r="C740" s="16" t="str">
        <f>IFERROR(__xludf.DUMMYFUNCTION("""COMPUTED_VALUE"""),"Item")</f>
        <v>Item</v>
      </c>
      <c r="D740" s="16" t="str">
        <f>IFERROR(__xludf.DUMMYFUNCTION("""COMPUTED_VALUE"""),"Torso")</f>
        <v>Torso</v>
      </c>
      <c r="E740" s="16">
        <f>IFERROR(__xludf.DUMMYFUNCTION("""COMPUTED_VALUE"""),980.0)</f>
        <v>980</v>
      </c>
      <c r="F740" s="16" t="str">
        <f>IFERROR(__xludf.DUMMYFUNCTION("""COMPUTED_VALUE"""),"DEF: +48900 +-5% chance of breaking when wearer is attacked")</f>
        <v>DEF: +48900 +-5% chance of breaking when wearer is attacked</v>
      </c>
      <c r="G740" s="16">
        <f>IFERROR(__xludf.DUMMYFUNCTION("""COMPUTED_VALUE"""),4.656E7)</f>
        <v>46560000</v>
      </c>
      <c r="H740" s="16"/>
      <c r="I740" s="16"/>
      <c r="J740" s="16"/>
      <c r="K740" s="16"/>
      <c r="L740" s="16"/>
      <c r="M740" s="16"/>
      <c r="N740" s="16"/>
      <c r="O740" s="16"/>
      <c r="P740" s="16"/>
      <c r="Q740" s="16"/>
      <c r="R740" s="16"/>
      <c r="S740" s="16"/>
      <c r="T740" s="16"/>
      <c r="U740" s="16"/>
      <c r="V740" s="16"/>
      <c r="W740" s="16"/>
      <c r="X740" s="16"/>
      <c r="Y740" s="16"/>
      <c r="Z740" s="16"/>
    </row>
    <row r="741">
      <c r="A741" s="16" t="str">
        <f>IFERROR(__xludf.DUMMYFUNCTION("""COMPUTED_VALUE"""),"Dragonscale Mail")</f>
        <v>Dragonscale Mail</v>
      </c>
      <c r="B741" s="16"/>
      <c r="C741" s="16" t="str">
        <f>IFERROR(__xludf.DUMMYFUNCTION("""COMPUTED_VALUE"""),"Item")</f>
        <v>Item</v>
      </c>
      <c r="D741" s="16" t="str">
        <f>IFERROR(__xludf.DUMMYFUNCTION("""COMPUTED_VALUE"""),"Torso")</f>
        <v>Torso</v>
      </c>
      <c r="E741" s="16">
        <f>IFERROR(__xludf.DUMMYFUNCTION("""COMPUTED_VALUE"""),3000.0)</f>
        <v>3000</v>
      </c>
      <c r="F741" s="16" t="str">
        <f>IFERROR(__xludf.DUMMYFUNCTION("""COMPUTED_VALUE"""),"DEF: +150000")</f>
        <v>DEF: +150000</v>
      </c>
      <c r="G741" s="16">
        <f>IFERROR(__xludf.DUMMYFUNCTION("""COMPUTED_VALUE"""),4.485E8)</f>
        <v>448500000</v>
      </c>
      <c r="H741" s="16"/>
      <c r="I741" s="16"/>
      <c r="J741" s="16"/>
      <c r="K741" s="16"/>
      <c r="L741" s="16"/>
      <c r="M741" s="16"/>
      <c r="N741" s="16"/>
      <c r="O741" s="16"/>
      <c r="P741" s="16"/>
      <c r="Q741" s="16"/>
      <c r="R741" s="16"/>
      <c r="S741" s="16"/>
      <c r="T741" s="16"/>
      <c r="U741" s="16"/>
      <c r="V741" s="16"/>
      <c r="W741" s="16"/>
      <c r="X741" s="16"/>
      <c r="Y741" s="16"/>
      <c r="Z741" s="16"/>
    </row>
    <row r="742">
      <c r="A742" s="16" t="str">
        <f>IFERROR(__xludf.DUMMYFUNCTION("""COMPUTED_VALUE"""),"Dragonscale Charm")</f>
        <v>Dragonscale Charm</v>
      </c>
      <c r="B742" s="16"/>
      <c r="C742" s="16" t="str">
        <f>IFERROR(__xludf.DUMMYFUNCTION("""COMPUTED_VALUE"""),"Item")</f>
        <v>Item</v>
      </c>
      <c r="D742" s="16" t="str">
        <f>IFERROR(__xludf.DUMMYFUNCTION("""COMPUTED_VALUE"""),"Neck")</f>
        <v>Neck</v>
      </c>
      <c r="E742" s="16">
        <f>IFERROR(__xludf.DUMMYFUNCTION("""COMPUTED_VALUE"""),1.0)</f>
        <v>1</v>
      </c>
      <c r="F742" s="16" t="str">
        <f>IFERROR(__xludf.DUMMYFUNCTION("""COMPUTED_VALUE""")," ++1000 additional HP and SP for every piece of Dragonscale equipment equipped +-Cannot be forged or duplicated")</f>
        <v> ++1000 additional HP and SP for every piece of Dragonscale equipment equipped +-Cannot be forged or duplicated</v>
      </c>
      <c r="G742" s="16">
        <f>IFERROR(__xludf.DUMMYFUNCTION("""COMPUTED_VALUE"""),0.0)</f>
        <v>0</v>
      </c>
      <c r="H742" s="16"/>
      <c r="I742" s="16"/>
      <c r="J742" s="16"/>
      <c r="K742" s="16"/>
      <c r="L742" s="16"/>
      <c r="M742" s="16"/>
      <c r="N742" s="16"/>
      <c r="O742" s="16"/>
      <c r="P742" s="16"/>
      <c r="Q742" s="16"/>
      <c r="R742" s="16"/>
      <c r="S742" s="16"/>
      <c r="T742" s="16"/>
      <c r="U742" s="16"/>
      <c r="V742" s="16"/>
      <c r="W742" s="16"/>
      <c r="X742" s="16"/>
      <c r="Y742" s="16"/>
      <c r="Z742" s="16"/>
    </row>
    <row r="743">
      <c r="A743" s="16" t="str">
        <f>IFERROR(__xludf.DUMMYFUNCTION("""COMPUTED_VALUE"""),"Dragonscale Sandals")</f>
        <v>Dragonscale Sandals</v>
      </c>
      <c r="B743" s="16"/>
      <c r="C743" s="16" t="str">
        <f>IFERROR(__xludf.DUMMYFUNCTION("""COMPUTED_VALUE"""),"Item")</f>
        <v>Item</v>
      </c>
      <c r="D743" s="16" t="str">
        <f>IFERROR(__xludf.DUMMYFUNCTION("""COMPUTED_VALUE"""),"Feet")</f>
        <v>Feet</v>
      </c>
      <c r="E743" s="16">
        <f>IFERROR(__xludf.DUMMYFUNCTION("""COMPUTED_VALUE"""),1.0)</f>
        <v>1</v>
      </c>
      <c r="F743" s="16" t="str">
        <f>IFERROR(__xludf.DUMMYFUNCTION("""COMPUTED_VALUE""")," ++2 Mobility +-Cannot be forged or duplicated")</f>
        <v> ++2 Mobility +-Cannot be forged or duplicated</v>
      </c>
      <c r="G743" s="16">
        <f>IFERROR(__xludf.DUMMYFUNCTION("""COMPUTED_VALUE"""),0.0)</f>
        <v>0</v>
      </c>
      <c r="H743" s="16"/>
      <c r="I743" s="16"/>
      <c r="J743" s="16"/>
      <c r="K743" s="16"/>
      <c r="L743" s="16"/>
      <c r="M743" s="16"/>
      <c r="N743" s="16"/>
      <c r="O743" s="16"/>
      <c r="P743" s="16"/>
      <c r="Q743" s="16"/>
      <c r="R743" s="16"/>
      <c r="S743" s="16"/>
      <c r="T743" s="16"/>
      <c r="U743" s="16"/>
      <c r="V743" s="16"/>
      <c r="W743" s="16"/>
      <c r="X743" s="16"/>
      <c r="Y743" s="16"/>
      <c r="Z743" s="16"/>
    </row>
    <row r="744">
      <c r="A744" s="16" t="str">
        <f>IFERROR(__xludf.DUMMYFUNCTION("""COMPUTED_VALUE"""),"Dragonscale Talisman")</f>
        <v>Dragonscale Talisman</v>
      </c>
      <c r="B744" s="16"/>
      <c r="C744" s="16" t="str">
        <f>IFERROR(__xludf.DUMMYFUNCTION("""COMPUTED_VALUE"""),"Item")</f>
        <v>Item</v>
      </c>
      <c r="D744" s="16" t="str">
        <f>IFERROR(__xludf.DUMMYFUNCTION("""COMPUTED_VALUE"""),"Neck")</f>
        <v>Neck</v>
      </c>
      <c r="E744" s="16">
        <f>IFERROR(__xludf.DUMMYFUNCTION("""COMPUTED_VALUE"""),1.0)</f>
        <v>1</v>
      </c>
      <c r="F744" s="16" t="str">
        <f>IFERROR(__xludf.DUMMYFUNCTION("""COMPUTED_VALUE""")," ++10000 additional HP and SP, +-Cannot be forged or duplicated")</f>
        <v> ++10000 additional HP and SP, +-Cannot be forged or duplicated</v>
      </c>
      <c r="G744" s="16">
        <f>IFERROR(__xludf.DUMMYFUNCTION("""COMPUTED_VALUE"""),0.0)</f>
        <v>0</v>
      </c>
      <c r="H744" s="16"/>
      <c r="I744" s="16"/>
      <c r="J744" s="16"/>
      <c r="K744" s="16"/>
      <c r="L744" s="16"/>
      <c r="M744" s="16"/>
      <c r="N744" s="16"/>
      <c r="O744" s="16"/>
      <c r="P744" s="16"/>
      <c r="Q744" s="16"/>
      <c r="R744" s="16"/>
      <c r="S744" s="16"/>
      <c r="T744" s="16"/>
      <c r="U744" s="16"/>
      <c r="V744" s="16"/>
      <c r="W744" s="16"/>
      <c r="X744" s="16"/>
      <c r="Y744" s="16"/>
      <c r="Z744" s="16"/>
    </row>
    <row r="745">
      <c r="A745" s="16" t="str">
        <f>IFERROR(__xludf.DUMMYFUNCTION("""COMPUTED_VALUE"""),"Dragonscale Water Ring")</f>
        <v>Dragonscale Water Ring</v>
      </c>
      <c r="B745" s="16"/>
      <c r="C745" s="16" t="str">
        <f>IFERROR(__xludf.DUMMYFUNCTION("""COMPUTED_VALUE"""),"Item")</f>
        <v>Item</v>
      </c>
      <c r="D745" s="16" t="str">
        <f>IFERROR(__xludf.DUMMYFUNCTION("""COMPUTED_VALUE"""),"Finger")</f>
        <v>Finger</v>
      </c>
      <c r="E745" s="16">
        <f>IFERROR(__xludf.DUMMYFUNCTION("""COMPUTED_VALUE"""),1.0)</f>
        <v>1</v>
      </c>
      <c r="F745" s="16" t="str">
        <f>IFERROR(__xludf.DUMMYFUNCTION("""COMPUTED_VALUE""")," ++Converts all Natural damage to Water damage +-Cannot be duplicated")</f>
        <v> ++Converts all Natural damage to Water damage +-Cannot be duplicated</v>
      </c>
      <c r="G745" s="16">
        <f>IFERROR(__xludf.DUMMYFUNCTION("""COMPUTED_VALUE"""),0.0)</f>
        <v>0</v>
      </c>
      <c r="H745" s="16"/>
      <c r="I745" s="16"/>
      <c r="J745" s="16"/>
      <c r="K745" s="16"/>
      <c r="L745" s="16"/>
      <c r="M745" s="16"/>
      <c r="N745" s="16"/>
      <c r="O745" s="16"/>
      <c r="P745" s="16"/>
      <c r="Q745" s="16"/>
      <c r="R745" s="16"/>
      <c r="S745" s="16"/>
      <c r="T745" s="16"/>
      <c r="U745" s="16"/>
      <c r="V745" s="16"/>
      <c r="W745" s="16"/>
      <c r="X745" s="16"/>
      <c r="Y745" s="16"/>
      <c r="Z745" s="16"/>
    </row>
    <row r="746">
      <c r="A746" s="16" t="str">
        <f>IFERROR(__xludf.DUMMYFUNCTION("""COMPUTED_VALUE"""),"Dragonscale Gauntlets")</f>
        <v>Dragonscale Gauntlets</v>
      </c>
      <c r="B746" s="16"/>
      <c r="C746" s="16" t="str">
        <f>IFERROR(__xludf.DUMMYFUNCTION("""COMPUTED_VALUE"""),"Gauntlet")</f>
        <v>Gauntlet</v>
      </c>
      <c r="D746" s="16" t="str">
        <f>IFERROR(__xludf.DUMMYFUNCTION("""COMPUTED_VALUE"""),"Hand")</f>
        <v>Hand</v>
      </c>
      <c r="E746" s="16">
        <f>IFERROR(__xludf.DUMMYFUNCTION("""COMPUTED_VALUE"""),2000.0)</f>
        <v>2000</v>
      </c>
      <c r="F746" s="16" t="str">
        <f>IFERROR(__xludf.DUMMYFUNCTION("""COMPUTED_VALUE"""),"DEF: +100000")</f>
        <v>DEF: +100000</v>
      </c>
      <c r="G746" s="16">
        <f>IFERROR(__xludf.DUMMYFUNCTION("""COMPUTED_VALUE"""),1.99E8)</f>
        <v>199000000</v>
      </c>
      <c r="H746" s="16"/>
      <c r="I746" s="16"/>
      <c r="J746" s="16"/>
      <c r="K746" s="16"/>
      <c r="L746" s="16"/>
      <c r="M746" s="16"/>
      <c r="N746" s="16"/>
      <c r="O746" s="16"/>
      <c r="P746" s="16"/>
      <c r="Q746" s="16"/>
      <c r="R746" s="16"/>
      <c r="S746" s="16"/>
      <c r="T746" s="16"/>
      <c r="U746" s="16"/>
      <c r="V746" s="16"/>
      <c r="W746" s="16"/>
      <c r="X746" s="16"/>
      <c r="Y746" s="16"/>
      <c r="Z746" s="16"/>
    </row>
    <row r="747">
      <c r="A747" s="16" t="str">
        <f>IFERROR(__xludf.DUMMYFUNCTION("""COMPUTED_VALUE"""),"Fire Dragonscale Bow")</f>
        <v>Fire Dragonscale Bow</v>
      </c>
      <c r="B747" s="16"/>
      <c r="C747" s="16" t="str">
        <f>IFERROR(__xludf.DUMMYFUNCTION("""COMPUTED_VALUE"""),"Bow")</f>
        <v>Bow</v>
      </c>
      <c r="D747" s="16" t="str">
        <f>IFERROR(__xludf.DUMMYFUNCTION("""COMPUTED_VALUE"""),"Hand")</f>
        <v>Hand</v>
      </c>
      <c r="E747" s="16">
        <f>IFERROR(__xludf.DUMMYFUNCTION("""COMPUTED_VALUE"""),3000.0)</f>
        <v>3000</v>
      </c>
      <c r="F747" s="16" t="str">
        <f>IFERROR(__xludf.DUMMYFUNCTION("""COMPUTED_VALUE"""),"DMG: +20000, Fire DMG: +130000")</f>
        <v>DMG: +20000, Fire DMG: +130000</v>
      </c>
      <c r="G747" s="16">
        <f>IFERROR(__xludf.DUMMYFUNCTION("""COMPUTED_VALUE"""),4.485E8)</f>
        <v>448500000</v>
      </c>
      <c r="H747" s="16"/>
      <c r="I747" s="16"/>
      <c r="J747" s="16"/>
      <c r="K747" s="16"/>
      <c r="L747" s="16"/>
      <c r="M747" s="16"/>
      <c r="N747" s="16"/>
      <c r="O747" s="16"/>
      <c r="P747" s="16"/>
      <c r="Q747" s="16"/>
      <c r="R747" s="16"/>
      <c r="S747" s="16"/>
      <c r="T747" s="16"/>
      <c r="U747" s="16"/>
      <c r="V747" s="16"/>
      <c r="W747" s="16"/>
      <c r="X747" s="16"/>
      <c r="Y747" s="16"/>
      <c r="Z747" s="16"/>
    </row>
    <row r="748">
      <c r="A748" s="16" t="str">
        <f>IFERROR(__xludf.DUMMYFUNCTION("""COMPUTED_VALUE"""),"Storm Dragonscale Flail")</f>
        <v>Storm Dragonscale Flail</v>
      </c>
      <c r="B748" s="16"/>
      <c r="C748" s="16" t="str">
        <f>IFERROR(__xludf.DUMMYFUNCTION("""COMPUTED_VALUE"""),"Club")</f>
        <v>Club</v>
      </c>
      <c r="D748" s="16" t="str">
        <f>IFERROR(__xludf.DUMMYFUNCTION("""COMPUTED_VALUE"""),"Hand")</f>
        <v>Hand</v>
      </c>
      <c r="E748" s="16">
        <f>IFERROR(__xludf.DUMMYFUNCTION("""COMPUTED_VALUE"""),2400.0)</f>
        <v>2400</v>
      </c>
      <c r="F748" s="16" t="str">
        <f>IFERROR(__xludf.DUMMYFUNCTION("""COMPUTED_VALUE"""),"DMG: +20000, Storm DMG: +100000 ++If multiple enemies of the same type are present, attacks hit all enemies of that type. +-Cannot be forged or duplicated")</f>
        <v>DMG: +20000, Storm DMG: +100000 ++If multiple enemies of the same type are present, attacks hit all enemies of that type. +-Cannot be forged or duplicated</v>
      </c>
      <c r="G748" s="16">
        <f>IFERROR(__xludf.DUMMYFUNCTION("""COMPUTED_VALUE"""),2.868E8)</f>
        <v>286800000</v>
      </c>
      <c r="H748" s="16"/>
      <c r="I748" s="16"/>
      <c r="J748" s="16"/>
      <c r="K748" s="16"/>
      <c r="L748" s="16"/>
      <c r="M748" s="16"/>
      <c r="N748" s="16"/>
      <c r="O748" s="16"/>
      <c r="P748" s="16"/>
      <c r="Q748" s="16"/>
      <c r="R748" s="16"/>
      <c r="S748" s="16"/>
      <c r="T748" s="16"/>
      <c r="U748" s="16"/>
      <c r="V748" s="16"/>
      <c r="W748" s="16"/>
      <c r="X748" s="16"/>
      <c r="Y748" s="16"/>
      <c r="Z748" s="16"/>
    </row>
    <row r="749">
      <c r="A749" s="16" t="str">
        <f>IFERROR(__xludf.DUMMYFUNCTION("""COMPUTED_VALUE"""),"Dragonscale Spear")</f>
        <v>Dragonscale Spear</v>
      </c>
      <c r="B749" s="16"/>
      <c r="C749" s="16" t="str">
        <f>IFERROR(__xludf.DUMMYFUNCTION("""COMPUTED_VALUE"""),"Spear")</f>
        <v>Spear</v>
      </c>
      <c r="D749" s="16" t="str">
        <f>IFERROR(__xludf.DUMMYFUNCTION("""COMPUTED_VALUE"""),"Hand")</f>
        <v>Hand</v>
      </c>
      <c r="E749" s="16">
        <f>IFERROR(__xludf.DUMMYFUNCTION("""COMPUTED_VALUE"""),2800.0)</f>
        <v>2800</v>
      </c>
      <c r="F749" s="16" t="str">
        <f>IFERROR(__xludf.DUMMYFUNCTION("""COMPUTED_VALUE"""),"DMG: +140000")</f>
        <v>DMG: +140000</v>
      </c>
      <c r="G749" s="16">
        <f>IFERROR(__xludf.DUMMYFUNCTION("""COMPUTED_VALUE"""),3.906E8)</f>
        <v>390600000</v>
      </c>
      <c r="H749" s="16"/>
      <c r="I749" s="16"/>
      <c r="J749" s="16"/>
      <c r="K749" s="16"/>
      <c r="L749" s="16"/>
      <c r="M749" s="16"/>
      <c r="N749" s="16"/>
      <c r="O749" s="16"/>
      <c r="P749" s="16"/>
      <c r="Q749" s="16"/>
      <c r="R749" s="16"/>
      <c r="S749" s="16"/>
      <c r="T749" s="16"/>
      <c r="U749" s="16"/>
      <c r="V749" s="16"/>
      <c r="W749" s="16"/>
      <c r="X749" s="16"/>
      <c r="Y749" s="16"/>
      <c r="Z749" s="16"/>
    </row>
    <row r="750">
      <c r="A750" s="16" t="str">
        <f>IFERROR(__xludf.DUMMYFUNCTION("""COMPUTED_VALUE"""),"Dragonscale Scythe")</f>
        <v>Dragonscale Scythe</v>
      </c>
      <c r="B750" s="16"/>
      <c r="C750" s="16" t="str">
        <f>IFERROR(__xludf.DUMMYFUNCTION("""COMPUTED_VALUE"""),"Scythe")</f>
        <v>Scythe</v>
      </c>
      <c r="D750" s="16" t="str">
        <f>IFERROR(__xludf.DUMMYFUNCTION("""COMPUTED_VALUE"""),"Hand")</f>
        <v>Hand</v>
      </c>
      <c r="E750" s="16">
        <f>IFERROR(__xludf.DUMMYFUNCTION("""COMPUTED_VALUE"""),2500.0)</f>
        <v>2500</v>
      </c>
      <c r="F750" s="16" t="str">
        <f>IFERROR(__xludf.DUMMYFUNCTION("""COMPUTED_VALUE"""),"DMG: +125000 ++If used to kill a dragon, 100% chance to get its soul. +-Cannot be forged or duplicated")</f>
        <v>DMG: +125000 ++If used to kill a dragon, 100% chance to get its soul. +-Cannot be forged or duplicated</v>
      </c>
      <c r="G750" s="16">
        <f>IFERROR(__xludf.DUMMYFUNCTION("""COMPUTED_VALUE"""),3.1125E8)</f>
        <v>311250000</v>
      </c>
      <c r="H750" s="16"/>
      <c r="I750" s="16"/>
      <c r="J750" s="16"/>
      <c r="K750" s="16"/>
      <c r="L750" s="16"/>
      <c r="M750" s="16"/>
      <c r="N750" s="16"/>
      <c r="O750" s="16"/>
      <c r="P750" s="16"/>
      <c r="Q750" s="16"/>
      <c r="R750" s="16"/>
      <c r="S750" s="16"/>
      <c r="T750" s="16"/>
      <c r="U750" s="16"/>
      <c r="V750" s="16"/>
      <c r="W750" s="16"/>
      <c r="X750" s="16"/>
      <c r="Y750" s="16"/>
      <c r="Z750" s="16"/>
    </row>
    <row r="751">
      <c r="A751" s="16" t="str">
        <f>IFERROR(__xludf.DUMMYFUNCTION("""COMPUTED_VALUE"""),"Dark Dragonscale Claws")</f>
        <v>Dark Dragonscale Claws</v>
      </c>
      <c r="B751" s="16"/>
      <c r="C751" s="16" t="str">
        <f>IFERROR(__xludf.DUMMYFUNCTION("""COMPUTED_VALUE"""),"Claw")</f>
        <v>Claw</v>
      </c>
      <c r="D751" s="16" t="str">
        <f>IFERROR(__xludf.DUMMYFUNCTION("""COMPUTED_VALUE"""),"Hand")</f>
        <v>Hand</v>
      </c>
      <c r="E751" s="16">
        <f>IFERROR(__xludf.DUMMYFUNCTION("""COMPUTED_VALUE"""),2900.0)</f>
        <v>2900</v>
      </c>
      <c r="F751" s="16" t="str">
        <f>IFERROR(__xludf.DUMMYFUNCTION("""COMPUTED_VALUE"""),", Dark DMG: +145000 ++ 30% chance to remove enemy from battle")</f>
        <v>, Dark DMG: +145000 ++ 30% chance to remove enemy from battle</v>
      </c>
      <c r="G751" s="16">
        <f>IFERROR(__xludf.DUMMYFUNCTION("""COMPUTED_VALUE"""),4.1905E8)</f>
        <v>419050000</v>
      </c>
      <c r="H751" s="16"/>
      <c r="I751" s="16"/>
      <c r="J751" s="16"/>
      <c r="K751" s="16"/>
      <c r="L751" s="16"/>
      <c r="M751" s="16"/>
      <c r="N751" s="16"/>
      <c r="O751" s="16"/>
      <c r="P751" s="16"/>
      <c r="Q751" s="16"/>
      <c r="R751" s="16"/>
      <c r="S751" s="16"/>
      <c r="T751" s="16"/>
      <c r="U751" s="16"/>
      <c r="V751" s="16"/>
      <c r="W751" s="16"/>
      <c r="X751" s="16"/>
      <c r="Y751" s="16"/>
      <c r="Z751" s="16"/>
    </row>
    <row r="752">
      <c r="A752" s="16" t="str">
        <f>IFERROR(__xludf.DUMMYFUNCTION("""COMPUTED_VALUE"""),"Chaotic Dragonscale Claw")</f>
        <v>Chaotic Dragonscale Claw</v>
      </c>
      <c r="B752" s="16"/>
      <c r="C752" s="16" t="str">
        <f>IFERROR(__xludf.DUMMYFUNCTION("""COMPUTED_VALUE"""),"Claw")</f>
        <v>Claw</v>
      </c>
      <c r="D752" s="16" t="str">
        <f>IFERROR(__xludf.DUMMYFUNCTION("""COMPUTED_VALUE"""),"Hand")</f>
        <v>Hand</v>
      </c>
      <c r="E752" s="16">
        <f>IFERROR(__xludf.DUMMYFUNCTION("""COMPUTED_VALUE"""),2350.0)</f>
        <v>2350</v>
      </c>
      <c r="F752" s="16" t="str">
        <f>IFERROR(__xludf.DUMMYFUNCTION("""COMPUTED_VALUE"""),"DMG: +1, Chaos DMG: +117000 +-5% chance of dealing 1 damage when attacking")</f>
        <v>DMG: +1, Chaos DMG: +117000 +-5% chance of dealing 1 damage when attacking</v>
      </c>
      <c r="G752" s="16">
        <f>IFERROR(__xludf.DUMMYFUNCTION("""COMPUTED_VALUE"""),2.7261E8)</f>
        <v>272610000</v>
      </c>
      <c r="H752" s="16"/>
      <c r="I752" s="16"/>
      <c r="J752" s="16"/>
      <c r="K752" s="16"/>
      <c r="L752" s="16"/>
      <c r="M752" s="16"/>
      <c r="N752" s="16"/>
      <c r="O752" s="16"/>
      <c r="P752" s="16"/>
      <c r="Q752" s="16"/>
      <c r="R752" s="16"/>
      <c r="S752" s="16"/>
      <c r="T752" s="16"/>
      <c r="U752" s="16"/>
      <c r="V752" s="16"/>
      <c r="W752" s="16"/>
      <c r="X752" s="16"/>
      <c r="Y752" s="16"/>
      <c r="Z752" s="16"/>
    </row>
    <row r="753">
      <c r="A753" s="16" t="str">
        <f>IFERROR(__xludf.DUMMYFUNCTION("""COMPUTED_VALUE"""),"Earthen Dragonscale Boots")</f>
        <v>Earthen Dragonscale Boots</v>
      </c>
      <c r="B753" s="16"/>
      <c r="C753" s="16" t="str">
        <f>IFERROR(__xludf.DUMMYFUNCTION("""COMPUTED_VALUE"""),"Item")</f>
        <v>Item</v>
      </c>
      <c r="D753" s="16" t="str">
        <f>IFERROR(__xludf.DUMMYFUNCTION("""COMPUTED_VALUE"""),"Feet")</f>
        <v>Feet</v>
      </c>
      <c r="E753" s="16">
        <f>IFERROR(__xludf.DUMMYFUNCTION("""COMPUTED_VALUE"""),3000.0)</f>
        <v>3000</v>
      </c>
      <c r="F753" s="16" t="str">
        <f>IFERROR(__xludf.DUMMYFUNCTION("""COMPUTED_VALUE"""),"DEF: +60000, Earth DEF: +90000 ++Immune to Earth spells")</f>
        <v>DEF: +60000, Earth DEF: +90000 ++Immune to Earth spells</v>
      </c>
      <c r="G753" s="16">
        <f>IFERROR(__xludf.DUMMYFUNCTION("""COMPUTED_VALUE"""),4.485E8)</f>
        <v>448500000</v>
      </c>
      <c r="H753" s="16"/>
      <c r="I753" s="16"/>
      <c r="J753" s="16"/>
      <c r="K753" s="16"/>
      <c r="L753" s="16"/>
      <c r="M753" s="16"/>
      <c r="N753" s="16"/>
      <c r="O753" s="16"/>
      <c r="P753" s="16"/>
      <c r="Q753" s="16"/>
      <c r="R753" s="16"/>
      <c r="S753" s="16"/>
      <c r="T753" s="16"/>
      <c r="U753" s="16"/>
      <c r="V753" s="16"/>
      <c r="W753" s="16"/>
      <c r="X753" s="16"/>
      <c r="Y753" s="16"/>
      <c r="Z753" s="16"/>
    </row>
    <row r="754">
      <c r="A754" s="16" t="str">
        <f>IFERROR(__xludf.DUMMYFUNCTION("""COMPUTED_VALUE"""),"Dragonscale Harp")</f>
        <v>Dragonscale Harp</v>
      </c>
      <c r="B754" s="16"/>
      <c r="C754" s="16" t="str">
        <f>IFERROR(__xludf.DUMMYFUNCTION("""COMPUTED_VALUE"""),"Instrument")</f>
        <v>Instrument</v>
      </c>
      <c r="D754" s="16" t="str">
        <f>IFERROR(__xludf.DUMMYFUNCTION("""COMPUTED_VALUE"""),"Hand")</f>
        <v>Hand</v>
      </c>
      <c r="E754" s="16">
        <f>IFERROR(__xludf.DUMMYFUNCTION("""COMPUTED_VALUE"""),2620.0)</f>
        <v>2620</v>
      </c>
      <c r="F754" s="16" t="str">
        <f>IFERROR(__xludf.DUMMYFUNCTION("""COMPUTED_VALUE"""),"DMG: +1000, Acoustic DMG: +130000 ++Causes any dragon enemies to skip its next turn when attacked.")</f>
        <v>DMG: +1000, Acoustic DMG: +130000 ++Causes any dragon enemies to skip its next turn when attacked.</v>
      </c>
      <c r="G754" s="16">
        <f>IFERROR(__xludf.DUMMYFUNCTION("""COMPUTED_VALUE"""),3.4191E8)</f>
        <v>341910000</v>
      </c>
      <c r="H754" s="16"/>
      <c r="I754" s="16"/>
      <c r="J754" s="16"/>
      <c r="K754" s="16"/>
      <c r="L754" s="16"/>
      <c r="M754" s="16"/>
      <c r="N754" s="16"/>
      <c r="O754" s="16"/>
      <c r="P754" s="16"/>
      <c r="Q754" s="16"/>
      <c r="R754" s="16"/>
      <c r="S754" s="16"/>
      <c r="T754" s="16"/>
      <c r="U754" s="16"/>
      <c r="V754" s="16"/>
      <c r="W754" s="16"/>
      <c r="X754" s="16"/>
      <c r="Y754" s="16"/>
      <c r="Z754" s="16"/>
    </row>
    <row r="755">
      <c r="A755" s="16" t="str">
        <f>IFERROR(__xludf.DUMMYFUNCTION("""COMPUTED_VALUE"""),"Dragonscale Bracers")</f>
        <v>Dragonscale Bracers</v>
      </c>
      <c r="B755" s="16"/>
      <c r="C755" s="16" t="str">
        <f>IFERROR(__xludf.DUMMYFUNCTION("""COMPUTED_VALUE"""),"Item")</f>
        <v>Item</v>
      </c>
      <c r="D755" s="16" t="str">
        <f>IFERROR(__xludf.DUMMYFUNCTION("""COMPUTED_VALUE"""),"Arms")</f>
        <v>Arms</v>
      </c>
      <c r="E755" s="16">
        <f>IFERROR(__xludf.DUMMYFUNCTION("""COMPUTED_VALUE"""),2000.0)</f>
        <v>2000</v>
      </c>
      <c r="F755" s="16" t="str">
        <f>IFERROR(__xludf.DUMMYFUNCTION("""COMPUTED_VALUE"""),"DEF: +100000 ++X2 DEF when fighting a dragon(s).")</f>
        <v>DEF: +100000 ++X2 DEF when fighting a dragon(s).</v>
      </c>
      <c r="G755" s="16">
        <f>IFERROR(__xludf.DUMMYFUNCTION("""COMPUTED_VALUE"""),1.99E8)</f>
        <v>199000000</v>
      </c>
      <c r="H755" s="16"/>
      <c r="I755" s="16"/>
      <c r="J755" s="16"/>
      <c r="K755" s="16"/>
      <c r="L755" s="16"/>
      <c r="M755" s="16"/>
      <c r="N755" s="16"/>
      <c r="O755" s="16"/>
      <c r="P755" s="16"/>
      <c r="Q755" s="16"/>
      <c r="R755" s="16"/>
      <c r="S755" s="16"/>
      <c r="T755" s="16"/>
      <c r="U755" s="16"/>
      <c r="V755" s="16"/>
      <c r="W755" s="16"/>
      <c r="X755" s="16"/>
      <c r="Y755" s="16"/>
      <c r="Z755" s="16"/>
    </row>
    <row r="756">
      <c r="A756" s="16" t="str">
        <f>IFERROR(__xludf.DUMMYFUNCTION("""COMPUTED_VALUE"""),"Dragonscale Crown")</f>
        <v>Dragonscale Crown</v>
      </c>
      <c r="B756" s="16"/>
      <c r="C756" s="16" t="str">
        <f>IFERROR(__xludf.DUMMYFUNCTION("""COMPUTED_VALUE"""),"Item")</f>
        <v>Item</v>
      </c>
      <c r="D756" s="16" t="str">
        <f>IFERROR(__xludf.DUMMYFUNCTION("""COMPUTED_VALUE"""),"Head")</f>
        <v>Head</v>
      </c>
      <c r="E756" s="16">
        <f>IFERROR(__xludf.DUMMYFUNCTION("""COMPUTED_VALUE"""),1.0)</f>
        <v>1</v>
      </c>
      <c r="F756" s="16" t="str">
        <f>IFERROR(__xludf.DUMMYFUNCTION("""COMPUTED_VALUE""")," ++7,500 additional HP and SP, +-Cannot be forged or duplicated")</f>
        <v> ++7,500 additional HP and SP, +-Cannot be forged or duplicated</v>
      </c>
      <c r="G756" s="16">
        <f>IFERROR(__xludf.DUMMYFUNCTION("""COMPUTED_VALUE"""),0.0)</f>
        <v>0</v>
      </c>
      <c r="H756" s="16"/>
      <c r="I756" s="16"/>
      <c r="J756" s="16"/>
      <c r="K756" s="16"/>
      <c r="L756" s="16"/>
      <c r="M756" s="16"/>
      <c r="N756" s="16"/>
      <c r="O756" s="16"/>
      <c r="P756" s="16"/>
      <c r="Q756" s="16"/>
      <c r="R756" s="16"/>
      <c r="S756" s="16"/>
      <c r="T756" s="16"/>
      <c r="U756" s="16"/>
      <c r="V756" s="16"/>
      <c r="W756" s="16"/>
      <c r="X756" s="16"/>
      <c r="Y756" s="16"/>
      <c r="Z756" s="16"/>
    </row>
    <row r="757">
      <c r="A757" s="16" t="str">
        <f>IFERROR(__xludf.DUMMYFUNCTION("""COMPUTED_VALUE"""),"Dragonscale Helm")</f>
        <v>Dragonscale Helm</v>
      </c>
      <c r="B757" s="16"/>
      <c r="C757" s="16" t="str">
        <f>IFERROR(__xludf.DUMMYFUNCTION("""COMPUTED_VALUE"""),"Item")</f>
        <v>Item</v>
      </c>
      <c r="D757" s="16" t="str">
        <f>IFERROR(__xludf.DUMMYFUNCTION("""COMPUTED_VALUE"""),"Head")</f>
        <v>Head</v>
      </c>
      <c r="E757" s="16">
        <f>IFERROR(__xludf.DUMMYFUNCTION("""COMPUTED_VALUE"""),2600.0)</f>
        <v>2600</v>
      </c>
      <c r="F757" s="16" t="str">
        <f>IFERROR(__xludf.DUMMYFUNCTION("""COMPUTED_VALUE"""),"DEF: +130000")</f>
        <v>DEF: +130000</v>
      </c>
      <c r="G757" s="16">
        <f>IFERROR(__xludf.DUMMYFUNCTION("""COMPUTED_VALUE"""),3.367E8)</f>
        <v>336700000</v>
      </c>
      <c r="H757" s="16"/>
      <c r="I757" s="16"/>
      <c r="J757" s="16"/>
      <c r="K757" s="16"/>
      <c r="L757" s="16"/>
      <c r="M757" s="16"/>
      <c r="N757" s="16"/>
      <c r="O757" s="16"/>
      <c r="P757" s="16"/>
      <c r="Q757" s="16"/>
      <c r="R757" s="16"/>
      <c r="S757" s="16"/>
      <c r="T757" s="16"/>
      <c r="U757" s="16"/>
      <c r="V757" s="16"/>
      <c r="W757" s="16"/>
      <c r="X757" s="16"/>
      <c r="Y757" s="16"/>
      <c r="Z757" s="16"/>
    </row>
    <row r="758">
      <c r="A758" s="16" t="str">
        <f>IFERROR(__xludf.DUMMYFUNCTION("""COMPUTED_VALUE"""),"Dragonscale Rifle")</f>
        <v>Dragonscale Rifle</v>
      </c>
      <c r="B758" s="16"/>
      <c r="C758" s="16" t="str">
        <f>IFERROR(__xludf.DUMMYFUNCTION("""COMPUTED_VALUE"""),"Firearm")</f>
        <v>Firearm</v>
      </c>
      <c r="D758" s="16" t="str">
        <f>IFERROR(__xludf.DUMMYFUNCTION("""COMPUTED_VALUE"""),"Hand")</f>
        <v>Hand</v>
      </c>
      <c r="E758" s="16">
        <f>IFERROR(__xludf.DUMMYFUNCTION("""COMPUTED_VALUE"""),3400.0)</f>
        <v>3400</v>
      </c>
      <c r="F758" s="16" t="str">
        <f>IFERROR(__xludf.DUMMYFUNCTION("""COMPUTED_VALUE"""),"DMG: +170000  +-Uses bullets")</f>
        <v>DMG: +170000  +-Uses bullets</v>
      </c>
      <c r="G758" s="16">
        <f>IFERROR(__xludf.DUMMYFUNCTION("""COMPUTED_VALUE"""),5.763E8)</f>
        <v>576300000</v>
      </c>
      <c r="H758" s="16"/>
      <c r="I758" s="16"/>
      <c r="J758" s="16"/>
      <c r="K758" s="16"/>
      <c r="L758" s="16"/>
      <c r="M758" s="16"/>
      <c r="N758" s="16"/>
      <c r="O758" s="16"/>
      <c r="P758" s="16"/>
      <c r="Q758" s="16"/>
      <c r="R758" s="16"/>
      <c r="S758" s="16"/>
      <c r="T758" s="16"/>
      <c r="U758" s="16"/>
      <c r="V758" s="16"/>
      <c r="W758" s="16"/>
      <c r="X758" s="16"/>
      <c r="Y758" s="16"/>
      <c r="Z758" s="16"/>
    </row>
    <row r="759">
      <c r="A759" s="16" t="str">
        <f>IFERROR(__xludf.DUMMYFUNCTION("""COMPUTED_VALUE"""),"Searing Dragonscale Staff")</f>
        <v>Searing Dragonscale Staff</v>
      </c>
      <c r="B759" s="16"/>
      <c r="C759" s="16" t="str">
        <f>IFERROR(__xludf.DUMMYFUNCTION("""COMPUTED_VALUE"""),"Staff")</f>
        <v>Staff</v>
      </c>
      <c r="D759" s="16" t="str">
        <f>IFERROR(__xludf.DUMMYFUNCTION("""COMPUTED_VALUE"""),"Hand")</f>
        <v>Hand</v>
      </c>
      <c r="E759" s="16">
        <f>IFERROR(__xludf.DUMMYFUNCTION("""COMPUTED_VALUE"""),3000.0)</f>
        <v>3000</v>
      </c>
      <c r="F759" s="16" t="str">
        <f>IFERROR(__xludf.DUMMYFUNCTION("""COMPUTED_VALUE"""),", Light DMG: +150000")</f>
        <v>, Light DMG: +150000</v>
      </c>
      <c r="G759" s="16">
        <f>IFERROR(__xludf.DUMMYFUNCTION("""COMPUTED_VALUE"""),4.485E8)</f>
        <v>448500000</v>
      </c>
      <c r="H759" s="16"/>
      <c r="I759" s="16"/>
      <c r="J759" s="16"/>
      <c r="K759" s="16"/>
      <c r="L759" s="16"/>
      <c r="M759" s="16"/>
      <c r="N759" s="16"/>
      <c r="O759" s="16"/>
      <c r="P759" s="16"/>
      <c r="Q759" s="16"/>
      <c r="R759" s="16"/>
      <c r="S759" s="16"/>
      <c r="T759" s="16"/>
      <c r="U759" s="16"/>
      <c r="V759" s="16"/>
      <c r="W759" s="16"/>
      <c r="X759" s="16"/>
      <c r="Y759" s="16"/>
      <c r="Z759" s="16"/>
    </row>
    <row r="760">
      <c r="A760" s="16" t="str">
        <f>IFERROR(__xludf.DUMMYFUNCTION("""COMPUTED_VALUE"""),"Forgotten Scythe")</f>
        <v>Forgotten Scythe</v>
      </c>
      <c r="B760" s="16"/>
      <c r="C760" s="16" t="str">
        <f>IFERROR(__xludf.DUMMYFUNCTION("""COMPUTED_VALUE"""),"Scythe")</f>
        <v>Scythe</v>
      </c>
      <c r="D760" s="16" t="str">
        <f>IFERROR(__xludf.DUMMYFUNCTION("""COMPUTED_VALUE"""),"Hand")</f>
        <v>Hand</v>
      </c>
      <c r="E760" s="16">
        <f>IFERROR(__xludf.DUMMYFUNCTION("""COMPUTED_VALUE"""),5800.0)</f>
        <v>5800</v>
      </c>
      <c r="F760" s="16" t="str">
        <f>IFERROR(__xludf.DUMMYFUNCTION("""COMPUTED_VALUE"""),", Chaos DMG: +290000")</f>
        <v>, Chaos DMG: +290000</v>
      </c>
      <c r="G760" s="16">
        <f>IFERROR(__xludf.DUMMYFUNCTION("""COMPUTED_VALUE"""),1.6791E9)</f>
        <v>1679100000</v>
      </c>
      <c r="H760" s="16"/>
      <c r="I760" s="16"/>
      <c r="J760" s="16"/>
      <c r="K760" s="16"/>
      <c r="L760" s="16"/>
      <c r="M760" s="16"/>
      <c r="N760" s="16"/>
      <c r="O760" s="16"/>
      <c r="P760" s="16"/>
      <c r="Q760" s="16"/>
      <c r="R760" s="16"/>
      <c r="S760" s="16"/>
      <c r="T760" s="16"/>
      <c r="U760" s="16"/>
      <c r="V760" s="16"/>
      <c r="W760" s="16"/>
      <c r="X760" s="16"/>
      <c r="Y760" s="16"/>
      <c r="Z760" s="16"/>
    </row>
    <row r="761">
      <c r="A761" s="16" t="str">
        <f>IFERROR(__xludf.DUMMYFUNCTION("""COMPUTED_VALUE"""),"Forsaken Club")</f>
        <v>Forsaken Club</v>
      </c>
      <c r="B761" s="16"/>
      <c r="C761" s="16" t="str">
        <f>IFERROR(__xludf.DUMMYFUNCTION("""COMPUTED_VALUE"""),"Club")</f>
        <v>Club</v>
      </c>
      <c r="D761" s="16" t="str">
        <f>IFERROR(__xludf.DUMMYFUNCTION("""COMPUTED_VALUE"""),"Hand")</f>
        <v>Hand</v>
      </c>
      <c r="E761" s="16">
        <f>IFERROR(__xludf.DUMMYFUNCTION("""COMPUTED_VALUE"""),5000.0)</f>
        <v>5000</v>
      </c>
      <c r="F761" s="16" t="str">
        <f>IFERROR(__xludf.DUMMYFUNCTION("""COMPUTED_VALUE"""),"DMG: +250000")</f>
        <v>DMG: +250000</v>
      </c>
      <c r="G761" s="16">
        <f>IFERROR(__xludf.DUMMYFUNCTION("""COMPUTED_VALUE"""),1.2475E9)</f>
        <v>1247500000</v>
      </c>
      <c r="H761" s="16"/>
      <c r="I761" s="16"/>
      <c r="J761" s="16"/>
      <c r="K761" s="16"/>
      <c r="L761" s="16"/>
      <c r="M761" s="16"/>
      <c r="N761" s="16"/>
      <c r="O761" s="16"/>
      <c r="P761" s="16"/>
      <c r="Q761" s="16"/>
      <c r="R761" s="16"/>
      <c r="S761" s="16"/>
      <c r="T761" s="16"/>
      <c r="U761" s="16"/>
      <c r="V761" s="16"/>
      <c r="W761" s="16"/>
      <c r="X761" s="16"/>
      <c r="Y761" s="16"/>
      <c r="Z761" s="16"/>
    </row>
    <row r="762">
      <c r="A762" s="16" t="str">
        <f>IFERROR(__xludf.DUMMYFUNCTION("""COMPUTED_VALUE"""),"Demonic Breastplate")</f>
        <v>Demonic Breastplate</v>
      </c>
      <c r="B762" s="16"/>
      <c r="C762" s="16" t="str">
        <f>IFERROR(__xludf.DUMMYFUNCTION("""COMPUTED_VALUE"""),"Item")</f>
        <v>Item</v>
      </c>
      <c r="D762" s="16" t="str">
        <f>IFERROR(__xludf.DUMMYFUNCTION("""COMPUTED_VALUE"""),"Torso")</f>
        <v>Torso</v>
      </c>
      <c r="E762" s="16">
        <f>IFERROR(__xludf.DUMMYFUNCTION("""COMPUTED_VALUE"""),4000.0)</f>
        <v>4000</v>
      </c>
      <c r="F762" s="16" t="str">
        <f>IFERROR(__xludf.DUMMYFUNCTION("""COMPUTED_VALUE"""),"DEF: +50000, Fire DEF: +50000, Dark DEF: +50000, Chaos DEF: +50000")</f>
        <v>DEF: +50000, Fire DEF: +50000, Dark DEF: +50000, Chaos DEF: +50000</v>
      </c>
      <c r="G762" s="16">
        <f>IFERROR(__xludf.DUMMYFUNCTION("""COMPUTED_VALUE"""),7.98E8)</f>
        <v>798000000</v>
      </c>
      <c r="H762" s="16"/>
      <c r="I762" s="16"/>
      <c r="J762" s="16"/>
      <c r="K762" s="16"/>
      <c r="L762" s="16"/>
      <c r="M762" s="16"/>
      <c r="N762" s="16"/>
      <c r="O762" s="16"/>
      <c r="P762" s="16"/>
      <c r="Q762" s="16"/>
      <c r="R762" s="16"/>
      <c r="S762" s="16"/>
      <c r="T762" s="16"/>
      <c r="U762" s="16"/>
      <c r="V762" s="16"/>
      <c r="W762" s="16"/>
      <c r="X762" s="16"/>
      <c r="Y762" s="16"/>
      <c r="Z762" s="16"/>
    </row>
    <row r="763">
      <c r="A763" s="16" t="str">
        <f>IFERROR(__xludf.DUMMYFUNCTION("""COMPUTED_VALUE"""),"Fallen Ruler's Crown")</f>
        <v>Fallen Ruler's Crown</v>
      </c>
      <c r="B763" s="16"/>
      <c r="C763" s="16" t="str">
        <f>IFERROR(__xludf.DUMMYFUNCTION("""COMPUTED_VALUE"""),"Item")</f>
        <v>Item</v>
      </c>
      <c r="D763" s="16" t="str">
        <f>IFERROR(__xludf.DUMMYFUNCTION("""COMPUTED_VALUE"""),"Head")</f>
        <v>Head</v>
      </c>
      <c r="E763" s="16">
        <f>IFERROR(__xludf.DUMMYFUNCTION("""COMPUTED_VALUE"""),1.0)</f>
        <v>1</v>
      </c>
      <c r="F763" s="16" t="str">
        <f>IFERROR(__xludf.DUMMYFUNCTION("""COMPUTED_VALUE""")," ++5% chance undead enemies will willingly surrender +-Cannot be forged or duplicated")</f>
        <v> ++5% chance undead enemies will willingly surrender +-Cannot be forged or duplicated</v>
      </c>
      <c r="G763" s="16">
        <f>IFERROR(__xludf.DUMMYFUNCTION("""COMPUTED_VALUE"""),0.0)</f>
        <v>0</v>
      </c>
      <c r="H763" s="16"/>
      <c r="I763" s="16"/>
      <c r="J763" s="16"/>
      <c r="K763" s="16"/>
      <c r="L763" s="16"/>
      <c r="M763" s="16"/>
      <c r="N763" s="16"/>
      <c r="O763" s="16"/>
      <c r="P763" s="16"/>
      <c r="Q763" s="16"/>
      <c r="R763" s="16"/>
      <c r="S763" s="16"/>
      <c r="T763" s="16"/>
      <c r="U763" s="16"/>
      <c r="V763" s="16"/>
      <c r="W763" s="16"/>
      <c r="X763" s="16"/>
      <c r="Y763" s="16"/>
      <c r="Z763" s="16"/>
    </row>
    <row r="764">
      <c r="A764" s="16" t="str">
        <f>IFERROR(__xludf.DUMMYFUNCTION("""COMPUTED_VALUE"""),"Old Knife")</f>
        <v>Old Knife</v>
      </c>
      <c r="B764" s="16"/>
      <c r="C764" s="16" t="str">
        <f>IFERROR(__xludf.DUMMYFUNCTION("""COMPUTED_VALUE"""),"Knife")</f>
        <v>Knife</v>
      </c>
      <c r="D764" s="16" t="str">
        <f>IFERROR(__xludf.DUMMYFUNCTION("""COMPUTED_VALUE"""),"Hand")</f>
        <v>Hand</v>
      </c>
      <c r="E764" s="16">
        <f>IFERROR(__xludf.DUMMYFUNCTION("""COMPUTED_VALUE"""),3640.0)</f>
        <v>3640</v>
      </c>
      <c r="F764" s="16" t="str">
        <f>IFERROR(__xludf.DUMMYFUNCTION("""COMPUTED_VALUE"""),"DMG: +12000, Blood DMG: +170000")</f>
        <v>DMG: +12000, Blood DMG: +170000</v>
      </c>
      <c r="G764" s="16">
        <f>IFERROR(__xludf.DUMMYFUNCTION("""COMPUTED_VALUE"""),6.6066E8)</f>
        <v>660660000</v>
      </c>
      <c r="H764" s="16"/>
      <c r="I764" s="16"/>
      <c r="J764" s="16"/>
      <c r="K764" s="16"/>
      <c r="L764" s="16"/>
      <c r="M764" s="16"/>
      <c r="N764" s="16"/>
      <c r="O764" s="16"/>
      <c r="P764" s="16"/>
      <c r="Q764" s="16"/>
      <c r="R764" s="16"/>
      <c r="S764" s="16"/>
      <c r="T764" s="16"/>
      <c r="U764" s="16"/>
      <c r="V764" s="16"/>
      <c r="W764" s="16"/>
      <c r="X764" s="16"/>
      <c r="Y764" s="16"/>
      <c r="Z764" s="16"/>
    </row>
    <row r="765">
      <c r="A765" s="16" t="str">
        <f>IFERROR(__xludf.DUMMYFUNCTION("""COMPUTED_VALUE"""),"Plunderbuss")</f>
        <v>Plunderbuss</v>
      </c>
      <c r="B765" s="16"/>
      <c r="C765" s="16" t="str">
        <f>IFERROR(__xludf.DUMMYFUNCTION("""COMPUTED_VALUE"""),"Firearm")</f>
        <v>Firearm</v>
      </c>
      <c r="D765" s="16" t="str">
        <f>IFERROR(__xludf.DUMMYFUNCTION("""COMPUTED_VALUE"""),"Hand")</f>
        <v>Hand</v>
      </c>
      <c r="E765" s="16">
        <f>IFERROR(__xludf.DUMMYFUNCTION("""COMPUTED_VALUE"""),3800.0)</f>
        <v>3800</v>
      </c>
      <c r="F765" s="16" t="str">
        <f>IFERROR(__xludf.DUMMYFUNCTION("""COMPUTED_VALUE"""),"DMG: +190000 +-Uses bullets, ++Get two of every loot drop you roll. +-Cannot be forged or duplicated")</f>
        <v>DMG: +190000 +-Uses bullets, ++Get two of every loot drop you roll. +-Cannot be forged or duplicated</v>
      </c>
      <c r="G765" s="16">
        <f>IFERROR(__xludf.DUMMYFUNCTION("""COMPUTED_VALUE"""),7.201E8)</f>
        <v>720100000</v>
      </c>
      <c r="H765" s="16"/>
      <c r="I765" s="16"/>
      <c r="J765" s="16"/>
      <c r="K765" s="16"/>
      <c r="L765" s="16"/>
      <c r="M765" s="16"/>
      <c r="N765" s="16"/>
      <c r="O765" s="16"/>
      <c r="P765" s="16"/>
      <c r="Q765" s="16"/>
      <c r="R765" s="16"/>
      <c r="S765" s="16"/>
      <c r="T765" s="16"/>
      <c r="U765" s="16"/>
      <c r="V765" s="16"/>
      <c r="W765" s="16"/>
      <c r="X765" s="16"/>
      <c r="Y765" s="16"/>
      <c r="Z765" s="16"/>
    </row>
    <row r="766">
      <c r="A766" s="16" t="str">
        <f>IFERROR(__xludf.DUMMYFUNCTION("""COMPUTED_VALUE"""),"Dragon Destroyer")</f>
        <v>Dragon Destroyer</v>
      </c>
      <c r="B766" s="16"/>
      <c r="C766" s="16" t="str">
        <f>IFERROR(__xludf.DUMMYFUNCTION("""COMPUTED_VALUE"""),"Axe")</f>
        <v>Axe</v>
      </c>
      <c r="D766" s="16" t="str">
        <f>IFERROR(__xludf.DUMMYFUNCTION("""COMPUTED_VALUE"""),"Hand")</f>
        <v>Hand</v>
      </c>
      <c r="E766" s="16">
        <f>IFERROR(__xludf.DUMMYFUNCTION("""COMPUTED_VALUE"""),6000.0)</f>
        <v>6000</v>
      </c>
      <c r="F766" s="16" t="str">
        <f>IFERROR(__xludf.DUMMYFUNCTION("""COMPUTED_VALUE"""),"DMG: +300000 ++deals unblockable damage to dragons +-Cannot be forged or duplicated")</f>
        <v>DMG: +300000 ++deals unblockable damage to dragons +-Cannot be forged or duplicated</v>
      </c>
      <c r="G766" s="16">
        <f>IFERROR(__xludf.DUMMYFUNCTION("""COMPUTED_VALUE"""),1.797E9)</f>
        <v>1797000000</v>
      </c>
      <c r="H766" s="16"/>
      <c r="I766" s="16"/>
      <c r="J766" s="16"/>
      <c r="K766" s="16"/>
      <c r="L766" s="16"/>
      <c r="M766" s="16"/>
      <c r="N766" s="16"/>
      <c r="O766" s="16"/>
      <c r="P766" s="16"/>
      <c r="Q766" s="16"/>
      <c r="R766" s="16"/>
      <c r="S766" s="16"/>
      <c r="T766" s="16"/>
      <c r="U766" s="16"/>
      <c r="V766" s="16"/>
      <c r="W766" s="16"/>
      <c r="X766" s="16"/>
      <c r="Y766" s="16"/>
      <c r="Z766" s="16"/>
    </row>
    <row r="767">
      <c r="A767" s="16" t="str">
        <f>IFERROR(__xludf.DUMMYFUNCTION("""COMPUTED_VALUE"""),"Dragonscale of Returns")</f>
        <v>Dragonscale of Returns</v>
      </c>
      <c r="B767" s="16"/>
      <c r="C767" s="16" t="str">
        <f>IFERROR(__xludf.DUMMYFUNCTION("""COMPUTED_VALUE"""),"Boomerang")</f>
        <v>Boomerang</v>
      </c>
      <c r="D767" s="16" t="str">
        <f>IFERROR(__xludf.DUMMYFUNCTION("""COMPUTED_VALUE"""),"Hand")</f>
        <v>Hand</v>
      </c>
      <c r="E767" s="16">
        <f>IFERROR(__xludf.DUMMYFUNCTION("""COMPUTED_VALUE"""),1500.0)</f>
        <v>1500</v>
      </c>
      <c r="F767" s="16" t="str">
        <f>IFERROR(__xludf.DUMMYFUNCTION("""COMPUTED_VALUE"""),"DMG: +75000 ++Receive a dragon scale when thrown at a dragon, +-Cannot be forged or duplicated")</f>
        <v>DMG: +75000 ++Receive a dragon scale when thrown at a dragon, +-Cannot be forged or duplicated</v>
      </c>
      <c r="G767" s="16">
        <f>IFERROR(__xludf.DUMMYFUNCTION("""COMPUTED_VALUE"""),1.1175E8)</f>
        <v>111750000</v>
      </c>
      <c r="H767" s="16"/>
      <c r="I767" s="16"/>
      <c r="J767" s="16"/>
      <c r="K767" s="16"/>
      <c r="L767" s="16"/>
      <c r="M767" s="16"/>
      <c r="N767" s="16"/>
      <c r="O767" s="16"/>
      <c r="P767" s="16"/>
      <c r="Q767" s="16"/>
      <c r="R767" s="16"/>
      <c r="S767" s="16"/>
      <c r="T767" s="16"/>
      <c r="U767" s="16"/>
      <c r="V767" s="16"/>
      <c r="W767" s="16"/>
      <c r="X767" s="16"/>
      <c r="Y767" s="16"/>
      <c r="Z767" s="16"/>
    </row>
    <row r="768">
      <c r="A768" s="16" t="str">
        <f>IFERROR(__xludf.DUMMYFUNCTION("""COMPUTED_VALUE"""),"Brimstone Staff")</f>
        <v>Brimstone Staff</v>
      </c>
      <c r="B768" s="16"/>
      <c r="C768" s="16" t="str">
        <f>IFERROR(__xludf.DUMMYFUNCTION("""COMPUTED_VALUE"""),"Staff")</f>
        <v>Staff</v>
      </c>
      <c r="D768" s="16" t="str">
        <f>IFERROR(__xludf.DUMMYFUNCTION("""COMPUTED_VALUE"""),"Hand")</f>
        <v>Hand</v>
      </c>
      <c r="E768" s="16">
        <f>IFERROR(__xludf.DUMMYFUNCTION("""COMPUTED_VALUE"""),4600.0)</f>
        <v>4600</v>
      </c>
      <c r="F768" s="16" t="str">
        <f>IFERROR(__xludf.DUMMYFUNCTION("""COMPUTED_VALUE"""),", Fire DMG: +230000 ++Fire spells cost half SP, +-Cannot be forged or duplicated")</f>
        <v>, Fire DMG: +230000 ++Fire spells cost half SP, +-Cannot be forged or duplicated</v>
      </c>
      <c r="G768" s="16">
        <f>IFERROR(__xludf.DUMMYFUNCTION("""COMPUTED_VALUE"""),1.0557E9)</f>
        <v>1055700000</v>
      </c>
      <c r="H768" s="16"/>
      <c r="I768" s="16"/>
      <c r="J768" s="16"/>
      <c r="K768" s="16"/>
      <c r="L768" s="16"/>
      <c r="M768" s="16"/>
      <c r="N768" s="16"/>
      <c r="O768" s="16"/>
      <c r="P768" s="16"/>
      <c r="Q768" s="16"/>
      <c r="R768" s="16"/>
      <c r="S768" s="16"/>
      <c r="T768" s="16"/>
      <c r="U768" s="16"/>
      <c r="V768" s="16"/>
      <c r="W768" s="16"/>
      <c r="X768" s="16"/>
      <c r="Y768" s="16"/>
      <c r="Z768" s="16"/>
    </row>
    <row r="769">
      <c r="A769" s="16" t="str">
        <f>IFERROR(__xludf.DUMMYFUNCTION("""COMPUTED_VALUE"""),"Eternal Ember")</f>
        <v>Eternal Ember</v>
      </c>
      <c r="B769" s="16"/>
      <c r="C769" s="16" t="str">
        <f>IFERROR(__xludf.DUMMYFUNCTION("""COMPUTED_VALUE"""),"Item")</f>
        <v>Item</v>
      </c>
      <c r="D769" s="16" t="str">
        <f>IFERROR(__xludf.DUMMYFUNCTION("""COMPUTED_VALUE"""),"Neck")</f>
        <v>Neck</v>
      </c>
      <c r="E769" s="16">
        <f>IFERROR(__xludf.DUMMYFUNCTION("""COMPUTED_VALUE"""),3000.0)</f>
        <v>3000</v>
      </c>
      <c r="F769" s="16" t="str">
        <f>IFERROR(__xludf.DUMMYFUNCTION("""COMPUTED_VALUE"""),", Fire DEF: +150000 ++If you cast a fire spell you can cast it once more in the same turn during battle for no additional SP, +-Cannot be forged or duplicated")</f>
        <v>, Fire DEF: +150000 ++If you cast a fire spell you can cast it once more in the same turn during battle for no additional SP, +-Cannot be forged or duplicated</v>
      </c>
      <c r="G769" s="16">
        <f>IFERROR(__xludf.DUMMYFUNCTION("""COMPUTED_VALUE"""),4.485E8)</f>
        <v>448500000</v>
      </c>
      <c r="H769" s="16"/>
      <c r="I769" s="16"/>
      <c r="J769" s="16"/>
      <c r="K769" s="16"/>
      <c r="L769" s="16"/>
      <c r="M769" s="16"/>
      <c r="N769" s="16"/>
      <c r="O769" s="16"/>
      <c r="P769" s="16"/>
      <c r="Q769" s="16"/>
      <c r="R769" s="16"/>
      <c r="S769" s="16"/>
      <c r="T769" s="16"/>
      <c r="U769" s="16"/>
      <c r="V769" s="16"/>
      <c r="W769" s="16"/>
      <c r="X769" s="16"/>
      <c r="Y769" s="16"/>
      <c r="Z769" s="16"/>
    </row>
    <row r="770">
      <c r="A770" s="16" t="str">
        <f>IFERROR(__xludf.DUMMYFUNCTION("""COMPUTED_VALUE"""),"Crystal Blood")</f>
        <v>Crystal Blood</v>
      </c>
      <c r="B770" s="16"/>
      <c r="C770" s="16" t="str">
        <f>IFERROR(__xludf.DUMMYFUNCTION("""COMPUTED_VALUE"""),"Item")</f>
        <v>Item</v>
      </c>
      <c r="D770" s="16" t="str">
        <f>IFERROR(__xludf.DUMMYFUNCTION("""COMPUTED_VALUE"""),"Neck")</f>
        <v>Neck</v>
      </c>
      <c r="E770" s="16">
        <f>IFERROR(__xludf.DUMMYFUNCTION("""COMPUTED_VALUE"""),1.0)</f>
        <v>1</v>
      </c>
      <c r="F770" s="16" t="str">
        <f>IFERROR(__xludf.DUMMYFUNCTION("""COMPUTED_VALUE""")," ++Wearer's first non-XHP cost blood spell of the battle has no HP cost , +-Cannot be forged or duplicated")</f>
        <v> ++Wearer's first non-XHP cost blood spell of the battle has no HP cost , +-Cannot be forged or duplicated</v>
      </c>
      <c r="G770" s="16">
        <f>IFERROR(__xludf.DUMMYFUNCTION("""COMPUTED_VALUE"""),0.0)</f>
        <v>0</v>
      </c>
      <c r="H770" s="16"/>
      <c r="I770" s="16"/>
      <c r="J770" s="16"/>
      <c r="K770" s="16"/>
      <c r="L770" s="16"/>
      <c r="M770" s="16"/>
      <c r="N770" s="16"/>
      <c r="O770" s="16"/>
      <c r="P770" s="16"/>
      <c r="Q770" s="16"/>
      <c r="R770" s="16"/>
      <c r="S770" s="16"/>
      <c r="T770" s="16"/>
      <c r="U770" s="16"/>
      <c r="V770" s="16"/>
      <c r="W770" s="16"/>
      <c r="X770" s="16"/>
      <c r="Y770" s="16"/>
      <c r="Z770" s="16"/>
    </row>
    <row r="771">
      <c r="A771" s="16" t="str">
        <f>IFERROR(__xludf.DUMMYFUNCTION("""COMPUTED_VALUE"""),"Ultimate Gamble")</f>
        <v>Ultimate Gamble</v>
      </c>
      <c r="B771" s="16"/>
      <c r="C771" s="16" t="str">
        <f>IFERROR(__xludf.DUMMYFUNCTION("""COMPUTED_VALUE"""),"Sword")</f>
        <v>Sword</v>
      </c>
      <c r="D771" s="16" t="str">
        <f>IFERROR(__xludf.DUMMYFUNCTION("""COMPUTED_VALUE"""),"Hand")</f>
        <v>Hand</v>
      </c>
      <c r="E771" s="16">
        <f>IFERROR(__xludf.DUMMYFUNCTION("""COMPUTED_VALUE"""),12000.0)</f>
        <v>12000</v>
      </c>
      <c r="F771" s="16" t="str">
        <f>IFERROR(__xludf.DUMMYFUNCTION("""COMPUTED_VALUE"""),"DMG: +600000 ++Make a Fail/Succeed roll while attacking with this weapon, Success = this weapon becomes unblockable this turn, +-Fail = attack yourself with this weapon.")</f>
        <v>DMG: +600000 ++Make a Fail/Succeed roll while attacking with this weapon, Success = this weapon becomes unblockable this turn, +-Fail = attack yourself with this weapon.</v>
      </c>
      <c r="G771" s="16">
        <f>IFERROR(__xludf.DUMMYFUNCTION("""COMPUTED_VALUE"""),7.194E9)</f>
        <v>7194000000</v>
      </c>
      <c r="H771" s="16"/>
      <c r="I771" s="16"/>
      <c r="J771" s="16"/>
      <c r="K771" s="16"/>
      <c r="L771" s="16"/>
      <c r="M771" s="16"/>
      <c r="N771" s="16"/>
      <c r="O771" s="16"/>
      <c r="P771" s="16"/>
      <c r="Q771" s="16"/>
      <c r="R771" s="16"/>
      <c r="S771" s="16"/>
      <c r="T771" s="16"/>
      <c r="U771" s="16"/>
      <c r="V771" s="16"/>
      <c r="W771" s="16"/>
      <c r="X771" s="16"/>
      <c r="Y771" s="16"/>
      <c r="Z771" s="16"/>
    </row>
    <row r="772">
      <c r="A772" s="16" t="str">
        <f>IFERROR(__xludf.DUMMYFUNCTION("""COMPUTED_VALUE"""),"Awakened Evil")</f>
        <v>Awakened Evil</v>
      </c>
      <c r="B772" s="16"/>
      <c r="C772" s="16" t="str">
        <f>IFERROR(__xludf.DUMMYFUNCTION("""COMPUTED_VALUE"""),"Claw")</f>
        <v>Claw</v>
      </c>
      <c r="D772" s="16" t="str">
        <f>IFERROR(__xludf.DUMMYFUNCTION("""COMPUTED_VALUE"""),"Hand")</f>
        <v>Hand</v>
      </c>
      <c r="E772" s="16">
        <f>IFERROR(__xludf.DUMMYFUNCTION("""COMPUTED_VALUE"""),9000.0)</f>
        <v>9000</v>
      </c>
      <c r="F772" s="16" t="str">
        <f>IFERROR(__xludf.DUMMYFUNCTION("""COMPUTED_VALUE"""),"DMG: +450000")</f>
        <v>DMG: +450000</v>
      </c>
      <c r="G772" s="16">
        <f>IFERROR(__xludf.DUMMYFUNCTION("""COMPUTED_VALUE"""),4.0455E9)</f>
        <v>4045500000</v>
      </c>
      <c r="H772" s="16"/>
      <c r="I772" s="16"/>
      <c r="J772" s="16"/>
      <c r="K772" s="16"/>
      <c r="L772" s="16"/>
      <c r="M772" s="16"/>
      <c r="N772" s="16"/>
      <c r="O772" s="16"/>
      <c r="P772" s="16"/>
      <c r="Q772" s="16"/>
      <c r="R772" s="16"/>
      <c r="S772" s="16"/>
      <c r="T772" s="16"/>
      <c r="U772" s="16"/>
      <c r="V772" s="16"/>
      <c r="W772" s="16"/>
      <c r="X772" s="16"/>
      <c r="Y772" s="16"/>
      <c r="Z772" s="16"/>
    </row>
    <row r="773">
      <c r="A773" s="16" t="str">
        <f>IFERROR(__xludf.DUMMYFUNCTION("""COMPUTED_VALUE"""),"Soldier's Charge")</f>
        <v>Soldier's Charge</v>
      </c>
      <c r="B773" s="16"/>
      <c r="C773" s="16" t="str">
        <f>IFERROR(__xludf.DUMMYFUNCTION("""COMPUTED_VALUE"""),"Firearm")</f>
        <v>Firearm</v>
      </c>
      <c r="D773" s="16" t="str">
        <f>IFERROR(__xludf.DUMMYFUNCTION("""COMPUTED_VALUE"""),"Hand")</f>
        <v>Hand</v>
      </c>
      <c r="E773" s="16">
        <f>IFERROR(__xludf.DUMMYFUNCTION("""COMPUTED_VALUE"""),4400.0)</f>
        <v>4400</v>
      </c>
      <c r="F773" s="16" t="str">
        <f>IFERROR(__xludf.DUMMYFUNCTION("""COMPUTED_VALUE"""),"DMG: +60000, Fire DMG: +60000, Spirit DMG: +100000")</f>
        <v>DMG: +60000, Fire DMG: +60000, Spirit DMG: +100000</v>
      </c>
      <c r="G773" s="16">
        <f>IFERROR(__xludf.DUMMYFUNCTION("""COMPUTED_VALUE"""),9.658E8)</f>
        <v>965800000</v>
      </c>
      <c r="H773" s="16"/>
      <c r="I773" s="16"/>
      <c r="J773" s="16"/>
      <c r="K773" s="16"/>
      <c r="L773" s="16"/>
      <c r="M773" s="16"/>
      <c r="N773" s="16"/>
      <c r="O773" s="16"/>
      <c r="P773" s="16"/>
      <c r="Q773" s="16"/>
      <c r="R773" s="16"/>
      <c r="S773" s="16"/>
      <c r="T773" s="16"/>
      <c r="U773" s="16"/>
      <c r="V773" s="16"/>
      <c r="W773" s="16"/>
      <c r="X773" s="16"/>
      <c r="Y773" s="16"/>
      <c r="Z773" s="16"/>
    </row>
    <row r="774">
      <c r="A774" s="16" t="str">
        <f>IFERROR(__xludf.DUMMYFUNCTION("""COMPUTED_VALUE"""),"Weight of Sin")</f>
        <v>Weight of Sin</v>
      </c>
      <c r="B774" s="16"/>
      <c r="C774" s="16" t="str">
        <f>IFERROR(__xludf.DUMMYFUNCTION("""COMPUTED_VALUE"""),"Item")</f>
        <v>Item</v>
      </c>
      <c r="D774" s="16" t="str">
        <f>IFERROR(__xludf.DUMMYFUNCTION("""COMPUTED_VALUE"""),"Torso")</f>
        <v>Torso</v>
      </c>
      <c r="E774" s="16">
        <f>IFERROR(__xludf.DUMMYFUNCTION("""COMPUTED_VALUE"""),11200.0)</f>
        <v>11200</v>
      </c>
      <c r="F774" s="16" t="str">
        <f>IFERROR(__xludf.DUMMYFUNCTION("""COMPUTED_VALUE"""),"DEF: +560000 +-Always go last in turn order, +-Cannot be removed")</f>
        <v>DEF: +560000 +-Always go last in turn order, +-Cannot be removed</v>
      </c>
      <c r="G774" s="16">
        <f>IFERROR(__xludf.DUMMYFUNCTION("""COMPUTED_VALUE"""),6.2664E9)</f>
        <v>6266400000</v>
      </c>
      <c r="H774" s="16"/>
      <c r="I774" s="16"/>
      <c r="J774" s="16"/>
      <c r="K774" s="16"/>
      <c r="L774" s="16"/>
      <c r="M774" s="16"/>
      <c r="N774" s="16"/>
      <c r="O774" s="16"/>
      <c r="P774" s="16"/>
      <c r="Q774" s="16"/>
      <c r="R774" s="16"/>
      <c r="S774" s="16"/>
      <c r="T774" s="16"/>
      <c r="U774" s="16"/>
      <c r="V774" s="16"/>
      <c r="W774" s="16"/>
      <c r="X774" s="16"/>
      <c r="Y774" s="16"/>
      <c r="Z774" s="16"/>
    </row>
    <row r="775">
      <c r="A775" s="16" t="str">
        <f>IFERROR(__xludf.DUMMYFUNCTION("""COMPUTED_VALUE"""),"Volcano's Summit")</f>
        <v>Volcano's Summit</v>
      </c>
      <c r="B775" s="16"/>
      <c r="C775" s="16" t="str">
        <f>IFERROR(__xludf.DUMMYFUNCTION("""COMPUTED_VALUE"""),"Item")</f>
        <v>Item</v>
      </c>
      <c r="D775" s="16" t="str">
        <f>IFERROR(__xludf.DUMMYFUNCTION("""COMPUTED_VALUE"""),"Head")</f>
        <v>Head</v>
      </c>
      <c r="E775" s="16">
        <f>IFERROR(__xludf.DUMMYFUNCTION("""COMPUTED_VALUE"""),4000.0)</f>
        <v>4000</v>
      </c>
      <c r="F775" s="16" t="str">
        <f>IFERROR(__xludf.DUMMYFUNCTION("""COMPUTED_VALUE"""),", Fire DEF: +200000 ++X2 Fire damage")</f>
        <v>, Fire DEF: +200000 ++X2 Fire damage</v>
      </c>
      <c r="G775" s="16">
        <f>IFERROR(__xludf.DUMMYFUNCTION("""COMPUTED_VALUE"""),7.98E8)</f>
        <v>798000000</v>
      </c>
      <c r="H775" s="16"/>
      <c r="I775" s="16"/>
      <c r="J775" s="16"/>
      <c r="K775" s="16"/>
      <c r="L775" s="16"/>
      <c r="M775" s="16"/>
      <c r="N775" s="16"/>
      <c r="O775" s="16"/>
      <c r="P775" s="16"/>
      <c r="Q775" s="16"/>
      <c r="R775" s="16"/>
      <c r="S775" s="16"/>
      <c r="T775" s="16"/>
      <c r="U775" s="16"/>
      <c r="V775" s="16"/>
      <c r="W775" s="16"/>
      <c r="X775" s="16"/>
      <c r="Y775" s="16"/>
      <c r="Z775" s="16"/>
    </row>
    <row r="776">
      <c r="A776" s="16" t="str">
        <f>IFERROR(__xludf.DUMMYFUNCTION("""COMPUTED_VALUE"""),"Long Distance Loveletter")</f>
        <v>Long Distance Loveletter</v>
      </c>
      <c r="B776" s="16"/>
      <c r="C776" s="16" t="str">
        <f>IFERROR(__xludf.DUMMYFUNCTION("""COMPUTED_VALUE"""),"Firearm")</f>
        <v>Firearm</v>
      </c>
      <c r="D776" s="16" t="str">
        <f>IFERROR(__xludf.DUMMYFUNCTION("""COMPUTED_VALUE"""),"Hand")</f>
        <v>Hand</v>
      </c>
      <c r="E776" s="16">
        <f>IFERROR(__xludf.DUMMYFUNCTION("""COMPUTED_VALUE"""),12000.0)</f>
        <v>12000</v>
      </c>
      <c r="F776" s="16" t="str">
        <f>IFERROR(__xludf.DUMMYFUNCTION("""COMPUTED_VALUE"""),"DMG: +600000 ++10% chance for 1 enemy to become an ally at the beginning of battle.")</f>
        <v>DMG: +600000 ++10% chance for 1 enemy to become an ally at the beginning of battle.</v>
      </c>
      <c r="G776" s="16">
        <f>IFERROR(__xludf.DUMMYFUNCTION("""COMPUTED_VALUE"""),7.194E9)</f>
        <v>7194000000</v>
      </c>
      <c r="H776" s="16"/>
      <c r="I776" s="16"/>
      <c r="J776" s="16"/>
      <c r="K776" s="16"/>
      <c r="L776" s="16"/>
      <c r="M776" s="16"/>
      <c r="N776" s="16"/>
      <c r="O776" s="16"/>
      <c r="P776" s="16"/>
      <c r="Q776" s="16"/>
      <c r="R776" s="16"/>
      <c r="S776" s="16"/>
      <c r="T776" s="16"/>
      <c r="U776" s="16"/>
      <c r="V776" s="16"/>
      <c r="W776" s="16"/>
      <c r="X776" s="16"/>
      <c r="Y776" s="16"/>
      <c r="Z776" s="16"/>
    </row>
    <row r="777">
      <c r="A777" s="16" t="str">
        <f>IFERROR(__xludf.DUMMYFUNCTION("""COMPUTED_VALUE"""),"Cursed Child's Hatchet")</f>
        <v>Cursed Child's Hatchet</v>
      </c>
      <c r="B777" s="16"/>
      <c r="C777" s="16" t="str">
        <f>IFERROR(__xludf.DUMMYFUNCTION("""COMPUTED_VALUE"""),"Axe")</f>
        <v>Axe</v>
      </c>
      <c r="D777" s="16" t="str">
        <f>IFERROR(__xludf.DUMMYFUNCTION("""COMPUTED_VALUE"""),"Hand")</f>
        <v>Hand</v>
      </c>
      <c r="E777" s="16">
        <f>IFERROR(__xludf.DUMMYFUNCTION("""COMPUTED_VALUE"""),3000.0)</f>
        <v>3000</v>
      </c>
      <c r="F777" s="16" t="str">
        <f>IFERROR(__xludf.DUMMYFUNCTION("""COMPUTED_VALUE"""),"DMG: +150000 +- 15% chance of attacking a random ally")</f>
        <v>DMG: +150000 +- 15% chance of attacking a random ally</v>
      </c>
      <c r="G777" s="16">
        <f>IFERROR(__xludf.DUMMYFUNCTION("""COMPUTED_VALUE"""),4.485E8)</f>
        <v>448500000</v>
      </c>
      <c r="H777" s="16"/>
      <c r="I777" s="16"/>
      <c r="J777" s="16"/>
      <c r="K777" s="16"/>
      <c r="L777" s="16"/>
      <c r="M777" s="16"/>
      <c r="N777" s="16"/>
      <c r="O777" s="16"/>
      <c r="P777" s="16"/>
      <c r="Q777" s="16"/>
      <c r="R777" s="16"/>
      <c r="S777" s="16"/>
      <c r="T777" s="16"/>
      <c r="U777" s="16"/>
      <c r="V777" s="16"/>
      <c r="W777" s="16"/>
      <c r="X777" s="16"/>
      <c r="Y777" s="16"/>
      <c r="Z777" s="16"/>
    </row>
    <row r="778">
      <c r="A778" s="16" t="str">
        <f>IFERROR(__xludf.DUMMYFUNCTION("""COMPUTED_VALUE"""),"Helm of Lost Hope")</f>
        <v>Helm of Lost Hope</v>
      </c>
      <c r="B778" s="16"/>
      <c r="C778" s="16" t="str">
        <f>IFERROR(__xludf.DUMMYFUNCTION("""COMPUTED_VALUE"""),"Item")</f>
        <v>Item</v>
      </c>
      <c r="D778" s="16" t="str">
        <f>IFERROR(__xludf.DUMMYFUNCTION("""COMPUTED_VALUE"""),"Head")</f>
        <v>Head</v>
      </c>
      <c r="E778" s="16">
        <f>IFERROR(__xludf.DUMMYFUNCTION("""COMPUTED_VALUE"""),6800.0)</f>
        <v>6800</v>
      </c>
      <c r="F778" s="16" t="str">
        <f>IFERROR(__xludf.DUMMYFUNCTION("""COMPUTED_VALUE"""),"DEF: +340000")</f>
        <v>DEF: +340000</v>
      </c>
      <c r="G778" s="16">
        <f>IFERROR(__xludf.DUMMYFUNCTION("""COMPUTED_VALUE"""),2.3086E9)</f>
        <v>2308600000</v>
      </c>
      <c r="H778" s="16"/>
      <c r="I778" s="16"/>
      <c r="J778" s="16"/>
      <c r="K778" s="16"/>
      <c r="L778" s="16"/>
      <c r="M778" s="16"/>
      <c r="N778" s="16"/>
      <c r="O778" s="16"/>
      <c r="P778" s="16"/>
      <c r="Q778" s="16"/>
      <c r="R778" s="16"/>
      <c r="S778" s="16"/>
      <c r="T778" s="16"/>
      <c r="U778" s="16"/>
      <c r="V778" s="16"/>
      <c r="W778" s="16"/>
      <c r="X778" s="16"/>
      <c r="Y778" s="16"/>
      <c r="Z778" s="16"/>
    </row>
    <row r="779">
      <c r="A779" s="16" t="str">
        <f>IFERROR(__xludf.DUMMYFUNCTION("""COMPUTED_VALUE"""),"Cursed Shield")</f>
        <v>Cursed Shield</v>
      </c>
      <c r="B779" s="16"/>
      <c r="C779" s="16" t="str">
        <f>IFERROR(__xludf.DUMMYFUNCTION("""COMPUTED_VALUE"""),"Towershield")</f>
        <v>Towershield</v>
      </c>
      <c r="D779" s="16" t="str">
        <f>IFERROR(__xludf.DUMMYFUNCTION("""COMPUTED_VALUE"""),"Hand")</f>
        <v>Hand</v>
      </c>
      <c r="E779" s="16">
        <f>IFERROR(__xludf.DUMMYFUNCTION("""COMPUTED_VALUE"""),3200.0)</f>
        <v>3200</v>
      </c>
      <c r="F779" s="16" t="str">
        <f>IFERROR(__xludf.DUMMYFUNCTION("""COMPUTED_VALUE"""),"DEF: +160000 +-Unequipping destroys the item")</f>
        <v>DEF: +160000 +-Unequipping destroys the item</v>
      </c>
      <c r="G779" s="16">
        <f>IFERROR(__xludf.DUMMYFUNCTION("""COMPUTED_VALUE"""),5.104E8)</f>
        <v>510400000</v>
      </c>
      <c r="H779" s="16"/>
      <c r="I779" s="16"/>
      <c r="J779" s="16"/>
      <c r="K779" s="16"/>
      <c r="L779" s="16"/>
      <c r="M779" s="16"/>
      <c r="N779" s="16"/>
      <c r="O779" s="16"/>
      <c r="P779" s="16"/>
      <c r="Q779" s="16"/>
      <c r="R779" s="16"/>
      <c r="S779" s="16"/>
      <c r="T779" s="16"/>
      <c r="U779" s="16"/>
      <c r="V779" s="16"/>
      <c r="W779" s="16"/>
      <c r="X779" s="16"/>
      <c r="Y779" s="16"/>
      <c r="Z779" s="16"/>
    </row>
    <row r="780">
      <c r="A780" s="16" t="str">
        <f>IFERROR(__xludf.DUMMYFUNCTION("""COMPUTED_VALUE"""),"Dragonscale Buckler")</f>
        <v>Dragonscale Buckler</v>
      </c>
      <c r="B780" s="16"/>
      <c r="C780" s="16" t="str">
        <f>IFERROR(__xludf.DUMMYFUNCTION("""COMPUTED_VALUE"""),"Buckler")</f>
        <v>Buckler</v>
      </c>
      <c r="D780" s="16" t="str">
        <f>IFERROR(__xludf.DUMMYFUNCTION("""COMPUTED_VALUE"""),"Hand")</f>
        <v>Hand</v>
      </c>
      <c r="E780" s="16">
        <f>IFERROR(__xludf.DUMMYFUNCTION("""COMPUTED_VALUE"""),2140.0)</f>
        <v>2140</v>
      </c>
      <c r="F780" s="16" t="str">
        <f>IFERROR(__xludf.DUMMYFUNCTION("""COMPUTED_VALUE"""),"DEF: +107000")</f>
        <v>DEF: +107000</v>
      </c>
      <c r="G780" s="16">
        <f>IFERROR(__xludf.DUMMYFUNCTION("""COMPUTED_VALUE"""),2.2791E8)</f>
        <v>227910000</v>
      </c>
      <c r="H780" s="16"/>
      <c r="I780" s="16"/>
      <c r="J780" s="16"/>
      <c r="K780" s="16"/>
      <c r="L780" s="16"/>
      <c r="M780" s="16"/>
      <c r="N780" s="16"/>
      <c r="O780" s="16"/>
      <c r="P780" s="16"/>
      <c r="Q780" s="16"/>
      <c r="R780" s="16"/>
      <c r="S780" s="16"/>
      <c r="T780" s="16"/>
      <c r="U780" s="16"/>
      <c r="V780" s="16"/>
      <c r="W780" s="16"/>
      <c r="X780" s="16"/>
      <c r="Y780" s="16"/>
      <c r="Z780" s="16"/>
    </row>
    <row r="781">
      <c r="A781" s="16" t="str">
        <f>IFERROR(__xludf.DUMMYFUNCTION("""COMPUTED_VALUE"""),"Magma Trident")</f>
        <v>Magma Trident</v>
      </c>
      <c r="B781" s="16"/>
      <c r="C781" s="16" t="str">
        <f>IFERROR(__xludf.DUMMYFUNCTION("""COMPUTED_VALUE"""),"Spear")</f>
        <v>Spear</v>
      </c>
      <c r="D781" s="16" t="str">
        <f>IFERROR(__xludf.DUMMYFUNCTION("""COMPUTED_VALUE"""),"Hand")</f>
        <v>Hand</v>
      </c>
      <c r="E781" s="16">
        <f>IFERROR(__xludf.DUMMYFUNCTION("""COMPUTED_VALUE"""),4000.0)</f>
        <v>4000</v>
      </c>
      <c r="F781" s="16" t="str">
        <f>IFERROR(__xludf.DUMMYFUNCTION("""COMPUTED_VALUE"""),"DMG: +100000, Fire DMG: +100000")</f>
        <v>DMG: +100000, Fire DMG: +100000</v>
      </c>
      <c r="G781" s="16">
        <f>IFERROR(__xludf.DUMMYFUNCTION("""COMPUTED_VALUE"""),7.98E8)</f>
        <v>798000000</v>
      </c>
      <c r="H781" s="16"/>
      <c r="I781" s="16"/>
      <c r="J781" s="16"/>
      <c r="K781" s="16"/>
      <c r="L781" s="16"/>
      <c r="M781" s="16"/>
      <c r="N781" s="16"/>
      <c r="O781" s="16"/>
      <c r="P781" s="16"/>
      <c r="Q781" s="16"/>
      <c r="R781" s="16"/>
      <c r="S781" s="16"/>
      <c r="T781" s="16"/>
      <c r="U781" s="16"/>
      <c r="V781" s="16"/>
      <c r="W781" s="16"/>
      <c r="X781" s="16"/>
      <c r="Y781" s="16"/>
      <c r="Z781" s="16"/>
    </row>
    <row r="782">
      <c r="A782" s="16" t="str">
        <f>IFERROR(__xludf.DUMMYFUNCTION("""COMPUTED_VALUE"""),"Bonemerang")</f>
        <v>Bonemerang</v>
      </c>
      <c r="B782" s="16"/>
      <c r="C782" s="16" t="str">
        <f>IFERROR(__xludf.DUMMYFUNCTION("""COMPUTED_VALUE"""),"Boomerang")</f>
        <v>Boomerang</v>
      </c>
      <c r="D782" s="16" t="str">
        <f>IFERROR(__xludf.DUMMYFUNCTION("""COMPUTED_VALUE"""),"Hand")</f>
        <v>Hand</v>
      </c>
      <c r="E782" s="16">
        <f>IFERROR(__xludf.DUMMYFUNCTION("""COMPUTED_VALUE"""),5200.0)</f>
        <v>5200</v>
      </c>
      <c r="F782" s="16" t="str">
        <f>IFERROR(__xludf.DUMMYFUNCTION("""COMPUTED_VALUE"""),"DMG: +250000, Chaos DMG: +10000")</f>
        <v>DMG: +250000, Chaos DMG: +10000</v>
      </c>
      <c r="G782" s="16">
        <f>IFERROR(__xludf.DUMMYFUNCTION("""COMPUTED_VALUE"""),1.3494E9)</f>
        <v>1349400000</v>
      </c>
      <c r="H782" s="16"/>
      <c r="I782" s="16"/>
      <c r="J782" s="16"/>
      <c r="K782" s="16"/>
      <c r="L782" s="16"/>
      <c r="M782" s="16"/>
      <c r="N782" s="16"/>
      <c r="O782" s="16"/>
      <c r="P782" s="16"/>
      <c r="Q782" s="16"/>
      <c r="R782" s="16"/>
      <c r="S782" s="16"/>
      <c r="T782" s="16"/>
      <c r="U782" s="16"/>
      <c r="V782" s="16"/>
      <c r="W782" s="16"/>
      <c r="X782" s="16"/>
      <c r="Y782" s="16"/>
      <c r="Z782" s="16"/>
    </row>
    <row r="783">
      <c r="A783" s="16" t="str">
        <f>IFERROR(__xludf.DUMMYFUNCTION("""COMPUTED_VALUE"""),"Blamerang")</f>
        <v>Blamerang</v>
      </c>
      <c r="B783" s="16"/>
      <c r="C783" s="16" t="str">
        <f>IFERROR(__xludf.DUMMYFUNCTION("""COMPUTED_VALUE"""),"Boomerang")</f>
        <v>Boomerang</v>
      </c>
      <c r="D783" s="16" t="str">
        <f>IFERROR(__xludf.DUMMYFUNCTION("""COMPUTED_VALUE"""),"Hand")</f>
        <v>Hand</v>
      </c>
      <c r="E783" s="16">
        <f>IFERROR(__xludf.DUMMYFUNCTION("""COMPUTED_VALUE"""),4400.0)</f>
        <v>4400</v>
      </c>
      <c r="F783" s="16" t="str">
        <f>IFERROR(__xludf.DUMMYFUNCTION("""COMPUTED_VALUE"""),"DMG: +20000, Fire DMG: +200000 ++Explodes when thrown at an enemy, hitting other enemies")</f>
        <v>DMG: +20000, Fire DMG: +200000 ++Explodes when thrown at an enemy, hitting other enemies</v>
      </c>
      <c r="G783" s="16">
        <f>IFERROR(__xludf.DUMMYFUNCTION("""COMPUTED_VALUE"""),9.658E8)</f>
        <v>965800000</v>
      </c>
      <c r="H783" s="16"/>
      <c r="I783" s="16"/>
      <c r="J783" s="16"/>
      <c r="K783" s="16"/>
      <c r="L783" s="16"/>
      <c r="M783" s="16"/>
      <c r="N783" s="16"/>
      <c r="O783" s="16"/>
      <c r="P783" s="16"/>
      <c r="Q783" s="16"/>
      <c r="R783" s="16"/>
      <c r="S783" s="16"/>
      <c r="T783" s="16"/>
      <c r="U783" s="16"/>
      <c r="V783" s="16"/>
      <c r="W783" s="16"/>
      <c r="X783" s="16"/>
      <c r="Y783" s="16"/>
      <c r="Z783" s="16"/>
    </row>
    <row r="784">
      <c r="A784" s="16" t="str">
        <f>IFERROR(__xludf.DUMMYFUNCTION("""COMPUTED_VALUE"""),"Condemned Bow")</f>
        <v>Condemned Bow</v>
      </c>
      <c r="B784" s="16"/>
      <c r="C784" s="16" t="str">
        <f>IFERROR(__xludf.DUMMYFUNCTION("""COMPUTED_VALUE"""),"Bow")</f>
        <v>Bow</v>
      </c>
      <c r="D784" s="16" t="str">
        <f>IFERROR(__xludf.DUMMYFUNCTION("""COMPUTED_VALUE"""),"Hand")</f>
        <v>Hand</v>
      </c>
      <c r="E784" s="16">
        <f>IFERROR(__xludf.DUMMYFUNCTION("""COMPUTED_VALUE"""),6000.0)</f>
        <v>6000</v>
      </c>
      <c r="F784" s="16" t="str">
        <f>IFERROR(__xludf.DUMMYFUNCTION("""COMPUTED_VALUE"""),"DMG: +300000 +-5% chance for the DM to take control of your turn")</f>
        <v>DMG: +300000 +-5% chance for the DM to take control of your turn</v>
      </c>
      <c r="G784" s="16">
        <f>IFERROR(__xludf.DUMMYFUNCTION("""COMPUTED_VALUE"""),1.797E9)</f>
        <v>1797000000</v>
      </c>
      <c r="H784" s="16"/>
      <c r="I784" s="16"/>
      <c r="J784" s="16"/>
      <c r="K784" s="16"/>
      <c r="L784" s="16"/>
      <c r="M784" s="16"/>
      <c r="N784" s="16"/>
      <c r="O784" s="16"/>
      <c r="P784" s="16"/>
      <c r="Q784" s="16"/>
      <c r="R784" s="16"/>
      <c r="S784" s="16"/>
      <c r="T784" s="16"/>
      <c r="U784" s="16"/>
      <c r="V784" s="16"/>
      <c r="W784" s="16"/>
      <c r="X784" s="16"/>
      <c r="Y784" s="16"/>
      <c r="Z784" s="16"/>
    </row>
    <row r="785">
      <c r="A785" s="16" t="str">
        <f>IFERROR(__xludf.DUMMYFUNCTION("""COMPUTED_VALUE"""),"Ancient Blacksmith's Soul In A Bottle")</f>
        <v>Ancient Blacksmith's Soul In A Bottle</v>
      </c>
      <c r="B785" s="16"/>
      <c r="C785" s="16" t="str">
        <f>IFERROR(__xludf.DUMMYFUNCTION("""COMPUTED_VALUE"""),"Item")</f>
        <v>Item</v>
      </c>
      <c r="D785" s="16" t="str">
        <f>IFERROR(__xludf.DUMMYFUNCTION("""COMPUTED_VALUE"""),"Neck")</f>
        <v>Neck</v>
      </c>
      <c r="E785" s="16">
        <f>IFERROR(__xludf.DUMMYFUNCTION("""COMPUTED_VALUE"""),1.0)</f>
        <v>1</v>
      </c>
      <c r="F785" s="16" t="str">
        <f>IFERROR(__xludf.DUMMYFUNCTION("""COMPUTED_VALUE""")," ++Forged Weapons deal *X damage, where X is equal to a quarter of the forge amount, if the multiplier is not a whole number, round down to the nearest whole number. X20 Max ")</f>
        <v> ++Forged Weapons deal *X damage, where X is equal to a quarter of the forge amount, if the multiplier is not a whole number, round down to the nearest whole number. X20 Max </v>
      </c>
      <c r="G785" s="16">
        <f>IFERROR(__xludf.DUMMYFUNCTION("""COMPUTED_VALUE"""),0.0)</f>
        <v>0</v>
      </c>
      <c r="H785" s="16"/>
      <c r="I785" s="16"/>
      <c r="J785" s="16"/>
      <c r="K785" s="16"/>
      <c r="L785" s="16"/>
      <c r="M785" s="16"/>
      <c r="N785" s="16"/>
      <c r="O785" s="16"/>
      <c r="P785" s="16"/>
      <c r="Q785" s="16"/>
      <c r="R785" s="16"/>
      <c r="S785" s="16"/>
      <c r="T785" s="16"/>
      <c r="U785" s="16"/>
      <c r="V785" s="16"/>
      <c r="W785" s="16"/>
      <c r="X785" s="16"/>
      <c r="Y785" s="16"/>
      <c r="Z785" s="16"/>
    </row>
    <row r="786">
      <c r="A786" s="16" t="str">
        <f>IFERROR(__xludf.DUMMYFUNCTION("""COMPUTED_VALUE"""),"Ancient Breeder's Soul In A Bottle")</f>
        <v>Ancient Breeder's Soul In A Bottle</v>
      </c>
      <c r="B786" s="16"/>
      <c r="C786" s="16" t="str">
        <f>IFERROR(__xludf.DUMMYFUNCTION("""COMPUTED_VALUE"""),"Item")</f>
        <v>Item</v>
      </c>
      <c r="D786" s="16" t="str">
        <f>IFERROR(__xludf.DUMMYFUNCTION("""COMPUTED_VALUE"""),"Neck")</f>
        <v>Neck</v>
      </c>
      <c r="E786" s="16">
        <f>IFERROR(__xludf.DUMMYFUNCTION("""COMPUTED_VALUE"""),1.0)</f>
        <v>1</v>
      </c>
      <c r="F786" s="16" t="str">
        <f>IFERROR(__xludf.DUMMYFUNCTION("""COMPUTED_VALUE""")," ++All creatures hatched from an egg deal X5 damage of all types.")</f>
        <v> ++All creatures hatched from an egg deal X5 damage of all types.</v>
      </c>
      <c r="G786" s="16">
        <f>IFERROR(__xludf.DUMMYFUNCTION("""COMPUTED_VALUE"""),0.0)</f>
        <v>0</v>
      </c>
      <c r="H786" s="16"/>
      <c r="I786" s="16"/>
      <c r="J786" s="16"/>
      <c r="K786" s="16"/>
      <c r="L786" s="16"/>
      <c r="M786" s="16"/>
      <c r="N786" s="16"/>
      <c r="O786" s="16"/>
      <c r="P786" s="16"/>
      <c r="Q786" s="16"/>
      <c r="R786" s="16"/>
      <c r="S786" s="16"/>
      <c r="T786" s="16"/>
      <c r="U786" s="16"/>
      <c r="V786" s="16"/>
      <c r="W786" s="16"/>
      <c r="X786" s="16"/>
      <c r="Y786" s="16"/>
      <c r="Z786" s="16"/>
    </row>
    <row r="787">
      <c r="A787" s="16" t="str">
        <f>IFERROR(__xludf.DUMMYFUNCTION("""COMPUTED_VALUE"""),"Ancient Crafter's Soul In A Bottle")</f>
        <v>Ancient Crafter's Soul In A Bottle</v>
      </c>
      <c r="B787" s="16"/>
      <c r="C787" s="16" t="str">
        <f>IFERROR(__xludf.DUMMYFUNCTION("""COMPUTED_VALUE"""),"Item")</f>
        <v>Item</v>
      </c>
      <c r="D787" s="16" t="str">
        <f>IFERROR(__xludf.DUMMYFUNCTION("""COMPUTED_VALUE"""),"Neck")</f>
        <v>Neck</v>
      </c>
      <c r="E787" s="16">
        <f>IFERROR(__xludf.DUMMYFUNCTION("""COMPUTED_VALUE"""),1.0)</f>
        <v>1</v>
      </c>
      <c r="F787" s="16" t="str">
        <f>IFERROR(__xludf.DUMMYFUNCTION("""COMPUTED_VALUE""")," ++Triples all crafting materials gathered")</f>
        <v> ++Triples all crafting materials gathered</v>
      </c>
      <c r="G787" s="16">
        <f>IFERROR(__xludf.DUMMYFUNCTION("""COMPUTED_VALUE"""),0.0)</f>
        <v>0</v>
      </c>
      <c r="H787" s="16"/>
      <c r="I787" s="16"/>
      <c r="J787" s="16"/>
      <c r="K787" s="16"/>
      <c r="L787" s="16"/>
      <c r="M787" s="16"/>
      <c r="N787" s="16"/>
      <c r="O787" s="16"/>
      <c r="P787" s="16"/>
      <c r="Q787" s="16"/>
      <c r="R787" s="16"/>
      <c r="S787" s="16"/>
      <c r="T787" s="16"/>
      <c r="U787" s="16"/>
      <c r="V787" s="16"/>
      <c r="W787" s="16"/>
      <c r="X787" s="16"/>
      <c r="Y787" s="16"/>
      <c r="Z787" s="16"/>
    </row>
    <row r="788">
      <c r="A788" s="16" t="str">
        <f>IFERROR(__xludf.DUMMYFUNCTION("""COMPUTED_VALUE"""),"Ancient Alchemist's Soul In A Bottle")</f>
        <v>Ancient Alchemist's Soul In A Bottle</v>
      </c>
      <c r="B788" s="16"/>
      <c r="C788" s="16" t="str">
        <f>IFERROR(__xludf.DUMMYFUNCTION("""COMPUTED_VALUE"""),"Item")</f>
        <v>Item</v>
      </c>
      <c r="D788" s="16" t="str">
        <f>IFERROR(__xludf.DUMMYFUNCTION("""COMPUTED_VALUE"""),"Neck")</f>
        <v>Neck</v>
      </c>
      <c r="E788" s="16">
        <f>IFERROR(__xludf.DUMMYFUNCTION("""COMPUTED_VALUE"""),1.0)</f>
        <v>1</v>
      </c>
      <c r="F788" s="16" t="str">
        <f>IFERROR(__xludf.DUMMYFUNCTION("""COMPUTED_VALUE""")," ++Doubles the effect of all herbs and potions")</f>
        <v> ++Doubles the effect of all herbs and potions</v>
      </c>
      <c r="G788" s="16">
        <f>IFERROR(__xludf.DUMMYFUNCTION("""COMPUTED_VALUE"""),0.0)</f>
        <v>0</v>
      </c>
      <c r="H788" s="16"/>
      <c r="I788" s="16"/>
      <c r="J788" s="16"/>
      <c r="K788" s="16"/>
      <c r="L788" s="16"/>
      <c r="M788" s="16"/>
      <c r="N788" s="16"/>
      <c r="O788" s="16"/>
      <c r="P788" s="16"/>
      <c r="Q788" s="16"/>
      <c r="R788" s="16"/>
      <c r="S788" s="16"/>
      <c r="T788" s="16"/>
      <c r="U788" s="16"/>
      <c r="V788" s="16"/>
      <c r="W788" s="16"/>
      <c r="X788" s="16"/>
      <c r="Y788" s="16"/>
      <c r="Z788" s="16"/>
    </row>
    <row r="789">
      <c r="A789" s="16" t="str">
        <f>IFERROR(__xludf.DUMMYFUNCTION("""COMPUTED_VALUE"""),"Ancient Farmer's Soul In A Bottle")</f>
        <v>Ancient Farmer's Soul In A Bottle</v>
      </c>
      <c r="B789" s="16"/>
      <c r="C789" s="16" t="str">
        <f>IFERROR(__xludf.DUMMYFUNCTION("""COMPUTED_VALUE"""),"Item")</f>
        <v>Item</v>
      </c>
      <c r="D789" s="16" t="str">
        <f>IFERROR(__xludf.DUMMYFUNCTION("""COMPUTED_VALUE"""),"Neck")</f>
        <v>Neck</v>
      </c>
      <c r="E789" s="16">
        <f>IFERROR(__xludf.DUMMYFUNCTION("""COMPUTED_VALUE"""),1.0)</f>
        <v>1</v>
      </c>
      <c r="F789" s="16" t="str">
        <f>IFERROR(__xludf.DUMMYFUNCTION("""COMPUTED_VALUE""")," ++Doubles all items harvested from your farms")</f>
        <v> ++Doubles all items harvested from your farms</v>
      </c>
      <c r="G789" s="16">
        <f>IFERROR(__xludf.DUMMYFUNCTION("""COMPUTED_VALUE"""),0.0)</f>
        <v>0</v>
      </c>
      <c r="H789" s="16"/>
      <c r="I789" s="16"/>
      <c r="J789" s="16"/>
      <c r="K789" s="16"/>
      <c r="L789" s="16"/>
      <c r="M789" s="16"/>
      <c r="N789" s="16"/>
      <c r="O789" s="16"/>
      <c r="P789" s="16"/>
      <c r="Q789" s="16"/>
      <c r="R789" s="16"/>
      <c r="S789" s="16"/>
      <c r="T789" s="16"/>
      <c r="U789" s="16"/>
      <c r="V789" s="16"/>
      <c r="W789" s="16"/>
      <c r="X789" s="16"/>
      <c r="Y789" s="16"/>
      <c r="Z789" s="16"/>
    </row>
    <row r="790">
      <c r="A790" s="16" t="str">
        <f>IFERROR(__xludf.DUMMYFUNCTION("""COMPUTED_VALUE"""),"Ancient Chef's Soul In A Bottle")</f>
        <v>Ancient Chef's Soul In A Bottle</v>
      </c>
      <c r="B790" s="16"/>
      <c r="C790" s="16" t="str">
        <f>IFERROR(__xludf.DUMMYFUNCTION("""COMPUTED_VALUE"""),"Item")</f>
        <v>Item</v>
      </c>
      <c r="D790" s="16" t="str">
        <f>IFERROR(__xludf.DUMMYFUNCTION("""COMPUTED_VALUE"""),"Neck")</f>
        <v>Neck</v>
      </c>
      <c r="E790" s="16">
        <f>IFERROR(__xludf.DUMMYFUNCTION("""COMPUTED_VALUE"""),1.0)</f>
        <v>1</v>
      </c>
      <c r="F790" s="16" t="str">
        <f>IFERROR(__xludf.DUMMYFUNCTION("""COMPUTED_VALUE""")," ++Doubles the effect of all food items cooked")</f>
        <v> ++Doubles the effect of all food items cooked</v>
      </c>
      <c r="G790" s="16">
        <f>IFERROR(__xludf.DUMMYFUNCTION("""COMPUTED_VALUE"""),0.0)</f>
        <v>0</v>
      </c>
      <c r="H790" s="16"/>
      <c r="I790" s="16"/>
      <c r="J790" s="16"/>
      <c r="K790" s="16"/>
      <c r="L790" s="16"/>
      <c r="M790" s="16"/>
      <c r="N790" s="16"/>
      <c r="O790" s="16"/>
      <c r="P790" s="16"/>
      <c r="Q790" s="16"/>
      <c r="R790" s="16"/>
      <c r="S790" s="16"/>
      <c r="T790" s="16"/>
      <c r="U790" s="16"/>
      <c r="V790" s="16"/>
      <c r="W790" s="16"/>
      <c r="X790" s="16"/>
      <c r="Y790" s="16"/>
      <c r="Z790" s="16"/>
    </row>
    <row r="791">
      <c r="A791" s="16" t="str">
        <f>IFERROR(__xludf.DUMMYFUNCTION("""COMPUTED_VALUE"""),"Ancient Miner's Soul In A Bottle")</f>
        <v>Ancient Miner's Soul In A Bottle</v>
      </c>
      <c r="B791" s="16"/>
      <c r="C791" s="16" t="str">
        <f>IFERROR(__xludf.DUMMYFUNCTION("""COMPUTED_VALUE"""),"Item")</f>
        <v>Item</v>
      </c>
      <c r="D791" s="16" t="str">
        <f>IFERROR(__xludf.DUMMYFUNCTION("""COMPUTED_VALUE"""),"Neck")</f>
        <v>Neck</v>
      </c>
      <c r="E791" s="16">
        <f>IFERROR(__xludf.DUMMYFUNCTION("""COMPUTED_VALUE"""),1.0)</f>
        <v>1</v>
      </c>
      <c r="F791" s="16" t="str">
        <f>IFERROR(__xludf.DUMMYFUNCTION("""COMPUTED_VALUE""")," ++Doubles all minerals obtained while mining")</f>
        <v> ++Doubles all minerals obtained while mining</v>
      </c>
      <c r="G791" s="16">
        <f>IFERROR(__xludf.DUMMYFUNCTION("""COMPUTED_VALUE"""),0.0)</f>
        <v>0</v>
      </c>
      <c r="H791" s="16"/>
      <c r="I791" s="16"/>
      <c r="J791" s="16"/>
      <c r="K791" s="16"/>
      <c r="L791" s="16"/>
      <c r="M791" s="16"/>
      <c r="N791" s="16"/>
      <c r="O791" s="16"/>
      <c r="P791" s="16"/>
      <c r="Q791" s="16"/>
      <c r="R791" s="16"/>
      <c r="S791" s="16"/>
      <c r="T791" s="16"/>
      <c r="U791" s="16"/>
      <c r="V791" s="16"/>
      <c r="W791" s="16"/>
      <c r="X791" s="16"/>
      <c r="Y791" s="16"/>
      <c r="Z791" s="16"/>
    </row>
    <row r="792">
      <c r="A792" s="16" t="str">
        <f>IFERROR(__xludf.DUMMYFUNCTION("""COMPUTED_VALUE"""),"Ancient Spira Guard's Soul In A Bottle")</f>
        <v>Ancient Spira Guard's Soul In A Bottle</v>
      </c>
      <c r="B792" s="16"/>
      <c r="C792" s="16" t="str">
        <f>IFERROR(__xludf.DUMMYFUNCTION("""COMPUTED_VALUE"""),"Item")</f>
        <v>Item</v>
      </c>
      <c r="D792" s="16" t="str">
        <f>IFERROR(__xludf.DUMMYFUNCTION("""COMPUTED_VALUE"""),"Neck")</f>
        <v>Neck</v>
      </c>
      <c r="E792" s="16">
        <f>IFERROR(__xludf.DUMMYFUNCTION("""COMPUTED_VALUE"""),1.0)</f>
        <v>1</v>
      </c>
      <c r="F792" s="16" t="str">
        <f>IFERROR(__xludf.DUMMYFUNCTION("""COMPUTED_VALUE""")," ++Add +5 to all rolls to arrest")</f>
        <v> ++Add +5 to all rolls to arrest</v>
      </c>
      <c r="G792" s="16">
        <f>IFERROR(__xludf.DUMMYFUNCTION("""COMPUTED_VALUE"""),0.0)</f>
        <v>0</v>
      </c>
      <c r="H792" s="16"/>
      <c r="I792" s="16"/>
      <c r="J792" s="16"/>
      <c r="K792" s="16"/>
      <c r="L792" s="16"/>
      <c r="M792" s="16"/>
      <c r="N792" s="16"/>
      <c r="O792" s="16"/>
      <c r="P792" s="16"/>
      <c r="Q792" s="16"/>
      <c r="R792" s="16"/>
      <c r="S792" s="16"/>
      <c r="T792" s="16"/>
      <c r="U792" s="16"/>
      <c r="V792" s="16"/>
      <c r="W792" s="16"/>
      <c r="X792" s="16"/>
      <c r="Y792" s="16"/>
      <c r="Z792" s="16"/>
    </row>
    <row r="793">
      <c r="A793" s="16" t="str">
        <f>IFERROR(__xludf.DUMMYFUNCTION("""COMPUTED_VALUE"""),"Ancient Fisherman's Soul In A Bottle")</f>
        <v>Ancient Fisherman's Soul In A Bottle</v>
      </c>
      <c r="B793" s="16"/>
      <c r="C793" s="16" t="str">
        <f>IFERROR(__xludf.DUMMYFUNCTION("""COMPUTED_VALUE"""),"Item")</f>
        <v>Item</v>
      </c>
      <c r="D793" s="16" t="str">
        <f>IFERROR(__xludf.DUMMYFUNCTION("""COMPUTED_VALUE"""),"Neck")</f>
        <v>Neck</v>
      </c>
      <c r="E793" s="16">
        <f>IFERROR(__xludf.DUMMYFUNCTION("""COMPUTED_VALUE"""),1.0)</f>
        <v>1</v>
      </c>
      <c r="F793" s="16" t="str">
        <f>IFERROR(__xludf.DUMMYFUNCTION("""COMPUTED_VALUE""")," ++Doubles all fish obtained while fishing")</f>
        <v> ++Doubles all fish obtained while fishing</v>
      </c>
      <c r="G793" s="16">
        <f>IFERROR(__xludf.DUMMYFUNCTION("""COMPUTED_VALUE"""),0.0)</f>
        <v>0</v>
      </c>
      <c r="H793" s="16"/>
      <c r="I793" s="16"/>
      <c r="J793" s="16"/>
      <c r="K793" s="16"/>
      <c r="L793" s="16"/>
      <c r="M793" s="16"/>
      <c r="N793" s="16"/>
      <c r="O793" s="16"/>
      <c r="P793" s="16"/>
      <c r="Q793" s="16"/>
      <c r="R793" s="16"/>
      <c r="S793" s="16"/>
      <c r="T793" s="16"/>
      <c r="U793" s="16"/>
      <c r="V793" s="16"/>
      <c r="W793" s="16"/>
      <c r="X793" s="16"/>
      <c r="Y793" s="16"/>
      <c r="Z793" s="16"/>
    </row>
    <row r="794">
      <c r="A794" s="16" t="str">
        <f>IFERROR(__xludf.DUMMYFUNCTION("""COMPUTED_VALUE"""),"The Thumper")</f>
        <v>The Thumper</v>
      </c>
      <c r="B794" s="16"/>
      <c r="C794" s="16" t="str">
        <f>IFERROR(__xludf.DUMMYFUNCTION("""COMPUTED_VALUE"""),"Firearm")</f>
        <v>Firearm</v>
      </c>
      <c r="D794" s="16" t="str">
        <f>IFERROR(__xludf.DUMMYFUNCTION("""COMPUTED_VALUE"""),"Hand")</f>
        <v>Hand</v>
      </c>
      <c r="E794" s="16">
        <f>IFERROR(__xludf.DUMMYFUNCTION("""COMPUTED_VALUE"""),200.0)</f>
        <v>200</v>
      </c>
      <c r="F794" s="16" t="str">
        <f>IFERROR(__xludf.DUMMYFUNCTION("""COMPUTED_VALUE"""),"Dmg: +5000, Physical Dmg: +5000 ++Fires 3 Grenades, +-Uses Grenades as Ammo +-Cannot Be Forged or Duplicated")</f>
        <v>Dmg: +5000, Physical Dmg: +5000 ++Fires 3 Grenades, +-Uses Grenades as Ammo +-Cannot Be Forged or Duplicated</v>
      </c>
      <c r="G794" s="16">
        <f>IFERROR(__xludf.DUMMYFUNCTION("""COMPUTED_VALUE"""),1900000.0)</f>
        <v>1900000</v>
      </c>
      <c r="H794" s="16"/>
      <c r="I794" s="16"/>
      <c r="J794" s="16"/>
      <c r="K794" s="16"/>
      <c r="L794" s="16"/>
      <c r="M794" s="16"/>
      <c r="N794" s="16"/>
      <c r="O794" s="16"/>
      <c r="P794" s="16"/>
      <c r="Q794" s="16"/>
      <c r="R794" s="16"/>
      <c r="S794" s="16"/>
      <c r="T794" s="16"/>
      <c r="U794" s="16"/>
      <c r="V794" s="16"/>
      <c r="W794" s="16"/>
      <c r="X794" s="16"/>
      <c r="Y794" s="16"/>
      <c r="Z794" s="16"/>
    </row>
    <row r="795">
      <c r="A795" s="16" t="str">
        <f>IFERROR(__xludf.DUMMYFUNCTION("""COMPUTED_VALUE"""),"Undead King's Sword")</f>
        <v>Undead King's Sword</v>
      </c>
      <c r="B795" s="16"/>
      <c r="C795" s="16" t="str">
        <f>IFERROR(__xludf.DUMMYFUNCTION("""COMPUTED_VALUE"""),"Sword")</f>
        <v>Sword</v>
      </c>
      <c r="D795" s="16" t="str">
        <f>IFERROR(__xludf.DUMMYFUNCTION("""COMPUTED_VALUE"""),"Hand")</f>
        <v>Hand</v>
      </c>
      <c r="E795" s="16">
        <f>IFERROR(__xludf.DUMMYFUNCTION("""COMPUTED_VALUE"""),1.0)</f>
        <v>1</v>
      </c>
      <c r="F795" s="16" t="str">
        <f>IFERROR(__xludf.DUMMYFUNCTION("""COMPUTED_VALUE"""),"")</f>
        <v/>
      </c>
      <c r="G795" s="16">
        <f>IFERROR(__xludf.DUMMYFUNCTION("""COMPUTED_VALUE"""),0.0)</f>
        <v>0</v>
      </c>
      <c r="H795" s="16"/>
      <c r="I795" s="16"/>
      <c r="J795" s="16"/>
      <c r="K795" s="16"/>
      <c r="L795" s="16"/>
      <c r="M795" s="16"/>
      <c r="N795" s="16"/>
      <c r="O795" s="16"/>
      <c r="P795" s="16"/>
      <c r="Q795" s="16"/>
      <c r="R795" s="16"/>
      <c r="S795" s="16"/>
      <c r="T795" s="16"/>
      <c r="U795" s="16"/>
      <c r="V795" s="16"/>
      <c r="W795" s="16"/>
      <c r="X795" s="16"/>
      <c r="Y795" s="16"/>
      <c r="Z795" s="16"/>
    </row>
    <row r="796">
      <c r="A796" s="16" t="str">
        <f>IFERROR(__xludf.DUMMYFUNCTION("""COMPUTED_VALUE"""),"Trapper's Monocle")</f>
        <v>Trapper's Monocle</v>
      </c>
      <c r="B796" s="16"/>
      <c r="C796" s="16" t="str">
        <f>IFERROR(__xludf.DUMMYFUNCTION("""COMPUTED_VALUE"""),"Item")</f>
        <v>Item</v>
      </c>
      <c r="D796" s="16" t="str">
        <f>IFERROR(__xludf.DUMMYFUNCTION("""COMPUTED_VALUE"""),"Head")</f>
        <v>Head</v>
      </c>
      <c r="E796" s="16">
        <f>IFERROR(__xludf.DUMMYFUNCTION("""COMPUTED_VALUE"""),1.0)</f>
        <v>1</v>
      </c>
      <c r="F796" s="16" t="str">
        <f>IFERROR(__xludf.DUMMYFUNCTION("""COMPUTED_VALUE""")," ++5 to any roll to disarm or avoid a trap.")</f>
        <v> ++5 to any roll to disarm or avoid a trap.</v>
      </c>
      <c r="G796" s="16">
        <f>IFERROR(__xludf.DUMMYFUNCTION("""COMPUTED_VALUE"""),0.0)</f>
        <v>0</v>
      </c>
      <c r="H796" s="16"/>
      <c r="I796" s="16"/>
      <c r="J796" s="16"/>
      <c r="K796" s="16"/>
      <c r="L796" s="16"/>
      <c r="M796" s="16"/>
      <c r="N796" s="16"/>
      <c r="O796" s="16"/>
      <c r="P796" s="16"/>
      <c r="Q796" s="16"/>
      <c r="R796" s="16"/>
      <c r="S796" s="16"/>
      <c r="T796" s="16"/>
      <c r="U796" s="16"/>
      <c r="V796" s="16"/>
      <c r="W796" s="16"/>
      <c r="X796" s="16"/>
      <c r="Y796" s="16"/>
      <c r="Z796" s="16"/>
    </row>
    <row r="797">
      <c r="A797" s="16" t="str">
        <f>IFERROR(__xludf.DUMMYFUNCTION("""COMPUTED_VALUE"""),"Dragon's Dogma")</f>
        <v>Dragon's Dogma</v>
      </c>
      <c r="B797" s="16"/>
      <c r="C797" s="16" t="str">
        <f>IFERROR(__xludf.DUMMYFUNCTION("""COMPUTED_VALUE"""),"Sword")</f>
        <v>Sword</v>
      </c>
      <c r="D797" s="16" t="str">
        <f>IFERROR(__xludf.DUMMYFUNCTION("""COMPUTED_VALUE"""),"Hand")</f>
        <v>Hand</v>
      </c>
      <c r="E797" s="16">
        <f>IFERROR(__xludf.DUMMYFUNCTION("""COMPUTED_VALUE"""),200.0)</f>
        <v>200</v>
      </c>
      <c r="F797" s="16" t="str">
        <f>IFERROR(__xludf.DUMMYFUNCTION("""COMPUTED_VALUE"""),"DMG: +250000, Celestial DMG: +50000 TBD")</f>
        <v>DMG: +250000, Celestial DMG: +50000 TBD</v>
      </c>
      <c r="G797" s="16">
        <f>IFERROR(__xludf.DUMMYFUNCTION("""COMPUTED_VALUE"""),1.797E9)</f>
        <v>1797000000</v>
      </c>
      <c r="H797" s="16"/>
      <c r="I797" s="16"/>
      <c r="J797" s="16"/>
      <c r="K797" s="16"/>
      <c r="L797" s="16"/>
      <c r="M797" s="16"/>
      <c r="N797" s="16"/>
      <c r="O797" s="16"/>
      <c r="P797" s="16"/>
      <c r="Q797" s="16"/>
      <c r="R797" s="16"/>
      <c r="S797" s="16"/>
      <c r="T797" s="16"/>
      <c r="U797" s="16"/>
      <c r="V797" s="16"/>
      <c r="W797" s="16"/>
      <c r="X797" s="16"/>
      <c r="Y797" s="16"/>
      <c r="Z797" s="16"/>
    </row>
    <row r="798">
      <c r="A798" s="16" t="str">
        <f>IFERROR(__xludf.DUMMYFUNCTION("""COMPUTED_VALUE"""),"Dragon's Dread")</f>
        <v>Dragon's Dread</v>
      </c>
      <c r="B798" s="16"/>
      <c r="C798" s="16" t="str">
        <f>IFERROR(__xludf.DUMMYFUNCTION("""COMPUTED_VALUE"""),"Bow")</f>
        <v>Bow</v>
      </c>
      <c r="D798" s="16" t="str">
        <f>IFERROR(__xludf.DUMMYFUNCTION("""COMPUTED_VALUE"""),"Hand")</f>
        <v>Hand</v>
      </c>
      <c r="E798" s="16">
        <f>IFERROR(__xludf.DUMMYFUNCTION("""COMPUTED_VALUE"""),200.0)</f>
        <v>200</v>
      </c>
      <c r="F798" s="16" t="str">
        <f>IFERROR(__xludf.DUMMYFUNCTION("""COMPUTED_VALUE"""),"DMG: +50000, Fire DMG: +50000, Water DMG: +50000, Storm DMG: +50000, Earth DMG: +50000, Light DMG: +50000, Dark DMG: +50000, Order DMG: +50000, Chaos DMG: +50000, Nature DMG: +50000, Delta DMG: +50000, Celestial DMG: +50000 TBD")</f>
        <v>DMG: +50000, Fire DMG: +50000, Water DMG: +50000, Storm DMG: +50000, Earth DMG: +50000, Light DMG: +50000, Dark DMG: +50000, Order DMG: +50000, Chaos DMG: +50000, Nature DMG: +50000, Delta DMG: +50000, Celestial DMG: +50000 TBD</v>
      </c>
      <c r="G798" s="16">
        <f>IFERROR(__xludf.DUMMYFUNCTION("""COMPUTED_VALUE"""),7.194E9)</f>
        <v>7194000000</v>
      </c>
      <c r="H798" s="16"/>
      <c r="I798" s="16"/>
      <c r="J798" s="16"/>
      <c r="K798" s="16"/>
      <c r="L798" s="16"/>
      <c r="M798" s="16"/>
      <c r="N798" s="16"/>
      <c r="O798" s="16"/>
      <c r="P798" s="16"/>
      <c r="Q798" s="16"/>
      <c r="R798" s="16"/>
      <c r="S798" s="16"/>
      <c r="T798" s="16"/>
      <c r="U798" s="16"/>
      <c r="V798" s="16"/>
      <c r="W798" s="16"/>
      <c r="X798" s="16"/>
      <c r="Y798" s="16"/>
      <c r="Z798" s="16"/>
    </row>
    <row r="799">
      <c r="A799" s="16" t="str">
        <f>IFERROR(__xludf.DUMMYFUNCTION("""COMPUTED_VALUE"""),"Dragon's Dream Breaker")</f>
        <v>Dragon's Dream Breaker</v>
      </c>
      <c r="B799" s="16"/>
      <c r="C799" s="16" t="str">
        <f>IFERROR(__xludf.DUMMYFUNCTION("""COMPUTED_VALUE"""),"Claw")</f>
        <v>Claw</v>
      </c>
      <c r="D799" s="16" t="str">
        <f>IFERROR(__xludf.DUMMYFUNCTION("""COMPUTED_VALUE"""),"Hand")</f>
        <v>Hand</v>
      </c>
      <c r="E799" s="16">
        <f>IFERROR(__xludf.DUMMYFUNCTION("""COMPUTED_VALUE"""),200.0)</f>
        <v>200</v>
      </c>
      <c r="F799" s="16" t="str">
        <f>IFERROR(__xludf.DUMMYFUNCTION("""COMPUTED_VALUE"""),"DMG: +600000, Celestial DMG: +600000 TBD")</f>
        <v>DMG: +600000, Celestial DMG: +600000 TBD</v>
      </c>
      <c r="G799" s="16">
        <f>IFERROR(__xludf.DUMMYFUNCTION("""COMPUTED_VALUE"""),2.8788E10)</f>
        <v>28788000000</v>
      </c>
      <c r="H799" s="16"/>
      <c r="I799" s="16"/>
      <c r="J799" s="16"/>
      <c r="K799" s="16"/>
      <c r="L799" s="16"/>
      <c r="M799" s="16"/>
      <c r="N799" s="16"/>
      <c r="O799" s="16"/>
      <c r="P799" s="16"/>
      <c r="Q799" s="16"/>
      <c r="R799" s="16"/>
      <c r="S799" s="16"/>
      <c r="T799" s="16"/>
      <c r="U799" s="16"/>
      <c r="V799" s="16"/>
      <c r="W799" s="16"/>
      <c r="X799" s="16"/>
      <c r="Y799" s="16"/>
      <c r="Z799" s="16"/>
    </row>
    <row r="800">
      <c r="A800" s="16" t="str">
        <f>IFERROR(__xludf.DUMMYFUNCTION("""COMPUTED_VALUE"""),"Dragon's Draught")</f>
        <v>Dragon's Draught</v>
      </c>
      <c r="B800" s="16"/>
      <c r="C800" s="16" t="str">
        <f>IFERROR(__xludf.DUMMYFUNCTION("""COMPUTED_VALUE"""),"Staff")</f>
        <v>Staff</v>
      </c>
      <c r="D800" s="16" t="str">
        <f>IFERROR(__xludf.DUMMYFUNCTION("""COMPUTED_VALUE"""),"Hand")</f>
        <v>Hand</v>
      </c>
      <c r="E800" s="16">
        <f>IFERROR(__xludf.DUMMYFUNCTION("""COMPUTED_VALUE"""),1.0)</f>
        <v>1</v>
      </c>
      <c r="F800" s="16" t="str">
        <f>IFERROR(__xludf.DUMMYFUNCTION("""COMPUTED_VALUE""")," TBD")</f>
        <v> TBD</v>
      </c>
      <c r="G800" s="16">
        <f>IFERROR(__xludf.DUMMYFUNCTION("""COMPUTED_VALUE"""),0.0)</f>
        <v>0</v>
      </c>
      <c r="H800" s="16"/>
      <c r="I800" s="16"/>
      <c r="J800" s="16"/>
      <c r="K800" s="16"/>
      <c r="L800" s="16"/>
      <c r="M800" s="16"/>
      <c r="N800" s="16"/>
      <c r="O800" s="16"/>
      <c r="P800" s="16"/>
      <c r="Q800" s="16"/>
      <c r="R800" s="16"/>
      <c r="S800" s="16"/>
      <c r="T800" s="16"/>
      <c r="U800" s="16"/>
      <c r="V800" s="16"/>
      <c r="W800" s="16"/>
      <c r="X800" s="16"/>
      <c r="Y800" s="16"/>
      <c r="Z800" s="16"/>
    </row>
    <row r="801">
      <c r="A801" s="16" t="str">
        <f>IFERROR(__xludf.DUMMYFUNCTION("""COMPUTED_VALUE"""),"Dragon's Damnation")</f>
        <v>Dragon's Damnation</v>
      </c>
      <c r="B801" s="16"/>
      <c r="C801" s="16" t="str">
        <f>IFERROR(__xludf.DUMMYFUNCTION("""COMPUTED_VALUE"""),"Gauntlet")</f>
        <v>Gauntlet</v>
      </c>
      <c r="D801" s="16" t="str">
        <f>IFERROR(__xludf.DUMMYFUNCTION("""COMPUTED_VALUE"""),"Hand")</f>
        <v>Hand</v>
      </c>
      <c r="E801" s="16">
        <f>IFERROR(__xludf.DUMMYFUNCTION("""COMPUTED_VALUE"""),200.0)</f>
        <v>200</v>
      </c>
      <c r="F801" s="16" t="str">
        <f>IFERROR(__xludf.DUMMYFUNCTION("""COMPUTED_VALUE"""),"DEF: +100000, Fire DEF: +100000, Water DEF: +100000, Storm DEF: +100000, Earth DEF: +100000, Light DEF: +100000, Dark DEF: +100000, Order DEF: +100000, Chaos DEF: +100000, Nature DEF: +100000, Delta DEF: +100000, Celestial DEF: +100000 TBD")</f>
        <v>DEF: +100000, Fire DEF: +100000, Water DEF: +100000, Storm DEF: +100000, Earth DEF: +100000, Light DEF: +100000, Dark DEF: +100000, Order DEF: +100000, Chaos DEF: +100000, Nature DEF: +100000, Delta DEF: +100000, Celestial DEF: +100000 TBD</v>
      </c>
      <c r="G801" s="16">
        <f>IFERROR(__xludf.DUMMYFUNCTION("""COMPUTED_VALUE"""),2.8788E10)</f>
        <v>28788000000</v>
      </c>
      <c r="H801" s="16"/>
      <c r="I801" s="16"/>
      <c r="J801" s="16"/>
      <c r="K801" s="16"/>
      <c r="L801" s="16"/>
      <c r="M801" s="16"/>
      <c r="N801" s="16"/>
      <c r="O801" s="16"/>
      <c r="P801" s="16"/>
      <c r="Q801" s="16"/>
      <c r="R801" s="16"/>
      <c r="S801" s="16"/>
      <c r="T801" s="16"/>
      <c r="U801" s="16"/>
      <c r="V801" s="16"/>
      <c r="W801" s="16"/>
      <c r="X801" s="16"/>
      <c r="Y801" s="16"/>
      <c r="Z801" s="16"/>
    </row>
    <row r="802">
      <c r="A802" s="16" t="str">
        <f>IFERROR(__xludf.DUMMYFUNCTION("""COMPUTED_VALUE"""),"Dragon's Destruction")</f>
        <v>Dragon's Destruction</v>
      </c>
      <c r="B802" s="16"/>
      <c r="C802" s="16" t="str">
        <f>IFERROR(__xludf.DUMMYFUNCTION("""COMPUTED_VALUE"""),"Spear")</f>
        <v>Spear</v>
      </c>
      <c r="D802" s="16" t="str">
        <f>IFERROR(__xludf.DUMMYFUNCTION("""COMPUTED_VALUE"""),"Hand")</f>
        <v>Hand</v>
      </c>
      <c r="E802" s="16">
        <f>IFERROR(__xludf.DUMMYFUNCTION("""COMPUTED_VALUE"""),200.0)</f>
        <v>200</v>
      </c>
      <c r="F802" s="16" t="str">
        <f>IFERROR(__xludf.DUMMYFUNCTION("""COMPUTED_VALUE"""),"DMG: +400000, Fire DMG: +100000, Water DMG: +100000, Storm DMG: +100000, Earth DMG: +100000, Light DMG: +150000, Dark DMG: +150000, Spirit DMG: +100000, Order DMG: +150000, Chaos DMG: +150000, Nature DMG: +100000, Voodoo DMG: +100000, Blood DMG: +100000, "&amp;"Delta DMG: +100000, Zen DMG: +100000, Time DMG: +100000, Astral DMG: +100000, Celestial DMG: +100000, Acoustic DMG: +100000 TBD")</f>
        <v>DMG: +400000, Fire DMG: +100000, Water DMG: +100000, Storm DMG: +100000, Earth DMG: +100000, Light DMG: +150000, Dark DMG: +150000, Spirit DMG: +100000, Order DMG: +150000, Chaos DMG: +150000, Nature DMG: +100000, Voodoo DMG: +100000, Blood DMG: +100000, Delta DMG: +100000, Zen DMG: +100000, Time DMG: +100000, Astral DMG: +100000, Celestial DMG: +100000, Acoustic DMG: +100000 TBD</v>
      </c>
      <c r="G802" s="16">
        <f>IFERROR(__xludf.DUMMYFUNCTION("""COMPUTED_VALUE"""),2.8788E10)</f>
        <v>28788000000</v>
      </c>
      <c r="H802" s="16"/>
      <c r="I802" s="16"/>
      <c r="J802" s="16"/>
      <c r="K802" s="16"/>
      <c r="L802" s="16"/>
      <c r="M802" s="16"/>
      <c r="N802" s="16"/>
      <c r="O802" s="16"/>
      <c r="P802" s="16"/>
      <c r="Q802" s="16"/>
      <c r="R802" s="16"/>
      <c r="S802" s="16"/>
      <c r="T802" s="16"/>
      <c r="U802" s="16"/>
      <c r="V802" s="16"/>
      <c r="W802" s="16"/>
      <c r="X802" s="16"/>
      <c r="Y802" s="16"/>
      <c r="Z802" s="16"/>
    </row>
    <row r="803">
      <c r="A803" s="16" t="str">
        <f>IFERROR(__xludf.DUMMYFUNCTION("""COMPUTED_VALUE"""),"Confining Collar")</f>
        <v>Confining Collar</v>
      </c>
      <c r="B803" s="16" t="str">
        <f>IFERROR(__xludf.DUMMYFUNCTION("""COMPUTED_VALUE"""),"A cursed collar found around the neck of the Dragonscale dungeon inmates, it slowly stangulates the wearer until they die.")</f>
        <v>A cursed collar found around the neck of the Dragonscale dungeon inmates, it slowly stangulates the wearer until they die.</v>
      </c>
      <c r="C803" s="16" t="str">
        <f>IFERROR(__xludf.DUMMYFUNCTION("""COMPUTED_VALUE"""),"Item")</f>
        <v>Item</v>
      </c>
      <c r="D803" s="16" t="str">
        <f>IFERROR(__xludf.DUMMYFUNCTION("""COMPUTED_VALUE"""),"Neck")</f>
        <v>Neck</v>
      </c>
      <c r="E803" s="16">
        <f>IFERROR(__xludf.DUMMYFUNCTION("""COMPUTED_VALUE"""),100.0)</f>
        <v>100</v>
      </c>
      <c r="F803" s="16" t="str">
        <f>IFERROR(__xludf.DUMMYFUNCTION("""COMPUTED_VALUE"""),"DEF: +5000 +-5 to all rolls, +-Upon being worn can only be removed after 15 days of travel")</f>
        <v>DEF: +5000 +-5 to all rolls, +-Upon being worn can only be removed after 15 days of travel</v>
      </c>
      <c r="G803" s="16">
        <f>IFERROR(__xludf.DUMMYFUNCTION("""COMPUTED_VALUE"""),450000.0)</f>
        <v>450000</v>
      </c>
      <c r="H803" s="16"/>
      <c r="I803" s="16"/>
      <c r="J803" s="16"/>
      <c r="K803" s="16"/>
      <c r="L803" s="16"/>
      <c r="M803" s="16"/>
      <c r="N803" s="16"/>
      <c r="O803" s="16"/>
      <c r="P803" s="16"/>
      <c r="Q803" s="16"/>
      <c r="R803" s="16"/>
      <c r="S803" s="16"/>
      <c r="T803" s="16"/>
      <c r="U803" s="16"/>
      <c r="V803" s="16"/>
      <c r="W803" s="16"/>
      <c r="X803" s="16"/>
      <c r="Y803" s="16"/>
      <c r="Z803" s="16"/>
    </row>
    <row r="804">
      <c r="A804" s="16" t="str">
        <f>IFERROR(__xludf.DUMMYFUNCTION("""COMPUTED_VALUE"""),"Shiv")</f>
        <v>Shiv</v>
      </c>
      <c r="B804" s="16"/>
      <c r="C804" s="16" t="str">
        <f>IFERROR(__xludf.DUMMYFUNCTION("""COMPUTED_VALUE"""),"Knife")</f>
        <v>Knife</v>
      </c>
      <c r="D804" s="16" t="str">
        <f>IFERROR(__xludf.DUMMYFUNCTION("""COMPUTED_VALUE"""),"Hand")</f>
        <v>Hand</v>
      </c>
      <c r="E804" s="16">
        <f>IFERROR(__xludf.DUMMYFUNCTION("""COMPUTED_VALUE"""),4000.0)</f>
        <v>4000</v>
      </c>
      <c r="F804" s="16" t="str">
        <f>IFERROR(__xludf.DUMMYFUNCTION("""COMPUTED_VALUE"""),"DMG: +200000 ++has a 5% chance to give a random disease to any creature hit with this weapon.")</f>
        <v>DMG: +200000 ++has a 5% chance to give a random disease to any creature hit with this weapon.</v>
      </c>
      <c r="G804" s="16">
        <f>IFERROR(__xludf.DUMMYFUNCTION("""COMPUTED_VALUE"""),7.98E8)</f>
        <v>798000000</v>
      </c>
      <c r="H804" s="16"/>
      <c r="I804" s="16"/>
      <c r="J804" s="16"/>
      <c r="K804" s="16"/>
      <c r="L804" s="16"/>
      <c r="M804" s="16"/>
      <c r="N804" s="16"/>
      <c r="O804" s="16"/>
      <c r="P804" s="16"/>
      <c r="Q804" s="16"/>
      <c r="R804" s="16"/>
      <c r="S804" s="16"/>
      <c r="T804" s="16"/>
      <c r="U804" s="16"/>
      <c r="V804" s="16"/>
      <c r="W804" s="16"/>
      <c r="X804" s="16"/>
      <c r="Y804" s="16"/>
      <c r="Z804" s="16"/>
    </row>
    <row r="805">
      <c r="A805" s="16" t="str">
        <f>IFERROR(__xludf.DUMMYFUNCTION("""COMPUTED_VALUE"""),"Inmate's Cap")</f>
        <v>Inmate's Cap</v>
      </c>
      <c r="B805" s="16"/>
      <c r="C805" s="16" t="str">
        <f>IFERROR(__xludf.DUMMYFUNCTION("""COMPUTED_VALUE"""),"Item")</f>
        <v>Item</v>
      </c>
      <c r="D805" s="16" t="str">
        <f>IFERROR(__xludf.DUMMYFUNCTION("""COMPUTED_VALUE"""),"Head")</f>
        <v>Head</v>
      </c>
      <c r="E805" s="16">
        <f>IFERROR(__xludf.DUMMYFUNCTION("""COMPUTED_VALUE"""),2000.0)</f>
        <v>2000</v>
      </c>
      <c r="F805" s="16" t="str">
        <f>IFERROR(__xludf.DUMMYFUNCTION("""COMPUTED_VALUE"""),"DEF: +100000 ++has a 5% chance to avoid beng arrested without fail.")</f>
        <v>DEF: +100000 ++has a 5% chance to avoid beng arrested without fail.</v>
      </c>
      <c r="G805" s="16">
        <f>IFERROR(__xludf.DUMMYFUNCTION("""COMPUTED_VALUE"""),1.99E8)</f>
        <v>199000000</v>
      </c>
      <c r="H805" s="16"/>
      <c r="I805" s="16"/>
      <c r="J805" s="16"/>
      <c r="K805" s="16"/>
      <c r="L805" s="16"/>
      <c r="M805" s="16"/>
      <c r="N805" s="16"/>
      <c r="O805" s="16"/>
      <c r="P805" s="16"/>
      <c r="Q805" s="16"/>
      <c r="R805" s="16"/>
      <c r="S805" s="16"/>
      <c r="T805" s="16"/>
      <c r="U805" s="16"/>
      <c r="V805" s="16"/>
      <c r="W805" s="16"/>
      <c r="X805" s="16"/>
      <c r="Y805" s="16"/>
      <c r="Z805" s="16"/>
    </row>
    <row r="806">
      <c r="A806" s="16" t="str">
        <f>IFERROR(__xludf.DUMMYFUNCTION("""COMPUTED_VALUE"""),"Inmate's Shirt")</f>
        <v>Inmate's Shirt</v>
      </c>
      <c r="B806" s="16"/>
      <c r="C806" s="16" t="str">
        <f>IFERROR(__xludf.DUMMYFUNCTION("""COMPUTED_VALUE"""),"Item")</f>
        <v>Item</v>
      </c>
      <c r="D806" s="16" t="str">
        <f>IFERROR(__xludf.DUMMYFUNCTION("""COMPUTED_VALUE"""),"Torso")</f>
        <v>Torso</v>
      </c>
      <c r="E806" s="16">
        <f>IFERROR(__xludf.DUMMYFUNCTION("""COMPUTED_VALUE"""),2000.0)</f>
        <v>2000</v>
      </c>
      <c r="F806" s="16" t="str">
        <f>IFERROR(__xludf.DUMMYFUNCTION("""COMPUTED_VALUE"""),"DEF: +100000 ++has a 5% chance to avoid beng arrested without fail.")</f>
        <v>DEF: +100000 ++has a 5% chance to avoid beng arrested without fail.</v>
      </c>
      <c r="G806" s="16">
        <f>IFERROR(__xludf.DUMMYFUNCTION("""COMPUTED_VALUE"""),1.99E8)</f>
        <v>199000000</v>
      </c>
      <c r="H806" s="16"/>
      <c r="I806" s="16"/>
      <c r="J806" s="16"/>
      <c r="K806" s="16"/>
      <c r="L806" s="16"/>
      <c r="M806" s="16"/>
      <c r="N806" s="16"/>
      <c r="O806" s="16"/>
      <c r="P806" s="16"/>
      <c r="Q806" s="16"/>
      <c r="R806" s="16"/>
      <c r="S806" s="16"/>
      <c r="T806" s="16"/>
      <c r="U806" s="16"/>
      <c r="V806" s="16"/>
      <c r="W806" s="16"/>
      <c r="X806" s="16"/>
      <c r="Y806" s="16"/>
      <c r="Z806" s="16"/>
    </row>
    <row r="807">
      <c r="A807" s="16" t="str">
        <f>IFERROR(__xludf.DUMMYFUNCTION("""COMPUTED_VALUE"""),"Inmate's Pants")</f>
        <v>Inmate's Pants</v>
      </c>
      <c r="B807" s="16"/>
      <c r="C807" s="16" t="str">
        <f>IFERROR(__xludf.DUMMYFUNCTION("""COMPUTED_VALUE"""),"Item")</f>
        <v>Item</v>
      </c>
      <c r="D807" s="16" t="str">
        <f>IFERROR(__xludf.DUMMYFUNCTION("""COMPUTED_VALUE"""),"Legs")</f>
        <v>Legs</v>
      </c>
      <c r="E807" s="16">
        <f>IFERROR(__xludf.DUMMYFUNCTION("""COMPUTED_VALUE"""),2000.0)</f>
        <v>2000</v>
      </c>
      <c r="F807" s="16" t="str">
        <f>IFERROR(__xludf.DUMMYFUNCTION("""COMPUTED_VALUE"""),"DEF: +100000 ++has a 5% chance to avoid beng arrested without fail.")</f>
        <v>DEF: +100000 ++has a 5% chance to avoid beng arrested without fail.</v>
      </c>
      <c r="G807" s="16">
        <f>IFERROR(__xludf.DUMMYFUNCTION("""COMPUTED_VALUE"""),1.99E8)</f>
        <v>199000000</v>
      </c>
      <c r="H807" s="16"/>
      <c r="I807" s="16"/>
      <c r="J807" s="16"/>
      <c r="K807" s="16"/>
      <c r="L807" s="16"/>
      <c r="M807" s="16"/>
      <c r="N807" s="16"/>
      <c r="O807" s="16"/>
      <c r="P807" s="16"/>
      <c r="Q807" s="16"/>
      <c r="R807" s="16"/>
      <c r="S807" s="16"/>
      <c r="T807" s="16"/>
      <c r="U807" s="16"/>
      <c r="V807" s="16"/>
      <c r="W807" s="16"/>
      <c r="X807" s="16"/>
      <c r="Y807" s="16"/>
      <c r="Z807" s="16"/>
    </row>
    <row r="808">
      <c r="A808" s="16" t="str">
        <f>IFERROR(__xludf.DUMMYFUNCTION("""COMPUTED_VALUE"""),"Warden's Cap")</f>
        <v>Warden's Cap</v>
      </c>
      <c r="B808" s="16"/>
      <c r="C808" s="16" t="str">
        <f>IFERROR(__xludf.DUMMYFUNCTION("""COMPUTED_VALUE"""),"Item")</f>
        <v>Item</v>
      </c>
      <c r="D808" s="16" t="str">
        <f>IFERROR(__xludf.DUMMYFUNCTION("""COMPUTED_VALUE"""),"Head")</f>
        <v>Head</v>
      </c>
      <c r="E808" s="16">
        <f>IFERROR(__xludf.DUMMYFUNCTION("""COMPUTED_VALUE"""),2000.0)</f>
        <v>2000</v>
      </c>
      <c r="F808" s="16" t="str">
        <f>IFERROR(__xludf.DUMMYFUNCTION("""COMPUTED_VALUE"""),"DEF: +100000 ++X2 Damage with Clubs")</f>
        <v>DEF: +100000 ++X2 Damage with Clubs</v>
      </c>
      <c r="G808" s="16">
        <f>IFERROR(__xludf.DUMMYFUNCTION("""COMPUTED_VALUE"""),1.99E8)</f>
        <v>199000000</v>
      </c>
      <c r="H808" s="16"/>
      <c r="I808" s="16"/>
      <c r="J808" s="16"/>
      <c r="K808" s="16"/>
      <c r="L808" s="16"/>
      <c r="M808" s="16"/>
      <c r="N808" s="16"/>
      <c r="O808" s="16"/>
      <c r="P808" s="16"/>
      <c r="Q808" s="16"/>
      <c r="R808" s="16"/>
      <c r="S808" s="16"/>
      <c r="T808" s="16"/>
      <c r="U808" s="16"/>
      <c r="V808" s="16"/>
      <c r="W808" s="16"/>
      <c r="X808" s="16"/>
      <c r="Y808" s="16"/>
      <c r="Z808" s="16"/>
    </row>
    <row r="809">
      <c r="A809" s="16" t="str">
        <f>IFERROR(__xludf.DUMMYFUNCTION("""COMPUTED_VALUE"""),"Warden's Shirt")</f>
        <v>Warden's Shirt</v>
      </c>
      <c r="B809" s="16"/>
      <c r="C809" s="16" t="str">
        <f>IFERROR(__xludf.DUMMYFUNCTION("""COMPUTED_VALUE"""),"Item")</f>
        <v>Item</v>
      </c>
      <c r="D809" s="16" t="str">
        <f>IFERROR(__xludf.DUMMYFUNCTION("""COMPUTED_VALUE"""),"Torso")</f>
        <v>Torso</v>
      </c>
      <c r="E809" s="16">
        <f>IFERROR(__xludf.DUMMYFUNCTION("""COMPUTED_VALUE"""),2000.0)</f>
        <v>2000</v>
      </c>
      <c r="F809" s="16" t="str">
        <f>IFERROR(__xludf.DUMMYFUNCTION("""COMPUTED_VALUE"""),"DEF: +100000 ++X2 Damage with Clubs")</f>
        <v>DEF: +100000 ++X2 Damage with Clubs</v>
      </c>
      <c r="G809" s="16">
        <f>IFERROR(__xludf.DUMMYFUNCTION("""COMPUTED_VALUE"""),1.99E8)</f>
        <v>199000000</v>
      </c>
      <c r="H809" s="16"/>
      <c r="I809" s="16"/>
      <c r="J809" s="16"/>
      <c r="K809" s="16"/>
      <c r="L809" s="16"/>
      <c r="M809" s="16"/>
      <c r="N809" s="16"/>
      <c r="O809" s="16"/>
      <c r="P809" s="16"/>
      <c r="Q809" s="16"/>
      <c r="R809" s="16"/>
      <c r="S809" s="16"/>
      <c r="T809" s="16"/>
      <c r="U809" s="16"/>
      <c r="V809" s="16"/>
      <c r="W809" s="16"/>
      <c r="X809" s="16"/>
      <c r="Y809" s="16"/>
      <c r="Z809" s="16"/>
    </row>
    <row r="810">
      <c r="A810" s="16" t="str">
        <f>IFERROR(__xludf.DUMMYFUNCTION("""COMPUTED_VALUE"""),"Warden's Pants")</f>
        <v>Warden's Pants</v>
      </c>
      <c r="B810" s="16"/>
      <c r="C810" s="16" t="str">
        <f>IFERROR(__xludf.DUMMYFUNCTION("""COMPUTED_VALUE"""),"Item")</f>
        <v>Item</v>
      </c>
      <c r="D810" s="16" t="str">
        <f>IFERROR(__xludf.DUMMYFUNCTION("""COMPUTED_VALUE"""),"Legs")</f>
        <v>Legs</v>
      </c>
      <c r="E810" s="16">
        <f>IFERROR(__xludf.DUMMYFUNCTION("""COMPUTED_VALUE"""),2000.0)</f>
        <v>2000</v>
      </c>
      <c r="F810" s="16" t="str">
        <f>IFERROR(__xludf.DUMMYFUNCTION("""COMPUTED_VALUE"""),"DEF: +100000 ++X2 Damage with Clubs")</f>
        <v>DEF: +100000 ++X2 Damage with Clubs</v>
      </c>
      <c r="G810" s="16">
        <f>IFERROR(__xludf.DUMMYFUNCTION("""COMPUTED_VALUE"""),1.99E8)</f>
        <v>199000000</v>
      </c>
      <c r="H810" s="16"/>
      <c r="I810" s="16"/>
      <c r="J810" s="16"/>
      <c r="K810" s="16"/>
      <c r="L810" s="16"/>
      <c r="M810" s="16"/>
      <c r="N810" s="16"/>
      <c r="O810" s="16"/>
      <c r="P810" s="16"/>
      <c r="Q810" s="16"/>
      <c r="R810" s="16"/>
      <c r="S810" s="16"/>
      <c r="T810" s="16"/>
      <c r="U810" s="16"/>
      <c r="V810" s="16"/>
      <c r="W810" s="16"/>
      <c r="X810" s="16"/>
      <c r="Y810" s="16"/>
      <c r="Z810" s="16"/>
    </row>
    <row r="811">
      <c r="A811" s="16" t="str">
        <f>IFERROR(__xludf.DUMMYFUNCTION("""COMPUTED_VALUE"""),"Warden's Boots")</f>
        <v>Warden's Boots</v>
      </c>
      <c r="B811" s="16"/>
      <c r="C811" s="16" t="str">
        <f>IFERROR(__xludf.DUMMYFUNCTION("""COMPUTED_VALUE"""),"Item")</f>
        <v>Item</v>
      </c>
      <c r="D811" s="16" t="str">
        <f>IFERROR(__xludf.DUMMYFUNCTION("""COMPUTED_VALUE"""),"Feet")</f>
        <v>Feet</v>
      </c>
      <c r="E811" s="16">
        <f>IFERROR(__xludf.DUMMYFUNCTION("""COMPUTED_VALUE"""),2000.0)</f>
        <v>2000</v>
      </c>
      <c r="F811" s="16" t="str">
        <f>IFERROR(__xludf.DUMMYFUNCTION("""COMPUTED_VALUE"""),"DEF: +100000 ++X2 Damage with Clubs")</f>
        <v>DEF: +100000 ++X2 Damage with Clubs</v>
      </c>
      <c r="G811" s="16">
        <f>IFERROR(__xludf.DUMMYFUNCTION("""COMPUTED_VALUE"""),1.99E8)</f>
        <v>199000000</v>
      </c>
      <c r="H811" s="16"/>
      <c r="I811" s="16"/>
      <c r="J811" s="16"/>
      <c r="K811" s="16"/>
      <c r="L811" s="16"/>
      <c r="M811" s="16"/>
      <c r="N811" s="16"/>
      <c r="O811" s="16"/>
      <c r="P811" s="16"/>
      <c r="Q811" s="16"/>
      <c r="R811" s="16"/>
      <c r="S811" s="16"/>
      <c r="T811" s="16"/>
      <c r="U811" s="16"/>
      <c r="V811" s="16"/>
      <c r="W811" s="16"/>
      <c r="X811" s="16"/>
      <c r="Y811" s="16"/>
      <c r="Z811" s="16"/>
    </row>
    <row r="812">
      <c r="A812" s="16" t="str">
        <f>IFERROR(__xludf.DUMMYFUNCTION("""COMPUTED_VALUE"""),"Warden's Baton")</f>
        <v>Warden's Baton</v>
      </c>
      <c r="B812" s="16"/>
      <c r="C812" s="16" t="str">
        <f>IFERROR(__xludf.DUMMYFUNCTION("""COMPUTED_VALUE"""),"Club")</f>
        <v>Club</v>
      </c>
      <c r="D812" s="16" t="str">
        <f>IFERROR(__xludf.DUMMYFUNCTION("""COMPUTED_VALUE"""),"Hand")</f>
        <v>Hand</v>
      </c>
      <c r="E812" s="16">
        <f>IFERROR(__xludf.DUMMYFUNCTION("""COMPUTED_VALUE"""),4000.0)</f>
        <v>4000</v>
      </c>
      <c r="F812" s="16" t="str">
        <f>IFERROR(__xludf.DUMMYFUNCTION("""COMPUTED_VALUE"""),"DMG: +200000 ++X20 damage to any enemy wearing a confining collar.")</f>
        <v>DMG: +200000 ++X20 damage to any enemy wearing a confining collar.</v>
      </c>
      <c r="G812" s="16">
        <f>IFERROR(__xludf.DUMMYFUNCTION("""COMPUTED_VALUE"""),7.98E8)</f>
        <v>798000000</v>
      </c>
      <c r="H812" s="16"/>
      <c r="I812" s="16"/>
      <c r="J812" s="16"/>
      <c r="K812" s="16"/>
      <c r="L812" s="16"/>
      <c r="M812" s="16"/>
      <c r="N812" s="16"/>
      <c r="O812" s="16"/>
      <c r="P812" s="16"/>
      <c r="Q812" s="16"/>
      <c r="R812" s="16"/>
      <c r="S812" s="16"/>
      <c r="T812" s="16"/>
      <c r="U812" s="16"/>
      <c r="V812" s="16"/>
      <c r="W812" s="16"/>
      <c r="X812" s="16"/>
      <c r="Y812" s="16"/>
      <c r="Z812" s="16"/>
    </row>
    <row r="813">
      <c r="A813" s="16" t="str">
        <f>IFERROR(__xludf.DUMMYFUNCTION("""COMPUTED_VALUE"""),"Gentleman's Club")</f>
        <v>Gentleman's Club</v>
      </c>
      <c r="B813" s="16"/>
      <c r="C813" s="16" t="str">
        <f>IFERROR(__xludf.DUMMYFUNCTION("""COMPUTED_VALUE"""),"Club")</f>
        <v>Club</v>
      </c>
      <c r="D813" s="16" t="str">
        <f>IFERROR(__xludf.DUMMYFUNCTION("""COMPUTED_VALUE"""),"Hand")</f>
        <v>Hand</v>
      </c>
      <c r="E813" s="16">
        <f>IFERROR(__xludf.DUMMYFUNCTION("""COMPUTED_VALUE"""),3000.0)</f>
        <v>3000</v>
      </c>
      <c r="F813" s="16" t="str">
        <f>IFERROR(__xludf.DUMMYFUNCTION("""COMPUTED_VALUE"""),"DMG: +150000 ++Enemies hit with this weapon cannot cast spells for 2 rounds. +-Cannot be duplicated.")</f>
        <v>DMG: +150000 ++Enemies hit with this weapon cannot cast spells for 2 rounds. +-Cannot be duplicated.</v>
      </c>
      <c r="G813" s="16">
        <f>IFERROR(__xludf.DUMMYFUNCTION("""COMPUTED_VALUE"""),4.485E8)</f>
        <v>448500000</v>
      </c>
      <c r="H813" s="16"/>
      <c r="I813" s="16"/>
      <c r="J813" s="16"/>
      <c r="K813" s="16"/>
      <c r="L813" s="16"/>
      <c r="M813" s="16"/>
      <c r="N813" s="16"/>
      <c r="O813" s="16"/>
      <c r="P813" s="16"/>
      <c r="Q813" s="16"/>
      <c r="R813" s="16"/>
      <c r="S813" s="16"/>
      <c r="T813" s="16"/>
      <c r="U813" s="16"/>
      <c r="V813" s="16"/>
      <c r="W813" s="16"/>
      <c r="X813" s="16"/>
      <c r="Y813" s="16"/>
      <c r="Z813" s="16"/>
    </row>
    <row r="814">
      <c r="A814" s="16" t="str">
        <f>IFERROR(__xludf.DUMMYFUNCTION("""COMPUTED_VALUE"""),"Honest Shirt")</f>
        <v>Honest Shirt</v>
      </c>
      <c r="B814" s="16"/>
      <c r="C814" s="16" t="str">
        <f>IFERROR(__xludf.DUMMYFUNCTION("""COMPUTED_VALUE"""),"Item")</f>
        <v>Item</v>
      </c>
      <c r="D814" s="16" t="str">
        <f>IFERROR(__xludf.DUMMYFUNCTION("""COMPUTED_VALUE"""),"Torso")</f>
        <v>Torso</v>
      </c>
      <c r="E814" s="16">
        <f>IFERROR(__xludf.DUMMYFUNCTION("""COMPUTED_VALUE"""),2000.0)</f>
        <v>2000</v>
      </c>
      <c r="F814" s="16" t="str">
        <f>IFERROR(__xludf.DUMMYFUNCTION("""COMPUTED_VALUE"""),"DEF: +100000 ++25% chance any spell targeting the wearer fails.")</f>
        <v>DEF: +100000 ++25% chance any spell targeting the wearer fails.</v>
      </c>
      <c r="G814" s="16">
        <f>IFERROR(__xludf.DUMMYFUNCTION("""COMPUTED_VALUE"""),1.99E8)</f>
        <v>199000000</v>
      </c>
      <c r="H814" s="16"/>
      <c r="I814" s="16"/>
      <c r="J814" s="16"/>
      <c r="K814" s="16"/>
      <c r="L814" s="16"/>
      <c r="M814" s="16"/>
      <c r="N814" s="16"/>
      <c r="O814" s="16"/>
      <c r="P814" s="16"/>
      <c r="Q814" s="16"/>
      <c r="R814" s="16"/>
      <c r="S814" s="16"/>
      <c r="T814" s="16"/>
      <c r="U814" s="16"/>
      <c r="V814" s="16"/>
      <c r="W814" s="16"/>
      <c r="X814" s="16"/>
      <c r="Y814" s="16"/>
      <c r="Z814" s="16"/>
    </row>
    <row r="815">
      <c r="A815" s="16" t="str">
        <f>IFERROR(__xludf.DUMMYFUNCTION("""COMPUTED_VALUE"""),"Tinfoil Hat")</f>
        <v>Tinfoil Hat</v>
      </c>
      <c r="B815" s="16"/>
      <c r="C815" s="16" t="str">
        <f>IFERROR(__xludf.DUMMYFUNCTION("""COMPUTED_VALUE"""),"Item")</f>
        <v>Item</v>
      </c>
      <c r="D815" s="16" t="str">
        <f>IFERROR(__xludf.DUMMYFUNCTION("""COMPUTED_VALUE"""),"Head")</f>
        <v>Head</v>
      </c>
      <c r="E815" s="16">
        <f>IFERROR(__xludf.DUMMYFUNCTION("""COMPUTED_VALUE"""),1.0)</f>
        <v>1</v>
      </c>
      <c r="F815" s="16" t="str">
        <f>IFERROR(__xludf.DUMMYFUNCTION("""COMPUTED_VALUE""")," ++Immunity to Possession. +-Cannot be duplicated.")</f>
        <v> ++Immunity to Possession. +-Cannot be duplicated.</v>
      </c>
      <c r="G815" s="16">
        <f>IFERROR(__xludf.DUMMYFUNCTION("""COMPUTED_VALUE"""),0.0)</f>
        <v>0</v>
      </c>
      <c r="H815" s="16"/>
      <c r="I815" s="16"/>
      <c r="J815" s="16"/>
      <c r="K815" s="16"/>
      <c r="L815" s="16"/>
      <c r="M815" s="16"/>
      <c r="N815" s="16"/>
      <c r="O815" s="16"/>
      <c r="P815" s="16"/>
      <c r="Q815" s="16"/>
      <c r="R815" s="16"/>
      <c r="S815" s="16"/>
      <c r="T815" s="16"/>
      <c r="U815" s="16"/>
      <c r="V815" s="16"/>
      <c r="W815" s="16"/>
      <c r="X815" s="16"/>
      <c r="Y815" s="16"/>
      <c r="Z815" s="16"/>
    </row>
    <row r="816">
      <c r="A816" s="16" t="str">
        <f>IFERROR(__xludf.DUMMYFUNCTION("""COMPUTED_VALUE"""),"Anti-Magic Glasses")</f>
        <v>Anti-Magic Glasses</v>
      </c>
      <c r="B816" s="16"/>
      <c r="C816" s="16" t="str">
        <f>IFERROR(__xludf.DUMMYFUNCTION("""COMPUTED_VALUE"""),"Item")</f>
        <v>Item</v>
      </c>
      <c r="D816" s="16" t="str">
        <f>IFERROR(__xludf.DUMMYFUNCTION("""COMPUTED_VALUE"""),"Head")</f>
        <v>Head</v>
      </c>
      <c r="E816" s="16">
        <f>IFERROR(__xludf.DUMMYFUNCTION("""COMPUTED_VALUE"""),1.0)</f>
        <v>1</v>
      </c>
      <c r="F816" s="16" t="str">
        <f>IFERROR(__xludf.DUMMYFUNCTION("""COMPUTED_VALUE""")," ++Immunity to Blindness, Disorient, and Twilight. +-Cannot be duplicated")</f>
        <v> ++Immunity to Blindness, Disorient, and Twilight. +-Cannot be duplicated</v>
      </c>
      <c r="G816" s="16">
        <f>IFERROR(__xludf.DUMMYFUNCTION("""COMPUTED_VALUE"""),0.0)</f>
        <v>0</v>
      </c>
      <c r="H816" s="16"/>
      <c r="I816" s="16"/>
      <c r="J816" s="16"/>
      <c r="K816" s="16"/>
      <c r="L816" s="16"/>
      <c r="M816" s="16"/>
      <c r="N816" s="16"/>
      <c r="O816" s="16"/>
      <c r="P816" s="16"/>
      <c r="Q816" s="16"/>
      <c r="R816" s="16"/>
      <c r="S816" s="16"/>
      <c r="T816" s="16"/>
      <c r="U816" s="16"/>
      <c r="V816" s="16"/>
      <c r="W816" s="16"/>
      <c r="X816" s="16"/>
      <c r="Y816" s="16"/>
      <c r="Z816" s="16"/>
    </row>
    <row r="817">
      <c r="A817" s="16" t="str">
        <f>IFERROR(__xludf.DUMMYFUNCTION("""COMPUTED_VALUE"""),"Null Ring")</f>
        <v>Null Ring</v>
      </c>
      <c r="B817" s="16"/>
      <c r="C817" s="16" t="str">
        <f>IFERROR(__xludf.DUMMYFUNCTION("""COMPUTED_VALUE"""),"Item")</f>
        <v>Item</v>
      </c>
      <c r="D817" s="16" t="str">
        <f>IFERROR(__xludf.DUMMYFUNCTION("""COMPUTED_VALUE"""),"Finger")</f>
        <v>Finger</v>
      </c>
      <c r="E817" s="16">
        <f>IFERROR(__xludf.DUMMYFUNCTION("""COMPUTED_VALUE"""),1.0)</f>
        <v>1</v>
      </c>
      <c r="F817" s="16" t="str">
        <f>IFERROR(__xludf.DUMMYFUNCTION("""COMPUTED_VALUE""")," ++15% chance at start of battle to become immune to all magic casted by enemies and allies +-Wearer is incapable of casting magic +-Not able to be forged or duplicated")</f>
        <v> ++15% chance at start of battle to become immune to all magic casted by enemies and allies +-Wearer is incapable of casting magic +-Not able to be forged or duplicated</v>
      </c>
      <c r="G817" s="16">
        <f>IFERROR(__xludf.DUMMYFUNCTION("""COMPUTED_VALUE"""),0.0)</f>
        <v>0</v>
      </c>
      <c r="H817" s="16"/>
      <c r="I817" s="16"/>
      <c r="J817" s="16"/>
      <c r="K817" s="16"/>
      <c r="L817" s="16"/>
      <c r="M817" s="16"/>
      <c r="N817" s="16"/>
      <c r="O817" s="16"/>
      <c r="P817" s="16"/>
      <c r="Q817" s="16"/>
      <c r="R817" s="16"/>
      <c r="S817" s="16"/>
      <c r="T817" s="16"/>
      <c r="U817" s="16"/>
      <c r="V817" s="16"/>
      <c r="W817" s="16"/>
      <c r="X817" s="16"/>
      <c r="Y817" s="16"/>
      <c r="Z817" s="16"/>
    </row>
    <row r="818">
      <c r="A818" s="16" t="str">
        <f>IFERROR(__xludf.DUMMYFUNCTION("""COMPUTED_VALUE"""),"Quickdraw Bow")</f>
        <v>Quickdraw Bow</v>
      </c>
      <c r="B818" s="16"/>
      <c r="C818" s="16" t="str">
        <f>IFERROR(__xludf.DUMMYFUNCTION("""COMPUTED_VALUE"""),"Bow")</f>
        <v>Bow</v>
      </c>
      <c r="D818" s="16" t="str">
        <f>IFERROR(__xludf.DUMMYFUNCTION("""COMPUTED_VALUE"""),"Hand")</f>
        <v>Hand</v>
      </c>
      <c r="E818" s="16">
        <f>IFERROR(__xludf.DUMMYFUNCTION("""COMPUTED_VALUE"""),2000.0)</f>
        <v>2000</v>
      </c>
      <c r="F818" s="16" t="str">
        <f>IFERROR(__xludf.DUMMYFUNCTION("""COMPUTED_VALUE"""),"DMG: +99500, Spirit DMG: +500 ++Plus 2 to turn order roll +-Cannot be forged or duplicated")</f>
        <v>DMG: +99500, Spirit DMG: +500 ++Plus 2 to turn order roll +-Cannot be forged or duplicated</v>
      </c>
      <c r="G818" s="16">
        <f>IFERROR(__xludf.DUMMYFUNCTION("""COMPUTED_VALUE"""),1.99E8)</f>
        <v>199000000</v>
      </c>
      <c r="H818" s="16"/>
      <c r="I818" s="16"/>
      <c r="J818" s="16"/>
      <c r="K818" s="16"/>
      <c r="L818" s="16"/>
      <c r="M818" s="16"/>
      <c r="N818" s="16"/>
      <c r="O818" s="16"/>
      <c r="P818" s="16"/>
      <c r="Q818" s="16"/>
      <c r="R818" s="16"/>
      <c r="S818" s="16"/>
      <c r="T818" s="16"/>
      <c r="U818" s="16"/>
      <c r="V818" s="16"/>
      <c r="W818" s="16"/>
      <c r="X818" s="16"/>
      <c r="Y818" s="16"/>
      <c r="Z818" s="16"/>
    </row>
    <row r="819">
      <c r="A819" s="16" t="str">
        <f>IFERROR(__xludf.DUMMYFUNCTION("""COMPUTED_VALUE"""),"Chaos Bow")</f>
        <v>Chaos Bow</v>
      </c>
      <c r="B819" s="16"/>
      <c r="C819" s="16" t="str">
        <f>IFERROR(__xludf.DUMMYFUNCTION("""COMPUTED_VALUE"""),"Bow")</f>
        <v>Bow</v>
      </c>
      <c r="D819" s="16" t="str">
        <f>IFERROR(__xludf.DUMMYFUNCTION("""COMPUTED_VALUE"""),"Hand")</f>
        <v>Hand</v>
      </c>
      <c r="E819" s="16">
        <f>IFERROR(__xludf.DUMMYFUNCTION("""COMPUTED_VALUE"""),2600.0)</f>
        <v>2600</v>
      </c>
      <c r="F819" s="16" t="str">
        <f>IFERROR(__xludf.DUMMYFUNCTION("""COMPUTED_VALUE"""),"DMG: +50000, Chaos DMG: +80000 ++This bow targets a random enemy.")</f>
        <v>DMG: +50000, Chaos DMG: +80000 ++This bow targets a random enemy.</v>
      </c>
      <c r="G819" s="16">
        <f>IFERROR(__xludf.DUMMYFUNCTION("""COMPUTED_VALUE"""),3.367E8)</f>
        <v>336700000</v>
      </c>
      <c r="H819" s="16"/>
      <c r="I819" s="16"/>
      <c r="J819" s="16"/>
      <c r="K819" s="16"/>
      <c r="L819" s="16"/>
      <c r="M819" s="16"/>
      <c r="N819" s="16"/>
      <c r="O819" s="16"/>
      <c r="P819" s="16"/>
      <c r="Q819" s="16"/>
      <c r="R819" s="16"/>
      <c r="S819" s="16"/>
      <c r="T819" s="16"/>
      <c r="U819" s="16"/>
      <c r="V819" s="16"/>
      <c r="W819" s="16"/>
      <c r="X819" s="16"/>
      <c r="Y819" s="16"/>
      <c r="Z819" s="16"/>
    </row>
    <row r="820">
      <c r="A820" s="16" t="str">
        <f>IFERROR(__xludf.DUMMYFUNCTION("""COMPUTED_VALUE"""),"Crit Shot Bow")</f>
        <v>Crit Shot Bow</v>
      </c>
      <c r="B820" s="16"/>
      <c r="C820" s="16" t="str">
        <f>IFERROR(__xludf.DUMMYFUNCTION("""COMPUTED_VALUE"""),"Bow")</f>
        <v>Bow</v>
      </c>
      <c r="D820" s="16" t="str">
        <f>IFERROR(__xludf.DUMMYFUNCTION("""COMPUTED_VALUE"""),"Hand")</f>
        <v>Hand</v>
      </c>
      <c r="E820" s="16">
        <f>IFERROR(__xludf.DUMMYFUNCTION("""COMPUTED_VALUE"""),4000.0)</f>
        <v>4000</v>
      </c>
      <c r="F820" s="16" t="str">
        <f>IFERROR(__xludf.DUMMYFUNCTION("""COMPUTED_VALUE"""),"DMG: +200000 ++Deals 3x damage +-Accuracy halved")</f>
        <v>DMG: +200000 ++Deals 3x damage +-Accuracy halved</v>
      </c>
      <c r="G820" s="16">
        <f>IFERROR(__xludf.DUMMYFUNCTION("""COMPUTED_VALUE"""),7.98E8)</f>
        <v>798000000</v>
      </c>
      <c r="H820" s="16"/>
      <c r="I820" s="16"/>
      <c r="J820" s="16"/>
      <c r="K820" s="16"/>
      <c r="L820" s="16"/>
      <c r="M820" s="16"/>
      <c r="N820" s="16"/>
      <c r="O820" s="16"/>
      <c r="P820" s="16"/>
      <c r="Q820" s="16"/>
      <c r="R820" s="16"/>
      <c r="S820" s="16"/>
      <c r="T820" s="16"/>
      <c r="U820" s="16"/>
      <c r="V820" s="16"/>
      <c r="W820" s="16"/>
      <c r="X820" s="16"/>
      <c r="Y820" s="16"/>
      <c r="Z820" s="16"/>
    </row>
    <row r="821">
      <c r="A821" s="16" t="str">
        <f>IFERROR(__xludf.DUMMYFUNCTION("""COMPUTED_VALUE"""),"Incinerating Bow")</f>
        <v>Incinerating Bow</v>
      </c>
      <c r="B821" s="16"/>
      <c r="C821" s="16" t="str">
        <f>IFERROR(__xludf.DUMMYFUNCTION("""COMPUTED_VALUE"""),"Bow")</f>
        <v>Bow</v>
      </c>
      <c r="D821" s="16" t="str">
        <f>IFERROR(__xludf.DUMMYFUNCTION("""COMPUTED_VALUE"""),"Hand")</f>
        <v>Hand</v>
      </c>
      <c r="E821" s="16">
        <f>IFERROR(__xludf.DUMMYFUNCTION("""COMPUTED_VALUE"""),3800.0)</f>
        <v>3800</v>
      </c>
      <c r="F821" s="16" t="str">
        <f>IFERROR(__xludf.DUMMYFUNCTION("""COMPUTED_VALUE"""),"DMG: +90000, Fire DMG: +100000 ++Gain 1 Fire Arrow when any other arrow type is used. ++When using Fire Arrows deal 2x damage with this weapon. +-Cannot be forged or duplicated")</f>
        <v>DMG: +90000, Fire DMG: +100000 ++Gain 1 Fire Arrow when any other arrow type is used. ++When using Fire Arrows deal 2x damage with this weapon. +-Cannot be forged or duplicated</v>
      </c>
      <c r="G821" s="16">
        <f>IFERROR(__xludf.DUMMYFUNCTION("""COMPUTED_VALUE"""),7.201E8)</f>
        <v>720100000</v>
      </c>
      <c r="H821" s="16"/>
      <c r="I821" s="16"/>
      <c r="J821" s="16"/>
      <c r="K821" s="16"/>
      <c r="L821" s="16"/>
      <c r="M821" s="16"/>
      <c r="N821" s="16"/>
      <c r="O821" s="16"/>
      <c r="P821" s="16"/>
      <c r="Q821" s="16"/>
      <c r="R821" s="16"/>
      <c r="S821" s="16"/>
      <c r="T821" s="16"/>
      <c r="U821" s="16"/>
      <c r="V821" s="16"/>
      <c r="W821" s="16"/>
      <c r="X821" s="16"/>
      <c r="Y821" s="16"/>
      <c r="Z821" s="16"/>
    </row>
    <row r="822">
      <c r="A822" s="16" t="str">
        <f>IFERROR(__xludf.DUMMYFUNCTION("""COMPUTED_VALUE"""),"Bone Bow")</f>
        <v>Bone Bow</v>
      </c>
      <c r="B822" s="16"/>
      <c r="C822" s="16" t="str">
        <f>IFERROR(__xludf.DUMMYFUNCTION("""COMPUTED_VALUE"""),"Bow")</f>
        <v>Bow</v>
      </c>
      <c r="D822" s="16" t="str">
        <f>IFERROR(__xludf.DUMMYFUNCTION("""COMPUTED_VALUE"""),"Hand")</f>
        <v>Hand</v>
      </c>
      <c r="E822" s="16">
        <f>IFERROR(__xludf.DUMMYFUNCTION("""COMPUTED_VALUE"""),3400.0)</f>
        <v>3400</v>
      </c>
      <c r="F822" s="16" t="str">
        <f>IFERROR(__xludf.DUMMYFUNCTION("""COMPUTED_VALUE"""),"DMG: +10000, Blood DMG: +160000 ++ 2x damage when user isundead")</f>
        <v>DMG: +10000, Blood DMG: +160000 ++ 2x damage when user isundead</v>
      </c>
      <c r="G822" s="16">
        <f>IFERROR(__xludf.DUMMYFUNCTION("""COMPUTED_VALUE"""),5.763E8)</f>
        <v>576300000</v>
      </c>
      <c r="H822" s="16"/>
      <c r="I822" s="16"/>
      <c r="J822" s="16"/>
      <c r="K822" s="16"/>
      <c r="L822" s="16"/>
      <c r="M822" s="16"/>
      <c r="N822" s="16"/>
      <c r="O822" s="16"/>
      <c r="P822" s="16"/>
      <c r="Q822" s="16"/>
      <c r="R822" s="16"/>
      <c r="S822" s="16"/>
      <c r="T822" s="16"/>
      <c r="U822" s="16"/>
      <c r="V822" s="16"/>
      <c r="W822" s="16"/>
      <c r="X822" s="16"/>
      <c r="Y822" s="16"/>
      <c r="Z822" s="16"/>
    </row>
    <row r="823">
      <c r="A823" s="16" t="str">
        <f>IFERROR(__xludf.DUMMYFUNCTION("""COMPUTED_VALUE"""),"Assassin's Fake Harp")</f>
        <v>Assassin's Fake Harp</v>
      </c>
      <c r="B823" s="16"/>
      <c r="C823" s="16" t="str">
        <f>IFERROR(__xludf.DUMMYFUNCTION("""COMPUTED_VALUE"""),"Bow")</f>
        <v>Bow</v>
      </c>
      <c r="D823" s="16" t="str">
        <f>IFERROR(__xludf.DUMMYFUNCTION("""COMPUTED_VALUE"""),"Hand")</f>
        <v>Hand</v>
      </c>
      <c r="E823" s="16">
        <f>IFERROR(__xludf.DUMMYFUNCTION("""COMPUTED_VALUE"""),3000.0)</f>
        <v>3000</v>
      </c>
      <c r="F823" s="16" t="str">
        <f>IFERROR(__xludf.DUMMYFUNCTION("""COMPUTED_VALUE"""),"DMG: +50000, Acoustic DMG: +100000 ++Deals X2 additional damage for the first round of battle.")</f>
        <v>DMG: +50000, Acoustic DMG: +100000 ++Deals X2 additional damage for the first round of battle.</v>
      </c>
      <c r="G823" s="16">
        <f>IFERROR(__xludf.DUMMYFUNCTION("""COMPUTED_VALUE"""),4.485E8)</f>
        <v>448500000</v>
      </c>
      <c r="H823" s="16"/>
      <c r="I823" s="16"/>
      <c r="J823" s="16"/>
      <c r="K823" s="16"/>
      <c r="L823" s="16"/>
      <c r="M823" s="16"/>
      <c r="N823" s="16"/>
      <c r="O823" s="16"/>
      <c r="P823" s="16"/>
      <c r="Q823" s="16"/>
      <c r="R823" s="16"/>
      <c r="S823" s="16"/>
      <c r="T823" s="16"/>
      <c r="U823" s="16"/>
      <c r="V823" s="16"/>
      <c r="W823" s="16"/>
      <c r="X823" s="16"/>
      <c r="Y823" s="16"/>
      <c r="Z823" s="16"/>
    </row>
    <row r="824">
      <c r="A824" s="16" t="str">
        <f>IFERROR(__xludf.DUMMYFUNCTION("""COMPUTED_VALUE"""),"Broken Bow")</f>
        <v>Broken Bow</v>
      </c>
      <c r="B824" s="16"/>
      <c r="C824" s="16" t="str">
        <f>IFERROR(__xludf.DUMMYFUNCTION("""COMPUTED_VALUE"""),"Club")</f>
        <v>Club</v>
      </c>
      <c r="D824" s="16" t="str">
        <f>IFERROR(__xludf.DUMMYFUNCTION("""COMPUTED_VALUE"""),"Hand")</f>
        <v>Hand</v>
      </c>
      <c r="E824" s="16">
        <f>IFERROR(__xludf.DUMMYFUNCTION("""COMPUTED_VALUE"""),20.0)</f>
        <v>20</v>
      </c>
      <c r="F824" s="16" t="str">
        <f>IFERROR(__xludf.DUMMYFUNCTION("""COMPUTED_VALUE"""),"DMG: +1000")</f>
        <v>DMG: +1000</v>
      </c>
      <c r="G824" s="16">
        <f>IFERROR(__xludf.DUMMYFUNCTION("""COMPUTED_VALUE"""),10000.0)</f>
        <v>10000</v>
      </c>
      <c r="H824" s="16"/>
      <c r="I824" s="16"/>
      <c r="J824" s="16"/>
      <c r="K824" s="16"/>
      <c r="L824" s="16"/>
      <c r="M824" s="16"/>
      <c r="N824" s="16"/>
      <c r="O824" s="16"/>
      <c r="P824" s="16"/>
      <c r="Q824" s="16"/>
      <c r="R824" s="16"/>
      <c r="S824" s="16"/>
      <c r="T824" s="16"/>
      <c r="U824" s="16"/>
      <c r="V824" s="16"/>
      <c r="W824" s="16"/>
      <c r="X824" s="16"/>
      <c r="Y824" s="16"/>
      <c r="Z824" s="16"/>
    </row>
    <row r="825">
      <c r="A825" s="16" t="str">
        <f>IFERROR(__xludf.DUMMYFUNCTION("""COMPUTED_VALUE"""),"Lizard Wizard Hat")</f>
        <v>Lizard Wizard Hat</v>
      </c>
      <c r="B825" s="16"/>
      <c r="C825" s="16" t="str">
        <f>IFERROR(__xludf.DUMMYFUNCTION("""COMPUTED_VALUE"""),"Item")</f>
        <v>Item</v>
      </c>
      <c r="D825" s="16" t="str">
        <f>IFERROR(__xludf.DUMMYFUNCTION("""COMPUTED_VALUE"""),"Head")</f>
        <v>Head</v>
      </c>
      <c r="E825" s="16">
        <f>IFERROR(__xludf.DUMMYFUNCTION("""COMPUTED_VALUE"""),200.0)</f>
        <v>200</v>
      </c>
      <c r="F825" s="16" t="str">
        <f>IFERROR(__xludf.DUMMYFUNCTION("""COMPUTED_VALUE"""),"DEF: +10000 ++7500 hp and sp, X2 poison damage")</f>
        <v>DEF: +10000 ++7500 hp and sp, X2 poison damage</v>
      </c>
      <c r="G825" s="16">
        <f>IFERROR(__xludf.DUMMYFUNCTION("""COMPUTED_VALUE"""),1900000.0)</f>
        <v>1900000</v>
      </c>
      <c r="H825" s="16"/>
      <c r="I825" s="16"/>
      <c r="J825" s="16"/>
      <c r="K825" s="16"/>
      <c r="L825" s="16"/>
      <c r="M825" s="16"/>
      <c r="N825" s="16"/>
      <c r="O825" s="16"/>
      <c r="P825" s="16"/>
      <c r="Q825" s="16"/>
      <c r="R825" s="16"/>
      <c r="S825" s="16"/>
      <c r="T825" s="16"/>
      <c r="U825" s="16"/>
      <c r="V825" s="16"/>
      <c r="W825" s="16"/>
      <c r="X825" s="16"/>
      <c r="Y825" s="16"/>
      <c r="Z825" s="16"/>
    </row>
    <row r="826">
      <c r="A826" s="16" t="str">
        <f>IFERROR(__xludf.DUMMYFUNCTION("""COMPUTED_VALUE"""),"Lizard Wizard Robes")</f>
        <v>Lizard Wizard Robes</v>
      </c>
      <c r="B826" s="16"/>
      <c r="C826" s="16" t="str">
        <f>IFERROR(__xludf.DUMMYFUNCTION("""COMPUTED_VALUE"""),"Item")</f>
        <v>Item</v>
      </c>
      <c r="D826" s="16" t="str">
        <f>IFERROR(__xludf.DUMMYFUNCTION("""COMPUTED_VALUE"""),"Torso")</f>
        <v>Torso</v>
      </c>
      <c r="E826" s="16">
        <f>IFERROR(__xludf.DUMMYFUNCTION("""COMPUTED_VALUE"""),200.0)</f>
        <v>200</v>
      </c>
      <c r="F826" s="16" t="str">
        <f>IFERROR(__xludf.DUMMYFUNCTION("""COMPUTED_VALUE"""),"DEF: +10000 ++7500 hp and sp, X2 poison damage")</f>
        <v>DEF: +10000 ++7500 hp and sp, X2 poison damage</v>
      </c>
      <c r="G826" s="16">
        <f>IFERROR(__xludf.DUMMYFUNCTION("""COMPUTED_VALUE"""),1900000.0)</f>
        <v>1900000</v>
      </c>
      <c r="H826" s="16"/>
      <c r="I826" s="16"/>
      <c r="J826" s="16"/>
      <c r="K826" s="16"/>
      <c r="L826" s="16"/>
      <c r="M826" s="16"/>
      <c r="N826" s="16"/>
      <c r="O826" s="16"/>
      <c r="P826" s="16"/>
      <c r="Q826" s="16"/>
      <c r="R826" s="16"/>
      <c r="S826" s="16"/>
      <c r="T826" s="16"/>
      <c r="U826" s="16"/>
      <c r="V826" s="16"/>
      <c r="W826" s="16"/>
      <c r="X826" s="16"/>
      <c r="Y826" s="16"/>
      <c r="Z826" s="16"/>
    </row>
    <row r="827">
      <c r="A827" s="16" t="str">
        <f>IFERROR(__xludf.DUMMYFUNCTION("""COMPUTED_VALUE"""),"Lizard Wizard Leggings")</f>
        <v>Lizard Wizard Leggings</v>
      </c>
      <c r="B827" s="16"/>
      <c r="C827" s="16" t="str">
        <f>IFERROR(__xludf.DUMMYFUNCTION("""COMPUTED_VALUE"""),"Item")</f>
        <v>Item</v>
      </c>
      <c r="D827" s="16" t="str">
        <f>IFERROR(__xludf.DUMMYFUNCTION("""COMPUTED_VALUE"""),"Legs")</f>
        <v>Legs</v>
      </c>
      <c r="E827" s="16">
        <f>IFERROR(__xludf.DUMMYFUNCTION("""COMPUTED_VALUE"""),200.0)</f>
        <v>200</v>
      </c>
      <c r="F827" s="16" t="str">
        <f>IFERROR(__xludf.DUMMYFUNCTION("""COMPUTED_VALUE"""),"DEF: +10000 ++7500 hp and sp, X2 poison damage")</f>
        <v>DEF: +10000 ++7500 hp and sp, X2 poison damage</v>
      </c>
      <c r="G827" s="16">
        <f>IFERROR(__xludf.DUMMYFUNCTION("""COMPUTED_VALUE"""),1900000.0)</f>
        <v>1900000</v>
      </c>
      <c r="H827" s="16"/>
      <c r="I827" s="16"/>
      <c r="J827" s="16"/>
      <c r="K827" s="16"/>
      <c r="L827" s="16"/>
      <c r="M827" s="16"/>
      <c r="N827" s="16"/>
      <c r="O827" s="16"/>
      <c r="P827" s="16"/>
      <c r="Q827" s="16"/>
      <c r="R827" s="16"/>
      <c r="S827" s="16"/>
      <c r="T827" s="16"/>
      <c r="U827" s="16"/>
      <c r="V827" s="16"/>
      <c r="W827" s="16"/>
      <c r="X827" s="16"/>
      <c r="Y827" s="16"/>
      <c r="Z827" s="16"/>
    </row>
    <row r="828">
      <c r="A828" s="16" t="str">
        <f>IFERROR(__xludf.DUMMYFUNCTION("""COMPUTED_VALUE"""),"Lizard Wizard Pointed Shoes")</f>
        <v>Lizard Wizard Pointed Shoes</v>
      </c>
      <c r="B828" s="16"/>
      <c r="C828" s="16" t="str">
        <f>IFERROR(__xludf.DUMMYFUNCTION("""COMPUTED_VALUE"""),"Item")</f>
        <v>Item</v>
      </c>
      <c r="D828" s="16" t="str">
        <f>IFERROR(__xludf.DUMMYFUNCTION("""COMPUTED_VALUE"""),"Feet")</f>
        <v>Feet</v>
      </c>
      <c r="E828" s="16">
        <f>IFERROR(__xludf.DUMMYFUNCTION("""COMPUTED_VALUE"""),200.0)</f>
        <v>200</v>
      </c>
      <c r="F828" s="16" t="str">
        <f>IFERROR(__xludf.DUMMYFUNCTION("""COMPUTED_VALUE"""),"DEF: +10000 ++7500 hp and sp, X2 poison damage")</f>
        <v>DEF: +10000 ++7500 hp and sp, X2 poison damage</v>
      </c>
      <c r="G828" s="16">
        <f>IFERROR(__xludf.DUMMYFUNCTION("""COMPUTED_VALUE"""),1900000.0)</f>
        <v>1900000</v>
      </c>
      <c r="H828" s="16"/>
      <c r="I828" s="16"/>
      <c r="J828" s="16"/>
      <c r="K828" s="16"/>
      <c r="L828" s="16"/>
      <c r="M828" s="16"/>
      <c r="N828" s="16"/>
      <c r="O828" s="16"/>
      <c r="P828" s="16"/>
      <c r="Q828" s="16"/>
      <c r="R828" s="16"/>
      <c r="S828" s="16"/>
      <c r="T828" s="16"/>
      <c r="U828" s="16"/>
      <c r="V828" s="16"/>
      <c r="W828" s="16"/>
      <c r="X828" s="16"/>
      <c r="Y828" s="16"/>
      <c r="Z828" s="16"/>
    </row>
    <row r="829">
      <c r="A829" s="16" t="str">
        <f>IFERROR(__xludf.DUMMYFUNCTION("""COMPUTED_VALUE"""),"Lizard Wizard Staff of Corroding Blizzard")</f>
        <v>Lizard Wizard Staff of Corroding Blizzard</v>
      </c>
      <c r="B829" s="16"/>
      <c r="C829" s="16" t="str">
        <f>IFERROR(__xludf.DUMMYFUNCTION("""COMPUTED_VALUE"""),"Staff")</f>
        <v>Staff</v>
      </c>
      <c r="D829" s="16" t="str">
        <f>IFERROR(__xludf.DUMMYFUNCTION("""COMPUTED_VALUE"""),"Hand")</f>
        <v>Hand</v>
      </c>
      <c r="E829" s="16">
        <f>IFERROR(__xludf.DUMMYFUNCTION("""COMPUTED_VALUE"""),3000.0)</f>
        <v>3000</v>
      </c>
      <c r="F829" s="16" t="str">
        <f>IFERROR(__xludf.DUMMYFUNCTION("""COMPUTED_VALUE"""),", Light DMG: +50000, Nature DMG: +100000 ++Lizard Wizard's Corrosion Explosion!: Inflicts 5000XWisdom Poison on all enemies sp cost: 1000XWisdom sp. ++Lizard Wizard's Shiny: X5 to all Poison and Nature Damage ")</f>
        <v>, Light DMG: +50000, Nature DMG: +100000 ++Lizard Wizard's Corrosion Explosion!: Inflicts 5000XWisdom Poison on all enemies sp cost: 1000XWisdom sp. ++Lizard Wizard's Shiny: X5 to all Poison and Nature Damage </v>
      </c>
      <c r="G829" s="16">
        <f>IFERROR(__xludf.DUMMYFUNCTION("""COMPUTED_VALUE"""),4.485E8)</f>
        <v>448500000</v>
      </c>
      <c r="H829" s="16"/>
      <c r="I829" s="16"/>
      <c r="J829" s="16"/>
      <c r="K829" s="16"/>
      <c r="L829" s="16"/>
      <c r="M829" s="16"/>
      <c r="N829" s="16"/>
      <c r="O829" s="16"/>
      <c r="P829" s="16"/>
      <c r="Q829" s="16"/>
      <c r="R829" s="16"/>
      <c r="S829" s="16"/>
      <c r="T829" s="16"/>
      <c r="U829" s="16"/>
      <c r="V829" s="16"/>
      <c r="W829" s="16"/>
      <c r="X829" s="16"/>
      <c r="Y829" s="16"/>
      <c r="Z829" s="16"/>
    </row>
    <row r="830">
      <c r="A830" s="16" t="str">
        <f>IFERROR(__xludf.DUMMYFUNCTION("""COMPUTED_VALUE"""),"Lizard Wizard's Prized Ring")</f>
        <v>Lizard Wizard's Prized Ring</v>
      </c>
      <c r="B830" s="16" t="str">
        <f>IFERROR(__xludf.DUMMYFUNCTION("""COMPUTED_VALUE"""),"""The Most Prized shiny of all lizard wizard kind!"" ~Lizard Wizzard Gizzard")</f>
        <v>"The Most Prized shiny of all lizard wizard kind!" ~Lizard Wizzard Gizzard</v>
      </c>
      <c r="C830" s="16" t="str">
        <f>IFERROR(__xludf.DUMMYFUNCTION("""COMPUTED_VALUE"""),"Item")</f>
        <v>Item</v>
      </c>
      <c r="D830" s="16" t="str">
        <f>IFERROR(__xludf.DUMMYFUNCTION("""COMPUTED_VALUE"""),"Finger")</f>
        <v>Finger</v>
      </c>
      <c r="E830" s="16">
        <f>IFERROR(__xludf.DUMMYFUNCTION("""COMPUTED_VALUE"""),2000.0)</f>
        <v>2000</v>
      </c>
      <c r="F830" s="16" t="str">
        <f>IFERROR(__xludf.DUMMYFUNCTION("""COMPUTED_VALUE"""),"DEF: +100000 ++X5 Poison and Nature damage, +5 Wisdom for every enemy poisoned.")</f>
        <v>DEF: +100000 ++X5 Poison and Nature damage, +5 Wisdom for every enemy poisoned.</v>
      </c>
      <c r="G830" s="16">
        <f>IFERROR(__xludf.DUMMYFUNCTION("""COMPUTED_VALUE"""),1.99E8)</f>
        <v>199000000</v>
      </c>
      <c r="H830" s="16"/>
      <c r="I830" s="16"/>
      <c r="J830" s="16"/>
      <c r="K830" s="16"/>
      <c r="L830" s="16"/>
      <c r="M830" s="16"/>
      <c r="N830" s="16"/>
      <c r="O830" s="16"/>
      <c r="P830" s="16"/>
      <c r="Q830" s="16"/>
      <c r="R830" s="16"/>
      <c r="S830" s="16"/>
      <c r="T830" s="16"/>
      <c r="U830" s="16"/>
      <c r="V830" s="16"/>
      <c r="W830" s="16"/>
      <c r="X830" s="16"/>
      <c r="Y830" s="16"/>
      <c r="Z830" s="16"/>
    </row>
    <row r="831">
      <c r="A831" s="16" t="str">
        <f>IFERROR(__xludf.DUMMYFUNCTION("""COMPUTED_VALUE"""),"Lizard Thief's Bandana")</f>
        <v>Lizard Thief's Bandana</v>
      </c>
      <c r="B831" s="16"/>
      <c r="C831" s="16" t="str">
        <f>IFERROR(__xludf.DUMMYFUNCTION("""COMPUTED_VALUE"""),"Item")</f>
        <v>Item</v>
      </c>
      <c r="D831" s="16" t="str">
        <f>IFERROR(__xludf.DUMMYFUNCTION("""COMPUTED_VALUE"""),"Head")</f>
        <v>Head</v>
      </c>
      <c r="E831" s="16">
        <f>IFERROR(__xludf.DUMMYFUNCTION("""COMPUTED_VALUE"""),2000.0)</f>
        <v>2000</v>
      </c>
      <c r="F831" s="16" t="str">
        <f>IFERROR(__xludf.DUMMYFUNCTION("""COMPUTED_VALUE"""),"DEF: +100000 ++15000 ATK and ACC  ++X4 Knife Damage")</f>
        <v>DEF: +100000 ++15000 ATK and ACC  ++X4 Knife Damage</v>
      </c>
      <c r="G831" s="16">
        <f>IFERROR(__xludf.DUMMYFUNCTION("""COMPUTED_VALUE"""),1.99E8)</f>
        <v>199000000</v>
      </c>
      <c r="H831" s="16"/>
      <c r="I831" s="16"/>
      <c r="J831" s="16"/>
      <c r="K831" s="16"/>
      <c r="L831" s="16"/>
      <c r="M831" s="16"/>
      <c r="N831" s="16"/>
      <c r="O831" s="16"/>
      <c r="P831" s="16"/>
      <c r="Q831" s="16"/>
      <c r="R831" s="16"/>
      <c r="S831" s="16"/>
      <c r="T831" s="16"/>
      <c r="U831" s="16"/>
      <c r="V831" s="16"/>
      <c r="W831" s="16"/>
      <c r="X831" s="16"/>
      <c r="Y831" s="16"/>
      <c r="Z831" s="16"/>
    </row>
    <row r="832">
      <c r="A832" s="16" t="str">
        <f>IFERROR(__xludf.DUMMYFUNCTION("""COMPUTED_VALUE"""),"Lizard Thief's Leathers")</f>
        <v>Lizard Thief's Leathers</v>
      </c>
      <c r="B832" s="16"/>
      <c r="C832" s="16" t="str">
        <f>IFERROR(__xludf.DUMMYFUNCTION("""COMPUTED_VALUE"""),"Item")</f>
        <v>Item</v>
      </c>
      <c r="D832" s="16" t="str">
        <f>IFERROR(__xludf.DUMMYFUNCTION("""COMPUTED_VALUE"""),"Torso")</f>
        <v>Torso</v>
      </c>
      <c r="E832" s="16">
        <f>IFERROR(__xludf.DUMMYFUNCTION("""COMPUTED_VALUE"""),2000.0)</f>
        <v>2000</v>
      </c>
      <c r="F832" s="16" t="str">
        <f>IFERROR(__xludf.DUMMYFUNCTION("""COMPUTED_VALUE"""),"DEF: +100000 ++15000 ATK and ACC ++X4 Knife Damage")</f>
        <v>DEF: +100000 ++15000 ATK and ACC ++X4 Knife Damage</v>
      </c>
      <c r="G832" s="16">
        <f>IFERROR(__xludf.DUMMYFUNCTION("""COMPUTED_VALUE"""),1.99E8)</f>
        <v>199000000</v>
      </c>
      <c r="H832" s="16"/>
      <c r="I832" s="16"/>
      <c r="J832" s="16"/>
      <c r="K832" s="16"/>
      <c r="L832" s="16"/>
      <c r="M832" s="16"/>
      <c r="N832" s="16"/>
      <c r="O832" s="16"/>
      <c r="P832" s="16"/>
      <c r="Q832" s="16"/>
      <c r="R832" s="16"/>
      <c r="S832" s="16"/>
      <c r="T832" s="16"/>
      <c r="U832" s="16"/>
      <c r="V832" s="16"/>
      <c r="W832" s="16"/>
      <c r="X832" s="16"/>
      <c r="Y832" s="16"/>
      <c r="Z832" s="16"/>
    </row>
    <row r="833">
      <c r="A833" s="16" t="str">
        <f>IFERROR(__xludf.DUMMYFUNCTION("""COMPUTED_VALUE"""),"Lizard Thief's Pants")</f>
        <v>Lizard Thief's Pants</v>
      </c>
      <c r="B833" s="16"/>
      <c r="C833" s="16" t="str">
        <f>IFERROR(__xludf.DUMMYFUNCTION("""COMPUTED_VALUE"""),"Item")</f>
        <v>Item</v>
      </c>
      <c r="D833" s="16" t="str">
        <f>IFERROR(__xludf.DUMMYFUNCTION("""COMPUTED_VALUE"""),"Legs")</f>
        <v>Legs</v>
      </c>
      <c r="E833" s="16">
        <f>IFERROR(__xludf.DUMMYFUNCTION("""COMPUTED_VALUE"""),2000.0)</f>
        <v>2000</v>
      </c>
      <c r="F833" s="16" t="str">
        <f>IFERROR(__xludf.DUMMYFUNCTION("""COMPUTED_VALUE"""),"DEF: +100000 ++15000 ATK and ACC ++X4 Knife Damage")</f>
        <v>DEF: +100000 ++15000 ATK and ACC ++X4 Knife Damage</v>
      </c>
      <c r="G833" s="16">
        <f>IFERROR(__xludf.DUMMYFUNCTION("""COMPUTED_VALUE"""),1.99E8)</f>
        <v>199000000</v>
      </c>
      <c r="H833" s="16"/>
      <c r="I833" s="16"/>
      <c r="J833" s="16"/>
      <c r="K833" s="16"/>
      <c r="L833" s="16"/>
      <c r="M833" s="16"/>
      <c r="N833" s="16"/>
      <c r="O833" s="16"/>
      <c r="P833" s="16"/>
      <c r="Q833" s="16"/>
      <c r="R833" s="16"/>
      <c r="S833" s="16"/>
      <c r="T833" s="16"/>
      <c r="U833" s="16"/>
      <c r="V833" s="16"/>
      <c r="W833" s="16"/>
      <c r="X833" s="16"/>
      <c r="Y833" s="16"/>
      <c r="Z833" s="16"/>
    </row>
    <row r="834">
      <c r="A834" s="16" t="str">
        <f>IFERROR(__xludf.DUMMYFUNCTION("""COMPUTED_VALUE"""),"Lizard Thief's Boots")</f>
        <v>Lizard Thief's Boots</v>
      </c>
      <c r="B834" s="16"/>
      <c r="C834" s="16" t="str">
        <f>IFERROR(__xludf.DUMMYFUNCTION("""COMPUTED_VALUE"""),"Item")</f>
        <v>Item</v>
      </c>
      <c r="D834" s="16" t="str">
        <f>IFERROR(__xludf.DUMMYFUNCTION("""COMPUTED_VALUE"""),"Feet")</f>
        <v>Feet</v>
      </c>
      <c r="E834" s="16">
        <f>IFERROR(__xludf.DUMMYFUNCTION("""COMPUTED_VALUE"""),2000.0)</f>
        <v>2000</v>
      </c>
      <c r="F834" s="16" t="str">
        <f>IFERROR(__xludf.DUMMYFUNCTION("""COMPUTED_VALUE"""),"DEF: +100000 ++15000 ATK and ACC ++X4 Knife Damage")</f>
        <v>DEF: +100000 ++15000 ATK and ACC ++X4 Knife Damage</v>
      </c>
      <c r="G834" s="16">
        <f>IFERROR(__xludf.DUMMYFUNCTION("""COMPUTED_VALUE"""),1.99E8)</f>
        <v>199000000</v>
      </c>
      <c r="H834" s="16"/>
      <c r="I834" s="16"/>
      <c r="J834" s="16"/>
      <c r="K834" s="16"/>
      <c r="L834" s="16"/>
      <c r="M834" s="16"/>
      <c r="N834" s="16"/>
      <c r="O834" s="16"/>
      <c r="P834" s="16"/>
      <c r="Q834" s="16"/>
      <c r="R834" s="16"/>
      <c r="S834" s="16"/>
      <c r="T834" s="16"/>
      <c r="U834" s="16"/>
      <c r="V834" s="16"/>
      <c r="W834" s="16"/>
      <c r="X834" s="16"/>
      <c r="Y834" s="16"/>
      <c r="Z834" s="16"/>
    </row>
    <row r="835">
      <c r="A835" s="16" t="str">
        <f>IFERROR(__xludf.DUMMYFUNCTION("""COMPUTED_VALUE"""),"Lizard Thief's Shiny Swiper")</f>
        <v>Lizard Thief's Shiny Swiper</v>
      </c>
      <c r="B835" s="16"/>
      <c r="C835" s="16" t="str">
        <f>IFERROR(__xludf.DUMMYFUNCTION("""COMPUTED_VALUE"""),"Knife")</f>
        <v>Knife</v>
      </c>
      <c r="D835" s="16" t="str">
        <f>IFERROR(__xludf.DUMMYFUNCTION("""COMPUTED_VALUE"""),"Hand")</f>
        <v>Hand</v>
      </c>
      <c r="E835" s="16">
        <f>IFERROR(__xludf.DUMMYFUNCTION("""COMPUTED_VALUE"""),3000.0)</f>
        <v>3000</v>
      </c>
      <c r="F835" s="16" t="str">
        <f>IFERROR(__xludf.DUMMYFUNCTION("""COMPUTED_VALUE"""),"DMG: +150000 ++Shiny Snatchery - +5 to all rolls when stealing an item. ++If the wearer successfully steals an item from an enemy +5 mobility for the next 3 rounds. +-effects do not stack")</f>
        <v>DMG: +150000 ++Shiny Snatchery - +5 to all rolls when stealing an item. ++If the wearer successfully steals an item from an enemy +5 mobility for the next 3 rounds. +-effects do not stack</v>
      </c>
      <c r="G835" s="16">
        <f>IFERROR(__xludf.DUMMYFUNCTION("""COMPUTED_VALUE"""),4.485E8)</f>
        <v>448500000</v>
      </c>
      <c r="H835" s="16"/>
      <c r="I835" s="16"/>
      <c r="J835" s="16"/>
      <c r="K835" s="16"/>
      <c r="L835" s="16"/>
      <c r="M835" s="16"/>
      <c r="N835" s="16"/>
      <c r="O835" s="16"/>
      <c r="P835" s="16"/>
      <c r="Q835" s="16"/>
      <c r="R835" s="16"/>
      <c r="S835" s="16"/>
      <c r="T835" s="16"/>
      <c r="U835" s="16"/>
      <c r="V835" s="16"/>
      <c r="W835" s="16"/>
      <c r="X835" s="16"/>
      <c r="Y835" s="16"/>
      <c r="Z835" s="16"/>
    </row>
    <row r="836">
      <c r="A836" s="16" t="str">
        <f>IFERROR(__xludf.DUMMYFUNCTION("""COMPUTED_VALUE"""),"Wyrmstone Club")</f>
        <v>Wyrmstone Club</v>
      </c>
      <c r="B836" s="16"/>
      <c r="C836" s="16" t="str">
        <f>IFERROR(__xludf.DUMMYFUNCTION("""COMPUTED_VALUE"""),"Club")</f>
        <v>Club</v>
      </c>
      <c r="D836" s="16" t="str">
        <f>IFERROR(__xludf.DUMMYFUNCTION("""COMPUTED_VALUE"""),"Hand")</f>
        <v>Hand</v>
      </c>
      <c r="E836" s="16">
        <f>IFERROR(__xludf.DUMMYFUNCTION("""COMPUTED_VALUE"""),2000.0)</f>
        <v>2000</v>
      </c>
      <c r="F836" s="16" t="str">
        <f>IFERROR(__xludf.DUMMYFUNCTION("""COMPUTED_VALUE"""),"DMG: +100000 +- Half damage against dragons")</f>
        <v>DMG: +100000 +- Half damage against dragons</v>
      </c>
      <c r="G836" s="16">
        <f>IFERROR(__xludf.DUMMYFUNCTION("""COMPUTED_VALUE"""),1.99E8)</f>
        <v>199000000</v>
      </c>
      <c r="H836" s="16"/>
      <c r="I836" s="16"/>
      <c r="J836" s="16"/>
      <c r="K836" s="16"/>
      <c r="L836" s="16"/>
      <c r="M836" s="16"/>
      <c r="N836" s="16"/>
      <c r="O836" s="16"/>
      <c r="P836" s="16"/>
      <c r="Q836" s="16"/>
      <c r="R836" s="16"/>
      <c r="S836" s="16"/>
      <c r="T836" s="16"/>
      <c r="U836" s="16"/>
      <c r="V836" s="16"/>
      <c r="W836" s="16"/>
      <c r="X836" s="16"/>
      <c r="Y836" s="16"/>
      <c r="Z836" s="16"/>
    </row>
    <row r="837">
      <c r="A837" s="16" t="str">
        <f>IFERROR(__xludf.DUMMYFUNCTION("""COMPUTED_VALUE"""),"Wyrmstone Mail")</f>
        <v>Wyrmstone Mail</v>
      </c>
      <c r="B837" s="16"/>
      <c r="C837" s="16" t="str">
        <f>IFERROR(__xludf.DUMMYFUNCTION("""COMPUTED_VALUE"""),"Item")</f>
        <v>Item</v>
      </c>
      <c r="D837" s="16" t="str">
        <f>IFERROR(__xludf.DUMMYFUNCTION("""COMPUTED_VALUE"""),"Torso")</f>
        <v>Torso</v>
      </c>
      <c r="E837" s="16">
        <f>IFERROR(__xludf.DUMMYFUNCTION("""COMPUTED_VALUE"""),2800.0)</f>
        <v>2800</v>
      </c>
      <c r="F837" s="16" t="str">
        <f>IFERROR(__xludf.DUMMYFUNCTION("""COMPUTED_VALUE"""),"DEF: +140000 ++Half damage received from dragons +-Cannot be forged or duplicated")</f>
        <v>DEF: +140000 ++Half damage received from dragons +-Cannot be forged or duplicated</v>
      </c>
      <c r="G837" s="16">
        <f>IFERROR(__xludf.DUMMYFUNCTION("""COMPUTED_VALUE"""),3.906E8)</f>
        <v>390600000</v>
      </c>
      <c r="H837" s="16"/>
      <c r="I837" s="16"/>
      <c r="J837" s="16"/>
      <c r="K837" s="16"/>
      <c r="L837" s="16"/>
      <c r="M837" s="16"/>
      <c r="N837" s="16"/>
      <c r="O837" s="16"/>
      <c r="P837" s="16"/>
      <c r="Q837" s="16"/>
      <c r="R837" s="16"/>
      <c r="S837" s="16"/>
      <c r="T837" s="16"/>
      <c r="U837" s="16"/>
      <c r="V837" s="16"/>
      <c r="W837" s="16"/>
      <c r="X837" s="16"/>
      <c r="Y837" s="16"/>
      <c r="Z837" s="16"/>
    </row>
    <row r="838">
      <c r="A838" s="16" t="str">
        <f>IFERROR(__xludf.DUMMYFUNCTION("""COMPUTED_VALUE"""),"Wyrmstone Helm")</f>
        <v>Wyrmstone Helm</v>
      </c>
      <c r="B838" s="16"/>
      <c r="C838" s="16" t="str">
        <f>IFERROR(__xludf.DUMMYFUNCTION("""COMPUTED_VALUE"""),"Item")</f>
        <v>Item</v>
      </c>
      <c r="D838" s="16" t="str">
        <f>IFERROR(__xludf.DUMMYFUNCTION("""COMPUTED_VALUE"""),"Head")</f>
        <v>Head</v>
      </c>
      <c r="E838" s="16">
        <f>IFERROR(__xludf.DUMMYFUNCTION("""COMPUTED_VALUE"""),2400.0)</f>
        <v>2400</v>
      </c>
      <c r="F838" s="16" t="str">
        <f>IFERROR(__xludf.DUMMYFUNCTION("""COMPUTED_VALUE"""),"DEF: +120000 +-Cannot be forged or duplicated")</f>
        <v>DEF: +120000 +-Cannot be forged or duplicated</v>
      </c>
      <c r="G838" s="16">
        <f>IFERROR(__xludf.DUMMYFUNCTION("""COMPUTED_VALUE"""),2.868E8)</f>
        <v>286800000</v>
      </c>
      <c r="H838" s="16"/>
      <c r="I838" s="16"/>
      <c r="J838" s="16"/>
      <c r="K838" s="16"/>
      <c r="L838" s="16"/>
      <c r="M838" s="16"/>
      <c r="N838" s="16"/>
      <c r="O838" s="16"/>
      <c r="P838" s="16"/>
      <c r="Q838" s="16"/>
      <c r="R838" s="16"/>
      <c r="S838" s="16"/>
      <c r="T838" s="16"/>
      <c r="U838" s="16"/>
      <c r="V838" s="16"/>
      <c r="W838" s="16"/>
      <c r="X838" s="16"/>
      <c r="Y838" s="16"/>
      <c r="Z838" s="16"/>
    </row>
    <row r="839">
      <c r="A839" s="16" t="str">
        <f>IFERROR(__xludf.DUMMYFUNCTION("""COMPUTED_VALUE"""),"Wyrmstone Buckler")</f>
        <v>Wyrmstone Buckler</v>
      </c>
      <c r="B839" s="16"/>
      <c r="C839" s="16" t="str">
        <f>IFERROR(__xludf.DUMMYFUNCTION("""COMPUTED_VALUE"""),"Buckler")</f>
        <v>Buckler</v>
      </c>
      <c r="D839" s="16" t="str">
        <f>IFERROR(__xludf.DUMMYFUNCTION("""COMPUTED_VALUE"""),"Hand")</f>
        <v>Hand</v>
      </c>
      <c r="E839" s="16">
        <f>IFERROR(__xludf.DUMMYFUNCTION("""COMPUTED_VALUE"""),3000.0)</f>
        <v>3000</v>
      </c>
      <c r="F839" s="16" t="str">
        <f>IFERROR(__xludf.DUMMYFUNCTION("""COMPUTED_VALUE"""),"DEF: +150000 ++25% chance to parry dragons' attacks +-Cannot be forged or duplicated")</f>
        <v>DEF: +150000 ++25% chance to parry dragons' attacks +-Cannot be forged or duplicated</v>
      </c>
      <c r="G839" s="16">
        <f>IFERROR(__xludf.DUMMYFUNCTION("""COMPUTED_VALUE"""),4.485E8)</f>
        <v>448500000</v>
      </c>
      <c r="H839" s="16"/>
      <c r="I839" s="16"/>
      <c r="J839" s="16"/>
      <c r="K839" s="16"/>
      <c r="L839" s="16"/>
      <c r="M839" s="16"/>
      <c r="N839" s="16"/>
      <c r="O839" s="16"/>
      <c r="P839" s="16"/>
      <c r="Q839" s="16"/>
      <c r="R839" s="16"/>
      <c r="S839" s="16"/>
      <c r="T839" s="16"/>
      <c r="U839" s="16"/>
      <c r="V839" s="16"/>
      <c r="W839" s="16"/>
      <c r="X839" s="16"/>
      <c r="Y839" s="16"/>
      <c r="Z839" s="16"/>
    </row>
    <row r="840">
      <c r="A840" s="16" t="str">
        <f>IFERROR(__xludf.DUMMYFUNCTION("""COMPUTED_VALUE"""),"Wyrmstone Gauntlet")</f>
        <v>Wyrmstone Gauntlet</v>
      </c>
      <c r="B840" s="16"/>
      <c r="C840" s="16" t="str">
        <f>IFERROR(__xludf.DUMMYFUNCTION("""COMPUTED_VALUE"""),"Gauntlet")</f>
        <v>Gauntlet</v>
      </c>
      <c r="D840" s="16" t="str">
        <f>IFERROR(__xludf.DUMMYFUNCTION("""COMPUTED_VALUE"""),"Hand")</f>
        <v>Hand</v>
      </c>
      <c r="E840" s="16">
        <f>IFERROR(__xludf.DUMMYFUNCTION("""COMPUTED_VALUE"""),3000.0)</f>
        <v>3000</v>
      </c>
      <c r="F840" s="16" t="str">
        <f>IFERROR(__xludf.DUMMYFUNCTION("""COMPUTED_VALUE"""),"DEF: +125000, Light DEF: +25000")</f>
        <v>DEF: +125000, Light DEF: +25000</v>
      </c>
      <c r="G840" s="16">
        <f>IFERROR(__xludf.DUMMYFUNCTION("""COMPUTED_VALUE"""),4.485E8)</f>
        <v>448500000</v>
      </c>
      <c r="H840" s="16"/>
      <c r="I840" s="16"/>
      <c r="J840" s="16"/>
      <c r="K840" s="16"/>
      <c r="L840" s="16"/>
      <c r="M840" s="16"/>
      <c r="N840" s="16"/>
      <c r="O840" s="16"/>
      <c r="P840" s="16"/>
      <c r="Q840" s="16"/>
      <c r="R840" s="16"/>
      <c r="S840" s="16"/>
      <c r="T840" s="16"/>
      <c r="U840" s="16"/>
      <c r="V840" s="16"/>
      <c r="W840" s="16"/>
      <c r="X840" s="16"/>
      <c r="Y840" s="16"/>
      <c r="Z840" s="16"/>
    </row>
    <row r="841">
      <c r="A841" s="16" t="str">
        <f>IFERROR(__xludf.DUMMYFUNCTION("""COMPUTED_VALUE"""),"Wyrmstone Leggings")</f>
        <v>Wyrmstone Leggings</v>
      </c>
      <c r="B841" s="16"/>
      <c r="C841" s="16" t="str">
        <f>IFERROR(__xludf.DUMMYFUNCTION("""COMPUTED_VALUE"""),"Item")</f>
        <v>Item</v>
      </c>
      <c r="D841" s="16" t="str">
        <f>IFERROR(__xludf.DUMMYFUNCTION("""COMPUTED_VALUE"""),"Legs")</f>
        <v>Legs</v>
      </c>
      <c r="E841" s="16">
        <f>IFERROR(__xludf.DUMMYFUNCTION("""COMPUTED_VALUE"""),2000.0)</f>
        <v>2000</v>
      </c>
      <c r="F841" s="16" t="str">
        <f>IFERROR(__xludf.DUMMYFUNCTION("""COMPUTED_VALUE"""),"DEF: +100000")</f>
        <v>DEF: +100000</v>
      </c>
      <c r="G841" s="16">
        <f>IFERROR(__xludf.DUMMYFUNCTION("""COMPUTED_VALUE"""),1.99E8)</f>
        <v>199000000</v>
      </c>
      <c r="H841" s="16"/>
      <c r="I841" s="16"/>
      <c r="J841" s="16"/>
      <c r="K841" s="16"/>
      <c r="L841" s="16"/>
      <c r="M841" s="16"/>
      <c r="N841" s="16"/>
      <c r="O841" s="16"/>
      <c r="P841" s="16"/>
      <c r="Q841" s="16"/>
      <c r="R841" s="16"/>
      <c r="S841" s="16"/>
      <c r="T841" s="16"/>
      <c r="U841" s="16"/>
      <c r="V841" s="16"/>
      <c r="W841" s="16"/>
      <c r="X841" s="16"/>
      <c r="Y841" s="16"/>
      <c r="Z841" s="16"/>
    </row>
    <row r="842">
      <c r="A842" s="16" t="str">
        <f>IFERROR(__xludf.DUMMYFUNCTION("""COMPUTED_VALUE"""),"Wyrmstone Lance")</f>
        <v>Wyrmstone Lance</v>
      </c>
      <c r="B842" s="16"/>
      <c r="C842" s="16" t="str">
        <f>IFERROR(__xludf.DUMMYFUNCTION("""COMPUTED_VALUE"""),"Spear")</f>
        <v>Spear</v>
      </c>
      <c r="D842" s="16" t="str">
        <f>IFERROR(__xludf.DUMMYFUNCTION("""COMPUTED_VALUE"""),"Hand")</f>
        <v>Hand</v>
      </c>
      <c r="E842" s="16">
        <f>IFERROR(__xludf.DUMMYFUNCTION("""COMPUTED_VALUE"""),2000.0)</f>
        <v>2000</v>
      </c>
      <c r="F842" s="16" t="str">
        <f>IFERROR(__xludf.DUMMYFUNCTION("""COMPUTED_VALUE"""),"DMG: +100000 ++Damage doubles if used two turns in a row +-Cannot be forged or duplicated")</f>
        <v>DMG: +100000 ++Damage doubles if used two turns in a row +-Cannot be forged or duplicated</v>
      </c>
      <c r="G842" s="16">
        <f>IFERROR(__xludf.DUMMYFUNCTION("""COMPUTED_VALUE"""),1.99E8)</f>
        <v>199000000</v>
      </c>
      <c r="H842" s="16"/>
      <c r="I842" s="16"/>
      <c r="J842" s="16"/>
      <c r="K842" s="16"/>
      <c r="L842" s="16"/>
      <c r="M842" s="16"/>
      <c r="N842" s="16"/>
      <c r="O842" s="16"/>
      <c r="P842" s="16"/>
      <c r="Q842" s="16"/>
      <c r="R842" s="16"/>
      <c r="S842" s="16"/>
      <c r="T842" s="16"/>
      <c r="U842" s="16"/>
      <c r="V842" s="16"/>
      <c r="W842" s="16"/>
      <c r="X842" s="16"/>
      <c r="Y842" s="16"/>
      <c r="Z842" s="16"/>
    </row>
    <row r="843">
      <c r="A843" s="16" t="str">
        <f>IFERROR(__xludf.DUMMYFUNCTION("""COMPUTED_VALUE"""),"Wyrmstone Nails")</f>
        <v>Wyrmstone Nails</v>
      </c>
      <c r="B843" s="16"/>
      <c r="C843" s="16" t="str">
        <f>IFERROR(__xludf.DUMMYFUNCTION("""COMPUTED_VALUE"""),"Claw")</f>
        <v>Claw</v>
      </c>
      <c r="D843" s="16" t="str">
        <f>IFERROR(__xludf.DUMMYFUNCTION("""COMPUTED_VALUE"""),"Hand")</f>
        <v>Hand</v>
      </c>
      <c r="E843" s="16">
        <f>IFERROR(__xludf.DUMMYFUNCTION("""COMPUTED_VALUE"""),2600.0)</f>
        <v>2600</v>
      </c>
      <c r="F843" s="16" t="str">
        <f>IFERROR(__xludf.DUMMYFUNCTION("""COMPUTED_VALUE"""),"DMG: +130000")</f>
        <v>DMG: +130000</v>
      </c>
      <c r="G843" s="16">
        <f>IFERROR(__xludf.DUMMYFUNCTION("""COMPUTED_VALUE"""),3.367E8)</f>
        <v>336700000</v>
      </c>
      <c r="H843" s="16"/>
      <c r="I843" s="16"/>
      <c r="J843" s="16"/>
      <c r="K843" s="16"/>
      <c r="L843" s="16"/>
      <c r="M843" s="16"/>
      <c r="N843" s="16"/>
      <c r="O843" s="16"/>
      <c r="P843" s="16"/>
      <c r="Q843" s="16"/>
      <c r="R843" s="16"/>
      <c r="S843" s="16"/>
      <c r="T843" s="16"/>
      <c r="U843" s="16"/>
      <c r="V843" s="16"/>
      <c r="W843" s="16"/>
      <c r="X843" s="16"/>
      <c r="Y843" s="16"/>
      <c r="Z843" s="16"/>
    </row>
    <row r="844">
      <c r="A844" s="16" t="str">
        <f>IFERROR(__xludf.DUMMYFUNCTION("""COMPUTED_VALUE"""),"Lizard Warrior's Scale Helm")</f>
        <v>Lizard Warrior's Scale Helm</v>
      </c>
      <c r="B844" s="16"/>
      <c r="C844" s="16" t="str">
        <f>IFERROR(__xludf.DUMMYFUNCTION("""COMPUTED_VALUE"""),"Item")</f>
        <v>Item</v>
      </c>
      <c r="D844" s="16" t="str">
        <f>IFERROR(__xludf.DUMMYFUNCTION("""COMPUTED_VALUE"""),"Head")</f>
        <v>Head</v>
      </c>
      <c r="E844" s="16">
        <f>IFERROR(__xludf.DUMMYFUNCTION("""COMPUTED_VALUE"""),3000.0)</f>
        <v>3000</v>
      </c>
      <c r="F844" s="16" t="str">
        <f>IFERROR(__xludf.DUMMYFUNCTION("""COMPUTED_VALUE"""),"DEF: +100000, Nature DEF: +50000")</f>
        <v>DEF: +100000, Nature DEF: +50000</v>
      </c>
      <c r="G844" s="16">
        <f>IFERROR(__xludf.DUMMYFUNCTION("""COMPUTED_VALUE"""),4.485E8)</f>
        <v>448500000</v>
      </c>
      <c r="H844" s="16"/>
      <c r="I844" s="16"/>
      <c r="J844" s="16"/>
      <c r="K844" s="16"/>
      <c r="L844" s="16"/>
      <c r="M844" s="16"/>
      <c r="N844" s="16"/>
      <c r="O844" s="16"/>
      <c r="P844" s="16"/>
      <c r="Q844" s="16"/>
      <c r="R844" s="16"/>
      <c r="S844" s="16"/>
      <c r="T844" s="16"/>
      <c r="U844" s="16"/>
      <c r="V844" s="16"/>
      <c r="W844" s="16"/>
      <c r="X844" s="16"/>
      <c r="Y844" s="16"/>
      <c r="Z844" s="16"/>
    </row>
    <row r="845">
      <c r="A845" s="16" t="str">
        <f>IFERROR(__xludf.DUMMYFUNCTION("""COMPUTED_VALUE"""),"Lizard Warrior's Scaled Pauldrons")</f>
        <v>Lizard Warrior's Scaled Pauldrons</v>
      </c>
      <c r="B845" s="16"/>
      <c r="C845" s="16" t="str">
        <f>IFERROR(__xludf.DUMMYFUNCTION("""COMPUTED_VALUE"""),"Item")</f>
        <v>Item</v>
      </c>
      <c r="D845" s="16" t="str">
        <f>IFERROR(__xludf.DUMMYFUNCTION("""COMPUTED_VALUE"""),"Shoulders")</f>
        <v>Shoulders</v>
      </c>
      <c r="E845" s="16">
        <f>IFERROR(__xludf.DUMMYFUNCTION("""COMPUTED_VALUE"""),3000.0)</f>
        <v>3000</v>
      </c>
      <c r="F845" s="16" t="str">
        <f>IFERROR(__xludf.DUMMYFUNCTION("""COMPUTED_VALUE"""),"DEF: +100000, Nature DEF: +50000")</f>
        <v>DEF: +100000, Nature DEF: +50000</v>
      </c>
      <c r="G845" s="16">
        <f>IFERROR(__xludf.DUMMYFUNCTION("""COMPUTED_VALUE"""),4.485E8)</f>
        <v>448500000</v>
      </c>
      <c r="H845" s="16"/>
      <c r="I845" s="16"/>
      <c r="J845" s="16"/>
      <c r="K845" s="16"/>
      <c r="L845" s="16"/>
      <c r="M845" s="16"/>
      <c r="N845" s="16"/>
      <c r="O845" s="16"/>
      <c r="P845" s="16"/>
      <c r="Q845" s="16"/>
      <c r="R845" s="16"/>
      <c r="S845" s="16"/>
      <c r="T845" s="16"/>
      <c r="U845" s="16"/>
      <c r="V845" s="16"/>
      <c r="W845" s="16"/>
      <c r="X845" s="16"/>
      <c r="Y845" s="16"/>
      <c r="Z845" s="16"/>
    </row>
    <row r="846">
      <c r="A846" s="16" t="str">
        <f>IFERROR(__xludf.DUMMYFUNCTION("""COMPUTED_VALUE"""),"Lizard Warrior's Scaled Chest")</f>
        <v>Lizard Warrior's Scaled Chest</v>
      </c>
      <c r="B846" s="16"/>
      <c r="C846" s="16" t="str">
        <f>IFERROR(__xludf.DUMMYFUNCTION("""COMPUTED_VALUE"""),"Item")</f>
        <v>Item</v>
      </c>
      <c r="D846" s="16" t="str">
        <f>IFERROR(__xludf.DUMMYFUNCTION("""COMPUTED_VALUE"""),"Torso")</f>
        <v>Torso</v>
      </c>
      <c r="E846" s="16">
        <f>IFERROR(__xludf.DUMMYFUNCTION("""COMPUTED_VALUE"""),3000.0)</f>
        <v>3000</v>
      </c>
      <c r="F846" s="16" t="str">
        <f>IFERROR(__xludf.DUMMYFUNCTION("""COMPUTED_VALUE"""),"DEF: +100000, Nature DEF: +50000 ++When the wearer is attacked, the one that attacked them takes 15000 poison for 3 rounds")</f>
        <v>DEF: +100000, Nature DEF: +50000 ++When the wearer is attacked, the one that attacked them takes 15000 poison for 3 rounds</v>
      </c>
      <c r="G846" s="16">
        <f>IFERROR(__xludf.DUMMYFUNCTION("""COMPUTED_VALUE"""),4.485E8)</f>
        <v>448500000</v>
      </c>
      <c r="H846" s="16"/>
      <c r="I846" s="16"/>
      <c r="J846" s="16"/>
      <c r="K846" s="16"/>
      <c r="L846" s="16"/>
      <c r="M846" s="16"/>
      <c r="N846" s="16"/>
      <c r="O846" s="16"/>
      <c r="P846" s="16"/>
      <c r="Q846" s="16"/>
      <c r="R846" s="16"/>
      <c r="S846" s="16"/>
      <c r="T846" s="16"/>
      <c r="U846" s="16"/>
      <c r="V846" s="16"/>
      <c r="W846" s="16"/>
      <c r="X846" s="16"/>
      <c r="Y846" s="16"/>
      <c r="Z846" s="16"/>
    </row>
    <row r="847">
      <c r="A847" s="16" t="str">
        <f>IFERROR(__xludf.DUMMYFUNCTION("""COMPUTED_VALUE"""),"Lizard Warrior's Scaled Arms")</f>
        <v>Lizard Warrior's Scaled Arms</v>
      </c>
      <c r="B847" s="16"/>
      <c r="C847" s="16" t="str">
        <f>IFERROR(__xludf.DUMMYFUNCTION("""COMPUTED_VALUE"""),"Item")</f>
        <v>Item</v>
      </c>
      <c r="D847" s="16" t="str">
        <f>IFERROR(__xludf.DUMMYFUNCTION("""COMPUTED_VALUE"""),"Arms")</f>
        <v>Arms</v>
      </c>
      <c r="E847" s="16">
        <f>IFERROR(__xludf.DUMMYFUNCTION("""COMPUTED_VALUE"""),3000.0)</f>
        <v>3000</v>
      </c>
      <c r="F847" s="16" t="str">
        <f>IFERROR(__xludf.DUMMYFUNCTION("""COMPUTED_VALUE"""),"DEF: +100000, Nature DEF: +50000 ++7500 DEF for every enemy currently poisoned (Max 37500)")</f>
        <v>DEF: +100000, Nature DEF: +50000 ++7500 DEF for every enemy currently poisoned (Max 37500)</v>
      </c>
      <c r="G847" s="16">
        <f>IFERROR(__xludf.DUMMYFUNCTION("""COMPUTED_VALUE"""),4.485E8)</f>
        <v>448500000</v>
      </c>
      <c r="H847" s="16"/>
      <c r="I847" s="16"/>
      <c r="J847" s="16"/>
      <c r="K847" s="16"/>
      <c r="L847" s="16"/>
      <c r="M847" s="16"/>
      <c r="N847" s="16"/>
      <c r="O847" s="16"/>
      <c r="P847" s="16"/>
      <c r="Q847" s="16"/>
      <c r="R847" s="16"/>
      <c r="S847" s="16"/>
      <c r="T847" s="16"/>
      <c r="U847" s="16"/>
      <c r="V847" s="16"/>
      <c r="W847" s="16"/>
      <c r="X847" s="16"/>
      <c r="Y847" s="16"/>
      <c r="Z847" s="16"/>
    </row>
    <row r="848">
      <c r="A848" s="16" t="str">
        <f>IFERROR(__xludf.DUMMYFUNCTION("""COMPUTED_VALUE"""),"Lizard Warrior's Bracelets")</f>
        <v>Lizard Warrior's Bracelets</v>
      </c>
      <c r="B848" s="16"/>
      <c r="C848" s="16" t="str">
        <f>IFERROR(__xludf.DUMMYFUNCTION("""COMPUTED_VALUE"""),"Item")</f>
        <v>Item</v>
      </c>
      <c r="D848" s="16" t="str">
        <f>IFERROR(__xludf.DUMMYFUNCTION("""COMPUTED_VALUE"""),"Arms")</f>
        <v>Arms</v>
      </c>
      <c r="E848" s="16">
        <f>IFERROR(__xludf.DUMMYFUNCTION("""COMPUTED_VALUE"""),3000.0)</f>
        <v>3000</v>
      </c>
      <c r="F848" s="16" t="str">
        <f>IFERROR(__xludf.DUMMYFUNCTION("""COMPUTED_VALUE"""),"DEF: +100000, Nature DEF: +50000 ++5000 ACC for every enemy currently poisoned (Max 25000)")</f>
        <v>DEF: +100000, Nature DEF: +50000 ++5000 ACC for every enemy currently poisoned (Max 25000)</v>
      </c>
      <c r="G848" s="16">
        <f>IFERROR(__xludf.DUMMYFUNCTION("""COMPUTED_VALUE"""),4.485E8)</f>
        <v>448500000</v>
      </c>
      <c r="H848" s="16"/>
      <c r="I848" s="16"/>
      <c r="J848" s="16"/>
      <c r="K848" s="16"/>
      <c r="L848" s="16"/>
      <c r="M848" s="16"/>
      <c r="N848" s="16"/>
      <c r="O848" s="16"/>
      <c r="P848" s="16"/>
      <c r="Q848" s="16"/>
      <c r="R848" s="16"/>
      <c r="S848" s="16"/>
      <c r="T848" s="16"/>
      <c r="U848" s="16"/>
      <c r="V848" s="16"/>
      <c r="W848" s="16"/>
      <c r="X848" s="16"/>
      <c r="Y848" s="16"/>
      <c r="Z848" s="16"/>
    </row>
    <row r="849">
      <c r="A849" s="16" t="str">
        <f>IFERROR(__xludf.DUMMYFUNCTION("""COMPUTED_VALUE"""),"Lizard Warrior's Scaled Legs")</f>
        <v>Lizard Warrior's Scaled Legs</v>
      </c>
      <c r="B849" s="16"/>
      <c r="C849" s="16" t="str">
        <f>IFERROR(__xludf.DUMMYFUNCTION("""COMPUTED_VALUE"""),"Item")</f>
        <v>Item</v>
      </c>
      <c r="D849" s="16" t="str">
        <f>IFERROR(__xludf.DUMMYFUNCTION("""COMPUTED_VALUE"""),"Legs")</f>
        <v>Legs</v>
      </c>
      <c r="E849" s="16">
        <f>IFERROR(__xludf.DUMMYFUNCTION("""COMPUTED_VALUE"""),3000.0)</f>
        <v>3000</v>
      </c>
      <c r="F849" s="16" t="str">
        <f>IFERROR(__xludf.DUMMYFUNCTION("""COMPUTED_VALUE"""),"DEF: +100000, Nature DEF: +50000 ++5000 ATK for every enemy currently poisoned (Max 25000)")</f>
        <v>DEF: +100000, Nature DEF: +50000 ++5000 ATK for every enemy currently poisoned (Max 25000)</v>
      </c>
      <c r="G849" s="16">
        <f>IFERROR(__xludf.DUMMYFUNCTION("""COMPUTED_VALUE"""),4.485E8)</f>
        <v>448500000</v>
      </c>
      <c r="H849" s="16"/>
      <c r="I849" s="16"/>
      <c r="J849" s="16"/>
      <c r="K849" s="16"/>
      <c r="L849" s="16"/>
      <c r="M849" s="16"/>
      <c r="N849" s="16"/>
      <c r="O849" s="16"/>
      <c r="P849" s="16"/>
      <c r="Q849" s="16"/>
      <c r="R849" s="16"/>
      <c r="S849" s="16"/>
      <c r="T849" s="16"/>
      <c r="U849" s="16"/>
      <c r="V849" s="16"/>
      <c r="W849" s="16"/>
      <c r="X849" s="16"/>
      <c r="Y849" s="16"/>
      <c r="Z849" s="16"/>
    </row>
    <row r="850">
      <c r="A850" s="16" t="str">
        <f>IFERROR(__xludf.DUMMYFUNCTION("""COMPUTED_VALUE"""),"Lizard Warrior's Scaled Boots")</f>
        <v>Lizard Warrior's Scaled Boots</v>
      </c>
      <c r="B850" s="16"/>
      <c r="C850" s="16" t="str">
        <f>IFERROR(__xludf.DUMMYFUNCTION("""COMPUTED_VALUE"""),"Item")</f>
        <v>Item</v>
      </c>
      <c r="D850" s="16" t="str">
        <f>IFERROR(__xludf.DUMMYFUNCTION("""COMPUTED_VALUE"""),"Feet")</f>
        <v>Feet</v>
      </c>
      <c r="E850" s="16">
        <f>IFERROR(__xludf.DUMMYFUNCTION("""COMPUTED_VALUE"""),3000.0)</f>
        <v>3000</v>
      </c>
      <c r="F850" s="16" t="str">
        <f>IFERROR(__xludf.DUMMYFUNCTION("""COMPUTED_VALUE"""),"DEF: +100000, Nature DEF: +50000 ++1 Mobility for every enemy currently poisoned (Max 5)")</f>
        <v>DEF: +100000, Nature DEF: +50000 ++1 Mobility for every enemy currently poisoned (Max 5)</v>
      </c>
      <c r="G850" s="16">
        <f>IFERROR(__xludf.DUMMYFUNCTION("""COMPUTED_VALUE"""),4.485E8)</f>
        <v>448500000</v>
      </c>
      <c r="H850" s="16"/>
      <c r="I850" s="16"/>
      <c r="J850" s="16"/>
      <c r="K850" s="16"/>
      <c r="L850" s="16"/>
      <c r="M850" s="16"/>
      <c r="N850" s="16"/>
      <c r="O850" s="16"/>
      <c r="P850" s="16"/>
      <c r="Q850" s="16"/>
      <c r="R850" s="16"/>
      <c r="S850" s="16"/>
      <c r="T850" s="16"/>
      <c r="U850" s="16"/>
      <c r="V850" s="16"/>
      <c r="W850" s="16"/>
      <c r="X850" s="16"/>
      <c r="Y850" s="16"/>
      <c r="Z850" s="16"/>
    </row>
    <row r="851">
      <c r="A851" s="16" t="str">
        <f>IFERROR(__xludf.DUMMYFUNCTION("""COMPUTED_VALUE"""),"Lizard Warrior's Claw")</f>
        <v>Lizard Warrior's Claw</v>
      </c>
      <c r="B851" s="16"/>
      <c r="C851" s="16" t="str">
        <f>IFERROR(__xludf.DUMMYFUNCTION("""COMPUTED_VALUE"""),"Claw")</f>
        <v>Claw</v>
      </c>
      <c r="D851" s="16" t="str">
        <f>IFERROR(__xludf.DUMMYFUNCTION("""COMPUTED_VALUE"""),"Hand")</f>
        <v>Hand</v>
      </c>
      <c r="E851" s="16">
        <f>IFERROR(__xludf.DUMMYFUNCTION("""COMPUTED_VALUE"""),3000.0)</f>
        <v>3000</v>
      </c>
      <c r="F851" s="16" t="str">
        <f>IFERROR(__xludf.DUMMYFUNCTION("""COMPUTED_VALUE"""),"DMG: +100000, Nature DMG: +50000 ++X20 damage against poisoned enemies, All damage dealt against poisoned enemies with this item is poison damage.")</f>
        <v>DMG: +100000, Nature DMG: +50000 ++X20 damage against poisoned enemies, All damage dealt against poisoned enemies with this item is poison damage.</v>
      </c>
      <c r="G851" s="16">
        <f>IFERROR(__xludf.DUMMYFUNCTION("""COMPUTED_VALUE"""),4.485E8)</f>
        <v>448500000</v>
      </c>
      <c r="H851" s="16"/>
      <c r="I851" s="16"/>
      <c r="J851" s="16"/>
      <c r="K851" s="16"/>
      <c r="L851" s="16"/>
      <c r="M851" s="16"/>
      <c r="N851" s="16"/>
      <c r="O851" s="16"/>
      <c r="P851" s="16"/>
      <c r="Q851" s="16"/>
      <c r="R851" s="16"/>
      <c r="S851" s="16"/>
      <c r="T851" s="16"/>
      <c r="U851" s="16"/>
      <c r="V851" s="16"/>
      <c r="W851" s="16"/>
      <c r="X851" s="16"/>
      <c r="Y851" s="16"/>
      <c r="Z851" s="16"/>
    </row>
    <row r="852">
      <c r="A852" s="16" t="str">
        <f>IFERROR(__xludf.DUMMYFUNCTION("""COMPUTED_VALUE"""),"Lizard Warrior Guantlet")</f>
        <v>Lizard Warrior Guantlet</v>
      </c>
      <c r="B852" s="16"/>
      <c r="C852" s="16" t="str">
        <f>IFERROR(__xludf.DUMMYFUNCTION("""COMPUTED_VALUE"""),"Gauntlet")</f>
        <v>Gauntlet</v>
      </c>
      <c r="D852" s="16" t="str">
        <f>IFERROR(__xludf.DUMMYFUNCTION("""COMPUTED_VALUE"""),"Hand")</f>
        <v>Hand</v>
      </c>
      <c r="E852" s="16">
        <f>IFERROR(__xludf.DUMMYFUNCTION("""COMPUTED_VALUE"""),3000.0)</f>
        <v>3000</v>
      </c>
      <c r="F852" s="16" t="str">
        <f>IFERROR(__xludf.DUMMYFUNCTION("""COMPUTED_VALUE"""),"DEF: +100000, Nature DEF: +50000 ++50% chance to be unaffected by a weapon attack from a poisoned enemy")</f>
        <v>DEF: +100000, Nature DEF: +50000 ++50% chance to be unaffected by a weapon attack from a poisoned enemy</v>
      </c>
      <c r="G852" s="16">
        <f>IFERROR(__xludf.DUMMYFUNCTION("""COMPUTED_VALUE"""),4.485E8)</f>
        <v>448500000</v>
      </c>
      <c r="H852" s="16"/>
      <c r="I852" s="16"/>
      <c r="J852" s="16"/>
      <c r="K852" s="16"/>
      <c r="L852" s="16"/>
      <c r="M852" s="16"/>
      <c r="N852" s="16"/>
      <c r="O852" s="16"/>
      <c r="P852" s="16"/>
      <c r="Q852" s="16"/>
      <c r="R852" s="16"/>
      <c r="S852" s="16"/>
      <c r="T852" s="16"/>
      <c r="U852" s="16"/>
      <c r="V852" s="16"/>
      <c r="W852" s="16"/>
      <c r="X852" s="16"/>
      <c r="Y852" s="16"/>
      <c r="Z852" s="16"/>
    </row>
    <row r="853">
      <c r="A853" s="16" t="str">
        <f>IFERROR(__xludf.DUMMYFUNCTION("""COMPUTED_VALUE"""),"Igaunian Assassin's Cowl")</f>
        <v>Igaunian Assassin's Cowl</v>
      </c>
      <c r="B853" s="16"/>
      <c r="C853" s="16" t="str">
        <f>IFERROR(__xludf.DUMMYFUNCTION("""COMPUTED_VALUE"""),"Item")</f>
        <v>Item</v>
      </c>
      <c r="D853" s="16" t="str">
        <f>IFERROR(__xludf.DUMMYFUNCTION("""COMPUTED_VALUE"""),"Head")</f>
        <v>Head</v>
      </c>
      <c r="E853" s="16">
        <f>IFERROR(__xludf.DUMMYFUNCTION("""COMPUTED_VALUE"""),2000.0)</f>
        <v>2000</v>
      </c>
      <c r="F853" s="16" t="str">
        <f>IFERROR(__xludf.DUMMYFUNCTION("""COMPUTED_VALUE"""),"DEF: +75000, Nature DEF: +25000 ++15000 ATK and ACC ++X4 Knife and Boomerang damage ++5 to all weapon attacks if concealed")</f>
        <v>DEF: +75000, Nature DEF: +25000 ++15000 ATK and ACC ++X4 Knife and Boomerang damage ++5 to all weapon attacks if concealed</v>
      </c>
      <c r="G853" s="16">
        <f>IFERROR(__xludf.DUMMYFUNCTION("""COMPUTED_VALUE"""),1.99E8)</f>
        <v>199000000</v>
      </c>
      <c r="H853" s="16"/>
      <c r="I853" s="16"/>
      <c r="J853" s="16"/>
      <c r="K853" s="16"/>
      <c r="L853" s="16"/>
      <c r="M853" s="16"/>
      <c r="N853" s="16"/>
      <c r="O853" s="16"/>
      <c r="P853" s="16"/>
      <c r="Q853" s="16"/>
      <c r="R853" s="16"/>
      <c r="S853" s="16"/>
      <c r="T853" s="16"/>
      <c r="U853" s="16"/>
      <c r="V853" s="16"/>
      <c r="W853" s="16"/>
      <c r="X853" s="16"/>
      <c r="Y853" s="16"/>
      <c r="Z853" s="16"/>
    </row>
    <row r="854">
      <c r="A854" s="16" t="str">
        <f>IFERROR(__xludf.DUMMYFUNCTION("""COMPUTED_VALUE"""),"Igaunian Assassin's Cloths")</f>
        <v>Igaunian Assassin's Cloths</v>
      </c>
      <c r="B854" s="16"/>
      <c r="C854" s="16" t="str">
        <f>IFERROR(__xludf.DUMMYFUNCTION("""COMPUTED_VALUE"""),"Item")</f>
        <v>Item</v>
      </c>
      <c r="D854" s="16" t="str">
        <f>IFERROR(__xludf.DUMMYFUNCTION("""COMPUTED_VALUE"""),"Torso")</f>
        <v>Torso</v>
      </c>
      <c r="E854" s="16">
        <f>IFERROR(__xludf.DUMMYFUNCTION("""COMPUTED_VALUE"""),2000.0)</f>
        <v>2000</v>
      </c>
      <c r="F854" s="16" t="str">
        <f>IFERROR(__xludf.DUMMYFUNCTION("""COMPUTED_VALUE"""),"DEF: +75000, Nature DEF: +25000 ++15000 ATK and ACC ++X4 Knife and Boomerang damage")</f>
        <v>DEF: +75000, Nature DEF: +25000 ++15000 ATK and ACC ++X4 Knife and Boomerang damage</v>
      </c>
      <c r="G854" s="16">
        <f>IFERROR(__xludf.DUMMYFUNCTION("""COMPUTED_VALUE"""),1.99E8)</f>
        <v>199000000</v>
      </c>
      <c r="H854" s="16"/>
      <c r="I854" s="16"/>
      <c r="J854" s="16"/>
      <c r="K854" s="16"/>
      <c r="L854" s="16"/>
      <c r="M854" s="16"/>
      <c r="N854" s="16"/>
      <c r="O854" s="16"/>
      <c r="P854" s="16"/>
      <c r="Q854" s="16"/>
      <c r="R854" s="16"/>
      <c r="S854" s="16"/>
      <c r="T854" s="16"/>
      <c r="U854" s="16"/>
      <c r="V854" s="16"/>
      <c r="W854" s="16"/>
      <c r="X854" s="16"/>
      <c r="Y854" s="16"/>
      <c r="Z854" s="16"/>
    </row>
    <row r="855">
      <c r="A855" s="16" t="str">
        <f>IFERROR(__xludf.DUMMYFUNCTION("""COMPUTED_VALUE"""),"Iguanian Assassin's Pants")</f>
        <v>Iguanian Assassin's Pants</v>
      </c>
      <c r="B855" s="16"/>
      <c r="C855" s="16" t="str">
        <f>IFERROR(__xludf.DUMMYFUNCTION("""COMPUTED_VALUE"""),"Item")</f>
        <v>Item</v>
      </c>
      <c r="D855" s="16" t="str">
        <f>IFERROR(__xludf.DUMMYFUNCTION("""COMPUTED_VALUE"""),"Legs")</f>
        <v>Legs</v>
      </c>
      <c r="E855" s="16">
        <f>IFERROR(__xludf.DUMMYFUNCTION("""COMPUTED_VALUE"""),2000.0)</f>
        <v>2000</v>
      </c>
      <c r="F855" s="16" t="str">
        <f>IFERROR(__xludf.DUMMYFUNCTION("""COMPUTED_VALUE"""),"DEF: +75000, Nature DEF: +25000 ++15000 ATK and ACC ++X4 Knife and Boomerang damage")</f>
        <v>DEF: +75000, Nature DEF: +25000 ++15000 ATK and ACC ++X4 Knife and Boomerang damage</v>
      </c>
      <c r="G855" s="16">
        <f>IFERROR(__xludf.DUMMYFUNCTION("""COMPUTED_VALUE"""),1.99E8)</f>
        <v>199000000</v>
      </c>
      <c r="H855" s="16"/>
      <c r="I855" s="16"/>
      <c r="J855" s="16"/>
      <c r="K855" s="16"/>
      <c r="L855" s="16"/>
      <c r="M855" s="16"/>
      <c r="N855" s="16"/>
      <c r="O855" s="16"/>
      <c r="P855" s="16"/>
      <c r="Q855" s="16"/>
      <c r="R855" s="16"/>
      <c r="S855" s="16"/>
      <c r="T855" s="16"/>
      <c r="U855" s="16"/>
      <c r="V855" s="16"/>
      <c r="W855" s="16"/>
      <c r="X855" s="16"/>
      <c r="Y855" s="16"/>
      <c r="Z855" s="16"/>
    </row>
    <row r="856">
      <c r="A856" s="16" t="str">
        <f>IFERROR(__xludf.DUMMYFUNCTION("""COMPUTED_VALUE"""),"Iguanian Assassin's Boots")</f>
        <v>Iguanian Assassin's Boots</v>
      </c>
      <c r="B856" s="16"/>
      <c r="C856" s="16" t="str">
        <f>IFERROR(__xludf.DUMMYFUNCTION("""COMPUTED_VALUE"""),"Item")</f>
        <v>Item</v>
      </c>
      <c r="D856" s="16" t="str">
        <f>IFERROR(__xludf.DUMMYFUNCTION("""COMPUTED_VALUE"""),"Feet")</f>
        <v>Feet</v>
      </c>
      <c r="E856" s="16">
        <f>IFERROR(__xludf.DUMMYFUNCTION("""COMPUTED_VALUE"""),2000.0)</f>
        <v>2000</v>
      </c>
      <c r="F856" s="16" t="str">
        <f>IFERROR(__xludf.DUMMYFUNCTION("""COMPUTED_VALUE"""),"DEF: +75000, Nature DEF: +25000 ++15000 ATK and ACC ++X4 Knife and Boomerang damage")</f>
        <v>DEF: +75000, Nature DEF: +25000 ++15000 ATK and ACC ++X4 Knife and Boomerang damage</v>
      </c>
      <c r="G856" s="16">
        <f>IFERROR(__xludf.DUMMYFUNCTION("""COMPUTED_VALUE"""),1.99E8)</f>
        <v>199000000</v>
      </c>
      <c r="H856" s="16"/>
      <c r="I856" s="16"/>
      <c r="J856" s="16"/>
      <c r="K856" s="16"/>
      <c r="L856" s="16"/>
      <c r="M856" s="16"/>
      <c r="N856" s="16"/>
      <c r="O856" s="16"/>
      <c r="P856" s="16"/>
      <c r="Q856" s="16"/>
      <c r="R856" s="16"/>
      <c r="S856" s="16"/>
      <c r="T856" s="16"/>
      <c r="U856" s="16"/>
      <c r="V856" s="16"/>
      <c r="W856" s="16"/>
      <c r="X856" s="16"/>
      <c r="Y856" s="16"/>
      <c r="Z856" s="16"/>
    </row>
    <row r="857">
      <c r="A857" s="16" t="str">
        <f>IFERROR(__xludf.DUMMYFUNCTION("""COMPUTED_VALUE"""),"Iguanian Assassin's Chakram")</f>
        <v>Iguanian Assassin's Chakram</v>
      </c>
      <c r="B857" s="16"/>
      <c r="C857" s="16" t="str">
        <f>IFERROR(__xludf.DUMMYFUNCTION("""COMPUTED_VALUE"""),"Boomerang")</f>
        <v>Boomerang</v>
      </c>
      <c r="D857" s="16" t="str">
        <f>IFERROR(__xludf.DUMMYFUNCTION("""COMPUTED_VALUE"""),"Hand")</f>
        <v>Hand</v>
      </c>
      <c r="E857" s="16">
        <f>IFERROR(__xludf.DUMMYFUNCTION("""COMPUTED_VALUE"""),3000.0)</f>
        <v>3000</v>
      </c>
      <c r="F857" s="16" t="str">
        <f>IFERROR(__xludf.DUMMYFUNCTION("""COMPUTED_VALUE"""),"DMG: +100000, Nature DMG: +50000 ++Increases the weapon effect chance by 10%")</f>
        <v>DMG: +100000, Nature DMG: +50000 ++Increases the weapon effect chance by 10%</v>
      </c>
      <c r="G857" s="16">
        <f>IFERROR(__xludf.DUMMYFUNCTION("""COMPUTED_VALUE"""),4.485E8)</f>
        <v>448500000</v>
      </c>
      <c r="H857" s="16"/>
      <c r="I857" s="16"/>
      <c r="J857" s="16"/>
      <c r="K857" s="16"/>
      <c r="L857" s="16"/>
      <c r="M857" s="16"/>
      <c r="N857" s="16"/>
      <c r="O857" s="16"/>
      <c r="P857" s="16"/>
      <c r="Q857" s="16"/>
      <c r="R857" s="16"/>
      <c r="S857" s="16"/>
      <c r="T857" s="16"/>
      <c r="U857" s="16"/>
      <c r="V857" s="16"/>
      <c r="W857" s="16"/>
      <c r="X857" s="16"/>
      <c r="Y857" s="16"/>
      <c r="Z857" s="16"/>
    </row>
    <row r="858">
      <c r="A858" s="16" t="str">
        <f>IFERROR(__xludf.DUMMYFUNCTION("""COMPUTED_VALUE"""),"Iguanian Assassin's Slicer")</f>
        <v>Iguanian Assassin's Slicer</v>
      </c>
      <c r="B858" s="16"/>
      <c r="C858" s="16" t="str">
        <f>IFERROR(__xludf.DUMMYFUNCTION("""COMPUTED_VALUE"""),"Knife")</f>
        <v>Knife</v>
      </c>
      <c r="D858" s="16" t="str">
        <f>IFERROR(__xludf.DUMMYFUNCTION("""COMPUTED_VALUE"""),"Hand")</f>
        <v>Hand</v>
      </c>
      <c r="E858" s="16">
        <f>IFERROR(__xludf.DUMMYFUNCTION("""COMPUTED_VALUE"""),3000.0)</f>
        <v>3000</v>
      </c>
      <c r="F858" s="16" t="str">
        <f>IFERROR(__xludf.DUMMYFUNCTION("""COMPUTED_VALUE"""),"DMG: +100000, Nature DMG: +50000 ++Guarantees the Bleed effect of the knife weapon type and doubles the bleed caused +-Cannot be Forged")</f>
        <v>DMG: +100000, Nature DMG: +50000 ++Guarantees the Bleed effect of the knife weapon type and doubles the bleed caused +-Cannot be Forged</v>
      </c>
      <c r="G858" s="16">
        <f>IFERROR(__xludf.DUMMYFUNCTION("""COMPUTED_VALUE"""),4.485E8)</f>
        <v>448500000</v>
      </c>
      <c r="H858" s="16"/>
      <c r="I858" s="16"/>
      <c r="J858" s="16"/>
      <c r="K858" s="16"/>
      <c r="L858" s="16"/>
      <c r="M858" s="16"/>
      <c r="N858" s="16"/>
      <c r="O858" s="16"/>
      <c r="P858" s="16"/>
      <c r="Q858" s="16"/>
      <c r="R858" s="16"/>
      <c r="S858" s="16"/>
      <c r="T858" s="16"/>
      <c r="U858" s="16"/>
      <c r="V858" s="16"/>
      <c r="W858" s="16"/>
      <c r="X858" s="16"/>
      <c r="Y858" s="16"/>
      <c r="Z858" s="16"/>
    </row>
    <row r="859">
      <c r="A859" s="16" t="str">
        <f>IFERROR(__xludf.DUMMYFUNCTION("""COMPUTED_VALUE"""),"Wyverntooth Smasher")</f>
        <v>Wyverntooth Smasher</v>
      </c>
      <c r="B859" s="16"/>
      <c r="C859" s="16" t="str">
        <f>IFERROR(__xludf.DUMMYFUNCTION("""COMPUTED_VALUE"""),"Axe")</f>
        <v>Axe</v>
      </c>
      <c r="D859" s="16" t="str">
        <f>IFERROR(__xludf.DUMMYFUNCTION("""COMPUTED_VALUE"""),"Hand")</f>
        <v>Hand</v>
      </c>
      <c r="E859" s="16">
        <f>IFERROR(__xludf.DUMMYFUNCTION("""COMPUTED_VALUE"""),2400.0)</f>
        <v>2400</v>
      </c>
      <c r="F859" s="16" t="str">
        <f>IFERROR(__xludf.DUMMYFUNCTION("""COMPUTED_VALUE"""),"DMG: +30000, Chaos DMG: +90000")</f>
        <v>DMG: +30000, Chaos DMG: +90000</v>
      </c>
      <c r="G859" s="16">
        <f>IFERROR(__xludf.DUMMYFUNCTION("""COMPUTED_VALUE"""),2.868E8)</f>
        <v>286800000</v>
      </c>
      <c r="H859" s="16"/>
      <c r="I859" s="16"/>
      <c r="J859" s="16"/>
      <c r="K859" s="16"/>
      <c r="L859" s="16"/>
      <c r="M859" s="16"/>
      <c r="N859" s="16"/>
      <c r="O859" s="16"/>
      <c r="P859" s="16"/>
      <c r="Q859" s="16"/>
      <c r="R859" s="16"/>
      <c r="S859" s="16"/>
      <c r="T859" s="16"/>
      <c r="U859" s="16"/>
      <c r="V859" s="16"/>
      <c r="W859" s="16"/>
      <c r="X859" s="16"/>
      <c r="Y859" s="16"/>
      <c r="Z859" s="16"/>
    </row>
    <row r="860">
      <c r="A860" s="16" t="str">
        <f>IFERROR(__xludf.DUMMYFUNCTION("""COMPUTED_VALUE"""),"Wyvernblade")</f>
        <v>Wyvernblade</v>
      </c>
      <c r="B860" s="16"/>
      <c r="C860" s="16" t="str">
        <f>IFERROR(__xludf.DUMMYFUNCTION("""COMPUTED_VALUE"""),"Knife")</f>
        <v>Knife</v>
      </c>
      <c r="D860" s="16" t="str">
        <f>IFERROR(__xludf.DUMMYFUNCTION("""COMPUTED_VALUE"""),"Hand")</f>
        <v>Hand</v>
      </c>
      <c r="E860" s="16">
        <f>IFERROR(__xludf.DUMMYFUNCTION("""COMPUTED_VALUE"""),2600.0)</f>
        <v>2600</v>
      </c>
      <c r="F860" s="16" t="str">
        <f>IFERROR(__xludf.DUMMYFUNCTION("""COMPUTED_VALUE"""),", Melee DMG: +130000")</f>
        <v>, Melee DMG: +130000</v>
      </c>
      <c r="G860" s="16">
        <f>IFERROR(__xludf.DUMMYFUNCTION("""COMPUTED_VALUE"""),3.367E8)</f>
        <v>336700000</v>
      </c>
      <c r="H860" s="16"/>
      <c r="I860" s="16"/>
      <c r="J860" s="16"/>
      <c r="K860" s="16"/>
      <c r="L860" s="16"/>
      <c r="M860" s="16"/>
      <c r="N860" s="16"/>
      <c r="O860" s="16"/>
      <c r="P860" s="16"/>
      <c r="Q860" s="16"/>
      <c r="R860" s="16"/>
      <c r="S860" s="16"/>
      <c r="T860" s="16"/>
      <c r="U860" s="16"/>
      <c r="V860" s="16"/>
      <c r="W860" s="16"/>
      <c r="X860" s="16"/>
      <c r="Y860" s="16"/>
      <c r="Z860" s="16"/>
    </row>
    <row r="861">
      <c r="A861" s="16" t="str">
        <f>IFERROR(__xludf.DUMMYFUNCTION("""COMPUTED_VALUE"""),"Wyvernscale Ring")</f>
        <v>Wyvernscale Ring</v>
      </c>
      <c r="B861" s="16"/>
      <c r="C861" s="16" t="str">
        <f>IFERROR(__xludf.DUMMYFUNCTION("""COMPUTED_VALUE"""),"Item")</f>
        <v>Item</v>
      </c>
      <c r="D861" s="16" t="str">
        <f>IFERROR(__xludf.DUMMYFUNCTION("""COMPUTED_VALUE"""),"Finger")</f>
        <v>Finger</v>
      </c>
      <c r="E861" s="16">
        <f>IFERROR(__xludf.DUMMYFUNCTION("""COMPUTED_VALUE"""),2000.0)</f>
        <v>2000</v>
      </c>
      <c r="F861" s="16" t="str">
        <f>IFERROR(__xludf.DUMMYFUNCTION("""COMPUTED_VALUE"""),", Melee DEF: +100000 ++50% chance to negate any damage from a wyvern +-Cannot be forged or duplicated")</f>
        <v>, Melee DEF: +100000 ++50% chance to negate any damage from a wyvern +-Cannot be forged or duplicated</v>
      </c>
      <c r="G861" s="16">
        <f>IFERROR(__xludf.DUMMYFUNCTION("""COMPUTED_VALUE"""),1.99E8)</f>
        <v>199000000</v>
      </c>
      <c r="H861" s="16"/>
      <c r="I861" s="16"/>
      <c r="J861" s="16"/>
      <c r="K861" s="16"/>
      <c r="L861" s="16"/>
      <c r="M861" s="16"/>
      <c r="N861" s="16"/>
      <c r="O861" s="16"/>
      <c r="P861" s="16"/>
      <c r="Q861" s="16"/>
      <c r="R861" s="16"/>
      <c r="S861" s="16"/>
      <c r="T861" s="16"/>
      <c r="U861" s="16"/>
      <c r="V861" s="16"/>
      <c r="W861" s="16"/>
      <c r="X861" s="16"/>
      <c r="Y861" s="16"/>
      <c r="Z861" s="16"/>
    </row>
    <row r="862">
      <c r="A862" s="16" t="str">
        <f>IFERROR(__xludf.DUMMYFUNCTION("""COMPUTED_VALUE"""),"Wyvern Hood")</f>
        <v>Wyvern Hood</v>
      </c>
      <c r="B862" s="16"/>
      <c r="C862" s="16" t="str">
        <f>IFERROR(__xludf.DUMMYFUNCTION("""COMPUTED_VALUE"""),"Item")</f>
        <v>Item</v>
      </c>
      <c r="D862" s="16" t="str">
        <f>IFERROR(__xludf.DUMMYFUNCTION("""COMPUTED_VALUE"""),"Head")</f>
        <v>Head</v>
      </c>
      <c r="E862" s="16">
        <f>IFERROR(__xludf.DUMMYFUNCTION("""COMPUTED_VALUE"""),1.0)</f>
        <v>1</v>
      </c>
      <c r="F862" s="16" t="str">
        <f>IFERROR(__xludf.DUMMYFUNCTION("""COMPUTED_VALUE""")," ++When in a party of 4 or more, enemy wyverns cannot target the wearer +-Cannot be forged or duplicated")</f>
        <v> ++When in a party of 4 or more, enemy wyverns cannot target the wearer +-Cannot be forged or duplicated</v>
      </c>
      <c r="G862" s="16">
        <f>IFERROR(__xludf.DUMMYFUNCTION("""COMPUTED_VALUE"""),0.0)</f>
        <v>0</v>
      </c>
      <c r="H862" s="16"/>
      <c r="I862" s="16"/>
      <c r="J862" s="16"/>
      <c r="K862" s="16"/>
      <c r="L862" s="16"/>
      <c r="M862" s="16"/>
      <c r="N862" s="16"/>
      <c r="O862" s="16"/>
      <c r="P862" s="16"/>
      <c r="Q862" s="16"/>
      <c r="R862" s="16"/>
      <c r="S862" s="16"/>
      <c r="T862" s="16"/>
      <c r="U862" s="16"/>
      <c r="V862" s="16"/>
      <c r="W862" s="16"/>
      <c r="X862" s="16"/>
      <c r="Y862" s="16"/>
      <c r="Z862" s="16"/>
    </row>
    <row r="863">
      <c r="A863" s="16" t="str">
        <f>IFERROR(__xludf.DUMMYFUNCTION("""COMPUTED_VALUE"""),"Wyvernarang")</f>
        <v>Wyvernarang</v>
      </c>
      <c r="B863" s="16"/>
      <c r="C863" s="16" t="str">
        <f>IFERROR(__xludf.DUMMYFUNCTION("""COMPUTED_VALUE"""),"Boomerang")</f>
        <v>Boomerang</v>
      </c>
      <c r="D863" s="16" t="str">
        <f>IFERROR(__xludf.DUMMYFUNCTION("""COMPUTED_VALUE"""),"Hand")</f>
        <v>Hand</v>
      </c>
      <c r="E863" s="16">
        <f>IFERROR(__xludf.DUMMYFUNCTION("""COMPUTED_VALUE"""),3000.0)</f>
        <v>3000</v>
      </c>
      <c r="F863" s="16" t="str">
        <f>IFERROR(__xludf.DUMMYFUNCTION("""COMPUTED_VALUE"""),"DMG: +50000, Spirit DMG: +50000, Chaos DMG: +50000")</f>
        <v>DMG: +50000, Spirit DMG: +50000, Chaos DMG: +50000</v>
      </c>
      <c r="G863" s="16">
        <f>IFERROR(__xludf.DUMMYFUNCTION("""COMPUTED_VALUE"""),4.485E8)</f>
        <v>448500000</v>
      </c>
      <c r="H863" s="16"/>
      <c r="I863" s="16"/>
      <c r="J863" s="16"/>
      <c r="K863" s="16"/>
      <c r="L863" s="16"/>
      <c r="M863" s="16"/>
      <c r="N863" s="16"/>
      <c r="O863" s="16"/>
      <c r="P863" s="16"/>
      <c r="Q863" s="16"/>
      <c r="R863" s="16"/>
      <c r="S863" s="16"/>
      <c r="T863" s="16"/>
      <c r="U863" s="16"/>
      <c r="V863" s="16"/>
      <c r="W863" s="16"/>
      <c r="X863" s="16"/>
      <c r="Y863" s="16"/>
      <c r="Z863" s="16"/>
    </row>
    <row r="864">
      <c r="A864" s="16" t="str">
        <f>IFERROR(__xludf.DUMMYFUNCTION("""COMPUTED_VALUE"""),"Iguanian Assassin's Memento")</f>
        <v>Iguanian Assassin's Memento</v>
      </c>
      <c r="B864" s="16" t="str">
        <f>IFERROR(__xludf.DUMMYFUNCTION("""COMPUTED_VALUE"""),"From this necklace hangs a series of teeth, each one taken from an iguanian assassin's victim.")</f>
        <v>From this necklace hangs a series of teeth, each one taken from an iguanian assassin's victim.</v>
      </c>
      <c r="C864" s="16"/>
      <c r="D864" s="16" t="str">
        <f>IFERROR(__xludf.DUMMYFUNCTION("""COMPUTED_VALUE"""),"Neck")</f>
        <v>Neck</v>
      </c>
      <c r="E864" s="16">
        <f>IFERROR(__xludf.DUMMYFUNCTION("""COMPUTED_VALUE"""),1.0)</f>
        <v>1</v>
      </c>
      <c r="F864" s="16" t="str">
        <f>IFERROR(__xludf.DUMMYFUNCTION("""COMPUTED_VALUE""")," ++For every enemy killed with this item equipped +1 permanent ATK (0/100000)")</f>
        <v> ++For every enemy killed with this item equipped +1 permanent ATK (0/100000)</v>
      </c>
      <c r="G864" s="16">
        <f>IFERROR(__xludf.DUMMYFUNCTION("""COMPUTED_VALUE"""),0.0)</f>
        <v>0</v>
      </c>
      <c r="H864" s="16"/>
      <c r="I864" s="16"/>
      <c r="J864" s="16"/>
      <c r="K864" s="16"/>
      <c r="L864" s="16"/>
      <c r="M864" s="16"/>
      <c r="N864" s="16"/>
      <c r="O864" s="16"/>
      <c r="P864" s="16"/>
      <c r="Q864" s="16"/>
      <c r="R864" s="16"/>
      <c r="S864" s="16"/>
      <c r="T864" s="16"/>
      <c r="U864" s="16"/>
      <c r="V864" s="16"/>
      <c r="W864" s="16"/>
      <c r="X864" s="16"/>
      <c r="Y864" s="16"/>
      <c r="Z864" s="16"/>
    </row>
    <row r="865">
      <c r="A865" s="16" t="str">
        <f>IFERROR(__xludf.DUMMYFUNCTION("""COMPUTED_VALUE"""),"Salamander Boots")</f>
        <v>Salamander Boots</v>
      </c>
      <c r="B865" s="16"/>
      <c r="C865" s="16" t="str">
        <f>IFERROR(__xludf.DUMMYFUNCTION("""COMPUTED_VALUE"""),"Item")</f>
        <v>Item</v>
      </c>
      <c r="D865" s="16" t="str">
        <f>IFERROR(__xludf.DUMMYFUNCTION("""COMPUTED_VALUE"""),"Feet")</f>
        <v>Feet</v>
      </c>
      <c r="E865" s="16">
        <f>IFERROR(__xludf.DUMMYFUNCTION("""COMPUTED_VALUE"""),2000.0)</f>
        <v>2000</v>
      </c>
      <c r="F865" s="16" t="str">
        <f>IFERROR(__xludf.DUMMYFUNCTION("""COMPUTED_VALUE"""),", Fire DEF: +100000")</f>
        <v>, Fire DEF: +100000</v>
      </c>
      <c r="G865" s="16">
        <f>IFERROR(__xludf.DUMMYFUNCTION("""COMPUTED_VALUE"""),1.99E8)</f>
        <v>199000000</v>
      </c>
      <c r="H865" s="16"/>
      <c r="I865" s="16"/>
      <c r="J865" s="16"/>
      <c r="K865" s="16"/>
      <c r="L865" s="16"/>
      <c r="M865" s="16"/>
      <c r="N865" s="16"/>
      <c r="O865" s="16"/>
      <c r="P865" s="16"/>
      <c r="Q865" s="16"/>
      <c r="R865" s="16"/>
      <c r="S865" s="16"/>
      <c r="T865" s="16"/>
      <c r="U865" s="16"/>
      <c r="V865" s="16"/>
      <c r="W865" s="16"/>
      <c r="X865" s="16"/>
      <c r="Y865" s="16"/>
      <c r="Z865" s="16"/>
    </row>
    <row r="866">
      <c r="A866" s="16" t="str">
        <f>IFERROR(__xludf.DUMMYFUNCTION("""COMPUTED_VALUE"""),"Salamanderscale Chainmail")</f>
        <v>Salamanderscale Chainmail</v>
      </c>
      <c r="B866" s="16"/>
      <c r="C866" s="16" t="str">
        <f>IFERROR(__xludf.DUMMYFUNCTION("""COMPUTED_VALUE"""),"Item")</f>
        <v>Item</v>
      </c>
      <c r="D866" s="16" t="str">
        <f>IFERROR(__xludf.DUMMYFUNCTION("""COMPUTED_VALUE"""),"Torso")</f>
        <v>Torso</v>
      </c>
      <c r="E866" s="16">
        <f>IFERROR(__xludf.DUMMYFUNCTION("""COMPUTED_VALUE"""),2000.0)</f>
        <v>2000</v>
      </c>
      <c r="F866" s="16" t="str">
        <f>IFERROR(__xludf.DUMMYFUNCTION("""COMPUTED_VALUE"""),", Fire DEF: +120000, Water DEF: +-10000, Storm DEF: +-10000 +-Water and Storm deal additional 20000 damage to the wearer")</f>
        <v>, Fire DEF: +120000, Water DEF: +-10000, Storm DEF: +-10000 +-Water and Storm deal additional 20000 damage to the wearer</v>
      </c>
      <c r="G866" s="16">
        <f>IFERROR(__xludf.DUMMYFUNCTION("""COMPUTED_VALUE"""),1.99E8)</f>
        <v>199000000</v>
      </c>
      <c r="H866" s="16"/>
      <c r="I866" s="16"/>
      <c r="J866" s="16"/>
      <c r="K866" s="16"/>
      <c r="L866" s="16"/>
      <c r="M866" s="16"/>
      <c r="N866" s="16"/>
      <c r="O866" s="16"/>
      <c r="P866" s="16"/>
      <c r="Q866" s="16"/>
      <c r="R866" s="16"/>
      <c r="S866" s="16"/>
      <c r="T866" s="16"/>
      <c r="U866" s="16"/>
      <c r="V866" s="16"/>
      <c r="W866" s="16"/>
      <c r="X866" s="16"/>
      <c r="Y866" s="16"/>
      <c r="Z866" s="16"/>
    </row>
    <row r="867">
      <c r="A867" s="16" t="str">
        <f>IFERROR(__xludf.DUMMYFUNCTION("""COMPUTED_VALUE"""),"Iguanian Brawler's Headband")</f>
        <v>Iguanian Brawler's Headband</v>
      </c>
      <c r="B867" s="16"/>
      <c r="C867" s="16" t="str">
        <f>IFERROR(__xludf.DUMMYFUNCTION("""COMPUTED_VALUE"""),"Item")</f>
        <v>Item</v>
      </c>
      <c r="D867" s="16" t="str">
        <f>IFERROR(__xludf.DUMMYFUNCTION("""COMPUTED_VALUE"""),"Head")</f>
        <v>Head</v>
      </c>
      <c r="E867" s="16">
        <f>IFERROR(__xludf.DUMMYFUNCTION("""COMPUTED_VALUE"""),3000.0)</f>
        <v>3000</v>
      </c>
      <c r="F867" s="16" t="str">
        <f>IFERROR(__xludf.DUMMYFUNCTION("""COMPUTED_VALUE"""),"DEF: +150000, Water DEF: +50000, Nature DEF: +-50000")</f>
        <v>DEF: +150000, Water DEF: +50000, Nature DEF: +-50000</v>
      </c>
      <c r="G867" s="16">
        <f>IFERROR(__xludf.DUMMYFUNCTION("""COMPUTED_VALUE"""),4.485E8)</f>
        <v>448500000</v>
      </c>
      <c r="H867" s="16"/>
      <c r="I867" s="16"/>
      <c r="J867" s="16"/>
      <c r="K867" s="16"/>
      <c r="L867" s="16"/>
      <c r="M867" s="16"/>
      <c r="N867" s="16"/>
      <c r="O867" s="16"/>
      <c r="P867" s="16"/>
      <c r="Q867" s="16"/>
      <c r="R867" s="16"/>
      <c r="S867" s="16"/>
      <c r="T867" s="16"/>
      <c r="U867" s="16"/>
      <c r="V867" s="16"/>
      <c r="W867" s="16"/>
      <c r="X867" s="16"/>
      <c r="Y867" s="16"/>
      <c r="Z867" s="16"/>
    </row>
    <row r="868">
      <c r="A868" s="16" t="str">
        <f>IFERROR(__xludf.DUMMYFUNCTION("""COMPUTED_VALUE"""),"Iguanian Brawler's Cape")</f>
        <v>Iguanian Brawler's Cape</v>
      </c>
      <c r="B868" s="16"/>
      <c r="C868" s="16" t="str">
        <f>IFERROR(__xludf.DUMMYFUNCTION("""COMPUTED_VALUE"""),"Item")</f>
        <v>Item</v>
      </c>
      <c r="D868" s="16" t="str">
        <f>IFERROR(__xludf.DUMMYFUNCTION("""COMPUTED_VALUE"""),"Shoulders")</f>
        <v>Shoulders</v>
      </c>
      <c r="E868" s="16">
        <f>IFERROR(__xludf.DUMMYFUNCTION("""COMPUTED_VALUE"""),3000.0)</f>
        <v>3000</v>
      </c>
      <c r="F868" s="16" t="str">
        <f>IFERROR(__xludf.DUMMYFUNCTION("""COMPUTED_VALUE"""),"DEF: +150000, Water DEF: +50000, Nature DEF: +-50000")</f>
        <v>DEF: +150000, Water DEF: +50000, Nature DEF: +-50000</v>
      </c>
      <c r="G868" s="16">
        <f>IFERROR(__xludf.DUMMYFUNCTION("""COMPUTED_VALUE"""),4.485E8)</f>
        <v>448500000</v>
      </c>
      <c r="H868" s="16"/>
      <c r="I868" s="16"/>
      <c r="J868" s="16"/>
      <c r="K868" s="16"/>
      <c r="L868" s="16"/>
      <c r="M868" s="16"/>
      <c r="N868" s="16"/>
      <c r="O868" s="16"/>
      <c r="P868" s="16"/>
      <c r="Q868" s="16"/>
      <c r="R868" s="16"/>
      <c r="S868" s="16"/>
      <c r="T868" s="16"/>
      <c r="U868" s="16"/>
      <c r="V868" s="16"/>
      <c r="W868" s="16"/>
      <c r="X868" s="16"/>
      <c r="Y868" s="16"/>
      <c r="Z868" s="16"/>
    </row>
    <row r="869">
      <c r="A869" s="16" t="str">
        <f>IFERROR(__xludf.DUMMYFUNCTION("""COMPUTED_VALUE"""),"Iguanian Brawler's Sash")</f>
        <v>Iguanian Brawler's Sash</v>
      </c>
      <c r="B869" s="16"/>
      <c r="C869" s="16" t="str">
        <f>IFERROR(__xludf.DUMMYFUNCTION("""COMPUTED_VALUE"""),"Item")</f>
        <v>Item</v>
      </c>
      <c r="D869" s="16" t="str">
        <f>IFERROR(__xludf.DUMMYFUNCTION("""COMPUTED_VALUE"""),"Torso")</f>
        <v>Torso</v>
      </c>
      <c r="E869" s="16">
        <f>IFERROR(__xludf.DUMMYFUNCTION("""COMPUTED_VALUE"""),3000.0)</f>
        <v>3000</v>
      </c>
      <c r="F869" s="16" t="str">
        <f>IFERROR(__xludf.DUMMYFUNCTION("""COMPUTED_VALUE"""),"DEF: +150000, Water DEF: +50000, Nature DEF: +-50000")</f>
        <v>DEF: +150000, Water DEF: +50000, Nature DEF: +-50000</v>
      </c>
      <c r="G869" s="16">
        <f>IFERROR(__xludf.DUMMYFUNCTION("""COMPUTED_VALUE"""),4.485E8)</f>
        <v>448500000</v>
      </c>
      <c r="H869" s="16"/>
      <c r="I869" s="16"/>
      <c r="J869" s="16"/>
      <c r="K869" s="16"/>
      <c r="L869" s="16"/>
      <c r="M869" s="16"/>
      <c r="N869" s="16"/>
      <c r="O869" s="16"/>
      <c r="P869" s="16"/>
      <c r="Q869" s="16"/>
      <c r="R869" s="16"/>
      <c r="S869" s="16"/>
      <c r="T869" s="16"/>
      <c r="U869" s="16"/>
      <c r="V869" s="16"/>
      <c r="W869" s="16"/>
      <c r="X869" s="16"/>
      <c r="Y869" s="16"/>
      <c r="Z869" s="16"/>
    </row>
    <row r="870">
      <c r="A870" s="16" t="str">
        <f>IFERROR(__xludf.DUMMYFUNCTION("""COMPUTED_VALUE"""),"Iguanian Brawler's Arm Wraps")</f>
        <v>Iguanian Brawler's Arm Wraps</v>
      </c>
      <c r="B870" s="16"/>
      <c r="C870" s="16" t="str">
        <f>IFERROR(__xludf.DUMMYFUNCTION("""COMPUTED_VALUE"""),"Item")</f>
        <v>Item</v>
      </c>
      <c r="D870" s="16" t="str">
        <f>IFERROR(__xludf.DUMMYFUNCTION("""COMPUTED_VALUE"""),"Arms")</f>
        <v>Arms</v>
      </c>
      <c r="E870" s="16">
        <f>IFERROR(__xludf.DUMMYFUNCTION("""COMPUTED_VALUE"""),3000.0)</f>
        <v>3000</v>
      </c>
      <c r="F870" s="16" t="str">
        <f>IFERROR(__xludf.DUMMYFUNCTION("""COMPUTED_VALUE"""),"DEF: +150000, Water DEF: +50000, Nature DEF: +-50000")</f>
        <v>DEF: +150000, Water DEF: +50000, Nature DEF: +-50000</v>
      </c>
      <c r="G870" s="16">
        <f>IFERROR(__xludf.DUMMYFUNCTION("""COMPUTED_VALUE"""),4.485E8)</f>
        <v>448500000</v>
      </c>
      <c r="H870" s="16"/>
      <c r="I870" s="16"/>
      <c r="J870" s="16"/>
      <c r="K870" s="16"/>
      <c r="L870" s="16"/>
      <c r="M870" s="16"/>
      <c r="N870" s="16"/>
      <c r="O870" s="16"/>
      <c r="P870" s="16"/>
      <c r="Q870" s="16"/>
      <c r="R870" s="16"/>
      <c r="S870" s="16"/>
      <c r="T870" s="16"/>
      <c r="U870" s="16"/>
      <c r="V870" s="16"/>
      <c r="W870" s="16"/>
      <c r="X870" s="16"/>
      <c r="Y870" s="16"/>
      <c r="Z870" s="16"/>
    </row>
    <row r="871">
      <c r="A871" s="16" t="str">
        <f>IFERROR(__xludf.DUMMYFUNCTION("""COMPUTED_VALUE"""),"Iguanian Brawler's Shorts")</f>
        <v>Iguanian Brawler's Shorts</v>
      </c>
      <c r="B871" s="16"/>
      <c r="C871" s="16" t="str">
        <f>IFERROR(__xludf.DUMMYFUNCTION("""COMPUTED_VALUE"""),"Item")</f>
        <v>Item</v>
      </c>
      <c r="D871" s="16" t="str">
        <f>IFERROR(__xludf.DUMMYFUNCTION("""COMPUTED_VALUE"""),"Legs")</f>
        <v>Legs</v>
      </c>
      <c r="E871" s="16">
        <f>IFERROR(__xludf.DUMMYFUNCTION("""COMPUTED_VALUE"""),3000.0)</f>
        <v>3000</v>
      </c>
      <c r="F871" s="16" t="str">
        <f>IFERROR(__xludf.DUMMYFUNCTION("""COMPUTED_VALUE"""),"DEF: +150000, Water DEF: +50000, Nature DEF: +-50000")</f>
        <v>DEF: +150000, Water DEF: +50000, Nature DEF: +-50000</v>
      </c>
      <c r="G871" s="16">
        <f>IFERROR(__xludf.DUMMYFUNCTION("""COMPUTED_VALUE"""),4.485E8)</f>
        <v>448500000</v>
      </c>
      <c r="H871" s="16"/>
      <c r="I871" s="16"/>
      <c r="J871" s="16"/>
      <c r="K871" s="16"/>
      <c r="L871" s="16"/>
      <c r="M871" s="16"/>
      <c r="N871" s="16"/>
      <c r="O871" s="16"/>
      <c r="P871" s="16"/>
      <c r="Q871" s="16"/>
      <c r="R871" s="16"/>
      <c r="S871" s="16"/>
      <c r="T871" s="16"/>
      <c r="U871" s="16"/>
      <c r="V871" s="16"/>
      <c r="W871" s="16"/>
      <c r="X871" s="16"/>
      <c r="Y871" s="16"/>
      <c r="Z871" s="16"/>
    </row>
    <row r="872">
      <c r="A872" s="16" t="str">
        <f>IFERROR(__xludf.DUMMYFUNCTION("""COMPUTED_VALUE"""),"Iguanian Brawler's Sandals")</f>
        <v>Iguanian Brawler's Sandals</v>
      </c>
      <c r="B872" s="16"/>
      <c r="C872" s="16" t="str">
        <f>IFERROR(__xludf.DUMMYFUNCTION("""COMPUTED_VALUE"""),"Item")</f>
        <v>Item</v>
      </c>
      <c r="D872" s="16" t="str">
        <f>IFERROR(__xludf.DUMMYFUNCTION("""COMPUTED_VALUE"""),"Feet")</f>
        <v>Feet</v>
      </c>
      <c r="E872" s="16">
        <f>IFERROR(__xludf.DUMMYFUNCTION("""COMPUTED_VALUE"""),3000.0)</f>
        <v>3000</v>
      </c>
      <c r="F872" s="16" t="str">
        <f>IFERROR(__xludf.DUMMYFUNCTION("""COMPUTED_VALUE"""),"DEF: +150000, Water DEF: +50000, Nature DEF: +-50000")</f>
        <v>DEF: +150000, Water DEF: +50000, Nature DEF: +-50000</v>
      </c>
      <c r="G872" s="16">
        <f>IFERROR(__xludf.DUMMYFUNCTION("""COMPUTED_VALUE"""),4.485E8)</f>
        <v>448500000</v>
      </c>
      <c r="H872" s="16"/>
      <c r="I872" s="16"/>
      <c r="J872" s="16"/>
      <c r="K872" s="16"/>
      <c r="L872" s="16"/>
      <c r="M872" s="16"/>
      <c r="N872" s="16"/>
      <c r="O872" s="16"/>
      <c r="P872" s="16"/>
      <c r="Q872" s="16"/>
      <c r="R872" s="16"/>
      <c r="S872" s="16"/>
      <c r="T872" s="16"/>
      <c r="U872" s="16"/>
      <c r="V872" s="16"/>
      <c r="W872" s="16"/>
      <c r="X872" s="16"/>
      <c r="Y872" s="16"/>
      <c r="Z872" s="16"/>
    </row>
    <row r="873">
      <c r="A873" s="16" t="str">
        <f>IFERROR(__xludf.DUMMYFUNCTION("""COMPUTED_VALUE"""),"Iguanian Brawler's Knuckles")</f>
        <v>Iguanian Brawler's Knuckles</v>
      </c>
      <c r="B873" s="16"/>
      <c r="C873" s="16" t="str">
        <f>IFERROR(__xludf.DUMMYFUNCTION("""COMPUTED_VALUE"""),"Gauntlet")</f>
        <v>Gauntlet</v>
      </c>
      <c r="D873" s="16" t="str">
        <f>IFERROR(__xludf.DUMMYFUNCTION("""COMPUTED_VALUE"""),"Hand")</f>
        <v>Hand</v>
      </c>
      <c r="E873" s="16">
        <f>IFERROR(__xludf.DUMMYFUNCTION("""COMPUTED_VALUE"""),3000.0)</f>
        <v>3000</v>
      </c>
      <c r="F873" s="16" t="str">
        <f>IFERROR(__xludf.DUMMYFUNCTION("""COMPUTED_VALUE"""),"DEF: +100000, Water DEF: +50000")</f>
        <v>DEF: +100000, Water DEF: +50000</v>
      </c>
      <c r="G873" s="16">
        <f>IFERROR(__xludf.DUMMYFUNCTION("""COMPUTED_VALUE"""),4.485E8)</f>
        <v>448500000</v>
      </c>
      <c r="H873" s="16"/>
      <c r="I873" s="16"/>
      <c r="J873" s="16"/>
      <c r="K873" s="16"/>
      <c r="L873" s="16"/>
      <c r="M873" s="16"/>
      <c r="N873" s="16"/>
      <c r="O873" s="16"/>
      <c r="P873" s="16"/>
      <c r="Q873" s="16"/>
      <c r="R873" s="16"/>
      <c r="S873" s="16"/>
      <c r="T873" s="16"/>
      <c r="U873" s="16"/>
      <c r="V873" s="16"/>
      <c r="W873" s="16"/>
      <c r="X873" s="16"/>
      <c r="Y873" s="16"/>
      <c r="Z873" s="16"/>
    </row>
    <row r="874">
      <c r="A874" s="16" t="str">
        <f>IFERROR(__xludf.DUMMYFUNCTION("""COMPUTED_VALUE"""),"Iguanian Brawler's Ring")</f>
        <v>Iguanian Brawler's Ring</v>
      </c>
      <c r="B874" s="16"/>
      <c r="C874" s="16"/>
      <c r="D874" s="16" t="str">
        <f>IFERROR(__xludf.DUMMYFUNCTION("""COMPUTED_VALUE"""),"Finger")</f>
        <v>Finger</v>
      </c>
      <c r="E874" s="16">
        <f>IFERROR(__xludf.DUMMYFUNCTION("""COMPUTED_VALUE"""),1.0)</f>
        <v>1</v>
      </c>
      <c r="F874" s="16" t="str">
        <f>IFERROR(__xludf.DUMMYFUNCTION("""COMPUTED_VALUE""")," ++X10 Natural Attack damage")</f>
        <v> ++X10 Natural Attack damage</v>
      </c>
      <c r="G874" s="16">
        <f>IFERROR(__xludf.DUMMYFUNCTION("""COMPUTED_VALUE"""),0.0)</f>
        <v>0</v>
      </c>
      <c r="H874" s="16"/>
      <c r="I874" s="16"/>
      <c r="J874" s="16"/>
      <c r="K874" s="16"/>
      <c r="L874" s="16"/>
      <c r="M874" s="16"/>
      <c r="N874" s="16"/>
      <c r="O874" s="16"/>
      <c r="P874" s="16"/>
      <c r="Q874" s="16"/>
      <c r="R874" s="16"/>
      <c r="S874" s="16"/>
      <c r="T874" s="16"/>
      <c r="U874" s="16"/>
      <c r="V874" s="16"/>
      <c r="W874" s="16"/>
      <c r="X874" s="16"/>
      <c r="Y874" s="16"/>
      <c r="Z874" s="16"/>
    </row>
    <row r="875">
      <c r="A875" s="16" t="str">
        <f>IFERROR(__xludf.DUMMYFUNCTION("""COMPUTED_VALUE"""),"Cursed Ring of Sudden Death")</f>
        <v>Cursed Ring of Sudden Death</v>
      </c>
      <c r="B875" s="16"/>
      <c r="C875" s="16" t="str">
        <f>IFERROR(__xludf.DUMMYFUNCTION("""COMPUTED_VALUE"""),"Item")</f>
        <v>Item</v>
      </c>
      <c r="D875" s="16" t="str">
        <f>IFERROR(__xludf.DUMMYFUNCTION("""COMPUTED_VALUE"""),"Finger")</f>
        <v>Finger</v>
      </c>
      <c r="E875" s="16">
        <f>IFERROR(__xludf.DUMMYFUNCTION("""COMPUTED_VALUE"""),1.0)</f>
        <v>1</v>
      </c>
      <c r="F875" s="16" t="str">
        <f>IFERROR(__xludf.DUMMYFUNCTION("""COMPUTED_VALUE""")," ++Can be manually activated at the beginning of battle, before turn order is set. When activated, all damage dealt to or by the wearer results in instant death for the battle. +-Cannot be forged or duplicated")</f>
        <v> ++Can be manually activated at the beginning of battle, before turn order is set. When activated, all damage dealt to or by the wearer results in instant death for the battle. +-Cannot be forged or duplicated</v>
      </c>
      <c r="G875" s="16">
        <f>IFERROR(__xludf.DUMMYFUNCTION("""COMPUTED_VALUE"""),0.0)</f>
        <v>0</v>
      </c>
      <c r="H875" s="16"/>
      <c r="I875" s="16"/>
      <c r="J875" s="16"/>
      <c r="K875" s="16"/>
      <c r="L875" s="16"/>
      <c r="M875" s="16"/>
      <c r="N875" s="16"/>
      <c r="O875" s="16"/>
      <c r="P875" s="16"/>
      <c r="Q875" s="16"/>
      <c r="R875" s="16"/>
      <c r="S875" s="16"/>
      <c r="T875" s="16"/>
      <c r="U875" s="16"/>
      <c r="V875" s="16"/>
      <c r="W875" s="16"/>
      <c r="X875" s="16"/>
      <c r="Y875" s="16"/>
      <c r="Z875" s="16"/>
    </row>
    <row r="876">
      <c r="A876" s="16" t="str">
        <f>IFERROR(__xludf.DUMMYFUNCTION("""COMPUTED_VALUE"""),"Ring of Action")</f>
        <v>Ring of Action</v>
      </c>
      <c r="B876" s="16"/>
      <c r="C876" s="16" t="str">
        <f>IFERROR(__xludf.DUMMYFUNCTION("""COMPUTED_VALUE"""),"Item")</f>
        <v>Item</v>
      </c>
      <c r="D876" s="16" t="str">
        <f>IFERROR(__xludf.DUMMYFUNCTION("""COMPUTED_VALUE"""),"Finger")</f>
        <v>Finger</v>
      </c>
      <c r="E876" s="16">
        <f>IFERROR(__xludf.DUMMYFUNCTION("""COMPUTED_VALUE"""),1.0)</f>
        <v>1</v>
      </c>
      <c r="F876" s="16" t="str">
        <f>IFERROR(__xludf.DUMMYFUNCTION("""COMPUTED_VALUE""")," ++10000 SP")</f>
        <v> ++10000 SP</v>
      </c>
      <c r="G876" s="16">
        <f>IFERROR(__xludf.DUMMYFUNCTION("""COMPUTED_VALUE"""),0.0)</f>
        <v>0</v>
      </c>
      <c r="H876" s="16"/>
      <c r="I876" s="16"/>
      <c r="J876" s="16"/>
      <c r="K876" s="16"/>
      <c r="L876" s="16"/>
      <c r="M876" s="16"/>
      <c r="N876" s="16"/>
      <c r="O876" s="16"/>
      <c r="P876" s="16"/>
      <c r="Q876" s="16"/>
      <c r="R876" s="16"/>
      <c r="S876" s="16"/>
      <c r="T876" s="16"/>
      <c r="U876" s="16"/>
      <c r="V876" s="16"/>
      <c r="W876" s="16"/>
      <c r="X876" s="16"/>
      <c r="Y876" s="16"/>
      <c r="Z876" s="16"/>
    </row>
    <row r="877">
      <c r="A877" s="16" t="str">
        <f>IFERROR(__xludf.DUMMYFUNCTION("""COMPUTED_VALUE"""),"Iguanian Mage Hat")</f>
        <v>Iguanian Mage Hat</v>
      </c>
      <c r="B877" s="16"/>
      <c r="C877" s="16" t="str">
        <f>IFERROR(__xludf.DUMMYFUNCTION("""COMPUTED_VALUE"""),"Item")</f>
        <v>Item</v>
      </c>
      <c r="D877" s="16"/>
      <c r="E877" s="16">
        <f>IFERROR(__xludf.DUMMYFUNCTION("""COMPUTED_VALUE"""),1.0)</f>
        <v>1</v>
      </c>
      <c r="F877" s="16" t="str">
        <f>IFERROR(__xludf.DUMMYFUNCTION("""COMPUTED_VALUE""")," ++10000 hp and sp")</f>
        <v> ++10000 hp and sp</v>
      </c>
      <c r="G877" s="16">
        <f>IFERROR(__xludf.DUMMYFUNCTION("""COMPUTED_VALUE"""),0.0)</f>
        <v>0</v>
      </c>
      <c r="H877" s="16"/>
      <c r="I877" s="16"/>
      <c r="J877" s="16"/>
      <c r="K877" s="16"/>
      <c r="L877" s="16"/>
      <c r="M877" s="16"/>
      <c r="N877" s="16"/>
      <c r="O877" s="16"/>
      <c r="P877" s="16"/>
      <c r="Q877" s="16"/>
      <c r="R877" s="16"/>
      <c r="S877" s="16"/>
      <c r="T877" s="16"/>
      <c r="U877" s="16"/>
      <c r="V877" s="16"/>
      <c r="W877" s="16"/>
      <c r="X877" s="16"/>
      <c r="Y877" s="16"/>
      <c r="Z877" s="16"/>
    </row>
    <row r="878">
      <c r="A878" s="16" t="str">
        <f>IFERROR(__xludf.DUMMYFUNCTION("""COMPUTED_VALUE"""),"Iguanian Mage Robes")</f>
        <v>Iguanian Mage Robes</v>
      </c>
      <c r="B878" s="16"/>
      <c r="C878" s="16" t="str">
        <f>IFERROR(__xludf.DUMMYFUNCTION("""COMPUTED_VALUE"""),"Item")</f>
        <v>Item</v>
      </c>
      <c r="D878" s="16"/>
      <c r="E878" s="16">
        <f>IFERROR(__xludf.DUMMYFUNCTION("""COMPUTED_VALUE"""),1.0)</f>
        <v>1</v>
      </c>
      <c r="F878" s="16" t="str">
        <f>IFERROR(__xludf.DUMMYFUNCTION("""COMPUTED_VALUE""")," ++10000 hp and sp")</f>
        <v> ++10000 hp and sp</v>
      </c>
      <c r="G878" s="16">
        <f>IFERROR(__xludf.DUMMYFUNCTION("""COMPUTED_VALUE"""),0.0)</f>
        <v>0</v>
      </c>
      <c r="H878" s="16"/>
      <c r="I878" s="16"/>
      <c r="J878" s="16"/>
      <c r="K878" s="16"/>
      <c r="L878" s="16"/>
      <c r="M878" s="16"/>
      <c r="N878" s="16"/>
      <c r="O878" s="16"/>
      <c r="P878" s="16"/>
      <c r="Q878" s="16"/>
      <c r="R878" s="16"/>
      <c r="S878" s="16"/>
      <c r="T878" s="16"/>
      <c r="U878" s="16"/>
      <c r="V878" s="16"/>
      <c r="W878" s="16"/>
      <c r="X878" s="16"/>
      <c r="Y878" s="16"/>
      <c r="Z878" s="16"/>
    </row>
    <row r="879">
      <c r="A879" s="16" t="str">
        <f>IFERROR(__xludf.DUMMYFUNCTION("""COMPUTED_VALUE"""),"Iguanian Mage Leggings")</f>
        <v>Iguanian Mage Leggings</v>
      </c>
      <c r="B879" s="16"/>
      <c r="C879" s="16" t="str">
        <f>IFERROR(__xludf.DUMMYFUNCTION("""COMPUTED_VALUE"""),"Item")</f>
        <v>Item</v>
      </c>
      <c r="D879" s="16"/>
      <c r="E879" s="16">
        <f>IFERROR(__xludf.DUMMYFUNCTION("""COMPUTED_VALUE"""),1.0)</f>
        <v>1</v>
      </c>
      <c r="F879" s="16" t="str">
        <f>IFERROR(__xludf.DUMMYFUNCTION("""COMPUTED_VALUE""")," ++10000 hp and sp")</f>
        <v> ++10000 hp and sp</v>
      </c>
      <c r="G879" s="16">
        <f>IFERROR(__xludf.DUMMYFUNCTION("""COMPUTED_VALUE"""),0.0)</f>
        <v>0</v>
      </c>
      <c r="H879" s="16"/>
      <c r="I879" s="16"/>
      <c r="J879" s="16"/>
      <c r="K879" s="16"/>
      <c r="L879" s="16"/>
      <c r="M879" s="16"/>
      <c r="N879" s="16"/>
      <c r="O879" s="16"/>
      <c r="P879" s="16"/>
      <c r="Q879" s="16"/>
      <c r="R879" s="16"/>
      <c r="S879" s="16"/>
      <c r="T879" s="16"/>
      <c r="U879" s="16"/>
      <c r="V879" s="16"/>
      <c r="W879" s="16"/>
      <c r="X879" s="16"/>
      <c r="Y879" s="16"/>
      <c r="Z879" s="16"/>
    </row>
    <row r="880">
      <c r="A880" s="16" t="str">
        <f>IFERROR(__xludf.DUMMYFUNCTION("""COMPUTED_VALUE"""),"Iguanian Mage Pointed Shoes")</f>
        <v>Iguanian Mage Pointed Shoes</v>
      </c>
      <c r="B880" s="16"/>
      <c r="C880" s="16" t="str">
        <f>IFERROR(__xludf.DUMMYFUNCTION("""COMPUTED_VALUE"""),"Item")</f>
        <v>Item</v>
      </c>
      <c r="D880" s="16"/>
      <c r="E880" s="16">
        <f>IFERROR(__xludf.DUMMYFUNCTION("""COMPUTED_VALUE"""),1.0)</f>
        <v>1</v>
      </c>
      <c r="F880" s="16" t="str">
        <f>IFERROR(__xludf.DUMMYFUNCTION("""COMPUTED_VALUE""")," ++10000 hp and sp")</f>
        <v> ++10000 hp and sp</v>
      </c>
      <c r="G880" s="16">
        <f>IFERROR(__xludf.DUMMYFUNCTION("""COMPUTED_VALUE"""),0.0)</f>
        <v>0</v>
      </c>
      <c r="H880" s="16"/>
      <c r="I880" s="16"/>
      <c r="J880" s="16"/>
      <c r="K880" s="16"/>
      <c r="L880" s="16"/>
      <c r="M880" s="16"/>
      <c r="N880" s="16"/>
      <c r="O880" s="16"/>
      <c r="P880" s="16"/>
      <c r="Q880" s="16"/>
      <c r="R880" s="16"/>
      <c r="S880" s="16"/>
      <c r="T880" s="16"/>
      <c r="U880" s="16"/>
      <c r="V880" s="16"/>
      <c r="W880" s="16"/>
      <c r="X880" s="16"/>
      <c r="Y880" s="16"/>
      <c r="Z880" s="16"/>
    </row>
    <row r="881">
      <c r="A881" s="16" t="str">
        <f>IFERROR(__xludf.DUMMYFUNCTION("""COMPUTED_VALUE"""),"Iguanian Mage Staff of Hail")</f>
        <v>Iguanian Mage Staff of Hail</v>
      </c>
      <c r="B881" s="16"/>
      <c r="C881" s="16" t="str">
        <f>IFERROR(__xludf.DUMMYFUNCTION("""COMPUTED_VALUE"""),"Staff")</f>
        <v>Staff</v>
      </c>
      <c r="D881" s="16"/>
      <c r="E881" s="16">
        <f>IFERROR(__xludf.DUMMYFUNCTION("""COMPUTED_VALUE"""),1.0)</f>
        <v>1</v>
      </c>
      <c r="F881" s="16" t="str">
        <f>IFERROR(__xludf.DUMMYFUNCTION("""COMPUTED_VALUE""")," ++Iguanian Tidecall: Inflicts 25000XWisdom Water damage on all enemies sp cost: 1000XWisdom sp. ++Iguanian Mage's Staff: X5 to all Water and Storm Damage ")</f>
        <v> ++Iguanian Tidecall: Inflicts 25000XWisdom Water damage on all enemies sp cost: 1000XWisdom sp. ++Iguanian Mage's Staff: X5 to all Water and Storm Damage </v>
      </c>
      <c r="G881" s="16">
        <f>IFERROR(__xludf.DUMMYFUNCTION("""COMPUTED_VALUE"""),0.0)</f>
        <v>0</v>
      </c>
      <c r="H881" s="16"/>
      <c r="I881" s="16"/>
      <c r="J881" s="16"/>
      <c r="K881" s="16"/>
      <c r="L881" s="16"/>
      <c r="M881" s="16"/>
      <c r="N881" s="16"/>
      <c r="O881" s="16"/>
      <c r="P881" s="16"/>
      <c r="Q881" s="16"/>
      <c r="R881" s="16"/>
      <c r="S881" s="16"/>
      <c r="T881" s="16"/>
      <c r="U881" s="16"/>
      <c r="V881" s="16"/>
      <c r="W881" s="16"/>
      <c r="X881" s="16"/>
      <c r="Y881" s="16"/>
      <c r="Z881" s="16"/>
    </row>
    <row r="882">
      <c r="A882" s="16" t="str">
        <f>IFERROR(__xludf.DUMMYFUNCTION("""COMPUTED_VALUE"""),"Blood Finger Ring")</f>
        <v>Blood Finger Ring</v>
      </c>
      <c r="B882" s="16"/>
      <c r="C882" s="16" t="str">
        <f>IFERROR(__xludf.DUMMYFUNCTION("""COMPUTED_VALUE"""),"Item")</f>
        <v>Item</v>
      </c>
      <c r="D882" s="16" t="str">
        <f>IFERROR(__xludf.DUMMYFUNCTION("""COMPUTED_VALUE"""),"Finger")</f>
        <v>Finger</v>
      </c>
      <c r="E882" s="16">
        <f>IFERROR(__xludf.DUMMYFUNCTION("""COMPUTED_VALUE"""),1.0)</f>
        <v>1</v>
      </c>
      <c r="F882" s="16" t="str">
        <f>IFERROR(__xludf.DUMMYFUNCTION("""COMPUTED_VALUE""")," ++Once per battle, if HP&lt;110, heal 10000 HP +-Cannot be forged or duplicated")</f>
        <v> ++Once per battle, if HP&lt;110, heal 10000 HP +-Cannot be forged or duplicated</v>
      </c>
      <c r="G882" s="16">
        <f>IFERROR(__xludf.DUMMYFUNCTION("""COMPUTED_VALUE"""),0.0)</f>
        <v>0</v>
      </c>
      <c r="H882" s="16"/>
      <c r="I882" s="16"/>
      <c r="J882" s="16"/>
      <c r="K882" s="16"/>
      <c r="L882" s="16"/>
      <c r="M882" s="16"/>
      <c r="N882" s="16"/>
      <c r="O882" s="16"/>
      <c r="P882" s="16"/>
      <c r="Q882" s="16"/>
      <c r="R882" s="16"/>
      <c r="S882" s="16"/>
      <c r="T882" s="16"/>
      <c r="U882" s="16"/>
      <c r="V882" s="16"/>
      <c r="W882" s="16"/>
      <c r="X882" s="16"/>
      <c r="Y882" s="16"/>
      <c r="Z882" s="16"/>
    </row>
    <row r="883">
      <c r="A883" s="16" t="str">
        <f>IFERROR(__xludf.DUMMYFUNCTION("""COMPUTED_VALUE"""),"Finger Food Ring")</f>
        <v>Finger Food Ring</v>
      </c>
      <c r="B883" s="16"/>
      <c r="C883" s="16" t="str">
        <f>IFERROR(__xludf.DUMMYFUNCTION("""COMPUTED_VALUE"""),"Item")</f>
        <v>Item</v>
      </c>
      <c r="D883" s="16" t="str">
        <f>IFERROR(__xludf.DUMMYFUNCTION("""COMPUTED_VALUE"""),"Finger")</f>
        <v>Finger</v>
      </c>
      <c r="E883" s="16">
        <f>IFERROR(__xludf.DUMMYFUNCTION("""COMPUTED_VALUE"""),1.0)</f>
        <v>1</v>
      </c>
      <c r="F883" s="16" t="str">
        <f>IFERROR(__xludf.DUMMYFUNCTION("""COMPUTED_VALUE""")," ++Once per journey, consume one piece of food without it being removed from inventory +-Cannot be forged or duplicated")</f>
        <v> ++Once per journey, consume one piece of food without it being removed from inventory +-Cannot be forged or duplicated</v>
      </c>
      <c r="G883" s="16">
        <f>IFERROR(__xludf.DUMMYFUNCTION("""COMPUTED_VALUE"""),0.0)</f>
        <v>0</v>
      </c>
      <c r="H883" s="16"/>
      <c r="I883" s="16"/>
      <c r="J883" s="16"/>
      <c r="K883" s="16"/>
      <c r="L883" s="16"/>
      <c r="M883" s="16"/>
      <c r="N883" s="16"/>
      <c r="O883" s="16"/>
      <c r="P883" s="16"/>
      <c r="Q883" s="16"/>
      <c r="R883" s="16"/>
      <c r="S883" s="16"/>
      <c r="T883" s="16"/>
      <c r="U883" s="16"/>
      <c r="V883" s="16"/>
      <c r="W883" s="16"/>
      <c r="X883" s="16"/>
      <c r="Y883" s="16"/>
      <c r="Z883" s="16"/>
    </row>
    <row r="884">
      <c r="A884" s="16" t="str">
        <f>IFERROR(__xludf.DUMMYFUNCTION("""COMPUTED_VALUE"""),"Ring of Power")</f>
        <v>Ring of Power</v>
      </c>
      <c r="B884" s="16"/>
      <c r="C884" s="16" t="str">
        <f>IFERROR(__xludf.DUMMYFUNCTION("""COMPUTED_VALUE"""),"Item")</f>
        <v>Item</v>
      </c>
      <c r="D884" s="16" t="str">
        <f>IFERROR(__xludf.DUMMYFUNCTION("""COMPUTED_VALUE"""),"Finger")</f>
        <v>Finger</v>
      </c>
      <c r="E884" s="16">
        <f>IFERROR(__xludf.DUMMYFUNCTION("""COMPUTED_VALUE"""),1.0)</f>
        <v>1</v>
      </c>
      <c r="F884" s="16" t="str">
        <f>IFERROR(__xludf.DUMMYFUNCTION("""COMPUTED_VALUE""")," ++1500 ATK and ACC")</f>
        <v> ++1500 ATK and ACC</v>
      </c>
      <c r="G884" s="16">
        <f>IFERROR(__xludf.DUMMYFUNCTION("""COMPUTED_VALUE"""),0.0)</f>
        <v>0</v>
      </c>
      <c r="H884" s="16"/>
      <c r="I884" s="16"/>
      <c r="J884" s="16"/>
      <c r="K884" s="16"/>
      <c r="L884" s="16"/>
      <c r="M884" s="16"/>
      <c r="N884" s="16"/>
      <c r="O884" s="16"/>
      <c r="P884" s="16"/>
      <c r="Q884" s="16"/>
      <c r="R884" s="16"/>
      <c r="S884" s="16"/>
      <c r="T884" s="16"/>
      <c r="U884" s="16"/>
      <c r="V884" s="16"/>
      <c r="W884" s="16"/>
      <c r="X884" s="16"/>
      <c r="Y884" s="16"/>
      <c r="Z884" s="16"/>
    </row>
    <row r="885">
      <c r="A885" s="16" t="str">
        <f>IFERROR(__xludf.DUMMYFUNCTION("""COMPUTED_VALUE"""),"Axe of Red")</f>
        <v>Axe of Red</v>
      </c>
      <c r="B885" s="16"/>
      <c r="C885" s="16" t="str">
        <f>IFERROR(__xludf.DUMMYFUNCTION("""COMPUTED_VALUE"""),"Axe")</f>
        <v>Axe</v>
      </c>
      <c r="D885" s="16" t="str">
        <f>IFERROR(__xludf.DUMMYFUNCTION("""COMPUTED_VALUE"""),"Hand")</f>
        <v>Hand</v>
      </c>
      <c r="E885" s="16">
        <f>IFERROR(__xludf.DUMMYFUNCTION("""COMPUTED_VALUE"""),4500.0)</f>
        <v>4500</v>
      </c>
      <c r="F885" s="16" t="str">
        <f>IFERROR(__xludf.DUMMYFUNCTION("""COMPUTED_VALUE"""),", Fire DMG: +75000, Chaos DMG: +75000, Blood DMG: +75000")</f>
        <v>, Fire DMG: +75000, Chaos DMG: +75000, Blood DMG: +75000</v>
      </c>
      <c r="G885" s="16">
        <f>IFERROR(__xludf.DUMMYFUNCTION("""COMPUTED_VALUE"""),1.01025E9)</f>
        <v>1010250000</v>
      </c>
      <c r="H885" s="16"/>
      <c r="I885" s="16"/>
      <c r="J885" s="16"/>
      <c r="K885" s="16"/>
      <c r="L885" s="16"/>
      <c r="M885" s="16"/>
      <c r="N885" s="16"/>
      <c r="O885" s="16"/>
      <c r="P885" s="16"/>
      <c r="Q885" s="16"/>
      <c r="R885" s="16"/>
      <c r="S885" s="16"/>
      <c r="T885" s="16"/>
      <c r="U885" s="16"/>
      <c r="V885" s="16"/>
      <c r="W885" s="16"/>
      <c r="X885" s="16"/>
      <c r="Y885" s="16"/>
      <c r="Z885" s="16"/>
    </row>
    <row r="886">
      <c r="A886" s="16" t="str">
        <f>IFERROR(__xludf.DUMMYFUNCTION("""COMPUTED_VALUE"""),"Wyrmscale Staff")</f>
        <v>Wyrmscale Staff</v>
      </c>
      <c r="B886" s="16"/>
      <c r="C886" s="16" t="str">
        <f>IFERROR(__xludf.DUMMYFUNCTION("""COMPUTED_VALUE"""),"Staff")</f>
        <v>Staff</v>
      </c>
      <c r="D886" s="16" t="str">
        <f>IFERROR(__xludf.DUMMYFUNCTION("""COMPUTED_VALUE"""),"Hand")</f>
        <v>Hand</v>
      </c>
      <c r="E886" s="16">
        <f>IFERROR(__xludf.DUMMYFUNCTION("""COMPUTED_VALUE"""),1.0)</f>
        <v>1</v>
      </c>
      <c r="F886" s="16" t="str">
        <f>IFERROR(__xludf.DUMMYFUNCTION("""COMPUTED_VALUE""")," ++Spells have double effect when cast on dragons +-Cannot be forged or duplicated")</f>
        <v> ++Spells have double effect when cast on dragons +-Cannot be forged or duplicated</v>
      </c>
      <c r="G886" s="16">
        <f>IFERROR(__xludf.DUMMYFUNCTION("""COMPUTED_VALUE"""),0.0)</f>
        <v>0</v>
      </c>
      <c r="H886" s="16"/>
      <c r="I886" s="16"/>
      <c r="J886" s="16"/>
      <c r="K886" s="16"/>
      <c r="L886" s="16"/>
      <c r="M886" s="16"/>
      <c r="N886" s="16"/>
      <c r="O886" s="16"/>
      <c r="P886" s="16"/>
      <c r="Q886" s="16"/>
      <c r="R886" s="16"/>
      <c r="S886" s="16"/>
      <c r="T886" s="16"/>
      <c r="U886" s="16"/>
      <c r="V886" s="16"/>
      <c r="W886" s="16"/>
      <c r="X886" s="16"/>
      <c r="Y886" s="16"/>
      <c r="Z886" s="16"/>
    </row>
    <row r="887">
      <c r="A887" s="16" t="str">
        <f>IFERROR(__xludf.DUMMYFUNCTION("""COMPUTED_VALUE"""),"Wyrmscale Wand")</f>
        <v>Wyrmscale Wand</v>
      </c>
      <c r="B887" s="16"/>
      <c r="C887" s="16" t="str">
        <f>IFERROR(__xludf.DUMMYFUNCTION("""COMPUTED_VALUE"""),"Wand")</f>
        <v>Wand</v>
      </c>
      <c r="D887" s="16" t="str">
        <f>IFERROR(__xludf.DUMMYFUNCTION("""COMPUTED_VALUE"""),"Hand")</f>
        <v>Hand</v>
      </c>
      <c r="E887" s="16">
        <f>IFERROR(__xludf.DUMMYFUNCTION("""COMPUTED_VALUE"""),1.0)</f>
        <v>1</v>
      </c>
      <c r="F887" s="16" t="str">
        <f>IFERROR(__xludf.DUMMYFUNCTION("""COMPUTED_VALUE""")," ++Half the SP/HP cost of spells when in the presence of a dragon +-Cannot be forged or duplicated")</f>
        <v> ++Half the SP/HP cost of spells when in the presence of a dragon +-Cannot be forged or duplicated</v>
      </c>
      <c r="G887" s="16">
        <f>IFERROR(__xludf.DUMMYFUNCTION("""COMPUTED_VALUE"""),0.0)</f>
        <v>0</v>
      </c>
      <c r="H887" s="16"/>
      <c r="I887" s="16"/>
      <c r="J887" s="16"/>
      <c r="K887" s="16"/>
      <c r="L887" s="16"/>
      <c r="M887" s="16"/>
      <c r="N887" s="16"/>
      <c r="O887" s="16"/>
      <c r="P887" s="16"/>
      <c r="Q887" s="16"/>
      <c r="R887" s="16"/>
      <c r="S887" s="16"/>
      <c r="T887" s="16"/>
      <c r="U887" s="16"/>
      <c r="V887" s="16"/>
      <c r="W887" s="16"/>
      <c r="X887" s="16"/>
      <c r="Y887" s="16"/>
      <c r="Z887" s="16"/>
    </row>
    <row r="888">
      <c r="A888" s="16"/>
      <c r="B888" s="16" t="str">
        <f>IFERROR(__xludf.DUMMYFUNCTION("""COMPUTED_VALUE"""),"")</f>
        <v/>
      </c>
      <c r="C888" s="16" t="str">
        <f>IFERROR(__xludf.DUMMYFUNCTION("""COMPUTED_VALUE"""),"")</f>
        <v/>
      </c>
      <c r="D888" s="16" t="str">
        <f>IFERROR(__xludf.DUMMYFUNCTION("""COMPUTED_VALUE"""),"")</f>
        <v/>
      </c>
      <c r="E888" s="16" t="str">
        <f>IFERROR(__xludf.DUMMYFUNCTION("""COMPUTED_VALUE"""),"")</f>
        <v/>
      </c>
      <c r="F888" s="16" t="str">
        <f>IFERROR(__xludf.DUMMYFUNCTION("""COMPUTED_VALUE"""),"")</f>
        <v/>
      </c>
      <c r="G888" s="16" t="str">
        <f>IFERROR(__xludf.DUMMYFUNCTION("""COMPUTED_VALUE"""),"")</f>
        <v/>
      </c>
      <c r="H888" s="16"/>
      <c r="I888" s="16"/>
      <c r="J888" s="16"/>
      <c r="K888" s="16"/>
      <c r="L888" s="16"/>
      <c r="M888" s="16"/>
      <c r="N888" s="16"/>
      <c r="O888" s="16"/>
      <c r="P888" s="16"/>
      <c r="Q888" s="16"/>
      <c r="R888" s="16"/>
      <c r="S888" s="16"/>
      <c r="T888" s="16"/>
      <c r="U888" s="16"/>
      <c r="V888" s="16"/>
      <c r="W888" s="16"/>
      <c r="X888" s="16"/>
      <c r="Y888" s="16"/>
      <c r="Z888" s="16"/>
    </row>
    <row r="889">
      <c r="A889" s="16"/>
      <c r="B889" s="16" t="str">
        <f>IFERROR(__xludf.DUMMYFUNCTION("""COMPUTED_VALUE"""),"")</f>
        <v/>
      </c>
      <c r="C889" s="16" t="str">
        <f>IFERROR(__xludf.DUMMYFUNCTION("""COMPUTED_VALUE"""),"")</f>
        <v/>
      </c>
      <c r="D889" s="16" t="str">
        <f>IFERROR(__xludf.DUMMYFUNCTION("""COMPUTED_VALUE"""),"")</f>
        <v/>
      </c>
      <c r="E889" s="16" t="str">
        <f>IFERROR(__xludf.DUMMYFUNCTION("""COMPUTED_VALUE"""),"")</f>
        <v/>
      </c>
      <c r="F889" s="16" t="str">
        <f>IFERROR(__xludf.DUMMYFUNCTION("""COMPUTED_VALUE"""),"")</f>
        <v/>
      </c>
      <c r="G889" s="16" t="str">
        <f>IFERROR(__xludf.DUMMYFUNCTION("""COMPUTED_VALUE"""),"")</f>
        <v/>
      </c>
      <c r="H889" s="16"/>
      <c r="I889" s="16"/>
      <c r="J889" s="16"/>
      <c r="K889" s="16"/>
      <c r="L889" s="16"/>
      <c r="M889" s="16"/>
      <c r="N889" s="16"/>
      <c r="O889" s="16"/>
      <c r="P889" s="16"/>
      <c r="Q889" s="16"/>
      <c r="R889" s="16"/>
      <c r="S889" s="16"/>
      <c r="T889" s="16"/>
      <c r="U889" s="16"/>
      <c r="V889" s="16"/>
      <c r="W889" s="16"/>
      <c r="X889" s="16"/>
      <c r="Y889" s="16"/>
      <c r="Z889" s="16"/>
    </row>
    <row r="890">
      <c r="A890" s="16"/>
      <c r="B890" s="16" t="str">
        <f>IFERROR(__xludf.DUMMYFUNCTION("""COMPUTED_VALUE"""),"")</f>
        <v/>
      </c>
      <c r="C890" s="16" t="str">
        <f>IFERROR(__xludf.DUMMYFUNCTION("""COMPUTED_VALUE"""),"")</f>
        <v/>
      </c>
      <c r="D890" s="16" t="str">
        <f>IFERROR(__xludf.DUMMYFUNCTION("""COMPUTED_VALUE"""),"")</f>
        <v/>
      </c>
      <c r="E890" s="16" t="str">
        <f>IFERROR(__xludf.DUMMYFUNCTION("""COMPUTED_VALUE"""),"")</f>
        <v/>
      </c>
      <c r="F890" s="16" t="str">
        <f>IFERROR(__xludf.DUMMYFUNCTION("""COMPUTED_VALUE"""),"")</f>
        <v/>
      </c>
      <c r="G890" s="16" t="str">
        <f>IFERROR(__xludf.DUMMYFUNCTION("""COMPUTED_VALUE"""),"")</f>
        <v/>
      </c>
      <c r="H890" s="16"/>
      <c r="I890" s="16"/>
      <c r="J890" s="16"/>
      <c r="K890" s="16"/>
      <c r="L890" s="16"/>
      <c r="M890" s="16"/>
      <c r="N890" s="16"/>
      <c r="O890" s="16"/>
      <c r="P890" s="16"/>
      <c r="Q890" s="16"/>
      <c r="R890" s="16"/>
      <c r="S890" s="16"/>
      <c r="T890" s="16"/>
      <c r="U890" s="16"/>
      <c r="V890" s="16"/>
      <c r="W890" s="16"/>
      <c r="X890" s="16"/>
      <c r="Y890" s="16"/>
      <c r="Z890" s="16"/>
    </row>
    <row r="891">
      <c r="A891" s="16"/>
      <c r="B891" s="16" t="str">
        <f>IFERROR(__xludf.DUMMYFUNCTION("""COMPUTED_VALUE"""),"")</f>
        <v/>
      </c>
      <c r="C891" s="16" t="str">
        <f>IFERROR(__xludf.DUMMYFUNCTION("""COMPUTED_VALUE"""),"")</f>
        <v/>
      </c>
      <c r="D891" s="16" t="str">
        <f>IFERROR(__xludf.DUMMYFUNCTION("""COMPUTED_VALUE"""),"")</f>
        <v/>
      </c>
      <c r="E891" s="16" t="str">
        <f>IFERROR(__xludf.DUMMYFUNCTION("""COMPUTED_VALUE"""),"")</f>
        <v/>
      </c>
      <c r="F891" s="16" t="str">
        <f>IFERROR(__xludf.DUMMYFUNCTION("""COMPUTED_VALUE"""),"")</f>
        <v/>
      </c>
      <c r="G891" s="16" t="str">
        <f>IFERROR(__xludf.DUMMYFUNCTION("""COMPUTED_VALUE"""),"")</f>
        <v/>
      </c>
      <c r="H891" s="16"/>
      <c r="I891" s="16"/>
      <c r="J891" s="16"/>
      <c r="K891" s="16"/>
      <c r="L891" s="16"/>
      <c r="M891" s="16"/>
      <c r="N891" s="16"/>
      <c r="O891" s="16"/>
      <c r="P891" s="16"/>
      <c r="Q891" s="16"/>
      <c r="R891" s="16"/>
      <c r="S891" s="16"/>
      <c r="T891" s="16"/>
      <c r="U891" s="16"/>
      <c r="V891" s="16"/>
      <c r="W891" s="16"/>
      <c r="X891" s="16"/>
      <c r="Y891" s="16"/>
      <c r="Z891" s="16"/>
    </row>
    <row r="892">
      <c r="A892" s="16"/>
      <c r="B892" s="16" t="str">
        <f>IFERROR(__xludf.DUMMYFUNCTION("""COMPUTED_VALUE"""),"")</f>
        <v/>
      </c>
      <c r="C892" s="16" t="str">
        <f>IFERROR(__xludf.DUMMYFUNCTION("""COMPUTED_VALUE"""),"")</f>
        <v/>
      </c>
      <c r="D892" s="16" t="str">
        <f>IFERROR(__xludf.DUMMYFUNCTION("""COMPUTED_VALUE"""),"")</f>
        <v/>
      </c>
      <c r="E892" s="16" t="str">
        <f>IFERROR(__xludf.DUMMYFUNCTION("""COMPUTED_VALUE"""),"")</f>
        <v/>
      </c>
      <c r="F892" s="16" t="str">
        <f>IFERROR(__xludf.DUMMYFUNCTION("""COMPUTED_VALUE"""),"")</f>
        <v/>
      </c>
      <c r="G892" s="16" t="str">
        <f>IFERROR(__xludf.DUMMYFUNCTION("""COMPUTED_VALUE"""),"")</f>
        <v/>
      </c>
      <c r="H892" s="16"/>
      <c r="I892" s="16"/>
      <c r="J892" s="16"/>
      <c r="K892" s="16"/>
      <c r="L892" s="16"/>
      <c r="M892" s="16"/>
      <c r="N892" s="16"/>
      <c r="O892" s="16"/>
      <c r="P892" s="16"/>
      <c r="Q892" s="16"/>
      <c r="R892" s="16"/>
      <c r="S892" s="16"/>
      <c r="T892" s="16"/>
      <c r="U892" s="16"/>
      <c r="V892" s="16"/>
      <c r="W892" s="16"/>
      <c r="X892" s="16"/>
      <c r="Y892" s="16"/>
      <c r="Z892" s="16"/>
    </row>
    <row r="893">
      <c r="A893" s="16"/>
      <c r="B893" s="16" t="str">
        <f>IFERROR(__xludf.DUMMYFUNCTION("""COMPUTED_VALUE"""),"")</f>
        <v/>
      </c>
      <c r="C893" s="16" t="str">
        <f>IFERROR(__xludf.DUMMYFUNCTION("""COMPUTED_VALUE"""),"")</f>
        <v/>
      </c>
      <c r="D893" s="16" t="str">
        <f>IFERROR(__xludf.DUMMYFUNCTION("""COMPUTED_VALUE"""),"")</f>
        <v/>
      </c>
      <c r="E893" s="16" t="str">
        <f>IFERROR(__xludf.DUMMYFUNCTION("""COMPUTED_VALUE"""),"")</f>
        <v/>
      </c>
      <c r="F893" s="16" t="str">
        <f>IFERROR(__xludf.DUMMYFUNCTION("""COMPUTED_VALUE"""),"")</f>
        <v/>
      </c>
      <c r="G893" s="16" t="str">
        <f>IFERROR(__xludf.DUMMYFUNCTION("""COMPUTED_VALUE"""),"")</f>
        <v/>
      </c>
      <c r="H893" s="16"/>
      <c r="I893" s="16"/>
      <c r="J893" s="16"/>
      <c r="K893" s="16"/>
      <c r="L893" s="16"/>
      <c r="M893" s="16"/>
      <c r="N893" s="16"/>
      <c r="O893" s="16"/>
      <c r="P893" s="16"/>
      <c r="Q893" s="16"/>
      <c r="R893" s="16"/>
      <c r="S893" s="16"/>
      <c r="T893" s="16"/>
      <c r="U893" s="16"/>
      <c r="V893" s="16"/>
      <c r="W893" s="16"/>
      <c r="X893" s="16"/>
      <c r="Y893" s="16"/>
      <c r="Z893" s="16"/>
    </row>
    <row r="894">
      <c r="A894" s="16"/>
      <c r="B894" s="16" t="str">
        <f>IFERROR(__xludf.DUMMYFUNCTION("""COMPUTED_VALUE"""),"")</f>
        <v/>
      </c>
      <c r="C894" s="16" t="str">
        <f>IFERROR(__xludf.DUMMYFUNCTION("""COMPUTED_VALUE"""),"")</f>
        <v/>
      </c>
      <c r="D894" s="16" t="str">
        <f>IFERROR(__xludf.DUMMYFUNCTION("""COMPUTED_VALUE"""),"")</f>
        <v/>
      </c>
      <c r="E894" s="16" t="str">
        <f>IFERROR(__xludf.DUMMYFUNCTION("""COMPUTED_VALUE"""),"")</f>
        <v/>
      </c>
      <c r="F894" s="16" t="str">
        <f>IFERROR(__xludf.DUMMYFUNCTION("""COMPUTED_VALUE"""),"")</f>
        <v/>
      </c>
      <c r="G894" s="16" t="str">
        <f>IFERROR(__xludf.DUMMYFUNCTION("""COMPUTED_VALUE"""),"")</f>
        <v/>
      </c>
      <c r="H894" s="16"/>
      <c r="I894" s="16"/>
      <c r="J894" s="16"/>
      <c r="K894" s="16"/>
      <c r="L894" s="16"/>
      <c r="M894" s="16"/>
      <c r="N894" s="16"/>
      <c r="O894" s="16"/>
      <c r="P894" s="16"/>
      <c r="Q894" s="16"/>
      <c r="R894" s="16"/>
      <c r="S894" s="16"/>
      <c r="T894" s="16"/>
      <c r="U894" s="16"/>
      <c r="V894" s="16"/>
      <c r="W894" s="16"/>
      <c r="X894" s="16"/>
      <c r="Y894" s="16"/>
      <c r="Z894" s="16"/>
    </row>
    <row r="895">
      <c r="A895" s="16"/>
      <c r="B895" s="16" t="str">
        <f>IFERROR(__xludf.DUMMYFUNCTION("""COMPUTED_VALUE"""),"")</f>
        <v/>
      </c>
      <c r="C895" s="16" t="str">
        <f>IFERROR(__xludf.DUMMYFUNCTION("""COMPUTED_VALUE"""),"")</f>
        <v/>
      </c>
      <c r="D895" s="16" t="str">
        <f>IFERROR(__xludf.DUMMYFUNCTION("""COMPUTED_VALUE"""),"")</f>
        <v/>
      </c>
      <c r="E895" s="16" t="str">
        <f>IFERROR(__xludf.DUMMYFUNCTION("""COMPUTED_VALUE"""),"")</f>
        <v/>
      </c>
      <c r="F895" s="16" t="str">
        <f>IFERROR(__xludf.DUMMYFUNCTION("""COMPUTED_VALUE"""),"")</f>
        <v/>
      </c>
      <c r="G895" s="16" t="str">
        <f>IFERROR(__xludf.DUMMYFUNCTION("""COMPUTED_VALUE"""),"")</f>
        <v/>
      </c>
      <c r="H895" s="16"/>
      <c r="I895" s="16"/>
      <c r="J895" s="16"/>
      <c r="K895" s="16"/>
      <c r="L895" s="16"/>
      <c r="M895" s="16"/>
      <c r="N895" s="16"/>
      <c r="O895" s="16"/>
      <c r="P895" s="16"/>
      <c r="Q895" s="16"/>
      <c r="R895" s="16"/>
      <c r="S895" s="16"/>
      <c r="T895" s="16"/>
      <c r="U895" s="16"/>
      <c r="V895" s="16"/>
      <c r="W895" s="16"/>
      <c r="X895" s="16"/>
      <c r="Y895" s="16"/>
      <c r="Z895" s="16"/>
    </row>
    <row r="896">
      <c r="A896" s="16"/>
      <c r="B896" s="16" t="str">
        <f>IFERROR(__xludf.DUMMYFUNCTION("""COMPUTED_VALUE"""),"")</f>
        <v/>
      </c>
      <c r="C896" s="16" t="str">
        <f>IFERROR(__xludf.DUMMYFUNCTION("""COMPUTED_VALUE"""),"")</f>
        <v/>
      </c>
      <c r="D896" s="16" t="str">
        <f>IFERROR(__xludf.DUMMYFUNCTION("""COMPUTED_VALUE"""),"")</f>
        <v/>
      </c>
      <c r="E896" s="16" t="str">
        <f>IFERROR(__xludf.DUMMYFUNCTION("""COMPUTED_VALUE"""),"")</f>
        <v/>
      </c>
      <c r="F896" s="16" t="str">
        <f>IFERROR(__xludf.DUMMYFUNCTION("""COMPUTED_VALUE"""),"")</f>
        <v/>
      </c>
      <c r="G896" s="16" t="str">
        <f>IFERROR(__xludf.DUMMYFUNCTION("""COMPUTED_VALUE"""),"")</f>
        <v/>
      </c>
      <c r="H896" s="16"/>
      <c r="I896" s="16"/>
      <c r="J896" s="16"/>
      <c r="K896" s="16"/>
      <c r="L896" s="16"/>
      <c r="M896" s="16"/>
      <c r="N896" s="16"/>
      <c r="O896" s="16"/>
      <c r="P896" s="16"/>
      <c r="Q896" s="16"/>
      <c r="R896" s="16"/>
      <c r="S896" s="16"/>
      <c r="T896" s="16"/>
      <c r="U896" s="16"/>
      <c r="V896" s="16"/>
      <c r="W896" s="16"/>
      <c r="X896" s="16"/>
      <c r="Y896" s="16"/>
      <c r="Z896" s="16"/>
    </row>
    <row r="897">
      <c r="A897" s="16"/>
      <c r="B897" s="16" t="str">
        <f>IFERROR(__xludf.DUMMYFUNCTION("""COMPUTED_VALUE"""),"")</f>
        <v/>
      </c>
      <c r="C897" s="16" t="str">
        <f>IFERROR(__xludf.DUMMYFUNCTION("""COMPUTED_VALUE"""),"")</f>
        <v/>
      </c>
      <c r="D897" s="16" t="str">
        <f>IFERROR(__xludf.DUMMYFUNCTION("""COMPUTED_VALUE"""),"")</f>
        <v/>
      </c>
      <c r="E897" s="16" t="str">
        <f>IFERROR(__xludf.DUMMYFUNCTION("""COMPUTED_VALUE"""),"")</f>
        <v/>
      </c>
      <c r="F897" s="16" t="str">
        <f>IFERROR(__xludf.DUMMYFUNCTION("""COMPUTED_VALUE"""),"")</f>
        <v/>
      </c>
      <c r="G897" s="16" t="str">
        <f>IFERROR(__xludf.DUMMYFUNCTION("""COMPUTED_VALUE"""),"")</f>
        <v/>
      </c>
      <c r="H897" s="16"/>
      <c r="I897" s="16"/>
      <c r="J897" s="16"/>
      <c r="K897" s="16"/>
      <c r="L897" s="16"/>
      <c r="M897" s="16"/>
      <c r="N897" s="16"/>
      <c r="O897" s="16"/>
      <c r="P897" s="16"/>
      <c r="Q897" s="16"/>
      <c r="R897" s="16"/>
      <c r="S897" s="16"/>
      <c r="T897" s="16"/>
      <c r="U897" s="16"/>
      <c r="V897" s="16"/>
      <c r="W897" s="16"/>
      <c r="X897" s="16"/>
      <c r="Y897" s="16"/>
      <c r="Z897" s="16"/>
    </row>
    <row r="898">
      <c r="A898" s="16"/>
      <c r="B898" s="16" t="str">
        <f>IFERROR(__xludf.DUMMYFUNCTION("""COMPUTED_VALUE"""),"")</f>
        <v/>
      </c>
      <c r="C898" s="16" t="str">
        <f>IFERROR(__xludf.DUMMYFUNCTION("""COMPUTED_VALUE"""),"")</f>
        <v/>
      </c>
      <c r="D898" s="16" t="str">
        <f>IFERROR(__xludf.DUMMYFUNCTION("""COMPUTED_VALUE"""),"")</f>
        <v/>
      </c>
      <c r="E898" s="16" t="str">
        <f>IFERROR(__xludf.DUMMYFUNCTION("""COMPUTED_VALUE"""),"")</f>
        <v/>
      </c>
      <c r="F898" s="16" t="str">
        <f>IFERROR(__xludf.DUMMYFUNCTION("""COMPUTED_VALUE"""),"")</f>
        <v/>
      </c>
      <c r="G898" s="16" t="str">
        <f>IFERROR(__xludf.DUMMYFUNCTION("""COMPUTED_VALUE"""),"")</f>
        <v/>
      </c>
      <c r="H898" s="16"/>
      <c r="I898" s="16"/>
      <c r="J898" s="16"/>
      <c r="K898" s="16"/>
      <c r="L898" s="16"/>
      <c r="M898" s="16"/>
      <c r="N898" s="16"/>
      <c r="O898" s="16"/>
      <c r="P898" s="16"/>
      <c r="Q898" s="16"/>
      <c r="R898" s="16"/>
      <c r="S898" s="16"/>
      <c r="T898" s="16"/>
      <c r="U898" s="16"/>
      <c r="V898" s="16"/>
      <c r="W898" s="16"/>
      <c r="X898" s="16"/>
      <c r="Y898" s="16"/>
      <c r="Z898" s="16"/>
    </row>
    <row r="899">
      <c r="A899" s="16"/>
      <c r="B899" s="16" t="str">
        <f>IFERROR(__xludf.DUMMYFUNCTION("""COMPUTED_VALUE"""),"")</f>
        <v/>
      </c>
      <c r="C899" s="16" t="str">
        <f>IFERROR(__xludf.DUMMYFUNCTION("""COMPUTED_VALUE"""),"")</f>
        <v/>
      </c>
      <c r="D899" s="16" t="str">
        <f>IFERROR(__xludf.DUMMYFUNCTION("""COMPUTED_VALUE"""),"")</f>
        <v/>
      </c>
      <c r="E899" s="16" t="str">
        <f>IFERROR(__xludf.DUMMYFUNCTION("""COMPUTED_VALUE"""),"")</f>
        <v/>
      </c>
      <c r="F899" s="16" t="str">
        <f>IFERROR(__xludf.DUMMYFUNCTION("""COMPUTED_VALUE"""),"")</f>
        <v/>
      </c>
      <c r="G899" s="16" t="str">
        <f>IFERROR(__xludf.DUMMYFUNCTION("""COMPUTED_VALUE"""),"")</f>
        <v/>
      </c>
      <c r="H899" s="16"/>
      <c r="I899" s="16"/>
      <c r="J899" s="16"/>
      <c r="K899" s="16"/>
      <c r="L899" s="16"/>
      <c r="M899" s="16"/>
      <c r="N899" s="16"/>
      <c r="O899" s="16"/>
      <c r="P899" s="16"/>
      <c r="Q899" s="16"/>
      <c r="R899" s="16"/>
      <c r="S899" s="16"/>
      <c r="T899" s="16"/>
      <c r="U899" s="16"/>
      <c r="V899" s="16"/>
      <c r="W899" s="16"/>
      <c r="X899" s="16"/>
      <c r="Y899" s="16"/>
      <c r="Z899" s="16"/>
    </row>
    <row r="900">
      <c r="A900" s="16"/>
      <c r="B900" s="16" t="str">
        <f>IFERROR(__xludf.DUMMYFUNCTION("""COMPUTED_VALUE"""),"")</f>
        <v/>
      </c>
      <c r="C900" s="16" t="str">
        <f>IFERROR(__xludf.DUMMYFUNCTION("""COMPUTED_VALUE"""),"")</f>
        <v/>
      </c>
      <c r="D900" s="16" t="str">
        <f>IFERROR(__xludf.DUMMYFUNCTION("""COMPUTED_VALUE"""),"")</f>
        <v/>
      </c>
      <c r="E900" s="16" t="str">
        <f>IFERROR(__xludf.DUMMYFUNCTION("""COMPUTED_VALUE"""),"")</f>
        <v/>
      </c>
      <c r="F900" s="16" t="str">
        <f>IFERROR(__xludf.DUMMYFUNCTION("""COMPUTED_VALUE"""),"")</f>
        <v/>
      </c>
      <c r="G900" s="16" t="str">
        <f>IFERROR(__xludf.DUMMYFUNCTION("""COMPUTED_VALUE"""),"")</f>
        <v/>
      </c>
      <c r="H900" s="16"/>
      <c r="I900" s="16"/>
      <c r="J900" s="16"/>
      <c r="K900" s="16"/>
      <c r="L900" s="16"/>
      <c r="M900" s="16"/>
      <c r="N900" s="16"/>
      <c r="O900" s="16"/>
      <c r="P900" s="16"/>
      <c r="Q900" s="16"/>
      <c r="R900" s="16"/>
      <c r="S900" s="16"/>
      <c r="T900" s="16"/>
      <c r="U900" s="16"/>
      <c r="V900" s="16"/>
      <c r="W900" s="16"/>
      <c r="X900" s="16"/>
      <c r="Y900" s="16"/>
      <c r="Z900" s="16"/>
    </row>
    <row r="901">
      <c r="A901" s="16"/>
      <c r="B901" s="16" t="str">
        <f>IFERROR(__xludf.DUMMYFUNCTION("""COMPUTED_VALUE"""),"")</f>
        <v/>
      </c>
      <c r="C901" s="16" t="str">
        <f>IFERROR(__xludf.DUMMYFUNCTION("""COMPUTED_VALUE"""),"")</f>
        <v/>
      </c>
      <c r="D901" s="16" t="str">
        <f>IFERROR(__xludf.DUMMYFUNCTION("""COMPUTED_VALUE"""),"")</f>
        <v/>
      </c>
      <c r="E901" s="16" t="str">
        <f>IFERROR(__xludf.DUMMYFUNCTION("""COMPUTED_VALUE"""),"")</f>
        <v/>
      </c>
      <c r="F901" s="16" t="str">
        <f>IFERROR(__xludf.DUMMYFUNCTION("""COMPUTED_VALUE"""),"")</f>
        <v/>
      </c>
      <c r="G901" s="16" t="str">
        <f>IFERROR(__xludf.DUMMYFUNCTION("""COMPUTED_VALUE"""),"")</f>
        <v/>
      </c>
      <c r="H901" s="16"/>
      <c r="I901" s="16"/>
      <c r="J901" s="16"/>
      <c r="K901" s="16"/>
      <c r="L901" s="16"/>
      <c r="M901" s="16"/>
      <c r="N901" s="16"/>
      <c r="O901" s="16"/>
      <c r="P901" s="16"/>
      <c r="Q901" s="16"/>
      <c r="R901" s="16"/>
      <c r="S901" s="16"/>
      <c r="T901" s="16"/>
      <c r="U901" s="16"/>
      <c r="V901" s="16"/>
      <c r="W901" s="16"/>
      <c r="X901" s="16"/>
      <c r="Y901" s="16"/>
      <c r="Z901" s="16"/>
    </row>
    <row r="902">
      <c r="A902" s="16"/>
      <c r="B902" s="16" t="str">
        <f>IFERROR(__xludf.DUMMYFUNCTION("""COMPUTED_VALUE"""),"")</f>
        <v/>
      </c>
      <c r="C902" s="16" t="str">
        <f>IFERROR(__xludf.DUMMYFUNCTION("""COMPUTED_VALUE"""),"")</f>
        <v/>
      </c>
      <c r="D902" s="16" t="str">
        <f>IFERROR(__xludf.DUMMYFUNCTION("""COMPUTED_VALUE"""),"")</f>
        <v/>
      </c>
      <c r="E902" s="16" t="str">
        <f>IFERROR(__xludf.DUMMYFUNCTION("""COMPUTED_VALUE"""),"")</f>
        <v/>
      </c>
      <c r="F902" s="16" t="str">
        <f>IFERROR(__xludf.DUMMYFUNCTION("""COMPUTED_VALUE"""),"")</f>
        <v/>
      </c>
      <c r="G902" s="16" t="str">
        <f>IFERROR(__xludf.DUMMYFUNCTION("""COMPUTED_VALUE"""),"")</f>
        <v/>
      </c>
      <c r="H902" s="16"/>
      <c r="I902" s="16"/>
      <c r="J902" s="16"/>
      <c r="K902" s="16"/>
      <c r="L902" s="16"/>
      <c r="M902" s="16"/>
      <c r="N902" s="16"/>
      <c r="O902" s="16"/>
      <c r="P902" s="16"/>
      <c r="Q902" s="16"/>
      <c r="R902" s="16"/>
      <c r="S902" s="16"/>
      <c r="T902" s="16"/>
      <c r="U902" s="16"/>
      <c r="V902" s="16"/>
      <c r="W902" s="16"/>
      <c r="X902" s="16"/>
      <c r="Y902" s="16"/>
      <c r="Z902" s="16"/>
    </row>
    <row r="903">
      <c r="A903" s="16"/>
      <c r="B903" s="16" t="str">
        <f>IFERROR(__xludf.DUMMYFUNCTION("""COMPUTED_VALUE"""),"")</f>
        <v/>
      </c>
      <c r="C903" s="16" t="str">
        <f>IFERROR(__xludf.DUMMYFUNCTION("""COMPUTED_VALUE"""),"")</f>
        <v/>
      </c>
      <c r="D903" s="16" t="str">
        <f>IFERROR(__xludf.DUMMYFUNCTION("""COMPUTED_VALUE"""),"")</f>
        <v/>
      </c>
      <c r="E903" s="16" t="str">
        <f>IFERROR(__xludf.DUMMYFUNCTION("""COMPUTED_VALUE"""),"")</f>
        <v/>
      </c>
      <c r="F903" s="16" t="str">
        <f>IFERROR(__xludf.DUMMYFUNCTION("""COMPUTED_VALUE"""),"")</f>
        <v/>
      </c>
      <c r="G903" s="16" t="str">
        <f>IFERROR(__xludf.DUMMYFUNCTION("""COMPUTED_VALUE"""),"")</f>
        <v/>
      </c>
      <c r="H903" s="16"/>
      <c r="I903" s="16"/>
      <c r="J903" s="16"/>
      <c r="K903" s="16"/>
      <c r="L903" s="16"/>
      <c r="M903" s="16"/>
      <c r="N903" s="16"/>
      <c r="O903" s="16"/>
      <c r="P903" s="16"/>
      <c r="Q903" s="16"/>
      <c r="R903" s="16"/>
      <c r="S903" s="16"/>
      <c r="T903" s="16"/>
      <c r="U903" s="16"/>
      <c r="V903" s="16"/>
      <c r="W903" s="16"/>
      <c r="X903" s="16"/>
      <c r="Y903" s="16"/>
      <c r="Z903" s="16"/>
    </row>
    <row r="904">
      <c r="A904" s="16"/>
      <c r="B904" s="16" t="str">
        <f>IFERROR(__xludf.DUMMYFUNCTION("""COMPUTED_VALUE"""),"")</f>
        <v/>
      </c>
      <c r="C904" s="16" t="str">
        <f>IFERROR(__xludf.DUMMYFUNCTION("""COMPUTED_VALUE"""),"")</f>
        <v/>
      </c>
      <c r="D904" s="16" t="str">
        <f>IFERROR(__xludf.DUMMYFUNCTION("""COMPUTED_VALUE"""),"")</f>
        <v/>
      </c>
      <c r="E904" s="16" t="str">
        <f>IFERROR(__xludf.DUMMYFUNCTION("""COMPUTED_VALUE"""),"")</f>
        <v/>
      </c>
      <c r="F904" s="16" t="str">
        <f>IFERROR(__xludf.DUMMYFUNCTION("""COMPUTED_VALUE"""),"")</f>
        <v/>
      </c>
      <c r="G904" s="16" t="str">
        <f>IFERROR(__xludf.DUMMYFUNCTION("""COMPUTED_VALUE"""),"")</f>
        <v/>
      </c>
      <c r="H904" s="16"/>
      <c r="I904" s="16"/>
      <c r="J904" s="16"/>
      <c r="K904" s="16"/>
      <c r="L904" s="16"/>
      <c r="M904" s="16"/>
      <c r="N904" s="16"/>
      <c r="O904" s="16"/>
      <c r="P904" s="16"/>
      <c r="Q904" s="16"/>
      <c r="R904" s="16"/>
      <c r="S904" s="16"/>
      <c r="T904" s="16"/>
      <c r="U904" s="16"/>
      <c r="V904" s="16"/>
      <c r="W904" s="16"/>
      <c r="X904" s="16"/>
      <c r="Y904" s="16"/>
      <c r="Z904" s="16"/>
    </row>
    <row r="905">
      <c r="A905" s="16"/>
      <c r="B905" s="16" t="str">
        <f>IFERROR(__xludf.DUMMYFUNCTION("""COMPUTED_VALUE"""),"")</f>
        <v/>
      </c>
      <c r="C905" s="16" t="str">
        <f>IFERROR(__xludf.DUMMYFUNCTION("""COMPUTED_VALUE"""),"")</f>
        <v/>
      </c>
      <c r="D905" s="16" t="str">
        <f>IFERROR(__xludf.DUMMYFUNCTION("""COMPUTED_VALUE"""),"")</f>
        <v/>
      </c>
      <c r="E905" s="16" t="str">
        <f>IFERROR(__xludf.DUMMYFUNCTION("""COMPUTED_VALUE"""),"")</f>
        <v/>
      </c>
      <c r="F905" s="16" t="str">
        <f>IFERROR(__xludf.DUMMYFUNCTION("""COMPUTED_VALUE"""),"")</f>
        <v/>
      </c>
      <c r="G905" s="16" t="str">
        <f>IFERROR(__xludf.DUMMYFUNCTION("""COMPUTED_VALUE"""),"")</f>
        <v/>
      </c>
      <c r="H905" s="16"/>
      <c r="I905" s="16"/>
      <c r="J905" s="16"/>
      <c r="K905" s="16"/>
      <c r="L905" s="16"/>
      <c r="M905" s="16"/>
      <c r="N905" s="16"/>
      <c r="O905" s="16"/>
      <c r="P905" s="16"/>
      <c r="Q905" s="16"/>
      <c r="R905" s="16"/>
      <c r="S905" s="16"/>
      <c r="T905" s="16"/>
      <c r="U905" s="16"/>
      <c r="V905" s="16"/>
      <c r="W905" s="16"/>
      <c r="X905" s="16"/>
      <c r="Y905" s="16"/>
      <c r="Z905" s="16"/>
    </row>
    <row r="906">
      <c r="A906" s="16"/>
      <c r="B906" s="16" t="str">
        <f>IFERROR(__xludf.DUMMYFUNCTION("""COMPUTED_VALUE"""),"")</f>
        <v/>
      </c>
      <c r="C906" s="16" t="str">
        <f>IFERROR(__xludf.DUMMYFUNCTION("""COMPUTED_VALUE"""),"")</f>
        <v/>
      </c>
      <c r="D906" s="16" t="str">
        <f>IFERROR(__xludf.DUMMYFUNCTION("""COMPUTED_VALUE"""),"")</f>
        <v/>
      </c>
      <c r="E906" s="16" t="str">
        <f>IFERROR(__xludf.DUMMYFUNCTION("""COMPUTED_VALUE"""),"")</f>
        <v/>
      </c>
      <c r="F906" s="16" t="str">
        <f>IFERROR(__xludf.DUMMYFUNCTION("""COMPUTED_VALUE"""),"")</f>
        <v/>
      </c>
      <c r="G906" s="16" t="str">
        <f>IFERROR(__xludf.DUMMYFUNCTION("""COMPUTED_VALUE"""),"")</f>
        <v/>
      </c>
      <c r="H906" s="16"/>
      <c r="I906" s="16"/>
      <c r="J906" s="16"/>
      <c r="K906" s="16"/>
      <c r="L906" s="16"/>
      <c r="M906" s="16"/>
      <c r="N906" s="16"/>
      <c r="O906" s="16"/>
      <c r="P906" s="16"/>
      <c r="Q906" s="16"/>
      <c r="R906" s="16"/>
      <c r="S906" s="16"/>
      <c r="T906" s="16"/>
      <c r="U906" s="16"/>
      <c r="V906" s="16"/>
      <c r="W906" s="16"/>
      <c r="X906" s="16"/>
      <c r="Y906" s="16"/>
      <c r="Z906" s="16"/>
    </row>
    <row r="907">
      <c r="A907" s="16"/>
      <c r="B907" s="16" t="str">
        <f>IFERROR(__xludf.DUMMYFUNCTION("""COMPUTED_VALUE"""),"")</f>
        <v/>
      </c>
      <c r="C907" s="16" t="str">
        <f>IFERROR(__xludf.DUMMYFUNCTION("""COMPUTED_VALUE"""),"")</f>
        <v/>
      </c>
      <c r="D907" s="16" t="str">
        <f>IFERROR(__xludf.DUMMYFUNCTION("""COMPUTED_VALUE"""),"")</f>
        <v/>
      </c>
      <c r="E907" s="16" t="str">
        <f>IFERROR(__xludf.DUMMYFUNCTION("""COMPUTED_VALUE"""),"")</f>
        <v/>
      </c>
      <c r="F907" s="16" t="str">
        <f>IFERROR(__xludf.DUMMYFUNCTION("""COMPUTED_VALUE"""),"")</f>
        <v/>
      </c>
      <c r="G907" s="16" t="str">
        <f>IFERROR(__xludf.DUMMYFUNCTION("""COMPUTED_VALUE"""),"")</f>
        <v/>
      </c>
      <c r="H907" s="16"/>
      <c r="I907" s="16"/>
      <c r="J907" s="16"/>
      <c r="K907" s="16"/>
      <c r="L907" s="16"/>
      <c r="M907" s="16"/>
      <c r="N907" s="16"/>
      <c r="O907" s="16"/>
      <c r="P907" s="16"/>
      <c r="Q907" s="16"/>
      <c r="R907" s="16"/>
      <c r="S907" s="16"/>
      <c r="T907" s="16"/>
      <c r="U907" s="16"/>
      <c r="V907" s="16"/>
      <c r="W907" s="16"/>
      <c r="X907" s="16"/>
      <c r="Y907" s="16"/>
      <c r="Z907" s="16"/>
    </row>
    <row r="908">
      <c r="A908" s="16"/>
      <c r="B908" s="16" t="str">
        <f>IFERROR(__xludf.DUMMYFUNCTION("""COMPUTED_VALUE"""),"")</f>
        <v/>
      </c>
      <c r="C908" s="16" t="str">
        <f>IFERROR(__xludf.DUMMYFUNCTION("""COMPUTED_VALUE"""),"")</f>
        <v/>
      </c>
      <c r="D908" s="16" t="str">
        <f>IFERROR(__xludf.DUMMYFUNCTION("""COMPUTED_VALUE"""),"")</f>
        <v/>
      </c>
      <c r="E908" s="16" t="str">
        <f>IFERROR(__xludf.DUMMYFUNCTION("""COMPUTED_VALUE"""),"")</f>
        <v/>
      </c>
      <c r="F908" s="16" t="str">
        <f>IFERROR(__xludf.DUMMYFUNCTION("""COMPUTED_VALUE"""),"")</f>
        <v/>
      </c>
      <c r="G908" s="16" t="str">
        <f>IFERROR(__xludf.DUMMYFUNCTION("""COMPUTED_VALUE"""),"")</f>
        <v/>
      </c>
      <c r="H908" s="16"/>
      <c r="I908" s="16"/>
      <c r="J908" s="16"/>
      <c r="K908" s="16"/>
      <c r="L908" s="16"/>
      <c r="M908" s="16"/>
      <c r="N908" s="16"/>
      <c r="O908" s="16"/>
      <c r="P908" s="16"/>
      <c r="Q908" s="16"/>
      <c r="R908" s="16"/>
      <c r="S908" s="16"/>
      <c r="T908" s="16"/>
      <c r="U908" s="16"/>
      <c r="V908" s="16"/>
      <c r="W908" s="16"/>
      <c r="X908" s="16"/>
      <c r="Y908" s="16"/>
      <c r="Z908" s="16"/>
    </row>
    <row r="909">
      <c r="A909" s="16"/>
      <c r="B909" s="16" t="str">
        <f>IFERROR(__xludf.DUMMYFUNCTION("""COMPUTED_VALUE"""),"")</f>
        <v/>
      </c>
      <c r="C909" s="16" t="str">
        <f>IFERROR(__xludf.DUMMYFUNCTION("""COMPUTED_VALUE"""),"")</f>
        <v/>
      </c>
      <c r="D909" s="16" t="str">
        <f>IFERROR(__xludf.DUMMYFUNCTION("""COMPUTED_VALUE"""),"")</f>
        <v/>
      </c>
      <c r="E909" s="16" t="str">
        <f>IFERROR(__xludf.DUMMYFUNCTION("""COMPUTED_VALUE"""),"")</f>
        <v/>
      </c>
      <c r="F909" s="16" t="str">
        <f>IFERROR(__xludf.DUMMYFUNCTION("""COMPUTED_VALUE"""),"")</f>
        <v/>
      </c>
      <c r="G909" s="16" t="str">
        <f>IFERROR(__xludf.DUMMYFUNCTION("""COMPUTED_VALUE"""),"")</f>
        <v/>
      </c>
      <c r="H909" s="16"/>
      <c r="I909" s="16"/>
      <c r="J909" s="16"/>
      <c r="K909" s="16"/>
      <c r="L909" s="16"/>
      <c r="M909" s="16"/>
      <c r="N909" s="16"/>
      <c r="O909" s="16"/>
      <c r="P909" s="16"/>
      <c r="Q909" s="16"/>
      <c r="R909" s="16"/>
      <c r="S909" s="16"/>
      <c r="T909" s="16"/>
      <c r="U909" s="16"/>
      <c r="V909" s="16"/>
      <c r="W909" s="16"/>
      <c r="X909" s="16"/>
      <c r="Y909" s="16"/>
      <c r="Z909" s="16"/>
    </row>
    <row r="910">
      <c r="A910" s="16"/>
      <c r="B910" s="16" t="str">
        <f>IFERROR(__xludf.DUMMYFUNCTION("""COMPUTED_VALUE"""),"")</f>
        <v/>
      </c>
      <c r="C910" s="16" t="str">
        <f>IFERROR(__xludf.DUMMYFUNCTION("""COMPUTED_VALUE"""),"")</f>
        <v/>
      </c>
      <c r="D910" s="16" t="str">
        <f>IFERROR(__xludf.DUMMYFUNCTION("""COMPUTED_VALUE"""),"")</f>
        <v/>
      </c>
      <c r="E910" s="16" t="str">
        <f>IFERROR(__xludf.DUMMYFUNCTION("""COMPUTED_VALUE"""),"")</f>
        <v/>
      </c>
      <c r="F910" s="16" t="str">
        <f>IFERROR(__xludf.DUMMYFUNCTION("""COMPUTED_VALUE"""),"")</f>
        <v/>
      </c>
      <c r="G910" s="16" t="str">
        <f>IFERROR(__xludf.DUMMYFUNCTION("""COMPUTED_VALUE"""),"")</f>
        <v/>
      </c>
      <c r="H910" s="16"/>
      <c r="I910" s="16"/>
      <c r="J910" s="16"/>
      <c r="K910" s="16"/>
      <c r="L910" s="16"/>
      <c r="M910" s="16"/>
      <c r="N910" s="16"/>
      <c r="O910" s="16"/>
      <c r="P910" s="16"/>
      <c r="Q910" s="16"/>
      <c r="R910" s="16"/>
      <c r="S910" s="16"/>
      <c r="T910" s="16"/>
      <c r="U910" s="16"/>
      <c r="V910" s="16"/>
      <c r="W910" s="16"/>
      <c r="X910" s="16"/>
      <c r="Y910" s="16"/>
      <c r="Z910" s="16"/>
    </row>
    <row r="911">
      <c r="A911" s="16"/>
      <c r="B911" s="16" t="str">
        <f>IFERROR(__xludf.DUMMYFUNCTION("""COMPUTED_VALUE"""),"")</f>
        <v/>
      </c>
      <c r="C911" s="16" t="str">
        <f>IFERROR(__xludf.DUMMYFUNCTION("""COMPUTED_VALUE"""),"")</f>
        <v/>
      </c>
      <c r="D911" s="16" t="str">
        <f>IFERROR(__xludf.DUMMYFUNCTION("""COMPUTED_VALUE"""),"")</f>
        <v/>
      </c>
      <c r="E911" s="16" t="str">
        <f>IFERROR(__xludf.DUMMYFUNCTION("""COMPUTED_VALUE"""),"")</f>
        <v/>
      </c>
      <c r="F911" s="16" t="str">
        <f>IFERROR(__xludf.DUMMYFUNCTION("""COMPUTED_VALUE"""),"")</f>
        <v/>
      </c>
      <c r="G911" s="16" t="str">
        <f>IFERROR(__xludf.DUMMYFUNCTION("""COMPUTED_VALUE"""),"")</f>
        <v/>
      </c>
      <c r="H911" s="16"/>
      <c r="I911" s="16"/>
      <c r="J911" s="16"/>
      <c r="K911" s="16"/>
      <c r="L911" s="16"/>
      <c r="M911" s="16"/>
      <c r="N911" s="16"/>
      <c r="O911" s="16"/>
      <c r="P911" s="16"/>
      <c r="Q911" s="16"/>
      <c r="R911" s="16"/>
      <c r="S911" s="16"/>
      <c r="T911" s="16"/>
      <c r="U911" s="16"/>
      <c r="V911" s="16"/>
      <c r="W911" s="16"/>
      <c r="X911" s="16"/>
      <c r="Y911" s="16"/>
      <c r="Z911" s="16"/>
    </row>
    <row r="912">
      <c r="A912" s="16"/>
      <c r="B912" s="16" t="str">
        <f>IFERROR(__xludf.DUMMYFUNCTION("""COMPUTED_VALUE"""),"")</f>
        <v/>
      </c>
      <c r="C912" s="16" t="str">
        <f>IFERROR(__xludf.DUMMYFUNCTION("""COMPUTED_VALUE"""),"")</f>
        <v/>
      </c>
      <c r="D912" s="16" t="str">
        <f>IFERROR(__xludf.DUMMYFUNCTION("""COMPUTED_VALUE"""),"")</f>
        <v/>
      </c>
      <c r="E912" s="16" t="str">
        <f>IFERROR(__xludf.DUMMYFUNCTION("""COMPUTED_VALUE"""),"")</f>
        <v/>
      </c>
      <c r="F912" s="16" t="str">
        <f>IFERROR(__xludf.DUMMYFUNCTION("""COMPUTED_VALUE"""),"")</f>
        <v/>
      </c>
      <c r="G912" s="16" t="str">
        <f>IFERROR(__xludf.DUMMYFUNCTION("""COMPUTED_VALUE"""),"")</f>
        <v/>
      </c>
      <c r="H912" s="16"/>
      <c r="I912" s="16"/>
      <c r="J912" s="16"/>
      <c r="K912" s="16"/>
      <c r="L912" s="16"/>
      <c r="M912" s="16"/>
      <c r="N912" s="16"/>
      <c r="O912" s="16"/>
      <c r="P912" s="16"/>
      <c r="Q912" s="16"/>
      <c r="R912" s="16"/>
      <c r="S912" s="16"/>
      <c r="T912" s="16"/>
      <c r="U912" s="16"/>
      <c r="V912" s="16"/>
      <c r="W912" s="16"/>
      <c r="X912" s="16"/>
      <c r="Y912" s="16"/>
      <c r="Z912" s="16"/>
    </row>
    <row r="913">
      <c r="A913" s="16"/>
      <c r="B913" s="16" t="str">
        <f>IFERROR(__xludf.DUMMYFUNCTION("""COMPUTED_VALUE"""),"")</f>
        <v/>
      </c>
      <c r="C913" s="16" t="str">
        <f>IFERROR(__xludf.DUMMYFUNCTION("""COMPUTED_VALUE"""),"")</f>
        <v/>
      </c>
      <c r="D913" s="16" t="str">
        <f>IFERROR(__xludf.DUMMYFUNCTION("""COMPUTED_VALUE"""),"")</f>
        <v/>
      </c>
      <c r="E913" s="16" t="str">
        <f>IFERROR(__xludf.DUMMYFUNCTION("""COMPUTED_VALUE"""),"")</f>
        <v/>
      </c>
      <c r="F913" s="16" t="str">
        <f>IFERROR(__xludf.DUMMYFUNCTION("""COMPUTED_VALUE"""),"")</f>
        <v/>
      </c>
      <c r="G913" s="16" t="str">
        <f>IFERROR(__xludf.DUMMYFUNCTION("""COMPUTED_VALUE"""),"")</f>
        <v/>
      </c>
      <c r="H913" s="16"/>
      <c r="I913" s="16"/>
      <c r="J913" s="16"/>
      <c r="K913" s="16"/>
      <c r="L913" s="16"/>
      <c r="M913" s="16"/>
      <c r="N913" s="16"/>
      <c r="O913" s="16"/>
      <c r="P913" s="16"/>
      <c r="Q913" s="16"/>
      <c r="R913" s="16"/>
      <c r="S913" s="16"/>
      <c r="T913" s="16"/>
      <c r="U913" s="16"/>
      <c r="V913" s="16"/>
      <c r="W913" s="16"/>
      <c r="X913" s="16"/>
      <c r="Y913" s="16"/>
      <c r="Z913" s="16"/>
    </row>
    <row r="914">
      <c r="A914" s="16"/>
      <c r="B914" s="16" t="str">
        <f>IFERROR(__xludf.DUMMYFUNCTION("""COMPUTED_VALUE"""),"")</f>
        <v/>
      </c>
      <c r="C914" s="16" t="str">
        <f>IFERROR(__xludf.DUMMYFUNCTION("""COMPUTED_VALUE"""),"")</f>
        <v/>
      </c>
      <c r="D914" s="16" t="str">
        <f>IFERROR(__xludf.DUMMYFUNCTION("""COMPUTED_VALUE"""),"")</f>
        <v/>
      </c>
      <c r="E914" s="16" t="str">
        <f>IFERROR(__xludf.DUMMYFUNCTION("""COMPUTED_VALUE"""),"")</f>
        <v/>
      </c>
      <c r="F914" s="16" t="str">
        <f>IFERROR(__xludf.DUMMYFUNCTION("""COMPUTED_VALUE"""),"")</f>
        <v/>
      </c>
      <c r="G914" s="16" t="str">
        <f>IFERROR(__xludf.DUMMYFUNCTION("""COMPUTED_VALUE"""),"")</f>
        <v/>
      </c>
      <c r="H914" s="16"/>
      <c r="I914" s="16"/>
      <c r="J914" s="16"/>
      <c r="K914" s="16"/>
      <c r="L914" s="16"/>
      <c r="M914" s="16"/>
      <c r="N914" s="16"/>
      <c r="O914" s="16"/>
      <c r="P914" s="16"/>
      <c r="Q914" s="16"/>
      <c r="R914" s="16"/>
      <c r="S914" s="16"/>
      <c r="T914" s="16"/>
      <c r="U914" s="16"/>
      <c r="V914" s="16"/>
      <c r="W914" s="16"/>
      <c r="X914" s="16"/>
      <c r="Y914" s="16"/>
      <c r="Z914" s="16"/>
    </row>
    <row r="915">
      <c r="A915" s="16"/>
      <c r="B915" s="16" t="str">
        <f>IFERROR(__xludf.DUMMYFUNCTION("""COMPUTED_VALUE"""),"")</f>
        <v/>
      </c>
      <c r="C915" s="16" t="str">
        <f>IFERROR(__xludf.DUMMYFUNCTION("""COMPUTED_VALUE"""),"")</f>
        <v/>
      </c>
      <c r="D915" s="16" t="str">
        <f>IFERROR(__xludf.DUMMYFUNCTION("""COMPUTED_VALUE"""),"")</f>
        <v/>
      </c>
      <c r="E915" s="16" t="str">
        <f>IFERROR(__xludf.DUMMYFUNCTION("""COMPUTED_VALUE"""),"")</f>
        <v/>
      </c>
      <c r="F915" s="16" t="str">
        <f>IFERROR(__xludf.DUMMYFUNCTION("""COMPUTED_VALUE"""),"")</f>
        <v/>
      </c>
      <c r="G915" s="16" t="str">
        <f>IFERROR(__xludf.DUMMYFUNCTION("""COMPUTED_VALUE"""),"")</f>
        <v/>
      </c>
      <c r="H915" s="16"/>
      <c r="I915" s="16"/>
      <c r="J915" s="16"/>
      <c r="K915" s="16"/>
      <c r="L915" s="16"/>
      <c r="M915" s="16"/>
      <c r="N915" s="16"/>
      <c r="O915" s="16"/>
      <c r="P915" s="16"/>
      <c r="Q915" s="16"/>
      <c r="R915" s="16"/>
      <c r="S915" s="16"/>
      <c r="T915" s="16"/>
      <c r="U915" s="16"/>
      <c r="V915" s="16"/>
      <c r="W915" s="16"/>
      <c r="X915" s="16"/>
      <c r="Y915" s="16"/>
      <c r="Z915" s="16"/>
    </row>
    <row r="916">
      <c r="A916" s="16"/>
      <c r="B916" s="16" t="str">
        <f>IFERROR(__xludf.DUMMYFUNCTION("""COMPUTED_VALUE"""),"")</f>
        <v/>
      </c>
      <c r="C916" s="16" t="str">
        <f>IFERROR(__xludf.DUMMYFUNCTION("""COMPUTED_VALUE"""),"")</f>
        <v/>
      </c>
      <c r="D916" s="16" t="str">
        <f>IFERROR(__xludf.DUMMYFUNCTION("""COMPUTED_VALUE"""),"")</f>
        <v/>
      </c>
      <c r="E916" s="16" t="str">
        <f>IFERROR(__xludf.DUMMYFUNCTION("""COMPUTED_VALUE"""),"")</f>
        <v/>
      </c>
      <c r="F916" s="16" t="str">
        <f>IFERROR(__xludf.DUMMYFUNCTION("""COMPUTED_VALUE"""),"")</f>
        <v/>
      </c>
      <c r="G916" s="16" t="str">
        <f>IFERROR(__xludf.DUMMYFUNCTION("""COMPUTED_VALUE"""),"")</f>
        <v/>
      </c>
      <c r="H916" s="16"/>
      <c r="I916" s="16"/>
      <c r="J916" s="16"/>
      <c r="K916" s="16"/>
      <c r="L916" s="16"/>
      <c r="M916" s="16"/>
      <c r="N916" s="16"/>
      <c r="O916" s="16"/>
      <c r="P916" s="16"/>
      <c r="Q916" s="16"/>
      <c r="R916" s="16"/>
      <c r="S916" s="16"/>
      <c r="T916" s="16"/>
      <c r="U916" s="16"/>
      <c r="V916" s="16"/>
      <c r="W916" s="16"/>
      <c r="X916" s="16"/>
      <c r="Y916" s="16"/>
      <c r="Z916" s="16"/>
    </row>
    <row r="917">
      <c r="A917" s="16"/>
      <c r="B917" s="16" t="str">
        <f>IFERROR(__xludf.DUMMYFUNCTION("""COMPUTED_VALUE"""),"")</f>
        <v/>
      </c>
      <c r="C917" s="16" t="str">
        <f>IFERROR(__xludf.DUMMYFUNCTION("""COMPUTED_VALUE"""),"")</f>
        <v/>
      </c>
      <c r="D917" s="16" t="str">
        <f>IFERROR(__xludf.DUMMYFUNCTION("""COMPUTED_VALUE"""),"")</f>
        <v/>
      </c>
      <c r="E917" s="16" t="str">
        <f>IFERROR(__xludf.DUMMYFUNCTION("""COMPUTED_VALUE"""),"")</f>
        <v/>
      </c>
      <c r="F917" s="16" t="str">
        <f>IFERROR(__xludf.DUMMYFUNCTION("""COMPUTED_VALUE"""),"")</f>
        <v/>
      </c>
      <c r="G917" s="16" t="str">
        <f>IFERROR(__xludf.DUMMYFUNCTION("""COMPUTED_VALUE"""),"")</f>
        <v/>
      </c>
      <c r="H917" s="16"/>
      <c r="I917" s="16"/>
      <c r="J917" s="16"/>
      <c r="K917" s="16"/>
      <c r="L917" s="16"/>
      <c r="M917" s="16"/>
      <c r="N917" s="16"/>
      <c r="O917" s="16"/>
      <c r="P917" s="16"/>
      <c r="Q917" s="16"/>
      <c r="R917" s="16"/>
      <c r="S917" s="16"/>
      <c r="T917" s="16"/>
      <c r="U917" s="16"/>
      <c r="V917" s="16"/>
      <c r="W917" s="16"/>
      <c r="X917" s="16"/>
      <c r="Y917" s="16"/>
      <c r="Z917" s="16"/>
    </row>
    <row r="918">
      <c r="A918" s="16"/>
      <c r="B918" s="16" t="str">
        <f>IFERROR(__xludf.DUMMYFUNCTION("""COMPUTED_VALUE"""),"")</f>
        <v/>
      </c>
      <c r="C918" s="16" t="str">
        <f>IFERROR(__xludf.DUMMYFUNCTION("""COMPUTED_VALUE"""),"")</f>
        <v/>
      </c>
      <c r="D918" s="16" t="str">
        <f>IFERROR(__xludf.DUMMYFUNCTION("""COMPUTED_VALUE"""),"")</f>
        <v/>
      </c>
      <c r="E918" s="16" t="str">
        <f>IFERROR(__xludf.DUMMYFUNCTION("""COMPUTED_VALUE"""),"")</f>
        <v/>
      </c>
      <c r="F918" s="16" t="str">
        <f>IFERROR(__xludf.DUMMYFUNCTION("""COMPUTED_VALUE"""),"")</f>
        <v/>
      </c>
      <c r="G918" s="16" t="str">
        <f>IFERROR(__xludf.DUMMYFUNCTION("""COMPUTED_VALUE"""),"")</f>
        <v/>
      </c>
      <c r="H918" s="16"/>
      <c r="I918" s="16"/>
      <c r="J918" s="16"/>
      <c r="K918" s="16"/>
      <c r="L918" s="16"/>
      <c r="M918" s="16"/>
      <c r="N918" s="16"/>
      <c r="O918" s="16"/>
      <c r="P918" s="16"/>
      <c r="Q918" s="16"/>
      <c r="R918" s="16"/>
      <c r="S918" s="16"/>
      <c r="T918" s="16"/>
      <c r="U918" s="16"/>
      <c r="V918" s="16"/>
      <c r="W918" s="16"/>
      <c r="X918" s="16"/>
      <c r="Y918" s="16"/>
      <c r="Z918" s="16"/>
    </row>
    <row r="919">
      <c r="A919" s="16"/>
      <c r="B919" s="16" t="str">
        <f>IFERROR(__xludf.DUMMYFUNCTION("""COMPUTED_VALUE"""),"")</f>
        <v/>
      </c>
      <c r="C919" s="16" t="str">
        <f>IFERROR(__xludf.DUMMYFUNCTION("""COMPUTED_VALUE"""),"")</f>
        <v/>
      </c>
      <c r="D919" s="16" t="str">
        <f>IFERROR(__xludf.DUMMYFUNCTION("""COMPUTED_VALUE"""),"")</f>
        <v/>
      </c>
      <c r="E919" s="16" t="str">
        <f>IFERROR(__xludf.DUMMYFUNCTION("""COMPUTED_VALUE"""),"")</f>
        <v/>
      </c>
      <c r="F919" s="16" t="str">
        <f>IFERROR(__xludf.DUMMYFUNCTION("""COMPUTED_VALUE"""),"")</f>
        <v/>
      </c>
      <c r="G919" s="16" t="str">
        <f>IFERROR(__xludf.DUMMYFUNCTION("""COMPUTED_VALUE"""),"")</f>
        <v/>
      </c>
      <c r="H919" s="16"/>
      <c r="I919" s="16"/>
      <c r="J919" s="16"/>
      <c r="K919" s="16"/>
      <c r="L919" s="16"/>
      <c r="M919" s="16"/>
      <c r="N919" s="16"/>
      <c r="O919" s="16"/>
      <c r="P919" s="16"/>
      <c r="Q919" s="16"/>
      <c r="R919" s="16"/>
      <c r="S919" s="16"/>
      <c r="T919" s="16"/>
      <c r="U919" s="16"/>
      <c r="V919" s="16"/>
      <c r="W919" s="16"/>
      <c r="X919" s="16"/>
      <c r="Y919" s="16"/>
      <c r="Z919" s="16"/>
    </row>
    <row r="920">
      <c r="A920" s="16"/>
      <c r="B920" s="16" t="str">
        <f>IFERROR(__xludf.DUMMYFUNCTION("""COMPUTED_VALUE"""),"")</f>
        <v/>
      </c>
      <c r="C920" s="16" t="str">
        <f>IFERROR(__xludf.DUMMYFUNCTION("""COMPUTED_VALUE"""),"")</f>
        <v/>
      </c>
      <c r="D920" s="16" t="str">
        <f>IFERROR(__xludf.DUMMYFUNCTION("""COMPUTED_VALUE"""),"")</f>
        <v/>
      </c>
      <c r="E920" s="16" t="str">
        <f>IFERROR(__xludf.DUMMYFUNCTION("""COMPUTED_VALUE"""),"")</f>
        <v/>
      </c>
      <c r="F920" s="16" t="str">
        <f>IFERROR(__xludf.DUMMYFUNCTION("""COMPUTED_VALUE"""),"")</f>
        <v/>
      </c>
      <c r="G920" s="16" t="str">
        <f>IFERROR(__xludf.DUMMYFUNCTION("""COMPUTED_VALUE"""),"")</f>
        <v/>
      </c>
      <c r="H920" s="16"/>
      <c r="I920" s="16"/>
      <c r="J920" s="16"/>
      <c r="K920" s="16"/>
      <c r="L920" s="16"/>
      <c r="M920" s="16"/>
      <c r="N920" s="16"/>
      <c r="O920" s="16"/>
      <c r="P920" s="16"/>
      <c r="Q920" s="16"/>
      <c r="R920" s="16"/>
      <c r="S920" s="16"/>
      <c r="T920" s="16"/>
      <c r="U920" s="16"/>
      <c r="V920" s="16"/>
      <c r="W920" s="16"/>
      <c r="X920" s="16"/>
      <c r="Y920" s="16"/>
      <c r="Z920" s="16"/>
    </row>
    <row r="921">
      <c r="A921" s="16"/>
      <c r="B921" s="16" t="str">
        <f>IFERROR(__xludf.DUMMYFUNCTION("""COMPUTED_VALUE"""),"")</f>
        <v/>
      </c>
      <c r="C921" s="16" t="str">
        <f>IFERROR(__xludf.DUMMYFUNCTION("""COMPUTED_VALUE"""),"")</f>
        <v/>
      </c>
      <c r="D921" s="16" t="str">
        <f>IFERROR(__xludf.DUMMYFUNCTION("""COMPUTED_VALUE"""),"")</f>
        <v/>
      </c>
      <c r="E921" s="16" t="str">
        <f>IFERROR(__xludf.DUMMYFUNCTION("""COMPUTED_VALUE"""),"")</f>
        <v/>
      </c>
      <c r="F921" s="16" t="str">
        <f>IFERROR(__xludf.DUMMYFUNCTION("""COMPUTED_VALUE"""),"")</f>
        <v/>
      </c>
      <c r="G921" s="16" t="str">
        <f>IFERROR(__xludf.DUMMYFUNCTION("""COMPUTED_VALUE"""),"")</f>
        <v/>
      </c>
      <c r="H921" s="16"/>
      <c r="I921" s="16"/>
      <c r="J921" s="16"/>
      <c r="K921" s="16"/>
      <c r="L921" s="16"/>
      <c r="M921" s="16"/>
      <c r="N921" s="16"/>
      <c r="O921" s="16"/>
      <c r="P921" s="16"/>
      <c r="Q921" s="16"/>
      <c r="R921" s="16"/>
      <c r="S921" s="16"/>
      <c r="T921" s="16"/>
      <c r="U921" s="16"/>
      <c r="V921" s="16"/>
      <c r="W921" s="16"/>
      <c r="X921" s="16"/>
      <c r="Y921" s="16"/>
      <c r="Z921" s="16"/>
    </row>
    <row r="922">
      <c r="A922" s="16"/>
      <c r="B922" s="16" t="str">
        <f>IFERROR(__xludf.DUMMYFUNCTION("""COMPUTED_VALUE"""),"")</f>
        <v/>
      </c>
      <c r="C922" s="16" t="str">
        <f>IFERROR(__xludf.DUMMYFUNCTION("""COMPUTED_VALUE"""),"")</f>
        <v/>
      </c>
      <c r="D922" s="16" t="str">
        <f>IFERROR(__xludf.DUMMYFUNCTION("""COMPUTED_VALUE"""),"")</f>
        <v/>
      </c>
      <c r="E922" s="16" t="str">
        <f>IFERROR(__xludf.DUMMYFUNCTION("""COMPUTED_VALUE"""),"")</f>
        <v/>
      </c>
      <c r="F922" s="16" t="str">
        <f>IFERROR(__xludf.DUMMYFUNCTION("""COMPUTED_VALUE"""),"")</f>
        <v/>
      </c>
      <c r="G922" s="16" t="str">
        <f>IFERROR(__xludf.DUMMYFUNCTION("""COMPUTED_VALUE"""),"")</f>
        <v/>
      </c>
      <c r="H922" s="16"/>
      <c r="I922" s="16"/>
      <c r="J922" s="16"/>
      <c r="K922" s="16"/>
      <c r="L922" s="16"/>
      <c r="M922" s="16"/>
      <c r="N922" s="16"/>
      <c r="O922" s="16"/>
      <c r="P922" s="16"/>
      <c r="Q922" s="16"/>
      <c r="R922" s="16"/>
      <c r="S922" s="16"/>
      <c r="T922" s="16"/>
      <c r="U922" s="16"/>
      <c r="V922" s="16"/>
      <c r="W922" s="16"/>
      <c r="X922" s="16"/>
      <c r="Y922" s="16"/>
      <c r="Z922" s="16"/>
    </row>
    <row r="923">
      <c r="A923" s="16"/>
      <c r="B923" s="16" t="str">
        <f>IFERROR(__xludf.DUMMYFUNCTION("""COMPUTED_VALUE"""),"")</f>
        <v/>
      </c>
      <c r="C923" s="16" t="str">
        <f>IFERROR(__xludf.DUMMYFUNCTION("""COMPUTED_VALUE"""),"")</f>
        <v/>
      </c>
      <c r="D923" s="16" t="str">
        <f>IFERROR(__xludf.DUMMYFUNCTION("""COMPUTED_VALUE"""),"")</f>
        <v/>
      </c>
      <c r="E923" s="16" t="str">
        <f>IFERROR(__xludf.DUMMYFUNCTION("""COMPUTED_VALUE"""),"")</f>
        <v/>
      </c>
      <c r="F923" s="16" t="str">
        <f>IFERROR(__xludf.DUMMYFUNCTION("""COMPUTED_VALUE"""),"")</f>
        <v/>
      </c>
      <c r="G923" s="16" t="str">
        <f>IFERROR(__xludf.DUMMYFUNCTION("""COMPUTED_VALUE"""),"")</f>
        <v/>
      </c>
      <c r="H923" s="16"/>
      <c r="I923" s="16"/>
      <c r="J923" s="16"/>
      <c r="K923" s="16"/>
      <c r="L923" s="16"/>
      <c r="M923" s="16"/>
      <c r="N923" s="16"/>
      <c r="O923" s="16"/>
      <c r="P923" s="16"/>
      <c r="Q923" s="16"/>
      <c r="R923" s="16"/>
      <c r="S923" s="16"/>
      <c r="T923" s="16"/>
      <c r="U923" s="16"/>
      <c r="V923" s="16"/>
      <c r="W923" s="16"/>
      <c r="X923" s="16"/>
      <c r="Y923" s="16"/>
      <c r="Z923" s="16"/>
    </row>
    <row r="924">
      <c r="A924" s="16"/>
      <c r="B924" s="16" t="str">
        <f>IFERROR(__xludf.DUMMYFUNCTION("""COMPUTED_VALUE"""),"")</f>
        <v/>
      </c>
      <c r="C924" s="16" t="str">
        <f>IFERROR(__xludf.DUMMYFUNCTION("""COMPUTED_VALUE"""),"")</f>
        <v/>
      </c>
      <c r="D924" s="16" t="str">
        <f>IFERROR(__xludf.DUMMYFUNCTION("""COMPUTED_VALUE"""),"")</f>
        <v/>
      </c>
      <c r="E924" s="16" t="str">
        <f>IFERROR(__xludf.DUMMYFUNCTION("""COMPUTED_VALUE"""),"")</f>
        <v/>
      </c>
      <c r="F924" s="16" t="str">
        <f>IFERROR(__xludf.DUMMYFUNCTION("""COMPUTED_VALUE"""),"")</f>
        <v/>
      </c>
      <c r="G924" s="16" t="str">
        <f>IFERROR(__xludf.DUMMYFUNCTION("""COMPUTED_VALUE"""),"")</f>
        <v/>
      </c>
      <c r="H924" s="16"/>
      <c r="I924" s="16"/>
      <c r="J924" s="16"/>
      <c r="K924" s="16"/>
      <c r="L924" s="16"/>
      <c r="M924" s="16"/>
      <c r="N924" s="16"/>
      <c r="O924" s="16"/>
      <c r="P924" s="16"/>
      <c r="Q924" s="16"/>
      <c r="R924" s="16"/>
      <c r="S924" s="16"/>
      <c r="T924" s="16"/>
      <c r="U924" s="16"/>
      <c r="V924" s="16"/>
      <c r="W924" s="16"/>
      <c r="X924" s="16"/>
      <c r="Y924" s="16"/>
      <c r="Z924" s="16"/>
    </row>
    <row r="925">
      <c r="A925" s="16"/>
      <c r="B925" s="16" t="str">
        <f>IFERROR(__xludf.DUMMYFUNCTION("""COMPUTED_VALUE"""),"")</f>
        <v/>
      </c>
      <c r="C925" s="16" t="str">
        <f>IFERROR(__xludf.DUMMYFUNCTION("""COMPUTED_VALUE"""),"")</f>
        <v/>
      </c>
      <c r="D925" s="16" t="str">
        <f>IFERROR(__xludf.DUMMYFUNCTION("""COMPUTED_VALUE"""),"")</f>
        <v/>
      </c>
      <c r="E925" s="16" t="str">
        <f>IFERROR(__xludf.DUMMYFUNCTION("""COMPUTED_VALUE"""),"")</f>
        <v/>
      </c>
      <c r="F925" s="16" t="str">
        <f>IFERROR(__xludf.DUMMYFUNCTION("""COMPUTED_VALUE"""),"")</f>
        <v/>
      </c>
      <c r="G925" s="16" t="str">
        <f>IFERROR(__xludf.DUMMYFUNCTION("""COMPUTED_VALUE"""),"")</f>
        <v/>
      </c>
      <c r="H925" s="16"/>
      <c r="I925" s="16"/>
      <c r="J925" s="16"/>
      <c r="K925" s="16"/>
      <c r="L925" s="16"/>
      <c r="M925" s="16"/>
      <c r="N925" s="16"/>
      <c r="O925" s="16"/>
      <c r="P925" s="16"/>
      <c r="Q925" s="16"/>
      <c r="R925" s="16"/>
      <c r="S925" s="16"/>
      <c r="T925" s="16"/>
      <c r="U925" s="16"/>
      <c r="V925" s="16"/>
      <c r="W925" s="16"/>
      <c r="X925" s="16"/>
      <c r="Y925" s="16"/>
      <c r="Z925" s="16"/>
    </row>
    <row r="926">
      <c r="A926" s="16"/>
      <c r="B926" s="16" t="str">
        <f>IFERROR(__xludf.DUMMYFUNCTION("""COMPUTED_VALUE"""),"")</f>
        <v/>
      </c>
      <c r="C926" s="16" t="str">
        <f>IFERROR(__xludf.DUMMYFUNCTION("""COMPUTED_VALUE"""),"")</f>
        <v/>
      </c>
      <c r="D926" s="16" t="str">
        <f>IFERROR(__xludf.DUMMYFUNCTION("""COMPUTED_VALUE"""),"")</f>
        <v/>
      </c>
      <c r="E926" s="16" t="str">
        <f>IFERROR(__xludf.DUMMYFUNCTION("""COMPUTED_VALUE"""),"")</f>
        <v/>
      </c>
      <c r="F926" s="16" t="str">
        <f>IFERROR(__xludf.DUMMYFUNCTION("""COMPUTED_VALUE"""),"")</f>
        <v/>
      </c>
      <c r="G926" s="16" t="str">
        <f>IFERROR(__xludf.DUMMYFUNCTION("""COMPUTED_VALUE"""),"")</f>
        <v/>
      </c>
      <c r="H926" s="16"/>
      <c r="I926" s="16"/>
      <c r="J926" s="16"/>
      <c r="K926" s="16"/>
      <c r="L926" s="16"/>
      <c r="M926" s="16"/>
      <c r="N926" s="16"/>
      <c r="O926" s="16"/>
      <c r="P926" s="16"/>
      <c r="Q926" s="16"/>
      <c r="R926" s="16"/>
      <c r="S926" s="16"/>
      <c r="T926" s="16"/>
      <c r="U926" s="16"/>
      <c r="V926" s="16"/>
      <c r="W926" s="16"/>
      <c r="X926" s="16"/>
      <c r="Y926" s="16"/>
      <c r="Z926" s="16"/>
    </row>
    <row r="927">
      <c r="A927" s="16"/>
      <c r="B927" s="16" t="str">
        <f>IFERROR(__xludf.DUMMYFUNCTION("""COMPUTED_VALUE"""),"")</f>
        <v/>
      </c>
      <c r="C927" s="16" t="str">
        <f>IFERROR(__xludf.DUMMYFUNCTION("""COMPUTED_VALUE"""),"")</f>
        <v/>
      </c>
      <c r="D927" s="16" t="str">
        <f>IFERROR(__xludf.DUMMYFUNCTION("""COMPUTED_VALUE"""),"")</f>
        <v/>
      </c>
      <c r="E927" s="16" t="str">
        <f>IFERROR(__xludf.DUMMYFUNCTION("""COMPUTED_VALUE"""),"")</f>
        <v/>
      </c>
      <c r="F927" s="16" t="str">
        <f>IFERROR(__xludf.DUMMYFUNCTION("""COMPUTED_VALUE"""),"")</f>
        <v/>
      </c>
      <c r="G927" s="16" t="str">
        <f>IFERROR(__xludf.DUMMYFUNCTION("""COMPUTED_VALUE"""),"")</f>
        <v/>
      </c>
      <c r="H927" s="16"/>
      <c r="I927" s="16"/>
      <c r="J927" s="16"/>
      <c r="K927" s="16"/>
      <c r="L927" s="16"/>
      <c r="M927" s="16"/>
      <c r="N927" s="16"/>
      <c r="O927" s="16"/>
      <c r="P927" s="16"/>
      <c r="Q927" s="16"/>
      <c r="R927" s="16"/>
      <c r="S927" s="16"/>
      <c r="T927" s="16"/>
      <c r="U927" s="16"/>
      <c r="V927" s="16"/>
      <c r="W927" s="16"/>
      <c r="X927" s="16"/>
      <c r="Y927" s="16"/>
      <c r="Z927" s="16"/>
    </row>
    <row r="928">
      <c r="A928" s="16"/>
      <c r="B928" s="16" t="str">
        <f>IFERROR(__xludf.DUMMYFUNCTION("""COMPUTED_VALUE"""),"")</f>
        <v/>
      </c>
      <c r="C928" s="16" t="str">
        <f>IFERROR(__xludf.DUMMYFUNCTION("""COMPUTED_VALUE"""),"")</f>
        <v/>
      </c>
      <c r="D928" s="16" t="str">
        <f>IFERROR(__xludf.DUMMYFUNCTION("""COMPUTED_VALUE"""),"")</f>
        <v/>
      </c>
      <c r="E928" s="16" t="str">
        <f>IFERROR(__xludf.DUMMYFUNCTION("""COMPUTED_VALUE"""),"")</f>
        <v/>
      </c>
      <c r="F928" s="16" t="str">
        <f>IFERROR(__xludf.DUMMYFUNCTION("""COMPUTED_VALUE"""),"")</f>
        <v/>
      </c>
      <c r="G928" s="16" t="str">
        <f>IFERROR(__xludf.DUMMYFUNCTION("""COMPUTED_VALUE"""),"")</f>
        <v/>
      </c>
      <c r="H928" s="16"/>
      <c r="I928" s="16"/>
      <c r="J928" s="16"/>
      <c r="K928" s="16"/>
      <c r="L928" s="16"/>
      <c r="M928" s="16"/>
      <c r="N928" s="16"/>
      <c r="O928" s="16"/>
      <c r="P928" s="16"/>
      <c r="Q928" s="16"/>
      <c r="R928" s="16"/>
      <c r="S928" s="16"/>
      <c r="T928" s="16"/>
      <c r="U928" s="16"/>
      <c r="V928" s="16"/>
      <c r="W928" s="16"/>
      <c r="X928" s="16"/>
      <c r="Y928" s="16"/>
      <c r="Z928" s="16"/>
    </row>
    <row r="929">
      <c r="A929" s="16"/>
      <c r="B929" s="16" t="str">
        <f>IFERROR(__xludf.DUMMYFUNCTION("""COMPUTED_VALUE"""),"")</f>
        <v/>
      </c>
      <c r="C929" s="16" t="str">
        <f>IFERROR(__xludf.DUMMYFUNCTION("""COMPUTED_VALUE"""),"")</f>
        <v/>
      </c>
      <c r="D929" s="16" t="str">
        <f>IFERROR(__xludf.DUMMYFUNCTION("""COMPUTED_VALUE"""),"")</f>
        <v/>
      </c>
      <c r="E929" s="16" t="str">
        <f>IFERROR(__xludf.DUMMYFUNCTION("""COMPUTED_VALUE"""),"")</f>
        <v/>
      </c>
      <c r="F929" s="16" t="str">
        <f>IFERROR(__xludf.DUMMYFUNCTION("""COMPUTED_VALUE"""),"")</f>
        <v/>
      </c>
      <c r="G929" s="16" t="str">
        <f>IFERROR(__xludf.DUMMYFUNCTION("""COMPUTED_VALUE"""),"")</f>
        <v/>
      </c>
      <c r="H929" s="16"/>
      <c r="I929" s="16"/>
      <c r="J929" s="16"/>
      <c r="K929" s="16"/>
      <c r="L929" s="16"/>
      <c r="M929" s="16"/>
      <c r="N929" s="16"/>
      <c r="O929" s="16"/>
      <c r="P929" s="16"/>
      <c r="Q929" s="16"/>
      <c r="R929" s="16"/>
      <c r="S929" s="16"/>
      <c r="T929" s="16"/>
      <c r="U929" s="16"/>
      <c r="V929" s="16"/>
      <c r="W929" s="16"/>
      <c r="X929" s="16"/>
      <c r="Y929" s="16"/>
      <c r="Z929" s="16"/>
    </row>
    <row r="930">
      <c r="A930" s="16"/>
      <c r="B930" s="16" t="str">
        <f>IFERROR(__xludf.DUMMYFUNCTION("""COMPUTED_VALUE"""),"")</f>
        <v/>
      </c>
      <c r="C930" s="16" t="str">
        <f>IFERROR(__xludf.DUMMYFUNCTION("""COMPUTED_VALUE"""),"")</f>
        <v/>
      </c>
      <c r="D930" s="16" t="str">
        <f>IFERROR(__xludf.DUMMYFUNCTION("""COMPUTED_VALUE"""),"")</f>
        <v/>
      </c>
      <c r="E930" s="16" t="str">
        <f>IFERROR(__xludf.DUMMYFUNCTION("""COMPUTED_VALUE"""),"")</f>
        <v/>
      </c>
      <c r="F930" s="16" t="str">
        <f>IFERROR(__xludf.DUMMYFUNCTION("""COMPUTED_VALUE"""),"")</f>
        <v/>
      </c>
      <c r="G930" s="16" t="str">
        <f>IFERROR(__xludf.DUMMYFUNCTION("""COMPUTED_VALUE"""),"")</f>
        <v/>
      </c>
      <c r="H930" s="16"/>
      <c r="I930" s="16"/>
      <c r="J930" s="16"/>
      <c r="K930" s="16"/>
      <c r="L930" s="16"/>
      <c r="M930" s="16"/>
      <c r="N930" s="16"/>
      <c r="O930" s="16"/>
      <c r="P930" s="16"/>
      <c r="Q930" s="16"/>
      <c r="R930" s="16"/>
      <c r="S930" s="16"/>
      <c r="T930" s="16"/>
      <c r="U930" s="16"/>
      <c r="V930" s="16"/>
      <c r="W930" s="16"/>
      <c r="X930" s="16"/>
      <c r="Y930" s="16"/>
      <c r="Z930" s="16"/>
    </row>
    <row r="931">
      <c r="A931" s="16"/>
      <c r="B931" s="16" t="str">
        <f>IFERROR(__xludf.DUMMYFUNCTION("""COMPUTED_VALUE"""),"")</f>
        <v/>
      </c>
      <c r="C931" s="16" t="str">
        <f>IFERROR(__xludf.DUMMYFUNCTION("""COMPUTED_VALUE"""),"")</f>
        <v/>
      </c>
      <c r="D931" s="16" t="str">
        <f>IFERROR(__xludf.DUMMYFUNCTION("""COMPUTED_VALUE"""),"")</f>
        <v/>
      </c>
      <c r="E931" s="16" t="str">
        <f>IFERROR(__xludf.DUMMYFUNCTION("""COMPUTED_VALUE"""),"")</f>
        <v/>
      </c>
      <c r="F931" s="16" t="str">
        <f>IFERROR(__xludf.DUMMYFUNCTION("""COMPUTED_VALUE"""),"")</f>
        <v/>
      </c>
      <c r="G931" s="16" t="str">
        <f>IFERROR(__xludf.DUMMYFUNCTION("""COMPUTED_VALUE"""),"")</f>
        <v/>
      </c>
      <c r="H931" s="16"/>
      <c r="I931" s="16"/>
      <c r="J931" s="16"/>
      <c r="K931" s="16"/>
      <c r="L931" s="16"/>
      <c r="M931" s="16"/>
      <c r="N931" s="16"/>
      <c r="O931" s="16"/>
      <c r="P931" s="16"/>
      <c r="Q931" s="16"/>
      <c r="R931" s="16"/>
      <c r="S931" s="16"/>
      <c r="T931" s="16"/>
      <c r="U931" s="16"/>
      <c r="V931" s="16"/>
      <c r="W931" s="16"/>
      <c r="X931" s="16"/>
      <c r="Y931" s="16"/>
      <c r="Z931" s="16"/>
    </row>
    <row r="932">
      <c r="A932" s="16"/>
      <c r="B932" s="16" t="str">
        <f>IFERROR(__xludf.DUMMYFUNCTION("""COMPUTED_VALUE"""),"")</f>
        <v/>
      </c>
      <c r="C932" s="16" t="str">
        <f>IFERROR(__xludf.DUMMYFUNCTION("""COMPUTED_VALUE"""),"")</f>
        <v/>
      </c>
      <c r="D932" s="16" t="str">
        <f>IFERROR(__xludf.DUMMYFUNCTION("""COMPUTED_VALUE"""),"")</f>
        <v/>
      </c>
      <c r="E932" s="16" t="str">
        <f>IFERROR(__xludf.DUMMYFUNCTION("""COMPUTED_VALUE"""),"")</f>
        <v/>
      </c>
      <c r="F932" s="16" t="str">
        <f>IFERROR(__xludf.DUMMYFUNCTION("""COMPUTED_VALUE"""),"")</f>
        <v/>
      </c>
      <c r="G932" s="16" t="str">
        <f>IFERROR(__xludf.DUMMYFUNCTION("""COMPUTED_VALUE"""),"")</f>
        <v/>
      </c>
      <c r="H932" s="16"/>
      <c r="I932" s="16"/>
      <c r="J932" s="16"/>
      <c r="K932" s="16"/>
      <c r="L932" s="16"/>
      <c r="M932" s="16"/>
      <c r="N932" s="16"/>
      <c r="O932" s="16"/>
      <c r="P932" s="16"/>
      <c r="Q932" s="16"/>
      <c r="R932" s="16"/>
      <c r="S932" s="16"/>
      <c r="T932" s="16"/>
      <c r="U932" s="16"/>
      <c r="V932" s="16"/>
      <c r="W932" s="16"/>
      <c r="X932" s="16"/>
      <c r="Y932" s="16"/>
      <c r="Z932" s="16"/>
    </row>
    <row r="933">
      <c r="A933" s="16"/>
      <c r="B933" s="16" t="str">
        <f>IFERROR(__xludf.DUMMYFUNCTION("""COMPUTED_VALUE"""),"")</f>
        <v/>
      </c>
      <c r="C933" s="16" t="str">
        <f>IFERROR(__xludf.DUMMYFUNCTION("""COMPUTED_VALUE"""),"")</f>
        <v/>
      </c>
      <c r="D933" s="16" t="str">
        <f>IFERROR(__xludf.DUMMYFUNCTION("""COMPUTED_VALUE"""),"")</f>
        <v/>
      </c>
      <c r="E933" s="16" t="str">
        <f>IFERROR(__xludf.DUMMYFUNCTION("""COMPUTED_VALUE"""),"")</f>
        <v/>
      </c>
      <c r="F933" s="16" t="str">
        <f>IFERROR(__xludf.DUMMYFUNCTION("""COMPUTED_VALUE"""),"")</f>
        <v/>
      </c>
      <c r="G933" s="16" t="str">
        <f>IFERROR(__xludf.DUMMYFUNCTION("""COMPUTED_VALUE"""),"")</f>
        <v/>
      </c>
      <c r="H933" s="16"/>
      <c r="I933" s="16"/>
      <c r="J933" s="16"/>
      <c r="K933" s="16"/>
      <c r="L933" s="16"/>
      <c r="M933" s="16"/>
      <c r="N933" s="16"/>
      <c r="O933" s="16"/>
      <c r="P933" s="16"/>
      <c r="Q933" s="16"/>
      <c r="R933" s="16"/>
      <c r="S933" s="16"/>
      <c r="T933" s="16"/>
      <c r="U933" s="16"/>
      <c r="V933" s="16"/>
      <c r="W933" s="16"/>
      <c r="X933" s="16"/>
      <c r="Y933" s="16"/>
      <c r="Z933" s="16"/>
    </row>
    <row r="934">
      <c r="A934" s="16"/>
      <c r="B934" s="16" t="str">
        <f>IFERROR(__xludf.DUMMYFUNCTION("""COMPUTED_VALUE"""),"")</f>
        <v/>
      </c>
      <c r="C934" s="16" t="str">
        <f>IFERROR(__xludf.DUMMYFUNCTION("""COMPUTED_VALUE"""),"")</f>
        <v/>
      </c>
      <c r="D934" s="16" t="str">
        <f>IFERROR(__xludf.DUMMYFUNCTION("""COMPUTED_VALUE"""),"")</f>
        <v/>
      </c>
      <c r="E934" s="16" t="str">
        <f>IFERROR(__xludf.DUMMYFUNCTION("""COMPUTED_VALUE"""),"")</f>
        <v/>
      </c>
      <c r="F934" s="16" t="str">
        <f>IFERROR(__xludf.DUMMYFUNCTION("""COMPUTED_VALUE"""),"")</f>
        <v/>
      </c>
      <c r="G934" s="16" t="str">
        <f>IFERROR(__xludf.DUMMYFUNCTION("""COMPUTED_VALUE"""),"")</f>
        <v/>
      </c>
      <c r="H934" s="16"/>
      <c r="I934" s="16"/>
      <c r="J934" s="16"/>
      <c r="K934" s="16"/>
      <c r="L934" s="16"/>
      <c r="M934" s="16"/>
      <c r="N934" s="16"/>
      <c r="O934" s="16"/>
      <c r="P934" s="16"/>
      <c r="Q934" s="16"/>
      <c r="R934" s="16"/>
      <c r="S934" s="16"/>
      <c r="T934" s="16"/>
      <c r="U934" s="16"/>
      <c r="V934" s="16"/>
      <c r="W934" s="16"/>
      <c r="X934" s="16"/>
      <c r="Y934" s="16"/>
      <c r="Z934" s="16"/>
    </row>
    <row r="935">
      <c r="A935" s="16"/>
      <c r="B935" s="16" t="str">
        <f>IFERROR(__xludf.DUMMYFUNCTION("""COMPUTED_VALUE"""),"")</f>
        <v/>
      </c>
      <c r="C935" s="16" t="str">
        <f>IFERROR(__xludf.DUMMYFUNCTION("""COMPUTED_VALUE"""),"")</f>
        <v/>
      </c>
      <c r="D935" s="16" t="str">
        <f>IFERROR(__xludf.DUMMYFUNCTION("""COMPUTED_VALUE"""),"")</f>
        <v/>
      </c>
      <c r="E935" s="16" t="str">
        <f>IFERROR(__xludf.DUMMYFUNCTION("""COMPUTED_VALUE"""),"")</f>
        <v/>
      </c>
      <c r="F935" s="16" t="str">
        <f>IFERROR(__xludf.DUMMYFUNCTION("""COMPUTED_VALUE"""),"")</f>
        <v/>
      </c>
      <c r="G935" s="16" t="str">
        <f>IFERROR(__xludf.DUMMYFUNCTION("""COMPUTED_VALUE"""),"")</f>
        <v/>
      </c>
      <c r="H935" s="16"/>
      <c r="I935" s="16"/>
      <c r="J935" s="16"/>
      <c r="K935" s="16"/>
      <c r="L935" s="16"/>
      <c r="M935" s="16"/>
      <c r="N935" s="16"/>
      <c r="O935" s="16"/>
      <c r="P935" s="16"/>
      <c r="Q935" s="16"/>
      <c r="R935" s="16"/>
      <c r="S935" s="16"/>
      <c r="T935" s="16"/>
      <c r="U935" s="16"/>
      <c r="V935" s="16"/>
      <c r="W935" s="16"/>
      <c r="X935" s="16"/>
      <c r="Y935" s="16"/>
      <c r="Z935" s="16"/>
    </row>
    <row r="936">
      <c r="A936" s="16"/>
      <c r="B936" s="16" t="str">
        <f>IFERROR(__xludf.DUMMYFUNCTION("""COMPUTED_VALUE"""),"")</f>
        <v/>
      </c>
      <c r="C936" s="16" t="str">
        <f>IFERROR(__xludf.DUMMYFUNCTION("""COMPUTED_VALUE"""),"")</f>
        <v/>
      </c>
      <c r="D936" s="16" t="str">
        <f>IFERROR(__xludf.DUMMYFUNCTION("""COMPUTED_VALUE"""),"")</f>
        <v/>
      </c>
      <c r="E936" s="16" t="str">
        <f>IFERROR(__xludf.DUMMYFUNCTION("""COMPUTED_VALUE"""),"")</f>
        <v/>
      </c>
      <c r="F936" s="16" t="str">
        <f>IFERROR(__xludf.DUMMYFUNCTION("""COMPUTED_VALUE"""),"")</f>
        <v/>
      </c>
      <c r="G936" s="16" t="str">
        <f>IFERROR(__xludf.DUMMYFUNCTION("""COMPUTED_VALUE"""),"")</f>
        <v/>
      </c>
      <c r="H936" s="16"/>
      <c r="I936" s="16"/>
      <c r="J936" s="16"/>
      <c r="K936" s="16"/>
      <c r="L936" s="16"/>
      <c r="M936" s="16"/>
      <c r="N936" s="16"/>
      <c r="O936" s="16"/>
      <c r="P936" s="16"/>
      <c r="Q936" s="16"/>
      <c r="R936" s="16"/>
      <c r="S936" s="16"/>
      <c r="T936" s="16"/>
      <c r="U936" s="16"/>
      <c r="V936" s="16"/>
      <c r="W936" s="16"/>
      <c r="X936" s="16"/>
      <c r="Y936" s="16"/>
      <c r="Z936" s="16"/>
    </row>
    <row r="937">
      <c r="A937" s="16"/>
      <c r="B937" s="16" t="str">
        <f>IFERROR(__xludf.DUMMYFUNCTION("""COMPUTED_VALUE"""),"")</f>
        <v/>
      </c>
      <c r="C937" s="16" t="str">
        <f>IFERROR(__xludf.DUMMYFUNCTION("""COMPUTED_VALUE"""),"")</f>
        <v/>
      </c>
      <c r="D937" s="16" t="str">
        <f>IFERROR(__xludf.DUMMYFUNCTION("""COMPUTED_VALUE"""),"")</f>
        <v/>
      </c>
      <c r="E937" s="16" t="str">
        <f>IFERROR(__xludf.DUMMYFUNCTION("""COMPUTED_VALUE"""),"")</f>
        <v/>
      </c>
      <c r="F937" s="16" t="str">
        <f>IFERROR(__xludf.DUMMYFUNCTION("""COMPUTED_VALUE"""),"")</f>
        <v/>
      </c>
      <c r="G937" s="16" t="str">
        <f>IFERROR(__xludf.DUMMYFUNCTION("""COMPUTED_VALUE"""),"")</f>
        <v/>
      </c>
      <c r="H937" s="16"/>
      <c r="I937" s="16"/>
      <c r="J937" s="16"/>
      <c r="K937" s="16"/>
      <c r="L937" s="16"/>
      <c r="M937" s="16"/>
      <c r="N937" s="16"/>
      <c r="O937" s="16"/>
      <c r="P937" s="16"/>
      <c r="Q937" s="16"/>
      <c r="R937" s="16"/>
      <c r="S937" s="16"/>
      <c r="T937" s="16"/>
      <c r="U937" s="16"/>
      <c r="V937" s="16"/>
      <c r="W937" s="16"/>
      <c r="X937" s="16"/>
      <c r="Y937" s="16"/>
      <c r="Z937" s="16"/>
    </row>
    <row r="938">
      <c r="A938" s="16"/>
      <c r="B938" s="16" t="str">
        <f>IFERROR(__xludf.DUMMYFUNCTION("""COMPUTED_VALUE"""),"")</f>
        <v/>
      </c>
      <c r="C938" s="16" t="str">
        <f>IFERROR(__xludf.DUMMYFUNCTION("""COMPUTED_VALUE"""),"")</f>
        <v/>
      </c>
      <c r="D938" s="16" t="str">
        <f>IFERROR(__xludf.DUMMYFUNCTION("""COMPUTED_VALUE"""),"")</f>
        <v/>
      </c>
      <c r="E938" s="16" t="str">
        <f>IFERROR(__xludf.DUMMYFUNCTION("""COMPUTED_VALUE"""),"")</f>
        <v/>
      </c>
      <c r="F938" s="16" t="str">
        <f>IFERROR(__xludf.DUMMYFUNCTION("""COMPUTED_VALUE"""),"")</f>
        <v/>
      </c>
      <c r="G938" s="16" t="str">
        <f>IFERROR(__xludf.DUMMYFUNCTION("""COMPUTED_VALUE"""),"")</f>
        <v/>
      </c>
      <c r="H938" s="16"/>
      <c r="I938" s="16"/>
      <c r="J938" s="16"/>
      <c r="K938" s="16"/>
      <c r="L938" s="16"/>
      <c r="M938" s="16"/>
      <c r="N938" s="16"/>
      <c r="O938" s="16"/>
      <c r="P938" s="16"/>
      <c r="Q938" s="16"/>
      <c r="R938" s="16"/>
      <c r="S938" s="16"/>
      <c r="T938" s="16"/>
      <c r="U938" s="16"/>
      <c r="V938" s="16"/>
      <c r="W938" s="16"/>
      <c r="X938" s="16"/>
      <c r="Y938" s="16"/>
      <c r="Z938" s="16"/>
    </row>
    <row r="939">
      <c r="A939" s="16"/>
      <c r="B939" s="16" t="str">
        <f>IFERROR(__xludf.DUMMYFUNCTION("""COMPUTED_VALUE"""),"")</f>
        <v/>
      </c>
      <c r="C939" s="16" t="str">
        <f>IFERROR(__xludf.DUMMYFUNCTION("""COMPUTED_VALUE"""),"")</f>
        <v/>
      </c>
      <c r="D939" s="16" t="str">
        <f>IFERROR(__xludf.DUMMYFUNCTION("""COMPUTED_VALUE"""),"")</f>
        <v/>
      </c>
      <c r="E939" s="16" t="str">
        <f>IFERROR(__xludf.DUMMYFUNCTION("""COMPUTED_VALUE"""),"")</f>
        <v/>
      </c>
      <c r="F939" s="16" t="str">
        <f>IFERROR(__xludf.DUMMYFUNCTION("""COMPUTED_VALUE"""),"")</f>
        <v/>
      </c>
      <c r="G939" s="16" t="str">
        <f>IFERROR(__xludf.DUMMYFUNCTION("""COMPUTED_VALUE"""),"")</f>
        <v/>
      </c>
      <c r="H939" s="16"/>
      <c r="I939" s="16"/>
      <c r="J939" s="16"/>
      <c r="K939" s="16"/>
      <c r="L939" s="16"/>
      <c r="M939" s="16"/>
      <c r="N939" s="16"/>
      <c r="O939" s="16"/>
      <c r="P939" s="16"/>
      <c r="Q939" s="16"/>
      <c r="R939" s="16"/>
      <c r="S939" s="16"/>
      <c r="T939" s="16"/>
      <c r="U939" s="16"/>
      <c r="V939" s="16"/>
      <c r="W939" s="16"/>
      <c r="X939" s="16"/>
      <c r="Y939" s="16"/>
      <c r="Z939" s="16"/>
    </row>
    <row r="940">
      <c r="A940" s="16"/>
      <c r="B940" s="16" t="str">
        <f>IFERROR(__xludf.DUMMYFUNCTION("""COMPUTED_VALUE"""),"")</f>
        <v/>
      </c>
      <c r="C940" s="16" t="str">
        <f>IFERROR(__xludf.DUMMYFUNCTION("""COMPUTED_VALUE"""),"")</f>
        <v/>
      </c>
      <c r="D940" s="16" t="str">
        <f>IFERROR(__xludf.DUMMYFUNCTION("""COMPUTED_VALUE"""),"")</f>
        <v/>
      </c>
      <c r="E940" s="16" t="str">
        <f>IFERROR(__xludf.DUMMYFUNCTION("""COMPUTED_VALUE"""),"")</f>
        <v/>
      </c>
      <c r="F940" s="16" t="str">
        <f>IFERROR(__xludf.DUMMYFUNCTION("""COMPUTED_VALUE"""),"")</f>
        <v/>
      </c>
      <c r="G940" s="16" t="str">
        <f>IFERROR(__xludf.DUMMYFUNCTION("""COMPUTED_VALUE"""),"")</f>
        <v/>
      </c>
      <c r="H940" s="16"/>
      <c r="I940" s="16"/>
      <c r="J940" s="16"/>
      <c r="K940" s="16"/>
      <c r="L940" s="16"/>
      <c r="M940" s="16"/>
      <c r="N940" s="16"/>
      <c r="O940" s="16"/>
      <c r="P940" s="16"/>
      <c r="Q940" s="16"/>
      <c r="R940" s="16"/>
      <c r="S940" s="16"/>
      <c r="T940" s="16"/>
      <c r="U940" s="16"/>
      <c r="V940" s="16"/>
      <c r="W940" s="16"/>
      <c r="X940" s="16"/>
      <c r="Y940" s="16"/>
      <c r="Z940" s="16"/>
    </row>
    <row r="941">
      <c r="A941" s="16"/>
      <c r="B941" s="16" t="str">
        <f>IFERROR(__xludf.DUMMYFUNCTION("""COMPUTED_VALUE"""),"")</f>
        <v/>
      </c>
      <c r="C941" s="16" t="str">
        <f>IFERROR(__xludf.DUMMYFUNCTION("""COMPUTED_VALUE"""),"")</f>
        <v/>
      </c>
      <c r="D941" s="16" t="str">
        <f>IFERROR(__xludf.DUMMYFUNCTION("""COMPUTED_VALUE"""),"")</f>
        <v/>
      </c>
      <c r="E941" s="16" t="str">
        <f>IFERROR(__xludf.DUMMYFUNCTION("""COMPUTED_VALUE"""),"")</f>
        <v/>
      </c>
      <c r="F941" s="16" t="str">
        <f>IFERROR(__xludf.DUMMYFUNCTION("""COMPUTED_VALUE"""),"")</f>
        <v/>
      </c>
      <c r="G941" s="16" t="str">
        <f>IFERROR(__xludf.DUMMYFUNCTION("""COMPUTED_VALUE"""),"")</f>
        <v/>
      </c>
      <c r="H941" s="16"/>
      <c r="I941" s="16"/>
      <c r="J941" s="16"/>
      <c r="K941" s="16"/>
      <c r="L941" s="16"/>
      <c r="M941" s="16"/>
      <c r="N941" s="16"/>
      <c r="O941" s="16"/>
      <c r="P941" s="16"/>
      <c r="Q941" s="16"/>
      <c r="R941" s="16"/>
      <c r="S941" s="16"/>
      <c r="T941" s="16"/>
      <c r="U941" s="16"/>
      <c r="V941" s="16"/>
      <c r="W941" s="16"/>
      <c r="X941" s="16"/>
      <c r="Y941" s="16"/>
      <c r="Z941" s="16"/>
    </row>
    <row r="942">
      <c r="A942" s="16"/>
      <c r="B942" s="16" t="str">
        <f>IFERROR(__xludf.DUMMYFUNCTION("""COMPUTED_VALUE"""),"")</f>
        <v/>
      </c>
      <c r="C942" s="16" t="str">
        <f>IFERROR(__xludf.DUMMYFUNCTION("""COMPUTED_VALUE"""),"")</f>
        <v/>
      </c>
      <c r="D942" s="16" t="str">
        <f>IFERROR(__xludf.DUMMYFUNCTION("""COMPUTED_VALUE"""),"")</f>
        <v/>
      </c>
      <c r="E942" s="16" t="str">
        <f>IFERROR(__xludf.DUMMYFUNCTION("""COMPUTED_VALUE"""),"")</f>
        <v/>
      </c>
      <c r="F942" s="16" t="str">
        <f>IFERROR(__xludf.DUMMYFUNCTION("""COMPUTED_VALUE"""),"")</f>
        <v/>
      </c>
      <c r="G942" s="16" t="str">
        <f>IFERROR(__xludf.DUMMYFUNCTION("""COMPUTED_VALUE"""),"")</f>
        <v/>
      </c>
      <c r="H942" s="16"/>
      <c r="I942" s="16"/>
      <c r="J942" s="16"/>
      <c r="K942" s="16"/>
      <c r="L942" s="16"/>
      <c r="M942" s="16"/>
      <c r="N942" s="16"/>
      <c r="O942" s="16"/>
      <c r="P942" s="16"/>
      <c r="Q942" s="16"/>
      <c r="R942" s="16"/>
      <c r="S942" s="16"/>
      <c r="T942" s="16"/>
      <c r="U942" s="16"/>
      <c r="V942" s="16"/>
      <c r="W942" s="16"/>
      <c r="X942" s="16"/>
      <c r="Y942" s="16"/>
      <c r="Z942" s="16"/>
    </row>
    <row r="943">
      <c r="A943" s="16"/>
      <c r="B943" s="16" t="str">
        <f>IFERROR(__xludf.DUMMYFUNCTION("""COMPUTED_VALUE"""),"")</f>
        <v/>
      </c>
      <c r="C943" s="16" t="str">
        <f>IFERROR(__xludf.DUMMYFUNCTION("""COMPUTED_VALUE"""),"")</f>
        <v/>
      </c>
      <c r="D943" s="16" t="str">
        <f>IFERROR(__xludf.DUMMYFUNCTION("""COMPUTED_VALUE"""),"")</f>
        <v/>
      </c>
      <c r="E943" s="16" t="str">
        <f>IFERROR(__xludf.DUMMYFUNCTION("""COMPUTED_VALUE"""),"")</f>
        <v/>
      </c>
      <c r="F943" s="16" t="str">
        <f>IFERROR(__xludf.DUMMYFUNCTION("""COMPUTED_VALUE"""),"")</f>
        <v/>
      </c>
      <c r="G943" s="16" t="str">
        <f>IFERROR(__xludf.DUMMYFUNCTION("""COMPUTED_VALUE"""),"")</f>
        <v/>
      </c>
      <c r="H943" s="16"/>
      <c r="I943" s="16"/>
      <c r="J943" s="16"/>
      <c r="K943" s="16"/>
      <c r="L943" s="16"/>
      <c r="M943" s="16"/>
      <c r="N943" s="16"/>
      <c r="O943" s="16"/>
      <c r="P943" s="16"/>
      <c r="Q943" s="16"/>
      <c r="R943" s="16"/>
      <c r="S943" s="16"/>
      <c r="T943" s="16"/>
      <c r="U943" s="16"/>
      <c r="V943" s="16"/>
      <c r="W943" s="16"/>
      <c r="X943" s="16"/>
      <c r="Y943" s="16"/>
      <c r="Z943" s="16"/>
    </row>
    <row r="944">
      <c r="A944" s="16"/>
      <c r="B944" s="16" t="str">
        <f>IFERROR(__xludf.DUMMYFUNCTION("""COMPUTED_VALUE"""),"")</f>
        <v/>
      </c>
      <c r="C944" s="16" t="str">
        <f>IFERROR(__xludf.DUMMYFUNCTION("""COMPUTED_VALUE"""),"")</f>
        <v/>
      </c>
      <c r="D944" s="16" t="str">
        <f>IFERROR(__xludf.DUMMYFUNCTION("""COMPUTED_VALUE"""),"")</f>
        <v/>
      </c>
      <c r="E944" s="16" t="str">
        <f>IFERROR(__xludf.DUMMYFUNCTION("""COMPUTED_VALUE"""),"")</f>
        <v/>
      </c>
      <c r="F944" s="16" t="str">
        <f>IFERROR(__xludf.DUMMYFUNCTION("""COMPUTED_VALUE"""),"")</f>
        <v/>
      </c>
      <c r="G944" s="16" t="str">
        <f>IFERROR(__xludf.DUMMYFUNCTION("""COMPUTED_VALUE"""),"")</f>
        <v/>
      </c>
      <c r="H944" s="16"/>
      <c r="I944" s="16"/>
      <c r="J944" s="16"/>
      <c r="K944" s="16"/>
      <c r="L944" s="16"/>
      <c r="M944" s="16"/>
      <c r="N944" s="16"/>
      <c r="O944" s="16"/>
      <c r="P944" s="16"/>
      <c r="Q944" s="16"/>
      <c r="R944" s="16"/>
      <c r="S944" s="16"/>
      <c r="T944" s="16"/>
      <c r="U944" s="16"/>
      <c r="V944" s="16"/>
      <c r="W944" s="16"/>
      <c r="X944" s="16"/>
      <c r="Y944" s="16"/>
      <c r="Z944" s="16"/>
    </row>
    <row r="945">
      <c r="A945" s="16"/>
      <c r="B945" s="16" t="str">
        <f>IFERROR(__xludf.DUMMYFUNCTION("""COMPUTED_VALUE"""),"")</f>
        <v/>
      </c>
      <c r="C945" s="16" t="str">
        <f>IFERROR(__xludf.DUMMYFUNCTION("""COMPUTED_VALUE"""),"")</f>
        <v/>
      </c>
      <c r="D945" s="16" t="str">
        <f>IFERROR(__xludf.DUMMYFUNCTION("""COMPUTED_VALUE"""),"")</f>
        <v/>
      </c>
      <c r="E945" s="16" t="str">
        <f>IFERROR(__xludf.DUMMYFUNCTION("""COMPUTED_VALUE"""),"")</f>
        <v/>
      </c>
      <c r="F945" s="16" t="str">
        <f>IFERROR(__xludf.DUMMYFUNCTION("""COMPUTED_VALUE"""),"")</f>
        <v/>
      </c>
      <c r="G945" s="16" t="str">
        <f>IFERROR(__xludf.DUMMYFUNCTION("""COMPUTED_VALUE"""),"")</f>
        <v/>
      </c>
      <c r="H945" s="16"/>
      <c r="I945" s="16"/>
      <c r="J945" s="16"/>
      <c r="K945" s="16"/>
      <c r="L945" s="16"/>
      <c r="M945" s="16"/>
      <c r="N945" s="16"/>
      <c r="O945" s="16"/>
      <c r="P945" s="16"/>
      <c r="Q945" s="16"/>
      <c r="R945" s="16"/>
      <c r="S945" s="16"/>
      <c r="T945" s="16"/>
      <c r="U945" s="16"/>
      <c r="V945" s="16"/>
      <c r="W945" s="16"/>
      <c r="X945" s="16"/>
      <c r="Y945" s="16"/>
      <c r="Z945" s="16"/>
    </row>
    <row r="946">
      <c r="A946" s="16"/>
      <c r="B946" s="16" t="str">
        <f>IFERROR(__xludf.DUMMYFUNCTION("""COMPUTED_VALUE"""),"")</f>
        <v/>
      </c>
      <c r="C946" s="16" t="str">
        <f>IFERROR(__xludf.DUMMYFUNCTION("""COMPUTED_VALUE"""),"")</f>
        <v/>
      </c>
      <c r="D946" s="16" t="str">
        <f>IFERROR(__xludf.DUMMYFUNCTION("""COMPUTED_VALUE"""),"")</f>
        <v/>
      </c>
      <c r="E946" s="16" t="str">
        <f>IFERROR(__xludf.DUMMYFUNCTION("""COMPUTED_VALUE"""),"")</f>
        <v/>
      </c>
      <c r="F946" s="16" t="str">
        <f>IFERROR(__xludf.DUMMYFUNCTION("""COMPUTED_VALUE"""),"")</f>
        <v/>
      </c>
      <c r="G946" s="16" t="str">
        <f>IFERROR(__xludf.DUMMYFUNCTION("""COMPUTED_VALUE"""),"")</f>
        <v/>
      </c>
      <c r="H946" s="16"/>
      <c r="I946" s="16"/>
      <c r="J946" s="16"/>
      <c r="K946" s="16"/>
      <c r="L946" s="16"/>
      <c r="M946" s="16"/>
      <c r="N946" s="16"/>
      <c r="O946" s="16"/>
      <c r="P946" s="16"/>
      <c r="Q946" s="16"/>
      <c r="R946" s="16"/>
      <c r="S946" s="16"/>
      <c r="T946" s="16"/>
      <c r="U946" s="16"/>
      <c r="V946" s="16"/>
      <c r="W946" s="16"/>
      <c r="X946" s="16"/>
      <c r="Y946" s="16"/>
      <c r="Z946" s="16"/>
    </row>
    <row r="947">
      <c r="A947" s="16"/>
      <c r="B947" s="16" t="str">
        <f>IFERROR(__xludf.DUMMYFUNCTION("""COMPUTED_VALUE"""),"")</f>
        <v/>
      </c>
      <c r="C947" s="16" t="str">
        <f>IFERROR(__xludf.DUMMYFUNCTION("""COMPUTED_VALUE"""),"")</f>
        <v/>
      </c>
      <c r="D947" s="16" t="str">
        <f>IFERROR(__xludf.DUMMYFUNCTION("""COMPUTED_VALUE"""),"")</f>
        <v/>
      </c>
      <c r="E947" s="16" t="str">
        <f>IFERROR(__xludf.DUMMYFUNCTION("""COMPUTED_VALUE"""),"")</f>
        <v/>
      </c>
      <c r="F947" s="16" t="str">
        <f>IFERROR(__xludf.DUMMYFUNCTION("""COMPUTED_VALUE"""),"")</f>
        <v/>
      </c>
      <c r="G947" s="16" t="str">
        <f>IFERROR(__xludf.DUMMYFUNCTION("""COMPUTED_VALUE"""),"")</f>
        <v/>
      </c>
      <c r="H947" s="16"/>
      <c r="I947" s="16"/>
      <c r="J947" s="16"/>
      <c r="K947" s="16"/>
      <c r="L947" s="16"/>
      <c r="M947" s="16"/>
      <c r="N947" s="16"/>
      <c r="O947" s="16"/>
      <c r="P947" s="16"/>
      <c r="Q947" s="16"/>
      <c r="R947" s="16"/>
      <c r="S947" s="16"/>
      <c r="T947" s="16"/>
      <c r="U947" s="16"/>
      <c r="V947" s="16"/>
      <c r="W947" s="16"/>
      <c r="X947" s="16"/>
      <c r="Y947" s="16"/>
      <c r="Z947" s="16"/>
    </row>
    <row r="948">
      <c r="A948" s="16"/>
      <c r="B948" s="16" t="str">
        <f>IFERROR(__xludf.DUMMYFUNCTION("""COMPUTED_VALUE"""),"")</f>
        <v/>
      </c>
      <c r="C948" s="16" t="str">
        <f>IFERROR(__xludf.DUMMYFUNCTION("""COMPUTED_VALUE"""),"")</f>
        <v/>
      </c>
      <c r="D948" s="16" t="str">
        <f>IFERROR(__xludf.DUMMYFUNCTION("""COMPUTED_VALUE"""),"")</f>
        <v/>
      </c>
      <c r="E948" s="16" t="str">
        <f>IFERROR(__xludf.DUMMYFUNCTION("""COMPUTED_VALUE"""),"")</f>
        <v/>
      </c>
      <c r="F948" s="16" t="str">
        <f>IFERROR(__xludf.DUMMYFUNCTION("""COMPUTED_VALUE"""),"")</f>
        <v/>
      </c>
      <c r="G948" s="16" t="str">
        <f>IFERROR(__xludf.DUMMYFUNCTION("""COMPUTED_VALUE"""),"")</f>
        <v/>
      </c>
      <c r="H948" s="16"/>
      <c r="I948" s="16"/>
      <c r="J948" s="16"/>
      <c r="K948" s="16"/>
      <c r="L948" s="16"/>
      <c r="M948" s="16"/>
      <c r="N948" s="16"/>
      <c r="O948" s="16"/>
      <c r="P948" s="16"/>
      <c r="Q948" s="16"/>
      <c r="R948" s="16"/>
      <c r="S948" s="16"/>
      <c r="T948" s="16"/>
      <c r="U948" s="16"/>
      <c r="V948" s="16"/>
      <c r="W948" s="16"/>
      <c r="X948" s="16"/>
      <c r="Y948" s="16"/>
      <c r="Z948" s="16"/>
    </row>
    <row r="949">
      <c r="A949" s="16"/>
      <c r="B949" s="16" t="str">
        <f>IFERROR(__xludf.DUMMYFUNCTION("""COMPUTED_VALUE"""),"")</f>
        <v/>
      </c>
      <c r="C949" s="16" t="str">
        <f>IFERROR(__xludf.DUMMYFUNCTION("""COMPUTED_VALUE"""),"")</f>
        <v/>
      </c>
      <c r="D949" s="16" t="str">
        <f>IFERROR(__xludf.DUMMYFUNCTION("""COMPUTED_VALUE"""),"")</f>
        <v/>
      </c>
      <c r="E949" s="16" t="str">
        <f>IFERROR(__xludf.DUMMYFUNCTION("""COMPUTED_VALUE"""),"")</f>
        <v/>
      </c>
      <c r="F949" s="16" t="str">
        <f>IFERROR(__xludf.DUMMYFUNCTION("""COMPUTED_VALUE"""),"")</f>
        <v/>
      </c>
      <c r="G949" s="16" t="str">
        <f>IFERROR(__xludf.DUMMYFUNCTION("""COMPUTED_VALUE"""),"")</f>
        <v/>
      </c>
      <c r="H949" s="16"/>
      <c r="I949" s="16"/>
      <c r="J949" s="16"/>
      <c r="K949" s="16"/>
      <c r="L949" s="16"/>
      <c r="M949" s="16"/>
      <c r="N949" s="16"/>
      <c r="O949" s="16"/>
      <c r="P949" s="16"/>
      <c r="Q949" s="16"/>
      <c r="R949" s="16"/>
      <c r="S949" s="16"/>
      <c r="T949" s="16"/>
      <c r="U949" s="16"/>
      <c r="V949" s="16"/>
      <c r="W949" s="16"/>
      <c r="X949" s="16"/>
      <c r="Y949" s="16"/>
      <c r="Z949" s="16"/>
    </row>
    <row r="950">
      <c r="A950" s="16"/>
      <c r="B950" s="16" t="str">
        <f>IFERROR(__xludf.DUMMYFUNCTION("""COMPUTED_VALUE"""),"")</f>
        <v/>
      </c>
      <c r="C950" s="16" t="str">
        <f>IFERROR(__xludf.DUMMYFUNCTION("""COMPUTED_VALUE"""),"")</f>
        <v/>
      </c>
      <c r="D950" s="16" t="str">
        <f>IFERROR(__xludf.DUMMYFUNCTION("""COMPUTED_VALUE"""),"")</f>
        <v/>
      </c>
      <c r="E950" s="16" t="str">
        <f>IFERROR(__xludf.DUMMYFUNCTION("""COMPUTED_VALUE"""),"")</f>
        <v/>
      </c>
      <c r="F950" s="16" t="str">
        <f>IFERROR(__xludf.DUMMYFUNCTION("""COMPUTED_VALUE"""),"")</f>
        <v/>
      </c>
      <c r="G950" s="16" t="str">
        <f>IFERROR(__xludf.DUMMYFUNCTION("""COMPUTED_VALUE"""),"")</f>
        <v/>
      </c>
      <c r="H950" s="16"/>
      <c r="I950" s="16"/>
      <c r="J950" s="16"/>
      <c r="K950" s="16"/>
      <c r="L950" s="16"/>
      <c r="M950" s="16"/>
      <c r="N950" s="16"/>
      <c r="O950" s="16"/>
      <c r="P950" s="16"/>
      <c r="Q950" s="16"/>
      <c r="R950" s="16"/>
      <c r="S950" s="16"/>
      <c r="T950" s="16"/>
      <c r="U950" s="16"/>
      <c r="V950" s="16"/>
      <c r="W950" s="16"/>
      <c r="X950" s="16"/>
      <c r="Y950" s="16"/>
      <c r="Z950" s="16"/>
    </row>
    <row r="951">
      <c r="A951" s="16"/>
      <c r="B951" s="16" t="str">
        <f>IFERROR(__xludf.DUMMYFUNCTION("""COMPUTED_VALUE"""),"")</f>
        <v/>
      </c>
      <c r="C951" s="16" t="str">
        <f>IFERROR(__xludf.DUMMYFUNCTION("""COMPUTED_VALUE"""),"")</f>
        <v/>
      </c>
      <c r="D951" s="16" t="str">
        <f>IFERROR(__xludf.DUMMYFUNCTION("""COMPUTED_VALUE"""),"")</f>
        <v/>
      </c>
      <c r="E951" s="16" t="str">
        <f>IFERROR(__xludf.DUMMYFUNCTION("""COMPUTED_VALUE"""),"")</f>
        <v/>
      </c>
      <c r="F951" s="16" t="str">
        <f>IFERROR(__xludf.DUMMYFUNCTION("""COMPUTED_VALUE"""),"")</f>
        <v/>
      </c>
      <c r="G951" s="16" t="str">
        <f>IFERROR(__xludf.DUMMYFUNCTION("""COMPUTED_VALUE"""),"")</f>
        <v/>
      </c>
      <c r="H951" s="16"/>
      <c r="I951" s="16"/>
      <c r="J951" s="16"/>
      <c r="K951" s="16"/>
      <c r="L951" s="16"/>
      <c r="M951" s="16"/>
      <c r="N951" s="16"/>
      <c r="O951" s="16"/>
      <c r="P951" s="16"/>
      <c r="Q951" s="16"/>
      <c r="R951" s="16"/>
      <c r="S951" s="16"/>
      <c r="T951" s="16"/>
      <c r="U951" s="16"/>
      <c r="V951" s="16"/>
      <c r="W951" s="16"/>
      <c r="X951" s="16"/>
      <c r="Y951" s="16"/>
      <c r="Z951" s="16"/>
    </row>
    <row r="952">
      <c r="A952" s="16"/>
      <c r="B952" s="16" t="str">
        <f>IFERROR(__xludf.DUMMYFUNCTION("""COMPUTED_VALUE"""),"")</f>
        <v/>
      </c>
      <c r="C952" s="16" t="str">
        <f>IFERROR(__xludf.DUMMYFUNCTION("""COMPUTED_VALUE"""),"")</f>
        <v/>
      </c>
      <c r="D952" s="16" t="str">
        <f>IFERROR(__xludf.DUMMYFUNCTION("""COMPUTED_VALUE"""),"")</f>
        <v/>
      </c>
      <c r="E952" s="16" t="str">
        <f>IFERROR(__xludf.DUMMYFUNCTION("""COMPUTED_VALUE"""),"")</f>
        <v/>
      </c>
      <c r="F952" s="16" t="str">
        <f>IFERROR(__xludf.DUMMYFUNCTION("""COMPUTED_VALUE"""),"")</f>
        <v/>
      </c>
      <c r="G952" s="16" t="str">
        <f>IFERROR(__xludf.DUMMYFUNCTION("""COMPUTED_VALUE"""),"")</f>
        <v/>
      </c>
      <c r="H952" s="16"/>
      <c r="I952" s="16"/>
      <c r="J952" s="16"/>
      <c r="K952" s="16"/>
      <c r="L952" s="16"/>
      <c r="M952" s="16"/>
      <c r="N952" s="16"/>
      <c r="O952" s="16"/>
      <c r="P952" s="16"/>
      <c r="Q952" s="16"/>
      <c r="R952" s="16"/>
      <c r="S952" s="16"/>
      <c r="T952" s="16"/>
      <c r="U952" s="16"/>
      <c r="V952" s="16"/>
      <c r="W952" s="16"/>
      <c r="X952" s="16"/>
      <c r="Y952" s="16"/>
      <c r="Z952" s="16"/>
    </row>
    <row r="953">
      <c r="A953" s="16"/>
      <c r="B953" s="16" t="str">
        <f>IFERROR(__xludf.DUMMYFUNCTION("""COMPUTED_VALUE"""),"")</f>
        <v/>
      </c>
      <c r="C953" s="16" t="str">
        <f>IFERROR(__xludf.DUMMYFUNCTION("""COMPUTED_VALUE"""),"")</f>
        <v/>
      </c>
      <c r="D953" s="16" t="str">
        <f>IFERROR(__xludf.DUMMYFUNCTION("""COMPUTED_VALUE"""),"")</f>
        <v/>
      </c>
      <c r="E953" s="16" t="str">
        <f>IFERROR(__xludf.DUMMYFUNCTION("""COMPUTED_VALUE"""),"")</f>
        <v/>
      </c>
      <c r="F953" s="16" t="str">
        <f>IFERROR(__xludf.DUMMYFUNCTION("""COMPUTED_VALUE"""),"")</f>
        <v/>
      </c>
      <c r="G953" s="16" t="str">
        <f>IFERROR(__xludf.DUMMYFUNCTION("""COMPUTED_VALUE"""),"")</f>
        <v/>
      </c>
      <c r="H953" s="16"/>
      <c r="I953" s="16"/>
      <c r="J953" s="16"/>
      <c r="K953" s="16"/>
      <c r="L953" s="16"/>
      <c r="M953" s="16"/>
      <c r="N953" s="16"/>
      <c r="O953" s="16"/>
      <c r="P953" s="16"/>
      <c r="Q953" s="16"/>
      <c r="R953" s="16"/>
      <c r="S953" s="16"/>
      <c r="T953" s="16"/>
      <c r="U953" s="16"/>
      <c r="V953" s="16"/>
      <c r="W953" s="16"/>
      <c r="X953" s="16"/>
      <c r="Y953" s="16"/>
      <c r="Z953" s="16"/>
    </row>
    <row r="954">
      <c r="A954" s="16"/>
      <c r="B954" s="16" t="str">
        <f>IFERROR(__xludf.DUMMYFUNCTION("""COMPUTED_VALUE"""),"")</f>
        <v/>
      </c>
      <c r="C954" s="16" t="str">
        <f>IFERROR(__xludf.DUMMYFUNCTION("""COMPUTED_VALUE"""),"")</f>
        <v/>
      </c>
      <c r="D954" s="16" t="str">
        <f>IFERROR(__xludf.DUMMYFUNCTION("""COMPUTED_VALUE"""),"")</f>
        <v/>
      </c>
      <c r="E954" s="16" t="str">
        <f>IFERROR(__xludf.DUMMYFUNCTION("""COMPUTED_VALUE"""),"")</f>
        <v/>
      </c>
      <c r="F954" s="16" t="str">
        <f>IFERROR(__xludf.DUMMYFUNCTION("""COMPUTED_VALUE"""),"")</f>
        <v/>
      </c>
      <c r="G954" s="16" t="str">
        <f>IFERROR(__xludf.DUMMYFUNCTION("""COMPUTED_VALUE"""),"")</f>
        <v/>
      </c>
      <c r="H954" s="16"/>
      <c r="I954" s="16"/>
      <c r="J954" s="16"/>
      <c r="K954" s="16"/>
      <c r="L954" s="16"/>
      <c r="M954" s="16"/>
      <c r="N954" s="16"/>
      <c r="O954" s="16"/>
      <c r="P954" s="16"/>
      <c r="Q954" s="16"/>
      <c r="R954" s="16"/>
      <c r="S954" s="16"/>
      <c r="T954" s="16"/>
      <c r="U954" s="16"/>
      <c r="V954" s="16"/>
      <c r="W954" s="16"/>
      <c r="X954" s="16"/>
      <c r="Y954" s="16"/>
      <c r="Z954" s="16"/>
    </row>
    <row r="955">
      <c r="A955" s="16"/>
      <c r="B955" s="16" t="str">
        <f>IFERROR(__xludf.DUMMYFUNCTION("""COMPUTED_VALUE"""),"")</f>
        <v/>
      </c>
      <c r="C955" s="16" t="str">
        <f>IFERROR(__xludf.DUMMYFUNCTION("""COMPUTED_VALUE"""),"")</f>
        <v/>
      </c>
      <c r="D955" s="16" t="str">
        <f>IFERROR(__xludf.DUMMYFUNCTION("""COMPUTED_VALUE"""),"")</f>
        <v/>
      </c>
      <c r="E955" s="16" t="str">
        <f>IFERROR(__xludf.DUMMYFUNCTION("""COMPUTED_VALUE"""),"")</f>
        <v/>
      </c>
      <c r="F955" s="16" t="str">
        <f>IFERROR(__xludf.DUMMYFUNCTION("""COMPUTED_VALUE"""),"")</f>
        <v/>
      </c>
      <c r="G955" s="16" t="str">
        <f>IFERROR(__xludf.DUMMYFUNCTION("""COMPUTED_VALUE"""),"")</f>
        <v/>
      </c>
      <c r="H955" s="16"/>
      <c r="I955" s="16"/>
      <c r="J955" s="16"/>
      <c r="K955" s="16"/>
      <c r="L955" s="16"/>
      <c r="M955" s="16"/>
      <c r="N955" s="16"/>
      <c r="O955" s="16"/>
      <c r="P955" s="16"/>
      <c r="Q955" s="16"/>
      <c r="R955" s="16"/>
      <c r="S955" s="16"/>
      <c r="T955" s="16"/>
      <c r="U955" s="16"/>
      <c r="V955" s="16"/>
      <c r="W955" s="16"/>
      <c r="X955" s="16"/>
      <c r="Y955" s="16"/>
      <c r="Z955" s="16"/>
    </row>
    <row r="956">
      <c r="A956" s="16"/>
      <c r="B956" s="16" t="str">
        <f>IFERROR(__xludf.DUMMYFUNCTION("""COMPUTED_VALUE"""),"")</f>
        <v/>
      </c>
      <c r="C956" s="16" t="str">
        <f>IFERROR(__xludf.DUMMYFUNCTION("""COMPUTED_VALUE"""),"")</f>
        <v/>
      </c>
      <c r="D956" s="16" t="str">
        <f>IFERROR(__xludf.DUMMYFUNCTION("""COMPUTED_VALUE"""),"")</f>
        <v/>
      </c>
      <c r="E956" s="16" t="str">
        <f>IFERROR(__xludf.DUMMYFUNCTION("""COMPUTED_VALUE"""),"")</f>
        <v/>
      </c>
      <c r="F956" s="16" t="str">
        <f>IFERROR(__xludf.DUMMYFUNCTION("""COMPUTED_VALUE"""),"")</f>
        <v/>
      </c>
      <c r="G956" s="16" t="str">
        <f>IFERROR(__xludf.DUMMYFUNCTION("""COMPUTED_VALUE"""),"")</f>
        <v/>
      </c>
      <c r="H956" s="16"/>
      <c r="I956" s="16"/>
      <c r="J956" s="16"/>
      <c r="K956" s="16"/>
      <c r="L956" s="16"/>
      <c r="M956" s="16"/>
      <c r="N956" s="16"/>
      <c r="O956" s="16"/>
      <c r="P956" s="16"/>
      <c r="Q956" s="16"/>
      <c r="R956" s="16"/>
      <c r="S956" s="16"/>
      <c r="T956" s="16"/>
      <c r="U956" s="16"/>
      <c r="V956" s="16"/>
      <c r="W956" s="16"/>
      <c r="X956" s="16"/>
      <c r="Y956" s="16"/>
      <c r="Z956" s="16"/>
    </row>
    <row r="957">
      <c r="A957" s="16"/>
      <c r="B957" s="16" t="str">
        <f>IFERROR(__xludf.DUMMYFUNCTION("""COMPUTED_VALUE"""),"")</f>
        <v/>
      </c>
      <c r="C957" s="16" t="str">
        <f>IFERROR(__xludf.DUMMYFUNCTION("""COMPUTED_VALUE"""),"")</f>
        <v/>
      </c>
      <c r="D957" s="16" t="str">
        <f>IFERROR(__xludf.DUMMYFUNCTION("""COMPUTED_VALUE"""),"")</f>
        <v/>
      </c>
      <c r="E957" s="16" t="str">
        <f>IFERROR(__xludf.DUMMYFUNCTION("""COMPUTED_VALUE"""),"")</f>
        <v/>
      </c>
      <c r="F957" s="16" t="str">
        <f>IFERROR(__xludf.DUMMYFUNCTION("""COMPUTED_VALUE"""),"")</f>
        <v/>
      </c>
      <c r="G957" s="16" t="str">
        <f>IFERROR(__xludf.DUMMYFUNCTION("""COMPUTED_VALUE"""),"")</f>
        <v/>
      </c>
      <c r="H957" s="16"/>
      <c r="I957" s="16"/>
      <c r="J957" s="16"/>
      <c r="K957" s="16"/>
      <c r="L957" s="16"/>
      <c r="M957" s="16"/>
      <c r="N957" s="16"/>
      <c r="O957" s="16"/>
      <c r="P957" s="16"/>
      <c r="Q957" s="16"/>
      <c r="R957" s="16"/>
      <c r="S957" s="16"/>
      <c r="T957" s="16"/>
      <c r="U957" s="16"/>
      <c r="V957" s="16"/>
      <c r="W957" s="16"/>
      <c r="X957" s="16"/>
      <c r="Y957" s="16"/>
      <c r="Z957" s="16"/>
    </row>
    <row r="958">
      <c r="A958" s="16"/>
      <c r="B958" s="16" t="str">
        <f>IFERROR(__xludf.DUMMYFUNCTION("""COMPUTED_VALUE"""),"")</f>
        <v/>
      </c>
      <c r="C958" s="16" t="str">
        <f>IFERROR(__xludf.DUMMYFUNCTION("""COMPUTED_VALUE"""),"")</f>
        <v/>
      </c>
      <c r="D958" s="16" t="str">
        <f>IFERROR(__xludf.DUMMYFUNCTION("""COMPUTED_VALUE"""),"")</f>
        <v/>
      </c>
      <c r="E958" s="16" t="str">
        <f>IFERROR(__xludf.DUMMYFUNCTION("""COMPUTED_VALUE"""),"")</f>
        <v/>
      </c>
      <c r="F958" s="16" t="str">
        <f>IFERROR(__xludf.DUMMYFUNCTION("""COMPUTED_VALUE"""),"")</f>
        <v/>
      </c>
      <c r="G958" s="16" t="str">
        <f>IFERROR(__xludf.DUMMYFUNCTION("""COMPUTED_VALUE"""),"")</f>
        <v/>
      </c>
      <c r="H958" s="16"/>
      <c r="I958" s="16"/>
      <c r="J958" s="16"/>
      <c r="K958" s="16"/>
      <c r="L958" s="16"/>
      <c r="M958" s="16"/>
      <c r="N958" s="16"/>
      <c r="O958" s="16"/>
      <c r="P958" s="16"/>
      <c r="Q958" s="16"/>
      <c r="R958" s="16"/>
      <c r="S958" s="16"/>
      <c r="T958" s="16"/>
      <c r="U958" s="16"/>
      <c r="V958" s="16"/>
      <c r="W958" s="16"/>
      <c r="X958" s="16"/>
      <c r="Y958" s="16"/>
      <c r="Z958" s="16"/>
    </row>
    <row r="959">
      <c r="A959" s="16"/>
      <c r="B959" s="16" t="str">
        <f>IFERROR(__xludf.DUMMYFUNCTION("""COMPUTED_VALUE"""),"")</f>
        <v/>
      </c>
      <c r="C959" s="16" t="str">
        <f>IFERROR(__xludf.DUMMYFUNCTION("""COMPUTED_VALUE"""),"")</f>
        <v/>
      </c>
      <c r="D959" s="16" t="str">
        <f>IFERROR(__xludf.DUMMYFUNCTION("""COMPUTED_VALUE"""),"")</f>
        <v/>
      </c>
      <c r="E959" s="16" t="str">
        <f>IFERROR(__xludf.DUMMYFUNCTION("""COMPUTED_VALUE"""),"")</f>
        <v/>
      </c>
      <c r="F959" s="16" t="str">
        <f>IFERROR(__xludf.DUMMYFUNCTION("""COMPUTED_VALUE"""),"")</f>
        <v/>
      </c>
      <c r="G959" s="16" t="str">
        <f>IFERROR(__xludf.DUMMYFUNCTION("""COMPUTED_VALUE"""),"")</f>
        <v/>
      </c>
      <c r="H959" s="16"/>
      <c r="I959" s="16"/>
      <c r="J959" s="16"/>
      <c r="K959" s="16"/>
      <c r="L959" s="16"/>
      <c r="M959" s="16"/>
      <c r="N959" s="16"/>
      <c r="O959" s="16"/>
      <c r="P959" s="16"/>
      <c r="Q959" s="16"/>
      <c r="R959" s="16"/>
      <c r="S959" s="16"/>
      <c r="T959" s="16"/>
      <c r="U959" s="16"/>
      <c r="V959" s="16"/>
      <c r="W959" s="16"/>
      <c r="X959" s="16"/>
      <c r="Y959" s="16"/>
      <c r="Z959" s="16"/>
    </row>
    <row r="960">
      <c r="A960" s="16"/>
      <c r="B960" s="16" t="str">
        <f>IFERROR(__xludf.DUMMYFUNCTION("""COMPUTED_VALUE"""),"")</f>
        <v/>
      </c>
      <c r="C960" s="16" t="str">
        <f>IFERROR(__xludf.DUMMYFUNCTION("""COMPUTED_VALUE"""),"")</f>
        <v/>
      </c>
      <c r="D960" s="16" t="str">
        <f>IFERROR(__xludf.DUMMYFUNCTION("""COMPUTED_VALUE"""),"")</f>
        <v/>
      </c>
      <c r="E960" s="16" t="str">
        <f>IFERROR(__xludf.DUMMYFUNCTION("""COMPUTED_VALUE"""),"")</f>
        <v/>
      </c>
      <c r="F960" s="16" t="str">
        <f>IFERROR(__xludf.DUMMYFUNCTION("""COMPUTED_VALUE"""),"")</f>
        <v/>
      </c>
      <c r="G960" s="16" t="str">
        <f>IFERROR(__xludf.DUMMYFUNCTION("""COMPUTED_VALUE"""),"")</f>
        <v/>
      </c>
      <c r="H960" s="16"/>
      <c r="I960" s="16"/>
      <c r="J960" s="16"/>
      <c r="K960" s="16"/>
      <c r="L960" s="16"/>
      <c r="M960" s="16"/>
      <c r="N960" s="16"/>
      <c r="O960" s="16"/>
      <c r="P960" s="16"/>
      <c r="Q960" s="16"/>
      <c r="R960" s="16"/>
      <c r="S960" s="16"/>
      <c r="T960" s="16"/>
      <c r="U960" s="16"/>
      <c r="V960" s="16"/>
      <c r="W960" s="16"/>
      <c r="X960" s="16"/>
      <c r="Y960" s="16"/>
      <c r="Z960" s="16"/>
    </row>
    <row r="961">
      <c r="A961" s="16"/>
      <c r="B961" s="16" t="str">
        <f>IFERROR(__xludf.DUMMYFUNCTION("""COMPUTED_VALUE"""),"")</f>
        <v/>
      </c>
      <c r="C961" s="16" t="str">
        <f>IFERROR(__xludf.DUMMYFUNCTION("""COMPUTED_VALUE"""),"")</f>
        <v/>
      </c>
      <c r="D961" s="16" t="str">
        <f>IFERROR(__xludf.DUMMYFUNCTION("""COMPUTED_VALUE"""),"")</f>
        <v/>
      </c>
      <c r="E961" s="16" t="str">
        <f>IFERROR(__xludf.DUMMYFUNCTION("""COMPUTED_VALUE"""),"")</f>
        <v/>
      </c>
      <c r="F961" s="16" t="str">
        <f>IFERROR(__xludf.DUMMYFUNCTION("""COMPUTED_VALUE"""),"")</f>
        <v/>
      </c>
      <c r="G961" s="16" t="str">
        <f>IFERROR(__xludf.DUMMYFUNCTION("""COMPUTED_VALUE"""),"")</f>
        <v/>
      </c>
      <c r="H961" s="16"/>
      <c r="I961" s="16"/>
      <c r="J961" s="16"/>
      <c r="K961" s="16"/>
      <c r="L961" s="16"/>
      <c r="M961" s="16"/>
      <c r="N961" s="16"/>
      <c r="O961" s="16"/>
      <c r="P961" s="16"/>
      <c r="Q961" s="16"/>
      <c r="R961" s="16"/>
      <c r="S961" s="16"/>
      <c r="T961" s="16"/>
      <c r="U961" s="16"/>
      <c r="V961" s="16"/>
      <c r="W961" s="16"/>
      <c r="X961" s="16"/>
      <c r="Y961" s="16"/>
      <c r="Z961" s="16"/>
    </row>
    <row r="962">
      <c r="A962" s="16"/>
      <c r="B962" s="16" t="str">
        <f>IFERROR(__xludf.DUMMYFUNCTION("""COMPUTED_VALUE"""),"")</f>
        <v/>
      </c>
      <c r="C962" s="16" t="str">
        <f>IFERROR(__xludf.DUMMYFUNCTION("""COMPUTED_VALUE"""),"")</f>
        <v/>
      </c>
      <c r="D962" s="16" t="str">
        <f>IFERROR(__xludf.DUMMYFUNCTION("""COMPUTED_VALUE"""),"")</f>
        <v/>
      </c>
      <c r="E962" s="16" t="str">
        <f>IFERROR(__xludf.DUMMYFUNCTION("""COMPUTED_VALUE"""),"")</f>
        <v/>
      </c>
      <c r="F962" s="16" t="str">
        <f>IFERROR(__xludf.DUMMYFUNCTION("""COMPUTED_VALUE"""),"")</f>
        <v/>
      </c>
      <c r="G962" s="16" t="str">
        <f>IFERROR(__xludf.DUMMYFUNCTION("""COMPUTED_VALUE"""),"")</f>
        <v/>
      </c>
      <c r="H962" s="16"/>
      <c r="I962" s="16"/>
      <c r="J962" s="16"/>
      <c r="K962" s="16"/>
      <c r="L962" s="16"/>
      <c r="M962" s="16"/>
      <c r="N962" s="16"/>
      <c r="O962" s="16"/>
      <c r="P962" s="16"/>
      <c r="Q962" s="16"/>
      <c r="R962" s="16"/>
      <c r="S962" s="16"/>
      <c r="T962" s="16"/>
      <c r="U962" s="16"/>
      <c r="V962" s="16"/>
      <c r="W962" s="16"/>
      <c r="X962" s="16"/>
      <c r="Y962" s="16"/>
      <c r="Z962" s="16"/>
    </row>
    <row r="963">
      <c r="A963" s="16"/>
      <c r="B963" s="16" t="str">
        <f>IFERROR(__xludf.DUMMYFUNCTION("""COMPUTED_VALUE"""),"")</f>
        <v/>
      </c>
      <c r="C963" s="16" t="str">
        <f>IFERROR(__xludf.DUMMYFUNCTION("""COMPUTED_VALUE"""),"")</f>
        <v/>
      </c>
      <c r="D963" s="16" t="str">
        <f>IFERROR(__xludf.DUMMYFUNCTION("""COMPUTED_VALUE"""),"")</f>
        <v/>
      </c>
      <c r="E963" s="16" t="str">
        <f>IFERROR(__xludf.DUMMYFUNCTION("""COMPUTED_VALUE"""),"")</f>
        <v/>
      </c>
      <c r="F963" s="16" t="str">
        <f>IFERROR(__xludf.DUMMYFUNCTION("""COMPUTED_VALUE"""),"")</f>
        <v/>
      </c>
      <c r="G963" s="16" t="str">
        <f>IFERROR(__xludf.DUMMYFUNCTION("""COMPUTED_VALUE"""),"")</f>
        <v/>
      </c>
      <c r="H963" s="16"/>
      <c r="I963" s="16"/>
      <c r="J963" s="16"/>
      <c r="K963" s="16"/>
      <c r="L963" s="16"/>
      <c r="M963" s="16"/>
      <c r="N963" s="16"/>
      <c r="O963" s="16"/>
      <c r="P963" s="16"/>
      <c r="Q963" s="16"/>
      <c r="R963" s="16"/>
      <c r="S963" s="16"/>
      <c r="T963" s="16"/>
      <c r="U963" s="16"/>
      <c r="V963" s="16"/>
      <c r="W963" s="16"/>
      <c r="X963" s="16"/>
      <c r="Y963" s="16"/>
      <c r="Z963" s="16"/>
    </row>
    <row r="964">
      <c r="A964" s="16"/>
      <c r="B964" s="16" t="str">
        <f>IFERROR(__xludf.DUMMYFUNCTION("""COMPUTED_VALUE"""),"")</f>
        <v/>
      </c>
      <c r="C964" s="16" t="str">
        <f>IFERROR(__xludf.DUMMYFUNCTION("""COMPUTED_VALUE"""),"")</f>
        <v/>
      </c>
      <c r="D964" s="16" t="str">
        <f>IFERROR(__xludf.DUMMYFUNCTION("""COMPUTED_VALUE"""),"")</f>
        <v/>
      </c>
      <c r="E964" s="16" t="str">
        <f>IFERROR(__xludf.DUMMYFUNCTION("""COMPUTED_VALUE"""),"")</f>
        <v/>
      </c>
      <c r="F964" s="16" t="str">
        <f>IFERROR(__xludf.DUMMYFUNCTION("""COMPUTED_VALUE"""),"")</f>
        <v/>
      </c>
      <c r="G964" s="16" t="str">
        <f>IFERROR(__xludf.DUMMYFUNCTION("""COMPUTED_VALUE"""),"")</f>
        <v/>
      </c>
      <c r="H964" s="16"/>
      <c r="I964" s="16"/>
      <c r="J964" s="16"/>
      <c r="K964" s="16"/>
      <c r="L964" s="16"/>
      <c r="M964" s="16"/>
      <c r="N964" s="16"/>
      <c r="O964" s="16"/>
      <c r="P964" s="16"/>
      <c r="Q964" s="16"/>
      <c r="R964" s="16"/>
      <c r="S964" s="16"/>
      <c r="T964" s="16"/>
      <c r="U964" s="16"/>
      <c r="V964" s="16"/>
      <c r="W964" s="16"/>
      <c r="X964" s="16"/>
      <c r="Y964" s="16"/>
      <c r="Z964" s="16"/>
    </row>
    <row r="965">
      <c r="A965" s="16"/>
      <c r="B965" s="16" t="str">
        <f>IFERROR(__xludf.DUMMYFUNCTION("""COMPUTED_VALUE"""),"")</f>
        <v/>
      </c>
      <c r="C965" s="16" t="str">
        <f>IFERROR(__xludf.DUMMYFUNCTION("""COMPUTED_VALUE"""),"")</f>
        <v/>
      </c>
      <c r="D965" s="16" t="str">
        <f>IFERROR(__xludf.DUMMYFUNCTION("""COMPUTED_VALUE"""),"")</f>
        <v/>
      </c>
      <c r="E965" s="16" t="str">
        <f>IFERROR(__xludf.DUMMYFUNCTION("""COMPUTED_VALUE"""),"")</f>
        <v/>
      </c>
      <c r="F965" s="16" t="str">
        <f>IFERROR(__xludf.DUMMYFUNCTION("""COMPUTED_VALUE"""),"")</f>
        <v/>
      </c>
      <c r="G965" s="16" t="str">
        <f>IFERROR(__xludf.DUMMYFUNCTION("""COMPUTED_VALUE"""),"")</f>
        <v/>
      </c>
      <c r="H965" s="16"/>
      <c r="I965" s="16"/>
      <c r="J965" s="16"/>
      <c r="K965" s="16"/>
      <c r="L965" s="16"/>
      <c r="M965" s="16"/>
      <c r="N965" s="16"/>
      <c r="O965" s="16"/>
      <c r="P965" s="16"/>
      <c r="Q965" s="16"/>
      <c r="R965" s="16"/>
      <c r="S965" s="16"/>
      <c r="T965" s="16"/>
      <c r="U965" s="16"/>
      <c r="V965" s="16"/>
      <c r="W965" s="16"/>
      <c r="X965" s="16"/>
      <c r="Y965" s="16"/>
      <c r="Z965" s="16"/>
    </row>
    <row r="966">
      <c r="A966" s="16"/>
      <c r="B966" s="16" t="str">
        <f>IFERROR(__xludf.DUMMYFUNCTION("""COMPUTED_VALUE"""),"")</f>
        <v/>
      </c>
      <c r="C966" s="16" t="str">
        <f>IFERROR(__xludf.DUMMYFUNCTION("""COMPUTED_VALUE"""),"")</f>
        <v/>
      </c>
      <c r="D966" s="16" t="str">
        <f>IFERROR(__xludf.DUMMYFUNCTION("""COMPUTED_VALUE"""),"")</f>
        <v/>
      </c>
      <c r="E966" s="16" t="str">
        <f>IFERROR(__xludf.DUMMYFUNCTION("""COMPUTED_VALUE"""),"")</f>
        <v/>
      </c>
      <c r="F966" s="16" t="str">
        <f>IFERROR(__xludf.DUMMYFUNCTION("""COMPUTED_VALUE"""),"")</f>
        <v/>
      </c>
      <c r="G966" s="16" t="str">
        <f>IFERROR(__xludf.DUMMYFUNCTION("""COMPUTED_VALUE"""),"")</f>
        <v/>
      </c>
      <c r="H966" s="16"/>
      <c r="I966" s="16"/>
      <c r="J966" s="16"/>
      <c r="K966" s="16"/>
      <c r="L966" s="16"/>
      <c r="M966" s="16"/>
      <c r="N966" s="16"/>
      <c r="O966" s="16"/>
      <c r="P966" s="16"/>
      <c r="Q966" s="16"/>
      <c r="R966" s="16"/>
      <c r="S966" s="16"/>
      <c r="T966" s="16"/>
      <c r="U966" s="16"/>
      <c r="V966" s="16"/>
      <c r="W966" s="16"/>
      <c r="X966" s="16"/>
      <c r="Y966" s="16"/>
      <c r="Z966" s="16"/>
    </row>
    <row r="967">
      <c r="A967" s="16"/>
      <c r="B967" s="16" t="str">
        <f>IFERROR(__xludf.DUMMYFUNCTION("""COMPUTED_VALUE"""),"")</f>
        <v/>
      </c>
      <c r="C967" s="16" t="str">
        <f>IFERROR(__xludf.DUMMYFUNCTION("""COMPUTED_VALUE"""),"")</f>
        <v/>
      </c>
      <c r="D967" s="16" t="str">
        <f>IFERROR(__xludf.DUMMYFUNCTION("""COMPUTED_VALUE"""),"")</f>
        <v/>
      </c>
      <c r="E967" s="16" t="str">
        <f>IFERROR(__xludf.DUMMYFUNCTION("""COMPUTED_VALUE"""),"")</f>
        <v/>
      </c>
      <c r="F967" s="16" t="str">
        <f>IFERROR(__xludf.DUMMYFUNCTION("""COMPUTED_VALUE"""),"")</f>
        <v/>
      </c>
      <c r="G967" s="16" t="str">
        <f>IFERROR(__xludf.DUMMYFUNCTION("""COMPUTED_VALUE"""),"")</f>
        <v/>
      </c>
      <c r="H967" s="16"/>
      <c r="I967" s="16"/>
      <c r="J967" s="16"/>
      <c r="K967" s="16"/>
      <c r="L967" s="16"/>
      <c r="M967" s="16"/>
      <c r="N967" s="16"/>
      <c r="O967" s="16"/>
      <c r="P967" s="16"/>
      <c r="Q967" s="16"/>
      <c r="R967" s="16"/>
      <c r="S967" s="16"/>
      <c r="T967" s="16"/>
      <c r="U967" s="16"/>
      <c r="V967" s="16"/>
      <c r="W967" s="16"/>
      <c r="X967" s="16"/>
      <c r="Y967" s="16"/>
      <c r="Z967" s="16"/>
    </row>
    <row r="968">
      <c r="A968" s="16"/>
      <c r="B968" s="16" t="str">
        <f>IFERROR(__xludf.DUMMYFUNCTION("""COMPUTED_VALUE"""),"")</f>
        <v/>
      </c>
      <c r="C968" s="16" t="str">
        <f>IFERROR(__xludf.DUMMYFUNCTION("""COMPUTED_VALUE"""),"")</f>
        <v/>
      </c>
      <c r="D968" s="16" t="str">
        <f>IFERROR(__xludf.DUMMYFUNCTION("""COMPUTED_VALUE"""),"")</f>
        <v/>
      </c>
      <c r="E968" s="16" t="str">
        <f>IFERROR(__xludf.DUMMYFUNCTION("""COMPUTED_VALUE"""),"")</f>
        <v/>
      </c>
      <c r="F968" s="16" t="str">
        <f>IFERROR(__xludf.DUMMYFUNCTION("""COMPUTED_VALUE"""),"")</f>
        <v/>
      </c>
      <c r="G968" s="16" t="str">
        <f>IFERROR(__xludf.DUMMYFUNCTION("""COMPUTED_VALUE"""),"")</f>
        <v/>
      </c>
      <c r="H968" s="16"/>
      <c r="I968" s="16"/>
      <c r="J968" s="16"/>
      <c r="K968" s="16"/>
      <c r="L968" s="16"/>
      <c r="M968" s="16"/>
      <c r="N968" s="16"/>
      <c r="O968" s="16"/>
      <c r="P968" s="16"/>
      <c r="Q968" s="16"/>
      <c r="R968" s="16"/>
      <c r="S968" s="16"/>
      <c r="T968" s="16"/>
      <c r="U968" s="16"/>
      <c r="V968" s="16"/>
      <c r="W968" s="16"/>
      <c r="X968" s="16"/>
      <c r="Y968" s="16"/>
      <c r="Z968" s="16"/>
    </row>
    <row r="969">
      <c r="A969" s="16"/>
      <c r="B969" s="16" t="str">
        <f>IFERROR(__xludf.DUMMYFUNCTION("""COMPUTED_VALUE"""),"")</f>
        <v/>
      </c>
      <c r="C969" s="16" t="str">
        <f>IFERROR(__xludf.DUMMYFUNCTION("""COMPUTED_VALUE"""),"")</f>
        <v/>
      </c>
      <c r="D969" s="16" t="str">
        <f>IFERROR(__xludf.DUMMYFUNCTION("""COMPUTED_VALUE"""),"")</f>
        <v/>
      </c>
      <c r="E969" s="16" t="str">
        <f>IFERROR(__xludf.DUMMYFUNCTION("""COMPUTED_VALUE"""),"")</f>
        <v/>
      </c>
      <c r="F969" s="16" t="str">
        <f>IFERROR(__xludf.DUMMYFUNCTION("""COMPUTED_VALUE"""),"")</f>
        <v/>
      </c>
      <c r="G969" s="16" t="str">
        <f>IFERROR(__xludf.DUMMYFUNCTION("""COMPUTED_VALUE"""),"")</f>
        <v/>
      </c>
      <c r="H969" s="16"/>
      <c r="I969" s="16"/>
      <c r="J969" s="16"/>
      <c r="K969" s="16"/>
      <c r="L969" s="16"/>
      <c r="M969" s="16"/>
      <c r="N969" s="16"/>
      <c r="O969" s="16"/>
      <c r="P969" s="16"/>
      <c r="Q969" s="16"/>
      <c r="R969" s="16"/>
      <c r="S969" s="16"/>
      <c r="T969" s="16"/>
      <c r="U969" s="16"/>
      <c r="V969" s="16"/>
      <c r="W969" s="16"/>
      <c r="X969" s="16"/>
      <c r="Y969" s="16"/>
      <c r="Z969" s="16"/>
    </row>
    <row r="970">
      <c r="A970" s="16"/>
      <c r="B970" s="16" t="str">
        <f>IFERROR(__xludf.DUMMYFUNCTION("""COMPUTED_VALUE"""),"")</f>
        <v/>
      </c>
      <c r="C970" s="16" t="str">
        <f>IFERROR(__xludf.DUMMYFUNCTION("""COMPUTED_VALUE"""),"")</f>
        <v/>
      </c>
      <c r="D970" s="16" t="str">
        <f>IFERROR(__xludf.DUMMYFUNCTION("""COMPUTED_VALUE"""),"")</f>
        <v/>
      </c>
      <c r="E970" s="16" t="str">
        <f>IFERROR(__xludf.DUMMYFUNCTION("""COMPUTED_VALUE"""),"")</f>
        <v/>
      </c>
      <c r="F970" s="16" t="str">
        <f>IFERROR(__xludf.DUMMYFUNCTION("""COMPUTED_VALUE"""),"")</f>
        <v/>
      </c>
      <c r="G970" s="16" t="str">
        <f>IFERROR(__xludf.DUMMYFUNCTION("""COMPUTED_VALUE"""),"")</f>
        <v/>
      </c>
      <c r="H970" s="16"/>
      <c r="I970" s="16"/>
      <c r="J970" s="16"/>
      <c r="K970" s="16"/>
      <c r="L970" s="16"/>
      <c r="M970" s="16"/>
      <c r="N970" s="16"/>
      <c r="O970" s="16"/>
      <c r="P970" s="16"/>
      <c r="Q970" s="16"/>
      <c r="R970" s="16"/>
      <c r="S970" s="16"/>
      <c r="T970" s="16"/>
      <c r="U970" s="16"/>
      <c r="V970" s="16"/>
      <c r="W970" s="16"/>
      <c r="X970" s="16"/>
      <c r="Y970" s="16"/>
      <c r="Z970" s="16"/>
    </row>
    <row r="971">
      <c r="A971" s="16"/>
      <c r="B971" s="16" t="str">
        <f>IFERROR(__xludf.DUMMYFUNCTION("""COMPUTED_VALUE"""),"")</f>
        <v/>
      </c>
      <c r="C971" s="16" t="str">
        <f>IFERROR(__xludf.DUMMYFUNCTION("""COMPUTED_VALUE"""),"")</f>
        <v/>
      </c>
      <c r="D971" s="16" t="str">
        <f>IFERROR(__xludf.DUMMYFUNCTION("""COMPUTED_VALUE"""),"")</f>
        <v/>
      </c>
      <c r="E971" s="16" t="str">
        <f>IFERROR(__xludf.DUMMYFUNCTION("""COMPUTED_VALUE"""),"")</f>
        <v/>
      </c>
      <c r="F971" s="16" t="str">
        <f>IFERROR(__xludf.DUMMYFUNCTION("""COMPUTED_VALUE"""),"")</f>
        <v/>
      </c>
      <c r="G971" s="16" t="str">
        <f>IFERROR(__xludf.DUMMYFUNCTION("""COMPUTED_VALUE"""),"")</f>
        <v/>
      </c>
      <c r="H971" s="16"/>
      <c r="I971" s="16"/>
      <c r="J971" s="16"/>
      <c r="K971" s="16"/>
      <c r="L971" s="16"/>
      <c r="M971" s="16"/>
      <c r="N971" s="16"/>
      <c r="O971" s="16"/>
      <c r="P971" s="16"/>
      <c r="Q971" s="16"/>
      <c r="R971" s="16"/>
      <c r="S971" s="16"/>
      <c r="T971" s="16"/>
      <c r="U971" s="16"/>
      <c r="V971" s="16"/>
      <c r="W971" s="16"/>
      <c r="X971" s="16"/>
      <c r="Y971" s="16"/>
      <c r="Z971" s="16"/>
    </row>
    <row r="972">
      <c r="A972" s="16"/>
      <c r="B972" s="16" t="str">
        <f>IFERROR(__xludf.DUMMYFUNCTION("""COMPUTED_VALUE"""),"")</f>
        <v/>
      </c>
      <c r="C972" s="16" t="str">
        <f>IFERROR(__xludf.DUMMYFUNCTION("""COMPUTED_VALUE"""),"")</f>
        <v/>
      </c>
      <c r="D972" s="16" t="str">
        <f>IFERROR(__xludf.DUMMYFUNCTION("""COMPUTED_VALUE"""),"")</f>
        <v/>
      </c>
      <c r="E972" s="16" t="str">
        <f>IFERROR(__xludf.DUMMYFUNCTION("""COMPUTED_VALUE"""),"")</f>
        <v/>
      </c>
      <c r="F972" s="16" t="str">
        <f>IFERROR(__xludf.DUMMYFUNCTION("""COMPUTED_VALUE"""),"")</f>
        <v/>
      </c>
      <c r="G972" s="16" t="str">
        <f>IFERROR(__xludf.DUMMYFUNCTION("""COMPUTED_VALUE"""),"")</f>
        <v/>
      </c>
      <c r="H972" s="16"/>
      <c r="I972" s="16"/>
      <c r="J972" s="16"/>
      <c r="K972" s="16"/>
      <c r="L972" s="16"/>
      <c r="M972" s="16"/>
      <c r="N972" s="16"/>
      <c r="O972" s="16"/>
      <c r="P972" s="16"/>
      <c r="Q972" s="16"/>
      <c r="R972" s="16"/>
      <c r="S972" s="16"/>
      <c r="T972" s="16"/>
      <c r="U972" s="16"/>
      <c r="V972" s="16"/>
      <c r="W972" s="16"/>
      <c r="X972" s="16"/>
      <c r="Y972" s="16"/>
      <c r="Z972" s="16"/>
    </row>
    <row r="973">
      <c r="A973" s="16"/>
      <c r="B973" s="16" t="str">
        <f>IFERROR(__xludf.DUMMYFUNCTION("""COMPUTED_VALUE"""),"")</f>
        <v/>
      </c>
      <c r="C973" s="16" t="str">
        <f>IFERROR(__xludf.DUMMYFUNCTION("""COMPUTED_VALUE"""),"")</f>
        <v/>
      </c>
      <c r="D973" s="16" t="str">
        <f>IFERROR(__xludf.DUMMYFUNCTION("""COMPUTED_VALUE"""),"")</f>
        <v/>
      </c>
      <c r="E973" s="16" t="str">
        <f>IFERROR(__xludf.DUMMYFUNCTION("""COMPUTED_VALUE"""),"")</f>
        <v/>
      </c>
      <c r="F973" s="16" t="str">
        <f>IFERROR(__xludf.DUMMYFUNCTION("""COMPUTED_VALUE"""),"")</f>
        <v/>
      </c>
      <c r="G973" s="16" t="str">
        <f>IFERROR(__xludf.DUMMYFUNCTION("""COMPUTED_VALUE"""),"")</f>
        <v/>
      </c>
      <c r="H973" s="16"/>
      <c r="I973" s="16"/>
      <c r="J973" s="16"/>
      <c r="K973" s="16"/>
      <c r="L973" s="16"/>
      <c r="M973" s="16"/>
      <c r="N973" s="16"/>
      <c r="O973" s="16"/>
      <c r="P973" s="16"/>
      <c r="Q973" s="16"/>
      <c r="R973" s="16"/>
      <c r="S973" s="16"/>
      <c r="T973" s="16"/>
      <c r="U973" s="16"/>
      <c r="V973" s="16"/>
      <c r="W973" s="16"/>
      <c r="X973" s="16"/>
      <c r="Y973" s="16"/>
      <c r="Z973" s="16"/>
    </row>
    <row r="974">
      <c r="A974" s="16"/>
      <c r="B974" s="16" t="str">
        <f>IFERROR(__xludf.DUMMYFUNCTION("""COMPUTED_VALUE"""),"")</f>
        <v/>
      </c>
      <c r="C974" s="16" t="str">
        <f>IFERROR(__xludf.DUMMYFUNCTION("""COMPUTED_VALUE"""),"")</f>
        <v/>
      </c>
      <c r="D974" s="16" t="str">
        <f>IFERROR(__xludf.DUMMYFUNCTION("""COMPUTED_VALUE"""),"")</f>
        <v/>
      </c>
      <c r="E974" s="16" t="str">
        <f>IFERROR(__xludf.DUMMYFUNCTION("""COMPUTED_VALUE"""),"")</f>
        <v/>
      </c>
      <c r="F974" s="16" t="str">
        <f>IFERROR(__xludf.DUMMYFUNCTION("""COMPUTED_VALUE"""),"")</f>
        <v/>
      </c>
      <c r="G974" s="16" t="str">
        <f>IFERROR(__xludf.DUMMYFUNCTION("""COMPUTED_VALUE"""),"")</f>
        <v/>
      </c>
      <c r="H974" s="16"/>
      <c r="I974" s="16"/>
      <c r="J974" s="16"/>
      <c r="K974" s="16"/>
      <c r="L974" s="16"/>
      <c r="M974" s="16"/>
      <c r="N974" s="16"/>
      <c r="O974" s="16"/>
      <c r="P974" s="16"/>
      <c r="Q974" s="16"/>
      <c r="R974" s="16"/>
      <c r="S974" s="16"/>
      <c r="T974" s="16"/>
      <c r="U974" s="16"/>
      <c r="V974" s="16"/>
      <c r="W974" s="16"/>
      <c r="X974" s="16"/>
      <c r="Y974" s="16"/>
      <c r="Z974" s="16"/>
    </row>
    <row r="975">
      <c r="A975" s="16"/>
      <c r="B975" s="16" t="str">
        <f>IFERROR(__xludf.DUMMYFUNCTION("""COMPUTED_VALUE"""),"")</f>
        <v/>
      </c>
      <c r="C975" s="16" t="str">
        <f>IFERROR(__xludf.DUMMYFUNCTION("""COMPUTED_VALUE"""),"")</f>
        <v/>
      </c>
      <c r="D975" s="16" t="str">
        <f>IFERROR(__xludf.DUMMYFUNCTION("""COMPUTED_VALUE"""),"")</f>
        <v/>
      </c>
      <c r="E975" s="16" t="str">
        <f>IFERROR(__xludf.DUMMYFUNCTION("""COMPUTED_VALUE"""),"")</f>
        <v/>
      </c>
      <c r="F975" s="16" t="str">
        <f>IFERROR(__xludf.DUMMYFUNCTION("""COMPUTED_VALUE"""),"")</f>
        <v/>
      </c>
      <c r="G975" s="16" t="str">
        <f>IFERROR(__xludf.DUMMYFUNCTION("""COMPUTED_VALUE"""),"")</f>
        <v/>
      </c>
      <c r="H975" s="16"/>
      <c r="I975" s="16"/>
      <c r="J975" s="16"/>
      <c r="K975" s="16"/>
      <c r="L975" s="16"/>
      <c r="M975" s="16"/>
      <c r="N975" s="16"/>
      <c r="O975" s="16"/>
      <c r="P975" s="16"/>
      <c r="Q975" s="16"/>
      <c r="R975" s="16"/>
      <c r="S975" s="16"/>
      <c r="T975" s="16"/>
      <c r="U975" s="16"/>
      <c r="V975" s="16"/>
      <c r="W975" s="16"/>
      <c r="X975" s="16"/>
      <c r="Y975" s="16"/>
      <c r="Z975" s="16"/>
    </row>
    <row r="976">
      <c r="A976" s="16"/>
      <c r="B976" s="16" t="str">
        <f>IFERROR(__xludf.DUMMYFUNCTION("""COMPUTED_VALUE"""),"")</f>
        <v/>
      </c>
      <c r="C976" s="16" t="str">
        <f>IFERROR(__xludf.DUMMYFUNCTION("""COMPUTED_VALUE"""),"")</f>
        <v/>
      </c>
      <c r="D976" s="16" t="str">
        <f>IFERROR(__xludf.DUMMYFUNCTION("""COMPUTED_VALUE"""),"")</f>
        <v/>
      </c>
      <c r="E976" s="16" t="str">
        <f>IFERROR(__xludf.DUMMYFUNCTION("""COMPUTED_VALUE"""),"")</f>
        <v/>
      </c>
      <c r="F976" s="16" t="str">
        <f>IFERROR(__xludf.DUMMYFUNCTION("""COMPUTED_VALUE"""),"")</f>
        <v/>
      </c>
      <c r="G976" s="16" t="str">
        <f>IFERROR(__xludf.DUMMYFUNCTION("""COMPUTED_VALUE"""),"")</f>
        <v/>
      </c>
      <c r="H976" s="16"/>
      <c r="I976" s="16"/>
      <c r="J976" s="16"/>
      <c r="K976" s="16"/>
      <c r="L976" s="16"/>
      <c r="M976" s="16"/>
      <c r="N976" s="16"/>
      <c r="O976" s="16"/>
      <c r="P976" s="16"/>
      <c r="Q976" s="16"/>
      <c r="R976" s="16"/>
      <c r="S976" s="16"/>
      <c r="T976" s="16"/>
      <c r="U976" s="16"/>
      <c r="V976" s="16"/>
      <c r="W976" s="16"/>
      <c r="X976" s="16"/>
      <c r="Y976" s="16"/>
      <c r="Z976" s="16"/>
    </row>
    <row r="977">
      <c r="A977" s="16"/>
      <c r="B977" s="16" t="str">
        <f>IFERROR(__xludf.DUMMYFUNCTION("""COMPUTED_VALUE"""),"")</f>
        <v/>
      </c>
      <c r="C977" s="16" t="str">
        <f>IFERROR(__xludf.DUMMYFUNCTION("""COMPUTED_VALUE"""),"")</f>
        <v/>
      </c>
      <c r="D977" s="16" t="str">
        <f>IFERROR(__xludf.DUMMYFUNCTION("""COMPUTED_VALUE"""),"")</f>
        <v/>
      </c>
      <c r="E977" s="16" t="str">
        <f>IFERROR(__xludf.DUMMYFUNCTION("""COMPUTED_VALUE"""),"")</f>
        <v/>
      </c>
      <c r="F977" s="16" t="str">
        <f>IFERROR(__xludf.DUMMYFUNCTION("""COMPUTED_VALUE"""),"")</f>
        <v/>
      </c>
      <c r="G977" s="16" t="str">
        <f>IFERROR(__xludf.DUMMYFUNCTION("""COMPUTED_VALUE"""),"")</f>
        <v/>
      </c>
      <c r="H977" s="16"/>
      <c r="I977" s="16"/>
      <c r="J977" s="16"/>
      <c r="K977" s="16"/>
      <c r="L977" s="16"/>
      <c r="M977" s="16"/>
      <c r="N977" s="16"/>
      <c r="O977" s="16"/>
      <c r="P977" s="16"/>
      <c r="Q977" s="16"/>
      <c r="R977" s="16"/>
      <c r="S977" s="16"/>
      <c r="T977" s="16"/>
      <c r="U977" s="16"/>
      <c r="V977" s="16"/>
      <c r="W977" s="16"/>
      <c r="X977" s="16"/>
      <c r="Y977" s="16"/>
      <c r="Z977" s="16"/>
    </row>
    <row r="978">
      <c r="A978" s="16"/>
      <c r="B978" s="16" t="str">
        <f>IFERROR(__xludf.DUMMYFUNCTION("""COMPUTED_VALUE"""),"")</f>
        <v/>
      </c>
      <c r="C978" s="16" t="str">
        <f>IFERROR(__xludf.DUMMYFUNCTION("""COMPUTED_VALUE"""),"")</f>
        <v/>
      </c>
      <c r="D978" s="16" t="str">
        <f>IFERROR(__xludf.DUMMYFUNCTION("""COMPUTED_VALUE"""),"")</f>
        <v/>
      </c>
      <c r="E978" s="16" t="str">
        <f>IFERROR(__xludf.DUMMYFUNCTION("""COMPUTED_VALUE"""),"")</f>
        <v/>
      </c>
      <c r="F978" s="16" t="str">
        <f>IFERROR(__xludf.DUMMYFUNCTION("""COMPUTED_VALUE"""),"")</f>
        <v/>
      </c>
      <c r="G978" s="16" t="str">
        <f>IFERROR(__xludf.DUMMYFUNCTION("""COMPUTED_VALUE"""),"")</f>
        <v/>
      </c>
      <c r="H978" s="16"/>
      <c r="I978" s="16"/>
      <c r="J978" s="16"/>
      <c r="K978" s="16"/>
      <c r="L978" s="16"/>
      <c r="M978" s="16"/>
      <c r="N978" s="16"/>
      <c r="O978" s="16"/>
      <c r="P978" s="16"/>
      <c r="Q978" s="16"/>
      <c r="R978" s="16"/>
      <c r="S978" s="16"/>
      <c r="T978" s="16"/>
      <c r="U978" s="16"/>
      <c r="V978" s="16"/>
      <c r="W978" s="16"/>
      <c r="X978" s="16"/>
      <c r="Y978" s="16"/>
      <c r="Z978" s="16"/>
    </row>
    <row r="979">
      <c r="A979" s="16"/>
      <c r="B979" s="16" t="str">
        <f>IFERROR(__xludf.DUMMYFUNCTION("""COMPUTED_VALUE"""),"")</f>
        <v/>
      </c>
      <c r="C979" s="16" t="str">
        <f>IFERROR(__xludf.DUMMYFUNCTION("""COMPUTED_VALUE"""),"")</f>
        <v/>
      </c>
      <c r="D979" s="16" t="str">
        <f>IFERROR(__xludf.DUMMYFUNCTION("""COMPUTED_VALUE"""),"")</f>
        <v/>
      </c>
      <c r="E979" s="16" t="str">
        <f>IFERROR(__xludf.DUMMYFUNCTION("""COMPUTED_VALUE"""),"")</f>
        <v/>
      </c>
      <c r="F979" s="16" t="str">
        <f>IFERROR(__xludf.DUMMYFUNCTION("""COMPUTED_VALUE"""),"")</f>
        <v/>
      </c>
      <c r="G979" s="16" t="str">
        <f>IFERROR(__xludf.DUMMYFUNCTION("""COMPUTED_VALUE"""),"")</f>
        <v/>
      </c>
      <c r="H979" s="16"/>
      <c r="I979" s="16"/>
      <c r="J979" s="16"/>
      <c r="K979" s="16"/>
      <c r="L979" s="16"/>
      <c r="M979" s="16"/>
      <c r="N979" s="16"/>
      <c r="O979" s="16"/>
      <c r="P979" s="16"/>
      <c r="Q979" s="16"/>
      <c r="R979" s="16"/>
      <c r="S979" s="16"/>
      <c r="T979" s="16"/>
      <c r="U979" s="16"/>
      <c r="V979" s="16"/>
      <c r="W979" s="16"/>
      <c r="X979" s="16"/>
      <c r="Y979" s="16"/>
      <c r="Z979" s="16"/>
    </row>
    <row r="980">
      <c r="A980" s="16"/>
      <c r="B980" s="16" t="str">
        <f>IFERROR(__xludf.DUMMYFUNCTION("""COMPUTED_VALUE"""),"")</f>
        <v/>
      </c>
      <c r="C980" s="16" t="str">
        <f>IFERROR(__xludf.DUMMYFUNCTION("""COMPUTED_VALUE"""),"")</f>
        <v/>
      </c>
      <c r="D980" s="16" t="str">
        <f>IFERROR(__xludf.DUMMYFUNCTION("""COMPUTED_VALUE"""),"")</f>
        <v/>
      </c>
      <c r="E980" s="16" t="str">
        <f>IFERROR(__xludf.DUMMYFUNCTION("""COMPUTED_VALUE"""),"")</f>
        <v/>
      </c>
      <c r="F980" s="16" t="str">
        <f>IFERROR(__xludf.DUMMYFUNCTION("""COMPUTED_VALUE"""),"")</f>
        <v/>
      </c>
      <c r="G980" s="16" t="str">
        <f>IFERROR(__xludf.DUMMYFUNCTION("""COMPUTED_VALUE"""),"")</f>
        <v/>
      </c>
      <c r="H980" s="16"/>
      <c r="I980" s="16"/>
      <c r="J980" s="16"/>
      <c r="K980" s="16"/>
      <c r="L980" s="16"/>
      <c r="M980" s="16"/>
      <c r="N980" s="16"/>
      <c r="O980" s="16"/>
      <c r="P980" s="16"/>
      <c r="Q980" s="16"/>
      <c r="R980" s="16"/>
      <c r="S980" s="16"/>
      <c r="T980" s="16"/>
      <c r="U980" s="16"/>
      <c r="V980" s="16"/>
      <c r="W980" s="16"/>
      <c r="X980" s="16"/>
      <c r="Y980" s="16"/>
      <c r="Z980" s="16"/>
    </row>
    <row r="981">
      <c r="A981" s="16"/>
      <c r="B981" s="16" t="str">
        <f>IFERROR(__xludf.DUMMYFUNCTION("""COMPUTED_VALUE"""),"")</f>
        <v/>
      </c>
      <c r="C981" s="16" t="str">
        <f>IFERROR(__xludf.DUMMYFUNCTION("""COMPUTED_VALUE"""),"")</f>
        <v/>
      </c>
      <c r="D981" s="16" t="str">
        <f>IFERROR(__xludf.DUMMYFUNCTION("""COMPUTED_VALUE"""),"")</f>
        <v/>
      </c>
      <c r="E981" s="16" t="str">
        <f>IFERROR(__xludf.DUMMYFUNCTION("""COMPUTED_VALUE"""),"")</f>
        <v/>
      </c>
      <c r="F981" s="16" t="str">
        <f>IFERROR(__xludf.DUMMYFUNCTION("""COMPUTED_VALUE"""),"")</f>
        <v/>
      </c>
      <c r="G981" s="16" t="str">
        <f>IFERROR(__xludf.DUMMYFUNCTION("""COMPUTED_VALUE"""),"")</f>
        <v/>
      </c>
      <c r="H981" s="16"/>
      <c r="I981" s="16"/>
      <c r="J981" s="16"/>
      <c r="K981" s="16"/>
      <c r="L981" s="16"/>
      <c r="M981" s="16"/>
      <c r="N981" s="16"/>
      <c r="O981" s="16"/>
      <c r="P981" s="16"/>
      <c r="Q981" s="16"/>
      <c r="R981" s="16"/>
      <c r="S981" s="16"/>
      <c r="T981" s="16"/>
      <c r="U981" s="16"/>
      <c r="V981" s="16"/>
      <c r="W981" s="16"/>
      <c r="X981" s="16"/>
      <c r="Y981" s="16"/>
      <c r="Z981" s="16"/>
    </row>
    <row r="982">
      <c r="A982" s="16"/>
      <c r="B982" s="16" t="str">
        <f>IFERROR(__xludf.DUMMYFUNCTION("""COMPUTED_VALUE"""),"")</f>
        <v/>
      </c>
      <c r="C982" s="16" t="str">
        <f>IFERROR(__xludf.DUMMYFUNCTION("""COMPUTED_VALUE"""),"")</f>
        <v/>
      </c>
      <c r="D982" s="16" t="str">
        <f>IFERROR(__xludf.DUMMYFUNCTION("""COMPUTED_VALUE"""),"")</f>
        <v/>
      </c>
      <c r="E982" s="16" t="str">
        <f>IFERROR(__xludf.DUMMYFUNCTION("""COMPUTED_VALUE"""),"")</f>
        <v/>
      </c>
      <c r="F982" s="16" t="str">
        <f>IFERROR(__xludf.DUMMYFUNCTION("""COMPUTED_VALUE"""),"")</f>
        <v/>
      </c>
      <c r="G982" s="16" t="str">
        <f>IFERROR(__xludf.DUMMYFUNCTION("""COMPUTED_VALUE"""),"")</f>
        <v/>
      </c>
      <c r="H982" s="16"/>
      <c r="I982" s="16"/>
      <c r="J982" s="16"/>
      <c r="K982" s="16"/>
      <c r="L982" s="16"/>
      <c r="M982" s="16"/>
      <c r="N982" s="16"/>
      <c r="O982" s="16"/>
      <c r="P982" s="16"/>
      <c r="Q982" s="16"/>
      <c r="R982" s="16"/>
      <c r="S982" s="16"/>
      <c r="T982" s="16"/>
      <c r="U982" s="16"/>
      <c r="V982" s="16"/>
      <c r="W982" s="16"/>
      <c r="X982" s="16"/>
      <c r="Y982" s="16"/>
      <c r="Z982" s="16"/>
    </row>
    <row r="983">
      <c r="A983" s="16"/>
      <c r="B983" s="16" t="str">
        <f>IFERROR(__xludf.DUMMYFUNCTION("""COMPUTED_VALUE"""),"")</f>
        <v/>
      </c>
      <c r="C983" s="16" t="str">
        <f>IFERROR(__xludf.DUMMYFUNCTION("""COMPUTED_VALUE"""),"")</f>
        <v/>
      </c>
      <c r="D983" s="16" t="str">
        <f>IFERROR(__xludf.DUMMYFUNCTION("""COMPUTED_VALUE"""),"")</f>
        <v/>
      </c>
      <c r="E983" s="16" t="str">
        <f>IFERROR(__xludf.DUMMYFUNCTION("""COMPUTED_VALUE"""),"")</f>
        <v/>
      </c>
      <c r="F983" s="16" t="str">
        <f>IFERROR(__xludf.DUMMYFUNCTION("""COMPUTED_VALUE"""),"")</f>
        <v/>
      </c>
      <c r="G983" s="16" t="str">
        <f>IFERROR(__xludf.DUMMYFUNCTION("""COMPUTED_VALUE"""),"")</f>
        <v/>
      </c>
      <c r="H983" s="16"/>
      <c r="I983" s="16"/>
      <c r="J983" s="16"/>
      <c r="K983" s="16"/>
      <c r="L983" s="16"/>
      <c r="M983" s="16"/>
      <c r="N983" s="16"/>
      <c r="O983" s="16"/>
      <c r="P983" s="16"/>
      <c r="Q983" s="16"/>
      <c r="R983" s="16"/>
      <c r="S983" s="16"/>
      <c r="T983" s="16"/>
      <c r="U983" s="16"/>
      <c r="V983" s="16"/>
      <c r="W983" s="16"/>
      <c r="X983" s="16"/>
      <c r="Y983" s="16"/>
      <c r="Z983" s="16"/>
    </row>
    <row r="984">
      <c r="A984" s="16"/>
      <c r="B984" s="16" t="str">
        <f>IFERROR(__xludf.DUMMYFUNCTION("""COMPUTED_VALUE"""),"")</f>
        <v/>
      </c>
      <c r="C984" s="16" t="str">
        <f>IFERROR(__xludf.DUMMYFUNCTION("""COMPUTED_VALUE"""),"")</f>
        <v/>
      </c>
      <c r="D984" s="16" t="str">
        <f>IFERROR(__xludf.DUMMYFUNCTION("""COMPUTED_VALUE"""),"")</f>
        <v/>
      </c>
      <c r="E984" s="16" t="str">
        <f>IFERROR(__xludf.DUMMYFUNCTION("""COMPUTED_VALUE"""),"")</f>
        <v/>
      </c>
      <c r="F984" s="16" t="str">
        <f>IFERROR(__xludf.DUMMYFUNCTION("""COMPUTED_VALUE"""),"")</f>
        <v/>
      </c>
      <c r="G984" s="16" t="str">
        <f>IFERROR(__xludf.DUMMYFUNCTION("""COMPUTED_VALUE"""),"")</f>
        <v/>
      </c>
      <c r="H984" s="16"/>
      <c r="I984" s="16"/>
      <c r="J984" s="16"/>
      <c r="K984" s="16"/>
      <c r="L984" s="16"/>
      <c r="M984" s="16"/>
      <c r="N984" s="16"/>
      <c r="O984" s="16"/>
      <c r="P984" s="16"/>
      <c r="Q984" s="16"/>
      <c r="R984" s="16"/>
      <c r="S984" s="16"/>
      <c r="T984" s="16"/>
      <c r="U984" s="16"/>
      <c r="V984" s="16"/>
      <c r="W984" s="16"/>
      <c r="X984" s="16"/>
      <c r="Y984" s="16"/>
      <c r="Z984" s="16"/>
    </row>
    <row r="985">
      <c r="A985" s="16"/>
      <c r="B985" s="16" t="str">
        <f>IFERROR(__xludf.DUMMYFUNCTION("""COMPUTED_VALUE"""),"")</f>
        <v/>
      </c>
      <c r="C985" s="16" t="str">
        <f>IFERROR(__xludf.DUMMYFUNCTION("""COMPUTED_VALUE"""),"")</f>
        <v/>
      </c>
      <c r="D985" s="16" t="str">
        <f>IFERROR(__xludf.DUMMYFUNCTION("""COMPUTED_VALUE"""),"")</f>
        <v/>
      </c>
      <c r="E985" s="16" t="str">
        <f>IFERROR(__xludf.DUMMYFUNCTION("""COMPUTED_VALUE"""),"")</f>
        <v/>
      </c>
      <c r="F985" s="16" t="str">
        <f>IFERROR(__xludf.DUMMYFUNCTION("""COMPUTED_VALUE"""),"")</f>
        <v/>
      </c>
      <c r="G985" s="16" t="str">
        <f>IFERROR(__xludf.DUMMYFUNCTION("""COMPUTED_VALUE"""),"")</f>
        <v/>
      </c>
      <c r="H985" s="16"/>
      <c r="I985" s="16"/>
      <c r="J985" s="16"/>
      <c r="K985" s="16"/>
      <c r="L985" s="16"/>
      <c r="M985" s="16"/>
      <c r="N985" s="16"/>
      <c r="O985" s="16"/>
      <c r="P985" s="16"/>
      <c r="Q985" s="16"/>
      <c r="R985" s="16"/>
      <c r="S985" s="16"/>
      <c r="T985" s="16"/>
      <c r="U985" s="16"/>
      <c r="V985" s="16"/>
      <c r="W985" s="16"/>
      <c r="X985" s="16"/>
      <c r="Y985" s="16"/>
      <c r="Z985" s="16"/>
    </row>
    <row r="986">
      <c r="A986" s="16"/>
      <c r="B986" s="16" t="str">
        <f>IFERROR(__xludf.DUMMYFUNCTION("""COMPUTED_VALUE"""),"")</f>
        <v/>
      </c>
      <c r="C986" s="16" t="str">
        <f>IFERROR(__xludf.DUMMYFUNCTION("""COMPUTED_VALUE"""),"")</f>
        <v/>
      </c>
      <c r="D986" s="16" t="str">
        <f>IFERROR(__xludf.DUMMYFUNCTION("""COMPUTED_VALUE"""),"")</f>
        <v/>
      </c>
      <c r="E986" s="16" t="str">
        <f>IFERROR(__xludf.DUMMYFUNCTION("""COMPUTED_VALUE"""),"")</f>
        <v/>
      </c>
      <c r="F986" s="16" t="str">
        <f>IFERROR(__xludf.DUMMYFUNCTION("""COMPUTED_VALUE"""),"")</f>
        <v/>
      </c>
      <c r="G986" s="16" t="str">
        <f>IFERROR(__xludf.DUMMYFUNCTION("""COMPUTED_VALUE"""),"")</f>
        <v/>
      </c>
      <c r="H986" s="16"/>
      <c r="I986" s="16"/>
      <c r="J986" s="16"/>
      <c r="K986" s="16"/>
      <c r="L986" s="16"/>
      <c r="M986" s="16"/>
      <c r="N986" s="16"/>
      <c r="O986" s="16"/>
      <c r="P986" s="16"/>
      <c r="Q986" s="16"/>
      <c r="R986" s="16"/>
      <c r="S986" s="16"/>
      <c r="T986" s="16"/>
      <c r="U986" s="16"/>
      <c r="V986" s="16"/>
      <c r="W986" s="16"/>
      <c r="X986" s="16"/>
      <c r="Y986" s="16"/>
      <c r="Z986" s="16"/>
    </row>
    <row r="987">
      <c r="A987" s="16"/>
      <c r="B987" s="16" t="str">
        <f>IFERROR(__xludf.DUMMYFUNCTION("""COMPUTED_VALUE"""),"")</f>
        <v/>
      </c>
      <c r="C987" s="16" t="str">
        <f>IFERROR(__xludf.DUMMYFUNCTION("""COMPUTED_VALUE"""),"")</f>
        <v/>
      </c>
      <c r="D987" s="16" t="str">
        <f>IFERROR(__xludf.DUMMYFUNCTION("""COMPUTED_VALUE"""),"")</f>
        <v/>
      </c>
      <c r="E987" s="16" t="str">
        <f>IFERROR(__xludf.DUMMYFUNCTION("""COMPUTED_VALUE"""),"")</f>
        <v/>
      </c>
      <c r="F987" s="16" t="str">
        <f>IFERROR(__xludf.DUMMYFUNCTION("""COMPUTED_VALUE"""),"")</f>
        <v/>
      </c>
      <c r="G987" s="16" t="str">
        <f>IFERROR(__xludf.DUMMYFUNCTION("""COMPUTED_VALUE"""),"")</f>
        <v/>
      </c>
      <c r="H987" s="16"/>
      <c r="I987" s="16"/>
      <c r="J987" s="16"/>
      <c r="K987" s="16"/>
      <c r="L987" s="16"/>
      <c r="M987" s="16"/>
      <c r="N987" s="16"/>
      <c r="O987" s="16"/>
      <c r="P987" s="16"/>
      <c r="Q987" s="16"/>
      <c r="R987" s="16"/>
      <c r="S987" s="16"/>
      <c r="T987" s="16"/>
      <c r="U987" s="16"/>
      <c r="V987" s="16"/>
      <c r="W987" s="16"/>
      <c r="X987" s="16"/>
      <c r="Y987" s="16"/>
      <c r="Z987" s="16"/>
    </row>
    <row r="988">
      <c r="A988" s="16"/>
      <c r="B988" s="16" t="str">
        <f>IFERROR(__xludf.DUMMYFUNCTION("""COMPUTED_VALUE"""),"")</f>
        <v/>
      </c>
      <c r="C988" s="16" t="str">
        <f>IFERROR(__xludf.DUMMYFUNCTION("""COMPUTED_VALUE"""),"")</f>
        <v/>
      </c>
      <c r="D988" s="16" t="str">
        <f>IFERROR(__xludf.DUMMYFUNCTION("""COMPUTED_VALUE"""),"")</f>
        <v/>
      </c>
      <c r="E988" s="16" t="str">
        <f>IFERROR(__xludf.DUMMYFUNCTION("""COMPUTED_VALUE"""),"")</f>
        <v/>
      </c>
      <c r="F988" s="16" t="str">
        <f>IFERROR(__xludf.DUMMYFUNCTION("""COMPUTED_VALUE"""),"")</f>
        <v/>
      </c>
      <c r="G988" s="16" t="str">
        <f>IFERROR(__xludf.DUMMYFUNCTION("""COMPUTED_VALUE"""),"")</f>
        <v/>
      </c>
      <c r="H988" s="16"/>
      <c r="I988" s="16"/>
      <c r="J988" s="16"/>
      <c r="K988" s="16"/>
      <c r="L988" s="16"/>
      <c r="M988" s="16"/>
      <c r="N988" s="16"/>
      <c r="O988" s="16"/>
      <c r="P988" s="16"/>
      <c r="Q988" s="16"/>
      <c r="R988" s="16"/>
      <c r="S988" s="16"/>
      <c r="T988" s="16"/>
      <c r="U988" s="16"/>
      <c r="V988" s="16"/>
      <c r="W988" s="16"/>
      <c r="X988" s="16"/>
      <c r="Y988" s="16"/>
      <c r="Z988" s="16"/>
    </row>
    <row r="989">
      <c r="A989" s="16"/>
      <c r="B989" s="16" t="str">
        <f>IFERROR(__xludf.DUMMYFUNCTION("""COMPUTED_VALUE"""),"")</f>
        <v/>
      </c>
      <c r="C989" s="16" t="str">
        <f>IFERROR(__xludf.DUMMYFUNCTION("""COMPUTED_VALUE"""),"")</f>
        <v/>
      </c>
      <c r="D989" s="16" t="str">
        <f>IFERROR(__xludf.DUMMYFUNCTION("""COMPUTED_VALUE"""),"")</f>
        <v/>
      </c>
      <c r="E989" s="16" t="str">
        <f>IFERROR(__xludf.DUMMYFUNCTION("""COMPUTED_VALUE"""),"")</f>
        <v/>
      </c>
      <c r="F989" s="16" t="str">
        <f>IFERROR(__xludf.DUMMYFUNCTION("""COMPUTED_VALUE"""),"")</f>
        <v/>
      </c>
      <c r="G989" s="16" t="str">
        <f>IFERROR(__xludf.DUMMYFUNCTION("""COMPUTED_VALUE"""),"")</f>
        <v/>
      </c>
      <c r="H989" s="16"/>
      <c r="I989" s="16"/>
      <c r="J989" s="16"/>
      <c r="K989" s="16"/>
      <c r="L989" s="16"/>
      <c r="M989" s="16"/>
      <c r="N989" s="16"/>
      <c r="O989" s="16"/>
      <c r="P989" s="16"/>
      <c r="Q989" s="16"/>
      <c r="R989" s="16"/>
      <c r="S989" s="16"/>
      <c r="T989" s="16"/>
      <c r="U989" s="16"/>
      <c r="V989" s="16"/>
      <c r="W989" s="16"/>
      <c r="X989" s="16"/>
      <c r="Y989" s="16"/>
      <c r="Z989" s="16"/>
    </row>
    <row r="990">
      <c r="A990" s="16"/>
      <c r="B990" s="16" t="str">
        <f>IFERROR(__xludf.DUMMYFUNCTION("""COMPUTED_VALUE"""),"")</f>
        <v/>
      </c>
      <c r="C990" s="16" t="str">
        <f>IFERROR(__xludf.DUMMYFUNCTION("""COMPUTED_VALUE"""),"")</f>
        <v/>
      </c>
      <c r="D990" s="16" t="str">
        <f>IFERROR(__xludf.DUMMYFUNCTION("""COMPUTED_VALUE"""),"")</f>
        <v/>
      </c>
      <c r="E990" s="16" t="str">
        <f>IFERROR(__xludf.DUMMYFUNCTION("""COMPUTED_VALUE"""),"")</f>
        <v/>
      </c>
      <c r="F990" s="16" t="str">
        <f>IFERROR(__xludf.DUMMYFUNCTION("""COMPUTED_VALUE"""),"")</f>
        <v/>
      </c>
      <c r="G990" s="16" t="str">
        <f>IFERROR(__xludf.DUMMYFUNCTION("""COMPUTED_VALUE"""),"")</f>
        <v/>
      </c>
      <c r="H990" s="16"/>
      <c r="I990" s="16"/>
      <c r="J990" s="16"/>
      <c r="K990" s="16"/>
      <c r="L990" s="16"/>
      <c r="M990" s="16"/>
      <c r="N990" s="16"/>
      <c r="O990" s="16"/>
      <c r="P990" s="16"/>
      <c r="Q990" s="16"/>
      <c r="R990" s="16"/>
      <c r="S990" s="16"/>
      <c r="T990" s="16"/>
      <c r="U990" s="16"/>
      <c r="V990" s="16"/>
      <c r="W990" s="16"/>
      <c r="X990" s="16"/>
      <c r="Y990" s="16"/>
      <c r="Z990" s="16"/>
    </row>
    <row r="991">
      <c r="A991" s="16"/>
      <c r="B991" s="16" t="str">
        <f>IFERROR(__xludf.DUMMYFUNCTION("""COMPUTED_VALUE"""),"")</f>
        <v/>
      </c>
      <c r="C991" s="16" t="str">
        <f>IFERROR(__xludf.DUMMYFUNCTION("""COMPUTED_VALUE"""),"")</f>
        <v/>
      </c>
      <c r="D991" s="16" t="str">
        <f>IFERROR(__xludf.DUMMYFUNCTION("""COMPUTED_VALUE"""),"")</f>
        <v/>
      </c>
      <c r="E991" s="16" t="str">
        <f>IFERROR(__xludf.DUMMYFUNCTION("""COMPUTED_VALUE"""),"")</f>
        <v/>
      </c>
      <c r="F991" s="16" t="str">
        <f>IFERROR(__xludf.DUMMYFUNCTION("""COMPUTED_VALUE"""),"")</f>
        <v/>
      </c>
      <c r="G991" s="16" t="str">
        <f>IFERROR(__xludf.DUMMYFUNCTION("""COMPUTED_VALUE"""),"")</f>
        <v/>
      </c>
      <c r="H991" s="16"/>
      <c r="I991" s="16"/>
      <c r="J991" s="16"/>
      <c r="K991" s="16"/>
      <c r="L991" s="16"/>
      <c r="M991" s="16"/>
      <c r="N991" s="16"/>
      <c r="O991" s="16"/>
      <c r="P991" s="16"/>
      <c r="Q991" s="16"/>
      <c r="R991" s="16"/>
      <c r="S991" s="16"/>
      <c r="T991" s="16"/>
      <c r="U991" s="16"/>
      <c r="V991" s="16"/>
      <c r="W991" s="16"/>
      <c r="X991" s="16"/>
      <c r="Y991" s="16"/>
      <c r="Z991" s="16"/>
    </row>
    <row r="992">
      <c r="A992" s="16"/>
      <c r="B992" s="16" t="str">
        <f>IFERROR(__xludf.DUMMYFUNCTION("""COMPUTED_VALUE"""),"")</f>
        <v/>
      </c>
      <c r="C992" s="16" t="str">
        <f>IFERROR(__xludf.DUMMYFUNCTION("""COMPUTED_VALUE"""),"")</f>
        <v/>
      </c>
      <c r="D992" s="16" t="str">
        <f>IFERROR(__xludf.DUMMYFUNCTION("""COMPUTED_VALUE"""),"")</f>
        <v/>
      </c>
      <c r="E992" s="16" t="str">
        <f>IFERROR(__xludf.DUMMYFUNCTION("""COMPUTED_VALUE"""),"")</f>
        <v/>
      </c>
      <c r="F992" s="16" t="str">
        <f>IFERROR(__xludf.DUMMYFUNCTION("""COMPUTED_VALUE"""),"")</f>
        <v/>
      </c>
      <c r="G992" s="16" t="str">
        <f>IFERROR(__xludf.DUMMYFUNCTION("""COMPUTED_VALUE"""),"")</f>
        <v/>
      </c>
      <c r="H992" s="16"/>
      <c r="I992" s="16"/>
      <c r="J992" s="16"/>
      <c r="K992" s="16"/>
      <c r="L992" s="16"/>
      <c r="M992" s="16"/>
      <c r="N992" s="16"/>
      <c r="O992" s="16"/>
      <c r="P992" s="16"/>
      <c r="Q992" s="16"/>
      <c r="R992" s="16"/>
      <c r="S992" s="16"/>
      <c r="T992" s="16"/>
      <c r="U992" s="16"/>
      <c r="V992" s="16"/>
      <c r="W992" s="16"/>
      <c r="X992" s="16"/>
      <c r="Y992" s="16"/>
      <c r="Z992" s="16"/>
    </row>
    <row r="993">
      <c r="A993" s="16"/>
      <c r="B993" s="16" t="str">
        <f>IFERROR(__xludf.DUMMYFUNCTION("""COMPUTED_VALUE"""),"")</f>
        <v/>
      </c>
      <c r="C993" s="16" t="str">
        <f>IFERROR(__xludf.DUMMYFUNCTION("""COMPUTED_VALUE"""),"")</f>
        <v/>
      </c>
      <c r="D993" s="16" t="str">
        <f>IFERROR(__xludf.DUMMYFUNCTION("""COMPUTED_VALUE"""),"")</f>
        <v/>
      </c>
      <c r="E993" s="16" t="str">
        <f>IFERROR(__xludf.DUMMYFUNCTION("""COMPUTED_VALUE"""),"")</f>
        <v/>
      </c>
      <c r="F993" s="16" t="str">
        <f>IFERROR(__xludf.DUMMYFUNCTION("""COMPUTED_VALUE"""),"")</f>
        <v/>
      </c>
      <c r="G993" s="16" t="str">
        <f>IFERROR(__xludf.DUMMYFUNCTION("""COMPUTED_VALUE"""),"")</f>
        <v/>
      </c>
      <c r="H993" s="16"/>
      <c r="I993" s="16"/>
      <c r="J993" s="16"/>
      <c r="K993" s="16"/>
      <c r="L993" s="16"/>
      <c r="M993" s="16"/>
      <c r="N993" s="16"/>
      <c r="O993" s="16"/>
      <c r="P993" s="16"/>
      <c r="Q993" s="16"/>
      <c r="R993" s="16"/>
      <c r="S993" s="16"/>
      <c r="T993" s="16"/>
      <c r="U993" s="16"/>
      <c r="V993" s="16"/>
      <c r="W993" s="16"/>
      <c r="X993" s="16"/>
      <c r="Y993" s="16"/>
      <c r="Z993" s="16"/>
    </row>
    <row r="994">
      <c r="A994" s="16"/>
      <c r="B994" s="16" t="str">
        <f>IFERROR(__xludf.DUMMYFUNCTION("""COMPUTED_VALUE"""),"")</f>
        <v/>
      </c>
      <c r="C994" s="16" t="str">
        <f>IFERROR(__xludf.DUMMYFUNCTION("""COMPUTED_VALUE"""),"")</f>
        <v/>
      </c>
      <c r="D994" s="16" t="str">
        <f>IFERROR(__xludf.DUMMYFUNCTION("""COMPUTED_VALUE"""),"")</f>
        <v/>
      </c>
      <c r="E994" s="16" t="str">
        <f>IFERROR(__xludf.DUMMYFUNCTION("""COMPUTED_VALUE"""),"")</f>
        <v/>
      </c>
      <c r="F994" s="16" t="str">
        <f>IFERROR(__xludf.DUMMYFUNCTION("""COMPUTED_VALUE"""),"")</f>
        <v/>
      </c>
      <c r="G994" s="16" t="str">
        <f>IFERROR(__xludf.DUMMYFUNCTION("""COMPUTED_VALUE"""),"")</f>
        <v/>
      </c>
      <c r="H994" s="16"/>
      <c r="I994" s="16"/>
      <c r="J994" s="16"/>
      <c r="K994" s="16"/>
      <c r="L994" s="16"/>
      <c r="M994" s="16"/>
      <c r="N994" s="16"/>
      <c r="O994" s="16"/>
      <c r="P994" s="16"/>
      <c r="Q994" s="16"/>
      <c r="R994" s="16"/>
      <c r="S994" s="16"/>
      <c r="T994" s="16"/>
      <c r="U994" s="16"/>
      <c r="V994" s="16"/>
      <c r="W994" s="16"/>
      <c r="X994" s="16"/>
      <c r="Y994" s="16"/>
      <c r="Z994" s="16"/>
    </row>
    <row r="995">
      <c r="A995" s="16"/>
      <c r="B995" s="16" t="str">
        <f>IFERROR(__xludf.DUMMYFUNCTION("""COMPUTED_VALUE"""),"")</f>
        <v/>
      </c>
      <c r="C995" s="16" t="str">
        <f>IFERROR(__xludf.DUMMYFUNCTION("""COMPUTED_VALUE"""),"")</f>
        <v/>
      </c>
      <c r="D995" s="16" t="str">
        <f>IFERROR(__xludf.DUMMYFUNCTION("""COMPUTED_VALUE"""),"")</f>
        <v/>
      </c>
      <c r="E995" s="16" t="str">
        <f>IFERROR(__xludf.DUMMYFUNCTION("""COMPUTED_VALUE"""),"")</f>
        <v/>
      </c>
      <c r="F995" s="16" t="str">
        <f>IFERROR(__xludf.DUMMYFUNCTION("""COMPUTED_VALUE"""),"")</f>
        <v/>
      </c>
      <c r="G995" s="16" t="str">
        <f>IFERROR(__xludf.DUMMYFUNCTION("""COMPUTED_VALUE"""),"")</f>
        <v/>
      </c>
      <c r="H995" s="16"/>
      <c r="I995" s="16"/>
      <c r="J995" s="16"/>
      <c r="K995" s="16"/>
      <c r="L995" s="16"/>
      <c r="M995" s="16"/>
      <c r="N995" s="16"/>
      <c r="O995" s="16"/>
      <c r="P995" s="16"/>
      <c r="Q995" s="16"/>
      <c r="R995" s="16"/>
      <c r="S995" s="16"/>
      <c r="T995" s="16"/>
      <c r="U995" s="16"/>
      <c r="V995" s="16"/>
      <c r="W995" s="16"/>
      <c r="X995" s="16"/>
      <c r="Y995" s="16"/>
      <c r="Z995" s="16"/>
    </row>
    <row r="996">
      <c r="A996" s="16"/>
      <c r="B996" s="16" t="str">
        <f>IFERROR(__xludf.DUMMYFUNCTION("""COMPUTED_VALUE"""),"")</f>
        <v/>
      </c>
      <c r="C996" s="16" t="str">
        <f>IFERROR(__xludf.DUMMYFUNCTION("""COMPUTED_VALUE"""),"")</f>
        <v/>
      </c>
      <c r="D996" s="16" t="str">
        <f>IFERROR(__xludf.DUMMYFUNCTION("""COMPUTED_VALUE"""),"")</f>
        <v/>
      </c>
      <c r="E996" s="16" t="str">
        <f>IFERROR(__xludf.DUMMYFUNCTION("""COMPUTED_VALUE"""),"")</f>
        <v/>
      </c>
      <c r="F996" s="16" t="str">
        <f>IFERROR(__xludf.DUMMYFUNCTION("""COMPUTED_VALUE"""),"")</f>
        <v/>
      </c>
      <c r="G996" s="16" t="str">
        <f>IFERROR(__xludf.DUMMYFUNCTION("""COMPUTED_VALUE"""),"")</f>
        <v/>
      </c>
      <c r="H996" s="16"/>
      <c r="I996" s="16"/>
      <c r="J996" s="16"/>
      <c r="K996" s="16"/>
      <c r="L996" s="16"/>
      <c r="M996" s="16"/>
      <c r="N996" s="16"/>
      <c r="O996" s="16"/>
      <c r="P996" s="16"/>
      <c r="Q996" s="16"/>
      <c r="R996" s="16"/>
      <c r="S996" s="16"/>
      <c r="T996" s="16"/>
      <c r="U996" s="16"/>
      <c r="V996" s="16"/>
      <c r="W996" s="16"/>
      <c r="X996" s="16"/>
      <c r="Y996" s="16"/>
      <c r="Z996" s="16"/>
    </row>
    <row r="997">
      <c r="A997" s="16"/>
      <c r="B997" s="16" t="str">
        <f>IFERROR(__xludf.DUMMYFUNCTION("""COMPUTED_VALUE"""),"")</f>
        <v/>
      </c>
      <c r="C997" s="16" t="str">
        <f>IFERROR(__xludf.DUMMYFUNCTION("""COMPUTED_VALUE"""),"")</f>
        <v/>
      </c>
      <c r="D997" s="16" t="str">
        <f>IFERROR(__xludf.DUMMYFUNCTION("""COMPUTED_VALUE"""),"")</f>
        <v/>
      </c>
      <c r="E997" s="16" t="str">
        <f>IFERROR(__xludf.DUMMYFUNCTION("""COMPUTED_VALUE"""),"")</f>
        <v/>
      </c>
      <c r="F997" s="16" t="str">
        <f>IFERROR(__xludf.DUMMYFUNCTION("""COMPUTED_VALUE"""),"")</f>
        <v/>
      </c>
      <c r="G997" s="16" t="str">
        <f>IFERROR(__xludf.DUMMYFUNCTION("""COMPUTED_VALUE"""),"")</f>
        <v/>
      </c>
      <c r="H997" s="16"/>
      <c r="I997" s="16"/>
      <c r="J997" s="16"/>
      <c r="K997" s="16"/>
      <c r="L997" s="16"/>
      <c r="M997" s="16"/>
      <c r="N997" s="16"/>
      <c r="O997" s="16"/>
      <c r="P997" s="16"/>
      <c r="Q997" s="16"/>
      <c r="R997" s="16"/>
      <c r="S997" s="16"/>
      <c r="T997" s="16"/>
      <c r="U997" s="16"/>
      <c r="V997" s="16"/>
      <c r="W997" s="16"/>
      <c r="X997" s="16"/>
      <c r="Y997" s="16"/>
      <c r="Z997" s="16"/>
    </row>
    <row r="998">
      <c r="A998" s="16"/>
      <c r="B998" s="16" t="str">
        <f>IFERROR(__xludf.DUMMYFUNCTION("""COMPUTED_VALUE"""),"")</f>
        <v/>
      </c>
      <c r="C998" s="16" t="str">
        <f>IFERROR(__xludf.DUMMYFUNCTION("""COMPUTED_VALUE"""),"")</f>
        <v/>
      </c>
      <c r="D998" s="16" t="str">
        <f>IFERROR(__xludf.DUMMYFUNCTION("""COMPUTED_VALUE"""),"")</f>
        <v/>
      </c>
      <c r="E998" s="16" t="str">
        <f>IFERROR(__xludf.DUMMYFUNCTION("""COMPUTED_VALUE"""),"")</f>
        <v/>
      </c>
      <c r="F998" s="16" t="str">
        <f>IFERROR(__xludf.DUMMYFUNCTION("""COMPUTED_VALUE"""),"")</f>
        <v/>
      </c>
      <c r="G998" s="16" t="str">
        <f>IFERROR(__xludf.DUMMYFUNCTION("""COMPUTED_VALUE"""),"")</f>
        <v/>
      </c>
      <c r="H998" s="16"/>
      <c r="I998" s="16"/>
      <c r="J998" s="16"/>
      <c r="K998" s="16"/>
      <c r="L998" s="16"/>
      <c r="M998" s="16"/>
      <c r="N998" s="16"/>
      <c r="O998" s="16"/>
      <c r="P998" s="16"/>
      <c r="Q998" s="16"/>
      <c r="R998" s="16"/>
      <c r="S998" s="16"/>
      <c r="T998" s="16"/>
      <c r="U998" s="16"/>
      <c r="V998" s="16"/>
      <c r="W998" s="16"/>
      <c r="X998" s="16"/>
      <c r="Y998" s="16"/>
      <c r="Z998" s="16"/>
    </row>
    <row r="999">
      <c r="A999" s="16"/>
      <c r="B999" s="16" t="str">
        <f>IFERROR(__xludf.DUMMYFUNCTION("""COMPUTED_VALUE"""),"")</f>
        <v/>
      </c>
      <c r="C999" s="16" t="str">
        <f>IFERROR(__xludf.DUMMYFUNCTION("""COMPUTED_VALUE"""),"")</f>
        <v/>
      </c>
      <c r="D999" s="16" t="str">
        <f>IFERROR(__xludf.DUMMYFUNCTION("""COMPUTED_VALUE"""),"")</f>
        <v/>
      </c>
      <c r="E999" s="16" t="str">
        <f>IFERROR(__xludf.DUMMYFUNCTION("""COMPUTED_VALUE"""),"")</f>
        <v/>
      </c>
      <c r="F999" s="16" t="str">
        <f>IFERROR(__xludf.DUMMYFUNCTION("""COMPUTED_VALUE"""),"")</f>
        <v/>
      </c>
      <c r="G999" s="16" t="str">
        <f>IFERROR(__xludf.DUMMYFUNCTION("""COMPUTED_VALUE"""),"")</f>
        <v/>
      </c>
      <c r="H999" s="16"/>
      <c r="I999" s="16"/>
      <c r="J999" s="16"/>
      <c r="K999" s="16"/>
      <c r="L999" s="16"/>
      <c r="M999" s="16"/>
      <c r="N999" s="16"/>
      <c r="O999" s="16"/>
      <c r="P999" s="16"/>
      <c r="Q999" s="16"/>
      <c r="R999" s="16"/>
      <c r="S999" s="16"/>
      <c r="T999" s="16"/>
      <c r="U999" s="16"/>
      <c r="V999" s="16"/>
      <c r="W999" s="16"/>
      <c r="X999" s="16"/>
      <c r="Y999" s="16"/>
      <c r="Z999" s="16"/>
    </row>
    <row r="1000">
      <c r="A1000" s="16"/>
      <c r="B1000" s="16" t="str">
        <f>IFERROR(__xludf.DUMMYFUNCTION("""COMPUTED_VALUE"""),"")</f>
        <v/>
      </c>
      <c r="C1000" s="16" t="str">
        <f>IFERROR(__xludf.DUMMYFUNCTION("""COMPUTED_VALUE"""),"")</f>
        <v/>
      </c>
      <c r="D1000" s="16" t="str">
        <f>IFERROR(__xludf.DUMMYFUNCTION("""COMPUTED_VALUE"""),"")</f>
        <v/>
      </c>
      <c r="E1000" s="16" t="str">
        <f>IFERROR(__xludf.DUMMYFUNCTION("""COMPUTED_VALUE"""),"")</f>
        <v/>
      </c>
      <c r="F1000" s="16" t="str">
        <f>IFERROR(__xludf.DUMMYFUNCTION("""COMPUTED_VALUE"""),"")</f>
        <v/>
      </c>
      <c r="G1000" s="16" t="str">
        <f>IFERROR(__xludf.DUMMYFUNCTION("""COMPUTED_VALUE"""),"")</f>
        <v/>
      </c>
      <c r="H1000" s="16"/>
      <c r="I1000" s="16"/>
      <c r="J1000" s="16"/>
      <c r="K1000" s="16"/>
      <c r="L1000" s="16"/>
      <c r="M1000" s="16"/>
      <c r="N1000" s="16"/>
      <c r="O1000" s="16"/>
      <c r="P1000" s="16"/>
      <c r="Q1000" s="16"/>
      <c r="R1000" s="16"/>
      <c r="S1000" s="16"/>
      <c r="T1000" s="16"/>
      <c r="U1000" s="16"/>
      <c r="V1000" s="16"/>
      <c r="W1000" s="16"/>
      <c r="X1000" s="16"/>
      <c r="Y1000" s="16"/>
      <c r="Z1000" s="16"/>
    </row>
    <row r="1001">
      <c r="A1001" s="16"/>
      <c r="B1001" s="16" t="str">
        <f>IFERROR(__xludf.DUMMYFUNCTION("""COMPUTED_VALUE"""),"")</f>
        <v/>
      </c>
      <c r="C1001" s="16" t="str">
        <f>IFERROR(__xludf.DUMMYFUNCTION("""COMPUTED_VALUE"""),"")</f>
        <v/>
      </c>
      <c r="D1001" s="16" t="str">
        <f>IFERROR(__xludf.DUMMYFUNCTION("""COMPUTED_VALUE"""),"")</f>
        <v/>
      </c>
      <c r="E1001" s="16" t="str">
        <f>IFERROR(__xludf.DUMMYFUNCTION("""COMPUTED_VALUE"""),"")</f>
        <v/>
      </c>
      <c r="F1001" s="16" t="str">
        <f>IFERROR(__xludf.DUMMYFUNCTION("""COMPUTED_VALUE"""),"")</f>
        <v/>
      </c>
      <c r="G1001" s="16" t="str">
        <f>IFERROR(__xludf.DUMMYFUNCTION("""COMPUTED_VALUE"""),"")</f>
        <v/>
      </c>
      <c r="H1001" s="16"/>
      <c r="I1001" s="16"/>
      <c r="J1001" s="16"/>
      <c r="K1001" s="16"/>
      <c r="L1001" s="16"/>
      <c r="M1001" s="16"/>
      <c r="N1001" s="16"/>
      <c r="O1001" s="16"/>
      <c r="P1001" s="16"/>
      <c r="Q1001" s="16"/>
      <c r="R1001" s="16"/>
      <c r="S1001" s="16"/>
      <c r="T1001" s="16"/>
      <c r="U1001" s="16"/>
      <c r="V1001" s="16"/>
      <c r="W1001" s="16"/>
      <c r="X1001" s="16"/>
      <c r="Y1001" s="16"/>
      <c r="Z1001" s="16"/>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sheetData>
    <row r="1">
      <c r="A1" s="16" t="str">
        <f>IFERROR(__xludf.DUMMYFUNCTION("IMPORTRANGE(""https://docs.google.com/spreadsheets/d/""&amp;Config!B1,""AstrologicalSigns!A:D"")"),"Sign")</f>
        <v>Sign</v>
      </c>
      <c r="B1" s="16" t="str">
        <f>IFERROR(__xludf.DUMMYFUNCTION("""COMPUTED_VALUE"""),"Ability")</f>
        <v>Ability</v>
      </c>
      <c r="C1" s="16" t="str">
        <f>IFERROR(__xludf.DUMMYFUNCTION("""COMPUTED_VALUE"""),"Description")</f>
        <v>Description</v>
      </c>
      <c r="D1" s="16"/>
    </row>
    <row r="2">
      <c r="A2" s="16" t="str">
        <f>IFERROR(__xludf.DUMMYFUNCTION("""COMPUTED_VALUE"""),"Aries")</f>
        <v>Aries</v>
      </c>
      <c r="B2" s="16" t="str">
        <f>IFERROR(__xludf.DUMMYFUNCTION("""COMPUTED_VALUE"""),"Full Speed")</f>
        <v>Full Speed</v>
      </c>
      <c r="C2" s="16" t="str">
        <f>IFERROR(__xludf.DUMMYFUNCTION("""COMPUTED_VALUE"""),"At the start of each battle, 50% chance to act twice on the first round of a battle.")</f>
        <v>At the start of each battle, 50% chance to act twice on the first round of a battle.</v>
      </c>
      <c r="D2" s="16"/>
    </row>
    <row r="3">
      <c r="A3" s="16" t="str">
        <f>IFERROR(__xludf.DUMMYFUNCTION("""COMPUTED_VALUE"""),"Taurus")</f>
        <v>Taurus</v>
      </c>
      <c r="B3" s="16" t="str">
        <f>IFERROR(__xludf.DUMMYFUNCTION("""COMPUTED_VALUE"""),"The Bull")</f>
        <v>The Bull</v>
      </c>
      <c r="C3" s="16" t="str">
        <f>IFERROR(__xludf.DUMMYFUNCTION("""COMPUTED_VALUE"""),"During each of your turns in battle, you get 1 additional weapon attack as long as you attacked with a weapon.")</f>
        <v>During each of your turns in battle, you get 1 additional weapon attack as long as you attacked with a weapon.</v>
      </c>
      <c r="D3" s="16"/>
    </row>
    <row r="4">
      <c r="A4" s="16" t="str">
        <f>IFERROR(__xludf.DUMMYFUNCTION("""COMPUTED_VALUE"""),"Gemini")</f>
        <v>Gemini</v>
      </c>
      <c r="B4" s="16" t="str">
        <f>IFERROR(__xludf.DUMMYFUNCTION("""COMPUTED_VALUE"""),"Summon Twin")</f>
        <v>Summon Twin</v>
      </c>
      <c r="C4" s="16" t="str">
        <f>IFERROR(__xludf.DUMMYFUNCTION("""COMPUTED_VALUE"""),"Summons a controllable clone of the user. 200 SP. Can only be done once per battle.")</f>
        <v>Summons a controllable clone of the user. 200 SP. Can only be done once per battle.</v>
      </c>
      <c r="D4" s="16"/>
    </row>
    <row r="5">
      <c r="A5" s="16" t="str">
        <f>IFERROR(__xludf.DUMMYFUNCTION("""COMPUTED_VALUE"""),"Cancer")</f>
        <v>Cancer</v>
      </c>
      <c r="B5" s="16" t="str">
        <f>IFERROR(__xludf.DUMMYFUNCTION("""COMPUTED_VALUE"""),"Unrelenting Grip")</f>
        <v>Unrelenting Grip</v>
      </c>
      <c r="C5" s="16" t="str">
        <f>IFERROR(__xludf.DUMMYFUNCTION("""COMPUTED_VALUE"""),"Grab 1 target. Both the user and the target are incapable of performing their turn order and  become completely unresponsive, any damage or effect to one affects both of them. Hit/Miss.")</f>
        <v>Grab 1 target. Both the user and the target are incapable of performing their turn order and  become completely unresponsive, any damage or effect to one affects both of them. Hit/Miss.</v>
      </c>
      <c r="D5" s="16"/>
    </row>
    <row r="6">
      <c r="A6" s="16" t="str">
        <f>IFERROR(__xludf.DUMMYFUNCTION("""COMPUTED_VALUE"""),"Leo")</f>
        <v>Leo</v>
      </c>
      <c r="B6" s="16" t="str">
        <f>IFERROR(__xludf.DUMMYFUNCTION("""COMPUTED_VALUE"""),"King’s Collection")</f>
        <v>King’s Collection</v>
      </c>
      <c r="C6" s="16" t="str">
        <f>IFERROR(__xludf.DUMMYFUNCTION("""COMPUTED_VALUE"""),"Gets an extra loot roll each battle.")</f>
        <v>Gets an extra loot roll each battle.</v>
      </c>
      <c r="D6" s="16"/>
    </row>
    <row r="7">
      <c r="A7" s="16" t="str">
        <f>IFERROR(__xludf.DUMMYFUNCTION("""COMPUTED_VALUE"""),"Virgo")</f>
        <v>Virgo</v>
      </c>
      <c r="B7" s="16" t="str">
        <f>IFERROR(__xludf.DUMMYFUNCTION("""COMPUTED_VALUE"""),"Maiden’s Blessing")</f>
        <v>Maiden’s Blessing</v>
      </c>
      <c r="C7" s="16" t="str">
        <f>IFERROR(__xludf.DUMMYFUNCTION("""COMPUTED_VALUE"""),"If your current SP is full, then non-damaging spells the user casts cost no SP.")</f>
        <v>If your current SP is full, then non-damaging spells the user casts cost no SP.</v>
      </c>
      <c r="D7" s="16"/>
    </row>
    <row r="8">
      <c r="A8" s="16" t="str">
        <f>IFERROR(__xludf.DUMMYFUNCTION("""COMPUTED_VALUE"""),"Libra")</f>
        <v>Libra</v>
      </c>
      <c r="B8" s="16" t="str">
        <f>IFERROR(__xludf.DUMMYFUNCTION("""COMPUTED_VALUE"""),"Balance")</f>
        <v>Balance</v>
      </c>
      <c r="C8" s="16" t="str">
        <f>IFERROR(__xludf.DUMMYFUNCTION("""COMPUTED_VALUE"""),"At the start of each battle, Half the SP/HP cost of spells for the user.")</f>
        <v>At the start of each battle, Half the SP/HP cost of spells for the user.</v>
      </c>
      <c r="D8" s="16"/>
    </row>
    <row r="9">
      <c r="A9" s="16" t="str">
        <f>IFERROR(__xludf.DUMMYFUNCTION("""COMPUTED_VALUE"""),"Scorpio")</f>
        <v>Scorpio</v>
      </c>
      <c r="B9" s="16" t="str">
        <f>IFERROR(__xludf.DUMMYFUNCTION("""COMPUTED_VALUE"""),"Poison Sting")</f>
        <v>Poison Sting</v>
      </c>
      <c r="C9" s="16" t="str">
        <f>IFERROR(__xludf.DUMMYFUNCTION("""COMPUTED_VALUE"""),"When you are attacked or killed, the enemy that attacked or killed you will take Poison 1000 per turn.")</f>
        <v>When you are attacked or killed, the enemy that attacked or killed you will take Poison 1000 per turn.</v>
      </c>
      <c r="D9" s="16"/>
    </row>
    <row r="10">
      <c r="A10" s="16" t="str">
        <f>IFERROR(__xludf.DUMMYFUNCTION("""COMPUTED_VALUE"""),"Sagittarius")</f>
        <v>Sagittarius</v>
      </c>
      <c r="B10" s="16" t="str">
        <f>IFERROR(__xludf.DUMMYFUNCTION("""COMPUTED_VALUE"""),"Archer’s Experience")</f>
        <v>Archer’s Experience</v>
      </c>
      <c r="C10" s="16" t="str">
        <f>IFERROR(__xludf.DUMMYFUNCTION("""COMPUTED_VALUE"""),"X4 damage towards ranged non-spell attacks.")</f>
        <v>X4 damage towards ranged non-spell attacks.</v>
      </c>
      <c r="D10" s="16"/>
    </row>
    <row r="11">
      <c r="A11" s="16" t="str">
        <f>IFERROR(__xludf.DUMMYFUNCTION("""COMPUTED_VALUE"""),"Capricorn")</f>
        <v>Capricorn</v>
      </c>
      <c r="B11" s="16" t="str">
        <f>IFERROR(__xludf.DUMMYFUNCTION("""COMPUTED_VALUE"""),"Magic Enhancement")</f>
        <v>Magic Enhancement</v>
      </c>
      <c r="C11" s="16" t="str">
        <f>IFERROR(__xludf.DUMMYFUNCTION("""COMPUTED_VALUE"""),"X2 Spell Damage.")</f>
        <v>X2 Spell Damage.</v>
      </c>
      <c r="D11" s="16"/>
    </row>
    <row r="12">
      <c r="A12" s="16" t="str">
        <f>IFERROR(__xludf.DUMMYFUNCTION("""COMPUTED_VALUE"""),"Aquarius")</f>
        <v>Aquarius</v>
      </c>
      <c r="B12" s="16" t="str">
        <f>IFERROR(__xludf.DUMMYFUNCTION("""COMPUTED_VALUE"""),"Child of Water")</f>
        <v>Child of Water</v>
      </c>
      <c r="C12" s="16" t="str">
        <f>IFERROR(__xludf.DUMMYFUNCTION("""COMPUTED_VALUE"""),"X4 Water Damage, Immune to Water.")</f>
        <v>X4 Water Damage, Immune to Water.</v>
      </c>
      <c r="D12" s="16"/>
    </row>
    <row r="13">
      <c r="A13" s="16" t="str">
        <f>IFERROR(__xludf.DUMMYFUNCTION("""COMPUTED_VALUE"""),"Pisces")</f>
        <v>Pisces</v>
      </c>
      <c r="B13" s="16" t="str">
        <f>IFERROR(__xludf.DUMMYFUNCTION("""COMPUTED_VALUE"""),"Fate’s Hands")</f>
        <v>Fate’s Hands</v>
      </c>
      <c r="C13" s="16" t="str">
        <f>IFERROR(__xludf.DUMMYFUNCTION("""COMPUTED_VALUE"""),"At the beginning of battle, roll a d20. If the result is odd, all attacks done by Pisces deal 2X damage for the battle. If it is even, all Pisces take ½ damage for the battle. This effect stacks.")</f>
        <v>At the beginning of battle, roll a d20. If the result is odd, all attacks done by Pisces deal 2X damage for the battle. If it is even, all Pisces take ½ damage for the battle. This effect stacks.</v>
      </c>
      <c r="D13" s="16"/>
    </row>
    <row r="14">
      <c r="A14" s="16" t="str">
        <f>IFERROR(__xludf.DUMMYFUNCTION("""COMPUTED_VALUE"""),"Custos")</f>
        <v>Custos</v>
      </c>
      <c r="B14" s="16" t="str">
        <f>IFERROR(__xludf.DUMMYFUNCTION("""COMPUTED_VALUE"""),"The Celestial Guardian")</f>
        <v>The Celestial Guardian</v>
      </c>
      <c r="C14" s="16" t="str">
        <f>IFERROR(__xludf.DUMMYFUNCTION("""COMPUTED_VALUE"""),"50% chance to not take any damage for the first round of a battle ")</f>
        <v>50% chance to not take any damage for the first round of a battle </v>
      </c>
      <c r="D14" s="16"/>
    </row>
    <row r="15">
      <c r="A15" s="16" t="str">
        <f>IFERROR(__xludf.DUMMYFUNCTION("""COMPUTED_VALUE"""),"Serpens")</f>
        <v>Serpens</v>
      </c>
      <c r="B15" s="16" t="str">
        <f>IFERROR(__xludf.DUMMYFUNCTION("""COMPUTED_VALUE"""),"The Silver Serpent")</f>
        <v>The Silver Serpent</v>
      </c>
      <c r="C15" s="16" t="str">
        <f>IFERROR(__xludf.DUMMYFUNCTION("""COMPUTED_VALUE"""),"+5 Wisom when engaging a trap or puzzle in battle/rp.")</f>
        <v>+5 Wisom when engaging a trap or puzzle in battle/rp.</v>
      </c>
      <c r="D15" s="16"/>
    </row>
    <row r="16">
      <c r="A16" s="16" t="str">
        <f>IFERROR(__xludf.DUMMYFUNCTION("""COMPUTED_VALUE"""),"Malleator")</f>
        <v>Malleator</v>
      </c>
      <c r="B16" s="16" t="str">
        <f>IFERROR(__xludf.DUMMYFUNCTION("""COMPUTED_VALUE"""),"The Fiery Forge")</f>
        <v>The Fiery Forge</v>
      </c>
      <c r="C16" s="16" t="str">
        <f>IFERROR(__xludf.DUMMYFUNCTION("""COMPUTED_VALUE"""),"You need an additional failed roll to break an item while forging.")</f>
        <v>You need an additional failed roll to break an item while forging.</v>
      </c>
      <c r="D16" s="16"/>
    </row>
    <row r="17">
      <c r="A17" s="16" t="str">
        <f>IFERROR(__xludf.DUMMYFUNCTION("""COMPUTED_VALUE"""),"Lupus")</f>
        <v>Lupus</v>
      </c>
      <c r="B17" s="16" t="str">
        <f>IFERROR(__xludf.DUMMYFUNCTION("""COMPUTED_VALUE"""),"The Spectral Wolf")</f>
        <v>The Spectral Wolf</v>
      </c>
      <c r="C17" s="16" t="str">
        <f>IFERROR(__xludf.DUMMYFUNCTION("""COMPUTED_VALUE"""),"At the beginning of battle, roll a d20. If the result is odd, all Lupus gain +5 Intimidation for the battle. If it is even, all Lupus gain +5 Charisma for the battle. This effect stacks.")</f>
        <v>At the beginning of battle, roll a d20. If the result is odd, all Lupus gain +5 Intimidation for the battle. If it is even, all Lupus gain +5 Charisma for the battle. This effect stacks.</v>
      </c>
      <c r="D17" s="16"/>
    </row>
    <row r="18">
      <c r="A18" s="16" t="str">
        <f>IFERROR(__xludf.DUMMYFUNCTION("""COMPUTED_VALUE"""),"Scriptus")</f>
        <v>Scriptus</v>
      </c>
      <c r="B18" s="16" t="str">
        <f>IFERROR(__xludf.DUMMYFUNCTION("""COMPUTED_VALUE"""),"The Starry Scribe")</f>
        <v>The Starry Scribe</v>
      </c>
      <c r="C18" s="16" t="str">
        <f>IFERROR(__xludf.DUMMYFUNCTION("""COMPUTED_VALUE"""),"If your current SP is full, damaging spells the user casts cost no SP.")</f>
        <v>If your current SP is full, damaging spells the user casts cost no SP.</v>
      </c>
      <c r="D18" s="16"/>
    </row>
    <row r="19">
      <c r="A19" s="16" t="str">
        <f>IFERROR(__xludf.DUMMYFUNCTION("""COMPUTED_VALUE"""),"Arboreas")</f>
        <v>Arboreas</v>
      </c>
      <c r="B19" s="16" t="str">
        <f>IFERROR(__xludf.DUMMYFUNCTION("""COMPUTED_VALUE"""),"The Whispering Trees")</f>
        <v>The Whispering Trees</v>
      </c>
      <c r="C19" s="16" t="str">
        <f>IFERROR(__xludf.DUMMYFUNCTION("""COMPUTED_VALUE"""),"X4 Nature Damage, Immune to Nature.")</f>
        <v>X4 Nature Damage, Immune to Nature.</v>
      </c>
      <c r="D19" s="16"/>
    </row>
    <row r="20">
      <c r="A20" s="16" t="str">
        <f>IFERROR(__xludf.DUMMYFUNCTION("""COMPUTED_VALUE"""),"Aranea")</f>
        <v>Aranea</v>
      </c>
      <c r="B20" s="16" t="str">
        <f>IFERROR(__xludf.DUMMYFUNCTION("""COMPUTED_VALUE"""),"The Cosmic Weaver")</f>
        <v>The Cosmic Weaver</v>
      </c>
      <c r="C20" s="16" t="str">
        <f>IFERROR(__xludf.DUMMYFUNCTION("""COMPUTED_VALUE"""),"Allows the user to reroll one failed Fail/Succeed roll per battle/rp action.")</f>
        <v>Allows the user to reroll one failed Fail/Succeed roll per battle/rp action.</v>
      </c>
      <c r="D20" s="16"/>
    </row>
    <row r="21">
      <c r="A21" s="16"/>
      <c r="B21" s="16"/>
      <c r="C21" s="16"/>
      <c r="D21" s="16"/>
    </row>
    <row r="22">
      <c r="A22" s="16"/>
      <c r="B22" s="16"/>
      <c r="C22" s="16"/>
      <c r="D22" s="16"/>
    </row>
    <row r="23">
      <c r="A23" s="16"/>
      <c r="B23" s="16"/>
      <c r="C23" s="16"/>
      <c r="D23" s="16"/>
    </row>
    <row r="24">
      <c r="A24" s="16"/>
      <c r="B24" s="16"/>
      <c r="C24" s="16"/>
      <c r="D24" s="16"/>
    </row>
    <row r="25">
      <c r="A25" s="16"/>
      <c r="B25" s="16"/>
      <c r="C25" s="16"/>
      <c r="D25" s="16"/>
    </row>
    <row r="26">
      <c r="A26" s="16"/>
      <c r="B26" s="16"/>
      <c r="C26" s="16"/>
      <c r="D26" s="16"/>
    </row>
    <row r="27">
      <c r="A27" s="16"/>
      <c r="B27" s="16"/>
      <c r="C27" s="16"/>
      <c r="D27" s="16"/>
    </row>
    <row r="28">
      <c r="A28" s="16"/>
      <c r="B28" s="16"/>
      <c r="C28" s="16"/>
      <c r="D28" s="16"/>
    </row>
    <row r="29">
      <c r="A29" s="16"/>
      <c r="B29" s="16"/>
      <c r="C29" s="16"/>
      <c r="D29" s="16"/>
    </row>
    <row r="30">
      <c r="A30" s="16"/>
      <c r="B30" s="16"/>
      <c r="C30" s="16"/>
      <c r="D30" s="16"/>
    </row>
    <row r="31">
      <c r="A31" s="16"/>
      <c r="B31" s="16"/>
      <c r="C31" s="16"/>
      <c r="D31" s="16"/>
    </row>
    <row r="32">
      <c r="A32" s="16"/>
      <c r="B32" s="16"/>
      <c r="C32" s="16"/>
      <c r="D32" s="16"/>
    </row>
    <row r="33">
      <c r="A33" s="16"/>
      <c r="B33" s="16"/>
      <c r="C33" s="16"/>
      <c r="D33" s="16"/>
    </row>
    <row r="34">
      <c r="A34" s="16"/>
      <c r="B34" s="16"/>
      <c r="C34" s="16"/>
      <c r="D34" s="16"/>
    </row>
    <row r="35">
      <c r="A35" s="16"/>
      <c r="B35" s="16"/>
      <c r="C35" s="16"/>
      <c r="D35" s="16"/>
    </row>
    <row r="36">
      <c r="A36" s="16"/>
      <c r="B36" s="16"/>
      <c r="C36" s="16"/>
      <c r="D36" s="16"/>
    </row>
    <row r="37">
      <c r="A37" s="16"/>
      <c r="B37" s="16"/>
      <c r="C37" s="16"/>
      <c r="D37" s="16"/>
    </row>
    <row r="38">
      <c r="A38" s="16"/>
      <c r="B38" s="16"/>
      <c r="C38" s="16"/>
      <c r="D38" s="16"/>
    </row>
    <row r="39">
      <c r="A39" s="16"/>
      <c r="B39" s="16"/>
      <c r="C39" s="16"/>
      <c r="D39" s="16"/>
    </row>
    <row r="40">
      <c r="A40" s="16"/>
      <c r="B40" s="16"/>
      <c r="C40" s="16"/>
      <c r="D40" s="16"/>
    </row>
    <row r="41">
      <c r="A41" s="16"/>
      <c r="B41" s="16"/>
      <c r="C41" s="16"/>
      <c r="D41" s="16"/>
    </row>
    <row r="42">
      <c r="A42" s="16"/>
      <c r="B42" s="16"/>
      <c r="C42" s="16"/>
      <c r="D42" s="16"/>
    </row>
    <row r="43">
      <c r="A43" s="16"/>
      <c r="B43" s="16"/>
      <c r="C43" s="16"/>
      <c r="D43" s="16"/>
    </row>
    <row r="44">
      <c r="A44" s="16"/>
      <c r="B44" s="16"/>
      <c r="C44" s="16"/>
      <c r="D44" s="16"/>
    </row>
    <row r="45">
      <c r="A45" s="16"/>
      <c r="B45" s="16"/>
      <c r="C45" s="16"/>
      <c r="D45" s="16"/>
    </row>
    <row r="46">
      <c r="A46" s="16"/>
      <c r="B46" s="16"/>
      <c r="C46" s="16"/>
      <c r="D46" s="16"/>
    </row>
    <row r="47">
      <c r="A47" s="16"/>
      <c r="B47" s="16"/>
      <c r="C47" s="16"/>
      <c r="D47" s="16"/>
    </row>
    <row r="48">
      <c r="A48" s="16"/>
      <c r="B48" s="16"/>
      <c r="C48" s="16"/>
      <c r="D48" s="16"/>
    </row>
    <row r="49">
      <c r="A49" s="16"/>
      <c r="B49" s="16"/>
      <c r="C49" s="16"/>
      <c r="D49" s="16"/>
    </row>
    <row r="50">
      <c r="A50" s="16"/>
      <c r="B50" s="16"/>
      <c r="C50" s="16"/>
      <c r="D50" s="16"/>
    </row>
    <row r="51">
      <c r="A51" s="16"/>
      <c r="B51" s="16"/>
      <c r="C51" s="16"/>
      <c r="D51" s="16"/>
    </row>
    <row r="52">
      <c r="A52" s="16"/>
      <c r="B52" s="16"/>
      <c r="C52" s="16"/>
      <c r="D52" s="16"/>
    </row>
    <row r="53">
      <c r="A53" s="16"/>
      <c r="B53" s="16"/>
      <c r="C53" s="16"/>
      <c r="D53" s="16"/>
    </row>
    <row r="54">
      <c r="A54" s="16"/>
      <c r="B54" s="16"/>
      <c r="C54" s="16"/>
      <c r="D54" s="16"/>
    </row>
    <row r="55">
      <c r="A55" s="16"/>
      <c r="B55" s="16"/>
      <c r="C55" s="16"/>
      <c r="D55" s="16"/>
    </row>
    <row r="56">
      <c r="A56" s="16"/>
      <c r="B56" s="16"/>
      <c r="C56" s="16"/>
      <c r="D56" s="16"/>
    </row>
    <row r="57">
      <c r="A57" s="16"/>
      <c r="B57" s="16"/>
      <c r="C57" s="16"/>
      <c r="D57" s="16"/>
    </row>
    <row r="58">
      <c r="A58" s="16"/>
      <c r="B58" s="16"/>
      <c r="C58" s="16"/>
      <c r="D58" s="16"/>
    </row>
    <row r="59">
      <c r="A59" s="16"/>
      <c r="B59" s="16"/>
      <c r="C59" s="16"/>
      <c r="D59" s="16"/>
    </row>
    <row r="60">
      <c r="A60" s="16"/>
      <c r="B60" s="16"/>
      <c r="C60" s="16"/>
      <c r="D60" s="16"/>
    </row>
    <row r="61">
      <c r="A61" s="16"/>
      <c r="B61" s="16"/>
      <c r="C61" s="16"/>
      <c r="D61" s="16"/>
    </row>
    <row r="62">
      <c r="A62" s="16"/>
      <c r="B62" s="16"/>
      <c r="C62" s="16"/>
      <c r="D62" s="16"/>
    </row>
    <row r="63">
      <c r="A63" s="16"/>
      <c r="B63" s="16"/>
      <c r="C63" s="16"/>
      <c r="D63" s="16"/>
    </row>
    <row r="64">
      <c r="A64" s="16"/>
      <c r="B64" s="16"/>
      <c r="C64" s="16"/>
      <c r="D64" s="16"/>
    </row>
    <row r="65">
      <c r="A65" s="16"/>
      <c r="B65" s="16"/>
      <c r="C65" s="16"/>
      <c r="D65" s="16"/>
    </row>
    <row r="66">
      <c r="A66" s="16"/>
      <c r="B66" s="16"/>
      <c r="C66" s="16"/>
      <c r="D66" s="16"/>
    </row>
    <row r="67">
      <c r="A67" s="16"/>
      <c r="B67" s="16"/>
      <c r="C67" s="16"/>
      <c r="D67" s="16"/>
    </row>
    <row r="68">
      <c r="A68" s="16"/>
      <c r="B68" s="16"/>
      <c r="C68" s="16"/>
      <c r="D68" s="16"/>
    </row>
    <row r="69">
      <c r="A69" s="16"/>
      <c r="B69" s="16"/>
      <c r="C69" s="16"/>
      <c r="D69" s="16"/>
    </row>
    <row r="70">
      <c r="A70" s="16"/>
      <c r="B70" s="16"/>
      <c r="C70" s="16"/>
      <c r="D70" s="16"/>
    </row>
    <row r="71">
      <c r="A71" s="16"/>
      <c r="B71" s="16"/>
      <c r="C71" s="16"/>
      <c r="D71" s="16"/>
    </row>
    <row r="72">
      <c r="A72" s="16"/>
      <c r="B72" s="16"/>
      <c r="C72" s="16"/>
      <c r="D72" s="16"/>
    </row>
    <row r="73">
      <c r="A73" s="16"/>
      <c r="B73" s="16"/>
      <c r="C73" s="16"/>
      <c r="D73" s="16"/>
    </row>
    <row r="74">
      <c r="A74" s="16"/>
      <c r="B74" s="16"/>
      <c r="C74" s="16"/>
      <c r="D74" s="16"/>
    </row>
    <row r="75">
      <c r="A75" s="16"/>
      <c r="B75" s="16"/>
      <c r="C75" s="16"/>
      <c r="D75" s="16"/>
    </row>
    <row r="76">
      <c r="A76" s="16"/>
      <c r="B76" s="16"/>
      <c r="C76" s="16"/>
      <c r="D76" s="16"/>
    </row>
    <row r="77">
      <c r="A77" s="16"/>
      <c r="B77" s="16"/>
      <c r="C77" s="16"/>
      <c r="D77" s="16"/>
    </row>
    <row r="78">
      <c r="A78" s="16"/>
      <c r="B78" s="16"/>
      <c r="C78" s="16"/>
      <c r="D78" s="16"/>
    </row>
    <row r="79">
      <c r="A79" s="16"/>
      <c r="B79" s="16"/>
      <c r="C79" s="16"/>
      <c r="D79" s="16"/>
    </row>
    <row r="80">
      <c r="A80" s="16"/>
      <c r="B80" s="16"/>
      <c r="C80" s="16"/>
      <c r="D80" s="16"/>
    </row>
    <row r="81">
      <c r="A81" s="16"/>
      <c r="B81" s="16"/>
      <c r="C81" s="16"/>
      <c r="D81" s="16"/>
    </row>
    <row r="82">
      <c r="A82" s="16"/>
      <c r="B82" s="16"/>
      <c r="C82" s="16"/>
      <c r="D82" s="16"/>
    </row>
    <row r="83">
      <c r="A83" s="16"/>
      <c r="B83" s="16"/>
      <c r="C83" s="16"/>
      <c r="D83" s="16"/>
    </row>
    <row r="84">
      <c r="A84" s="16"/>
      <c r="B84" s="16"/>
      <c r="C84" s="16"/>
      <c r="D84" s="16"/>
    </row>
    <row r="85">
      <c r="A85" s="16"/>
      <c r="B85" s="16"/>
      <c r="C85" s="16"/>
      <c r="D85" s="16"/>
    </row>
    <row r="86">
      <c r="A86" s="16"/>
      <c r="B86" s="16"/>
      <c r="C86" s="16"/>
      <c r="D86" s="16"/>
    </row>
    <row r="87">
      <c r="A87" s="16"/>
      <c r="B87" s="16"/>
      <c r="C87" s="16"/>
      <c r="D87" s="16"/>
    </row>
    <row r="88">
      <c r="A88" s="16"/>
      <c r="B88" s="16"/>
      <c r="C88" s="16"/>
      <c r="D88" s="16"/>
    </row>
    <row r="89">
      <c r="A89" s="16"/>
      <c r="B89" s="16"/>
      <c r="C89" s="16"/>
      <c r="D89" s="16"/>
    </row>
    <row r="90">
      <c r="A90" s="16"/>
      <c r="B90" s="16"/>
      <c r="C90" s="16"/>
      <c r="D90" s="16"/>
    </row>
    <row r="91">
      <c r="A91" s="16"/>
      <c r="B91" s="16"/>
      <c r="C91" s="16"/>
      <c r="D91" s="16"/>
    </row>
    <row r="92">
      <c r="A92" s="16"/>
      <c r="B92" s="16"/>
      <c r="C92" s="16"/>
      <c r="D92" s="16"/>
    </row>
    <row r="93">
      <c r="A93" s="16"/>
      <c r="B93" s="16"/>
      <c r="C93" s="16"/>
      <c r="D93" s="16"/>
    </row>
    <row r="94">
      <c r="A94" s="16"/>
      <c r="B94" s="16"/>
      <c r="C94" s="16"/>
      <c r="D94" s="16"/>
    </row>
    <row r="95">
      <c r="A95" s="16"/>
      <c r="B95" s="16"/>
      <c r="C95" s="16"/>
      <c r="D95" s="16"/>
    </row>
    <row r="96">
      <c r="A96" s="16"/>
      <c r="B96" s="16"/>
      <c r="C96" s="16"/>
      <c r="D96" s="16"/>
    </row>
    <row r="97">
      <c r="A97" s="16"/>
      <c r="B97" s="16"/>
      <c r="C97" s="16"/>
      <c r="D97" s="16"/>
    </row>
    <row r="98">
      <c r="A98" s="16"/>
      <c r="B98" s="16"/>
      <c r="C98" s="16"/>
      <c r="D98" s="16"/>
    </row>
    <row r="99">
      <c r="A99" s="16"/>
      <c r="B99" s="16"/>
      <c r="C99" s="16"/>
      <c r="D99" s="16"/>
    </row>
    <row r="100">
      <c r="A100" s="16"/>
      <c r="B100" s="16"/>
      <c r="C100" s="16"/>
      <c r="D100" s="16"/>
    </row>
    <row r="101">
      <c r="A101" s="16"/>
      <c r="B101" s="16"/>
      <c r="C101" s="16"/>
      <c r="D101" s="16"/>
    </row>
    <row r="102">
      <c r="A102" s="16"/>
      <c r="B102" s="16"/>
      <c r="C102" s="16"/>
      <c r="D102" s="16"/>
    </row>
    <row r="103">
      <c r="A103" s="16"/>
      <c r="B103" s="16"/>
      <c r="C103" s="16"/>
      <c r="D103" s="16"/>
    </row>
    <row r="104">
      <c r="A104" s="16"/>
      <c r="B104" s="16"/>
      <c r="C104" s="16"/>
      <c r="D104" s="16"/>
    </row>
    <row r="105">
      <c r="A105" s="16"/>
      <c r="B105" s="16"/>
      <c r="C105" s="16"/>
      <c r="D105" s="16"/>
    </row>
    <row r="106">
      <c r="A106" s="16"/>
      <c r="B106" s="16"/>
      <c r="C106" s="16"/>
      <c r="D106" s="16"/>
    </row>
    <row r="107">
      <c r="A107" s="16"/>
      <c r="B107" s="16"/>
      <c r="C107" s="16"/>
      <c r="D107" s="16"/>
    </row>
    <row r="108">
      <c r="A108" s="16"/>
      <c r="B108" s="16"/>
      <c r="C108" s="16"/>
      <c r="D108" s="16"/>
    </row>
    <row r="109">
      <c r="A109" s="16"/>
      <c r="B109" s="16"/>
      <c r="C109" s="16"/>
      <c r="D109" s="16"/>
    </row>
    <row r="110">
      <c r="A110" s="16"/>
      <c r="B110" s="16"/>
      <c r="C110" s="16"/>
      <c r="D110" s="16"/>
    </row>
    <row r="111">
      <c r="A111" s="16"/>
      <c r="B111" s="16"/>
      <c r="C111" s="16"/>
      <c r="D111" s="16"/>
    </row>
    <row r="112">
      <c r="A112" s="16"/>
      <c r="B112" s="16"/>
      <c r="C112" s="16"/>
      <c r="D112" s="16"/>
    </row>
    <row r="113">
      <c r="A113" s="16"/>
      <c r="B113" s="16"/>
      <c r="C113" s="16"/>
      <c r="D113" s="16"/>
    </row>
    <row r="114">
      <c r="A114" s="16"/>
      <c r="B114" s="16"/>
      <c r="C114" s="16"/>
      <c r="D114" s="16"/>
    </row>
    <row r="115">
      <c r="A115" s="16"/>
      <c r="B115" s="16"/>
      <c r="C115" s="16"/>
      <c r="D115" s="16"/>
    </row>
    <row r="116">
      <c r="A116" s="16"/>
      <c r="B116" s="16"/>
      <c r="C116" s="16"/>
      <c r="D116" s="16"/>
    </row>
    <row r="117">
      <c r="A117" s="16"/>
      <c r="B117" s="16"/>
      <c r="C117" s="16"/>
      <c r="D117" s="16"/>
    </row>
    <row r="118">
      <c r="A118" s="16"/>
      <c r="B118" s="16"/>
      <c r="C118" s="16"/>
      <c r="D118" s="16"/>
    </row>
    <row r="119">
      <c r="A119" s="16"/>
      <c r="B119" s="16"/>
      <c r="C119" s="16"/>
      <c r="D119" s="16"/>
    </row>
    <row r="120">
      <c r="A120" s="16"/>
      <c r="B120" s="16"/>
      <c r="C120" s="16"/>
      <c r="D120" s="16"/>
    </row>
    <row r="121">
      <c r="A121" s="16"/>
      <c r="B121" s="16"/>
      <c r="C121" s="16"/>
      <c r="D121" s="16"/>
    </row>
    <row r="122">
      <c r="A122" s="16"/>
      <c r="B122" s="16"/>
      <c r="C122" s="16"/>
      <c r="D122" s="16"/>
    </row>
    <row r="123">
      <c r="A123" s="16"/>
      <c r="B123" s="16"/>
      <c r="C123" s="16"/>
      <c r="D123" s="16"/>
    </row>
    <row r="124">
      <c r="A124" s="16"/>
      <c r="B124" s="16"/>
      <c r="C124" s="16"/>
      <c r="D124" s="16"/>
    </row>
    <row r="125">
      <c r="A125" s="16"/>
      <c r="B125" s="16"/>
      <c r="C125" s="16"/>
      <c r="D125" s="16"/>
    </row>
    <row r="126">
      <c r="A126" s="16"/>
      <c r="B126" s="16"/>
      <c r="C126" s="16"/>
      <c r="D126" s="16"/>
    </row>
    <row r="127">
      <c r="A127" s="16"/>
      <c r="B127" s="16"/>
      <c r="C127" s="16"/>
      <c r="D127" s="16"/>
    </row>
    <row r="128">
      <c r="A128" s="16"/>
      <c r="B128" s="16"/>
      <c r="C128" s="16"/>
      <c r="D128" s="16"/>
    </row>
    <row r="129">
      <c r="A129" s="16"/>
      <c r="B129" s="16"/>
      <c r="C129" s="16"/>
      <c r="D129" s="16"/>
    </row>
    <row r="130">
      <c r="A130" s="16"/>
      <c r="B130" s="16"/>
      <c r="C130" s="16"/>
      <c r="D130" s="16"/>
    </row>
    <row r="131">
      <c r="A131" s="16"/>
      <c r="B131" s="16"/>
      <c r="C131" s="16"/>
      <c r="D131" s="16"/>
    </row>
    <row r="132">
      <c r="A132" s="16"/>
      <c r="B132" s="16"/>
      <c r="C132" s="16"/>
      <c r="D132" s="16"/>
    </row>
    <row r="133">
      <c r="A133" s="16"/>
      <c r="B133" s="16"/>
      <c r="C133" s="16"/>
      <c r="D133" s="16"/>
    </row>
    <row r="134">
      <c r="A134" s="16"/>
      <c r="B134" s="16"/>
      <c r="C134" s="16"/>
      <c r="D134" s="16"/>
    </row>
    <row r="135">
      <c r="A135" s="16"/>
      <c r="B135" s="16"/>
      <c r="C135" s="16"/>
      <c r="D135" s="16"/>
    </row>
    <row r="136">
      <c r="A136" s="16"/>
      <c r="B136" s="16"/>
      <c r="C136" s="16"/>
      <c r="D136" s="16"/>
    </row>
    <row r="137">
      <c r="A137" s="16"/>
      <c r="B137" s="16"/>
      <c r="C137" s="16"/>
      <c r="D137" s="16"/>
    </row>
    <row r="138">
      <c r="A138" s="16"/>
      <c r="B138" s="16"/>
      <c r="C138" s="16"/>
      <c r="D138" s="16"/>
    </row>
    <row r="139">
      <c r="A139" s="16"/>
      <c r="B139" s="16"/>
      <c r="C139" s="16"/>
      <c r="D139" s="16"/>
    </row>
    <row r="140">
      <c r="A140" s="16"/>
      <c r="B140" s="16"/>
      <c r="C140" s="16"/>
      <c r="D140" s="16"/>
    </row>
    <row r="141">
      <c r="A141" s="16"/>
      <c r="B141" s="16"/>
      <c r="C141" s="16"/>
      <c r="D141" s="16"/>
    </row>
    <row r="142">
      <c r="A142" s="16"/>
      <c r="B142" s="16"/>
      <c r="C142" s="16"/>
      <c r="D142" s="16"/>
    </row>
    <row r="143">
      <c r="A143" s="16"/>
      <c r="B143" s="16"/>
      <c r="C143" s="16"/>
      <c r="D143" s="16"/>
    </row>
    <row r="144">
      <c r="A144" s="16"/>
      <c r="B144" s="16"/>
      <c r="C144" s="16"/>
      <c r="D144" s="16"/>
    </row>
    <row r="145">
      <c r="A145" s="16"/>
      <c r="B145" s="16"/>
      <c r="C145" s="16"/>
      <c r="D145" s="16"/>
    </row>
    <row r="146">
      <c r="A146" s="16"/>
      <c r="B146" s="16"/>
      <c r="C146" s="16"/>
      <c r="D146" s="16"/>
    </row>
    <row r="147">
      <c r="A147" s="16"/>
      <c r="B147" s="16"/>
      <c r="C147" s="16"/>
      <c r="D147" s="16"/>
    </row>
    <row r="148">
      <c r="A148" s="16"/>
      <c r="B148" s="16"/>
      <c r="C148" s="16"/>
      <c r="D148" s="16"/>
    </row>
    <row r="149">
      <c r="A149" s="16"/>
      <c r="B149" s="16"/>
      <c r="C149" s="16"/>
      <c r="D149" s="16"/>
    </row>
    <row r="150">
      <c r="A150" s="16"/>
      <c r="B150" s="16"/>
      <c r="C150" s="16"/>
      <c r="D150" s="16"/>
    </row>
    <row r="151">
      <c r="A151" s="16"/>
      <c r="B151" s="16"/>
      <c r="C151" s="16"/>
      <c r="D151" s="16"/>
    </row>
    <row r="152">
      <c r="A152" s="16"/>
      <c r="B152" s="16"/>
      <c r="C152" s="16"/>
      <c r="D152" s="16"/>
    </row>
    <row r="153">
      <c r="A153" s="16"/>
      <c r="B153" s="16"/>
      <c r="C153" s="16"/>
      <c r="D153" s="16"/>
    </row>
    <row r="154">
      <c r="A154" s="16"/>
      <c r="B154" s="16"/>
      <c r="C154" s="16"/>
      <c r="D154" s="16"/>
    </row>
    <row r="155">
      <c r="A155" s="16"/>
      <c r="B155" s="16"/>
      <c r="C155" s="16"/>
      <c r="D155" s="16"/>
    </row>
    <row r="156">
      <c r="A156" s="16"/>
      <c r="B156" s="16"/>
      <c r="C156" s="16"/>
      <c r="D156" s="16"/>
    </row>
    <row r="157">
      <c r="A157" s="16"/>
      <c r="B157" s="16"/>
      <c r="C157" s="16"/>
      <c r="D157" s="16"/>
    </row>
    <row r="158">
      <c r="A158" s="16"/>
      <c r="B158" s="16"/>
      <c r="C158" s="16"/>
      <c r="D158" s="16"/>
    </row>
    <row r="159">
      <c r="A159" s="16"/>
      <c r="B159" s="16"/>
      <c r="C159" s="16"/>
      <c r="D159" s="16"/>
    </row>
    <row r="160">
      <c r="A160" s="16"/>
      <c r="B160" s="16"/>
      <c r="C160" s="16"/>
      <c r="D160" s="16"/>
    </row>
    <row r="161">
      <c r="A161" s="16"/>
      <c r="B161" s="16"/>
      <c r="C161" s="16"/>
      <c r="D161" s="16"/>
    </row>
    <row r="162">
      <c r="A162" s="16"/>
      <c r="B162" s="16"/>
      <c r="C162" s="16"/>
      <c r="D162" s="16"/>
    </row>
    <row r="163">
      <c r="A163" s="16"/>
      <c r="B163" s="16"/>
      <c r="C163" s="16"/>
      <c r="D163" s="16"/>
    </row>
    <row r="164">
      <c r="A164" s="16"/>
      <c r="B164" s="16"/>
      <c r="C164" s="16"/>
      <c r="D164" s="16"/>
    </row>
    <row r="165">
      <c r="A165" s="16"/>
      <c r="B165" s="16"/>
      <c r="C165" s="16"/>
      <c r="D165" s="16"/>
    </row>
    <row r="166">
      <c r="A166" s="16"/>
      <c r="B166" s="16"/>
      <c r="C166" s="16"/>
      <c r="D166" s="16"/>
    </row>
    <row r="167">
      <c r="A167" s="16"/>
      <c r="B167" s="16"/>
      <c r="C167" s="16"/>
      <c r="D167" s="16"/>
    </row>
    <row r="168">
      <c r="A168" s="16"/>
      <c r="B168" s="16"/>
      <c r="C168" s="16"/>
      <c r="D168" s="16"/>
    </row>
    <row r="169">
      <c r="A169" s="16"/>
      <c r="B169" s="16"/>
      <c r="C169" s="16"/>
      <c r="D169" s="16"/>
    </row>
    <row r="170">
      <c r="A170" s="16"/>
      <c r="B170" s="16"/>
      <c r="C170" s="16"/>
      <c r="D170" s="16"/>
    </row>
    <row r="171">
      <c r="A171" s="16"/>
      <c r="B171" s="16"/>
      <c r="C171" s="16"/>
      <c r="D171" s="16"/>
    </row>
    <row r="172">
      <c r="A172" s="16"/>
      <c r="B172" s="16"/>
      <c r="C172" s="16"/>
      <c r="D172" s="16"/>
    </row>
    <row r="173">
      <c r="A173" s="16"/>
      <c r="B173" s="16"/>
      <c r="C173" s="16"/>
      <c r="D173" s="16"/>
    </row>
    <row r="174">
      <c r="A174" s="16"/>
      <c r="B174" s="16"/>
      <c r="C174" s="16"/>
      <c r="D174" s="16"/>
    </row>
    <row r="175">
      <c r="A175" s="16"/>
      <c r="B175" s="16"/>
      <c r="C175" s="16"/>
      <c r="D175" s="16"/>
    </row>
    <row r="176">
      <c r="A176" s="16"/>
      <c r="B176" s="16"/>
      <c r="C176" s="16"/>
      <c r="D176" s="16"/>
    </row>
    <row r="177">
      <c r="A177" s="16"/>
      <c r="B177" s="16"/>
      <c r="C177" s="16"/>
      <c r="D177" s="16"/>
    </row>
    <row r="178">
      <c r="A178" s="16"/>
      <c r="B178" s="16"/>
      <c r="C178" s="16"/>
      <c r="D178" s="16"/>
    </row>
    <row r="179">
      <c r="A179" s="16"/>
      <c r="B179" s="16"/>
      <c r="C179" s="16"/>
      <c r="D179" s="16"/>
    </row>
    <row r="180">
      <c r="A180" s="16"/>
      <c r="B180" s="16"/>
      <c r="C180" s="16"/>
      <c r="D180" s="16"/>
    </row>
    <row r="181">
      <c r="A181" s="16"/>
      <c r="B181" s="16"/>
      <c r="C181" s="16"/>
      <c r="D181" s="16"/>
    </row>
    <row r="182">
      <c r="A182" s="16"/>
      <c r="B182" s="16"/>
      <c r="C182" s="16"/>
      <c r="D182" s="16"/>
    </row>
    <row r="183">
      <c r="A183" s="16"/>
      <c r="B183" s="16"/>
      <c r="C183" s="16"/>
      <c r="D183" s="16"/>
    </row>
    <row r="184">
      <c r="A184" s="16"/>
      <c r="B184" s="16"/>
      <c r="C184" s="16"/>
      <c r="D184" s="16"/>
    </row>
    <row r="185">
      <c r="A185" s="16"/>
      <c r="B185" s="16"/>
      <c r="C185" s="16"/>
      <c r="D185" s="16"/>
    </row>
    <row r="186">
      <c r="A186" s="16"/>
      <c r="B186" s="16"/>
      <c r="C186" s="16"/>
      <c r="D186" s="16"/>
    </row>
    <row r="187">
      <c r="A187" s="16"/>
      <c r="B187" s="16"/>
      <c r="C187" s="16"/>
      <c r="D187" s="16"/>
    </row>
    <row r="188">
      <c r="A188" s="16"/>
      <c r="B188" s="16"/>
      <c r="C188" s="16"/>
      <c r="D188" s="16"/>
    </row>
    <row r="189">
      <c r="A189" s="16"/>
      <c r="B189" s="16"/>
      <c r="C189" s="16"/>
      <c r="D189" s="16"/>
    </row>
    <row r="190">
      <c r="A190" s="16"/>
      <c r="B190" s="16"/>
      <c r="C190" s="16"/>
      <c r="D190" s="16"/>
    </row>
    <row r="191">
      <c r="A191" s="16"/>
      <c r="B191" s="16"/>
      <c r="C191" s="16"/>
      <c r="D191" s="16"/>
    </row>
    <row r="192">
      <c r="A192" s="16"/>
      <c r="B192" s="16"/>
      <c r="C192" s="16"/>
      <c r="D192" s="16"/>
    </row>
    <row r="193">
      <c r="A193" s="16"/>
      <c r="B193" s="16"/>
      <c r="C193" s="16"/>
      <c r="D193" s="16"/>
    </row>
    <row r="194">
      <c r="A194" s="16"/>
      <c r="B194" s="16"/>
      <c r="C194" s="16"/>
      <c r="D194" s="16"/>
    </row>
    <row r="195">
      <c r="A195" s="16"/>
      <c r="B195" s="16"/>
      <c r="C195" s="16"/>
      <c r="D195" s="16"/>
    </row>
    <row r="196">
      <c r="A196" s="16"/>
      <c r="B196" s="16"/>
      <c r="C196" s="16"/>
      <c r="D196" s="16"/>
    </row>
    <row r="197">
      <c r="A197" s="16"/>
      <c r="B197" s="16"/>
      <c r="C197" s="16"/>
      <c r="D197" s="16"/>
    </row>
    <row r="198">
      <c r="A198" s="16"/>
      <c r="B198" s="16"/>
      <c r="C198" s="16"/>
      <c r="D198" s="16"/>
    </row>
    <row r="199">
      <c r="A199" s="16"/>
      <c r="B199" s="16"/>
      <c r="C199" s="16"/>
      <c r="D199" s="16"/>
    </row>
    <row r="200">
      <c r="A200" s="16"/>
      <c r="B200" s="16"/>
      <c r="C200" s="16"/>
      <c r="D200" s="16"/>
    </row>
    <row r="201">
      <c r="A201" s="16"/>
      <c r="B201" s="16"/>
      <c r="C201" s="16"/>
      <c r="D201" s="16"/>
    </row>
    <row r="202">
      <c r="A202" s="16"/>
      <c r="B202" s="16"/>
      <c r="C202" s="16"/>
      <c r="D202" s="16"/>
    </row>
    <row r="203">
      <c r="A203" s="16"/>
      <c r="B203" s="16"/>
      <c r="C203" s="16"/>
      <c r="D203" s="16"/>
    </row>
    <row r="204">
      <c r="A204" s="16"/>
      <c r="B204" s="16"/>
      <c r="C204" s="16"/>
      <c r="D204" s="16"/>
    </row>
    <row r="205">
      <c r="A205" s="16"/>
      <c r="B205" s="16"/>
      <c r="C205" s="16"/>
      <c r="D205" s="16"/>
    </row>
    <row r="206">
      <c r="A206" s="16"/>
      <c r="B206" s="16"/>
      <c r="C206" s="16"/>
      <c r="D206" s="16"/>
    </row>
    <row r="207">
      <c r="A207" s="16"/>
      <c r="B207" s="16"/>
      <c r="C207" s="16"/>
      <c r="D207" s="16"/>
    </row>
    <row r="208">
      <c r="A208" s="16"/>
      <c r="B208" s="16"/>
      <c r="C208" s="16"/>
      <c r="D208" s="16"/>
    </row>
    <row r="209">
      <c r="A209" s="16"/>
      <c r="B209" s="16"/>
      <c r="C209" s="16"/>
      <c r="D209" s="16"/>
    </row>
    <row r="210">
      <c r="A210" s="16"/>
      <c r="B210" s="16"/>
      <c r="C210" s="16"/>
      <c r="D210" s="16"/>
    </row>
    <row r="211">
      <c r="A211" s="16"/>
      <c r="B211" s="16"/>
      <c r="C211" s="16"/>
      <c r="D211" s="16"/>
    </row>
    <row r="212">
      <c r="A212" s="16"/>
      <c r="B212" s="16"/>
      <c r="C212" s="16"/>
      <c r="D212" s="16"/>
    </row>
    <row r="213">
      <c r="A213" s="16"/>
      <c r="B213" s="16"/>
      <c r="C213" s="16"/>
      <c r="D213" s="16"/>
    </row>
    <row r="214">
      <c r="A214" s="16"/>
      <c r="B214" s="16"/>
      <c r="C214" s="16"/>
      <c r="D214" s="16"/>
    </row>
    <row r="215">
      <c r="A215" s="16"/>
      <c r="B215" s="16"/>
      <c r="C215" s="16"/>
      <c r="D215" s="16"/>
    </row>
    <row r="216">
      <c r="A216" s="16"/>
      <c r="B216" s="16"/>
      <c r="C216" s="16"/>
      <c r="D216" s="16"/>
    </row>
    <row r="217">
      <c r="A217" s="16"/>
      <c r="B217" s="16"/>
      <c r="C217" s="16"/>
      <c r="D217" s="16"/>
    </row>
    <row r="218">
      <c r="A218" s="16"/>
      <c r="B218" s="16"/>
      <c r="C218" s="16"/>
      <c r="D218" s="16"/>
    </row>
    <row r="219">
      <c r="A219" s="16"/>
      <c r="B219" s="16"/>
      <c r="C219" s="16"/>
      <c r="D219" s="16"/>
    </row>
    <row r="220">
      <c r="A220" s="16"/>
      <c r="B220" s="16"/>
      <c r="C220" s="16"/>
      <c r="D220" s="16"/>
    </row>
    <row r="221">
      <c r="A221" s="16"/>
      <c r="B221" s="16"/>
      <c r="C221" s="16"/>
      <c r="D221" s="16"/>
    </row>
    <row r="222">
      <c r="A222" s="16"/>
      <c r="B222" s="16"/>
      <c r="C222" s="16"/>
      <c r="D222" s="16"/>
    </row>
    <row r="223">
      <c r="A223" s="16"/>
      <c r="B223" s="16"/>
      <c r="C223" s="16"/>
      <c r="D223" s="16"/>
    </row>
    <row r="224">
      <c r="A224" s="16"/>
      <c r="B224" s="16"/>
      <c r="C224" s="16"/>
      <c r="D224" s="16"/>
    </row>
    <row r="225">
      <c r="A225" s="16"/>
      <c r="B225" s="16"/>
      <c r="C225" s="16"/>
      <c r="D225" s="16"/>
    </row>
    <row r="226">
      <c r="A226" s="16"/>
      <c r="B226" s="16"/>
      <c r="C226" s="16"/>
      <c r="D226" s="16"/>
    </row>
    <row r="227">
      <c r="A227" s="16"/>
      <c r="B227" s="16"/>
      <c r="C227" s="16"/>
      <c r="D227" s="16"/>
    </row>
    <row r="228">
      <c r="A228" s="16"/>
      <c r="B228" s="16"/>
      <c r="C228" s="16"/>
      <c r="D228" s="16"/>
    </row>
    <row r="229">
      <c r="A229" s="16"/>
      <c r="B229" s="16"/>
      <c r="C229" s="16"/>
      <c r="D229" s="16"/>
    </row>
    <row r="230">
      <c r="A230" s="16"/>
      <c r="B230" s="16"/>
      <c r="C230" s="16"/>
      <c r="D230" s="16"/>
    </row>
    <row r="231">
      <c r="A231" s="16"/>
      <c r="B231" s="16"/>
      <c r="C231" s="16"/>
      <c r="D231" s="16"/>
    </row>
    <row r="232">
      <c r="A232" s="16"/>
      <c r="B232" s="16"/>
      <c r="C232" s="16"/>
      <c r="D232" s="16"/>
    </row>
    <row r="233">
      <c r="A233" s="16"/>
      <c r="B233" s="16"/>
      <c r="C233" s="16"/>
      <c r="D233" s="16"/>
    </row>
    <row r="234">
      <c r="A234" s="16"/>
      <c r="B234" s="16"/>
      <c r="C234" s="16"/>
      <c r="D234" s="16"/>
    </row>
    <row r="235">
      <c r="A235" s="16"/>
      <c r="B235" s="16"/>
      <c r="C235" s="16"/>
      <c r="D235" s="16"/>
    </row>
    <row r="236">
      <c r="A236" s="16"/>
      <c r="B236" s="16"/>
      <c r="C236" s="16"/>
      <c r="D236" s="16"/>
    </row>
    <row r="237">
      <c r="A237" s="16"/>
      <c r="B237" s="16"/>
      <c r="C237" s="16"/>
      <c r="D237" s="16"/>
    </row>
    <row r="238">
      <c r="A238" s="16"/>
      <c r="B238" s="16"/>
      <c r="C238" s="16"/>
      <c r="D238" s="16"/>
    </row>
    <row r="239">
      <c r="A239" s="16"/>
      <c r="B239" s="16"/>
      <c r="C239" s="16"/>
      <c r="D239" s="16"/>
    </row>
    <row r="240">
      <c r="A240" s="16"/>
      <c r="B240" s="16"/>
      <c r="C240" s="16"/>
      <c r="D240" s="16"/>
    </row>
    <row r="241">
      <c r="A241" s="16"/>
      <c r="B241" s="16"/>
      <c r="C241" s="16"/>
      <c r="D241" s="16"/>
    </row>
    <row r="242">
      <c r="A242" s="16"/>
      <c r="B242" s="16"/>
      <c r="C242" s="16"/>
      <c r="D242" s="16"/>
    </row>
    <row r="243">
      <c r="A243" s="16"/>
      <c r="B243" s="16"/>
      <c r="C243" s="16"/>
      <c r="D243" s="16"/>
    </row>
    <row r="244">
      <c r="A244" s="16"/>
      <c r="B244" s="16"/>
      <c r="C244" s="16"/>
      <c r="D244" s="16"/>
    </row>
    <row r="245">
      <c r="A245" s="16"/>
      <c r="B245" s="16"/>
      <c r="C245" s="16"/>
      <c r="D245" s="16"/>
    </row>
    <row r="246">
      <c r="A246" s="16"/>
      <c r="B246" s="16"/>
      <c r="C246" s="16"/>
      <c r="D246" s="16"/>
    </row>
    <row r="247">
      <c r="A247" s="16"/>
      <c r="B247" s="16"/>
      <c r="C247" s="16"/>
      <c r="D247" s="16"/>
    </row>
    <row r="248">
      <c r="A248" s="16"/>
      <c r="B248" s="16"/>
      <c r="C248" s="16"/>
      <c r="D248" s="16"/>
    </row>
    <row r="249">
      <c r="A249" s="16"/>
      <c r="B249" s="16"/>
      <c r="C249" s="16"/>
      <c r="D249" s="16"/>
    </row>
    <row r="250">
      <c r="A250" s="16"/>
      <c r="B250" s="16"/>
      <c r="C250" s="16"/>
      <c r="D250" s="16"/>
    </row>
    <row r="251">
      <c r="A251" s="16"/>
      <c r="B251" s="16"/>
      <c r="C251" s="16"/>
      <c r="D251" s="16"/>
    </row>
    <row r="252">
      <c r="A252" s="16"/>
      <c r="B252" s="16"/>
      <c r="C252" s="16"/>
      <c r="D252" s="16"/>
    </row>
    <row r="253">
      <c r="A253" s="16"/>
      <c r="B253" s="16"/>
      <c r="C253" s="16"/>
      <c r="D253" s="16"/>
    </row>
    <row r="254">
      <c r="A254" s="16"/>
      <c r="B254" s="16"/>
      <c r="C254" s="16"/>
      <c r="D254" s="16"/>
    </row>
    <row r="255">
      <c r="A255" s="16"/>
      <c r="B255" s="16"/>
      <c r="C255" s="16"/>
      <c r="D255" s="16"/>
    </row>
    <row r="256">
      <c r="A256" s="16"/>
      <c r="B256" s="16"/>
      <c r="C256" s="16"/>
      <c r="D256" s="16"/>
    </row>
    <row r="257">
      <c r="A257" s="16"/>
      <c r="B257" s="16"/>
      <c r="C257" s="16"/>
      <c r="D257" s="16"/>
    </row>
    <row r="258">
      <c r="A258" s="16"/>
      <c r="B258" s="16"/>
      <c r="C258" s="16"/>
      <c r="D258" s="16"/>
    </row>
    <row r="259">
      <c r="A259" s="16"/>
      <c r="B259" s="16"/>
      <c r="C259" s="16"/>
      <c r="D259" s="16"/>
    </row>
    <row r="260">
      <c r="A260" s="16"/>
      <c r="B260" s="16"/>
      <c r="C260" s="16"/>
      <c r="D260" s="16"/>
    </row>
    <row r="261">
      <c r="A261" s="16"/>
      <c r="B261" s="16"/>
      <c r="C261" s="16"/>
      <c r="D261" s="16"/>
    </row>
    <row r="262">
      <c r="A262" s="16"/>
      <c r="B262" s="16"/>
      <c r="C262" s="16"/>
      <c r="D262" s="16"/>
    </row>
    <row r="263">
      <c r="A263" s="16"/>
      <c r="B263" s="16"/>
      <c r="C263" s="16"/>
      <c r="D263" s="16"/>
    </row>
    <row r="264">
      <c r="A264" s="16"/>
      <c r="B264" s="16"/>
      <c r="C264" s="16"/>
      <c r="D264" s="16"/>
    </row>
    <row r="265">
      <c r="A265" s="16"/>
      <c r="B265" s="16"/>
      <c r="C265" s="16"/>
      <c r="D265" s="16"/>
    </row>
    <row r="266">
      <c r="A266" s="16"/>
      <c r="B266" s="16"/>
      <c r="C266" s="16"/>
      <c r="D266" s="16"/>
    </row>
    <row r="267">
      <c r="A267" s="16"/>
      <c r="B267" s="16"/>
      <c r="C267" s="16"/>
      <c r="D267" s="16"/>
    </row>
    <row r="268">
      <c r="A268" s="16"/>
      <c r="B268" s="16"/>
      <c r="C268" s="16"/>
      <c r="D268" s="16"/>
    </row>
    <row r="269">
      <c r="A269" s="16"/>
      <c r="B269" s="16"/>
      <c r="C269" s="16"/>
      <c r="D269" s="16"/>
    </row>
    <row r="270">
      <c r="A270" s="16"/>
      <c r="B270" s="16"/>
      <c r="C270" s="16"/>
      <c r="D270" s="16"/>
    </row>
    <row r="271">
      <c r="A271" s="16"/>
      <c r="B271" s="16"/>
      <c r="C271" s="16"/>
      <c r="D271" s="16"/>
    </row>
    <row r="272">
      <c r="A272" s="16"/>
      <c r="B272" s="16"/>
      <c r="C272" s="16"/>
      <c r="D272" s="16"/>
    </row>
    <row r="273">
      <c r="A273" s="16"/>
      <c r="B273" s="16"/>
      <c r="C273" s="16"/>
      <c r="D273" s="16"/>
    </row>
    <row r="274">
      <c r="A274" s="16"/>
      <c r="B274" s="16"/>
      <c r="C274" s="16"/>
      <c r="D274" s="16"/>
    </row>
    <row r="275">
      <c r="A275" s="16"/>
      <c r="B275" s="16"/>
      <c r="C275" s="16"/>
      <c r="D275" s="16"/>
    </row>
    <row r="276">
      <c r="A276" s="16"/>
      <c r="B276" s="16"/>
      <c r="C276" s="16"/>
      <c r="D276" s="16"/>
    </row>
    <row r="277">
      <c r="A277" s="16"/>
      <c r="B277" s="16"/>
      <c r="C277" s="16"/>
      <c r="D277" s="16"/>
    </row>
    <row r="278">
      <c r="A278" s="16"/>
      <c r="B278" s="16"/>
      <c r="C278" s="16"/>
      <c r="D278" s="16"/>
    </row>
    <row r="279">
      <c r="A279" s="16"/>
      <c r="B279" s="16"/>
      <c r="C279" s="16"/>
      <c r="D279" s="16"/>
    </row>
    <row r="280">
      <c r="A280" s="16"/>
      <c r="B280" s="16"/>
      <c r="C280" s="16"/>
      <c r="D280" s="16"/>
    </row>
    <row r="281">
      <c r="A281" s="16"/>
      <c r="B281" s="16"/>
      <c r="C281" s="16"/>
      <c r="D281" s="16"/>
    </row>
    <row r="282">
      <c r="A282" s="16"/>
      <c r="B282" s="16"/>
      <c r="C282" s="16"/>
      <c r="D282" s="16"/>
    </row>
    <row r="283">
      <c r="A283" s="16"/>
      <c r="B283" s="16"/>
      <c r="C283" s="16"/>
      <c r="D283" s="16"/>
    </row>
    <row r="284">
      <c r="A284" s="16"/>
      <c r="B284" s="16"/>
      <c r="C284" s="16"/>
      <c r="D284" s="16"/>
    </row>
    <row r="285">
      <c r="A285" s="16"/>
      <c r="B285" s="16"/>
      <c r="C285" s="16"/>
      <c r="D285" s="16"/>
    </row>
    <row r="286">
      <c r="A286" s="16"/>
      <c r="B286" s="16"/>
      <c r="C286" s="16"/>
      <c r="D286" s="16"/>
    </row>
    <row r="287">
      <c r="A287" s="16"/>
      <c r="B287" s="16"/>
      <c r="C287" s="16"/>
      <c r="D287" s="16"/>
    </row>
    <row r="288">
      <c r="A288" s="16"/>
      <c r="B288" s="16"/>
      <c r="C288" s="16"/>
      <c r="D288" s="16"/>
    </row>
    <row r="289">
      <c r="A289" s="16"/>
      <c r="B289" s="16"/>
      <c r="C289" s="16"/>
      <c r="D289" s="16"/>
    </row>
    <row r="290">
      <c r="A290" s="16"/>
      <c r="B290" s="16"/>
      <c r="C290" s="16"/>
      <c r="D290" s="16"/>
    </row>
    <row r="291">
      <c r="A291" s="16"/>
      <c r="B291" s="16"/>
      <c r="C291" s="16"/>
      <c r="D291" s="16"/>
    </row>
    <row r="292">
      <c r="A292" s="16"/>
      <c r="B292" s="16"/>
      <c r="C292" s="16"/>
      <c r="D292" s="16"/>
    </row>
    <row r="293">
      <c r="A293" s="16"/>
      <c r="B293" s="16"/>
      <c r="C293" s="16"/>
      <c r="D293" s="16"/>
    </row>
    <row r="294">
      <c r="A294" s="16"/>
      <c r="B294" s="16"/>
      <c r="C294" s="16"/>
      <c r="D294" s="16"/>
    </row>
    <row r="295">
      <c r="A295" s="16"/>
      <c r="B295" s="16"/>
      <c r="C295" s="16"/>
      <c r="D295" s="16"/>
    </row>
    <row r="296">
      <c r="A296" s="16"/>
      <c r="B296" s="16"/>
      <c r="C296" s="16"/>
      <c r="D296" s="16"/>
    </row>
    <row r="297">
      <c r="A297" s="16"/>
      <c r="B297" s="16"/>
      <c r="C297" s="16"/>
      <c r="D297" s="16"/>
    </row>
    <row r="298">
      <c r="A298" s="16"/>
      <c r="B298" s="16"/>
      <c r="C298" s="16"/>
      <c r="D298" s="16"/>
    </row>
    <row r="299">
      <c r="A299" s="16"/>
      <c r="B299" s="16"/>
      <c r="C299" s="16"/>
      <c r="D299" s="16"/>
    </row>
    <row r="300">
      <c r="A300" s="16"/>
      <c r="B300" s="16"/>
      <c r="C300" s="16"/>
      <c r="D300" s="16"/>
    </row>
    <row r="301">
      <c r="A301" s="16"/>
      <c r="B301" s="16"/>
      <c r="C301" s="16"/>
      <c r="D301" s="16"/>
    </row>
    <row r="302">
      <c r="A302" s="16"/>
      <c r="B302" s="16"/>
      <c r="C302" s="16"/>
      <c r="D302" s="16"/>
    </row>
    <row r="303">
      <c r="A303" s="16"/>
      <c r="B303" s="16"/>
      <c r="C303" s="16"/>
      <c r="D303" s="16"/>
    </row>
    <row r="304">
      <c r="A304" s="16"/>
      <c r="B304" s="16"/>
      <c r="C304" s="16"/>
      <c r="D304" s="16"/>
    </row>
    <row r="305">
      <c r="A305" s="16"/>
      <c r="B305" s="16"/>
      <c r="C305" s="16"/>
      <c r="D305" s="16"/>
    </row>
    <row r="306">
      <c r="A306" s="16"/>
      <c r="B306" s="16"/>
      <c r="C306" s="16"/>
      <c r="D306" s="16"/>
    </row>
    <row r="307">
      <c r="A307" s="16"/>
      <c r="B307" s="16"/>
      <c r="C307" s="16"/>
      <c r="D307" s="16"/>
    </row>
    <row r="308">
      <c r="A308" s="16"/>
      <c r="B308" s="16"/>
      <c r="C308" s="16"/>
      <c r="D308" s="16"/>
    </row>
    <row r="309">
      <c r="A309" s="16"/>
      <c r="B309" s="16"/>
      <c r="C309" s="16"/>
      <c r="D309" s="16"/>
    </row>
    <row r="310">
      <c r="A310" s="16"/>
      <c r="B310" s="16"/>
      <c r="C310" s="16"/>
      <c r="D310" s="16"/>
    </row>
    <row r="311">
      <c r="A311" s="16"/>
      <c r="B311" s="16"/>
      <c r="C311" s="16"/>
      <c r="D311" s="16"/>
    </row>
    <row r="312">
      <c r="A312" s="16"/>
      <c r="B312" s="16"/>
      <c r="C312" s="16"/>
      <c r="D312" s="16"/>
    </row>
    <row r="313">
      <c r="A313" s="16"/>
      <c r="B313" s="16"/>
      <c r="C313" s="16"/>
      <c r="D313" s="16"/>
    </row>
    <row r="314">
      <c r="A314" s="16"/>
      <c r="B314" s="16"/>
      <c r="C314" s="16"/>
      <c r="D314" s="16"/>
    </row>
    <row r="315">
      <c r="A315" s="16"/>
      <c r="B315" s="16"/>
      <c r="C315" s="16"/>
      <c r="D315" s="16"/>
    </row>
    <row r="316">
      <c r="A316" s="16"/>
      <c r="B316" s="16"/>
      <c r="C316" s="16"/>
      <c r="D316" s="16"/>
    </row>
    <row r="317">
      <c r="A317" s="16"/>
      <c r="B317" s="16"/>
      <c r="C317" s="16"/>
      <c r="D317" s="16"/>
    </row>
    <row r="318">
      <c r="A318" s="16"/>
      <c r="B318" s="16"/>
      <c r="C318" s="16"/>
      <c r="D318" s="16"/>
    </row>
    <row r="319">
      <c r="A319" s="16"/>
      <c r="B319" s="16"/>
      <c r="C319" s="16"/>
      <c r="D319" s="16"/>
    </row>
    <row r="320">
      <c r="A320" s="16"/>
      <c r="B320" s="16"/>
      <c r="C320" s="16"/>
      <c r="D320" s="16"/>
    </row>
    <row r="321">
      <c r="A321" s="16"/>
      <c r="B321" s="16"/>
      <c r="C321" s="16"/>
      <c r="D321" s="16"/>
    </row>
    <row r="322">
      <c r="A322" s="16"/>
      <c r="B322" s="16"/>
      <c r="C322" s="16"/>
      <c r="D322" s="16"/>
    </row>
    <row r="323">
      <c r="A323" s="16"/>
      <c r="B323" s="16"/>
      <c r="C323" s="16"/>
      <c r="D323" s="16"/>
    </row>
    <row r="324">
      <c r="A324" s="16"/>
      <c r="B324" s="16"/>
      <c r="C324" s="16"/>
      <c r="D324" s="16"/>
    </row>
    <row r="325">
      <c r="A325" s="16"/>
      <c r="B325" s="16"/>
      <c r="C325" s="16"/>
      <c r="D325" s="16"/>
    </row>
    <row r="326">
      <c r="A326" s="16"/>
      <c r="B326" s="16"/>
      <c r="C326" s="16"/>
      <c r="D326" s="16"/>
    </row>
    <row r="327">
      <c r="A327" s="16"/>
      <c r="B327" s="16"/>
      <c r="C327" s="16"/>
      <c r="D327" s="16"/>
    </row>
    <row r="328">
      <c r="A328" s="16"/>
      <c r="B328" s="16"/>
      <c r="C328" s="16"/>
      <c r="D328" s="16"/>
    </row>
    <row r="329">
      <c r="A329" s="16"/>
      <c r="B329" s="16"/>
      <c r="C329" s="16"/>
      <c r="D329" s="16"/>
    </row>
    <row r="330">
      <c r="A330" s="16"/>
      <c r="B330" s="16"/>
      <c r="C330" s="16"/>
      <c r="D330" s="16"/>
    </row>
    <row r="331">
      <c r="A331" s="16"/>
      <c r="B331" s="16"/>
      <c r="C331" s="16"/>
      <c r="D331" s="16"/>
    </row>
    <row r="332">
      <c r="A332" s="16"/>
      <c r="B332" s="16"/>
      <c r="C332" s="16"/>
      <c r="D332" s="16"/>
    </row>
    <row r="333">
      <c r="A333" s="16"/>
      <c r="B333" s="16"/>
      <c r="C333" s="16"/>
      <c r="D333" s="16"/>
    </row>
    <row r="334">
      <c r="A334" s="16"/>
      <c r="B334" s="16"/>
      <c r="C334" s="16"/>
      <c r="D334" s="16"/>
    </row>
    <row r="335">
      <c r="A335" s="16"/>
      <c r="B335" s="16"/>
      <c r="C335" s="16"/>
      <c r="D335" s="16"/>
    </row>
    <row r="336">
      <c r="A336" s="16"/>
      <c r="B336" s="16"/>
      <c r="C336" s="16"/>
      <c r="D336" s="16"/>
    </row>
    <row r="337">
      <c r="A337" s="16"/>
      <c r="B337" s="16"/>
      <c r="C337" s="16"/>
      <c r="D337" s="16"/>
    </row>
    <row r="338">
      <c r="A338" s="16"/>
      <c r="B338" s="16"/>
      <c r="C338" s="16"/>
      <c r="D338" s="16"/>
    </row>
    <row r="339">
      <c r="A339" s="16"/>
      <c r="B339" s="16"/>
      <c r="C339" s="16"/>
      <c r="D339" s="16"/>
    </row>
    <row r="340">
      <c r="A340" s="16"/>
      <c r="B340" s="16"/>
      <c r="C340" s="16"/>
      <c r="D340" s="16"/>
    </row>
    <row r="341">
      <c r="A341" s="16"/>
      <c r="B341" s="16"/>
      <c r="C341" s="16"/>
      <c r="D341" s="16"/>
    </row>
    <row r="342">
      <c r="A342" s="16"/>
      <c r="B342" s="16"/>
      <c r="C342" s="16"/>
      <c r="D342" s="16"/>
    </row>
    <row r="343">
      <c r="A343" s="16"/>
      <c r="B343" s="16"/>
      <c r="C343" s="16"/>
      <c r="D343" s="16"/>
    </row>
    <row r="344">
      <c r="A344" s="16"/>
      <c r="B344" s="16"/>
      <c r="C344" s="16"/>
      <c r="D344" s="16"/>
    </row>
    <row r="345">
      <c r="A345" s="16"/>
      <c r="B345" s="16"/>
      <c r="C345" s="16"/>
      <c r="D345" s="16"/>
    </row>
    <row r="346">
      <c r="A346" s="16"/>
      <c r="B346" s="16"/>
      <c r="C346" s="16"/>
      <c r="D346" s="16"/>
    </row>
    <row r="347">
      <c r="A347" s="16"/>
      <c r="B347" s="16"/>
      <c r="C347" s="16"/>
      <c r="D347" s="16"/>
    </row>
    <row r="348">
      <c r="A348" s="16"/>
      <c r="B348" s="16"/>
      <c r="C348" s="16"/>
      <c r="D348" s="16"/>
    </row>
    <row r="349">
      <c r="A349" s="16"/>
      <c r="B349" s="16"/>
      <c r="C349" s="16"/>
      <c r="D349" s="16"/>
    </row>
    <row r="350">
      <c r="A350" s="16"/>
      <c r="B350" s="16"/>
      <c r="C350" s="16"/>
      <c r="D350" s="16"/>
    </row>
    <row r="351">
      <c r="A351" s="16"/>
      <c r="B351" s="16"/>
      <c r="C351" s="16"/>
      <c r="D351" s="16"/>
    </row>
    <row r="352">
      <c r="A352" s="16"/>
      <c r="B352" s="16"/>
      <c r="C352" s="16"/>
      <c r="D352" s="16"/>
    </row>
    <row r="353">
      <c r="A353" s="16"/>
      <c r="B353" s="16"/>
      <c r="C353" s="16"/>
      <c r="D353" s="16"/>
    </row>
    <row r="354">
      <c r="A354" s="16"/>
      <c r="B354" s="16"/>
      <c r="C354" s="16"/>
      <c r="D354" s="16"/>
    </row>
    <row r="355">
      <c r="A355" s="16"/>
      <c r="B355" s="16"/>
      <c r="C355" s="16"/>
      <c r="D355" s="16"/>
    </row>
    <row r="356">
      <c r="A356" s="16"/>
      <c r="B356" s="16"/>
      <c r="C356" s="16"/>
      <c r="D356" s="16"/>
    </row>
    <row r="357">
      <c r="A357" s="16"/>
      <c r="B357" s="16"/>
      <c r="C357" s="16"/>
      <c r="D357" s="16"/>
    </row>
    <row r="358">
      <c r="A358" s="16"/>
      <c r="B358" s="16"/>
      <c r="C358" s="16"/>
      <c r="D358" s="16"/>
    </row>
    <row r="359">
      <c r="A359" s="16"/>
      <c r="B359" s="16"/>
      <c r="C359" s="16"/>
      <c r="D359" s="16"/>
    </row>
    <row r="360">
      <c r="A360" s="16"/>
      <c r="B360" s="16"/>
      <c r="C360" s="16"/>
      <c r="D360" s="16"/>
    </row>
    <row r="361">
      <c r="A361" s="16"/>
      <c r="B361" s="16"/>
      <c r="C361" s="16"/>
      <c r="D361" s="16"/>
    </row>
    <row r="362">
      <c r="A362" s="16"/>
      <c r="B362" s="16"/>
      <c r="C362" s="16"/>
      <c r="D362" s="16"/>
    </row>
    <row r="363">
      <c r="A363" s="16"/>
      <c r="B363" s="16"/>
      <c r="C363" s="16"/>
      <c r="D363" s="16"/>
    </row>
    <row r="364">
      <c r="A364" s="16"/>
      <c r="B364" s="16"/>
      <c r="C364" s="16"/>
      <c r="D364" s="16"/>
    </row>
    <row r="365">
      <c r="A365" s="16"/>
      <c r="B365" s="16"/>
      <c r="C365" s="16"/>
      <c r="D365" s="16"/>
    </row>
    <row r="366">
      <c r="A366" s="16"/>
      <c r="B366" s="16"/>
      <c r="C366" s="16"/>
      <c r="D366" s="16"/>
    </row>
    <row r="367">
      <c r="A367" s="16"/>
      <c r="B367" s="16"/>
      <c r="C367" s="16"/>
      <c r="D367" s="16"/>
    </row>
    <row r="368">
      <c r="A368" s="16"/>
      <c r="B368" s="16"/>
      <c r="C368" s="16"/>
      <c r="D368" s="16"/>
    </row>
    <row r="369">
      <c r="A369" s="16"/>
      <c r="B369" s="16"/>
      <c r="C369" s="16"/>
      <c r="D369" s="16"/>
    </row>
    <row r="370">
      <c r="A370" s="16"/>
      <c r="B370" s="16"/>
      <c r="C370" s="16"/>
      <c r="D370" s="16"/>
    </row>
    <row r="371">
      <c r="A371" s="16"/>
      <c r="B371" s="16"/>
      <c r="C371" s="16"/>
      <c r="D371" s="16"/>
    </row>
    <row r="372">
      <c r="A372" s="16"/>
      <c r="B372" s="16"/>
      <c r="C372" s="16"/>
      <c r="D372" s="16"/>
    </row>
    <row r="373">
      <c r="A373" s="16"/>
      <c r="B373" s="16"/>
      <c r="C373" s="16"/>
      <c r="D373" s="16"/>
    </row>
    <row r="374">
      <c r="A374" s="16"/>
      <c r="B374" s="16"/>
      <c r="C374" s="16"/>
      <c r="D374" s="16"/>
    </row>
    <row r="375">
      <c r="A375" s="16"/>
      <c r="B375" s="16"/>
      <c r="C375" s="16"/>
      <c r="D375" s="16"/>
    </row>
    <row r="376">
      <c r="A376" s="16"/>
      <c r="B376" s="16"/>
      <c r="C376" s="16"/>
      <c r="D376" s="16"/>
    </row>
    <row r="377">
      <c r="A377" s="16"/>
      <c r="B377" s="16"/>
      <c r="C377" s="16"/>
      <c r="D377" s="16"/>
    </row>
    <row r="378">
      <c r="A378" s="16"/>
      <c r="B378" s="16"/>
      <c r="C378" s="16"/>
      <c r="D378" s="16"/>
    </row>
    <row r="379">
      <c r="A379" s="16"/>
      <c r="B379" s="16"/>
      <c r="C379" s="16"/>
      <c r="D379" s="16"/>
    </row>
    <row r="380">
      <c r="A380" s="16"/>
      <c r="B380" s="16"/>
      <c r="C380" s="16"/>
      <c r="D380" s="16"/>
    </row>
    <row r="381">
      <c r="A381" s="16"/>
      <c r="B381" s="16"/>
      <c r="C381" s="16"/>
      <c r="D381" s="16"/>
    </row>
    <row r="382">
      <c r="A382" s="16"/>
      <c r="B382" s="16"/>
      <c r="C382" s="16"/>
      <c r="D382" s="16"/>
    </row>
    <row r="383">
      <c r="A383" s="16"/>
      <c r="B383" s="16"/>
      <c r="C383" s="16"/>
      <c r="D383" s="16"/>
    </row>
    <row r="384">
      <c r="A384" s="16"/>
      <c r="B384" s="16"/>
      <c r="C384" s="16"/>
      <c r="D384" s="16"/>
    </row>
    <row r="385">
      <c r="A385" s="16"/>
      <c r="B385" s="16"/>
      <c r="C385" s="16"/>
      <c r="D385" s="16"/>
    </row>
    <row r="386">
      <c r="A386" s="16"/>
      <c r="B386" s="16"/>
      <c r="C386" s="16"/>
      <c r="D386" s="16"/>
    </row>
    <row r="387">
      <c r="A387" s="16"/>
      <c r="B387" s="16"/>
      <c r="C387" s="16"/>
      <c r="D387" s="16"/>
    </row>
    <row r="388">
      <c r="A388" s="16"/>
      <c r="B388" s="16"/>
      <c r="C388" s="16"/>
      <c r="D388" s="16"/>
    </row>
    <row r="389">
      <c r="A389" s="16"/>
      <c r="B389" s="16"/>
      <c r="C389" s="16"/>
      <c r="D389" s="16"/>
    </row>
    <row r="390">
      <c r="A390" s="16"/>
      <c r="B390" s="16"/>
      <c r="C390" s="16"/>
      <c r="D390" s="16"/>
    </row>
    <row r="391">
      <c r="A391" s="16"/>
      <c r="B391" s="16"/>
      <c r="C391" s="16"/>
      <c r="D391" s="16"/>
    </row>
    <row r="392">
      <c r="A392" s="16"/>
      <c r="B392" s="16"/>
      <c r="C392" s="16"/>
      <c r="D392" s="16"/>
    </row>
    <row r="393">
      <c r="A393" s="16"/>
      <c r="B393" s="16"/>
      <c r="C393" s="16"/>
      <c r="D393" s="16"/>
    </row>
    <row r="394">
      <c r="A394" s="16"/>
      <c r="B394" s="16"/>
      <c r="C394" s="16"/>
      <c r="D394" s="16"/>
    </row>
    <row r="395">
      <c r="A395" s="16"/>
      <c r="B395" s="16"/>
      <c r="C395" s="16"/>
      <c r="D395" s="16"/>
    </row>
    <row r="396">
      <c r="A396" s="16"/>
      <c r="B396" s="16"/>
      <c r="C396" s="16"/>
      <c r="D396" s="16"/>
    </row>
    <row r="397">
      <c r="A397" s="16"/>
      <c r="B397" s="16"/>
      <c r="C397" s="16"/>
      <c r="D397" s="16"/>
    </row>
    <row r="398">
      <c r="A398" s="16"/>
      <c r="B398" s="16"/>
      <c r="C398" s="16"/>
      <c r="D398" s="16"/>
    </row>
    <row r="399">
      <c r="A399" s="16"/>
      <c r="B399" s="16"/>
      <c r="C399" s="16"/>
      <c r="D399" s="16"/>
    </row>
    <row r="400">
      <c r="A400" s="16"/>
      <c r="B400" s="16"/>
      <c r="C400" s="16"/>
      <c r="D400" s="16"/>
    </row>
    <row r="401">
      <c r="A401" s="16"/>
      <c r="B401" s="16"/>
      <c r="C401" s="16"/>
      <c r="D401" s="16"/>
    </row>
    <row r="402">
      <c r="A402" s="16"/>
      <c r="B402" s="16"/>
      <c r="C402" s="16"/>
      <c r="D402" s="16"/>
    </row>
    <row r="403">
      <c r="A403" s="16"/>
      <c r="B403" s="16"/>
      <c r="C403" s="16"/>
      <c r="D403" s="16"/>
    </row>
    <row r="404">
      <c r="A404" s="16"/>
      <c r="B404" s="16"/>
      <c r="C404" s="16"/>
      <c r="D404" s="16"/>
    </row>
    <row r="405">
      <c r="A405" s="16"/>
      <c r="B405" s="16"/>
      <c r="C405" s="16"/>
      <c r="D405" s="16"/>
    </row>
    <row r="406">
      <c r="A406" s="16"/>
      <c r="B406" s="16"/>
      <c r="C406" s="16"/>
      <c r="D406" s="16"/>
    </row>
    <row r="407">
      <c r="A407" s="16"/>
      <c r="B407" s="16"/>
      <c r="C407" s="16"/>
      <c r="D407" s="16"/>
    </row>
    <row r="408">
      <c r="A408" s="16"/>
      <c r="B408" s="16"/>
      <c r="C408" s="16"/>
      <c r="D408" s="16"/>
    </row>
    <row r="409">
      <c r="A409" s="16"/>
      <c r="B409" s="16"/>
      <c r="C409" s="16"/>
      <c r="D409" s="16"/>
    </row>
    <row r="410">
      <c r="A410" s="16"/>
      <c r="B410" s="16"/>
      <c r="C410" s="16"/>
      <c r="D410" s="16"/>
    </row>
    <row r="411">
      <c r="A411" s="16"/>
      <c r="B411" s="16"/>
      <c r="C411" s="16"/>
      <c r="D411" s="16"/>
    </row>
    <row r="412">
      <c r="A412" s="16"/>
      <c r="B412" s="16"/>
      <c r="C412" s="16"/>
      <c r="D412" s="16"/>
    </row>
    <row r="413">
      <c r="A413" s="16"/>
      <c r="B413" s="16"/>
      <c r="C413" s="16"/>
      <c r="D413" s="16"/>
    </row>
    <row r="414">
      <c r="A414" s="16"/>
      <c r="B414" s="16"/>
      <c r="C414" s="16"/>
      <c r="D414" s="16"/>
    </row>
    <row r="415">
      <c r="A415" s="16"/>
      <c r="B415" s="16"/>
      <c r="C415" s="16"/>
      <c r="D415" s="16"/>
    </row>
    <row r="416">
      <c r="A416" s="16"/>
      <c r="B416" s="16"/>
      <c r="C416" s="16"/>
      <c r="D416" s="16"/>
    </row>
    <row r="417">
      <c r="A417" s="16"/>
      <c r="B417" s="16"/>
      <c r="C417" s="16"/>
      <c r="D417" s="16"/>
    </row>
    <row r="418">
      <c r="A418" s="16"/>
      <c r="B418" s="16"/>
      <c r="C418" s="16"/>
      <c r="D418" s="16"/>
    </row>
    <row r="419">
      <c r="A419" s="16"/>
      <c r="B419" s="16"/>
      <c r="C419" s="16"/>
      <c r="D419" s="16"/>
    </row>
    <row r="420">
      <c r="A420" s="16"/>
      <c r="B420" s="16"/>
      <c r="C420" s="16"/>
      <c r="D420" s="16"/>
    </row>
    <row r="421">
      <c r="A421" s="16"/>
      <c r="B421" s="16"/>
      <c r="C421" s="16"/>
      <c r="D421" s="16"/>
    </row>
    <row r="422">
      <c r="A422" s="16"/>
      <c r="B422" s="16"/>
      <c r="C422" s="16"/>
      <c r="D422" s="16"/>
    </row>
    <row r="423">
      <c r="A423" s="16"/>
      <c r="B423" s="16"/>
      <c r="C423" s="16"/>
      <c r="D423" s="16"/>
    </row>
    <row r="424">
      <c r="A424" s="16"/>
      <c r="B424" s="16"/>
      <c r="C424" s="16"/>
      <c r="D424" s="16"/>
    </row>
    <row r="425">
      <c r="A425" s="16"/>
      <c r="B425" s="16"/>
      <c r="C425" s="16"/>
      <c r="D425" s="16"/>
    </row>
    <row r="426">
      <c r="A426" s="16"/>
      <c r="B426" s="16"/>
      <c r="C426" s="16"/>
      <c r="D426" s="16"/>
    </row>
    <row r="427">
      <c r="A427" s="16"/>
      <c r="B427" s="16"/>
      <c r="C427" s="16"/>
      <c r="D427" s="16"/>
    </row>
    <row r="428">
      <c r="A428" s="16"/>
      <c r="B428" s="16"/>
      <c r="C428" s="16"/>
      <c r="D428" s="16"/>
    </row>
    <row r="429">
      <c r="A429" s="16"/>
      <c r="B429" s="16"/>
      <c r="C429" s="16"/>
      <c r="D429" s="16"/>
    </row>
    <row r="430">
      <c r="A430" s="16"/>
      <c r="B430" s="16"/>
      <c r="C430" s="16"/>
      <c r="D430" s="16"/>
    </row>
    <row r="431">
      <c r="A431" s="16"/>
      <c r="B431" s="16"/>
      <c r="C431" s="16"/>
      <c r="D431" s="16"/>
    </row>
    <row r="432">
      <c r="A432" s="16"/>
      <c r="B432" s="16"/>
      <c r="C432" s="16"/>
      <c r="D432" s="16"/>
    </row>
    <row r="433">
      <c r="A433" s="16"/>
      <c r="B433" s="16"/>
      <c r="C433" s="16"/>
      <c r="D433" s="16"/>
    </row>
    <row r="434">
      <c r="A434" s="16"/>
      <c r="B434" s="16"/>
      <c r="C434" s="16"/>
      <c r="D434" s="16"/>
    </row>
    <row r="435">
      <c r="A435" s="16"/>
      <c r="B435" s="16"/>
      <c r="C435" s="16"/>
      <c r="D435" s="16"/>
    </row>
    <row r="436">
      <c r="A436" s="16"/>
      <c r="B436" s="16"/>
      <c r="C436" s="16"/>
      <c r="D436" s="16"/>
    </row>
    <row r="437">
      <c r="A437" s="16"/>
      <c r="B437" s="16"/>
      <c r="C437" s="16"/>
      <c r="D437" s="16"/>
    </row>
    <row r="438">
      <c r="A438" s="16"/>
      <c r="B438" s="16"/>
      <c r="C438" s="16"/>
      <c r="D438" s="16"/>
    </row>
    <row r="439">
      <c r="A439" s="16"/>
      <c r="B439" s="16"/>
      <c r="C439" s="16"/>
      <c r="D439" s="16"/>
    </row>
    <row r="440">
      <c r="A440" s="16"/>
      <c r="B440" s="16"/>
      <c r="C440" s="16"/>
      <c r="D440" s="16"/>
    </row>
    <row r="441">
      <c r="A441" s="16"/>
      <c r="B441" s="16"/>
      <c r="C441" s="16"/>
      <c r="D441" s="16"/>
    </row>
    <row r="442">
      <c r="A442" s="16"/>
      <c r="B442" s="16"/>
      <c r="C442" s="16"/>
      <c r="D442" s="16"/>
    </row>
    <row r="443">
      <c r="A443" s="16"/>
      <c r="B443" s="16"/>
      <c r="C443" s="16"/>
      <c r="D443" s="16"/>
    </row>
    <row r="444">
      <c r="A444" s="16"/>
      <c r="B444" s="16"/>
      <c r="C444" s="16"/>
      <c r="D444" s="16"/>
    </row>
    <row r="445">
      <c r="A445" s="16"/>
      <c r="B445" s="16"/>
      <c r="C445" s="16"/>
      <c r="D445" s="16"/>
    </row>
    <row r="446">
      <c r="A446" s="16"/>
      <c r="B446" s="16"/>
      <c r="C446" s="16"/>
      <c r="D446" s="16"/>
    </row>
    <row r="447">
      <c r="A447" s="16"/>
      <c r="B447" s="16"/>
      <c r="C447" s="16"/>
      <c r="D447" s="16"/>
    </row>
    <row r="448">
      <c r="A448" s="16"/>
      <c r="B448" s="16"/>
      <c r="C448" s="16"/>
      <c r="D448" s="16"/>
    </row>
    <row r="449">
      <c r="A449" s="16"/>
      <c r="B449" s="16"/>
      <c r="C449" s="16"/>
      <c r="D449" s="16"/>
    </row>
    <row r="450">
      <c r="A450" s="16"/>
      <c r="B450" s="16"/>
      <c r="C450" s="16"/>
      <c r="D450" s="16"/>
    </row>
    <row r="451">
      <c r="A451" s="16"/>
      <c r="B451" s="16"/>
      <c r="C451" s="16"/>
      <c r="D451" s="16"/>
    </row>
    <row r="452">
      <c r="A452" s="16"/>
      <c r="B452" s="16"/>
      <c r="C452" s="16"/>
      <c r="D452" s="16"/>
    </row>
    <row r="453">
      <c r="A453" s="16"/>
      <c r="B453" s="16"/>
      <c r="C453" s="16"/>
      <c r="D453" s="16"/>
    </row>
    <row r="454">
      <c r="A454" s="16"/>
      <c r="B454" s="16"/>
      <c r="C454" s="16"/>
      <c r="D454" s="16"/>
    </row>
    <row r="455">
      <c r="A455" s="16"/>
      <c r="B455" s="16"/>
      <c r="C455" s="16"/>
      <c r="D455" s="16"/>
    </row>
    <row r="456">
      <c r="A456" s="16"/>
      <c r="B456" s="16"/>
      <c r="C456" s="16"/>
      <c r="D456" s="16"/>
    </row>
    <row r="457">
      <c r="A457" s="16"/>
      <c r="B457" s="16"/>
      <c r="C457" s="16"/>
      <c r="D457" s="16"/>
    </row>
    <row r="458">
      <c r="A458" s="16"/>
      <c r="B458" s="16"/>
      <c r="C458" s="16"/>
      <c r="D458" s="16"/>
    </row>
    <row r="459">
      <c r="A459" s="16"/>
      <c r="B459" s="16"/>
      <c r="C459" s="16"/>
      <c r="D459" s="16"/>
    </row>
    <row r="460">
      <c r="A460" s="16"/>
      <c r="B460" s="16"/>
      <c r="C460" s="16"/>
      <c r="D460" s="16"/>
    </row>
    <row r="461">
      <c r="A461" s="16"/>
      <c r="B461" s="16"/>
      <c r="C461" s="16"/>
      <c r="D461" s="16"/>
    </row>
    <row r="462">
      <c r="A462" s="16"/>
      <c r="B462" s="16"/>
      <c r="C462" s="16"/>
      <c r="D462" s="16"/>
    </row>
    <row r="463">
      <c r="A463" s="16"/>
      <c r="B463" s="16"/>
      <c r="C463" s="16"/>
      <c r="D463" s="16"/>
    </row>
    <row r="464">
      <c r="A464" s="16"/>
      <c r="B464" s="16"/>
      <c r="C464" s="16"/>
      <c r="D464" s="16"/>
    </row>
    <row r="465">
      <c r="A465" s="16"/>
      <c r="B465" s="16"/>
      <c r="C465" s="16"/>
      <c r="D465" s="16"/>
    </row>
    <row r="466">
      <c r="A466" s="16"/>
      <c r="B466" s="16"/>
      <c r="C466" s="16"/>
      <c r="D466" s="16"/>
    </row>
    <row r="467">
      <c r="A467" s="16"/>
      <c r="B467" s="16"/>
      <c r="C467" s="16"/>
      <c r="D467" s="16"/>
    </row>
    <row r="468">
      <c r="A468" s="16"/>
      <c r="B468" s="16"/>
      <c r="C468" s="16"/>
      <c r="D468" s="16"/>
    </row>
    <row r="469">
      <c r="A469" s="16"/>
      <c r="B469" s="16"/>
      <c r="C469" s="16"/>
      <c r="D469" s="16"/>
    </row>
    <row r="470">
      <c r="A470" s="16"/>
      <c r="B470" s="16"/>
      <c r="C470" s="16"/>
      <c r="D470" s="16"/>
    </row>
    <row r="471">
      <c r="A471" s="16"/>
      <c r="B471" s="16"/>
      <c r="C471" s="16"/>
      <c r="D471" s="16"/>
    </row>
    <row r="472">
      <c r="A472" s="16"/>
      <c r="B472" s="16"/>
      <c r="C472" s="16"/>
      <c r="D472" s="16"/>
    </row>
    <row r="473">
      <c r="A473" s="16"/>
      <c r="B473" s="16"/>
      <c r="C473" s="16"/>
      <c r="D473" s="16"/>
    </row>
    <row r="474">
      <c r="A474" s="16"/>
      <c r="B474" s="16"/>
      <c r="C474" s="16"/>
      <c r="D474" s="16"/>
    </row>
    <row r="475">
      <c r="A475" s="16"/>
      <c r="B475" s="16"/>
      <c r="C475" s="16"/>
      <c r="D475" s="16"/>
    </row>
    <row r="476">
      <c r="A476" s="16"/>
      <c r="B476" s="16"/>
      <c r="C476" s="16"/>
      <c r="D476" s="16"/>
    </row>
    <row r="477">
      <c r="A477" s="16"/>
      <c r="B477" s="16"/>
      <c r="C477" s="16"/>
      <c r="D477" s="16"/>
    </row>
    <row r="478">
      <c r="A478" s="16"/>
      <c r="B478" s="16"/>
      <c r="C478" s="16"/>
      <c r="D478" s="16"/>
    </row>
    <row r="479">
      <c r="A479" s="16"/>
      <c r="B479" s="16"/>
      <c r="C479" s="16"/>
      <c r="D479" s="16"/>
    </row>
    <row r="480">
      <c r="A480" s="16"/>
      <c r="B480" s="16"/>
      <c r="C480" s="16"/>
      <c r="D480" s="16"/>
    </row>
    <row r="481">
      <c r="A481" s="16"/>
      <c r="B481" s="16"/>
      <c r="C481" s="16"/>
      <c r="D481" s="16"/>
    </row>
    <row r="482">
      <c r="A482" s="16"/>
      <c r="B482" s="16"/>
      <c r="C482" s="16"/>
      <c r="D482" s="16"/>
    </row>
    <row r="483">
      <c r="A483" s="16"/>
      <c r="B483" s="16"/>
      <c r="C483" s="16"/>
      <c r="D483" s="16"/>
    </row>
    <row r="484">
      <c r="A484" s="16"/>
      <c r="B484" s="16"/>
      <c r="C484" s="16"/>
      <c r="D484" s="16"/>
    </row>
    <row r="485">
      <c r="A485" s="16"/>
      <c r="B485" s="16"/>
      <c r="C485" s="16"/>
      <c r="D485" s="16"/>
    </row>
    <row r="486">
      <c r="A486" s="16"/>
      <c r="B486" s="16"/>
      <c r="C486" s="16"/>
      <c r="D486" s="16"/>
    </row>
    <row r="487">
      <c r="A487" s="16"/>
      <c r="B487" s="16"/>
      <c r="C487" s="16"/>
      <c r="D487" s="16"/>
    </row>
    <row r="488">
      <c r="A488" s="16"/>
      <c r="B488" s="16"/>
      <c r="C488" s="16"/>
      <c r="D488" s="16"/>
    </row>
    <row r="489">
      <c r="A489" s="16"/>
      <c r="B489" s="16"/>
      <c r="C489" s="16"/>
      <c r="D489" s="16"/>
    </row>
    <row r="490">
      <c r="A490" s="16"/>
      <c r="B490" s="16"/>
      <c r="C490" s="16"/>
      <c r="D490" s="16"/>
    </row>
    <row r="491">
      <c r="A491" s="16"/>
      <c r="B491" s="16"/>
      <c r="C491" s="16"/>
      <c r="D491" s="16"/>
    </row>
    <row r="492">
      <c r="A492" s="16"/>
      <c r="B492" s="16"/>
      <c r="C492" s="16"/>
      <c r="D492" s="16"/>
    </row>
    <row r="493">
      <c r="A493" s="16"/>
      <c r="B493" s="16"/>
      <c r="C493" s="16"/>
      <c r="D493" s="16"/>
    </row>
    <row r="494">
      <c r="A494" s="16"/>
      <c r="B494" s="16"/>
      <c r="C494" s="16"/>
      <c r="D494" s="16"/>
    </row>
    <row r="495">
      <c r="A495" s="16"/>
      <c r="B495" s="16"/>
      <c r="C495" s="16"/>
      <c r="D495" s="16"/>
    </row>
    <row r="496">
      <c r="A496" s="16"/>
      <c r="B496" s="16"/>
      <c r="C496" s="16"/>
      <c r="D496" s="16"/>
    </row>
    <row r="497">
      <c r="A497" s="16"/>
      <c r="B497" s="16"/>
      <c r="C497" s="16"/>
      <c r="D497" s="16"/>
    </row>
    <row r="498">
      <c r="A498" s="16"/>
      <c r="B498" s="16"/>
      <c r="C498" s="16"/>
      <c r="D498" s="16"/>
    </row>
    <row r="499">
      <c r="A499" s="16"/>
      <c r="B499" s="16"/>
      <c r="C499" s="16"/>
      <c r="D499" s="16"/>
    </row>
    <row r="500">
      <c r="A500" s="16"/>
      <c r="B500" s="16"/>
      <c r="C500" s="16"/>
      <c r="D500" s="16"/>
    </row>
    <row r="501">
      <c r="A501" s="16"/>
      <c r="B501" s="16"/>
      <c r="C501" s="16"/>
      <c r="D501" s="16"/>
    </row>
    <row r="502">
      <c r="A502" s="16"/>
      <c r="B502" s="16"/>
      <c r="C502" s="16"/>
      <c r="D502" s="16"/>
    </row>
    <row r="503">
      <c r="A503" s="16"/>
      <c r="B503" s="16"/>
      <c r="C503" s="16"/>
      <c r="D503" s="16"/>
    </row>
    <row r="504">
      <c r="A504" s="16"/>
      <c r="B504" s="16"/>
      <c r="C504" s="16"/>
      <c r="D504" s="16"/>
    </row>
    <row r="505">
      <c r="A505" s="16"/>
      <c r="B505" s="16"/>
      <c r="C505" s="16"/>
      <c r="D505" s="16"/>
    </row>
    <row r="506">
      <c r="A506" s="16"/>
      <c r="B506" s="16"/>
      <c r="C506" s="16"/>
      <c r="D506" s="16"/>
    </row>
    <row r="507">
      <c r="A507" s="16"/>
      <c r="B507" s="16"/>
      <c r="C507" s="16"/>
      <c r="D507" s="16"/>
    </row>
    <row r="508">
      <c r="A508" s="16"/>
      <c r="B508" s="16"/>
      <c r="C508" s="16"/>
      <c r="D508" s="16"/>
    </row>
    <row r="509">
      <c r="A509" s="16"/>
      <c r="B509" s="16"/>
      <c r="C509" s="16"/>
      <c r="D509" s="16"/>
    </row>
    <row r="510">
      <c r="A510" s="16"/>
      <c r="B510" s="16"/>
      <c r="C510" s="16"/>
      <c r="D510" s="16"/>
    </row>
    <row r="511">
      <c r="A511" s="16"/>
      <c r="B511" s="16"/>
      <c r="C511" s="16"/>
      <c r="D511" s="16"/>
    </row>
    <row r="512">
      <c r="A512" s="16"/>
      <c r="B512" s="16"/>
      <c r="C512" s="16"/>
      <c r="D512" s="16"/>
    </row>
    <row r="513">
      <c r="A513" s="16"/>
      <c r="B513" s="16"/>
      <c r="C513" s="16"/>
      <c r="D513" s="16"/>
    </row>
    <row r="514">
      <c r="A514" s="16"/>
      <c r="B514" s="16"/>
      <c r="C514" s="16"/>
      <c r="D514" s="16"/>
    </row>
    <row r="515">
      <c r="A515" s="16"/>
      <c r="B515" s="16"/>
      <c r="C515" s="16"/>
      <c r="D515" s="16"/>
    </row>
    <row r="516">
      <c r="A516" s="16"/>
      <c r="B516" s="16"/>
      <c r="C516" s="16"/>
      <c r="D516" s="16"/>
    </row>
    <row r="517">
      <c r="A517" s="16"/>
      <c r="B517" s="16"/>
      <c r="C517" s="16"/>
      <c r="D517" s="16"/>
    </row>
    <row r="518">
      <c r="A518" s="16"/>
      <c r="B518" s="16"/>
      <c r="C518" s="16"/>
      <c r="D518" s="16"/>
    </row>
    <row r="519">
      <c r="A519" s="16"/>
      <c r="B519" s="16"/>
      <c r="C519" s="16"/>
      <c r="D519" s="16"/>
    </row>
    <row r="520">
      <c r="A520" s="16"/>
      <c r="B520" s="16"/>
      <c r="C520" s="16"/>
      <c r="D520" s="16"/>
    </row>
    <row r="521">
      <c r="A521" s="16"/>
      <c r="B521" s="16"/>
      <c r="C521" s="16"/>
      <c r="D521" s="16"/>
    </row>
    <row r="522">
      <c r="A522" s="16"/>
      <c r="B522" s="16"/>
      <c r="C522" s="16"/>
      <c r="D522" s="16"/>
    </row>
    <row r="523">
      <c r="A523" s="16"/>
      <c r="B523" s="16"/>
      <c r="C523" s="16"/>
      <c r="D523" s="16"/>
    </row>
    <row r="524">
      <c r="A524" s="16"/>
      <c r="B524" s="16"/>
      <c r="C524" s="16"/>
      <c r="D524" s="16"/>
    </row>
    <row r="525">
      <c r="A525" s="16"/>
      <c r="B525" s="16"/>
      <c r="C525" s="16"/>
      <c r="D525" s="16"/>
    </row>
    <row r="526">
      <c r="A526" s="16"/>
      <c r="B526" s="16"/>
      <c r="C526" s="16"/>
      <c r="D526" s="16"/>
    </row>
    <row r="527">
      <c r="A527" s="16"/>
      <c r="B527" s="16"/>
      <c r="C527" s="16"/>
      <c r="D527" s="16"/>
    </row>
    <row r="528">
      <c r="A528" s="16"/>
      <c r="B528" s="16"/>
      <c r="C528" s="16"/>
      <c r="D528" s="16"/>
    </row>
    <row r="529">
      <c r="A529" s="16"/>
      <c r="B529" s="16"/>
      <c r="C529" s="16"/>
      <c r="D529" s="16"/>
    </row>
    <row r="530">
      <c r="A530" s="16"/>
      <c r="B530" s="16"/>
      <c r="C530" s="16"/>
      <c r="D530" s="16"/>
    </row>
    <row r="531">
      <c r="A531" s="16"/>
      <c r="B531" s="16"/>
      <c r="C531" s="16"/>
      <c r="D531" s="16"/>
    </row>
    <row r="532">
      <c r="A532" s="16"/>
      <c r="B532" s="16"/>
      <c r="C532" s="16"/>
      <c r="D532" s="16"/>
    </row>
    <row r="533">
      <c r="A533" s="16"/>
      <c r="B533" s="16"/>
      <c r="C533" s="16"/>
      <c r="D533" s="16"/>
    </row>
    <row r="534">
      <c r="A534" s="16"/>
      <c r="B534" s="16"/>
      <c r="C534" s="16"/>
      <c r="D534" s="16"/>
    </row>
    <row r="535">
      <c r="A535" s="16"/>
      <c r="B535" s="16"/>
      <c r="C535" s="16"/>
      <c r="D535" s="16"/>
    </row>
    <row r="536">
      <c r="A536" s="16"/>
      <c r="B536" s="16"/>
      <c r="C536" s="16"/>
      <c r="D536" s="16"/>
    </row>
    <row r="537">
      <c r="A537" s="16"/>
      <c r="B537" s="16"/>
      <c r="C537" s="16"/>
      <c r="D537" s="16"/>
    </row>
    <row r="538">
      <c r="A538" s="16"/>
      <c r="B538" s="16"/>
      <c r="C538" s="16"/>
      <c r="D538" s="16"/>
    </row>
    <row r="539">
      <c r="A539" s="16"/>
      <c r="B539" s="16"/>
      <c r="C539" s="16"/>
      <c r="D539" s="16"/>
    </row>
    <row r="540">
      <c r="A540" s="16"/>
      <c r="B540" s="16"/>
      <c r="C540" s="16"/>
      <c r="D540" s="16"/>
    </row>
    <row r="541">
      <c r="A541" s="16"/>
      <c r="B541" s="16"/>
      <c r="C541" s="16"/>
      <c r="D541" s="16"/>
    </row>
    <row r="542">
      <c r="A542" s="16"/>
      <c r="B542" s="16"/>
      <c r="C542" s="16"/>
      <c r="D542" s="16"/>
    </row>
    <row r="543">
      <c r="A543" s="16"/>
      <c r="B543" s="16"/>
      <c r="C543" s="16"/>
      <c r="D543" s="16"/>
    </row>
    <row r="544">
      <c r="A544" s="16"/>
      <c r="B544" s="16"/>
      <c r="C544" s="16"/>
      <c r="D544" s="16"/>
    </row>
    <row r="545">
      <c r="A545" s="16"/>
      <c r="B545" s="16"/>
      <c r="C545" s="16"/>
      <c r="D545" s="16"/>
    </row>
    <row r="546">
      <c r="A546" s="16"/>
      <c r="B546" s="16"/>
      <c r="C546" s="16"/>
      <c r="D546" s="16"/>
    </row>
    <row r="547">
      <c r="A547" s="16"/>
      <c r="B547" s="16"/>
      <c r="C547" s="16"/>
      <c r="D547" s="16"/>
    </row>
    <row r="548">
      <c r="A548" s="16"/>
      <c r="B548" s="16"/>
      <c r="C548" s="16"/>
      <c r="D548" s="16"/>
    </row>
    <row r="549">
      <c r="A549" s="16"/>
      <c r="B549" s="16"/>
      <c r="C549" s="16"/>
      <c r="D549" s="16"/>
    </row>
    <row r="550">
      <c r="A550" s="16"/>
      <c r="B550" s="16"/>
      <c r="C550" s="16"/>
      <c r="D550" s="16"/>
    </row>
    <row r="551">
      <c r="A551" s="16"/>
      <c r="B551" s="16"/>
      <c r="C551" s="16"/>
      <c r="D551" s="16"/>
    </row>
    <row r="552">
      <c r="A552" s="16"/>
      <c r="B552" s="16"/>
      <c r="C552" s="16"/>
      <c r="D552" s="16"/>
    </row>
    <row r="553">
      <c r="A553" s="16"/>
      <c r="B553" s="16"/>
      <c r="C553" s="16"/>
      <c r="D553" s="16"/>
    </row>
    <row r="554">
      <c r="A554" s="16"/>
      <c r="B554" s="16"/>
      <c r="C554" s="16"/>
      <c r="D554" s="16"/>
    </row>
    <row r="555">
      <c r="A555" s="16"/>
      <c r="B555" s="16"/>
      <c r="C555" s="16"/>
      <c r="D555" s="16"/>
    </row>
    <row r="556">
      <c r="A556" s="16"/>
      <c r="B556" s="16"/>
      <c r="C556" s="16"/>
      <c r="D556" s="16"/>
    </row>
    <row r="557">
      <c r="A557" s="16"/>
      <c r="B557" s="16"/>
      <c r="C557" s="16"/>
      <c r="D557" s="16"/>
    </row>
    <row r="558">
      <c r="A558" s="16"/>
      <c r="B558" s="16"/>
      <c r="C558" s="16"/>
      <c r="D558" s="16"/>
    </row>
    <row r="559">
      <c r="A559" s="16"/>
      <c r="B559" s="16"/>
      <c r="C559" s="16"/>
      <c r="D559" s="16"/>
    </row>
    <row r="560">
      <c r="A560" s="16"/>
      <c r="B560" s="16"/>
      <c r="C560" s="16"/>
      <c r="D560" s="16"/>
    </row>
    <row r="561">
      <c r="A561" s="16"/>
      <c r="B561" s="16"/>
      <c r="C561" s="16"/>
      <c r="D561" s="16"/>
    </row>
    <row r="562">
      <c r="A562" s="16"/>
      <c r="B562" s="16"/>
      <c r="C562" s="16"/>
      <c r="D562" s="16"/>
    </row>
    <row r="563">
      <c r="A563" s="16"/>
      <c r="B563" s="16"/>
      <c r="C563" s="16"/>
      <c r="D563" s="16"/>
    </row>
    <row r="564">
      <c r="A564" s="16"/>
      <c r="B564" s="16"/>
      <c r="C564" s="16"/>
      <c r="D564" s="16"/>
    </row>
    <row r="565">
      <c r="A565" s="16"/>
      <c r="B565" s="16"/>
      <c r="C565" s="16"/>
      <c r="D565" s="16"/>
    </row>
    <row r="566">
      <c r="A566" s="16"/>
      <c r="B566" s="16"/>
      <c r="C566" s="16"/>
      <c r="D566" s="16"/>
    </row>
    <row r="567">
      <c r="A567" s="16"/>
      <c r="B567" s="16"/>
      <c r="C567" s="16"/>
      <c r="D567" s="16"/>
    </row>
    <row r="568">
      <c r="A568" s="16"/>
      <c r="B568" s="16"/>
      <c r="C568" s="16"/>
      <c r="D568" s="16"/>
    </row>
    <row r="569">
      <c r="A569" s="16"/>
      <c r="B569" s="16"/>
      <c r="C569" s="16"/>
      <c r="D569" s="16"/>
    </row>
    <row r="570">
      <c r="A570" s="16"/>
      <c r="B570" s="16"/>
      <c r="C570" s="16"/>
      <c r="D570" s="16"/>
    </row>
    <row r="571">
      <c r="A571" s="16"/>
      <c r="B571" s="16"/>
      <c r="C571" s="16"/>
      <c r="D571" s="16"/>
    </row>
    <row r="572">
      <c r="A572" s="16"/>
      <c r="B572" s="16"/>
      <c r="C572" s="16"/>
      <c r="D572" s="16"/>
    </row>
    <row r="573">
      <c r="A573" s="16"/>
      <c r="B573" s="16"/>
      <c r="C573" s="16"/>
      <c r="D573" s="16"/>
    </row>
    <row r="574">
      <c r="A574" s="16"/>
      <c r="B574" s="16"/>
      <c r="C574" s="16"/>
      <c r="D574" s="16"/>
    </row>
    <row r="575">
      <c r="A575" s="16"/>
      <c r="B575" s="16"/>
      <c r="C575" s="16"/>
      <c r="D575" s="16"/>
    </row>
    <row r="576">
      <c r="A576" s="16"/>
      <c r="B576" s="16"/>
      <c r="C576" s="16"/>
      <c r="D576" s="16"/>
    </row>
    <row r="577">
      <c r="A577" s="16"/>
      <c r="B577" s="16"/>
      <c r="C577" s="16"/>
      <c r="D577" s="16"/>
    </row>
    <row r="578">
      <c r="A578" s="16"/>
      <c r="B578" s="16"/>
      <c r="C578" s="16"/>
      <c r="D578" s="16"/>
    </row>
    <row r="579">
      <c r="A579" s="16"/>
      <c r="B579" s="16"/>
      <c r="C579" s="16"/>
      <c r="D579" s="16"/>
    </row>
    <row r="580">
      <c r="A580" s="16"/>
      <c r="B580" s="16"/>
      <c r="C580" s="16"/>
      <c r="D580" s="16"/>
    </row>
    <row r="581">
      <c r="A581" s="16"/>
      <c r="B581" s="16"/>
      <c r="C581" s="16"/>
      <c r="D581" s="16"/>
    </row>
    <row r="582">
      <c r="A582" s="16"/>
      <c r="B582" s="16"/>
      <c r="C582" s="16"/>
      <c r="D582" s="16"/>
    </row>
    <row r="583">
      <c r="A583" s="16"/>
      <c r="B583" s="16"/>
      <c r="C583" s="16"/>
      <c r="D583" s="16"/>
    </row>
    <row r="584">
      <c r="A584" s="16"/>
      <c r="B584" s="16"/>
      <c r="C584" s="16"/>
      <c r="D584" s="16"/>
    </row>
    <row r="585">
      <c r="A585" s="16"/>
      <c r="B585" s="16"/>
      <c r="C585" s="16"/>
      <c r="D585" s="16"/>
    </row>
    <row r="586">
      <c r="A586" s="16"/>
      <c r="B586" s="16"/>
      <c r="C586" s="16"/>
      <c r="D586" s="16"/>
    </row>
    <row r="587">
      <c r="A587" s="16"/>
      <c r="B587" s="16"/>
      <c r="C587" s="16"/>
      <c r="D587" s="16"/>
    </row>
    <row r="588">
      <c r="A588" s="16"/>
      <c r="B588" s="16"/>
      <c r="C588" s="16"/>
      <c r="D588" s="16"/>
    </row>
    <row r="589">
      <c r="A589" s="16"/>
      <c r="B589" s="16"/>
      <c r="C589" s="16"/>
      <c r="D589" s="16"/>
    </row>
    <row r="590">
      <c r="A590" s="16"/>
      <c r="B590" s="16"/>
      <c r="C590" s="16"/>
      <c r="D590" s="16"/>
    </row>
    <row r="591">
      <c r="A591" s="16"/>
      <c r="B591" s="16"/>
      <c r="C591" s="16"/>
      <c r="D591" s="16"/>
    </row>
    <row r="592">
      <c r="A592" s="16"/>
      <c r="B592" s="16"/>
      <c r="C592" s="16"/>
      <c r="D592" s="16"/>
    </row>
    <row r="593">
      <c r="A593" s="16"/>
      <c r="B593" s="16"/>
      <c r="C593" s="16"/>
      <c r="D593" s="16"/>
    </row>
    <row r="594">
      <c r="A594" s="16"/>
      <c r="B594" s="16"/>
      <c r="C594" s="16"/>
      <c r="D594" s="16"/>
    </row>
    <row r="595">
      <c r="A595" s="16"/>
      <c r="B595" s="16"/>
      <c r="C595" s="16"/>
      <c r="D595" s="16"/>
    </row>
    <row r="596">
      <c r="A596" s="16"/>
      <c r="B596" s="16"/>
      <c r="C596" s="16"/>
      <c r="D596" s="16"/>
    </row>
    <row r="597">
      <c r="A597" s="16"/>
      <c r="B597" s="16"/>
      <c r="C597" s="16"/>
      <c r="D597" s="16"/>
    </row>
    <row r="598">
      <c r="A598" s="16"/>
      <c r="B598" s="16"/>
      <c r="C598" s="16"/>
      <c r="D598" s="16"/>
    </row>
    <row r="599">
      <c r="A599" s="16"/>
      <c r="B599" s="16"/>
      <c r="C599" s="16"/>
      <c r="D599" s="16"/>
    </row>
    <row r="600">
      <c r="A600" s="16"/>
      <c r="B600" s="16"/>
      <c r="C600" s="16"/>
      <c r="D600" s="16"/>
    </row>
    <row r="601">
      <c r="A601" s="16"/>
      <c r="B601" s="16"/>
      <c r="C601" s="16"/>
      <c r="D601" s="16"/>
    </row>
    <row r="602">
      <c r="A602" s="16"/>
      <c r="B602" s="16"/>
      <c r="C602" s="16"/>
      <c r="D602" s="16"/>
    </row>
    <row r="603">
      <c r="A603" s="16"/>
      <c r="B603" s="16"/>
      <c r="C603" s="16"/>
      <c r="D603" s="16"/>
    </row>
    <row r="604">
      <c r="A604" s="16"/>
      <c r="B604" s="16"/>
      <c r="C604" s="16"/>
      <c r="D604" s="16"/>
    </row>
    <row r="605">
      <c r="A605" s="16"/>
      <c r="B605" s="16"/>
      <c r="C605" s="16"/>
      <c r="D605" s="16"/>
    </row>
    <row r="606">
      <c r="A606" s="16"/>
      <c r="B606" s="16"/>
      <c r="C606" s="16"/>
      <c r="D606" s="16"/>
    </row>
    <row r="607">
      <c r="A607" s="16"/>
      <c r="B607" s="16"/>
      <c r="C607" s="16"/>
      <c r="D607" s="16"/>
    </row>
    <row r="608">
      <c r="A608" s="16"/>
      <c r="B608" s="16"/>
      <c r="C608" s="16"/>
      <c r="D608" s="16"/>
    </row>
    <row r="609">
      <c r="A609" s="16"/>
      <c r="B609" s="16"/>
      <c r="C609" s="16"/>
      <c r="D609" s="16"/>
    </row>
    <row r="610">
      <c r="A610" s="16"/>
      <c r="B610" s="16"/>
      <c r="C610" s="16"/>
      <c r="D610" s="16"/>
    </row>
    <row r="611">
      <c r="A611" s="16"/>
      <c r="B611" s="16"/>
      <c r="C611" s="16"/>
      <c r="D611" s="16"/>
    </row>
    <row r="612">
      <c r="A612" s="16"/>
      <c r="B612" s="16"/>
      <c r="C612" s="16"/>
      <c r="D612" s="16"/>
    </row>
    <row r="613">
      <c r="A613" s="16"/>
      <c r="B613" s="16"/>
      <c r="C613" s="16"/>
      <c r="D613" s="16"/>
    </row>
    <row r="614">
      <c r="A614" s="16"/>
      <c r="B614" s="16"/>
      <c r="C614" s="16"/>
      <c r="D614" s="16"/>
    </row>
    <row r="615">
      <c r="A615" s="16"/>
      <c r="B615" s="16"/>
      <c r="C615" s="16"/>
      <c r="D615" s="16"/>
    </row>
    <row r="616">
      <c r="A616" s="16"/>
      <c r="B616" s="16"/>
      <c r="C616" s="16"/>
      <c r="D616" s="16"/>
    </row>
    <row r="617">
      <c r="A617" s="16"/>
      <c r="B617" s="16"/>
      <c r="C617" s="16"/>
      <c r="D617" s="16"/>
    </row>
    <row r="618">
      <c r="A618" s="16"/>
      <c r="B618" s="16"/>
      <c r="C618" s="16"/>
      <c r="D618" s="16"/>
    </row>
    <row r="619">
      <c r="A619" s="16"/>
      <c r="B619" s="16"/>
      <c r="C619" s="16"/>
      <c r="D619" s="16"/>
    </row>
    <row r="620">
      <c r="A620" s="16"/>
      <c r="B620" s="16"/>
      <c r="C620" s="16"/>
      <c r="D620" s="16"/>
    </row>
    <row r="621">
      <c r="A621" s="16"/>
      <c r="B621" s="16"/>
      <c r="C621" s="16"/>
      <c r="D621" s="16"/>
    </row>
    <row r="622">
      <c r="A622" s="16"/>
      <c r="B622" s="16"/>
      <c r="C622" s="16"/>
      <c r="D622" s="16"/>
    </row>
    <row r="623">
      <c r="A623" s="16"/>
      <c r="B623" s="16"/>
      <c r="C623" s="16"/>
      <c r="D623" s="16"/>
    </row>
    <row r="624">
      <c r="A624" s="16"/>
      <c r="B624" s="16"/>
      <c r="C624" s="16"/>
      <c r="D624" s="16"/>
    </row>
    <row r="625">
      <c r="A625" s="16"/>
      <c r="B625" s="16"/>
      <c r="C625" s="16"/>
      <c r="D625" s="16"/>
    </row>
    <row r="626">
      <c r="A626" s="16"/>
      <c r="B626" s="16"/>
      <c r="C626" s="16"/>
      <c r="D626" s="16"/>
    </row>
    <row r="627">
      <c r="A627" s="16"/>
      <c r="B627" s="16"/>
      <c r="C627" s="16"/>
      <c r="D627" s="16"/>
    </row>
    <row r="628">
      <c r="A628" s="16"/>
      <c r="B628" s="16"/>
      <c r="C628" s="16"/>
      <c r="D628" s="16"/>
    </row>
    <row r="629">
      <c r="A629" s="16"/>
      <c r="B629" s="16"/>
      <c r="C629" s="16"/>
      <c r="D629" s="16"/>
    </row>
    <row r="630">
      <c r="A630" s="16"/>
      <c r="B630" s="16"/>
      <c r="C630" s="16"/>
      <c r="D630" s="16"/>
    </row>
    <row r="631">
      <c r="A631" s="16"/>
      <c r="B631" s="16"/>
      <c r="C631" s="16"/>
      <c r="D631" s="16"/>
    </row>
    <row r="632">
      <c r="A632" s="16"/>
      <c r="B632" s="16"/>
      <c r="C632" s="16"/>
      <c r="D632" s="16"/>
    </row>
    <row r="633">
      <c r="A633" s="16"/>
      <c r="B633" s="16"/>
      <c r="C633" s="16"/>
      <c r="D633" s="16"/>
    </row>
    <row r="634">
      <c r="A634" s="16"/>
      <c r="B634" s="16"/>
      <c r="C634" s="16"/>
      <c r="D634" s="16"/>
    </row>
    <row r="635">
      <c r="A635" s="16"/>
      <c r="B635" s="16"/>
      <c r="C635" s="16"/>
      <c r="D635" s="16"/>
    </row>
    <row r="636">
      <c r="A636" s="16"/>
      <c r="B636" s="16"/>
      <c r="C636" s="16"/>
      <c r="D636" s="16"/>
    </row>
    <row r="637">
      <c r="A637" s="16"/>
      <c r="B637" s="16"/>
      <c r="C637" s="16"/>
      <c r="D637" s="16"/>
    </row>
    <row r="638">
      <c r="A638" s="16"/>
      <c r="B638" s="16"/>
      <c r="C638" s="16"/>
      <c r="D638" s="16"/>
    </row>
    <row r="639">
      <c r="A639" s="16"/>
      <c r="B639" s="16"/>
      <c r="C639" s="16"/>
      <c r="D639" s="16"/>
    </row>
    <row r="640">
      <c r="A640" s="16"/>
      <c r="B640" s="16"/>
      <c r="C640" s="16"/>
      <c r="D640" s="16"/>
    </row>
    <row r="641">
      <c r="A641" s="16"/>
      <c r="B641" s="16"/>
      <c r="C641" s="16"/>
      <c r="D641" s="16"/>
    </row>
    <row r="642">
      <c r="A642" s="16"/>
      <c r="B642" s="16"/>
      <c r="C642" s="16"/>
      <c r="D642" s="16"/>
    </row>
    <row r="643">
      <c r="A643" s="16"/>
      <c r="B643" s="16"/>
      <c r="C643" s="16"/>
      <c r="D643" s="16"/>
    </row>
    <row r="644">
      <c r="A644" s="16"/>
      <c r="B644" s="16"/>
      <c r="C644" s="16"/>
      <c r="D644" s="16"/>
    </row>
    <row r="645">
      <c r="A645" s="16"/>
      <c r="B645" s="16"/>
      <c r="C645" s="16"/>
      <c r="D645" s="16"/>
    </row>
    <row r="646">
      <c r="A646" s="16"/>
      <c r="B646" s="16"/>
      <c r="C646" s="16"/>
      <c r="D646" s="16"/>
    </row>
    <row r="647">
      <c r="A647" s="16"/>
      <c r="B647" s="16"/>
      <c r="C647" s="16"/>
      <c r="D647" s="16"/>
    </row>
    <row r="648">
      <c r="A648" s="16"/>
      <c r="B648" s="16"/>
      <c r="C648" s="16"/>
      <c r="D648" s="16"/>
    </row>
    <row r="649">
      <c r="A649" s="16"/>
      <c r="B649" s="16"/>
      <c r="C649" s="16"/>
      <c r="D649" s="16"/>
    </row>
    <row r="650">
      <c r="A650" s="16"/>
      <c r="B650" s="16"/>
      <c r="C650" s="16"/>
      <c r="D650" s="16"/>
    </row>
    <row r="651">
      <c r="A651" s="16"/>
      <c r="B651" s="16"/>
      <c r="C651" s="16"/>
      <c r="D651" s="16"/>
    </row>
    <row r="652">
      <c r="A652" s="16"/>
      <c r="B652" s="16"/>
      <c r="C652" s="16"/>
      <c r="D652" s="16"/>
    </row>
    <row r="653">
      <c r="A653" s="16"/>
      <c r="B653" s="16"/>
      <c r="C653" s="16"/>
      <c r="D653" s="16"/>
    </row>
    <row r="654">
      <c r="A654" s="16"/>
      <c r="B654" s="16"/>
      <c r="C654" s="16"/>
      <c r="D654" s="16"/>
    </row>
    <row r="655">
      <c r="A655" s="16"/>
      <c r="B655" s="16"/>
      <c r="C655" s="16"/>
      <c r="D655" s="16"/>
    </row>
    <row r="656">
      <c r="A656" s="16"/>
      <c r="B656" s="16"/>
      <c r="C656" s="16"/>
      <c r="D656" s="16"/>
    </row>
    <row r="657">
      <c r="A657" s="16"/>
      <c r="B657" s="16"/>
      <c r="C657" s="16"/>
      <c r="D657" s="16"/>
    </row>
    <row r="658">
      <c r="A658" s="16"/>
      <c r="B658" s="16"/>
      <c r="C658" s="16"/>
      <c r="D658" s="16"/>
    </row>
    <row r="659">
      <c r="A659" s="16"/>
      <c r="B659" s="16"/>
      <c r="C659" s="16"/>
      <c r="D659" s="16"/>
    </row>
    <row r="660">
      <c r="A660" s="16"/>
      <c r="B660" s="16"/>
      <c r="C660" s="16"/>
      <c r="D660" s="16"/>
    </row>
    <row r="661">
      <c r="A661" s="16"/>
      <c r="B661" s="16"/>
      <c r="C661" s="16"/>
      <c r="D661" s="16"/>
    </row>
    <row r="662">
      <c r="A662" s="16"/>
      <c r="B662" s="16"/>
      <c r="C662" s="16"/>
      <c r="D662" s="16"/>
    </row>
    <row r="663">
      <c r="A663" s="16"/>
      <c r="B663" s="16"/>
      <c r="C663" s="16"/>
      <c r="D663" s="16"/>
    </row>
    <row r="664">
      <c r="A664" s="16"/>
      <c r="B664" s="16"/>
      <c r="C664" s="16"/>
      <c r="D664" s="16"/>
    </row>
    <row r="665">
      <c r="A665" s="16"/>
      <c r="B665" s="16"/>
      <c r="C665" s="16"/>
      <c r="D665" s="16"/>
    </row>
    <row r="666">
      <c r="A666" s="16"/>
      <c r="B666" s="16"/>
      <c r="C666" s="16"/>
      <c r="D666" s="16"/>
    </row>
    <row r="667">
      <c r="A667" s="16"/>
      <c r="B667" s="16"/>
      <c r="C667" s="16"/>
      <c r="D667" s="16"/>
    </row>
    <row r="668">
      <c r="A668" s="16"/>
      <c r="B668" s="16"/>
      <c r="C668" s="16"/>
      <c r="D668" s="16"/>
    </row>
    <row r="669">
      <c r="A669" s="16"/>
      <c r="B669" s="16"/>
      <c r="C669" s="16"/>
      <c r="D669" s="16"/>
    </row>
    <row r="670">
      <c r="A670" s="16"/>
      <c r="B670" s="16"/>
      <c r="C670" s="16"/>
      <c r="D670" s="16"/>
    </row>
    <row r="671">
      <c r="A671" s="16"/>
      <c r="B671" s="16"/>
      <c r="C671" s="16"/>
      <c r="D671" s="16"/>
    </row>
    <row r="672">
      <c r="A672" s="16"/>
      <c r="B672" s="16"/>
      <c r="C672" s="16"/>
      <c r="D672" s="16"/>
    </row>
    <row r="673">
      <c r="A673" s="16"/>
      <c r="B673" s="16"/>
      <c r="C673" s="16"/>
      <c r="D673" s="16"/>
    </row>
    <row r="674">
      <c r="A674" s="16"/>
      <c r="B674" s="16"/>
      <c r="C674" s="16"/>
      <c r="D674" s="16"/>
    </row>
    <row r="675">
      <c r="A675" s="16"/>
      <c r="B675" s="16"/>
      <c r="C675" s="16"/>
      <c r="D675" s="16"/>
    </row>
    <row r="676">
      <c r="A676" s="16"/>
      <c r="B676" s="16"/>
      <c r="C676" s="16"/>
      <c r="D676" s="16"/>
    </row>
    <row r="677">
      <c r="A677" s="16"/>
      <c r="B677" s="16"/>
      <c r="C677" s="16"/>
      <c r="D677" s="16"/>
    </row>
    <row r="678">
      <c r="A678" s="16"/>
      <c r="B678" s="16"/>
      <c r="C678" s="16"/>
      <c r="D678" s="16"/>
    </row>
    <row r="679">
      <c r="A679" s="16"/>
      <c r="B679" s="16"/>
      <c r="C679" s="16"/>
      <c r="D679" s="16"/>
    </row>
    <row r="680">
      <c r="A680" s="16"/>
      <c r="B680" s="16"/>
      <c r="C680" s="16"/>
      <c r="D680" s="16"/>
    </row>
    <row r="681">
      <c r="A681" s="16"/>
      <c r="B681" s="16"/>
      <c r="C681" s="16"/>
      <c r="D681" s="16"/>
    </row>
    <row r="682">
      <c r="A682" s="16"/>
      <c r="B682" s="16"/>
      <c r="C682" s="16"/>
      <c r="D682" s="16"/>
    </row>
    <row r="683">
      <c r="A683" s="16"/>
      <c r="B683" s="16"/>
      <c r="C683" s="16"/>
      <c r="D683" s="16"/>
    </row>
    <row r="684">
      <c r="A684" s="16"/>
      <c r="B684" s="16"/>
      <c r="C684" s="16"/>
      <c r="D684" s="16"/>
    </row>
    <row r="685">
      <c r="A685" s="16"/>
      <c r="B685" s="16"/>
      <c r="C685" s="16"/>
      <c r="D685" s="16"/>
    </row>
    <row r="686">
      <c r="A686" s="16"/>
      <c r="B686" s="16"/>
      <c r="C686" s="16"/>
      <c r="D686" s="16"/>
    </row>
    <row r="687">
      <c r="A687" s="16"/>
      <c r="B687" s="16"/>
      <c r="C687" s="16"/>
      <c r="D687" s="16"/>
    </row>
    <row r="688">
      <c r="A688" s="16"/>
      <c r="B688" s="16"/>
      <c r="C688" s="16"/>
      <c r="D688" s="16"/>
    </row>
    <row r="689">
      <c r="A689" s="16"/>
      <c r="B689" s="16"/>
      <c r="C689" s="16"/>
      <c r="D689" s="16"/>
    </row>
    <row r="690">
      <c r="A690" s="16"/>
      <c r="B690" s="16"/>
      <c r="C690" s="16"/>
      <c r="D690" s="16"/>
    </row>
    <row r="691">
      <c r="A691" s="16"/>
      <c r="B691" s="16"/>
      <c r="C691" s="16"/>
      <c r="D691" s="16"/>
    </row>
    <row r="692">
      <c r="A692" s="16"/>
      <c r="B692" s="16"/>
      <c r="C692" s="16"/>
      <c r="D692" s="16"/>
    </row>
    <row r="693">
      <c r="A693" s="16"/>
      <c r="B693" s="16"/>
      <c r="C693" s="16"/>
      <c r="D693" s="16"/>
    </row>
    <row r="694">
      <c r="A694" s="16"/>
      <c r="B694" s="16"/>
      <c r="C694" s="16"/>
      <c r="D694" s="16"/>
    </row>
    <row r="695">
      <c r="A695" s="16"/>
      <c r="B695" s="16"/>
      <c r="C695" s="16"/>
      <c r="D695" s="16"/>
    </row>
    <row r="696">
      <c r="A696" s="16"/>
      <c r="B696" s="16"/>
      <c r="C696" s="16"/>
      <c r="D696" s="16"/>
    </row>
    <row r="697">
      <c r="A697" s="16"/>
      <c r="B697" s="16"/>
      <c r="C697" s="16"/>
      <c r="D697" s="16"/>
    </row>
    <row r="698">
      <c r="A698" s="16"/>
      <c r="B698" s="16"/>
      <c r="C698" s="16"/>
      <c r="D698" s="16"/>
    </row>
    <row r="699">
      <c r="A699" s="16"/>
      <c r="B699" s="16"/>
      <c r="C699" s="16"/>
      <c r="D699" s="16"/>
    </row>
    <row r="700">
      <c r="A700" s="16"/>
      <c r="B700" s="16"/>
      <c r="C700" s="16"/>
      <c r="D700" s="16"/>
    </row>
    <row r="701">
      <c r="A701" s="16"/>
      <c r="B701" s="16"/>
      <c r="C701" s="16"/>
      <c r="D701" s="16"/>
    </row>
    <row r="702">
      <c r="A702" s="16"/>
      <c r="B702" s="16"/>
      <c r="C702" s="16"/>
      <c r="D702" s="16"/>
    </row>
    <row r="703">
      <c r="A703" s="16"/>
      <c r="B703" s="16"/>
      <c r="C703" s="16"/>
      <c r="D703" s="16"/>
    </row>
    <row r="704">
      <c r="A704" s="16"/>
      <c r="B704" s="16"/>
      <c r="C704" s="16"/>
      <c r="D704" s="16"/>
    </row>
    <row r="705">
      <c r="A705" s="16"/>
      <c r="B705" s="16"/>
      <c r="C705" s="16"/>
      <c r="D705" s="16"/>
    </row>
    <row r="706">
      <c r="A706" s="16"/>
      <c r="B706" s="16"/>
      <c r="C706" s="16"/>
      <c r="D706" s="16"/>
    </row>
    <row r="707">
      <c r="A707" s="16"/>
      <c r="B707" s="16"/>
      <c r="C707" s="16"/>
      <c r="D707" s="16"/>
    </row>
    <row r="708">
      <c r="A708" s="16"/>
      <c r="B708" s="16"/>
      <c r="C708" s="16"/>
      <c r="D708" s="16"/>
    </row>
    <row r="709">
      <c r="A709" s="16"/>
      <c r="B709" s="16"/>
      <c r="C709" s="16"/>
      <c r="D709" s="16"/>
    </row>
    <row r="710">
      <c r="A710" s="16"/>
      <c r="B710" s="16"/>
      <c r="C710" s="16"/>
      <c r="D710" s="16"/>
    </row>
    <row r="711">
      <c r="A711" s="16"/>
      <c r="B711" s="16"/>
      <c r="C711" s="16"/>
      <c r="D711" s="16"/>
    </row>
    <row r="712">
      <c r="A712" s="16"/>
      <c r="B712" s="16"/>
      <c r="C712" s="16"/>
      <c r="D712" s="16"/>
    </row>
    <row r="713">
      <c r="A713" s="16"/>
      <c r="B713" s="16"/>
      <c r="C713" s="16"/>
      <c r="D713" s="16"/>
    </row>
    <row r="714">
      <c r="A714" s="16"/>
      <c r="B714" s="16"/>
      <c r="C714" s="16"/>
      <c r="D714" s="16"/>
    </row>
    <row r="715">
      <c r="A715" s="16"/>
      <c r="B715" s="16"/>
      <c r="C715" s="16"/>
      <c r="D715" s="16"/>
    </row>
    <row r="716">
      <c r="A716" s="16"/>
      <c r="B716" s="16"/>
      <c r="C716" s="16"/>
      <c r="D716" s="16"/>
    </row>
    <row r="717">
      <c r="A717" s="16"/>
      <c r="B717" s="16"/>
      <c r="C717" s="16"/>
      <c r="D717" s="16"/>
    </row>
    <row r="718">
      <c r="A718" s="16"/>
      <c r="B718" s="16"/>
      <c r="C718" s="16"/>
      <c r="D718" s="16"/>
    </row>
    <row r="719">
      <c r="A719" s="16"/>
      <c r="B719" s="16"/>
      <c r="C719" s="16"/>
      <c r="D719" s="16"/>
    </row>
    <row r="720">
      <c r="A720" s="16"/>
      <c r="B720" s="16"/>
      <c r="C720" s="16"/>
      <c r="D720" s="16"/>
    </row>
    <row r="721">
      <c r="A721" s="16"/>
      <c r="B721" s="16"/>
      <c r="C721" s="16"/>
      <c r="D721" s="16"/>
    </row>
    <row r="722">
      <c r="A722" s="16"/>
      <c r="B722" s="16"/>
      <c r="C722" s="16"/>
      <c r="D722" s="16"/>
    </row>
    <row r="723">
      <c r="A723" s="16"/>
      <c r="B723" s="16"/>
      <c r="C723" s="16"/>
      <c r="D723" s="16"/>
    </row>
    <row r="724">
      <c r="A724" s="16"/>
      <c r="B724" s="16"/>
      <c r="C724" s="16"/>
      <c r="D724" s="16"/>
    </row>
    <row r="725">
      <c r="A725" s="16"/>
      <c r="B725" s="16"/>
      <c r="C725" s="16"/>
      <c r="D725" s="16"/>
    </row>
    <row r="726">
      <c r="A726" s="16"/>
      <c r="B726" s="16"/>
      <c r="C726" s="16"/>
      <c r="D726" s="16"/>
    </row>
    <row r="727">
      <c r="A727" s="16"/>
      <c r="B727" s="16"/>
      <c r="C727" s="16"/>
      <c r="D727" s="16"/>
    </row>
    <row r="728">
      <c r="A728" s="16"/>
      <c r="B728" s="16"/>
      <c r="C728" s="16"/>
      <c r="D728" s="16"/>
    </row>
    <row r="729">
      <c r="A729" s="16"/>
      <c r="B729" s="16"/>
      <c r="C729" s="16"/>
      <c r="D729" s="16"/>
    </row>
    <row r="730">
      <c r="A730" s="16"/>
      <c r="B730" s="16"/>
      <c r="C730" s="16"/>
      <c r="D730" s="16"/>
    </row>
    <row r="731">
      <c r="A731" s="16"/>
      <c r="B731" s="16"/>
      <c r="C731" s="16"/>
      <c r="D731" s="16"/>
    </row>
    <row r="732">
      <c r="A732" s="16"/>
      <c r="B732" s="16"/>
      <c r="C732" s="16"/>
      <c r="D732" s="16"/>
    </row>
    <row r="733">
      <c r="A733" s="16"/>
      <c r="B733" s="16"/>
      <c r="C733" s="16"/>
      <c r="D733" s="16"/>
    </row>
    <row r="734">
      <c r="A734" s="16"/>
      <c r="B734" s="16"/>
      <c r="C734" s="16"/>
      <c r="D734" s="16"/>
    </row>
    <row r="735">
      <c r="A735" s="16"/>
      <c r="B735" s="16"/>
      <c r="C735" s="16"/>
      <c r="D735" s="16"/>
    </row>
    <row r="736">
      <c r="A736" s="16"/>
      <c r="B736" s="16"/>
      <c r="C736" s="16"/>
      <c r="D736" s="16"/>
    </row>
    <row r="737">
      <c r="A737" s="16"/>
      <c r="B737" s="16"/>
      <c r="C737" s="16"/>
      <c r="D737" s="16"/>
    </row>
    <row r="738">
      <c r="A738" s="16"/>
      <c r="B738" s="16"/>
      <c r="C738" s="16"/>
      <c r="D738" s="16"/>
    </row>
    <row r="739">
      <c r="A739" s="16"/>
      <c r="B739" s="16"/>
      <c r="C739" s="16"/>
      <c r="D739" s="16"/>
    </row>
    <row r="740">
      <c r="A740" s="16"/>
      <c r="B740" s="16"/>
      <c r="C740" s="16"/>
      <c r="D740" s="16"/>
    </row>
    <row r="741">
      <c r="A741" s="16"/>
      <c r="B741" s="16"/>
      <c r="C741" s="16"/>
      <c r="D741" s="16"/>
    </row>
    <row r="742">
      <c r="A742" s="16"/>
      <c r="B742" s="16"/>
      <c r="C742" s="16"/>
      <c r="D742" s="16"/>
    </row>
    <row r="743">
      <c r="A743" s="16"/>
      <c r="B743" s="16"/>
      <c r="C743" s="16"/>
      <c r="D743" s="16"/>
    </row>
    <row r="744">
      <c r="A744" s="16"/>
      <c r="B744" s="16"/>
      <c r="C744" s="16"/>
      <c r="D744" s="16"/>
    </row>
    <row r="745">
      <c r="A745" s="16"/>
      <c r="B745" s="16"/>
      <c r="C745" s="16"/>
      <c r="D745" s="16"/>
    </row>
    <row r="746">
      <c r="A746" s="16"/>
      <c r="B746" s="16"/>
      <c r="C746" s="16"/>
      <c r="D746" s="16"/>
    </row>
    <row r="747">
      <c r="A747" s="16"/>
      <c r="B747" s="16"/>
      <c r="C747" s="16"/>
      <c r="D747" s="16"/>
    </row>
    <row r="748">
      <c r="A748" s="16"/>
      <c r="B748" s="16"/>
      <c r="C748" s="16"/>
      <c r="D748" s="16"/>
    </row>
    <row r="749">
      <c r="A749" s="16"/>
      <c r="B749" s="16"/>
      <c r="C749" s="16"/>
      <c r="D749" s="16"/>
    </row>
    <row r="750">
      <c r="A750" s="16"/>
      <c r="B750" s="16"/>
      <c r="C750" s="16"/>
      <c r="D750" s="16"/>
    </row>
    <row r="751">
      <c r="A751" s="16"/>
      <c r="B751" s="16"/>
      <c r="C751" s="16"/>
      <c r="D751" s="16"/>
    </row>
    <row r="752">
      <c r="A752" s="16"/>
      <c r="B752" s="16"/>
      <c r="C752" s="16"/>
      <c r="D752" s="16"/>
    </row>
    <row r="753">
      <c r="A753" s="16"/>
      <c r="B753" s="16"/>
      <c r="C753" s="16"/>
      <c r="D753" s="16"/>
    </row>
    <row r="754">
      <c r="A754" s="16"/>
      <c r="B754" s="16"/>
      <c r="C754" s="16"/>
      <c r="D754" s="16"/>
    </row>
    <row r="755">
      <c r="A755" s="16"/>
      <c r="B755" s="16"/>
      <c r="C755" s="16"/>
      <c r="D755" s="16"/>
    </row>
    <row r="756">
      <c r="A756" s="16"/>
      <c r="B756" s="16"/>
      <c r="C756" s="16"/>
      <c r="D756" s="16"/>
    </row>
    <row r="757">
      <c r="A757" s="16"/>
      <c r="B757" s="16"/>
      <c r="C757" s="16"/>
      <c r="D757" s="16"/>
    </row>
    <row r="758">
      <c r="A758" s="16"/>
      <c r="B758" s="16"/>
      <c r="C758" s="16"/>
      <c r="D758" s="16"/>
    </row>
    <row r="759">
      <c r="A759" s="16"/>
      <c r="B759" s="16"/>
      <c r="C759" s="16"/>
      <c r="D759" s="16"/>
    </row>
    <row r="760">
      <c r="A760" s="16"/>
      <c r="B760" s="16"/>
      <c r="C760" s="16"/>
      <c r="D760" s="16"/>
    </row>
    <row r="761">
      <c r="A761" s="16"/>
      <c r="B761" s="16"/>
      <c r="C761" s="16"/>
      <c r="D761" s="16"/>
    </row>
    <row r="762">
      <c r="A762" s="16"/>
      <c r="B762" s="16"/>
      <c r="C762" s="16"/>
      <c r="D762" s="16"/>
    </row>
    <row r="763">
      <c r="A763" s="16"/>
      <c r="B763" s="16"/>
      <c r="C763" s="16"/>
      <c r="D763" s="16"/>
    </row>
    <row r="764">
      <c r="A764" s="16"/>
      <c r="B764" s="16"/>
      <c r="C764" s="16"/>
      <c r="D764" s="16"/>
    </row>
    <row r="765">
      <c r="A765" s="16"/>
      <c r="B765" s="16"/>
      <c r="C765" s="16"/>
      <c r="D765" s="16"/>
    </row>
    <row r="766">
      <c r="A766" s="16"/>
      <c r="B766" s="16"/>
      <c r="C766" s="16"/>
      <c r="D766" s="16"/>
    </row>
    <row r="767">
      <c r="A767" s="16"/>
      <c r="B767" s="16"/>
      <c r="C767" s="16"/>
      <c r="D767" s="16"/>
    </row>
    <row r="768">
      <c r="A768" s="16"/>
      <c r="B768" s="16"/>
      <c r="C768" s="16"/>
      <c r="D768" s="16"/>
    </row>
    <row r="769">
      <c r="A769" s="16"/>
      <c r="B769" s="16"/>
      <c r="C769" s="16"/>
      <c r="D769" s="16"/>
    </row>
    <row r="770">
      <c r="A770" s="16"/>
      <c r="B770" s="16"/>
      <c r="C770" s="16"/>
      <c r="D770" s="16"/>
    </row>
    <row r="771">
      <c r="A771" s="16"/>
      <c r="B771" s="16"/>
      <c r="C771" s="16"/>
      <c r="D771" s="16"/>
    </row>
    <row r="772">
      <c r="A772" s="16"/>
      <c r="B772" s="16"/>
      <c r="C772" s="16"/>
      <c r="D772" s="16"/>
    </row>
    <row r="773">
      <c r="A773" s="16"/>
      <c r="B773" s="16"/>
      <c r="C773" s="16"/>
      <c r="D773" s="16"/>
    </row>
    <row r="774">
      <c r="A774" s="16"/>
      <c r="B774" s="16"/>
      <c r="C774" s="16"/>
      <c r="D774" s="16"/>
    </row>
    <row r="775">
      <c r="A775" s="16"/>
      <c r="B775" s="16"/>
      <c r="C775" s="16"/>
      <c r="D775" s="16"/>
    </row>
    <row r="776">
      <c r="A776" s="16"/>
      <c r="B776" s="16"/>
      <c r="C776" s="16"/>
      <c r="D776" s="16"/>
    </row>
    <row r="777">
      <c r="A777" s="16"/>
      <c r="B777" s="16"/>
      <c r="C777" s="16"/>
      <c r="D777" s="16"/>
    </row>
    <row r="778">
      <c r="A778" s="16"/>
      <c r="B778" s="16"/>
      <c r="C778" s="16"/>
      <c r="D778" s="16"/>
    </row>
    <row r="779">
      <c r="A779" s="16"/>
      <c r="B779" s="16"/>
      <c r="C779" s="16"/>
      <c r="D779" s="16"/>
    </row>
    <row r="780">
      <c r="A780" s="16"/>
      <c r="B780" s="16"/>
      <c r="C780" s="16"/>
      <c r="D780" s="16"/>
    </row>
    <row r="781">
      <c r="A781" s="16"/>
      <c r="B781" s="16"/>
      <c r="C781" s="16"/>
      <c r="D781" s="16"/>
    </row>
    <row r="782">
      <c r="A782" s="16"/>
      <c r="B782" s="16"/>
      <c r="C782" s="16"/>
      <c r="D782" s="16"/>
    </row>
    <row r="783">
      <c r="A783" s="16"/>
      <c r="B783" s="16"/>
      <c r="C783" s="16"/>
      <c r="D783" s="16"/>
    </row>
    <row r="784">
      <c r="A784" s="16"/>
      <c r="B784" s="16"/>
      <c r="C784" s="16"/>
      <c r="D784" s="16"/>
    </row>
    <row r="785">
      <c r="A785" s="16"/>
      <c r="B785" s="16"/>
      <c r="C785" s="16"/>
      <c r="D785" s="16"/>
    </row>
    <row r="786">
      <c r="A786" s="16"/>
      <c r="B786" s="16"/>
      <c r="C786" s="16"/>
      <c r="D786" s="16"/>
    </row>
    <row r="787">
      <c r="A787" s="16"/>
      <c r="B787" s="16"/>
      <c r="C787" s="16"/>
      <c r="D787" s="16"/>
    </row>
    <row r="788">
      <c r="A788" s="16"/>
      <c r="B788" s="16"/>
      <c r="C788" s="16"/>
      <c r="D788" s="16"/>
    </row>
    <row r="789">
      <c r="A789" s="16"/>
      <c r="B789" s="16"/>
      <c r="C789" s="16"/>
      <c r="D789" s="16"/>
    </row>
    <row r="790">
      <c r="A790" s="16"/>
      <c r="B790" s="16"/>
      <c r="C790" s="16"/>
      <c r="D790" s="16"/>
    </row>
    <row r="791">
      <c r="A791" s="16"/>
      <c r="B791" s="16"/>
      <c r="C791" s="16"/>
      <c r="D791" s="16"/>
    </row>
    <row r="792">
      <c r="A792" s="16"/>
      <c r="B792" s="16"/>
      <c r="C792" s="16"/>
      <c r="D792" s="16"/>
    </row>
    <row r="793">
      <c r="A793" s="16"/>
      <c r="B793" s="16"/>
      <c r="C793" s="16"/>
      <c r="D793" s="16"/>
    </row>
    <row r="794">
      <c r="A794" s="16"/>
      <c r="B794" s="16"/>
      <c r="C794" s="16"/>
      <c r="D794" s="16"/>
    </row>
    <row r="795">
      <c r="A795" s="16"/>
      <c r="B795" s="16"/>
      <c r="C795" s="16"/>
      <c r="D795" s="16"/>
    </row>
    <row r="796">
      <c r="A796" s="16"/>
      <c r="B796" s="16"/>
      <c r="C796" s="16"/>
      <c r="D796" s="16"/>
    </row>
    <row r="797">
      <c r="A797" s="16"/>
      <c r="B797" s="16"/>
      <c r="C797" s="16"/>
      <c r="D797" s="16"/>
    </row>
    <row r="798">
      <c r="A798" s="16"/>
      <c r="B798" s="16"/>
      <c r="C798" s="16"/>
      <c r="D798" s="16"/>
    </row>
    <row r="799">
      <c r="A799" s="16"/>
      <c r="B799" s="16"/>
      <c r="C799" s="16"/>
      <c r="D799" s="16"/>
    </row>
    <row r="800">
      <c r="A800" s="16"/>
      <c r="B800" s="16"/>
      <c r="C800" s="16"/>
      <c r="D800" s="16"/>
    </row>
    <row r="801">
      <c r="A801" s="16"/>
      <c r="B801" s="16"/>
      <c r="C801" s="16"/>
      <c r="D801" s="16"/>
    </row>
    <row r="802">
      <c r="A802" s="16"/>
      <c r="B802" s="16"/>
      <c r="C802" s="16"/>
      <c r="D802" s="16"/>
    </row>
    <row r="803">
      <c r="A803" s="16"/>
      <c r="B803" s="16"/>
      <c r="C803" s="16"/>
      <c r="D803" s="16"/>
    </row>
    <row r="804">
      <c r="A804" s="16"/>
      <c r="B804" s="16"/>
      <c r="C804" s="16"/>
      <c r="D804" s="16"/>
    </row>
    <row r="805">
      <c r="A805" s="16"/>
      <c r="B805" s="16"/>
      <c r="C805" s="16"/>
      <c r="D805" s="16"/>
    </row>
    <row r="806">
      <c r="A806" s="16"/>
      <c r="B806" s="16"/>
      <c r="C806" s="16"/>
      <c r="D806" s="16"/>
    </row>
    <row r="807">
      <c r="A807" s="16"/>
      <c r="B807" s="16"/>
      <c r="C807" s="16"/>
      <c r="D807" s="16"/>
    </row>
    <row r="808">
      <c r="A808" s="16"/>
      <c r="B808" s="16"/>
      <c r="C808" s="16"/>
      <c r="D808" s="16"/>
    </row>
    <row r="809">
      <c r="A809" s="16"/>
      <c r="B809" s="16"/>
      <c r="C809" s="16"/>
      <c r="D809" s="16"/>
    </row>
    <row r="810">
      <c r="A810" s="16"/>
      <c r="B810" s="16"/>
      <c r="C810" s="16"/>
      <c r="D810" s="16"/>
    </row>
    <row r="811">
      <c r="A811" s="16"/>
      <c r="B811" s="16"/>
      <c r="C811" s="16"/>
      <c r="D811" s="16"/>
    </row>
    <row r="812">
      <c r="A812" s="16"/>
      <c r="B812" s="16"/>
      <c r="C812" s="16"/>
      <c r="D812" s="16"/>
    </row>
    <row r="813">
      <c r="A813" s="16"/>
      <c r="B813" s="16"/>
      <c r="C813" s="16"/>
      <c r="D813" s="16"/>
    </row>
    <row r="814">
      <c r="A814" s="16"/>
      <c r="B814" s="16"/>
      <c r="C814" s="16"/>
      <c r="D814" s="16"/>
    </row>
    <row r="815">
      <c r="A815" s="16"/>
      <c r="B815" s="16"/>
      <c r="C815" s="16"/>
      <c r="D815" s="16"/>
    </row>
    <row r="816">
      <c r="A816" s="16"/>
      <c r="B816" s="16"/>
      <c r="C816" s="16"/>
      <c r="D816" s="16"/>
    </row>
    <row r="817">
      <c r="A817" s="16"/>
      <c r="B817" s="16"/>
      <c r="C817" s="16"/>
      <c r="D817" s="16"/>
    </row>
    <row r="818">
      <c r="A818" s="16"/>
      <c r="B818" s="16"/>
      <c r="C818" s="16"/>
      <c r="D818" s="16"/>
    </row>
    <row r="819">
      <c r="A819" s="16"/>
      <c r="B819" s="16"/>
      <c r="C819" s="16"/>
      <c r="D819" s="16"/>
    </row>
    <row r="820">
      <c r="A820" s="16"/>
      <c r="B820" s="16"/>
      <c r="C820" s="16"/>
      <c r="D820" s="16"/>
    </row>
    <row r="821">
      <c r="A821" s="16"/>
      <c r="B821" s="16"/>
      <c r="C821" s="16"/>
      <c r="D821" s="16"/>
    </row>
    <row r="822">
      <c r="A822" s="16"/>
      <c r="B822" s="16"/>
      <c r="C822" s="16"/>
      <c r="D822" s="16"/>
    </row>
    <row r="823">
      <c r="A823" s="16"/>
      <c r="B823" s="16"/>
      <c r="C823" s="16"/>
      <c r="D823" s="16"/>
    </row>
    <row r="824">
      <c r="A824" s="16"/>
      <c r="B824" s="16"/>
      <c r="C824" s="16"/>
      <c r="D824" s="16"/>
    </row>
    <row r="825">
      <c r="A825" s="16"/>
      <c r="B825" s="16"/>
      <c r="C825" s="16"/>
      <c r="D825" s="16"/>
    </row>
    <row r="826">
      <c r="A826" s="16"/>
      <c r="B826" s="16"/>
      <c r="C826" s="16"/>
      <c r="D826" s="16"/>
    </row>
    <row r="827">
      <c r="A827" s="16"/>
      <c r="B827" s="16"/>
      <c r="C827" s="16"/>
      <c r="D827" s="16"/>
    </row>
    <row r="828">
      <c r="A828" s="16"/>
      <c r="B828" s="16"/>
      <c r="C828" s="16"/>
      <c r="D828" s="16"/>
    </row>
    <row r="829">
      <c r="A829" s="16"/>
      <c r="B829" s="16"/>
      <c r="C829" s="16"/>
      <c r="D829" s="16"/>
    </row>
    <row r="830">
      <c r="A830" s="16"/>
      <c r="B830" s="16"/>
      <c r="C830" s="16"/>
      <c r="D830" s="16"/>
    </row>
    <row r="831">
      <c r="A831" s="16"/>
      <c r="B831" s="16"/>
      <c r="C831" s="16"/>
      <c r="D831" s="16"/>
    </row>
    <row r="832">
      <c r="A832" s="16"/>
      <c r="B832" s="16"/>
      <c r="C832" s="16"/>
      <c r="D832" s="16"/>
    </row>
    <row r="833">
      <c r="A833" s="16"/>
      <c r="B833" s="16"/>
      <c r="C833" s="16"/>
      <c r="D833" s="16"/>
    </row>
    <row r="834">
      <c r="A834" s="16"/>
      <c r="B834" s="16"/>
      <c r="C834" s="16"/>
      <c r="D834" s="16"/>
    </row>
    <row r="835">
      <c r="A835" s="16"/>
      <c r="B835" s="16"/>
      <c r="C835" s="16"/>
      <c r="D835" s="16"/>
    </row>
    <row r="836">
      <c r="A836" s="16"/>
      <c r="B836" s="16"/>
      <c r="C836" s="16"/>
      <c r="D836" s="16"/>
    </row>
    <row r="837">
      <c r="A837" s="16"/>
      <c r="B837" s="16"/>
      <c r="C837" s="16"/>
      <c r="D837" s="16"/>
    </row>
    <row r="838">
      <c r="A838" s="16"/>
      <c r="B838" s="16"/>
      <c r="C838" s="16"/>
      <c r="D838" s="16"/>
    </row>
    <row r="839">
      <c r="A839" s="16"/>
      <c r="B839" s="16"/>
      <c r="C839" s="16"/>
      <c r="D839" s="16"/>
    </row>
    <row r="840">
      <c r="A840" s="16"/>
      <c r="B840" s="16"/>
      <c r="C840" s="16"/>
      <c r="D840" s="16"/>
    </row>
    <row r="841">
      <c r="A841" s="16"/>
      <c r="B841" s="16"/>
      <c r="C841" s="16"/>
      <c r="D841" s="16"/>
    </row>
    <row r="842">
      <c r="A842" s="16"/>
      <c r="B842" s="16"/>
      <c r="C842" s="16"/>
      <c r="D842" s="16"/>
    </row>
    <row r="843">
      <c r="A843" s="16"/>
      <c r="B843" s="16"/>
      <c r="C843" s="16"/>
      <c r="D843" s="16"/>
    </row>
    <row r="844">
      <c r="A844" s="16"/>
      <c r="B844" s="16"/>
      <c r="C844" s="16"/>
      <c r="D844" s="16"/>
    </row>
    <row r="845">
      <c r="A845" s="16"/>
      <c r="B845" s="16"/>
      <c r="C845" s="16"/>
      <c r="D845" s="16"/>
    </row>
    <row r="846">
      <c r="A846" s="16"/>
      <c r="B846" s="16"/>
      <c r="C846" s="16"/>
      <c r="D846" s="16"/>
    </row>
    <row r="847">
      <c r="A847" s="16"/>
      <c r="B847" s="16"/>
      <c r="C847" s="16"/>
      <c r="D847" s="16"/>
    </row>
    <row r="848">
      <c r="A848" s="16"/>
      <c r="B848" s="16"/>
      <c r="C848" s="16"/>
      <c r="D848" s="16"/>
    </row>
    <row r="849">
      <c r="A849" s="16"/>
      <c r="B849" s="16"/>
      <c r="C849" s="16"/>
      <c r="D849" s="16"/>
    </row>
    <row r="850">
      <c r="A850" s="16"/>
      <c r="B850" s="16"/>
      <c r="C850" s="16"/>
      <c r="D850" s="16"/>
    </row>
    <row r="851">
      <c r="A851" s="16"/>
      <c r="B851" s="16"/>
      <c r="C851" s="16"/>
      <c r="D851" s="16"/>
    </row>
    <row r="852">
      <c r="A852" s="16"/>
      <c r="B852" s="16"/>
      <c r="C852" s="16"/>
      <c r="D852" s="16"/>
    </row>
    <row r="853">
      <c r="A853" s="16"/>
      <c r="B853" s="16"/>
      <c r="C853" s="16"/>
      <c r="D853" s="16"/>
    </row>
    <row r="854">
      <c r="A854" s="16"/>
      <c r="B854" s="16"/>
      <c r="C854" s="16"/>
      <c r="D854" s="16"/>
    </row>
    <row r="855">
      <c r="A855" s="16"/>
      <c r="B855" s="16"/>
      <c r="C855" s="16"/>
      <c r="D855" s="16"/>
    </row>
    <row r="856">
      <c r="A856" s="16"/>
      <c r="B856" s="16"/>
      <c r="C856" s="16"/>
      <c r="D856" s="16"/>
    </row>
    <row r="857">
      <c r="A857" s="16"/>
      <c r="B857" s="16"/>
      <c r="C857" s="16"/>
      <c r="D857" s="16"/>
    </row>
    <row r="858">
      <c r="A858" s="16"/>
      <c r="B858" s="16"/>
      <c r="C858" s="16"/>
      <c r="D858" s="16"/>
    </row>
    <row r="859">
      <c r="A859" s="16"/>
      <c r="B859" s="16"/>
      <c r="C859" s="16"/>
      <c r="D859" s="16"/>
    </row>
    <row r="860">
      <c r="A860" s="16"/>
      <c r="B860" s="16"/>
      <c r="C860" s="16"/>
      <c r="D860" s="16"/>
    </row>
    <row r="861">
      <c r="A861" s="16"/>
      <c r="B861" s="16"/>
      <c r="C861" s="16"/>
      <c r="D861" s="16"/>
    </row>
    <row r="862">
      <c r="A862" s="16"/>
      <c r="B862" s="16"/>
      <c r="C862" s="16"/>
      <c r="D862" s="16"/>
    </row>
    <row r="863">
      <c r="A863" s="16"/>
      <c r="B863" s="16"/>
      <c r="C863" s="16"/>
      <c r="D863" s="16"/>
    </row>
    <row r="864">
      <c r="A864" s="16"/>
      <c r="B864" s="16"/>
      <c r="C864" s="16"/>
      <c r="D864" s="16"/>
    </row>
    <row r="865">
      <c r="A865" s="16"/>
      <c r="B865" s="16"/>
      <c r="C865" s="16"/>
      <c r="D865" s="16"/>
    </row>
    <row r="866">
      <c r="A866" s="16"/>
      <c r="B866" s="16"/>
      <c r="C866" s="16"/>
      <c r="D866" s="16"/>
    </row>
    <row r="867">
      <c r="A867" s="16"/>
      <c r="B867" s="16"/>
      <c r="C867" s="16"/>
      <c r="D867" s="16"/>
    </row>
    <row r="868">
      <c r="A868" s="16"/>
      <c r="B868" s="16"/>
      <c r="C868" s="16"/>
      <c r="D868" s="16"/>
    </row>
    <row r="869">
      <c r="A869" s="16"/>
      <c r="B869" s="16"/>
      <c r="C869" s="16"/>
      <c r="D869" s="16"/>
    </row>
    <row r="870">
      <c r="A870" s="16"/>
      <c r="B870" s="16"/>
      <c r="C870" s="16"/>
      <c r="D870" s="16"/>
    </row>
    <row r="871">
      <c r="A871" s="16"/>
      <c r="B871" s="16"/>
      <c r="C871" s="16"/>
      <c r="D871" s="16"/>
    </row>
    <row r="872">
      <c r="A872" s="16"/>
      <c r="B872" s="16"/>
      <c r="C872" s="16"/>
      <c r="D872" s="16"/>
    </row>
    <row r="873">
      <c r="A873" s="16"/>
      <c r="B873" s="16"/>
      <c r="C873" s="16"/>
      <c r="D873" s="16"/>
    </row>
    <row r="874">
      <c r="A874" s="16"/>
      <c r="B874" s="16"/>
      <c r="C874" s="16"/>
      <c r="D874" s="16"/>
    </row>
    <row r="875">
      <c r="A875" s="16"/>
      <c r="B875" s="16"/>
      <c r="C875" s="16"/>
      <c r="D875" s="16"/>
    </row>
    <row r="876">
      <c r="A876" s="16"/>
      <c r="B876" s="16"/>
      <c r="C876" s="16"/>
      <c r="D876" s="16"/>
    </row>
    <row r="877">
      <c r="A877" s="16"/>
      <c r="B877" s="16"/>
      <c r="C877" s="16"/>
      <c r="D877" s="16"/>
    </row>
    <row r="878">
      <c r="A878" s="16"/>
      <c r="B878" s="16"/>
      <c r="C878" s="16"/>
      <c r="D878" s="16"/>
    </row>
    <row r="879">
      <c r="A879" s="16"/>
      <c r="B879" s="16"/>
      <c r="C879" s="16"/>
      <c r="D879" s="16"/>
    </row>
    <row r="880">
      <c r="A880" s="16"/>
      <c r="B880" s="16"/>
      <c r="C880" s="16"/>
      <c r="D880" s="16"/>
    </row>
    <row r="881">
      <c r="A881" s="16"/>
      <c r="B881" s="16"/>
      <c r="C881" s="16"/>
      <c r="D881" s="16"/>
    </row>
    <row r="882">
      <c r="A882" s="16"/>
      <c r="B882" s="16"/>
      <c r="C882" s="16"/>
      <c r="D882" s="16"/>
    </row>
    <row r="883">
      <c r="A883" s="16"/>
      <c r="B883" s="16"/>
      <c r="C883" s="16"/>
      <c r="D883" s="16"/>
    </row>
    <row r="884">
      <c r="A884" s="16"/>
      <c r="B884" s="16"/>
      <c r="C884" s="16"/>
      <c r="D884" s="16"/>
    </row>
    <row r="885">
      <c r="A885" s="16"/>
      <c r="B885" s="16"/>
      <c r="C885" s="16"/>
      <c r="D885" s="16"/>
    </row>
    <row r="886">
      <c r="A886" s="16"/>
      <c r="B886" s="16"/>
      <c r="C886" s="16"/>
      <c r="D886" s="16"/>
    </row>
    <row r="887">
      <c r="A887" s="16"/>
      <c r="B887" s="16"/>
      <c r="C887" s="16"/>
      <c r="D887" s="16"/>
    </row>
    <row r="888">
      <c r="A888" s="16"/>
      <c r="B888" s="16"/>
      <c r="C888" s="16"/>
      <c r="D888" s="16"/>
    </row>
    <row r="889">
      <c r="A889" s="16"/>
      <c r="B889" s="16"/>
      <c r="C889" s="16"/>
      <c r="D889" s="16"/>
    </row>
    <row r="890">
      <c r="A890" s="16"/>
      <c r="B890" s="16"/>
      <c r="C890" s="16"/>
      <c r="D890" s="16"/>
    </row>
    <row r="891">
      <c r="A891" s="16"/>
      <c r="B891" s="16"/>
      <c r="C891" s="16"/>
      <c r="D891" s="16"/>
    </row>
    <row r="892">
      <c r="A892" s="16"/>
      <c r="B892" s="16"/>
      <c r="C892" s="16"/>
      <c r="D892" s="16"/>
    </row>
    <row r="893">
      <c r="A893" s="16"/>
      <c r="B893" s="16"/>
      <c r="C893" s="16"/>
      <c r="D893" s="16"/>
    </row>
    <row r="894">
      <c r="A894" s="16"/>
      <c r="B894" s="16"/>
      <c r="C894" s="16"/>
      <c r="D894" s="16"/>
    </row>
    <row r="895">
      <c r="A895" s="16"/>
      <c r="B895" s="16"/>
      <c r="C895" s="16"/>
      <c r="D895" s="16"/>
    </row>
    <row r="896">
      <c r="A896" s="16"/>
      <c r="B896" s="16"/>
      <c r="C896" s="16"/>
      <c r="D896" s="16"/>
    </row>
    <row r="897">
      <c r="A897" s="16"/>
      <c r="B897" s="16"/>
      <c r="C897" s="16"/>
      <c r="D897" s="16"/>
    </row>
    <row r="898">
      <c r="A898" s="16"/>
      <c r="B898" s="16"/>
      <c r="C898" s="16"/>
      <c r="D898" s="16"/>
    </row>
    <row r="899">
      <c r="A899" s="16"/>
      <c r="B899" s="16"/>
      <c r="C899" s="16"/>
      <c r="D899" s="16"/>
    </row>
    <row r="900">
      <c r="A900" s="16"/>
      <c r="B900" s="16"/>
      <c r="C900" s="16"/>
      <c r="D900" s="16"/>
    </row>
    <row r="901">
      <c r="A901" s="16"/>
      <c r="B901" s="16"/>
      <c r="C901" s="16"/>
      <c r="D901" s="16"/>
    </row>
    <row r="902">
      <c r="A902" s="16"/>
      <c r="B902" s="16"/>
      <c r="C902" s="16"/>
      <c r="D902" s="16"/>
    </row>
    <row r="903">
      <c r="A903" s="16"/>
      <c r="B903" s="16"/>
      <c r="C903" s="16"/>
      <c r="D903" s="16"/>
    </row>
    <row r="904">
      <c r="A904" s="16"/>
      <c r="B904" s="16"/>
      <c r="C904" s="16"/>
      <c r="D904" s="16"/>
    </row>
    <row r="905">
      <c r="A905" s="16"/>
      <c r="B905" s="16"/>
      <c r="C905" s="16"/>
      <c r="D905" s="16"/>
    </row>
    <row r="906">
      <c r="A906" s="16"/>
      <c r="B906" s="16"/>
      <c r="C906" s="16"/>
      <c r="D906" s="16"/>
    </row>
    <row r="907">
      <c r="A907" s="16"/>
      <c r="B907" s="16"/>
      <c r="C907" s="16"/>
      <c r="D907" s="16"/>
    </row>
    <row r="908">
      <c r="A908" s="16"/>
      <c r="B908" s="16"/>
      <c r="C908" s="16"/>
      <c r="D908" s="16"/>
    </row>
    <row r="909">
      <c r="A909" s="16"/>
      <c r="B909" s="16"/>
      <c r="C909" s="16"/>
      <c r="D909" s="16"/>
    </row>
    <row r="910">
      <c r="A910" s="16"/>
      <c r="B910" s="16"/>
      <c r="C910" s="16"/>
      <c r="D910" s="16"/>
    </row>
    <row r="911">
      <c r="A911" s="16"/>
      <c r="B911" s="16"/>
      <c r="C911" s="16"/>
      <c r="D911" s="16"/>
    </row>
    <row r="912">
      <c r="A912" s="16"/>
      <c r="B912" s="16"/>
      <c r="C912" s="16"/>
      <c r="D912" s="16"/>
    </row>
    <row r="913">
      <c r="A913" s="16"/>
      <c r="B913" s="16"/>
      <c r="C913" s="16"/>
      <c r="D913" s="16"/>
    </row>
    <row r="914">
      <c r="A914" s="16"/>
      <c r="B914" s="16"/>
      <c r="C914" s="16"/>
      <c r="D914" s="16"/>
    </row>
    <row r="915">
      <c r="A915" s="16"/>
      <c r="B915" s="16"/>
      <c r="C915" s="16"/>
      <c r="D915" s="16"/>
    </row>
    <row r="916">
      <c r="A916" s="16"/>
      <c r="B916" s="16"/>
      <c r="C916" s="16"/>
      <c r="D916" s="16"/>
    </row>
    <row r="917">
      <c r="A917" s="16"/>
      <c r="B917" s="16"/>
      <c r="C917" s="16"/>
      <c r="D917" s="16"/>
    </row>
    <row r="918">
      <c r="A918" s="16"/>
      <c r="B918" s="16"/>
      <c r="C918" s="16"/>
      <c r="D918" s="16"/>
    </row>
    <row r="919">
      <c r="A919" s="16"/>
      <c r="B919" s="16"/>
      <c r="C919" s="16"/>
      <c r="D919" s="16"/>
    </row>
    <row r="920">
      <c r="A920" s="16"/>
      <c r="B920" s="16"/>
      <c r="C920" s="16"/>
      <c r="D920" s="16"/>
    </row>
    <row r="921">
      <c r="A921" s="16"/>
      <c r="B921" s="16"/>
      <c r="C921" s="16"/>
      <c r="D921" s="16"/>
    </row>
    <row r="922">
      <c r="A922" s="16"/>
      <c r="B922" s="16"/>
      <c r="C922" s="16"/>
      <c r="D922" s="16"/>
    </row>
    <row r="923">
      <c r="A923" s="16"/>
      <c r="B923" s="16"/>
      <c r="C923" s="16"/>
      <c r="D923" s="16"/>
    </row>
    <row r="924">
      <c r="A924" s="16"/>
      <c r="B924" s="16"/>
      <c r="C924" s="16"/>
      <c r="D924" s="16"/>
    </row>
    <row r="925">
      <c r="A925" s="16"/>
      <c r="B925" s="16"/>
      <c r="C925" s="16"/>
      <c r="D925" s="16"/>
    </row>
    <row r="926">
      <c r="A926" s="16"/>
      <c r="B926" s="16"/>
      <c r="C926" s="16"/>
      <c r="D926" s="16"/>
    </row>
    <row r="927">
      <c r="A927" s="16"/>
      <c r="B927" s="16"/>
      <c r="C927" s="16"/>
      <c r="D927" s="16"/>
    </row>
    <row r="928">
      <c r="A928" s="16"/>
      <c r="B928" s="16"/>
      <c r="C928" s="16"/>
      <c r="D928" s="16"/>
    </row>
    <row r="929">
      <c r="A929" s="16"/>
      <c r="B929" s="16"/>
      <c r="C929" s="16"/>
      <c r="D929" s="16"/>
    </row>
    <row r="930">
      <c r="A930" s="16"/>
      <c r="B930" s="16"/>
      <c r="C930" s="16"/>
      <c r="D930" s="16"/>
    </row>
    <row r="931">
      <c r="A931" s="16"/>
      <c r="B931" s="16"/>
      <c r="C931" s="16"/>
      <c r="D931" s="16"/>
    </row>
    <row r="932">
      <c r="A932" s="16"/>
      <c r="B932" s="16"/>
      <c r="C932" s="16"/>
      <c r="D932" s="16"/>
    </row>
    <row r="933">
      <c r="A933" s="16"/>
      <c r="B933" s="16"/>
      <c r="C933" s="16"/>
      <c r="D933" s="16"/>
    </row>
    <row r="934">
      <c r="A934" s="16"/>
      <c r="B934" s="16"/>
      <c r="C934" s="16"/>
      <c r="D934" s="16"/>
    </row>
    <row r="935">
      <c r="A935" s="16"/>
      <c r="B935" s="16"/>
      <c r="C935" s="16"/>
      <c r="D935" s="16"/>
    </row>
    <row r="936">
      <c r="A936" s="16"/>
      <c r="B936" s="16"/>
      <c r="C936" s="16"/>
      <c r="D936" s="16"/>
    </row>
    <row r="937">
      <c r="A937" s="16"/>
      <c r="B937" s="16"/>
      <c r="C937" s="16"/>
      <c r="D937" s="16"/>
    </row>
    <row r="938">
      <c r="A938" s="16"/>
      <c r="B938" s="16"/>
      <c r="C938" s="16"/>
      <c r="D938" s="16"/>
    </row>
    <row r="939">
      <c r="A939" s="16"/>
      <c r="B939" s="16"/>
      <c r="C939" s="16"/>
      <c r="D939" s="16"/>
    </row>
    <row r="940">
      <c r="A940" s="16"/>
      <c r="B940" s="16"/>
      <c r="C940" s="16"/>
      <c r="D940" s="16"/>
    </row>
    <row r="941">
      <c r="A941" s="16"/>
      <c r="B941" s="16"/>
      <c r="C941" s="16"/>
      <c r="D941" s="16"/>
    </row>
    <row r="942">
      <c r="A942" s="16"/>
      <c r="B942" s="16"/>
      <c r="C942" s="16"/>
      <c r="D942" s="16"/>
    </row>
    <row r="943">
      <c r="A943" s="16"/>
      <c r="B943" s="16"/>
      <c r="C943" s="16"/>
      <c r="D943" s="16"/>
    </row>
    <row r="944">
      <c r="A944" s="16"/>
      <c r="B944" s="16"/>
      <c r="C944" s="16"/>
      <c r="D944" s="16"/>
    </row>
    <row r="945">
      <c r="A945" s="16"/>
      <c r="B945" s="16"/>
      <c r="C945" s="16"/>
      <c r="D945" s="16"/>
    </row>
    <row r="946">
      <c r="A946" s="16"/>
      <c r="B946" s="16"/>
      <c r="C946" s="16"/>
      <c r="D946" s="16"/>
    </row>
    <row r="947">
      <c r="A947" s="16"/>
      <c r="B947" s="16"/>
      <c r="C947" s="16"/>
      <c r="D947" s="16"/>
    </row>
    <row r="948">
      <c r="A948" s="16"/>
      <c r="B948" s="16"/>
      <c r="C948" s="16"/>
      <c r="D948" s="16"/>
    </row>
    <row r="949">
      <c r="A949" s="16"/>
      <c r="B949" s="16"/>
      <c r="C949" s="16"/>
      <c r="D949" s="16"/>
    </row>
    <row r="950">
      <c r="A950" s="16"/>
      <c r="B950" s="16"/>
      <c r="C950" s="16"/>
      <c r="D950" s="16"/>
    </row>
    <row r="951">
      <c r="A951" s="16"/>
      <c r="B951" s="16"/>
      <c r="C951" s="16"/>
      <c r="D951" s="16"/>
    </row>
    <row r="952">
      <c r="A952" s="16"/>
      <c r="B952" s="16"/>
      <c r="C952" s="16"/>
      <c r="D952" s="16"/>
    </row>
    <row r="953">
      <c r="A953" s="16"/>
      <c r="B953" s="16"/>
      <c r="C953" s="16"/>
      <c r="D953" s="16"/>
    </row>
    <row r="954">
      <c r="A954" s="16"/>
      <c r="B954" s="16"/>
      <c r="C954" s="16"/>
      <c r="D954" s="16"/>
    </row>
    <row r="955">
      <c r="A955" s="16"/>
      <c r="B955" s="16"/>
      <c r="C955" s="16"/>
      <c r="D955" s="16"/>
    </row>
    <row r="956">
      <c r="A956" s="16"/>
      <c r="B956" s="16"/>
      <c r="C956" s="16"/>
      <c r="D956" s="16"/>
    </row>
    <row r="957">
      <c r="A957" s="16"/>
      <c r="B957" s="16"/>
      <c r="C957" s="16"/>
      <c r="D957" s="16"/>
    </row>
    <row r="958">
      <c r="A958" s="16"/>
      <c r="B958" s="16"/>
      <c r="C958" s="16"/>
      <c r="D958" s="16"/>
    </row>
    <row r="959">
      <c r="A959" s="16"/>
      <c r="B959" s="16"/>
      <c r="C959" s="16"/>
      <c r="D959" s="16"/>
    </row>
    <row r="960">
      <c r="A960" s="16"/>
      <c r="B960" s="16"/>
      <c r="C960" s="16"/>
      <c r="D960" s="16"/>
    </row>
    <row r="961">
      <c r="A961" s="16"/>
      <c r="B961" s="16"/>
      <c r="C961" s="16"/>
      <c r="D961" s="16"/>
    </row>
    <row r="962">
      <c r="A962" s="16"/>
      <c r="B962" s="16"/>
      <c r="C962" s="16"/>
      <c r="D962" s="16"/>
    </row>
    <row r="963">
      <c r="A963" s="16"/>
      <c r="B963" s="16"/>
      <c r="C963" s="16"/>
      <c r="D963" s="16"/>
    </row>
    <row r="964">
      <c r="A964" s="16"/>
      <c r="B964" s="16"/>
      <c r="C964" s="16"/>
      <c r="D964" s="16"/>
    </row>
    <row r="965">
      <c r="A965" s="16"/>
      <c r="B965" s="16"/>
      <c r="C965" s="16"/>
      <c r="D965" s="16"/>
    </row>
    <row r="966">
      <c r="A966" s="16"/>
      <c r="B966" s="16"/>
      <c r="C966" s="16"/>
      <c r="D966" s="16"/>
    </row>
    <row r="967">
      <c r="A967" s="16"/>
      <c r="B967" s="16"/>
      <c r="C967" s="16"/>
      <c r="D967" s="16"/>
    </row>
    <row r="968">
      <c r="A968" s="16"/>
      <c r="B968" s="16"/>
      <c r="C968" s="16"/>
      <c r="D968" s="16"/>
    </row>
    <row r="969">
      <c r="A969" s="16"/>
      <c r="B969" s="16"/>
      <c r="C969" s="16"/>
      <c r="D969" s="16"/>
    </row>
    <row r="970">
      <c r="A970" s="16"/>
      <c r="B970" s="16"/>
      <c r="C970" s="16"/>
      <c r="D970" s="16"/>
    </row>
    <row r="971">
      <c r="A971" s="16"/>
      <c r="B971" s="16"/>
      <c r="C971" s="16"/>
      <c r="D971" s="16"/>
    </row>
    <row r="972">
      <c r="A972" s="16"/>
      <c r="B972" s="16"/>
      <c r="C972" s="16"/>
      <c r="D972" s="16"/>
    </row>
    <row r="973">
      <c r="A973" s="16"/>
      <c r="B973" s="16"/>
      <c r="C973" s="16"/>
      <c r="D973" s="16"/>
    </row>
    <row r="974">
      <c r="A974" s="16"/>
      <c r="B974" s="16"/>
      <c r="C974" s="16"/>
      <c r="D974" s="16"/>
    </row>
    <row r="975">
      <c r="A975" s="16"/>
      <c r="B975" s="16"/>
      <c r="C975" s="16"/>
      <c r="D975" s="16"/>
    </row>
    <row r="976">
      <c r="A976" s="16"/>
      <c r="B976" s="16"/>
      <c r="C976" s="16"/>
      <c r="D976" s="16"/>
    </row>
    <row r="977">
      <c r="A977" s="16"/>
      <c r="B977" s="16"/>
      <c r="C977" s="16"/>
      <c r="D977" s="16"/>
    </row>
    <row r="978">
      <c r="A978" s="16"/>
      <c r="B978" s="16"/>
      <c r="C978" s="16"/>
      <c r="D978" s="16"/>
    </row>
    <row r="979">
      <c r="A979" s="16"/>
      <c r="B979" s="16"/>
      <c r="C979" s="16"/>
      <c r="D979" s="16"/>
    </row>
    <row r="980">
      <c r="A980" s="16"/>
      <c r="B980" s="16"/>
      <c r="C980" s="16"/>
      <c r="D980" s="16"/>
    </row>
    <row r="981">
      <c r="A981" s="16"/>
      <c r="B981" s="16"/>
      <c r="C981" s="16"/>
      <c r="D981" s="16"/>
    </row>
    <row r="982">
      <c r="A982" s="16"/>
      <c r="B982" s="16"/>
      <c r="C982" s="16"/>
      <c r="D982" s="16"/>
    </row>
    <row r="983">
      <c r="A983" s="16"/>
      <c r="B983" s="16"/>
      <c r="C983" s="16"/>
      <c r="D983" s="16"/>
    </row>
    <row r="984">
      <c r="A984" s="16"/>
      <c r="B984" s="16"/>
      <c r="C984" s="16"/>
      <c r="D984" s="16"/>
    </row>
    <row r="985">
      <c r="A985" s="16"/>
      <c r="B985" s="16"/>
      <c r="C985" s="16"/>
      <c r="D985" s="16"/>
    </row>
    <row r="986">
      <c r="A986" s="16"/>
      <c r="B986" s="16"/>
      <c r="C986" s="16"/>
      <c r="D986" s="16"/>
    </row>
    <row r="987">
      <c r="A987" s="16"/>
      <c r="B987" s="16"/>
      <c r="C987" s="16"/>
      <c r="D987" s="16"/>
    </row>
    <row r="988">
      <c r="A988" s="16"/>
      <c r="B988" s="16"/>
      <c r="C988" s="16"/>
      <c r="D988" s="16"/>
    </row>
    <row r="989">
      <c r="A989" s="16"/>
      <c r="B989" s="16"/>
      <c r="C989" s="16"/>
      <c r="D989" s="16"/>
    </row>
    <row r="990">
      <c r="A990" s="16"/>
      <c r="B990" s="16"/>
      <c r="C990" s="16"/>
      <c r="D990" s="16"/>
    </row>
    <row r="991">
      <c r="A991" s="16"/>
      <c r="B991" s="16"/>
      <c r="C991" s="16"/>
      <c r="D991" s="16"/>
    </row>
    <row r="992">
      <c r="A992" s="16"/>
      <c r="B992" s="16"/>
      <c r="C992" s="16"/>
      <c r="D992" s="16"/>
    </row>
    <row r="993">
      <c r="A993" s="16"/>
      <c r="B993" s="16"/>
      <c r="C993" s="16"/>
      <c r="D993" s="16"/>
    </row>
    <row r="994">
      <c r="A994" s="16"/>
      <c r="B994" s="16"/>
      <c r="C994" s="16"/>
      <c r="D994" s="16"/>
    </row>
    <row r="995">
      <c r="A995" s="16"/>
      <c r="B995" s="16"/>
      <c r="C995" s="16"/>
      <c r="D995" s="16"/>
    </row>
    <row r="996">
      <c r="A996" s="16"/>
      <c r="B996" s="16"/>
      <c r="C996" s="16"/>
      <c r="D996" s="16"/>
    </row>
    <row r="997">
      <c r="A997" s="16"/>
      <c r="B997" s="16"/>
      <c r="C997" s="16"/>
      <c r="D997" s="16"/>
    </row>
    <row r="998">
      <c r="A998" s="16"/>
      <c r="B998" s="16"/>
      <c r="C998" s="16"/>
      <c r="D998" s="16"/>
    </row>
    <row r="999">
      <c r="A999" s="16"/>
      <c r="B999" s="16"/>
      <c r="C999" s="16"/>
      <c r="D999" s="16"/>
    </row>
    <row r="1000">
      <c r="A1000" s="16"/>
      <c r="B1000" s="16"/>
      <c r="C1000" s="16"/>
      <c r="D1000" s="16"/>
    </row>
  </sheetData>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 t="s">
        <v>24</v>
      </c>
      <c r="B1" s="97" t="s">
        <v>25</v>
      </c>
      <c r="C1" s="14" t="s">
        <v>26</v>
      </c>
      <c r="D1" s="97" t="s">
        <v>225</v>
      </c>
      <c r="E1" s="97" t="s">
        <v>226</v>
      </c>
      <c r="F1" s="97" t="s">
        <v>27</v>
      </c>
      <c r="G1" s="97" t="s">
        <v>227</v>
      </c>
    </row>
    <row r="2">
      <c r="A2" s="122" t="str">
        <f>IFERROR(__xludf.DUMMYFUNCTION("IMPORTRANGE(""https://docs.google.com/spreadsheets/d/""&amp;Config!B1,""ItemEquipCombine!A:Z"")"),"""Hellfire Club"" Vest of Metal Harmony's")</f>
        <v>"Hellfire Club" Vest of Metal Harmony's</v>
      </c>
      <c r="B2" s="16"/>
      <c r="C2" s="16"/>
      <c r="D2" s="16" t="str">
        <f>IFERROR(__xludf.DUMMYFUNCTION("""COMPUTED_VALUE"""),"Torso")</f>
        <v>Torso</v>
      </c>
      <c r="E2" s="16">
        <f>IFERROR(__xludf.DUMMYFUNCTION("""COMPUTED_VALUE"""),200.0)</f>
        <v>200</v>
      </c>
      <c r="F2" s="16" t="str">
        <f>IFERROR(__xludf.DUMMYFUNCTION("""COMPUTED_VALUE"""),"DEF: ++10000 ++When dealing damage with an instrument you will regain sp equal to the damage you caused.")</f>
        <v>DEF: ++10000 ++When dealing damage with an instrument you will regain sp equal to the damage you caused.</v>
      </c>
      <c r="G2" s="16">
        <f>IFERROR(__xludf.DUMMYFUNCTION("""COMPUTED_VALUE"""),1900000.0)</f>
        <v>1900000</v>
      </c>
      <c r="H2" s="16"/>
      <c r="I2" s="16"/>
      <c r="J2" s="16"/>
      <c r="K2" s="16"/>
      <c r="L2" s="16"/>
      <c r="M2" s="16"/>
      <c r="N2" s="16"/>
      <c r="O2" s="16"/>
      <c r="P2" s="16"/>
      <c r="Q2" s="16"/>
      <c r="R2" s="16"/>
      <c r="S2" s="16"/>
      <c r="T2" s="16"/>
      <c r="U2" s="16"/>
      <c r="V2" s="16"/>
      <c r="W2" s="16"/>
      <c r="X2" s="16"/>
      <c r="Y2" s="16"/>
      <c r="Z2" s="16"/>
    </row>
    <row r="3">
      <c r="A3" s="16" t="str">
        <f>IFERROR(__xludf.DUMMYFUNCTION("""COMPUTED_VALUE"""),"""Sweetheart"" Guitar of The Upside Down")</f>
        <v>"Sweetheart" Guitar of The Upside Down</v>
      </c>
      <c r="B3" s="16"/>
      <c r="C3" s="16" t="str">
        <f>IFERROR(__xludf.DUMMYFUNCTION("""COMPUTED_VALUE"""),"Instrument")</f>
        <v>Instrument</v>
      </c>
      <c r="D3" s="16" t="str">
        <f>IFERROR(__xludf.DUMMYFUNCTION("""COMPUTED_VALUE"""),"Hand")</f>
        <v>Hand</v>
      </c>
      <c r="E3" s="16">
        <f>IFERROR(__xludf.DUMMYFUNCTION("""COMPUTED_VALUE"""),200.0)</f>
        <v>200</v>
      </c>
      <c r="F3" s="16" t="str">
        <f>IFERROR(__xludf.DUMMYFUNCTION("""COMPUTED_VALUE"""),"DMG: +2500, Fire DMG: +2500, Dark DMG: +2500, Chaos DMG: +2500 ++This instrument will deal X2 damage while it's equipped. ++Any spells that deal damage for the user will now do an additional X2. ++25% chance to port the target you hit to a random location"&amp;".")</f>
        <v>DMG: +2500, Fire DMG: +2500, Dark DMG: +2500, Chaos DMG: +2500 ++This instrument will deal X2 damage while it's equipped. ++Any spells that deal damage for the user will now do an additional X2. ++25% chance to port the target you hit to a random location.</v>
      </c>
      <c r="G3" s="16">
        <f>IFERROR(__xludf.DUMMYFUNCTION("""COMPUTED_VALUE"""),1900000.0)</f>
        <v>1900000</v>
      </c>
      <c r="H3" s="16"/>
      <c r="I3" s="16"/>
      <c r="J3" s="16"/>
      <c r="K3" s="16"/>
      <c r="L3" s="16"/>
      <c r="M3" s="16"/>
      <c r="N3" s="16"/>
      <c r="O3" s="16"/>
      <c r="P3" s="16"/>
      <c r="Q3" s="16"/>
      <c r="R3" s="16"/>
      <c r="S3" s="16"/>
      <c r="T3" s="16"/>
      <c r="U3" s="16"/>
      <c r="V3" s="16"/>
      <c r="W3" s="16"/>
      <c r="X3" s="16"/>
      <c r="Y3" s="16"/>
      <c r="Z3" s="16"/>
    </row>
    <row r="4">
      <c r="A4" s="16" t="str">
        <f>IFERROR(__xludf.DUMMYFUNCTION("""COMPUTED_VALUE"""),"Alpha Sword")</f>
        <v>Alpha Sword</v>
      </c>
      <c r="B4" s="16"/>
      <c r="C4" s="16" t="str">
        <f>IFERROR(__xludf.DUMMYFUNCTION("""COMPUTED_VALUE"""),"Sword")</f>
        <v>Sword</v>
      </c>
      <c r="D4" s="16" t="str">
        <f>IFERROR(__xludf.DUMMYFUNCTION("""COMPUTED_VALUE"""),"Hand")</f>
        <v>Hand</v>
      </c>
      <c r="E4" s="16">
        <f>IFERROR(__xludf.DUMMYFUNCTION("""COMPUTED_VALUE"""),4000.0)</f>
        <v>4000</v>
      </c>
      <c r="F4" s="16" t="str">
        <f>IFERROR(__xludf.DUMMYFUNCTION("""COMPUTED_VALUE"""),"DMG: +100000, Dark DMG: +100000 ++If you kill an enemy using this weapon you may attack another enemy once more using this weapon on the same turn but this can only be done once per turn.")</f>
        <v>DMG: +100000, Dark DMG: +100000 ++If you kill an enemy using this weapon you may attack another enemy once more using this weapon on the same turn but this can only be done once per turn.</v>
      </c>
      <c r="G4" s="16">
        <f>IFERROR(__xludf.DUMMYFUNCTION("""COMPUTED_VALUE"""),7.98E8)</f>
        <v>798000000</v>
      </c>
      <c r="H4" s="16"/>
      <c r="I4" s="16"/>
      <c r="J4" s="16"/>
      <c r="K4" s="16"/>
      <c r="L4" s="16"/>
      <c r="M4" s="16"/>
      <c r="N4" s="16"/>
      <c r="O4" s="16"/>
      <c r="P4" s="16"/>
      <c r="Q4" s="16"/>
      <c r="R4" s="16"/>
      <c r="S4" s="16"/>
      <c r="T4" s="16"/>
      <c r="U4" s="16"/>
      <c r="V4" s="16"/>
      <c r="W4" s="16"/>
      <c r="X4" s="16"/>
      <c r="Y4" s="16"/>
      <c r="Z4" s="16"/>
    </row>
    <row r="5">
      <c r="A5" s="16" t="str">
        <f>IFERROR(__xludf.DUMMYFUNCTION("""COMPUTED_VALUE"""),"Ancient Colossus Forest Hammer")</f>
        <v>Ancient Colossus Forest Hammer</v>
      </c>
      <c r="B5" s="16"/>
      <c r="C5" s="16" t="str">
        <f>IFERROR(__xludf.DUMMYFUNCTION("""COMPUTED_VALUE"""),"Club")</f>
        <v>Club</v>
      </c>
      <c r="D5" s="16" t="str">
        <f>IFERROR(__xludf.DUMMYFUNCTION("""COMPUTED_VALUE"""),"Hand")</f>
        <v>Hand</v>
      </c>
      <c r="E5" s="16">
        <f>IFERROR(__xludf.DUMMYFUNCTION("""COMPUTED_VALUE"""),700.0)</f>
        <v>700</v>
      </c>
      <c r="F5" s="16" t="str">
        <f>IFERROR(__xludf.DUMMYFUNCTION("""COMPUTED_VALUE"""),"DMG: +25000, Nature DMG: +10000 ++When in a Natural environment all attacks with this weapon will roll twice and take the higher number")</f>
        <v>DMG: +25000, Nature DMG: +10000 ++When in a Natural environment all attacks with this weapon will roll twice and take the higher number</v>
      </c>
      <c r="G5" s="16">
        <f>IFERROR(__xludf.DUMMYFUNCTION("""COMPUTED_VALUE"""),2.415E7)</f>
        <v>24150000</v>
      </c>
      <c r="H5" s="16"/>
      <c r="I5" s="16"/>
      <c r="J5" s="16"/>
      <c r="K5" s="16"/>
      <c r="L5" s="16"/>
      <c r="M5" s="16"/>
      <c r="N5" s="16"/>
      <c r="O5" s="16"/>
      <c r="P5" s="16"/>
      <c r="Q5" s="16"/>
      <c r="R5" s="16"/>
      <c r="S5" s="16"/>
      <c r="T5" s="16"/>
      <c r="U5" s="16"/>
      <c r="V5" s="16"/>
      <c r="W5" s="16"/>
      <c r="X5" s="16"/>
      <c r="Y5" s="16"/>
      <c r="Z5" s="16"/>
    </row>
    <row r="6">
      <c r="A6" s="16" t="str">
        <f>IFERROR(__xludf.DUMMYFUNCTION("""COMPUTED_VALUE"""),"Ancient Samurai Sword")</f>
        <v>Ancient Samurai Sword</v>
      </c>
      <c r="B6" s="16"/>
      <c r="C6" s="16" t="str">
        <f>IFERROR(__xludf.DUMMYFUNCTION("""COMPUTED_VALUE"""),"Sword")</f>
        <v>Sword</v>
      </c>
      <c r="D6" s="16" t="str">
        <f>IFERROR(__xludf.DUMMYFUNCTION("""COMPUTED_VALUE"""),"Hand")</f>
        <v>Hand</v>
      </c>
      <c r="E6" s="16">
        <f>IFERROR(__xludf.DUMMYFUNCTION("""COMPUTED_VALUE"""),800.0)</f>
        <v>800</v>
      </c>
      <c r="F6" s="16" t="str">
        <f>IFERROR(__xludf.DUMMYFUNCTION("""COMPUTED_VALUE"""),"DMG: +10000, Fire DMG: +10000, Light DMG: +10000, Order DMG: +10000 ++Doubles the chance for the Sword ability to activate")</f>
        <v>DMG: +10000, Fire DMG: +10000, Light DMG: +10000, Order DMG: +10000 ++Doubles the chance for the Sword ability to activate</v>
      </c>
      <c r="G6" s="16">
        <f>IFERROR(__xludf.DUMMYFUNCTION("""COMPUTED_VALUE"""),3.16E7)</f>
        <v>31600000</v>
      </c>
      <c r="H6" s="16"/>
      <c r="I6" s="16"/>
      <c r="J6" s="16"/>
      <c r="K6" s="16"/>
      <c r="L6" s="16"/>
      <c r="M6" s="16"/>
      <c r="N6" s="16"/>
      <c r="O6" s="16"/>
      <c r="P6" s="16"/>
      <c r="Q6" s="16"/>
      <c r="R6" s="16"/>
      <c r="S6" s="16"/>
      <c r="T6" s="16"/>
      <c r="U6" s="16"/>
      <c r="V6" s="16"/>
      <c r="W6" s="16"/>
      <c r="X6" s="16"/>
      <c r="Y6" s="16"/>
      <c r="Z6" s="16"/>
    </row>
    <row r="7">
      <c r="A7" s="16" t="str">
        <f>IFERROR(__xludf.DUMMYFUNCTION("""COMPUTED_VALUE"""),"Ancient Stone Guardians Sword")</f>
        <v>Ancient Stone Guardians Sword</v>
      </c>
      <c r="B7" s="16"/>
      <c r="C7" s="16" t="str">
        <f>IFERROR(__xludf.DUMMYFUNCTION("""COMPUTED_VALUE"""),"Sword")</f>
        <v>Sword</v>
      </c>
      <c r="D7" s="16" t="str">
        <f>IFERROR(__xludf.DUMMYFUNCTION("""COMPUTED_VALUE"""),"Hand")</f>
        <v>Hand</v>
      </c>
      <c r="E7" s="16">
        <f>IFERROR(__xludf.DUMMYFUNCTION("""COMPUTED_VALUE"""),1200.0)</f>
        <v>1200</v>
      </c>
      <c r="F7" s="16" t="str">
        <f>IFERROR(__xludf.DUMMYFUNCTION("""COMPUTED_VALUE"""),"DMG: +20000, Earth DMG: +20000, Light DMG: +20000 ++X2 Defense for all allies")</f>
        <v>DMG: +20000, Earth DMG: +20000, Light DMG: +20000 ++X2 Defense for all allies</v>
      </c>
      <c r="G7" s="16">
        <f>IFERROR(__xludf.DUMMYFUNCTION("""COMPUTED_VALUE"""),7.14E7)</f>
        <v>71400000</v>
      </c>
      <c r="H7" s="16"/>
      <c r="I7" s="16"/>
      <c r="J7" s="16"/>
      <c r="K7" s="16"/>
      <c r="L7" s="16"/>
      <c r="M7" s="16"/>
      <c r="N7" s="16"/>
      <c r="O7" s="16"/>
      <c r="P7" s="16"/>
      <c r="Q7" s="16"/>
      <c r="R7" s="16"/>
      <c r="S7" s="16"/>
      <c r="T7" s="16"/>
      <c r="U7" s="16"/>
      <c r="V7" s="16"/>
      <c r="W7" s="16"/>
      <c r="X7" s="16"/>
      <c r="Y7" s="16"/>
      <c r="Z7" s="16"/>
    </row>
    <row r="8">
      <c r="A8" s="16" t="str">
        <f>IFERROR(__xludf.DUMMYFUNCTION("""COMPUTED_VALUE"""),"Aqua Robe")</f>
        <v>Aqua Robe</v>
      </c>
      <c r="B8" s="16"/>
      <c r="C8" s="16"/>
      <c r="D8" s="16" t="str">
        <f>IFERROR(__xludf.DUMMYFUNCTION("""COMPUTED_VALUE"""),"Torso")</f>
        <v>Torso</v>
      </c>
      <c r="E8" s="16">
        <f>IFERROR(__xludf.DUMMYFUNCTION("""COMPUTED_VALUE"""),40.0)</f>
        <v>40</v>
      </c>
      <c r="F8" s="16" t="str">
        <f>IFERROR(__xludf.DUMMYFUNCTION("""COMPUTED_VALUE"""),"DEF: +1000, Water DEF: +1000 ++X4 damage additional water damage for the user.")</f>
        <v>DEF: +1000, Water DEF: +1000 ++X4 damage additional water damage for the user.</v>
      </c>
      <c r="G8" s="16">
        <f>IFERROR(__xludf.DUMMYFUNCTION("""COMPUTED_VALUE"""),60000.0)</f>
        <v>60000</v>
      </c>
      <c r="H8" s="16"/>
      <c r="I8" s="16"/>
      <c r="J8" s="16"/>
      <c r="K8" s="16"/>
      <c r="L8" s="16"/>
      <c r="M8" s="16"/>
      <c r="N8" s="16"/>
      <c r="O8" s="16"/>
      <c r="P8" s="16"/>
      <c r="Q8" s="16"/>
      <c r="R8" s="16"/>
      <c r="S8" s="16"/>
      <c r="T8" s="16"/>
      <c r="U8" s="16"/>
      <c r="V8" s="16"/>
      <c r="W8" s="16"/>
      <c r="X8" s="16"/>
      <c r="Y8" s="16"/>
      <c r="Z8" s="16"/>
    </row>
    <row r="9">
      <c r="A9" s="16" t="str">
        <f>IFERROR(__xludf.DUMMYFUNCTION("""COMPUTED_VALUE"""),"Aquatic Boots of Atlantis")</f>
        <v>Aquatic Boots of Atlantis</v>
      </c>
      <c r="B9" s="16"/>
      <c r="C9" s="16"/>
      <c r="D9" s="16" t="str">
        <f>IFERROR(__xludf.DUMMYFUNCTION("""COMPUTED_VALUE"""),"Feet")</f>
        <v>Feet</v>
      </c>
      <c r="E9" s="16">
        <f>IFERROR(__xludf.DUMMYFUNCTION("""COMPUTED_VALUE"""),300.0)</f>
        <v>300</v>
      </c>
      <c r="F9" s="16" t="str">
        <f>IFERROR(__xludf.DUMMYFUNCTION("""COMPUTED_VALUE"""),"DEF: +7500, Water DEF: +7500 ++X6 additional water damage for self.")</f>
        <v>DEF: +7500, Water DEF: +7500 ++X6 additional water damage for self.</v>
      </c>
      <c r="G9" s="16">
        <f>IFERROR(__xludf.DUMMYFUNCTION("""COMPUTED_VALUE"""),4350000.0)</f>
        <v>4350000</v>
      </c>
      <c r="H9" s="16"/>
      <c r="I9" s="16"/>
      <c r="J9" s="16"/>
      <c r="K9" s="16"/>
      <c r="L9" s="16"/>
      <c r="M9" s="16"/>
      <c r="N9" s="16"/>
      <c r="O9" s="16"/>
      <c r="P9" s="16"/>
      <c r="Q9" s="16"/>
      <c r="R9" s="16"/>
      <c r="S9" s="16"/>
      <c r="T9" s="16"/>
      <c r="U9" s="16"/>
      <c r="V9" s="16"/>
      <c r="W9" s="16"/>
      <c r="X9" s="16"/>
      <c r="Y9" s="16"/>
      <c r="Z9" s="16"/>
    </row>
    <row r="10">
      <c r="A10" s="16" t="str">
        <f>IFERROR(__xludf.DUMMYFUNCTION("""COMPUTED_VALUE"""),"Aquatic Chestplate of Atlantis")</f>
        <v>Aquatic Chestplate of Atlantis</v>
      </c>
      <c r="B10" s="16"/>
      <c r="C10" s="16"/>
      <c r="D10" s="16" t="str">
        <f>IFERROR(__xludf.DUMMYFUNCTION("""COMPUTED_VALUE"""),"Torso")</f>
        <v>Torso</v>
      </c>
      <c r="E10" s="16">
        <f>IFERROR(__xludf.DUMMYFUNCTION("""COMPUTED_VALUE"""),600.0)</f>
        <v>600</v>
      </c>
      <c r="F10" s="16" t="str">
        <f>IFERROR(__xludf.DUMMYFUNCTION("""COMPUTED_VALUE"""),"DEF: +15000, Water DEF: +15000 ++X6 additional water damage for self.  ++X8 Defense for self and allies if you have all Aquatic Atlantis Equipment Equipped.")</f>
        <v>DEF: +15000, Water DEF: +15000 ++X6 additional water damage for self.  ++X8 Defense for self and allies if you have all Aquatic Atlantis Equipment Equipped.</v>
      </c>
      <c r="G10" s="16">
        <f>IFERROR(__xludf.DUMMYFUNCTION("""COMPUTED_VALUE"""),1.77E7)</f>
        <v>17700000</v>
      </c>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IFERROR(__xludf.DUMMYFUNCTION("""COMPUTED_VALUE"""),"Aquatic Greaves of Atlantis")</f>
        <v>Aquatic Greaves of Atlantis</v>
      </c>
      <c r="B11" s="16"/>
      <c r="C11" s="16"/>
      <c r="D11" s="16" t="str">
        <f>IFERROR(__xludf.DUMMYFUNCTION("""COMPUTED_VALUE"""),"Legs")</f>
        <v>Legs</v>
      </c>
      <c r="E11" s="16">
        <f>IFERROR(__xludf.DUMMYFUNCTION("""COMPUTED_VALUE"""),300.0)</f>
        <v>300</v>
      </c>
      <c r="F11" s="16" t="str">
        <f>IFERROR(__xludf.DUMMYFUNCTION("""COMPUTED_VALUE"""),"DEF: +7500, Water DEF: +7500 ++X6 additional water damage for self.")</f>
        <v>DEF: +7500, Water DEF: +7500 ++X6 additional water damage for self.</v>
      </c>
      <c r="G11" s="16">
        <f>IFERROR(__xludf.DUMMYFUNCTION("""COMPUTED_VALUE"""),4350000.0)</f>
        <v>4350000</v>
      </c>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IFERROR(__xludf.DUMMYFUNCTION("""COMPUTED_VALUE"""),"Aquatic Helmet of Atlantis")</f>
        <v>Aquatic Helmet of Atlantis</v>
      </c>
      <c r="B12" s="16"/>
      <c r="C12" s="16"/>
      <c r="D12" s="16" t="str">
        <f>IFERROR(__xludf.DUMMYFUNCTION("""COMPUTED_VALUE"""),"Head")</f>
        <v>Head</v>
      </c>
      <c r="E12" s="16">
        <f>IFERROR(__xludf.DUMMYFUNCTION("""COMPUTED_VALUE"""),300.0)</f>
        <v>300</v>
      </c>
      <c r="F12" s="16" t="str">
        <f>IFERROR(__xludf.DUMMYFUNCTION("""COMPUTED_VALUE"""),"DEF: +7500, Water DEF: +7500 ++X6 additional water damage for self.")</f>
        <v>DEF: +7500, Water DEF: +7500 ++X6 additional water damage for self.</v>
      </c>
      <c r="G12" s="16">
        <f>IFERROR(__xludf.DUMMYFUNCTION("""COMPUTED_VALUE"""),4350000.0)</f>
        <v>4350000</v>
      </c>
      <c r="H12" s="16"/>
      <c r="I12" s="16"/>
      <c r="J12" s="16"/>
      <c r="K12" s="16"/>
      <c r="L12" s="16"/>
      <c r="M12" s="16"/>
      <c r="N12" s="16"/>
      <c r="O12" s="16"/>
      <c r="P12" s="16"/>
      <c r="Q12" s="16"/>
      <c r="R12" s="16"/>
      <c r="S12" s="16"/>
      <c r="T12" s="16"/>
      <c r="U12" s="16"/>
      <c r="V12" s="16"/>
      <c r="W12" s="16"/>
      <c r="X12" s="16"/>
      <c r="Y12" s="16"/>
      <c r="Z12" s="16"/>
    </row>
    <row r="13">
      <c r="A13" s="16" t="str">
        <f>IFERROR(__xludf.DUMMYFUNCTION("""COMPUTED_VALUE"""),"Aquatic Pauldrons of Atlantis")</f>
        <v>Aquatic Pauldrons of Atlantis</v>
      </c>
      <c r="B13" s="16"/>
      <c r="C13" s="16"/>
      <c r="D13" s="16" t="str">
        <f>IFERROR(__xludf.DUMMYFUNCTION("""COMPUTED_VALUE"""),"Shoulders")</f>
        <v>Shoulders</v>
      </c>
      <c r="E13" s="16">
        <f>IFERROR(__xludf.DUMMYFUNCTION("""COMPUTED_VALUE"""),300.0)</f>
        <v>300</v>
      </c>
      <c r="F13" s="16" t="str">
        <f>IFERROR(__xludf.DUMMYFUNCTION("""COMPUTED_VALUE"""),"DEF: +7500, Water DEF: +7500 ++X6 additional water damage for self.")</f>
        <v>DEF: +7500, Water DEF: +7500 ++X6 additional water damage for self.</v>
      </c>
      <c r="G13" s="16">
        <f>IFERROR(__xludf.DUMMYFUNCTION("""COMPUTED_VALUE"""),4350000.0)</f>
        <v>4350000</v>
      </c>
      <c r="H13" s="16"/>
      <c r="I13" s="16"/>
      <c r="J13" s="16"/>
      <c r="K13" s="16"/>
      <c r="L13" s="16"/>
      <c r="M13" s="16"/>
      <c r="N13" s="16"/>
      <c r="O13" s="16"/>
      <c r="P13" s="16"/>
      <c r="Q13" s="16"/>
      <c r="R13" s="16"/>
      <c r="S13" s="16"/>
      <c r="T13" s="16"/>
      <c r="U13" s="16"/>
      <c r="V13" s="16"/>
      <c r="W13" s="16"/>
      <c r="X13" s="16"/>
      <c r="Y13" s="16"/>
      <c r="Z13" s="16"/>
    </row>
    <row r="14">
      <c r="A14" s="16" t="str">
        <f>IFERROR(__xludf.DUMMYFUNCTION("""COMPUTED_VALUE"""),"Aquatic Sword of Atlantis")</f>
        <v>Aquatic Sword of Atlantis</v>
      </c>
      <c r="B14" s="16"/>
      <c r="C14" s="16" t="str">
        <f>IFERROR(__xludf.DUMMYFUNCTION("""COMPUTED_VALUE"""),"Sword")</f>
        <v>Sword</v>
      </c>
      <c r="D14" s="16" t="str">
        <f>IFERROR(__xludf.DUMMYFUNCTION("""COMPUTED_VALUE"""),"Hand")</f>
        <v>Hand</v>
      </c>
      <c r="E14" s="16">
        <f>IFERROR(__xludf.DUMMYFUNCTION("""COMPUTED_VALUE"""),1200.0)</f>
        <v>1200</v>
      </c>
      <c r="F14" s="16" t="str">
        <f>IFERROR(__xludf.DUMMYFUNCTION("""COMPUTED_VALUE"""),"DMG: +30000, Water DMG: +30000 ++X6 additional water damage for self, ++Tides of Atlantis: Upon a successful hit this weapon has a 50% chance to cast Tsunami for no sp cost. Cannot be duplicated.")</f>
        <v>DMG: +30000, Water DMG: +30000 ++X6 additional water damage for self, ++Tides of Atlantis: Upon a successful hit this weapon has a 50% chance to cast Tsunami for no sp cost. Cannot be duplicated.</v>
      </c>
      <c r="G14" s="16">
        <f>IFERROR(__xludf.DUMMYFUNCTION("""COMPUTED_VALUE"""),7.14E7)</f>
        <v>71400000</v>
      </c>
      <c r="H14" s="16"/>
      <c r="I14" s="16"/>
      <c r="J14" s="16"/>
      <c r="K14" s="16"/>
      <c r="L14" s="16"/>
      <c r="M14" s="16"/>
      <c r="N14" s="16"/>
      <c r="O14" s="16"/>
      <c r="P14" s="16"/>
      <c r="Q14" s="16"/>
      <c r="R14" s="16"/>
      <c r="S14" s="16"/>
      <c r="T14" s="16"/>
      <c r="U14" s="16"/>
      <c r="V14" s="16"/>
      <c r="W14" s="16"/>
      <c r="X14" s="16"/>
      <c r="Y14" s="16"/>
      <c r="Z14" s="16"/>
    </row>
    <row r="15">
      <c r="A15" s="16" t="str">
        <f>IFERROR(__xludf.DUMMYFUNCTION("""COMPUTED_VALUE"""),"Aquatic Vambraces of Atlantis")</f>
        <v>Aquatic Vambraces of Atlantis</v>
      </c>
      <c r="B15" s="16"/>
      <c r="C15" s="16"/>
      <c r="D15" s="16" t="str">
        <f>IFERROR(__xludf.DUMMYFUNCTION("""COMPUTED_VALUE"""),"Arms")</f>
        <v>Arms</v>
      </c>
      <c r="E15" s="16">
        <f>IFERROR(__xludf.DUMMYFUNCTION("""COMPUTED_VALUE"""),300.0)</f>
        <v>300</v>
      </c>
      <c r="F15" s="16" t="str">
        <f>IFERROR(__xludf.DUMMYFUNCTION("""COMPUTED_VALUE"""),"DEF: +7500, Water DEF: +7500 X6 additional water damage for self.")</f>
        <v>DEF: +7500, Water DEF: +7500 X6 additional water damage for self.</v>
      </c>
      <c r="G15" s="16">
        <f>IFERROR(__xludf.DUMMYFUNCTION("""COMPUTED_VALUE"""),4350000.0)</f>
        <v>4350000</v>
      </c>
      <c r="H15" s="16"/>
      <c r="I15" s="16"/>
      <c r="J15" s="16"/>
      <c r="K15" s="16"/>
      <c r="L15" s="16"/>
      <c r="M15" s="16"/>
      <c r="N15" s="16"/>
      <c r="O15" s="16"/>
      <c r="P15" s="16"/>
      <c r="Q15" s="16"/>
      <c r="R15" s="16"/>
      <c r="S15" s="16"/>
      <c r="T15" s="16"/>
      <c r="U15" s="16"/>
      <c r="V15" s="16"/>
      <c r="W15" s="16"/>
      <c r="X15" s="16"/>
      <c r="Y15" s="16"/>
      <c r="Z15" s="16"/>
    </row>
    <row r="16">
      <c r="A16" s="16" t="str">
        <f>IFERROR(__xludf.DUMMYFUNCTION("""COMPUTED_VALUE"""),"Archer’s Cloaked Vest")</f>
        <v>Archer’s Cloaked Vest</v>
      </c>
      <c r="B16" s="16"/>
      <c r="C16" s="16"/>
      <c r="D16" s="16" t="str">
        <f>IFERROR(__xludf.DUMMYFUNCTION("""COMPUTED_VALUE"""),"Torso")</f>
        <v>Torso</v>
      </c>
      <c r="E16" s="16">
        <f>IFERROR(__xludf.DUMMYFUNCTION("""COMPUTED_VALUE"""),20.0)</f>
        <v>20</v>
      </c>
      <c r="F16" s="16" t="str">
        <f>IFERROR(__xludf.DUMMYFUNCTION("""COMPUTED_VALUE"""),"DEF: +800 (Ranger Set) ++Half the Arrow - Range Spells cost half the sp cost, ++Ranger Enrage - All Ranged Spells do double in damage ++only archers can equip")</f>
        <v>DEF: +800 (Ranger Set) ++Half the Arrow - Range Spells cost half the sp cost, ++Ranger Enrage - All Ranged Spells do double in damage ++only archers can equip</v>
      </c>
      <c r="G16" s="16">
        <f>IFERROR(__xludf.DUMMYFUNCTION("""COMPUTED_VALUE"""),1000.0)</f>
        <v>1000</v>
      </c>
      <c r="H16" s="16"/>
      <c r="I16" s="16"/>
      <c r="J16" s="16"/>
      <c r="K16" s="16"/>
      <c r="L16" s="16"/>
      <c r="M16" s="16"/>
      <c r="N16" s="16"/>
      <c r="O16" s="16"/>
      <c r="P16" s="16"/>
      <c r="Q16" s="16"/>
      <c r="R16" s="16"/>
      <c r="S16" s="16"/>
      <c r="T16" s="16"/>
      <c r="U16" s="16"/>
      <c r="V16" s="16"/>
      <c r="W16" s="16"/>
      <c r="X16" s="16"/>
      <c r="Y16" s="16"/>
      <c r="Z16" s="16"/>
    </row>
    <row r="17">
      <c r="A17" s="16" t="str">
        <f>IFERROR(__xludf.DUMMYFUNCTION("""COMPUTED_VALUE"""),"Archers Boots")</f>
        <v>Archers Boots</v>
      </c>
      <c r="B17" s="16"/>
      <c r="C17" s="16"/>
      <c r="D17" s="16" t="str">
        <f>IFERROR(__xludf.DUMMYFUNCTION("""COMPUTED_VALUE"""),"Feet")</f>
        <v>Feet</v>
      </c>
      <c r="E17" s="16">
        <f>IFERROR(__xludf.DUMMYFUNCTION("""COMPUTED_VALUE"""),1.0)</f>
        <v>1</v>
      </c>
      <c r="F17" s="16" t="str">
        <f>IFERROR(__xludf.DUMMYFUNCTION("""COMPUTED_VALUE""")," (Ranger Set) ++5 evasion ++Only archers can equip, +-Cannot be duplicated or forged.")</f>
        <v> (Ranger Set) ++5 evasion ++Only archers can equip, +-Cannot be duplicated or forged.</v>
      </c>
      <c r="G17" s="16">
        <f>IFERROR(__xludf.DUMMYFUNCTION("""COMPUTED_VALUE"""),0.0)</f>
        <v>0</v>
      </c>
      <c r="H17" s="16"/>
      <c r="I17" s="16"/>
      <c r="J17" s="16"/>
      <c r="K17" s="16"/>
      <c r="L17" s="16"/>
      <c r="M17" s="16"/>
      <c r="N17" s="16"/>
      <c r="O17" s="16"/>
      <c r="P17" s="16"/>
      <c r="Q17" s="16"/>
      <c r="R17" s="16"/>
      <c r="S17" s="16"/>
      <c r="T17" s="16"/>
      <c r="U17" s="16"/>
      <c r="V17" s="16"/>
      <c r="W17" s="16"/>
      <c r="X17" s="16"/>
      <c r="Y17" s="16"/>
      <c r="Z17" s="16"/>
    </row>
    <row r="18">
      <c r="A18" s="16" t="str">
        <f>IFERROR(__xludf.DUMMYFUNCTION("""COMPUTED_VALUE"""),"Archers Cloak")</f>
        <v>Archers Cloak</v>
      </c>
      <c r="B18" s="16"/>
      <c r="C18" s="16"/>
      <c r="D18" s="16" t="str">
        <f>IFERROR(__xludf.DUMMYFUNCTION("""COMPUTED_VALUE"""),"Torso")</f>
        <v>Torso</v>
      </c>
      <c r="E18" s="16">
        <f>IFERROR(__xludf.DUMMYFUNCTION("""COMPUTED_VALUE"""),1.0)</f>
        <v>1</v>
      </c>
      <c r="F18" s="16" t="str">
        <f>IFERROR(__xludf.DUMMYFUNCTION("""COMPUTED_VALUE""")," (Ranger Set) ++Ranged Spells cost half the sp cost ++Only archers can equip")</f>
        <v> (Ranger Set) ++Ranged Spells cost half the sp cost ++Only archers can equip</v>
      </c>
      <c r="G18" s="16">
        <f>IFERROR(__xludf.DUMMYFUNCTION("""COMPUTED_VALUE"""),0.0)</f>
        <v>0</v>
      </c>
      <c r="H18" s="16"/>
      <c r="I18" s="16"/>
      <c r="J18" s="16"/>
      <c r="K18" s="16"/>
      <c r="L18" s="16"/>
      <c r="M18" s="16"/>
      <c r="N18" s="16"/>
      <c r="O18" s="16"/>
      <c r="P18" s="16"/>
      <c r="Q18" s="16"/>
      <c r="R18" s="16"/>
      <c r="S18" s="16"/>
      <c r="T18" s="16"/>
      <c r="U18" s="16"/>
      <c r="V18" s="16"/>
      <c r="W18" s="16"/>
      <c r="X18" s="16"/>
      <c r="Y18" s="16"/>
      <c r="Z18" s="16"/>
    </row>
    <row r="19">
      <c r="A19" s="16" t="str">
        <f>IFERROR(__xludf.DUMMYFUNCTION("""COMPUTED_VALUE"""),"Armor Of Cthulhu")</f>
        <v>Armor Of Cthulhu</v>
      </c>
      <c r="B19" s="16"/>
      <c r="C19" s="16"/>
      <c r="D19" s="16" t="str">
        <f>IFERROR(__xludf.DUMMYFUNCTION("""COMPUTED_VALUE"""),"Torso")</f>
        <v>Torso</v>
      </c>
      <c r="E19" s="16">
        <f>IFERROR(__xludf.DUMMYFUNCTION("""COMPUTED_VALUE"""),400.0)</f>
        <v>400</v>
      </c>
      <c r="F19" s="16" t="str">
        <f>IFERROR(__xludf.DUMMYFUNCTION("""COMPUTED_VALUE"""),"DEF: +20000 (Cthulhu Set) ++Curse of Cthulhu - When the wearer takes damage the wearer will gain half the damage back as HP and SP.")</f>
        <v>DEF: +20000 (Cthulhu Set) ++Curse of Cthulhu - When the wearer takes damage the wearer will gain half the damage back as HP and SP.</v>
      </c>
      <c r="G19" s="16">
        <f>IFERROR(__xludf.DUMMYFUNCTION("""COMPUTED_VALUE"""),7800000.0)</f>
        <v>7800000</v>
      </c>
      <c r="H19" s="16"/>
      <c r="I19" s="16"/>
      <c r="J19" s="16"/>
      <c r="K19" s="16"/>
      <c r="L19" s="16"/>
      <c r="M19" s="16"/>
      <c r="N19" s="16"/>
      <c r="O19" s="16"/>
      <c r="P19" s="16"/>
      <c r="Q19" s="16"/>
      <c r="R19" s="16"/>
      <c r="S19" s="16"/>
      <c r="T19" s="16"/>
      <c r="U19" s="16"/>
      <c r="V19" s="16"/>
      <c r="W19" s="16"/>
      <c r="X19" s="16"/>
      <c r="Y19" s="16"/>
      <c r="Z19" s="16"/>
    </row>
    <row r="20">
      <c r="A20" s="16" t="str">
        <f>IFERROR(__xludf.DUMMYFUNCTION("""COMPUTED_VALUE"""),"Armor Of Zeldron")</f>
        <v>Armor Of Zeldron</v>
      </c>
      <c r="B20" s="16" t="str">
        <f>IFERROR(__xludf.DUMMYFUNCTION("""COMPUTED_VALUE"""),"Made of gold")</f>
        <v>Made of gold</v>
      </c>
      <c r="C20" s="16"/>
      <c r="D20" s="16" t="str">
        <f>IFERROR(__xludf.DUMMYFUNCTION("""COMPUTED_VALUE"""),"Torso")</f>
        <v>Torso</v>
      </c>
      <c r="E20" s="16">
        <f>IFERROR(__xludf.DUMMYFUNCTION("""COMPUTED_VALUE"""),400.0)</f>
        <v>400</v>
      </c>
      <c r="F20" s="16" t="str">
        <f>IFERROR(__xludf.DUMMYFUNCTION("""COMPUTED_VALUE"""),"DEF: +10000, Order DEF: +10000")</f>
        <v>DEF: +10000, Order DEF: +10000</v>
      </c>
      <c r="G20" s="16">
        <f>IFERROR(__xludf.DUMMYFUNCTION("""COMPUTED_VALUE"""),7800000.0)</f>
        <v>7800000</v>
      </c>
      <c r="H20" s="16"/>
      <c r="I20" s="16"/>
      <c r="J20" s="16"/>
      <c r="K20" s="16"/>
      <c r="L20" s="16"/>
      <c r="M20" s="16"/>
      <c r="N20" s="16"/>
      <c r="O20" s="16"/>
      <c r="P20" s="16"/>
      <c r="Q20" s="16"/>
      <c r="R20" s="16"/>
      <c r="S20" s="16"/>
      <c r="T20" s="16"/>
      <c r="U20" s="16"/>
      <c r="V20" s="16"/>
      <c r="W20" s="16"/>
      <c r="X20" s="16"/>
      <c r="Y20" s="16"/>
      <c r="Z20" s="16"/>
    </row>
    <row r="21">
      <c r="A21" s="16" t="str">
        <f>IFERROR(__xludf.DUMMYFUNCTION("""COMPUTED_VALUE"""),"Ashen Pole Axe")</f>
        <v>Ashen Pole Axe</v>
      </c>
      <c r="B21" s="16"/>
      <c r="C21" s="16" t="str">
        <f>IFERROR(__xludf.DUMMYFUNCTION("""COMPUTED_VALUE"""),"Axe")</f>
        <v>Axe</v>
      </c>
      <c r="D21" s="16" t="str">
        <f>IFERROR(__xludf.DUMMYFUNCTION("""COMPUTED_VALUE"""),"Hand")</f>
        <v>Hand</v>
      </c>
      <c r="E21" s="16">
        <f>IFERROR(__xludf.DUMMYFUNCTION("""COMPUTED_VALUE"""),20.0)</f>
        <v>20</v>
      </c>
      <c r="F21" s="16" t="str">
        <f>IFERROR(__xludf.DUMMYFUNCTION("""COMPUTED_VALUE"""),"DMG: +500, Fire DMG: +500 ++Inflicts Burn 500")</f>
        <v>DMG: +500, Fire DMG: +500 ++Inflicts Burn 500</v>
      </c>
      <c r="G21" s="16">
        <f>IFERROR(__xludf.DUMMYFUNCTION("""COMPUTED_VALUE"""),10000.0)</f>
        <v>10000</v>
      </c>
      <c r="H21" s="16"/>
      <c r="I21" s="16"/>
      <c r="J21" s="16"/>
      <c r="K21" s="16"/>
      <c r="L21" s="16"/>
      <c r="M21" s="16"/>
      <c r="N21" s="16"/>
      <c r="O21" s="16"/>
      <c r="P21" s="16"/>
      <c r="Q21" s="16"/>
      <c r="R21" s="16"/>
      <c r="S21" s="16"/>
      <c r="T21" s="16"/>
      <c r="U21" s="16"/>
      <c r="V21" s="16"/>
      <c r="W21" s="16"/>
      <c r="X21" s="16"/>
      <c r="Y21" s="16"/>
      <c r="Z21" s="16"/>
    </row>
    <row r="22">
      <c r="A22" s="16" t="str">
        <f>IFERROR(__xludf.DUMMYFUNCTION("""COMPUTED_VALUE"""),"Bamboo Spear")</f>
        <v>Bamboo Spear</v>
      </c>
      <c r="B22" s="16"/>
      <c r="C22" s="16" t="str">
        <f>IFERROR(__xludf.DUMMYFUNCTION("""COMPUTED_VALUE"""),"Spear")</f>
        <v>Spear</v>
      </c>
      <c r="D22" s="16" t="str">
        <f>IFERROR(__xludf.DUMMYFUNCTION("""COMPUTED_VALUE"""),"Hand")</f>
        <v>Hand</v>
      </c>
      <c r="E22" s="16">
        <f>IFERROR(__xludf.DUMMYFUNCTION("""COMPUTED_VALUE"""),60.0)</f>
        <v>60</v>
      </c>
      <c r="F22" s="16" t="str">
        <f>IFERROR(__xludf.DUMMYFUNCTION("""COMPUTED_VALUE"""),"DMG: +1000, Nature DMG: +1000, Blood DMG: +1000 ++When striking an enemy with this weapon, they X2 additional Nature damage.")</f>
        <v>DMG: +1000, Nature DMG: +1000, Blood DMG: +1000 ++When striking an enemy with this weapon, they X2 additional Nature damage.</v>
      </c>
      <c r="G22" s="16">
        <f>IFERROR(__xludf.DUMMYFUNCTION("""COMPUTED_VALUE"""),150000.0)</f>
        <v>150000</v>
      </c>
      <c r="H22" s="16"/>
      <c r="I22" s="16"/>
      <c r="J22" s="16"/>
      <c r="K22" s="16"/>
      <c r="L22" s="16"/>
      <c r="M22" s="16"/>
      <c r="N22" s="16"/>
      <c r="O22" s="16"/>
      <c r="P22" s="16"/>
      <c r="Q22" s="16"/>
      <c r="R22" s="16"/>
      <c r="S22" s="16"/>
      <c r="T22" s="16"/>
      <c r="U22" s="16"/>
      <c r="V22" s="16"/>
      <c r="W22" s="16"/>
      <c r="X22" s="16"/>
      <c r="Y22" s="16"/>
      <c r="Z22" s="16"/>
    </row>
    <row r="23">
      <c r="A23" s="16" t="str">
        <f>IFERROR(__xludf.DUMMYFUNCTION("""COMPUTED_VALUE"""),"Baosheng’s Restore Pendant")</f>
        <v>Baosheng’s Restore Pendant</v>
      </c>
      <c r="B23" s="16"/>
      <c r="C23" s="16"/>
      <c r="D23" s="16" t="str">
        <f>IFERROR(__xludf.DUMMYFUNCTION("""COMPUTED_VALUE"""),"Neck")</f>
        <v>Neck</v>
      </c>
      <c r="E23" s="16">
        <f>IFERROR(__xludf.DUMMYFUNCTION("""COMPUTED_VALUE"""),1.0)</f>
        <v>1</v>
      </c>
      <c r="F23" s="16" t="str">
        <f>IFERROR(__xludf.DUMMYFUNCTION("""COMPUTED_VALUE""")," ++Restores 100 HP and SP per round during battle.")</f>
        <v> ++Restores 100 HP and SP per round during battle.</v>
      </c>
      <c r="G23" s="16">
        <f>IFERROR(__xludf.DUMMYFUNCTION("""COMPUTED_VALUE"""),0.0)</f>
        <v>0</v>
      </c>
      <c r="H23" s="16"/>
      <c r="I23" s="16"/>
      <c r="J23" s="16"/>
      <c r="K23" s="16"/>
      <c r="L23" s="16"/>
      <c r="M23" s="16"/>
      <c r="N23" s="16"/>
      <c r="O23" s="16"/>
      <c r="P23" s="16"/>
      <c r="Q23" s="16"/>
      <c r="R23" s="16"/>
      <c r="S23" s="16"/>
      <c r="T23" s="16"/>
      <c r="U23" s="16"/>
      <c r="V23" s="16"/>
      <c r="W23" s="16"/>
      <c r="X23" s="16"/>
      <c r="Y23" s="16"/>
      <c r="Z23" s="16"/>
    </row>
    <row r="24">
      <c r="A24" s="16" t="str">
        <f>IFERROR(__xludf.DUMMYFUNCTION("""COMPUTED_VALUE"""),"Basic Cannon")</f>
        <v>Basic Cannon</v>
      </c>
      <c r="B24" s="16"/>
      <c r="C24" s="16" t="str">
        <f>IFERROR(__xludf.DUMMYFUNCTION("""COMPUTED_VALUE"""),"Firearm")</f>
        <v>Firearm</v>
      </c>
      <c r="D24" s="16" t="str">
        <f>IFERROR(__xludf.DUMMYFUNCTION("""COMPUTED_VALUE"""),"BoatGun")</f>
        <v>BoatGun</v>
      </c>
      <c r="E24" s="16">
        <f>IFERROR(__xludf.DUMMYFUNCTION("""COMPUTED_VALUE"""),400.0)</f>
        <v>400</v>
      </c>
      <c r="F24" s="16" t="str">
        <f>IFERROR(__xludf.DUMMYFUNCTION("""COMPUTED_VALUE"""),"DMG: +20000")</f>
        <v>DMG: +20000</v>
      </c>
      <c r="G24" s="16">
        <f>IFERROR(__xludf.DUMMYFUNCTION("""COMPUTED_VALUE"""),7800000.0)</f>
        <v>7800000</v>
      </c>
      <c r="H24" s="16"/>
      <c r="I24" s="16"/>
      <c r="J24" s="16"/>
      <c r="K24" s="16"/>
      <c r="L24" s="16"/>
      <c r="M24" s="16"/>
      <c r="N24" s="16"/>
      <c r="O24" s="16"/>
      <c r="P24" s="16"/>
      <c r="Q24" s="16"/>
      <c r="R24" s="16"/>
      <c r="S24" s="16"/>
      <c r="T24" s="16"/>
      <c r="U24" s="16"/>
      <c r="V24" s="16"/>
      <c r="W24" s="16"/>
      <c r="X24" s="16"/>
      <c r="Y24" s="16"/>
      <c r="Z24" s="16"/>
    </row>
    <row r="25">
      <c r="A25" s="16" t="str">
        <f>IFERROR(__xludf.DUMMYFUNCTION("""COMPUTED_VALUE"""),"Beltane Floral crown")</f>
        <v>Beltane Floral crown</v>
      </c>
      <c r="B25" s="16"/>
      <c r="C25" s="16"/>
      <c r="D25" s="16" t="str">
        <f>IFERROR(__xludf.DUMMYFUNCTION("""COMPUTED_VALUE"""),"Head")</f>
        <v>Head</v>
      </c>
      <c r="E25" s="16">
        <f>IFERROR(__xludf.DUMMYFUNCTION("""COMPUTED_VALUE"""),1.0)</f>
        <v>1</v>
      </c>
      <c r="F25" s="16" t="str">
        <f>IFERROR(__xludf.DUMMYFUNCTION("""COMPUTED_VALUE""")," ++Grants immunity to Nature.")</f>
        <v> ++Grants immunity to Nature.</v>
      </c>
      <c r="G25" s="16">
        <f>IFERROR(__xludf.DUMMYFUNCTION("""COMPUTED_VALUE"""),0.0)</f>
        <v>0</v>
      </c>
      <c r="H25" s="16"/>
      <c r="I25" s="16"/>
      <c r="J25" s="16"/>
      <c r="K25" s="16"/>
      <c r="L25" s="16"/>
      <c r="M25" s="16"/>
      <c r="N25" s="16"/>
      <c r="O25" s="16"/>
      <c r="P25" s="16"/>
      <c r="Q25" s="16"/>
      <c r="R25" s="16"/>
      <c r="S25" s="16"/>
      <c r="T25" s="16"/>
      <c r="U25" s="16"/>
      <c r="V25" s="16"/>
      <c r="W25" s="16"/>
      <c r="X25" s="16"/>
      <c r="Y25" s="16"/>
      <c r="Z25" s="16"/>
    </row>
    <row r="26">
      <c r="A26" s="16" t="str">
        <f>IFERROR(__xludf.DUMMYFUNCTION("""COMPUTED_VALUE"""),"Beta Sword")</f>
        <v>Beta Sword</v>
      </c>
      <c r="B26" s="16"/>
      <c r="C26" s="16"/>
      <c r="D26" s="16" t="str">
        <f>IFERROR(__xludf.DUMMYFUNCTION("""COMPUTED_VALUE"""),"Hand")</f>
        <v>Hand</v>
      </c>
      <c r="E26" s="16">
        <f>IFERROR(__xludf.DUMMYFUNCTION("""COMPUTED_VALUE"""),3000.0)</f>
        <v>3000</v>
      </c>
      <c r="F26" s="16" t="str">
        <f>IFERROR(__xludf.DUMMYFUNCTION("""COMPUTED_VALUE"""),"DMG: +125000, Dark DMG: +25000 ++Allows you to use another party members companion on your turn as a second action.")</f>
        <v>DMG: +125000, Dark DMG: +25000 ++Allows you to use another party members companion on your turn as a second action.</v>
      </c>
      <c r="G26" s="16">
        <f>IFERROR(__xludf.DUMMYFUNCTION("""COMPUTED_VALUE"""),4.485E8)</f>
        <v>448500000</v>
      </c>
      <c r="H26" s="16"/>
      <c r="I26" s="16"/>
      <c r="J26" s="16"/>
      <c r="K26" s="16"/>
      <c r="L26" s="16"/>
      <c r="M26" s="16"/>
      <c r="N26" s="16"/>
      <c r="O26" s="16"/>
      <c r="P26" s="16"/>
      <c r="Q26" s="16"/>
      <c r="R26" s="16"/>
      <c r="S26" s="16"/>
      <c r="T26" s="16"/>
      <c r="U26" s="16"/>
      <c r="V26" s="16"/>
      <c r="W26" s="16"/>
      <c r="X26" s="16"/>
      <c r="Y26" s="16"/>
      <c r="Z26" s="16"/>
    </row>
    <row r="27">
      <c r="A27" s="16" t="str">
        <f>IFERROR(__xludf.DUMMYFUNCTION("""COMPUTED_VALUE"""),"Black Crystal Necklace of Luck")</f>
        <v>Black Crystal Necklace of Luck</v>
      </c>
      <c r="B27" s="16"/>
      <c r="C27" s="16"/>
      <c r="D27" s="16" t="str">
        <f>IFERROR(__xludf.DUMMYFUNCTION("""COMPUTED_VALUE"""),"Neck")</f>
        <v>Neck</v>
      </c>
      <c r="E27" s="16">
        <f>IFERROR(__xludf.DUMMYFUNCTION("""COMPUTED_VALUE"""),1.0)</f>
        <v>1</v>
      </c>
      <c r="F27" s="16" t="str">
        <f>IFERROR(__xludf.DUMMYFUNCTION("""COMPUTED_VALUE""")," ++Plus 2 is added to whatever number you roll on a d20 ++can only wear one, +-Cannot be forged or duplicated.")</f>
        <v> ++Plus 2 is added to whatever number you roll on a d20 ++can only wear one, +-Cannot be forged or duplicated.</v>
      </c>
      <c r="G27" s="16">
        <f>IFERROR(__xludf.DUMMYFUNCTION("""COMPUTED_VALUE"""),0.0)</f>
        <v>0</v>
      </c>
      <c r="H27" s="16"/>
      <c r="I27" s="16"/>
      <c r="J27" s="16"/>
      <c r="K27" s="16"/>
      <c r="L27" s="16"/>
      <c r="M27" s="16"/>
      <c r="N27" s="16"/>
      <c r="O27" s="16"/>
      <c r="P27" s="16"/>
      <c r="Q27" s="16"/>
      <c r="R27" s="16"/>
      <c r="S27" s="16"/>
      <c r="T27" s="16"/>
      <c r="U27" s="16"/>
      <c r="V27" s="16"/>
      <c r="W27" s="16"/>
      <c r="X27" s="16"/>
      <c r="Y27" s="16"/>
      <c r="Z27" s="16"/>
    </row>
    <row r="28">
      <c r="A28" s="16" t="str">
        <f>IFERROR(__xludf.DUMMYFUNCTION("""COMPUTED_VALUE"""),"Black Serpent Dragon Pendant")</f>
        <v>Black Serpent Dragon Pendant</v>
      </c>
      <c r="B28" s="16"/>
      <c r="C28" s="16"/>
      <c r="D28" s="16" t="str">
        <f>IFERROR(__xludf.DUMMYFUNCTION("""COMPUTED_VALUE"""),"Neck")</f>
        <v>Neck</v>
      </c>
      <c r="E28" s="16">
        <f>IFERROR(__xludf.DUMMYFUNCTION("""COMPUTED_VALUE"""),1.0)</f>
        <v>1</v>
      </c>
      <c r="F28" s="16" t="str">
        <f>IFERROR(__xludf.DUMMYFUNCTION("""COMPUTED_VALUE""")," ++Immunity to dark and water damage. ++X2 additional dark and water damage for the wearer.")</f>
        <v> ++Immunity to dark and water damage. ++X2 additional dark and water damage for the wearer.</v>
      </c>
      <c r="G28" s="16">
        <f>IFERROR(__xludf.DUMMYFUNCTION("""COMPUTED_VALUE"""),0.0)</f>
        <v>0</v>
      </c>
      <c r="H28" s="16"/>
      <c r="I28" s="16"/>
      <c r="J28" s="16"/>
      <c r="K28" s="16"/>
      <c r="L28" s="16"/>
      <c r="M28" s="16"/>
      <c r="N28" s="16"/>
      <c r="O28" s="16"/>
      <c r="P28" s="16"/>
      <c r="Q28" s="16"/>
      <c r="R28" s="16"/>
      <c r="S28" s="16"/>
      <c r="T28" s="16"/>
      <c r="U28" s="16"/>
      <c r="V28" s="16"/>
      <c r="W28" s="16"/>
      <c r="X28" s="16"/>
      <c r="Y28" s="16"/>
      <c r="Z28" s="16"/>
    </row>
    <row r="29">
      <c r="A29" s="16" t="str">
        <f>IFERROR(__xludf.DUMMYFUNCTION("""COMPUTED_VALUE"""),"Blade of Burning Energy")</f>
        <v>Blade of Burning Energy</v>
      </c>
      <c r="B29" s="16"/>
      <c r="C29" s="16" t="str">
        <f>IFERROR(__xludf.DUMMYFUNCTION("""COMPUTED_VALUE"""),"Sword")</f>
        <v>Sword</v>
      </c>
      <c r="D29" s="16" t="str">
        <f>IFERROR(__xludf.DUMMYFUNCTION("""COMPUTED_VALUE"""),"Hand")</f>
        <v>Hand</v>
      </c>
      <c r="E29" s="16">
        <f>IFERROR(__xludf.DUMMYFUNCTION("""COMPUTED_VALUE"""),400.0)</f>
        <v>400</v>
      </c>
      <c r="F29" s="16" t="str">
        <f>IFERROR(__xludf.DUMMYFUNCTION("""COMPUTED_VALUE"""),"DMG: +10000, Fire DMG: +10000 ++Burn 5000")</f>
        <v>DMG: +10000, Fire DMG: +10000 ++Burn 5000</v>
      </c>
      <c r="G29" s="16">
        <f>IFERROR(__xludf.DUMMYFUNCTION("""COMPUTED_VALUE"""),7800000.0)</f>
        <v>7800000</v>
      </c>
      <c r="H29" s="16"/>
      <c r="I29" s="16"/>
      <c r="J29" s="16"/>
      <c r="K29" s="16"/>
      <c r="L29" s="16"/>
      <c r="M29" s="16"/>
      <c r="N29" s="16"/>
      <c r="O29" s="16"/>
      <c r="P29" s="16"/>
      <c r="Q29" s="16"/>
      <c r="R29" s="16"/>
      <c r="S29" s="16"/>
      <c r="T29" s="16"/>
      <c r="U29" s="16"/>
      <c r="V29" s="16"/>
      <c r="W29" s="16"/>
      <c r="X29" s="16"/>
      <c r="Y29" s="16"/>
      <c r="Z29" s="16"/>
    </row>
    <row r="30">
      <c r="A30" s="16" t="str">
        <f>IFERROR(__xludf.DUMMYFUNCTION("""COMPUTED_VALUE"""),"Blood Katana")</f>
        <v>Blood Katana</v>
      </c>
      <c r="B30" s="16"/>
      <c r="C30" s="16" t="str">
        <f>IFERROR(__xludf.DUMMYFUNCTION("""COMPUTED_VALUE"""),"Sword")</f>
        <v>Sword</v>
      </c>
      <c r="D30" s="16" t="str">
        <f>IFERROR(__xludf.DUMMYFUNCTION("""COMPUTED_VALUE"""),"Hand")</f>
        <v>Hand</v>
      </c>
      <c r="E30" s="16">
        <f>IFERROR(__xludf.DUMMYFUNCTION("""COMPUTED_VALUE"""),400.0)</f>
        <v>400</v>
      </c>
      <c r="F30" s="16" t="str">
        <f>IFERROR(__xludf.DUMMYFUNCTION("""COMPUTED_VALUE"""),"DMG: +10000, Blood DMG: +10000 ++X2 blood damage for spells and weapons. +-Cannot be duplicated.")</f>
        <v>DMG: +10000, Blood DMG: +10000 ++X2 blood damage for spells and weapons. +-Cannot be duplicated.</v>
      </c>
      <c r="G30" s="16">
        <f>IFERROR(__xludf.DUMMYFUNCTION("""COMPUTED_VALUE"""),7800000.0)</f>
        <v>7800000</v>
      </c>
      <c r="H30" s="16"/>
      <c r="I30" s="16"/>
      <c r="J30" s="16"/>
      <c r="K30" s="16"/>
      <c r="L30" s="16"/>
      <c r="M30" s="16"/>
      <c r="N30" s="16"/>
      <c r="O30" s="16"/>
      <c r="P30" s="16"/>
      <c r="Q30" s="16"/>
      <c r="R30" s="16"/>
      <c r="S30" s="16"/>
      <c r="T30" s="16"/>
      <c r="U30" s="16"/>
      <c r="V30" s="16"/>
      <c r="W30" s="16"/>
      <c r="X30" s="16"/>
      <c r="Y30" s="16"/>
      <c r="Z30" s="16"/>
    </row>
    <row r="31">
      <c r="A31" s="16" t="str">
        <f>IFERROR(__xludf.DUMMYFUNCTION("""COMPUTED_VALUE"""),"Blue Steel Sword")</f>
        <v>Blue Steel Sword</v>
      </c>
      <c r="B31" s="16"/>
      <c r="C31" s="16" t="str">
        <f>IFERROR(__xludf.DUMMYFUNCTION("""COMPUTED_VALUE"""),"Sword")</f>
        <v>Sword</v>
      </c>
      <c r="D31" s="16" t="str">
        <f>IFERROR(__xludf.DUMMYFUNCTION("""COMPUTED_VALUE"""),"Hand")</f>
        <v>Hand</v>
      </c>
      <c r="E31" s="16">
        <f>IFERROR(__xludf.DUMMYFUNCTION("""COMPUTED_VALUE"""),40.0)</f>
        <v>40</v>
      </c>
      <c r="F31" s="16" t="str">
        <f>IFERROR(__xludf.DUMMYFUNCTION("""COMPUTED_VALUE"""),"DMG: +1000, Water DMG: +1000")</f>
        <v>DMG: +1000, Water DMG: +1000</v>
      </c>
      <c r="G31" s="16">
        <f>IFERROR(__xludf.DUMMYFUNCTION("""COMPUTED_VALUE"""),60000.0)</f>
        <v>60000</v>
      </c>
      <c r="H31" s="16"/>
      <c r="I31" s="16"/>
      <c r="J31" s="16"/>
      <c r="K31" s="16"/>
      <c r="L31" s="16"/>
      <c r="M31" s="16"/>
      <c r="N31" s="16"/>
      <c r="O31" s="16"/>
      <c r="P31" s="16"/>
      <c r="Q31" s="16"/>
      <c r="R31" s="16"/>
      <c r="S31" s="16"/>
      <c r="T31" s="16"/>
      <c r="U31" s="16"/>
      <c r="V31" s="16"/>
      <c r="W31" s="16"/>
      <c r="X31" s="16"/>
      <c r="Y31" s="16"/>
      <c r="Z31" s="16"/>
    </row>
    <row r="32">
      <c r="A32" s="16" t="str">
        <f>IFERROR(__xludf.DUMMYFUNCTION("""COMPUTED_VALUE"""),"Blunderbuss (Exclusive)")</f>
        <v>Blunderbuss (Exclusive)</v>
      </c>
      <c r="B32" s="16" t="str">
        <f>IFERROR(__xludf.DUMMYFUNCTION("""COMPUTED_VALUE"""),"The feast enjoyed on the first Thanksgiving didn’t hunt itself! The Pilgrims had to forage and hunt before setting the table. You can count on the Blunderbuss to help you when times are rough.")</f>
        <v>The feast enjoyed on the first Thanksgiving didn’t hunt itself! The Pilgrims had to forage and hunt before setting the table. You can count on the Blunderbuss to help you when times are rough.</v>
      </c>
      <c r="C32" s="16" t="str">
        <f>IFERROR(__xludf.DUMMYFUNCTION("""COMPUTED_VALUE"""),"Firearm")</f>
        <v>Firearm</v>
      </c>
      <c r="D32" s="16" t="str">
        <f>IFERROR(__xludf.DUMMYFUNCTION("""COMPUTED_VALUE"""),"Hand")</f>
        <v>Hand</v>
      </c>
      <c r="E32" s="16">
        <f>IFERROR(__xludf.DUMMYFUNCTION("""COMPUTED_VALUE"""),200.0)</f>
        <v>200</v>
      </c>
      <c r="F32" s="16" t="str">
        <f>IFERROR(__xludf.DUMMYFUNCTION("""COMPUTED_VALUE"""),": +50000, Celestial : +50000 ++This weapon will deal x4 damage if you are using the turkey hydra companion. +-You must take a turn to reload this weapon after using it.")</f>
        <v>: +50000, Celestial : +50000 ++This weapon will deal x4 damage if you are using the turkey hydra companion. +-You must take a turn to reload this weapon after using it.</v>
      </c>
      <c r="G32" s="16">
        <f>IFERROR(__xludf.DUMMYFUNCTION("""COMPUTED_VALUE"""),1.99E8)</f>
        <v>199000000</v>
      </c>
      <c r="H32" s="16"/>
      <c r="I32" s="16"/>
      <c r="J32" s="16"/>
      <c r="K32" s="16"/>
      <c r="L32" s="16"/>
      <c r="M32" s="16"/>
      <c r="N32" s="16"/>
      <c r="O32" s="16"/>
      <c r="P32" s="16"/>
      <c r="Q32" s="16"/>
      <c r="R32" s="16"/>
      <c r="S32" s="16"/>
      <c r="T32" s="16"/>
      <c r="U32" s="16"/>
      <c r="V32" s="16"/>
      <c r="W32" s="16"/>
      <c r="X32" s="16"/>
      <c r="Y32" s="16"/>
      <c r="Z32" s="16"/>
    </row>
    <row r="33">
      <c r="A33" s="16" t="str">
        <f>IFERROR(__xludf.DUMMYFUNCTION("""COMPUTED_VALUE"""),"Bone Sword ")</f>
        <v>Bone Sword </v>
      </c>
      <c r="B33" s="16"/>
      <c r="C33" s="16" t="str">
        <f>IFERROR(__xludf.DUMMYFUNCTION("""COMPUTED_VALUE"""),"Sword")</f>
        <v>Sword</v>
      </c>
      <c r="D33" s="16" t="str">
        <f>IFERROR(__xludf.DUMMYFUNCTION("""COMPUTED_VALUE"""),"Hand")</f>
        <v>Hand</v>
      </c>
      <c r="E33" s="16">
        <f>IFERROR(__xludf.DUMMYFUNCTION("""COMPUTED_VALUE"""),300.0)</f>
        <v>300</v>
      </c>
      <c r="F33" s="16" t="str">
        <f>IFERROR(__xludf.DUMMYFUNCTION("""COMPUTED_VALUE"""),"DMG: +5000, Earth DMG: +5000, Dark DMG: +5000 ++X2 Earth damage. ")</f>
        <v>DMG: +5000, Earth DMG: +5000, Dark DMG: +5000 ++X2 Earth damage. </v>
      </c>
      <c r="G33" s="16">
        <f>IFERROR(__xludf.DUMMYFUNCTION("""COMPUTED_VALUE"""),4350000.0)</f>
        <v>4350000</v>
      </c>
      <c r="H33" s="16"/>
      <c r="I33" s="16"/>
      <c r="J33" s="16"/>
      <c r="K33" s="16"/>
      <c r="L33" s="16"/>
      <c r="M33" s="16"/>
      <c r="N33" s="16"/>
      <c r="O33" s="16"/>
      <c r="P33" s="16"/>
      <c r="Q33" s="16"/>
      <c r="R33" s="16"/>
      <c r="S33" s="16"/>
      <c r="T33" s="16"/>
      <c r="U33" s="16"/>
      <c r="V33" s="16"/>
      <c r="W33" s="16"/>
      <c r="X33" s="16"/>
      <c r="Y33" s="16"/>
      <c r="Z33" s="16"/>
    </row>
    <row r="34">
      <c r="A34" s="16" t="str">
        <f>IFERROR(__xludf.DUMMYFUNCTION("""COMPUTED_VALUE"""),"Boots of Waking Waters")</f>
        <v>Boots of Waking Waters</v>
      </c>
      <c r="B34" s="16"/>
      <c r="C34" s="16"/>
      <c r="D34" s="16" t="str">
        <f>IFERROR(__xludf.DUMMYFUNCTION("""COMPUTED_VALUE"""),"Feet")</f>
        <v>Feet</v>
      </c>
      <c r="E34" s="16">
        <f>IFERROR(__xludf.DUMMYFUNCTION("""COMPUTED_VALUE"""),200.0)</f>
        <v>200</v>
      </c>
      <c r="F34" s="16" t="str">
        <f>IFERROR(__xludf.DUMMYFUNCTION("""COMPUTED_VALUE"""),"DEF: +5000, Water DEF: +5000 ++X4 additional water damage for self.")</f>
        <v>DEF: +5000, Water DEF: +5000 ++X4 additional water damage for self.</v>
      </c>
      <c r="G34" s="16">
        <f>IFERROR(__xludf.DUMMYFUNCTION("""COMPUTED_VALUE"""),1900000.0)</f>
        <v>1900000</v>
      </c>
      <c r="H34" s="16"/>
      <c r="I34" s="16"/>
      <c r="J34" s="16"/>
      <c r="K34" s="16"/>
      <c r="L34" s="16"/>
      <c r="M34" s="16"/>
      <c r="N34" s="16"/>
      <c r="O34" s="16"/>
      <c r="P34" s="16"/>
      <c r="Q34" s="16"/>
      <c r="R34" s="16"/>
      <c r="S34" s="16"/>
      <c r="T34" s="16"/>
      <c r="U34" s="16"/>
      <c r="V34" s="16"/>
      <c r="W34" s="16"/>
      <c r="X34" s="16"/>
      <c r="Y34" s="16"/>
      <c r="Z34" s="16"/>
    </row>
    <row r="35">
      <c r="A35" s="16" t="str">
        <f>IFERROR(__xludf.DUMMYFUNCTION("""COMPUTED_VALUE"""),"Bow of Chaotic Darkness")</f>
        <v>Bow of Chaotic Darkness</v>
      </c>
      <c r="B35" s="16"/>
      <c r="C35" s="16" t="str">
        <f>IFERROR(__xludf.DUMMYFUNCTION("""COMPUTED_VALUE"""),"Bow")</f>
        <v>Bow</v>
      </c>
      <c r="D35" s="16" t="str">
        <f>IFERROR(__xludf.DUMMYFUNCTION("""COMPUTED_VALUE"""),"Hand")</f>
        <v>Hand</v>
      </c>
      <c r="E35" s="16">
        <f>IFERROR(__xludf.DUMMYFUNCTION("""COMPUTED_VALUE"""),4400.0)</f>
        <v>4400</v>
      </c>
      <c r="F35" s="16" t="str">
        <f>IFERROR(__xludf.DUMMYFUNCTION("""COMPUTED_VALUE"""),"DMG: +140000, Dark DMG: +40000, Chaos DMG: +40000 ++You may use up to 4 arrows with this bow.")</f>
        <v>DMG: +140000, Dark DMG: +40000, Chaos DMG: +40000 ++You may use up to 4 arrows with this bow.</v>
      </c>
      <c r="G35" s="16">
        <f>IFERROR(__xludf.DUMMYFUNCTION("""COMPUTED_VALUE"""),9.658E8)</f>
        <v>965800000</v>
      </c>
      <c r="H35" s="16"/>
      <c r="I35" s="16"/>
      <c r="J35" s="16"/>
      <c r="K35" s="16"/>
      <c r="L35" s="16"/>
      <c r="M35" s="16"/>
      <c r="N35" s="16"/>
      <c r="O35" s="16"/>
      <c r="P35" s="16"/>
      <c r="Q35" s="16"/>
      <c r="R35" s="16"/>
      <c r="S35" s="16"/>
      <c r="T35" s="16"/>
      <c r="U35" s="16"/>
      <c r="V35" s="16"/>
      <c r="W35" s="16"/>
      <c r="X35" s="16"/>
      <c r="Y35" s="16"/>
      <c r="Z35" s="16"/>
    </row>
    <row r="36">
      <c r="A36" s="16" t="str">
        <f>IFERROR(__xludf.DUMMYFUNCTION("""COMPUTED_VALUE"""),"Bow of Luck")</f>
        <v>Bow of Luck</v>
      </c>
      <c r="B36" s="16"/>
      <c r="C36" s="16" t="str">
        <f>IFERROR(__xludf.DUMMYFUNCTION("""COMPUTED_VALUE"""),"Bow")</f>
        <v>Bow</v>
      </c>
      <c r="D36" s="16" t="str">
        <f>IFERROR(__xludf.DUMMYFUNCTION("""COMPUTED_VALUE"""),"Hand")</f>
        <v>Hand</v>
      </c>
      <c r="E36" s="16">
        <f>IFERROR(__xludf.DUMMYFUNCTION("""COMPUTED_VALUE"""),3000.0)</f>
        <v>3000</v>
      </c>
      <c r="F36" s="16" t="str">
        <f>IFERROR(__xludf.DUMMYFUNCTION("""COMPUTED_VALUE"""),"DMG: +150000 ++You may add mobility to your attack rolls as long as you are attacking with a bow. +-Cannot be forged")</f>
        <v>DMG: +150000 ++You may add mobility to your attack rolls as long as you are attacking with a bow. +-Cannot be forged</v>
      </c>
      <c r="G36" s="16">
        <f>IFERROR(__xludf.DUMMYFUNCTION("""COMPUTED_VALUE"""),4.485E8)</f>
        <v>448500000</v>
      </c>
      <c r="H36" s="16"/>
      <c r="I36" s="16"/>
      <c r="J36" s="16"/>
      <c r="K36" s="16"/>
      <c r="L36" s="16"/>
      <c r="M36" s="16"/>
      <c r="N36" s="16"/>
      <c r="O36" s="16"/>
      <c r="P36" s="16"/>
      <c r="Q36" s="16"/>
      <c r="R36" s="16"/>
      <c r="S36" s="16"/>
      <c r="T36" s="16"/>
      <c r="U36" s="16"/>
      <c r="V36" s="16"/>
      <c r="W36" s="16"/>
      <c r="X36" s="16"/>
      <c r="Y36" s="16"/>
      <c r="Z36" s="16"/>
    </row>
    <row r="37">
      <c r="A37" s="16" t="str">
        <f>IFERROR(__xludf.DUMMYFUNCTION("""COMPUTED_VALUE"""),"Bow of The Sacred Druids")</f>
        <v>Bow of The Sacred Druids</v>
      </c>
      <c r="B37" s="16"/>
      <c r="C37" s="16" t="str">
        <f>IFERROR(__xludf.DUMMYFUNCTION("""COMPUTED_VALUE"""),"Bow")</f>
        <v>Bow</v>
      </c>
      <c r="D37" s="16" t="str">
        <f>IFERROR(__xludf.DUMMYFUNCTION("""COMPUTED_VALUE"""),"Hand")</f>
        <v>Hand</v>
      </c>
      <c r="E37" s="16">
        <f>IFERROR(__xludf.DUMMYFUNCTION("""COMPUTED_VALUE"""),200.0)</f>
        <v>200</v>
      </c>
      <c r="F37" s="16" t="str">
        <f>IFERROR(__xludf.DUMMYFUNCTION("""COMPUTED_VALUE"""),"DMG: +5000, Nature DMG: +5000 ++Druids Call - X4 additional damage for ranged weapons.")</f>
        <v>DMG: +5000, Nature DMG: +5000 ++Druids Call - X4 additional damage for ranged weapons.</v>
      </c>
      <c r="G37" s="16">
        <f>IFERROR(__xludf.DUMMYFUNCTION("""COMPUTED_VALUE"""),1900000.0)</f>
        <v>1900000</v>
      </c>
      <c r="H37" s="16"/>
      <c r="I37" s="16"/>
      <c r="J37" s="16"/>
      <c r="K37" s="16"/>
      <c r="L37" s="16"/>
      <c r="M37" s="16"/>
      <c r="N37" s="16"/>
      <c r="O37" s="16"/>
      <c r="P37" s="16"/>
      <c r="Q37" s="16"/>
      <c r="R37" s="16"/>
      <c r="S37" s="16"/>
      <c r="T37" s="16"/>
      <c r="U37" s="16"/>
      <c r="V37" s="16"/>
      <c r="W37" s="16"/>
      <c r="X37" s="16"/>
      <c r="Y37" s="16"/>
      <c r="Z37" s="16"/>
    </row>
    <row r="38">
      <c r="A38" s="16" t="str">
        <f>IFERROR(__xludf.DUMMYFUNCTION("""COMPUTED_VALUE"""),"Bo Staff Of Zhenmay")</f>
        <v>Bo Staff Of Zhenmay</v>
      </c>
      <c r="B38" s="16"/>
      <c r="C38" s="16" t="str">
        <f>IFERROR(__xludf.DUMMYFUNCTION("""COMPUTED_VALUE"""),"Club")</f>
        <v>Club</v>
      </c>
      <c r="D38" s="16" t="str">
        <f>IFERROR(__xludf.DUMMYFUNCTION("""COMPUTED_VALUE"""),"Hand")</f>
        <v>Hand</v>
      </c>
      <c r="E38" s="16">
        <f>IFERROR(__xludf.DUMMYFUNCTION("""COMPUTED_VALUE"""),3000.0)</f>
        <v>3000</v>
      </c>
      <c r="F38" s="16" t="str">
        <f>IFERROR(__xludf.DUMMYFUNCTION("""COMPUTED_VALUE"""),"DMG: +100000, Zen DMG: +50000 ++Blindness 2. ")</f>
        <v>DMG: +100000, Zen DMG: +50000 ++Blindness 2. </v>
      </c>
      <c r="G38" s="16">
        <f>IFERROR(__xludf.DUMMYFUNCTION("""COMPUTED_VALUE"""),4.485E8)</f>
        <v>448500000</v>
      </c>
      <c r="H38" s="16"/>
      <c r="I38" s="16"/>
      <c r="J38" s="16"/>
      <c r="K38" s="16"/>
      <c r="L38" s="16"/>
      <c r="M38" s="16"/>
      <c r="N38" s="16"/>
      <c r="O38" s="16"/>
      <c r="P38" s="16"/>
      <c r="Q38" s="16"/>
      <c r="R38" s="16"/>
      <c r="S38" s="16"/>
      <c r="T38" s="16"/>
      <c r="U38" s="16"/>
      <c r="V38" s="16"/>
      <c r="W38" s="16"/>
      <c r="X38" s="16"/>
      <c r="Y38" s="16"/>
      <c r="Z38" s="16"/>
    </row>
    <row r="39">
      <c r="A39" s="16" t="str">
        <f>IFERROR(__xludf.DUMMYFUNCTION("""COMPUTED_VALUE"""),"Breezy Clothes")</f>
        <v>Breezy Clothes</v>
      </c>
      <c r="B39" s="16"/>
      <c r="C39" s="16"/>
      <c r="D39" s="16" t="str">
        <f>IFERROR(__xludf.DUMMYFUNCTION("""COMPUTED_VALUE"""),"Torso")</f>
        <v>Torso</v>
      </c>
      <c r="E39" s="16">
        <f>IFERROR(__xludf.DUMMYFUNCTION("""COMPUTED_VALUE"""),1.0)</f>
        <v>1</v>
      </c>
      <c r="F39" s="16" t="str">
        <f>IFERROR(__xludf.DUMMYFUNCTION("""COMPUTED_VALUE""")," ++While equipped, Take half damage from fire damage, But decrease water damage you deal by half. ")</f>
        <v> ++While equipped, Take half damage from fire damage, But decrease water damage you deal by half. </v>
      </c>
      <c r="G39" s="16">
        <f>IFERROR(__xludf.DUMMYFUNCTION("""COMPUTED_VALUE"""),0.0)</f>
        <v>0</v>
      </c>
      <c r="H39" s="16"/>
      <c r="I39" s="16"/>
      <c r="J39" s="16"/>
      <c r="K39" s="16"/>
      <c r="L39" s="16"/>
      <c r="M39" s="16"/>
      <c r="N39" s="16"/>
      <c r="O39" s="16"/>
      <c r="P39" s="16"/>
      <c r="Q39" s="16"/>
      <c r="R39" s="16"/>
      <c r="S39" s="16"/>
      <c r="T39" s="16"/>
      <c r="U39" s="16"/>
      <c r="V39" s="16"/>
      <c r="W39" s="16"/>
      <c r="X39" s="16"/>
      <c r="Y39" s="16"/>
      <c r="Z39" s="16"/>
    </row>
    <row r="40">
      <c r="A40" s="16" t="str">
        <f>IFERROR(__xludf.DUMMYFUNCTION("""COMPUTED_VALUE"""),"Bright Flame Sword")</f>
        <v>Bright Flame Sword</v>
      </c>
      <c r="B40" s="16"/>
      <c r="C40" s="16" t="str">
        <f>IFERROR(__xludf.DUMMYFUNCTION("""COMPUTED_VALUE"""),"Sword")</f>
        <v>Sword</v>
      </c>
      <c r="D40" s="16" t="str">
        <f>IFERROR(__xludf.DUMMYFUNCTION("""COMPUTED_VALUE"""),"Hand")</f>
        <v>Hand</v>
      </c>
      <c r="E40" s="16">
        <f>IFERROR(__xludf.DUMMYFUNCTION("""COMPUTED_VALUE"""),300.0)</f>
        <v>300</v>
      </c>
      <c r="F40" s="16" t="str">
        <f>IFERROR(__xludf.DUMMYFUNCTION("""COMPUTED_VALUE"""),"DMG: +10000, Fire DMG: +5000")</f>
        <v>DMG: +10000, Fire DMG: +5000</v>
      </c>
      <c r="G40" s="16">
        <f>IFERROR(__xludf.DUMMYFUNCTION("""COMPUTED_VALUE"""),4350000.0)</f>
        <v>4350000</v>
      </c>
      <c r="H40" s="16"/>
      <c r="I40" s="16"/>
      <c r="J40" s="16"/>
      <c r="K40" s="16"/>
      <c r="L40" s="16"/>
      <c r="M40" s="16"/>
      <c r="N40" s="16"/>
      <c r="O40" s="16"/>
      <c r="P40" s="16"/>
      <c r="Q40" s="16"/>
      <c r="R40" s="16"/>
      <c r="S40" s="16"/>
      <c r="T40" s="16"/>
      <c r="U40" s="16"/>
      <c r="V40" s="16"/>
      <c r="W40" s="16"/>
      <c r="X40" s="16"/>
      <c r="Y40" s="16"/>
      <c r="Z40" s="16"/>
    </row>
    <row r="41">
      <c r="A41" s="16" t="str">
        <f>IFERROR(__xludf.DUMMYFUNCTION("""COMPUTED_VALUE"""),"Broken Sword")</f>
        <v>Broken Sword</v>
      </c>
      <c r="B41" s="16"/>
      <c r="C41" s="16" t="str">
        <f>IFERROR(__xludf.DUMMYFUNCTION("""COMPUTED_VALUE"""),"Knife")</f>
        <v>Knife</v>
      </c>
      <c r="D41" s="16" t="str">
        <f>IFERROR(__xludf.DUMMYFUNCTION("""COMPUTED_VALUE"""),"Hand")</f>
        <v>Hand</v>
      </c>
      <c r="E41" s="16">
        <f>IFERROR(__xludf.DUMMYFUNCTION("""COMPUTED_VALUE"""),1.0)</f>
        <v>1</v>
      </c>
      <c r="F41" s="16" t="str">
        <f>IFERROR(__xludf.DUMMYFUNCTION("""COMPUTED_VALUE"""),"DMG: +1 ++ -1 evasion")</f>
        <v>DMG: +1 ++ -1 evasion</v>
      </c>
      <c r="G41" s="16">
        <f>IFERROR(__xludf.DUMMYFUNCTION("""COMPUTED_VALUE"""),0.0)</f>
        <v>0</v>
      </c>
      <c r="H41" s="16"/>
      <c r="I41" s="16"/>
      <c r="J41" s="16"/>
      <c r="K41" s="16"/>
      <c r="L41" s="16"/>
      <c r="M41" s="16"/>
      <c r="N41" s="16"/>
      <c r="O41" s="16"/>
      <c r="P41" s="16"/>
      <c r="Q41" s="16"/>
      <c r="R41" s="16"/>
      <c r="S41" s="16"/>
      <c r="T41" s="16"/>
      <c r="U41" s="16"/>
      <c r="V41" s="16"/>
      <c r="W41" s="16"/>
      <c r="X41" s="16"/>
      <c r="Y41" s="16"/>
      <c r="Z41" s="16"/>
    </row>
    <row r="42">
      <c r="A42" s="16" t="str">
        <f>IFERROR(__xludf.DUMMYFUNCTION("""COMPUTED_VALUE"""),"Burning Broadsword")</f>
        <v>Burning Broadsword</v>
      </c>
      <c r="B42" s="16"/>
      <c r="C42" s="16" t="str">
        <f>IFERROR(__xludf.DUMMYFUNCTION("""COMPUTED_VALUE"""),"Sword")</f>
        <v>Sword</v>
      </c>
      <c r="D42" s="16" t="str">
        <f>IFERROR(__xludf.DUMMYFUNCTION("""COMPUTED_VALUE"""),"Hand")</f>
        <v>Hand</v>
      </c>
      <c r="E42" s="16">
        <f>IFERROR(__xludf.DUMMYFUNCTION("""COMPUTED_VALUE"""),200.0)</f>
        <v>200</v>
      </c>
      <c r="F42" s="16" t="str">
        <f>IFERROR(__xludf.DUMMYFUNCTION("""COMPUTED_VALUE"""),"DMG: +5000, Fire DMG: +5000 ++10,000 fire damage per round for 3 rounds.")</f>
        <v>DMG: +5000, Fire DMG: +5000 ++10,000 fire damage per round for 3 rounds.</v>
      </c>
      <c r="G42" s="16">
        <f>IFERROR(__xludf.DUMMYFUNCTION("""COMPUTED_VALUE"""),1900000.0)</f>
        <v>1900000</v>
      </c>
      <c r="H42" s="16"/>
      <c r="I42" s="16"/>
      <c r="J42" s="16"/>
      <c r="K42" s="16"/>
      <c r="L42" s="16"/>
      <c r="M42" s="16"/>
      <c r="N42" s="16"/>
      <c r="O42" s="16"/>
      <c r="P42" s="16"/>
      <c r="Q42" s="16"/>
      <c r="R42" s="16"/>
      <c r="S42" s="16"/>
      <c r="T42" s="16"/>
      <c r="U42" s="16"/>
      <c r="V42" s="16"/>
      <c r="W42" s="16"/>
      <c r="X42" s="16"/>
      <c r="Y42" s="16"/>
      <c r="Z42" s="16"/>
    </row>
    <row r="43">
      <c r="A43" s="16" t="str">
        <f>IFERROR(__xludf.DUMMYFUNCTION("""COMPUTED_VALUE"""),"Candy Corn Necklace")</f>
        <v>Candy Corn Necklace</v>
      </c>
      <c r="B43" s="16" t="str">
        <f>IFERROR(__xludf.DUMMYFUNCTION("""COMPUTED_VALUE"""),"Halloween Exclusive")</f>
        <v>Halloween Exclusive</v>
      </c>
      <c r="C43" s="16"/>
      <c r="D43" s="16" t="str">
        <f>IFERROR(__xludf.DUMMYFUNCTION("""COMPUTED_VALUE"""),"Neck")</f>
        <v>Neck</v>
      </c>
      <c r="E43" s="16">
        <f>IFERROR(__xludf.DUMMYFUNCTION("""COMPUTED_VALUE"""),1.0)</f>
        <v>1</v>
      </c>
      <c r="F43" s="16" t="str">
        <f>IFERROR(__xludf.DUMMYFUNCTION("""COMPUTED_VALUE""")," ++Gives Immunity to Dark and Chaos Damage, ++ +2 Intimidation.")</f>
        <v> ++Gives Immunity to Dark and Chaos Damage, ++ +2 Intimidation.</v>
      </c>
      <c r="G43" s="16">
        <f>IFERROR(__xludf.DUMMYFUNCTION("""COMPUTED_VALUE"""),0.0)</f>
        <v>0</v>
      </c>
      <c r="H43" s="16"/>
      <c r="I43" s="16"/>
      <c r="J43" s="16"/>
      <c r="K43" s="16"/>
      <c r="L43" s="16"/>
      <c r="M43" s="16"/>
      <c r="N43" s="16"/>
      <c r="O43" s="16"/>
      <c r="P43" s="16"/>
      <c r="Q43" s="16"/>
      <c r="R43" s="16"/>
      <c r="S43" s="16"/>
      <c r="T43" s="16"/>
      <c r="U43" s="16"/>
      <c r="V43" s="16"/>
      <c r="W43" s="16"/>
      <c r="X43" s="16"/>
      <c r="Y43" s="16"/>
      <c r="Z43" s="16"/>
    </row>
    <row r="44">
      <c r="A44" s="16" t="str">
        <f>IFERROR(__xludf.DUMMYFUNCTION("""COMPUTED_VALUE"""),"Candy Corn Rifle")</f>
        <v>Candy Corn Rifle</v>
      </c>
      <c r="B44" s="16" t="str">
        <f>IFERROR(__xludf.DUMMYFUNCTION("""COMPUTED_VALUE"""),"Halloween Exclusive")</f>
        <v>Halloween Exclusive</v>
      </c>
      <c r="C44" s="16" t="str">
        <f>IFERROR(__xludf.DUMMYFUNCTION("""COMPUTED_VALUE"""),"Firearm")</f>
        <v>Firearm</v>
      </c>
      <c r="D44" s="16" t="str">
        <f>IFERROR(__xludf.DUMMYFUNCTION("""COMPUTED_VALUE"""),"Hand")</f>
        <v>Hand</v>
      </c>
      <c r="E44" s="16">
        <f>IFERROR(__xludf.DUMMYFUNCTION("""COMPUTED_VALUE"""),200.0)</f>
        <v>200</v>
      </c>
      <c r="F44" s="16" t="str">
        <f>IFERROR(__xludf.DUMMYFUNCTION("""COMPUTED_VALUE"""),"DMG: +10000, Fire DMG: +10000, Dark DMG: +10000, Spirit DMG: +10000, Chaos DMG: +10000, Voodoo DMG: +10000, Blood DMG: +10000, Celestial DMG: +10000 ++Uses Candy Corn as Ammunition. ++Can use mobility when attacking with this weapon. +-Cannot be forged or"&amp;" duplicated. ")</f>
        <v>DMG: +10000, Fire DMG: +10000, Dark DMG: +10000, Spirit DMG: +10000, Chaos DMG: +10000, Voodoo DMG: +10000, Blood DMG: +10000, Celestial DMG: +10000 ++Uses Candy Corn as Ammunition. ++Can use mobility when attacking with this weapon. +-Cannot be forged or duplicated. </v>
      </c>
      <c r="G44" s="16">
        <f>IFERROR(__xludf.DUMMYFUNCTION("""COMPUTED_VALUE"""),1.272E8)</f>
        <v>127200000</v>
      </c>
      <c r="H44" s="16"/>
      <c r="I44" s="16"/>
      <c r="J44" s="16"/>
      <c r="K44" s="16"/>
      <c r="L44" s="16"/>
      <c r="M44" s="16"/>
      <c r="N44" s="16"/>
      <c r="O44" s="16"/>
      <c r="P44" s="16"/>
      <c r="Q44" s="16"/>
      <c r="R44" s="16"/>
      <c r="S44" s="16"/>
      <c r="T44" s="16"/>
      <c r="U44" s="16"/>
      <c r="V44" s="16"/>
      <c r="W44" s="16"/>
      <c r="X44" s="16"/>
      <c r="Y44" s="16"/>
      <c r="Z44" s="16"/>
    </row>
    <row r="45">
      <c r="A45" s="16" t="str">
        <f>IFERROR(__xludf.DUMMYFUNCTION("""COMPUTED_VALUE"""),"Cap of Metal Harmony's")</f>
        <v>Cap of Metal Harmony's</v>
      </c>
      <c r="B45" s="16"/>
      <c r="C45" s="16"/>
      <c r="D45" s="16" t="str">
        <f>IFERROR(__xludf.DUMMYFUNCTION("""COMPUTED_VALUE"""),"Head")</f>
        <v>Head</v>
      </c>
      <c r="E45" s="16">
        <f>IFERROR(__xludf.DUMMYFUNCTION("""COMPUTED_VALUE"""),200.0)</f>
        <v>200</v>
      </c>
      <c r="F45" s="16" t="str">
        <f>IFERROR(__xludf.DUMMYFUNCTION("""COMPUTED_VALUE"""),"DEF: +10000 ++Half the SP cost for Fire, Water, Storm, Earth, and Nature spells.")</f>
        <v>DEF: +10000 ++Half the SP cost for Fire, Water, Storm, Earth, and Nature spells.</v>
      </c>
      <c r="G45" s="16">
        <f>IFERROR(__xludf.DUMMYFUNCTION("""COMPUTED_VALUE"""),1900000.0)</f>
        <v>1900000</v>
      </c>
      <c r="H45" s="16"/>
      <c r="I45" s="16"/>
      <c r="J45" s="16"/>
      <c r="K45" s="16"/>
      <c r="L45" s="16"/>
      <c r="M45" s="16"/>
      <c r="N45" s="16"/>
      <c r="O45" s="16"/>
      <c r="P45" s="16"/>
      <c r="Q45" s="16"/>
      <c r="R45" s="16"/>
      <c r="S45" s="16"/>
      <c r="T45" s="16"/>
      <c r="U45" s="16"/>
      <c r="V45" s="16"/>
      <c r="W45" s="16"/>
      <c r="X45" s="16"/>
      <c r="Y45" s="16"/>
      <c r="Z45" s="16"/>
    </row>
    <row r="46">
      <c r="A46" s="16" t="str">
        <f>IFERROR(__xludf.DUMMYFUNCTION("""COMPUTED_VALUE"""),"Celestian Royal Shield")</f>
        <v>Celestian Royal Shield</v>
      </c>
      <c r="B46" s="16" t="str">
        <f>IFERROR(__xludf.DUMMYFUNCTION("""COMPUTED_VALUE"""),"Quest Item")</f>
        <v>Quest Item</v>
      </c>
      <c r="C46" s="16" t="str">
        <f>IFERROR(__xludf.DUMMYFUNCTION("""COMPUTED_VALUE"""),"Towershield")</f>
        <v>Towershield</v>
      </c>
      <c r="D46" s="16" t="str">
        <f>IFERROR(__xludf.DUMMYFUNCTION("""COMPUTED_VALUE"""),"Hand")</f>
        <v>Hand</v>
      </c>
      <c r="E46" s="16">
        <f>IFERROR(__xludf.DUMMYFUNCTION("""COMPUTED_VALUE"""),200.0)</f>
        <v>200</v>
      </c>
      <c r="F46" s="16" t="str">
        <f>IFERROR(__xludf.DUMMYFUNCTION("""COMPUTED_VALUE"""),"DEF: +100000, Light DEF: +100000, Dark DEF: +100000, Celestial DEF: +100000 ++Royal Protection: Immunity to Celestial. +-Cannot be forged or duplicated.")</f>
        <v>DEF: +100000, Light DEF: +100000, Dark DEF: +100000, Celestial DEF: +100000 ++Royal Protection: Immunity to Celestial. +-Cannot be forged or duplicated.</v>
      </c>
      <c r="G46" s="16">
        <f>IFERROR(__xludf.DUMMYFUNCTION("""COMPUTED_VALUE"""),3.196E9)</f>
        <v>3196000000</v>
      </c>
      <c r="H46" s="16"/>
      <c r="I46" s="16"/>
      <c r="J46" s="16"/>
      <c r="K46" s="16"/>
      <c r="L46" s="16"/>
      <c r="M46" s="16"/>
      <c r="N46" s="16"/>
      <c r="O46" s="16"/>
      <c r="P46" s="16"/>
      <c r="Q46" s="16"/>
      <c r="R46" s="16"/>
      <c r="S46" s="16"/>
      <c r="T46" s="16"/>
      <c r="U46" s="16"/>
      <c r="V46" s="16"/>
      <c r="W46" s="16"/>
      <c r="X46" s="16"/>
      <c r="Y46" s="16"/>
      <c r="Z46" s="16"/>
    </row>
    <row r="47">
      <c r="A47" s="16" t="str">
        <f>IFERROR(__xludf.DUMMYFUNCTION("""COMPUTED_VALUE"""),"Celestian Royal Sword")</f>
        <v>Celestian Royal Sword</v>
      </c>
      <c r="B47" s="16" t="str">
        <f>IFERROR(__xludf.DUMMYFUNCTION("""COMPUTED_VALUE"""),"Quest Item")</f>
        <v>Quest Item</v>
      </c>
      <c r="C47" s="16" t="str">
        <f>IFERROR(__xludf.DUMMYFUNCTION("""COMPUTED_VALUE"""),"Sword")</f>
        <v>Sword</v>
      </c>
      <c r="D47" s="16" t="str">
        <f>IFERROR(__xludf.DUMMYFUNCTION("""COMPUTED_VALUE"""),"Hand")</f>
        <v>Hand</v>
      </c>
      <c r="E47" s="16">
        <f>IFERROR(__xludf.DUMMYFUNCTION("""COMPUTED_VALUE"""),200.0)</f>
        <v>200</v>
      </c>
      <c r="F47" s="16" t="str">
        <f>IFERROR(__xludf.DUMMYFUNCTION("""COMPUTED_VALUE"""),"DMG: +100000, Light DMG: +100000, Dark DMG: +100000, Celestial DMG: +100000 ++X8 Celestial Damage. +-Cannot be forged or duplicated.")</f>
        <v>DMG: +100000, Light DMG: +100000, Dark DMG: +100000, Celestial DMG: +100000 ++X8 Celestial Damage. +-Cannot be forged or duplicated.</v>
      </c>
      <c r="G47" s="16">
        <f>IFERROR(__xludf.DUMMYFUNCTION("""COMPUTED_VALUE"""),3.196E9)</f>
        <v>3196000000</v>
      </c>
      <c r="H47" s="16"/>
      <c r="I47" s="16"/>
      <c r="J47" s="16"/>
      <c r="K47" s="16"/>
      <c r="L47" s="16"/>
      <c r="M47" s="16"/>
      <c r="N47" s="16"/>
      <c r="O47" s="16"/>
      <c r="P47" s="16"/>
      <c r="Q47" s="16"/>
      <c r="R47" s="16"/>
      <c r="S47" s="16"/>
      <c r="T47" s="16"/>
      <c r="U47" s="16"/>
      <c r="V47" s="16"/>
      <c r="W47" s="16"/>
      <c r="X47" s="16"/>
      <c r="Y47" s="16"/>
      <c r="Z47" s="16"/>
    </row>
    <row r="48">
      <c r="A48" s="16" t="str">
        <f>IFERROR(__xludf.DUMMYFUNCTION("""COMPUTED_VALUE"""),"Chain Link Armor")</f>
        <v>Chain Link Armor</v>
      </c>
      <c r="B48" s="16"/>
      <c r="C48" s="16"/>
      <c r="D48" s="16" t="str">
        <f>IFERROR(__xludf.DUMMYFUNCTION("""COMPUTED_VALUE"""),"Torso")</f>
        <v>Torso</v>
      </c>
      <c r="E48" s="16">
        <f>IFERROR(__xludf.DUMMYFUNCTION("""COMPUTED_VALUE"""),40.0)</f>
        <v>40</v>
      </c>
      <c r="F48" s="16" t="str">
        <f>IFERROR(__xludf.DUMMYFUNCTION("""COMPUTED_VALUE"""),"DEF: +2000 ++Wrapped in Chains - When the wearer is attacked with a weapon; 25% chance to make the attacker drop it's weapon.")</f>
        <v>DEF: +2000 ++Wrapped in Chains - When the wearer is attacked with a weapon; 25% chance to make the attacker drop it's weapon.</v>
      </c>
      <c r="G48" s="16">
        <f>IFERROR(__xludf.DUMMYFUNCTION("""COMPUTED_VALUE"""),60000.0)</f>
        <v>60000</v>
      </c>
      <c r="H48" s="16"/>
      <c r="I48" s="16"/>
      <c r="J48" s="16"/>
      <c r="K48" s="16"/>
      <c r="L48" s="16"/>
      <c r="M48" s="16"/>
      <c r="N48" s="16"/>
      <c r="O48" s="16"/>
      <c r="P48" s="16"/>
      <c r="Q48" s="16"/>
      <c r="R48" s="16"/>
      <c r="S48" s="16"/>
      <c r="T48" s="16"/>
      <c r="U48" s="16"/>
      <c r="V48" s="16"/>
      <c r="W48" s="16"/>
      <c r="X48" s="16"/>
      <c r="Y48" s="16"/>
      <c r="Z48" s="16"/>
    </row>
    <row r="49">
      <c r="A49" s="16" t="str">
        <f>IFERROR(__xludf.DUMMYFUNCTION("""COMPUTED_VALUE"""),"Chaos Sword")</f>
        <v>Chaos Sword</v>
      </c>
      <c r="B49" s="16"/>
      <c r="C49" s="16" t="str">
        <f>IFERROR(__xludf.DUMMYFUNCTION("""COMPUTED_VALUE"""),"Sword")</f>
        <v>Sword</v>
      </c>
      <c r="D49" s="16" t="str">
        <f>IFERROR(__xludf.DUMMYFUNCTION("""COMPUTED_VALUE"""),"Hand")</f>
        <v>Hand</v>
      </c>
      <c r="E49" s="16">
        <f>IFERROR(__xludf.DUMMYFUNCTION("""COMPUTED_VALUE"""),90.0)</f>
        <v>90</v>
      </c>
      <c r="F49" s="16" t="str">
        <f>IFERROR(__xludf.DUMMYFUNCTION("""COMPUTED_VALUE"""),"DMG: +2500, Chaos DMG: +2000 ++ +2 Intimidation. +-Cannot be duplicated. +-Can only equip one.")</f>
        <v>DMG: +2500, Chaos DMG: +2000 ++ +2 Intimidation. +-Cannot be duplicated. +-Can only equip one.</v>
      </c>
      <c r="G49" s="16">
        <f>IFERROR(__xludf.DUMMYFUNCTION("""COMPUTED_VALUE"""),360000.0)</f>
        <v>360000</v>
      </c>
      <c r="H49" s="16"/>
      <c r="I49" s="16"/>
      <c r="J49" s="16"/>
      <c r="K49" s="16"/>
      <c r="L49" s="16"/>
      <c r="M49" s="16"/>
      <c r="N49" s="16"/>
      <c r="O49" s="16"/>
      <c r="P49" s="16"/>
      <c r="Q49" s="16"/>
      <c r="R49" s="16"/>
      <c r="S49" s="16"/>
      <c r="T49" s="16"/>
      <c r="U49" s="16"/>
      <c r="V49" s="16"/>
      <c r="W49" s="16"/>
      <c r="X49" s="16"/>
      <c r="Y49" s="16"/>
      <c r="Z49" s="16"/>
    </row>
    <row r="50">
      <c r="A50" s="16" t="str">
        <f>IFERROR(__xludf.DUMMYFUNCTION("""COMPUTED_VALUE"""),"Chaotic Amulet")</f>
        <v>Chaotic Amulet</v>
      </c>
      <c r="B50" s="16"/>
      <c r="C50" s="16"/>
      <c r="D50" s="16" t="str">
        <f>IFERROR(__xludf.DUMMYFUNCTION("""COMPUTED_VALUE"""),"Neck")</f>
        <v>Neck</v>
      </c>
      <c r="E50" s="16">
        <f>IFERROR(__xludf.DUMMYFUNCTION("""COMPUTED_VALUE"""),1.0)</f>
        <v>1</v>
      </c>
      <c r="F50" s="16" t="str">
        <f>IFERROR(__xludf.DUMMYFUNCTION("""COMPUTED_VALUE""")," ++Immunity to all Chaos Dmg, ++Deal 2x more Chaos Dmg.")</f>
        <v> ++Immunity to all Chaos Dmg, ++Deal 2x more Chaos Dmg.</v>
      </c>
      <c r="G50" s="16">
        <f>IFERROR(__xludf.DUMMYFUNCTION("""COMPUTED_VALUE"""),0.0)</f>
        <v>0</v>
      </c>
      <c r="H50" s="16"/>
      <c r="I50" s="16"/>
      <c r="J50" s="16"/>
      <c r="K50" s="16"/>
      <c r="L50" s="16"/>
      <c r="M50" s="16"/>
      <c r="N50" s="16"/>
      <c r="O50" s="16"/>
      <c r="P50" s="16"/>
      <c r="Q50" s="16"/>
      <c r="R50" s="16"/>
      <c r="S50" s="16"/>
      <c r="T50" s="16"/>
      <c r="U50" s="16"/>
      <c r="V50" s="16"/>
      <c r="W50" s="16"/>
      <c r="X50" s="16"/>
      <c r="Y50" s="16"/>
      <c r="Z50" s="16"/>
    </row>
    <row r="51">
      <c r="A51" s="16" t="str">
        <f>IFERROR(__xludf.DUMMYFUNCTION("""COMPUTED_VALUE"""),"Ring")</f>
        <v>Ring</v>
      </c>
      <c r="B51" s="16"/>
      <c r="C51" s="16"/>
      <c r="D51" s="16" t="str">
        <f>IFERROR(__xludf.DUMMYFUNCTION("""COMPUTED_VALUE"""),"Ring")</f>
        <v>Ring</v>
      </c>
      <c r="E51" s="16">
        <f>IFERROR(__xludf.DUMMYFUNCTION("""COMPUTED_VALUE"""),1.0)</f>
        <v>1</v>
      </c>
      <c r="F51" s="16" t="str">
        <f>IFERROR(__xludf.DUMMYFUNCTION("""COMPUTED_VALUE""")," ++X2 additional Chaos and Blood damage")</f>
        <v> ++X2 additional Chaos and Blood damage</v>
      </c>
      <c r="G51" s="16">
        <f>IFERROR(__xludf.DUMMYFUNCTION("""COMPUTED_VALUE"""),0.0)</f>
        <v>0</v>
      </c>
      <c r="H51" s="16"/>
      <c r="I51" s="16"/>
      <c r="J51" s="16"/>
      <c r="K51" s="16"/>
      <c r="L51" s="16"/>
      <c r="M51" s="16"/>
      <c r="N51" s="16"/>
      <c r="O51" s="16"/>
      <c r="P51" s="16"/>
      <c r="Q51" s="16"/>
      <c r="R51" s="16"/>
      <c r="S51" s="16"/>
      <c r="T51" s="16"/>
      <c r="U51" s="16"/>
      <c r="V51" s="16"/>
      <c r="W51" s="16"/>
      <c r="X51" s="16"/>
      <c r="Y51" s="16"/>
      <c r="Z51" s="16"/>
    </row>
    <row r="52">
      <c r="A52" s="16" t="str">
        <f>IFERROR(__xludf.DUMMYFUNCTION("""COMPUTED_VALUE"""),"Chaotic Shadow Life Orb")</f>
        <v>Chaotic Shadow Life Orb</v>
      </c>
      <c r="B52" s="16"/>
      <c r="C52" s="16"/>
      <c r="D52" s="16" t="str">
        <f>IFERROR(__xludf.DUMMYFUNCTION("""COMPUTED_VALUE"""),"Hand")</f>
        <v>Hand</v>
      </c>
      <c r="E52" s="16">
        <f>IFERROR(__xludf.DUMMYFUNCTION("""COMPUTED_VALUE"""),1.0)</f>
        <v>1</v>
      </c>
      <c r="F52" s="16" t="str">
        <f>IFERROR(__xludf.DUMMYFUNCTION("""COMPUTED_VALUE""")," ++Last Chance - Protected from death once per battle, can only use the effect of ""Last Chance"" once per battle.  +-Can only have one equipped. +- Cannot be duplicated.")</f>
        <v> ++Last Chance - Protected from death once per battle, can only use the effect of "Last Chance" once per battle.  +-Can only have one equipped. +- Cannot be duplicated.</v>
      </c>
      <c r="G52" s="16">
        <f>IFERROR(__xludf.DUMMYFUNCTION("""COMPUTED_VALUE"""),0.0)</f>
        <v>0</v>
      </c>
      <c r="H52" s="16"/>
      <c r="I52" s="16"/>
      <c r="J52" s="16"/>
      <c r="K52" s="16"/>
      <c r="L52" s="16"/>
      <c r="M52" s="16"/>
      <c r="N52" s="16"/>
      <c r="O52" s="16"/>
      <c r="P52" s="16"/>
      <c r="Q52" s="16"/>
      <c r="R52" s="16"/>
      <c r="S52" s="16"/>
      <c r="T52" s="16"/>
      <c r="U52" s="16"/>
      <c r="V52" s="16"/>
      <c r="W52" s="16"/>
      <c r="X52" s="16"/>
      <c r="Y52" s="16"/>
      <c r="Z52" s="16"/>
    </row>
    <row r="53">
      <c r="A53" s="16" t="str">
        <f>IFERROR(__xludf.DUMMYFUNCTION("""COMPUTED_VALUE"""),"Charm of Awaken")</f>
        <v>Charm of Awaken</v>
      </c>
      <c r="B53" s="16"/>
      <c r="C53" s="16"/>
      <c r="D53" s="16" t="str">
        <f>IFERROR(__xludf.DUMMYFUNCTION("""COMPUTED_VALUE"""),"Neck")</f>
        <v>Neck</v>
      </c>
      <c r="E53" s="16">
        <f>IFERROR(__xludf.DUMMYFUNCTION("""COMPUTED_VALUE"""),1.0)</f>
        <v>1</v>
      </c>
      <c r="F53" s="16" t="str">
        <f>IFERROR(__xludf.DUMMYFUNCTION("""COMPUTED_VALUE""")," ++Immunity to sleep.")</f>
        <v> ++Immunity to sleep.</v>
      </c>
      <c r="G53" s="16">
        <f>IFERROR(__xludf.DUMMYFUNCTION("""COMPUTED_VALUE"""),0.0)</f>
        <v>0</v>
      </c>
      <c r="H53" s="16"/>
      <c r="I53" s="16"/>
      <c r="J53" s="16"/>
      <c r="K53" s="16"/>
      <c r="L53" s="16"/>
      <c r="M53" s="16"/>
      <c r="N53" s="16"/>
      <c r="O53" s="16"/>
      <c r="P53" s="16"/>
      <c r="Q53" s="16"/>
      <c r="R53" s="16"/>
      <c r="S53" s="16"/>
      <c r="T53" s="16"/>
      <c r="U53" s="16"/>
      <c r="V53" s="16"/>
      <c r="W53" s="16"/>
      <c r="X53" s="16"/>
      <c r="Y53" s="16"/>
      <c r="Z53" s="16"/>
    </row>
    <row r="54">
      <c r="A54" s="16" t="str">
        <f>IFERROR(__xludf.DUMMYFUNCTION("""COMPUTED_VALUE"""),"Chestplate of Foul Night")</f>
        <v>Chestplate of Foul Night</v>
      </c>
      <c r="B54" s="16"/>
      <c r="C54" s="16"/>
      <c r="D54" s="16" t="str">
        <f>IFERROR(__xludf.DUMMYFUNCTION("""COMPUTED_VALUE"""),"Torso")</f>
        <v>Torso</v>
      </c>
      <c r="E54" s="16">
        <f>IFERROR(__xludf.DUMMYFUNCTION("""COMPUTED_VALUE"""),200.0)</f>
        <v>200</v>
      </c>
      <c r="F54" s="16" t="str">
        <f>IFERROR(__xludf.DUMMYFUNCTION("""COMPUTED_VALUE"""),"DEF: +5000, Nature DEF: +5000 (Foul Night Set) ++X2 Nature and Poison damage, ++Poison Immunity.")</f>
        <v>DEF: +5000, Nature DEF: +5000 (Foul Night Set) ++X2 Nature and Poison damage, ++Poison Immunity.</v>
      </c>
      <c r="G54" s="16">
        <f>IFERROR(__xludf.DUMMYFUNCTION("""COMPUTED_VALUE"""),1900000.0)</f>
        <v>1900000</v>
      </c>
      <c r="H54" s="16"/>
      <c r="I54" s="16"/>
      <c r="J54" s="16"/>
      <c r="K54" s="16"/>
      <c r="L54" s="16"/>
      <c r="M54" s="16"/>
      <c r="N54" s="16"/>
      <c r="O54" s="16"/>
      <c r="P54" s="16"/>
      <c r="Q54" s="16"/>
      <c r="R54" s="16"/>
      <c r="S54" s="16"/>
      <c r="T54" s="16"/>
      <c r="U54" s="16"/>
      <c r="V54" s="16"/>
      <c r="W54" s="16"/>
      <c r="X54" s="16"/>
      <c r="Y54" s="16"/>
      <c r="Z54" s="16"/>
    </row>
    <row r="55">
      <c r="A55" s="16" t="str">
        <f>IFERROR(__xludf.DUMMYFUNCTION("""COMPUTED_VALUE"""),"Chestplate of Waking Waters")</f>
        <v>Chestplate of Waking Waters</v>
      </c>
      <c r="B55" s="16"/>
      <c r="C55" s="16"/>
      <c r="D55" s="16" t="str">
        <f>IFERROR(__xludf.DUMMYFUNCTION("""COMPUTED_VALUE"""),"Torso")</f>
        <v>Torso</v>
      </c>
      <c r="E55" s="16">
        <f>IFERROR(__xludf.DUMMYFUNCTION("""COMPUTED_VALUE"""),400.0)</f>
        <v>400</v>
      </c>
      <c r="F55" s="16" t="str">
        <f>IFERROR(__xludf.DUMMYFUNCTION("""COMPUTED_VALUE"""),"DEF: +10000, Water DEF: +10000 ++X4 additional water damage for self.")</f>
        <v>DEF: +10000, Water DEF: +10000 ++X4 additional water damage for self.</v>
      </c>
      <c r="G55" s="16">
        <f>IFERROR(__xludf.DUMMYFUNCTION("""COMPUTED_VALUE"""),7800000.0)</f>
        <v>7800000</v>
      </c>
      <c r="H55" s="16"/>
      <c r="I55" s="16"/>
      <c r="J55" s="16"/>
      <c r="K55" s="16"/>
      <c r="L55" s="16"/>
      <c r="M55" s="16"/>
      <c r="N55" s="16"/>
      <c r="O55" s="16"/>
      <c r="P55" s="16"/>
      <c r="Q55" s="16"/>
      <c r="R55" s="16"/>
      <c r="S55" s="16"/>
      <c r="T55" s="16"/>
      <c r="U55" s="16"/>
      <c r="V55" s="16"/>
      <c r="W55" s="16"/>
      <c r="X55" s="16"/>
      <c r="Y55" s="16"/>
      <c r="Z55" s="16"/>
    </row>
    <row r="56">
      <c r="A56" s="16" t="str">
        <f>IFERROR(__xludf.DUMMYFUNCTION("""COMPUTED_VALUE"""),"Cloth Cap")</f>
        <v>Cloth Cap</v>
      </c>
      <c r="B56" s="16"/>
      <c r="C56" s="16"/>
      <c r="D56" s="16" t="str">
        <f>IFERROR(__xludf.DUMMYFUNCTION("""COMPUTED_VALUE"""),"Head")</f>
        <v>Head</v>
      </c>
      <c r="E56" s="16">
        <f>IFERROR(__xludf.DUMMYFUNCTION("""COMPUTED_VALUE"""),50.0)</f>
        <v>50</v>
      </c>
      <c r="F56" s="16" t="str">
        <f>IFERROR(__xludf.DUMMYFUNCTION("""COMPUTED_VALUE"""),"DEF: +2500")</f>
        <v>DEF: +2500</v>
      </c>
      <c r="G56" s="16">
        <f>IFERROR(__xludf.DUMMYFUNCTION("""COMPUTED_VALUE"""),100000.0)</f>
        <v>100000</v>
      </c>
      <c r="H56" s="16"/>
      <c r="I56" s="16"/>
      <c r="J56" s="16"/>
      <c r="K56" s="16"/>
      <c r="L56" s="16"/>
      <c r="M56" s="16"/>
      <c r="N56" s="16"/>
      <c r="O56" s="16"/>
      <c r="P56" s="16"/>
      <c r="Q56" s="16"/>
      <c r="R56" s="16"/>
      <c r="S56" s="16"/>
      <c r="T56" s="16"/>
      <c r="U56" s="16"/>
      <c r="V56" s="16"/>
      <c r="W56" s="16"/>
      <c r="X56" s="16"/>
      <c r="Y56" s="16"/>
      <c r="Z56" s="16"/>
    </row>
    <row r="57">
      <c r="A57" s="16" t="str">
        <f>IFERROR(__xludf.DUMMYFUNCTION("""COMPUTED_VALUE"""),"Colossus Bone Sword")</f>
        <v>Colossus Bone Sword</v>
      </c>
      <c r="B57" s="16" t="str">
        <f>IFERROR(__xludf.DUMMYFUNCTION("""COMPUTED_VALUE"""),"Mob Exclusive")</f>
        <v>Mob Exclusive</v>
      </c>
      <c r="C57" s="16" t="str">
        <f>IFERROR(__xludf.DUMMYFUNCTION("""COMPUTED_VALUE"""),"Sword")</f>
        <v>Sword</v>
      </c>
      <c r="D57" s="16" t="str">
        <f>IFERROR(__xludf.DUMMYFUNCTION("""COMPUTED_VALUE"""),"Hand")</f>
        <v>Hand</v>
      </c>
      <c r="E57" s="16">
        <f>IFERROR(__xludf.DUMMYFUNCTION("""COMPUTED_VALUE"""),1500.0)</f>
        <v>1500</v>
      </c>
      <c r="F57" s="16" t="str">
        <f>IFERROR(__xludf.DUMMYFUNCTION("""COMPUTED_VALUE"""),"DMG: +25000, Earth DMG: +25000, Dark DMG: +25000 ++X2 additional damage for the user.")</f>
        <v>DMG: +25000, Earth DMG: +25000, Dark DMG: +25000 ++X2 additional damage for the user.</v>
      </c>
      <c r="G57" s="16">
        <f>IFERROR(__xludf.DUMMYFUNCTION("""COMPUTED_VALUE"""),1.1175E8)</f>
        <v>111750000</v>
      </c>
      <c r="H57" s="16"/>
      <c r="I57" s="16"/>
      <c r="J57" s="16"/>
      <c r="K57" s="16"/>
      <c r="L57" s="16"/>
      <c r="M57" s="16"/>
      <c r="N57" s="16"/>
      <c r="O57" s="16"/>
      <c r="P57" s="16"/>
      <c r="Q57" s="16"/>
      <c r="R57" s="16"/>
      <c r="S57" s="16"/>
      <c r="T57" s="16"/>
      <c r="U57" s="16"/>
      <c r="V57" s="16"/>
      <c r="W57" s="16"/>
      <c r="X57" s="16"/>
      <c r="Y57" s="16"/>
      <c r="Z57" s="16"/>
    </row>
    <row r="58">
      <c r="A58" s="16" t="str">
        <f>IFERROR(__xludf.DUMMYFUNCTION("""COMPUTED_VALUE"""),"Coral Hat")</f>
        <v>Coral Hat</v>
      </c>
      <c r="B58" s="16"/>
      <c r="C58" s="16"/>
      <c r="D58" s="16" t="str">
        <f>IFERROR(__xludf.DUMMYFUNCTION("""COMPUTED_VALUE"""),"Head")</f>
        <v>Head</v>
      </c>
      <c r="E58" s="16">
        <f>IFERROR(__xludf.DUMMYFUNCTION("""COMPUTED_VALUE"""),20.0)</f>
        <v>20</v>
      </c>
      <c r="F58" s="16" t="str">
        <f>IFERROR(__xludf.DUMMYFUNCTION("""COMPUTED_VALUE"""),"DEF: +800 ++Immunity to water damage.")</f>
        <v>DEF: +800 ++Immunity to water damage.</v>
      </c>
      <c r="G58" s="16">
        <f>IFERROR(__xludf.DUMMYFUNCTION("""COMPUTED_VALUE"""),1000.0)</f>
        <v>1000</v>
      </c>
      <c r="H58" s="16"/>
      <c r="I58" s="16"/>
      <c r="J58" s="16"/>
      <c r="K58" s="16"/>
      <c r="L58" s="16"/>
      <c r="M58" s="16"/>
      <c r="N58" s="16"/>
      <c r="O58" s="16"/>
      <c r="P58" s="16"/>
      <c r="Q58" s="16"/>
      <c r="R58" s="16"/>
      <c r="S58" s="16"/>
      <c r="T58" s="16"/>
      <c r="U58" s="16"/>
      <c r="V58" s="16"/>
      <c r="W58" s="16"/>
      <c r="X58" s="16"/>
      <c r="Y58" s="16"/>
      <c r="Z58" s="16"/>
    </row>
    <row r="59">
      <c r="A59" s="16" t="str">
        <f>IFERROR(__xludf.DUMMYFUNCTION("""COMPUTED_VALUE"""),"Critical Vanish Armor")</f>
        <v>Critical Vanish Armor</v>
      </c>
      <c r="B59" s="16"/>
      <c r="C59" s="16"/>
      <c r="D59" s="16" t="str">
        <f>IFERROR(__xludf.DUMMYFUNCTION("""COMPUTED_VALUE"""),"Torso")</f>
        <v>Torso</v>
      </c>
      <c r="E59" s="16">
        <f>IFERROR(__xludf.DUMMYFUNCTION("""COMPUTED_VALUE"""),10.0)</f>
        <v>10</v>
      </c>
      <c r="F59" s="16" t="str">
        <f>IFERROR(__xludf.DUMMYFUNCTION("""COMPUTED_VALUE"""),"DEF: +500 ++will negate a critical hit to the wearer")</f>
        <v>DEF: +500 ++will negate a critical hit to the wearer</v>
      </c>
      <c r="G59" s="16">
        <f>IFERROR(__xludf.DUMMYFUNCTION("""COMPUTED_VALUE"""),1000.0)</f>
        <v>1000</v>
      </c>
      <c r="H59" s="16"/>
      <c r="I59" s="16"/>
      <c r="J59" s="16"/>
      <c r="K59" s="16"/>
      <c r="L59" s="16"/>
      <c r="M59" s="16"/>
      <c r="N59" s="16"/>
      <c r="O59" s="16"/>
      <c r="P59" s="16"/>
      <c r="Q59" s="16"/>
      <c r="R59" s="16"/>
      <c r="S59" s="16"/>
      <c r="T59" s="16"/>
      <c r="U59" s="16"/>
      <c r="V59" s="16"/>
      <c r="W59" s="16"/>
      <c r="X59" s="16"/>
      <c r="Y59" s="16"/>
      <c r="Z59" s="16"/>
    </row>
    <row r="60">
      <c r="A60" s="16" t="str">
        <f>IFERROR(__xludf.DUMMYFUNCTION("""COMPUTED_VALUE"""),"Crow Staff")</f>
        <v>Crow Staff</v>
      </c>
      <c r="B60" s="16"/>
      <c r="C60" s="16" t="str">
        <f>IFERROR(__xludf.DUMMYFUNCTION("""COMPUTED_VALUE"""),"Staff")</f>
        <v>Staff</v>
      </c>
      <c r="D60" s="16" t="str">
        <f>IFERROR(__xludf.DUMMYFUNCTION("""COMPUTED_VALUE"""),"Hand")</f>
        <v>Hand</v>
      </c>
      <c r="E60" s="16">
        <f>IFERROR(__xludf.DUMMYFUNCTION("""COMPUTED_VALUE"""),400.0)</f>
        <v>400</v>
      </c>
      <c r="F60" s="16" t="str">
        <f>IFERROR(__xludf.DUMMYFUNCTION("""COMPUTED_VALUE"""),"DMG: +10000, Dark DMG: +10000 ++Swarm: inflicts 10000 bleed to all enemies. +- 300SP")</f>
        <v>DMG: +10000, Dark DMG: +10000 ++Swarm: inflicts 10000 bleed to all enemies. +- 300SP</v>
      </c>
      <c r="G60" s="16">
        <f>IFERROR(__xludf.DUMMYFUNCTION("""COMPUTED_VALUE"""),7800000.0)</f>
        <v>7800000</v>
      </c>
      <c r="H60" s="16"/>
      <c r="I60" s="16"/>
      <c r="J60" s="16"/>
      <c r="K60" s="16"/>
      <c r="L60" s="16"/>
      <c r="M60" s="16"/>
      <c r="N60" s="16"/>
      <c r="O60" s="16"/>
      <c r="P60" s="16"/>
      <c r="Q60" s="16"/>
      <c r="R60" s="16"/>
      <c r="S60" s="16"/>
      <c r="T60" s="16"/>
      <c r="U60" s="16"/>
      <c r="V60" s="16"/>
      <c r="W60" s="16"/>
      <c r="X60" s="16"/>
      <c r="Y60" s="16"/>
      <c r="Z60" s="16"/>
    </row>
    <row r="61">
      <c r="A61" s="16" t="str">
        <f>IFERROR(__xludf.DUMMYFUNCTION("""COMPUTED_VALUE"""),"Crown of Control")</f>
        <v>Crown of Control</v>
      </c>
      <c r="B61" s="16"/>
      <c r="C61" s="16"/>
      <c r="D61" s="16" t="str">
        <f>IFERROR(__xludf.DUMMYFUNCTION("""COMPUTED_VALUE"""),"Head")</f>
        <v>Head</v>
      </c>
      <c r="E61" s="16">
        <f>IFERROR(__xludf.DUMMYFUNCTION("""COMPUTED_VALUE"""),300.0)</f>
        <v>300</v>
      </c>
      <c r="F61" s="16" t="str">
        <f>IFERROR(__xludf.DUMMYFUNCTION("""COMPUTED_VALUE"""),"DEF: +15000 ++Select one target and choose an action for them during your turn (This counts as a form of possession) Fail/Succeed. +-Cannot be duplicated. ")</f>
        <v>DEF: +15000 ++Select one target and choose an action for them during your turn (This counts as a form of possession) Fail/Succeed. +-Cannot be duplicated. </v>
      </c>
      <c r="G61" s="16">
        <f>IFERROR(__xludf.DUMMYFUNCTION("""COMPUTED_VALUE"""),4350000.0)</f>
        <v>4350000</v>
      </c>
      <c r="H61" s="16"/>
      <c r="I61" s="16"/>
      <c r="J61" s="16"/>
      <c r="K61" s="16"/>
      <c r="L61" s="16"/>
      <c r="M61" s="16"/>
      <c r="N61" s="16"/>
      <c r="O61" s="16"/>
      <c r="P61" s="16"/>
      <c r="Q61" s="16"/>
      <c r="R61" s="16"/>
      <c r="S61" s="16"/>
      <c r="T61" s="16"/>
      <c r="U61" s="16"/>
      <c r="V61" s="16"/>
      <c r="W61" s="16"/>
      <c r="X61" s="16"/>
      <c r="Y61" s="16"/>
      <c r="Z61" s="16"/>
    </row>
    <row r="62">
      <c r="A62" s="16" t="str">
        <f>IFERROR(__xludf.DUMMYFUNCTION("""COMPUTED_VALUE"""),"Crown of Ice Spears")</f>
        <v>Crown of Ice Spears</v>
      </c>
      <c r="B62" s="16"/>
      <c r="C62" s="16"/>
      <c r="D62" s="16" t="str">
        <f>IFERROR(__xludf.DUMMYFUNCTION("""COMPUTED_VALUE"""),"Head")</f>
        <v>Head</v>
      </c>
      <c r="E62" s="16">
        <f>IFERROR(__xludf.DUMMYFUNCTION("""COMPUTED_VALUE"""),200.0)</f>
        <v>200</v>
      </c>
      <c r="F62" s="16" t="str">
        <f>IFERROR(__xludf.DUMMYFUNCTION("""COMPUTED_VALUE"""),"DEF: +10000 (The Frozen Spear Master Set) ++Frost Boost- X2 Storm damage. ++All weapon attacks have a 25% chance to freeze whoever you hit")</f>
        <v>DEF: +10000 (The Frozen Spear Master Set) ++Frost Boost- X2 Storm damage. ++All weapon attacks have a 25% chance to freeze whoever you hit</v>
      </c>
      <c r="G62" s="16">
        <f>IFERROR(__xludf.DUMMYFUNCTION("""COMPUTED_VALUE"""),1900000.0)</f>
        <v>1900000</v>
      </c>
      <c r="H62" s="16"/>
      <c r="I62" s="16"/>
      <c r="J62" s="16"/>
      <c r="K62" s="16"/>
      <c r="L62" s="16"/>
      <c r="M62" s="16"/>
      <c r="N62" s="16"/>
      <c r="O62" s="16"/>
      <c r="P62" s="16"/>
      <c r="Q62" s="16"/>
      <c r="R62" s="16"/>
      <c r="S62" s="16"/>
      <c r="T62" s="16"/>
      <c r="U62" s="16"/>
      <c r="V62" s="16"/>
      <c r="W62" s="16"/>
      <c r="X62" s="16"/>
      <c r="Y62" s="16"/>
      <c r="Z62" s="16"/>
    </row>
    <row r="63">
      <c r="A63" s="16" t="str">
        <f>IFERROR(__xludf.DUMMYFUNCTION("""COMPUTED_VALUE"""),"Crown of the Forgotten")</f>
        <v>Crown of the Forgotten</v>
      </c>
      <c r="B63" s="16"/>
      <c r="C63" s="16"/>
      <c r="D63" s="16" t="str">
        <f>IFERROR(__xludf.DUMMYFUNCTION("""COMPUTED_VALUE"""),"Head")</f>
        <v>Head</v>
      </c>
      <c r="E63" s="16">
        <f>IFERROR(__xludf.DUMMYFUNCTION("""COMPUTED_VALUE"""),20.0)</f>
        <v>20</v>
      </c>
      <c r="F63" s="16" t="str">
        <f>IFERROR(__xludf.DUMMYFUNCTION("""COMPUTED_VALUE"""),"DEF: +1000 ++Immunity to Dark, Chaos, Fire, and Nature damage. ++Only Undead can equip. ++This item effect bypasses the Undead race ability. +-Cannot be duplicated.")</f>
        <v>DEF: +1000 ++Immunity to Dark, Chaos, Fire, and Nature damage. ++Only Undead can equip. ++This item effect bypasses the Undead race ability. +-Cannot be duplicated.</v>
      </c>
      <c r="G63" s="16">
        <f>IFERROR(__xludf.DUMMYFUNCTION("""COMPUTED_VALUE"""),10000.0)</f>
        <v>10000</v>
      </c>
      <c r="H63" s="16"/>
      <c r="I63" s="16"/>
      <c r="J63" s="16"/>
      <c r="K63" s="16"/>
      <c r="L63" s="16"/>
      <c r="M63" s="16"/>
      <c r="N63" s="16"/>
      <c r="O63" s="16"/>
      <c r="P63" s="16"/>
      <c r="Q63" s="16"/>
      <c r="R63" s="16"/>
      <c r="S63" s="16"/>
      <c r="T63" s="16"/>
      <c r="U63" s="16"/>
      <c r="V63" s="16"/>
      <c r="W63" s="16"/>
      <c r="X63" s="16"/>
      <c r="Y63" s="16"/>
      <c r="Z63" s="16"/>
    </row>
    <row r="64">
      <c r="A64" s="16" t="str">
        <f>IFERROR(__xludf.DUMMYFUNCTION("""COMPUTED_VALUE"""),"Crown Of The Sea Serpent")</f>
        <v>Crown Of The Sea Serpent</v>
      </c>
      <c r="B64" s="16"/>
      <c r="C64" s="16"/>
      <c r="D64" s="16" t="str">
        <f>IFERROR(__xludf.DUMMYFUNCTION("""COMPUTED_VALUE"""),"Head")</f>
        <v>Head</v>
      </c>
      <c r="E64" s="16">
        <f>IFERROR(__xludf.DUMMYFUNCTION("""COMPUTED_VALUE"""),1.0)</f>
        <v>1</v>
      </c>
      <c r="F64" s="16" t="str">
        <f>IFERROR(__xludf.DUMMYFUNCTION("""COMPUTED_VALUE""")," ++X4 additional water damage for the user, ++Water spells cost half sp, +-Cannot be duplicated.")</f>
        <v> ++X4 additional water damage for the user, ++Water spells cost half sp, +-Cannot be duplicated.</v>
      </c>
      <c r="G64" s="16">
        <f>IFERROR(__xludf.DUMMYFUNCTION("""COMPUTED_VALUE"""),0.0)</f>
        <v>0</v>
      </c>
      <c r="H64" s="16"/>
      <c r="I64" s="16"/>
      <c r="J64" s="16"/>
      <c r="K64" s="16"/>
      <c r="L64" s="16"/>
      <c r="M64" s="16"/>
      <c r="N64" s="16"/>
      <c r="O64" s="16"/>
      <c r="P64" s="16"/>
      <c r="Q64" s="16"/>
      <c r="R64" s="16"/>
      <c r="S64" s="16"/>
      <c r="T64" s="16"/>
      <c r="U64" s="16"/>
      <c r="V64" s="16"/>
      <c r="W64" s="16"/>
      <c r="X64" s="16"/>
      <c r="Y64" s="16"/>
      <c r="Z64" s="16"/>
    </row>
    <row r="65">
      <c r="A65" s="16" t="str">
        <f>IFERROR(__xludf.DUMMYFUNCTION("""COMPUTED_VALUE"""),"Crown Of Tritonoch")</f>
        <v>Crown Of Tritonoch</v>
      </c>
      <c r="B65" s="16"/>
      <c r="C65" s="16"/>
      <c r="D65" s="16" t="str">
        <f>IFERROR(__xludf.DUMMYFUNCTION("""COMPUTED_VALUE"""),"Head")</f>
        <v>Head</v>
      </c>
      <c r="E65" s="16">
        <f>IFERROR(__xludf.DUMMYFUNCTION("""COMPUTED_VALUE"""),400.0)</f>
        <v>400</v>
      </c>
      <c r="F65" s="16" t="str">
        <f>IFERROR(__xludf.DUMMYFUNCTION("""COMPUTED_VALUE"""),"DEF: +20000 ++Waves of Entitlement - x5 additional Water damage")</f>
        <v>DEF: +20000 ++Waves of Entitlement - x5 additional Water damage</v>
      </c>
      <c r="G65" s="16">
        <f>IFERROR(__xludf.DUMMYFUNCTION("""COMPUTED_VALUE"""),7800000.0)</f>
        <v>7800000</v>
      </c>
      <c r="H65" s="16"/>
      <c r="I65" s="16"/>
      <c r="J65" s="16"/>
      <c r="K65" s="16"/>
      <c r="L65" s="16"/>
      <c r="M65" s="16"/>
      <c r="N65" s="16"/>
      <c r="O65" s="16"/>
      <c r="P65" s="16"/>
      <c r="Q65" s="16"/>
      <c r="R65" s="16"/>
      <c r="S65" s="16"/>
      <c r="T65" s="16"/>
      <c r="U65" s="16"/>
      <c r="V65" s="16"/>
      <c r="W65" s="16"/>
      <c r="X65" s="16"/>
      <c r="Y65" s="16"/>
      <c r="Z65" s="16"/>
    </row>
    <row r="66">
      <c r="A66" s="16" t="str">
        <f>IFERROR(__xludf.DUMMYFUNCTION("""COMPUTED_VALUE"""),"Cryogenic Claymore")</f>
        <v>Cryogenic Claymore</v>
      </c>
      <c r="B66" s="16" t="str">
        <f>IFERROR(__xludf.DUMMYFUNCTION("""COMPUTED_VALUE"""),"(The Frozen Blade Master Set)")</f>
        <v>(The Frozen Blade Master Set)</v>
      </c>
      <c r="C66" s="16" t="str">
        <f>IFERROR(__xludf.DUMMYFUNCTION("""COMPUTED_VALUE"""),"Sword")</f>
        <v>Sword</v>
      </c>
      <c r="D66" s="16" t="str">
        <f>IFERROR(__xludf.DUMMYFUNCTION("""COMPUTED_VALUE"""),"Hand")</f>
        <v>Hand</v>
      </c>
      <c r="E66" s="16">
        <f>IFERROR(__xludf.DUMMYFUNCTION("""COMPUTED_VALUE"""),400.0)</f>
        <v>400</v>
      </c>
      <c r="F66" s="16" t="str">
        <f>IFERROR(__xludf.DUMMYFUNCTION("""COMPUTED_VALUE"""),"DMG: +10000, Water DMG: +10000 ++10% chance to freeze all enemies.")</f>
        <v>DMG: +10000, Water DMG: +10000 ++10% chance to freeze all enemies.</v>
      </c>
      <c r="G66" s="16">
        <f>IFERROR(__xludf.DUMMYFUNCTION("""COMPUTED_VALUE"""),7800000.0)</f>
        <v>7800000</v>
      </c>
      <c r="H66" s="16"/>
      <c r="I66" s="16"/>
      <c r="J66" s="16"/>
      <c r="K66" s="16"/>
      <c r="L66" s="16"/>
      <c r="M66" s="16"/>
      <c r="N66" s="16"/>
      <c r="O66" s="16"/>
      <c r="P66" s="16"/>
      <c r="Q66" s="16"/>
      <c r="R66" s="16"/>
      <c r="S66" s="16"/>
      <c r="T66" s="16"/>
      <c r="U66" s="16"/>
      <c r="V66" s="16"/>
      <c r="W66" s="16"/>
      <c r="X66" s="16"/>
      <c r="Y66" s="16"/>
      <c r="Z66" s="16"/>
    </row>
    <row r="67">
      <c r="A67" s="16" t="str">
        <f>IFERROR(__xludf.DUMMYFUNCTION("""COMPUTED_VALUE"""),"Crystal Forged Helmet")</f>
        <v>Crystal Forged Helmet</v>
      </c>
      <c r="B67" s="16"/>
      <c r="C67" s="16"/>
      <c r="D67" s="16" t="str">
        <f>IFERROR(__xludf.DUMMYFUNCTION("""COMPUTED_VALUE"""),"Head")</f>
        <v>Head</v>
      </c>
      <c r="E67" s="16">
        <f>IFERROR(__xludf.DUMMYFUNCTION("""COMPUTED_VALUE"""),200.0)</f>
        <v>200</v>
      </c>
      <c r="F67" s="16" t="str">
        <f>IFERROR(__xludf.DUMMYFUNCTION("""COMPUTED_VALUE"""),"DEF: +10000 ++When equipped, Gem and Crystal related weapons deal an additional X2 damage for the user.")</f>
        <v>DEF: +10000 ++When equipped, Gem and Crystal related weapons deal an additional X2 damage for the user.</v>
      </c>
      <c r="G67" s="16">
        <f>IFERROR(__xludf.DUMMYFUNCTION("""COMPUTED_VALUE"""),1900000.0)</f>
        <v>1900000</v>
      </c>
      <c r="H67" s="16"/>
      <c r="I67" s="16"/>
      <c r="J67" s="16"/>
      <c r="K67" s="16"/>
      <c r="L67" s="16"/>
      <c r="M67" s="16"/>
      <c r="N67" s="16"/>
      <c r="O67" s="16"/>
      <c r="P67" s="16"/>
      <c r="Q67" s="16"/>
      <c r="R67" s="16"/>
      <c r="S67" s="16"/>
      <c r="T67" s="16"/>
      <c r="U67" s="16"/>
      <c r="V67" s="16"/>
      <c r="W67" s="16"/>
      <c r="X67" s="16"/>
      <c r="Y67" s="16"/>
      <c r="Z67" s="16"/>
    </row>
    <row r="68">
      <c r="A68" s="16" t="str">
        <f>IFERROR(__xludf.DUMMYFUNCTION("""COMPUTED_VALUE"""),"Crystal Forged Axe")</f>
        <v>Crystal Forged Axe</v>
      </c>
      <c r="B68" s="16"/>
      <c r="C68" s="16"/>
      <c r="D68" s="16" t="str">
        <f>IFERROR(__xludf.DUMMYFUNCTION("""COMPUTED_VALUE"""),"Hand")</f>
        <v>Hand</v>
      </c>
      <c r="E68" s="16">
        <f>IFERROR(__xludf.DUMMYFUNCTION("""COMPUTED_VALUE"""),400.0)</f>
        <v>400</v>
      </c>
      <c r="F68" s="16" t="str">
        <f>IFERROR(__xludf.DUMMYFUNCTION("""COMPUTED_VALUE"""),"DMG: +10000, Earth DMG: +10000 ++When equipped, Gem and Crystal related weapons deal an additional X6 damage for the user.")</f>
        <v>DMG: +10000, Earth DMG: +10000 ++When equipped, Gem and Crystal related weapons deal an additional X6 damage for the user.</v>
      </c>
      <c r="G68" s="16">
        <f>IFERROR(__xludf.DUMMYFUNCTION("""COMPUTED_VALUE"""),7800000.0)</f>
        <v>7800000</v>
      </c>
      <c r="H68" s="16"/>
      <c r="I68" s="16"/>
      <c r="J68" s="16"/>
      <c r="K68" s="16"/>
      <c r="L68" s="16"/>
      <c r="M68" s="16"/>
      <c r="N68" s="16"/>
      <c r="O68" s="16"/>
      <c r="P68" s="16"/>
      <c r="Q68" s="16"/>
      <c r="R68" s="16"/>
      <c r="S68" s="16"/>
      <c r="T68" s="16"/>
      <c r="U68" s="16"/>
      <c r="V68" s="16"/>
      <c r="W68" s="16"/>
      <c r="X68" s="16"/>
      <c r="Y68" s="16"/>
      <c r="Z68" s="16"/>
    </row>
    <row r="69">
      <c r="A69" s="16" t="str">
        <f>IFERROR(__xludf.DUMMYFUNCTION("""COMPUTED_VALUE"""),"Crystal Forged Chestplate")</f>
        <v>Crystal Forged Chestplate</v>
      </c>
      <c r="B69" s="16"/>
      <c r="C69" s="16"/>
      <c r="D69" s="16" t="str">
        <f>IFERROR(__xludf.DUMMYFUNCTION("""COMPUTED_VALUE"""),"Torso")</f>
        <v>Torso</v>
      </c>
      <c r="E69" s="16">
        <f>IFERROR(__xludf.DUMMYFUNCTION("""COMPUTED_VALUE"""),200.0)</f>
        <v>200</v>
      </c>
      <c r="F69"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69" s="16">
        <f>IFERROR(__xludf.DUMMYFUNCTION("""COMPUTED_VALUE"""),1900000.0)</f>
        <v>1900000</v>
      </c>
      <c r="H69" s="16"/>
      <c r="I69" s="16"/>
      <c r="J69" s="16"/>
      <c r="K69" s="16"/>
      <c r="L69" s="16"/>
      <c r="M69" s="16"/>
      <c r="N69" s="16"/>
      <c r="O69" s="16"/>
      <c r="P69" s="16"/>
      <c r="Q69" s="16"/>
      <c r="R69" s="16"/>
      <c r="S69" s="16"/>
      <c r="T69" s="16"/>
      <c r="U69" s="16"/>
      <c r="V69" s="16"/>
      <c r="W69" s="16"/>
      <c r="X69" s="16"/>
      <c r="Y69" s="16"/>
      <c r="Z69" s="16"/>
    </row>
    <row r="70">
      <c r="A70" s="16" t="str">
        <f>IFERROR(__xludf.DUMMYFUNCTION("""COMPUTED_VALUE"""),"Crystal Healing Amulet")</f>
        <v>Crystal Healing Amulet</v>
      </c>
      <c r="B70" s="16"/>
      <c r="C70" s="16"/>
      <c r="D70" s="16" t="str">
        <f>IFERROR(__xludf.DUMMYFUNCTION("""COMPUTED_VALUE"""),"Neck")</f>
        <v>Neck</v>
      </c>
      <c r="E70" s="16">
        <f>IFERROR(__xludf.DUMMYFUNCTION("""COMPUTED_VALUE"""),1.0)</f>
        <v>1</v>
      </c>
      <c r="F70" s="16" t="str">
        <f>IFERROR(__xludf.DUMMYFUNCTION("""COMPUTED_VALUE""")," ++Crystal Aura - Protected from death once per battle, can only use the effect of ""Crystal Aura"" once per battle. +-Can only have one equipped.    +-Cannot be duplicated.")</f>
        <v> ++Crystal Aura - Protected from death once per battle, can only use the effect of "Crystal Aura" once per battle. +-Can only have one equipped.    +-Cannot be duplicated.</v>
      </c>
      <c r="G70" s="16">
        <f>IFERROR(__xludf.DUMMYFUNCTION("""COMPUTED_VALUE"""),0.0)</f>
        <v>0</v>
      </c>
      <c r="H70" s="16"/>
      <c r="I70" s="16"/>
      <c r="J70" s="16"/>
      <c r="K70" s="16"/>
      <c r="L70" s="16"/>
      <c r="M70" s="16"/>
      <c r="N70" s="16"/>
      <c r="O70" s="16"/>
      <c r="P70" s="16"/>
      <c r="Q70" s="16"/>
      <c r="R70" s="16"/>
      <c r="S70" s="16"/>
      <c r="T70" s="16"/>
      <c r="U70" s="16"/>
      <c r="V70" s="16"/>
      <c r="W70" s="16"/>
      <c r="X70" s="16"/>
      <c r="Y70" s="16"/>
      <c r="Z70" s="16"/>
    </row>
    <row r="71">
      <c r="A71" s="16" t="str">
        <f>IFERROR(__xludf.DUMMYFUNCTION("""COMPUTED_VALUE"""),"Crystal Longsword")</f>
        <v>Crystal Longsword</v>
      </c>
      <c r="B71" s="16"/>
      <c r="C71" s="16" t="str">
        <f>IFERROR(__xludf.DUMMYFUNCTION("""COMPUTED_VALUE"""),"Sword")</f>
        <v>Sword</v>
      </c>
      <c r="D71" s="16" t="str">
        <f>IFERROR(__xludf.DUMMYFUNCTION("""COMPUTED_VALUE"""),"Hand")</f>
        <v>Hand</v>
      </c>
      <c r="E71" s="16">
        <f>IFERROR(__xludf.DUMMYFUNCTION("""COMPUTED_VALUE"""),200.0)</f>
        <v>200</v>
      </c>
      <c r="F71" s="16" t="str">
        <f>IFERROR(__xludf.DUMMYFUNCTION("""COMPUTED_VALUE"""),"DMG: +5000, Earth DMG: +5000 ++When equipped, Gem and Crystal related weapons deal an additional X4 damage for the user.")</f>
        <v>DMG: +5000, Earth DMG: +5000 ++When equipped, Gem and Crystal related weapons deal an additional X4 damage for the user.</v>
      </c>
      <c r="G71" s="16">
        <f>IFERROR(__xludf.DUMMYFUNCTION("""COMPUTED_VALUE"""),1900000.0)</f>
        <v>1900000</v>
      </c>
      <c r="H71" s="16"/>
      <c r="I71" s="16"/>
      <c r="J71" s="16"/>
      <c r="K71" s="16"/>
      <c r="L71" s="16"/>
      <c r="M71" s="16"/>
      <c r="N71" s="16"/>
      <c r="O71" s="16"/>
      <c r="P71" s="16"/>
      <c r="Q71" s="16"/>
      <c r="R71" s="16"/>
      <c r="S71" s="16"/>
      <c r="T71" s="16"/>
      <c r="U71" s="16"/>
      <c r="V71" s="16"/>
      <c r="W71" s="16"/>
      <c r="X71" s="16"/>
      <c r="Y71" s="16"/>
      <c r="Z71" s="16"/>
    </row>
    <row r="72">
      <c r="A72" s="16" t="str">
        <f>IFERROR(__xludf.DUMMYFUNCTION("""COMPUTED_VALUE"""),"Crystal Ring")</f>
        <v>Crystal Ring</v>
      </c>
      <c r="B72" s="16"/>
      <c r="C72" s="16"/>
      <c r="D72" s="16" t="str">
        <f>IFERROR(__xludf.DUMMYFUNCTION("""COMPUTED_VALUE"""),"Ring")</f>
        <v>Ring</v>
      </c>
      <c r="E72" s="16">
        <f>IFERROR(__xludf.DUMMYFUNCTION("""COMPUTED_VALUE"""),1.0)</f>
        <v>1</v>
      </c>
      <c r="F72" s="16" t="str">
        <f>IFERROR(__xludf.DUMMYFUNCTION("""COMPUTED_VALUE""")," ++When equipped, Gem and Crystal related weapons deal an additional X2 damage for the user.")</f>
        <v> ++When equipped, Gem and Crystal related weapons deal an additional X2 damage for the user.</v>
      </c>
      <c r="G72" s="16">
        <f>IFERROR(__xludf.DUMMYFUNCTION("""COMPUTED_VALUE"""),0.0)</f>
        <v>0</v>
      </c>
      <c r="H72" s="16"/>
      <c r="I72" s="16"/>
      <c r="J72" s="16"/>
      <c r="K72" s="16"/>
      <c r="L72" s="16"/>
      <c r="M72" s="16"/>
      <c r="N72" s="16"/>
      <c r="O72" s="16"/>
      <c r="P72" s="16"/>
      <c r="Q72" s="16"/>
      <c r="R72" s="16"/>
      <c r="S72" s="16"/>
      <c r="T72" s="16"/>
      <c r="U72" s="16"/>
      <c r="V72" s="16"/>
      <c r="W72" s="16"/>
      <c r="X72" s="16"/>
      <c r="Y72" s="16"/>
      <c r="Z72" s="16"/>
    </row>
    <row r="73">
      <c r="A73" s="16" t="str">
        <f>IFERROR(__xludf.DUMMYFUNCTION("""COMPUTED_VALUE"""),"Crystal Shield")</f>
        <v>Crystal Shield</v>
      </c>
      <c r="B73" s="16"/>
      <c r="C73" s="16" t="str">
        <f>IFERROR(__xludf.DUMMYFUNCTION("""COMPUTED_VALUE"""),"Buckler")</f>
        <v>Buckler</v>
      </c>
      <c r="D73" s="16" t="str">
        <f>IFERROR(__xludf.DUMMYFUNCTION("""COMPUTED_VALUE"""),"Hand")</f>
        <v>Hand</v>
      </c>
      <c r="E73" s="16">
        <f>IFERROR(__xludf.DUMMYFUNCTION("""COMPUTED_VALUE"""),200.0)</f>
        <v>200</v>
      </c>
      <c r="F73" s="16" t="str">
        <f>IFERROR(__xludf.DUMMYFUNCTION("""COMPUTED_VALUE"""),"DEF: +10000 ++Take half damage from Gem and Crystal related weapons.")</f>
        <v>DEF: +10000 ++Take half damage from Gem and Crystal related weapons.</v>
      </c>
      <c r="G73" s="16">
        <f>IFERROR(__xludf.DUMMYFUNCTION("""COMPUTED_VALUE"""),1900000.0)</f>
        <v>1900000</v>
      </c>
      <c r="H73" s="16"/>
      <c r="I73" s="16"/>
      <c r="J73" s="16"/>
      <c r="K73" s="16"/>
      <c r="L73" s="16"/>
      <c r="M73" s="16"/>
      <c r="N73" s="16"/>
      <c r="O73" s="16"/>
      <c r="P73" s="16"/>
      <c r="Q73" s="16"/>
      <c r="R73" s="16"/>
      <c r="S73" s="16"/>
      <c r="T73" s="16"/>
      <c r="U73" s="16"/>
      <c r="V73" s="16"/>
      <c r="W73" s="16"/>
      <c r="X73" s="16"/>
      <c r="Y73" s="16"/>
      <c r="Z73" s="16"/>
    </row>
    <row r="74">
      <c r="A74" s="16" t="str">
        <f>IFERROR(__xludf.DUMMYFUNCTION("""COMPUTED_VALUE"""),"Crystal Staff")</f>
        <v>Crystal Staff</v>
      </c>
      <c r="B74" s="16"/>
      <c r="C74" s="16" t="str">
        <f>IFERROR(__xludf.DUMMYFUNCTION("""COMPUTED_VALUE"""),"Staff")</f>
        <v>Staff</v>
      </c>
      <c r="D74" s="16" t="str">
        <f>IFERROR(__xludf.DUMMYFUNCTION("""COMPUTED_VALUE"""),"Hand")</f>
        <v>Hand</v>
      </c>
      <c r="E74" s="16">
        <f>IFERROR(__xludf.DUMMYFUNCTION("""COMPUTED_VALUE"""),1.0)</f>
        <v>1</v>
      </c>
      <c r="F74" s="16" t="str">
        <f>IFERROR(__xludf.DUMMYFUNCTION("""COMPUTED_VALUE""")," ++Creates a Crystal like barrier around you making it so weapons deal no damage to you for 3 rounds, 500SP. ++1000 Additional HP and SP while equipped.")</f>
        <v> ++Creates a Crystal like barrier around you making it so weapons deal no damage to you for 3 rounds, 500SP. ++1000 Additional HP and SP while equipped.</v>
      </c>
      <c r="G74" s="16">
        <f>IFERROR(__xludf.DUMMYFUNCTION("""COMPUTED_VALUE"""),0.0)</f>
        <v>0</v>
      </c>
      <c r="H74" s="16"/>
      <c r="I74" s="16"/>
      <c r="J74" s="16"/>
      <c r="K74" s="16"/>
      <c r="L74" s="16"/>
      <c r="M74" s="16"/>
      <c r="N74" s="16"/>
      <c r="O74" s="16"/>
      <c r="P74" s="16"/>
      <c r="Q74" s="16"/>
      <c r="R74" s="16"/>
      <c r="S74" s="16"/>
      <c r="T74" s="16"/>
      <c r="U74" s="16"/>
      <c r="V74" s="16"/>
      <c r="W74" s="16"/>
      <c r="X74" s="16"/>
      <c r="Y74" s="16"/>
      <c r="Z74" s="16"/>
    </row>
    <row r="75">
      <c r="A75" s="16" t="str">
        <f>IFERROR(__xludf.DUMMYFUNCTION("""COMPUTED_VALUE"""),"Crystal Sword")</f>
        <v>Crystal Sword</v>
      </c>
      <c r="B75" s="16"/>
      <c r="C75" s="16" t="str">
        <f>IFERROR(__xludf.DUMMYFUNCTION("""COMPUTED_VALUE"""),"Sword")</f>
        <v>Sword</v>
      </c>
      <c r="D75" s="16" t="str">
        <f>IFERROR(__xludf.DUMMYFUNCTION("""COMPUTED_VALUE"""),"Hand")</f>
        <v>Hand</v>
      </c>
      <c r="E75" s="16">
        <f>IFERROR(__xludf.DUMMYFUNCTION("""COMPUTED_VALUE"""),80.0)</f>
        <v>80</v>
      </c>
      <c r="F75" s="16" t="str">
        <f>IFERROR(__xludf.DUMMYFUNCTION("""COMPUTED_VALUE"""),"DMG: +2000, Earth DMG: +2000 ++When equipped, Gem and Crystal related weapons deal an additional X2 damage for the user.")</f>
        <v>DMG: +2000, Earth DMG: +2000 ++When equipped, Gem and Crystal related weapons deal an additional X2 damage for the user.</v>
      </c>
      <c r="G75" s="16">
        <f>IFERROR(__xludf.DUMMYFUNCTION("""COMPUTED_VALUE"""),280000.0)</f>
        <v>280000</v>
      </c>
      <c r="H75" s="16"/>
      <c r="I75" s="16"/>
      <c r="J75" s="16"/>
      <c r="K75" s="16"/>
      <c r="L75" s="16"/>
      <c r="M75" s="16"/>
      <c r="N75" s="16"/>
      <c r="O75" s="16"/>
      <c r="P75" s="16"/>
      <c r="Q75" s="16"/>
      <c r="R75" s="16"/>
      <c r="S75" s="16"/>
      <c r="T75" s="16"/>
      <c r="U75" s="16"/>
      <c r="V75" s="16"/>
      <c r="W75" s="16"/>
      <c r="X75" s="16"/>
      <c r="Y75" s="16"/>
      <c r="Z75" s="16"/>
    </row>
    <row r="76">
      <c r="A76" s="16" t="str">
        <f>IFERROR(__xludf.DUMMYFUNCTION("""COMPUTED_VALUE"""),"Cursed Blade")</f>
        <v>Cursed Blade</v>
      </c>
      <c r="B76" s="16"/>
      <c r="C76" s="16" t="str">
        <f>IFERROR(__xludf.DUMMYFUNCTION("""COMPUTED_VALUE"""),"Sword")</f>
        <v>Sword</v>
      </c>
      <c r="D76" s="16" t="str">
        <f>IFERROR(__xludf.DUMMYFUNCTION("""COMPUTED_VALUE"""),"Hand")</f>
        <v>Hand</v>
      </c>
      <c r="E76" s="16">
        <f>IFERROR(__xludf.DUMMYFUNCTION("""COMPUTED_VALUE"""),620.0)</f>
        <v>620</v>
      </c>
      <c r="F76" s="16" t="str">
        <f>IFERROR(__xludf.DUMMYFUNCTION("""COMPUTED_VALUE"""),"DMG: +30000, Dark DMG: +1000 +- -5 evasion and mobility while equipped.")</f>
        <v>DMG: +30000, Dark DMG: +1000 +- -5 evasion and mobility while equipped.</v>
      </c>
      <c r="G76" s="16">
        <f>IFERROR(__xludf.DUMMYFUNCTION("""COMPUTED_VALUE"""),1.891E7)</f>
        <v>18910000</v>
      </c>
      <c r="H76" s="16"/>
      <c r="I76" s="16"/>
      <c r="J76" s="16"/>
      <c r="K76" s="16"/>
      <c r="L76" s="16"/>
      <c r="M76" s="16"/>
      <c r="N76" s="16"/>
      <c r="O76" s="16"/>
      <c r="P76" s="16"/>
      <c r="Q76" s="16"/>
      <c r="R76" s="16"/>
      <c r="S76" s="16"/>
      <c r="T76" s="16"/>
      <c r="U76" s="16"/>
      <c r="V76" s="16"/>
      <c r="W76" s="16"/>
      <c r="X76" s="16"/>
      <c r="Y76" s="16"/>
      <c r="Z76" s="16"/>
    </row>
    <row r="77">
      <c r="A77" s="16" t="str">
        <f>IFERROR(__xludf.DUMMYFUNCTION("""COMPUTED_VALUE"""),"Cursed Blade of The Void Realm")</f>
        <v>Cursed Blade of The Void Realm</v>
      </c>
      <c r="B77" s="16"/>
      <c r="C77" s="16" t="str">
        <f>IFERROR(__xludf.DUMMYFUNCTION("""COMPUTED_VALUE"""),"Sword")</f>
        <v>Sword</v>
      </c>
      <c r="D77" s="16" t="str">
        <f>IFERROR(__xludf.DUMMYFUNCTION("""COMPUTED_VALUE"""),"Hand")</f>
        <v>Hand</v>
      </c>
      <c r="E77" s="16">
        <f>IFERROR(__xludf.DUMMYFUNCTION("""COMPUTED_VALUE"""),1.0)</f>
        <v>1</v>
      </c>
      <c r="F77" s="16" t="str">
        <f>IFERROR(__xludf.DUMMYFUNCTION("""COMPUTED_VALUE""")," +-When equipped this item cannot be unequipped for 3 rounds, +-Depletes 1000 SP per round.")</f>
        <v> +-When equipped this item cannot be unequipped for 3 rounds, +-Depletes 1000 SP per round.</v>
      </c>
      <c r="G77" s="16">
        <f>IFERROR(__xludf.DUMMYFUNCTION("""COMPUTED_VALUE"""),0.0)</f>
        <v>0</v>
      </c>
      <c r="H77" s="16"/>
      <c r="I77" s="16"/>
      <c r="J77" s="16"/>
      <c r="K77" s="16"/>
      <c r="L77" s="16"/>
      <c r="M77" s="16"/>
      <c r="N77" s="16"/>
      <c r="O77" s="16"/>
      <c r="P77" s="16"/>
      <c r="Q77" s="16"/>
      <c r="R77" s="16"/>
      <c r="S77" s="16"/>
      <c r="T77" s="16"/>
      <c r="U77" s="16"/>
      <c r="V77" s="16"/>
      <c r="W77" s="16"/>
      <c r="X77" s="16"/>
      <c r="Y77" s="16"/>
      <c r="Z77" s="16"/>
    </row>
    <row r="78">
      <c r="A78" s="16" t="str">
        <f>IFERROR(__xludf.DUMMYFUNCTION("""COMPUTED_VALUE"""),"Dagger")</f>
        <v>Dagger</v>
      </c>
      <c r="B78" s="16" t="str">
        <f>IFERROR(__xludf.DUMMYFUNCTION("""COMPUTED_VALUE"""),"The first weapon ")</f>
        <v>The first weapon </v>
      </c>
      <c r="C78" s="16" t="str">
        <f>IFERROR(__xludf.DUMMYFUNCTION("""COMPUTED_VALUE"""),"Knife")</f>
        <v>Knife</v>
      </c>
      <c r="D78" s="16" t="str">
        <f>IFERROR(__xludf.DUMMYFUNCTION("""COMPUTED_VALUE"""),"Hand")</f>
        <v>Hand</v>
      </c>
      <c r="E78" s="16">
        <f>IFERROR(__xludf.DUMMYFUNCTION("""COMPUTED_VALUE"""),20.0)</f>
        <v>20</v>
      </c>
      <c r="F78" s="16" t="str">
        <f>IFERROR(__xludf.DUMMYFUNCTION("""COMPUTED_VALUE"""),"DMG: +1000")</f>
        <v>DMG: +1000</v>
      </c>
      <c r="G78" s="16">
        <f>IFERROR(__xludf.DUMMYFUNCTION("""COMPUTED_VALUE"""),10000.0)</f>
        <v>10000</v>
      </c>
      <c r="H78" s="16"/>
      <c r="I78" s="16"/>
      <c r="J78" s="16"/>
      <c r="K78" s="16"/>
      <c r="L78" s="16"/>
      <c r="M78" s="16"/>
      <c r="N78" s="16"/>
      <c r="O78" s="16"/>
      <c r="P78" s="16"/>
      <c r="Q78" s="16"/>
      <c r="R78" s="16"/>
      <c r="S78" s="16"/>
      <c r="T78" s="16"/>
      <c r="U78" s="16"/>
      <c r="V78" s="16"/>
      <c r="W78" s="16"/>
      <c r="X78" s="16"/>
      <c r="Y78" s="16"/>
      <c r="Z78" s="16"/>
    </row>
    <row r="79">
      <c r="A79" s="16" t="str">
        <f>IFERROR(__xludf.DUMMYFUNCTION("""COMPUTED_VALUE"""),"Dagger of Flowers")</f>
        <v>Dagger of Flowers</v>
      </c>
      <c r="B79" s="16" t="str">
        <f>IFERROR(__xludf.DUMMYFUNCTION("""COMPUTED_VALUE"""),"(Event Exclusive)")</f>
        <v>(Event Exclusive)</v>
      </c>
      <c r="C79" s="16" t="str">
        <f>IFERROR(__xludf.DUMMYFUNCTION("""COMPUTED_VALUE"""),"Knife")</f>
        <v>Knife</v>
      </c>
      <c r="D79" s="16" t="str">
        <f>IFERROR(__xludf.DUMMYFUNCTION("""COMPUTED_VALUE"""),"Hand")</f>
        <v>Hand</v>
      </c>
      <c r="E79" s="16">
        <f>IFERROR(__xludf.DUMMYFUNCTION("""COMPUTED_VALUE"""),90.0)</f>
        <v>90</v>
      </c>
      <c r="F79" s="16" t="str">
        <f>IFERROR(__xludf.DUMMYFUNCTION("""COMPUTED_VALUE"""),"DMG: +3000, Nature DMG: +1500")</f>
        <v>DMG: +3000, Nature DMG: +1500</v>
      </c>
      <c r="G79" s="16">
        <f>IFERROR(__xludf.DUMMYFUNCTION("""COMPUTED_VALUE"""),360000.0)</f>
        <v>360000</v>
      </c>
      <c r="H79" s="16"/>
      <c r="I79" s="16"/>
      <c r="J79" s="16"/>
      <c r="K79" s="16"/>
      <c r="L79" s="16"/>
      <c r="M79" s="16"/>
      <c r="N79" s="16"/>
      <c r="O79" s="16"/>
      <c r="P79" s="16"/>
      <c r="Q79" s="16"/>
      <c r="R79" s="16"/>
      <c r="S79" s="16"/>
      <c r="T79" s="16"/>
      <c r="U79" s="16"/>
      <c r="V79" s="16"/>
      <c r="W79" s="16"/>
      <c r="X79" s="16"/>
      <c r="Y79" s="16"/>
      <c r="Z79" s="16"/>
    </row>
    <row r="80">
      <c r="A80" s="16" t="str">
        <f>IFERROR(__xludf.DUMMYFUNCTION("""COMPUTED_VALUE"""),"Dagger of The Cultist")</f>
        <v>Dagger of The Cultist</v>
      </c>
      <c r="B80" s="16"/>
      <c r="C80" s="16" t="str">
        <f>IFERROR(__xludf.DUMMYFUNCTION("""COMPUTED_VALUE"""),"Knife")</f>
        <v>Knife</v>
      </c>
      <c r="D80" s="16" t="str">
        <f>IFERROR(__xludf.DUMMYFUNCTION("""COMPUTED_VALUE"""),"Hand")</f>
        <v>Hand</v>
      </c>
      <c r="E80" s="16">
        <f>IFERROR(__xludf.DUMMYFUNCTION("""COMPUTED_VALUE"""),120.0)</f>
        <v>120</v>
      </c>
      <c r="F80" s="16" t="str">
        <f>IFERROR(__xludf.DUMMYFUNCTION("""COMPUTED_VALUE"""),"DMG: +2000, Dark DMG: +2000, Chaos DMG: +2000 (Cultist Set) ++25% chance of instant death to the target.")</f>
        <v>DMG: +2000, Dark DMG: +2000, Chaos DMG: +2000 (Cultist Set) ++25% chance of instant death to the target.</v>
      </c>
      <c r="G80" s="16">
        <f>IFERROR(__xludf.DUMMYFUNCTION("""COMPUTED_VALUE"""),660000.0)</f>
        <v>660000</v>
      </c>
      <c r="H80" s="16"/>
      <c r="I80" s="16"/>
      <c r="J80" s="16"/>
      <c r="K80" s="16"/>
      <c r="L80" s="16"/>
      <c r="M80" s="16"/>
      <c r="N80" s="16"/>
      <c r="O80" s="16"/>
      <c r="P80" s="16"/>
      <c r="Q80" s="16"/>
      <c r="R80" s="16"/>
      <c r="S80" s="16"/>
      <c r="T80" s="16"/>
      <c r="U80" s="16"/>
      <c r="V80" s="16"/>
      <c r="W80" s="16"/>
      <c r="X80" s="16"/>
      <c r="Y80" s="16"/>
      <c r="Z80" s="16"/>
    </row>
    <row r="81">
      <c r="A81" s="16" t="str">
        <f>IFERROR(__xludf.DUMMYFUNCTION("""COMPUTED_VALUE"""),"Dark Ice Sword")</f>
        <v>Dark Ice Sword</v>
      </c>
      <c r="B81" s="16"/>
      <c r="C81" s="16" t="str">
        <f>IFERROR(__xludf.DUMMYFUNCTION("""COMPUTED_VALUE"""),"Sword")</f>
        <v>Sword</v>
      </c>
      <c r="D81" s="16" t="str">
        <f>IFERROR(__xludf.DUMMYFUNCTION("""COMPUTED_VALUE"""),"Hand")</f>
        <v>Hand</v>
      </c>
      <c r="E81" s="16">
        <f>IFERROR(__xludf.DUMMYFUNCTION("""COMPUTED_VALUE"""),20.0)</f>
        <v>20</v>
      </c>
      <c r="F81" s="16" t="str">
        <f>IFERROR(__xludf.DUMMYFUNCTION("""COMPUTED_VALUE"""),"DMG: +600 ++25% Chance to freeze target.")</f>
        <v>DMG: +600 ++25% Chance to freeze target.</v>
      </c>
      <c r="G81" s="16">
        <f>IFERROR(__xludf.DUMMYFUNCTION("""COMPUTED_VALUE"""),1000.0)</f>
        <v>1000</v>
      </c>
      <c r="H81" s="16"/>
      <c r="I81" s="16"/>
      <c r="J81" s="16"/>
      <c r="K81" s="16"/>
      <c r="L81" s="16"/>
      <c r="M81" s="16"/>
      <c r="N81" s="16"/>
      <c r="O81" s="16"/>
      <c r="P81" s="16"/>
      <c r="Q81" s="16"/>
      <c r="R81" s="16"/>
      <c r="S81" s="16"/>
      <c r="T81" s="16"/>
      <c r="U81" s="16"/>
      <c r="V81" s="16"/>
      <c r="W81" s="16"/>
      <c r="X81" s="16"/>
      <c r="Y81" s="16"/>
      <c r="Z81" s="16"/>
    </row>
    <row r="82">
      <c r="A82" s="16" t="str">
        <f>IFERROR(__xludf.DUMMYFUNCTION("""COMPUTED_VALUE"""),"Dark Knight Helm")</f>
        <v>Dark Knight Helm</v>
      </c>
      <c r="B82" s="16"/>
      <c r="C82" s="16"/>
      <c r="D82" s="16" t="str">
        <f>IFERROR(__xludf.DUMMYFUNCTION("""COMPUTED_VALUE"""),"Head")</f>
        <v>Head</v>
      </c>
      <c r="E82" s="16">
        <f>IFERROR(__xludf.DUMMYFUNCTION("""COMPUTED_VALUE"""),10.0)</f>
        <v>10</v>
      </c>
      <c r="F82" s="16" t="str">
        <f>IFERROR(__xludf.DUMMYFUNCTION("""COMPUTED_VALUE"""),"DEF: +500 ++Immune to dark damage")</f>
        <v>DEF: +500 ++Immune to dark damage</v>
      </c>
      <c r="G82" s="16">
        <f>IFERROR(__xludf.DUMMYFUNCTION("""COMPUTED_VALUE"""),1000.0)</f>
        <v>1000</v>
      </c>
      <c r="H82" s="16"/>
      <c r="I82" s="16"/>
      <c r="J82" s="16"/>
      <c r="K82" s="16"/>
      <c r="L82" s="16"/>
      <c r="M82" s="16"/>
      <c r="N82" s="16"/>
      <c r="O82" s="16"/>
      <c r="P82" s="16"/>
      <c r="Q82" s="16"/>
      <c r="R82" s="16"/>
      <c r="S82" s="16"/>
      <c r="T82" s="16"/>
      <c r="U82" s="16"/>
      <c r="V82" s="16"/>
      <c r="W82" s="16"/>
      <c r="X82" s="16"/>
      <c r="Y82" s="16"/>
      <c r="Z82" s="16"/>
    </row>
    <row r="83">
      <c r="A83" s="16" t="str">
        <f>IFERROR(__xludf.DUMMYFUNCTION("""COMPUTED_VALUE"""),"Dark Wand")</f>
        <v>Dark Wand</v>
      </c>
      <c r="B83" s="16"/>
      <c r="C83" s="16" t="str">
        <f>IFERROR(__xludf.DUMMYFUNCTION("""COMPUTED_VALUE"""),"Wand")</f>
        <v>Wand</v>
      </c>
      <c r="D83" s="16" t="str">
        <f>IFERROR(__xludf.DUMMYFUNCTION("""COMPUTED_VALUE"""),"Hand")</f>
        <v>Hand</v>
      </c>
      <c r="E83" s="16">
        <f>IFERROR(__xludf.DUMMYFUNCTION("""COMPUTED_VALUE"""),1.0)</f>
        <v>1</v>
      </c>
      <c r="F83" s="16" t="str">
        <f>IFERROR(__xludf.DUMMYFUNCTION("""COMPUTED_VALUE""")," ++Half the SP cost of dark spells")</f>
        <v> ++Half the SP cost of dark spells</v>
      </c>
      <c r="G83" s="16">
        <f>IFERROR(__xludf.DUMMYFUNCTION("""COMPUTED_VALUE"""),0.0)</f>
        <v>0</v>
      </c>
      <c r="H83" s="16"/>
      <c r="I83" s="16"/>
      <c r="J83" s="16"/>
      <c r="K83" s="16"/>
      <c r="L83" s="16"/>
      <c r="M83" s="16"/>
      <c r="N83" s="16"/>
      <c r="O83" s="16"/>
      <c r="P83" s="16"/>
      <c r="Q83" s="16"/>
      <c r="R83" s="16"/>
      <c r="S83" s="16"/>
      <c r="T83" s="16"/>
      <c r="U83" s="16"/>
      <c r="V83" s="16"/>
      <c r="W83" s="16"/>
      <c r="X83" s="16"/>
      <c r="Y83" s="16"/>
      <c r="Z83" s="16"/>
    </row>
    <row r="84">
      <c r="A84" s="16" t="str">
        <f>IFERROR(__xludf.DUMMYFUNCTION("""COMPUTED_VALUE"""),"Dead Forest Blade")</f>
        <v>Dead Forest Blade</v>
      </c>
      <c r="B84" s="16"/>
      <c r="C84" s="16" t="str">
        <f>IFERROR(__xludf.DUMMYFUNCTION("""COMPUTED_VALUE"""),"Sword")</f>
        <v>Sword</v>
      </c>
      <c r="D84" s="16" t="str">
        <f>IFERROR(__xludf.DUMMYFUNCTION("""COMPUTED_VALUE"""),"Hand")</f>
        <v>Hand</v>
      </c>
      <c r="E84" s="16">
        <f>IFERROR(__xludf.DUMMYFUNCTION("""COMPUTED_VALUE"""),180.0)</f>
        <v>180</v>
      </c>
      <c r="F84" s="16" t="str">
        <f>IFERROR(__xludf.DUMMYFUNCTION("""COMPUTED_VALUE"""),"DMG: +5000, Dark DMG: +4000 ++Darkness Embodiment - When Equipped Any dark and chaos weapons and dark and chaos spells will deal an additional X2 damage.")</f>
        <v>DMG: +5000, Dark DMG: +4000 ++Darkness Embodiment - When Equipped Any dark and chaos weapons and dark and chaos spells will deal an additional X2 damage.</v>
      </c>
      <c r="G84" s="16">
        <f>IFERROR(__xludf.DUMMYFUNCTION("""COMPUTED_VALUE"""),1530000.0)</f>
        <v>1530000</v>
      </c>
      <c r="H84" s="16"/>
      <c r="I84" s="16"/>
      <c r="J84" s="16"/>
      <c r="K84" s="16"/>
      <c r="L84" s="16"/>
      <c r="M84" s="16"/>
      <c r="N84" s="16"/>
      <c r="O84" s="16"/>
      <c r="P84" s="16"/>
      <c r="Q84" s="16"/>
      <c r="R84" s="16"/>
      <c r="S84" s="16"/>
      <c r="T84" s="16"/>
      <c r="U84" s="16"/>
      <c r="V84" s="16"/>
      <c r="W84" s="16"/>
      <c r="X84" s="16"/>
      <c r="Y84" s="16"/>
      <c r="Z84" s="16"/>
    </row>
    <row r="85">
      <c r="A85" s="16" t="str">
        <f>IFERROR(__xludf.DUMMYFUNCTION("""COMPUTED_VALUE"""),"Dead Forest Branch")</f>
        <v>Dead Forest Branch</v>
      </c>
      <c r="B85" s="16"/>
      <c r="C85" s="16" t="str">
        <f>IFERROR(__xludf.DUMMYFUNCTION("""COMPUTED_VALUE"""),"Club")</f>
        <v>Club</v>
      </c>
      <c r="D85" s="16" t="str">
        <f>IFERROR(__xludf.DUMMYFUNCTION("""COMPUTED_VALUE"""),"Hand")</f>
        <v>Hand</v>
      </c>
      <c r="E85" s="16">
        <f>IFERROR(__xludf.DUMMYFUNCTION("""COMPUTED_VALUE"""),200.0)</f>
        <v>200</v>
      </c>
      <c r="F85" s="16" t="str">
        <f>IFERROR(__xludf.DUMMYFUNCTION("""COMPUTED_VALUE"""),", Celestial DMG: +10000000 ++This Branch will deal 10,000,000 celestial damage but it has a 95% chance to break")</f>
        <v>, Celestial DMG: +10000000 ++This Branch will deal 10,000,000 celestial damage but it has a 95% chance to break</v>
      </c>
      <c r="G85" s="16">
        <f>IFERROR(__xludf.DUMMYFUNCTION("""COMPUTED_VALUE"""),2.8788E10)</f>
        <v>28788000000</v>
      </c>
      <c r="H85" s="16"/>
      <c r="I85" s="16"/>
      <c r="J85" s="16"/>
      <c r="K85" s="16"/>
      <c r="L85" s="16"/>
      <c r="M85" s="16"/>
      <c r="N85" s="16"/>
      <c r="O85" s="16"/>
      <c r="P85" s="16"/>
      <c r="Q85" s="16"/>
      <c r="R85" s="16"/>
      <c r="S85" s="16"/>
      <c r="T85" s="16"/>
      <c r="U85" s="16"/>
      <c r="V85" s="16"/>
      <c r="W85" s="16"/>
      <c r="X85" s="16"/>
      <c r="Y85" s="16"/>
      <c r="Z85" s="16"/>
    </row>
    <row r="86">
      <c r="A86" s="16" t="str">
        <f>IFERROR(__xludf.DUMMYFUNCTION("""COMPUTED_VALUE"""),"Death's Scythe")</f>
        <v>Death's Scythe</v>
      </c>
      <c r="B86" s="16"/>
      <c r="C86" s="16" t="str">
        <f>IFERROR(__xludf.DUMMYFUNCTION("""COMPUTED_VALUE"""),"Scythe")</f>
        <v>Scythe</v>
      </c>
      <c r="D86" s="16" t="str">
        <f>IFERROR(__xludf.DUMMYFUNCTION("""COMPUTED_VALUE"""),"Hand")</f>
        <v>Hand</v>
      </c>
      <c r="E86" s="16">
        <f>IFERROR(__xludf.DUMMYFUNCTION("""COMPUTED_VALUE"""),600.0)</f>
        <v>600</v>
      </c>
      <c r="F86" s="16" t="str">
        <f>IFERROR(__xludf.DUMMYFUNCTION("""COMPUTED_VALUE"""),"DMG: +10000, Dark DMG: +10000, Chaos DMG: +10000 ++ +2 Intimidation, ++ +2 Wisdom when rolling a wisdom check for traps. +-Cannot be duplicated, +-Can only equip one.")</f>
        <v>DMG: +10000, Dark DMG: +10000, Chaos DMG: +10000 ++ +2 Intimidation, ++ +2 Wisdom when rolling a wisdom check for traps. +-Cannot be duplicated, +-Can only equip one.</v>
      </c>
      <c r="G86" s="16">
        <f>IFERROR(__xludf.DUMMYFUNCTION("""COMPUTED_VALUE"""),1.77E7)</f>
        <v>17700000</v>
      </c>
      <c r="H86" s="16"/>
      <c r="I86" s="16"/>
      <c r="J86" s="16"/>
      <c r="K86" s="16"/>
      <c r="L86" s="16"/>
      <c r="M86" s="16"/>
      <c r="N86" s="16"/>
      <c r="O86" s="16"/>
      <c r="P86" s="16"/>
      <c r="Q86" s="16"/>
      <c r="R86" s="16"/>
      <c r="S86" s="16"/>
      <c r="T86" s="16"/>
      <c r="U86" s="16"/>
      <c r="V86" s="16"/>
      <c r="W86" s="16"/>
      <c r="X86" s="16"/>
      <c r="Y86" s="16"/>
      <c r="Z86" s="16"/>
    </row>
    <row r="87">
      <c r="A87" s="16" t="str">
        <f>IFERROR(__xludf.DUMMYFUNCTION("""COMPUTED_VALUE"""),"Demonic Scythe of Chaos ")</f>
        <v>Demonic Scythe of Chaos </v>
      </c>
      <c r="B87" s="16"/>
      <c r="C87" s="16" t="str">
        <f>IFERROR(__xludf.DUMMYFUNCTION("""COMPUTED_VALUE"""),"Scythe")</f>
        <v>Scythe</v>
      </c>
      <c r="D87" s="16" t="str">
        <f>IFERROR(__xludf.DUMMYFUNCTION("""COMPUTED_VALUE"""),"Hand")</f>
        <v>Hand</v>
      </c>
      <c r="E87" s="16">
        <f>IFERROR(__xludf.DUMMYFUNCTION("""COMPUTED_VALUE"""),3000.0)</f>
        <v>3000</v>
      </c>
      <c r="F87" s="16" t="str">
        <f>IFERROR(__xludf.DUMMYFUNCTION("""COMPUTED_VALUE"""),"DMG: +50000, Fire DMG: +50000, Chaos DMG: +50000 ++X2  Additional Fire and Chaos damage. +-Cannot be duplicated.")</f>
        <v>DMG: +50000, Fire DMG: +50000, Chaos DMG: +50000 ++X2  Additional Fire and Chaos damage. +-Cannot be duplicated.</v>
      </c>
      <c r="G87" s="16">
        <f>IFERROR(__xludf.DUMMYFUNCTION("""COMPUTED_VALUE"""),4.485E8)</f>
        <v>448500000</v>
      </c>
      <c r="H87" s="16"/>
      <c r="I87" s="16"/>
      <c r="J87" s="16"/>
      <c r="K87" s="16"/>
      <c r="L87" s="16"/>
      <c r="M87" s="16"/>
      <c r="N87" s="16"/>
      <c r="O87" s="16"/>
      <c r="P87" s="16"/>
      <c r="Q87" s="16"/>
      <c r="R87" s="16"/>
      <c r="S87" s="16"/>
      <c r="T87" s="16"/>
      <c r="U87" s="16"/>
      <c r="V87" s="16"/>
      <c r="W87" s="16"/>
      <c r="X87" s="16"/>
      <c r="Y87" s="16"/>
      <c r="Z87" s="16"/>
    </row>
    <row r="88">
      <c r="A88" s="16" t="str">
        <f>IFERROR(__xludf.DUMMYFUNCTION("""COMPUTED_VALUE"""),"Demonic Sword of The King")</f>
        <v>Demonic Sword of The King</v>
      </c>
      <c r="B88" s="16"/>
      <c r="C88" s="16" t="str">
        <f>IFERROR(__xludf.DUMMYFUNCTION("""COMPUTED_VALUE"""),"Sword")</f>
        <v>Sword</v>
      </c>
      <c r="D88" s="16" t="str">
        <f>IFERROR(__xludf.DUMMYFUNCTION("""COMPUTED_VALUE"""),"Hand")</f>
        <v>Hand</v>
      </c>
      <c r="E88" s="16">
        <f>IFERROR(__xludf.DUMMYFUNCTION("""COMPUTED_VALUE"""),200.0)</f>
        <v>200</v>
      </c>
      <c r="F88" s="16" t="str">
        <f>IFERROR(__xludf.DUMMYFUNCTION("""COMPUTED_VALUE"""),"DMG: +100000, Fire DMG: +100000, Dark DMG: +50000, Chaos DMG: +50000, Blood DMG: +50000, Celestial DMG: +50000 ++When targeted for an attack you can choose a party member to take the damage instead. +-Cannot be duplicated.")</f>
        <v>DMG: +100000, Fire DMG: +100000, Dark DMG: +50000, Chaos DMG: +50000, Blood DMG: +50000, Celestial DMG: +50000 ++When targeted for an attack you can choose a party member to take the damage instead. +-Cannot be duplicated.</v>
      </c>
      <c r="G88" s="16">
        <f>IFERROR(__xludf.DUMMYFUNCTION("""COMPUTED_VALUE"""),3.196E9)</f>
        <v>3196000000</v>
      </c>
      <c r="H88" s="16"/>
      <c r="I88" s="16"/>
      <c r="J88" s="16"/>
      <c r="K88" s="16"/>
      <c r="L88" s="16"/>
      <c r="M88" s="16"/>
      <c r="N88" s="16"/>
      <c r="O88" s="16"/>
      <c r="P88" s="16"/>
      <c r="Q88" s="16"/>
      <c r="R88" s="16"/>
      <c r="S88" s="16"/>
      <c r="T88" s="16"/>
      <c r="U88" s="16"/>
      <c r="V88" s="16"/>
      <c r="W88" s="16"/>
      <c r="X88" s="16"/>
      <c r="Y88" s="16"/>
      <c r="Z88" s="16"/>
    </row>
    <row r="89">
      <c r="A89" s="16" t="str">
        <f>IFERROR(__xludf.DUMMYFUNCTION("""COMPUTED_VALUE"""),"Dimensional Dagger")</f>
        <v>Dimensional Dagger</v>
      </c>
      <c r="B89" s="16"/>
      <c r="C89" s="16" t="str">
        <f>IFERROR(__xludf.DUMMYFUNCTION("""COMPUTED_VALUE"""),"Knife")</f>
        <v>Knife</v>
      </c>
      <c r="D89" s="16" t="str">
        <f>IFERROR(__xludf.DUMMYFUNCTION("""COMPUTED_VALUE"""),"Hand")</f>
        <v>Hand</v>
      </c>
      <c r="E89" s="16">
        <f>IFERROR(__xludf.DUMMYFUNCTION("""COMPUTED_VALUE"""),200.0)</f>
        <v>200</v>
      </c>
      <c r="F89" s="16" t="str">
        <f>IFERROR(__xludf.DUMMYFUNCTION("""COMPUTED_VALUE"""),"DMG: +5000, Chaos DMG: +5000 ++25% chance to teleport the target being attacked to a random location.")</f>
        <v>DMG: +5000, Chaos DMG: +5000 ++25% chance to teleport the target being attacked to a random location.</v>
      </c>
      <c r="G89" s="16">
        <f>IFERROR(__xludf.DUMMYFUNCTION("""COMPUTED_VALUE"""),1900000.0)</f>
        <v>1900000</v>
      </c>
      <c r="H89" s="16"/>
      <c r="I89" s="16"/>
      <c r="J89" s="16"/>
      <c r="K89" s="16"/>
      <c r="L89" s="16"/>
      <c r="M89" s="16"/>
      <c r="N89" s="16"/>
      <c r="O89" s="16"/>
      <c r="P89" s="16"/>
      <c r="Q89" s="16"/>
      <c r="R89" s="16"/>
      <c r="S89" s="16"/>
      <c r="T89" s="16"/>
      <c r="U89" s="16"/>
      <c r="V89" s="16"/>
      <c r="W89" s="16"/>
      <c r="X89" s="16"/>
      <c r="Y89" s="16"/>
      <c r="Z89" s="16"/>
    </row>
    <row r="90">
      <c r="A90" s="16" t="str">
        <f>IFERROR(__xludf.DUMMYFUNCTION("""COMPUTED_VALUE"""),"Draconic Shield")</f>
        <v>Draconic Shield</v>
      </c>
      <c r="B90" s="16"/>
      <c r="C90" s="16" t="str">
        <f>IFERROR(__xludf.DUMMYFUNCTION("""COMPUTED_VALUE"""),"Towershield")</f>
        <v>Towershield</v>
      </c>
      <c r="D90" s="16" t="str">
        <f>IFERROR(__xludf.DUMMYFUNCTION("""COMPUTED_VALUE"""),"Hand")</f>
        <v>Hand</v>
      </c>
      <c r="E90" s="16">
        <f>IFERROR(__xludf.DUMMYFUNCTION("""COMPUTED_VALUE"""),5000.0)</f>
        <v>5000</v>
      </c>
      <c r="F90" s="16" t="str">
        <f>IFERROR(__xludf.DUMMYFUNCTION("""COMPUTED_VALUE"""),"DEF: +50000, Fire DEF: +50000, Dark DEF: +50000, Chaos DEF: +50000, Blood DEF: +50000 ++Draconic Block - Any damage you take in battle is now reduced to 1 for for the first round of battle.")</f>
        <v>DEF: +50000, Fire DEF: +50000, Dark DEF: +50000, Chaos DEF: +50000, Blood DEF: +50000 ++Draconic Block - Any damage you take in battle is now reduced to 1 for for the first round of battle.</v>
      </c>
      <c r="G90" s="16">
        <f>IFERROR(__xludf.DUMMYFUNCTION("""COMPUTED_VALUE"""),1.2475E9)</f>
        <v>1247500000</v>
      </c>
      <c r="H90" s="16"/>
      <c r="I90" s="16"/>
      <c r="J90" s="16"/>
      <c r="K90" s="16"/>
      <c r="L90" s="16"/>
      <c r="M90" s="16"/>
      <c r="N90" s="16"/>
      <c r="O90" s="16"/>
      <c r="P90" s="16"/>
      <c r="Q90" s="16"/>
      <c r="R90" s="16"/>
      <c r="S90" s="16"/>
      <c r="T90" s="16"/>
      <c r="U90" s="16"/>
      <c r="V90" s="16"/>
      <c r="W90" s="16"/>
      <c r="X90" s="16"/>
      <c r="Y90" s="16"/>
      <c r="Z90" s="16"/>
    </row>
    <row r="91">
      <c r="A91" s="16" t="str">
        <f>IFERROR(__xludf.DUMMYFUNCTION("""COMPUTED_VALUE"""),"Dragon's Skull")</f>
        <v>Dragon's Skull</v>
      </c>
      <c r="B91" s="16"/>
      <c r="C91" s="16"/>
      <c r="D91" s="16" t="str">
        <f>IFERROR(__xludf.DUMMYFUNCTION("""COMPUTED_VALUE"""),"Head")</f>
        <v>Head</v>
      </c>
      <c r="E91" s="16">
        <f>IFERROR(__xludf.DUMMYFUNCTION("""COMPUTED_VALUE"""),200.0)</f>
        <v>200</v>
      </c>
      <c r="F91" s="16" t="str">
        <f>IFERROR(__xludf.DUMMYFUNCTION("""COMPUTED_VALUE"""),"DEF: +10000 ++Any damage that is dealt to the wearer by a dragon is negated. ++(Dragon Tamers Cannot Wear This)")</f>
        <v>DEF: +10000 ++Any damage that is dealt to the wearer by a dragon is negated. ++(Dragon Tamers Cannot Wear This)</v>
      </c>
      <c r="G91" s="16">
        <f>IFERROR(__xludf.DUMMYFUNCTION("""COMPUTED_VALUE"""),1900000.0)</f>
        <v>1900000</v>
      </c>
      <c r="H91" s="16"/>
      <c r="I91" s="16"/>
      <c r="J91" s="16"/>
      <c r="K91" s="16"/>
      <c r="L91" s="16"/>
      <c r="M91" s="16"/>
      <c r="N91" s="16"/>
      <c r="O91" s="16"/>
      <c r="P91" s="16"/>
      <c r="Q91" s="16"/>
      <c r="R91" s="16"/>
      <c r="S91" s="16"/>
      <c r="T91" s="16"/>
      <c r="U91" s="16"/>
      <c r="V91" s="16"/>
      <c r="W91" s="16"/>
      <c r="X91" s="16"/>
      <c r="Y91" s="16"/>
      <c r="Z91" s="16"/>
    </row>
    <row r="92">
      <c r="A92" s="16" t="str">
        <f>IFERROR(__xludf.DUMMYFUNCTION("""COMPUTED_VALUE"""),"Dragonbone Greatsword")</f>
        <v>Dragonbone Greatsword</v>
      </c>
      <c r="B92" s="16"/>
      <c r="C92" s="16" t="str">
        <f>IFERROR(__xludf.DUMMYFUNCTION("""COMPUTED_VALUE"""),"Sword")</f>
        <v>Sword</v>
      </c>
      <c r="D92" s="16" t="str">
        <f>IFERROR(__xludf.DUMMYFUNCTION("""COMPUTED_VALUE"""),"Hand")</f>
        <v>Hand</v>
      </c>
      <c r="E92" s="16">
        <f>IFERROR(__xludf.DUMMYFUNCTION("""COMPUTED_VALUE"""),200.0)</f>
        <v>200</v>
      </c>
      <c r="F92" s="16" t="str">
        <f>IFERROR(__xludf.DUMMYFUNCTION("""COMPUTED_VALUE"""),"DMG: +100000, Fire DMG: +100000, Earth DMG: +100000, Dark DMG: +100000, Blood DMG: +100000, Celestial DMG: +100000 ++If you have a dragon as a companion in the current battle this sword will deal x4 additional fire, earth, dark, blood, and celestial damag"&amp;"e.")</f>
        <v>DMG: +100000, Fire DMG: +100000, Earth DMG: +100000, Dark DMG: +100000, Blood DMG: +100000, Celestial DMG: +100000 ++If you have a dragon as a companion in the current battle this sword will deal x4 additional fire, earth, dark, blood, and celestial damage.</v>
      </c>
      <c r="G92" s="16">
        <f>IFERROR(__xludf.DUMMYFUNCTION("""COMPUTED_VALUE"""),7.194E9)</f>
        <v>7194000000</v>
      </c>
      <c r="H92" s="16"/>
      <c r="I92" s="16"/>
      <c r="J92" s="16"/>
      <c r="K92" s="16"/>
      <c r="L92" s="16"/>
      <c r="M92" s="16"/>
      <c r="N92" s="16"/>
      <c r="O92" s="16"/>
      <c r="P92" s="16"/>
      <c r="Q92" s="16"/>
      <c r="R92" s="16"/>
      <c r="S92" s="16"/>
      <c r="T92" s="16"/>
      <c r="U92" s="16"/>
      <c r="V92" s="16"/>
      <c r="W92" s="16"/>
      <c r="X92" s="16"/>
      <c r="Y92" s="16"/>
      <c r="Z92" s="16"/>
    </row>
    <row r="93">
      <c r="A93" s="16" t="str">
        <f>IFERROR(__xludf.DUMMYFUNCTION("""COMPUTED_VALUE"""),"Dreading Wand Of Fire")</f>
        <v>Dreading Wand Of Fire</v>
      </c>
      <c r="B93" s="16"/>
      <c r="C93" s="16" t="str">
        <f>IFERROR(__xludf.DUMMYFUNCTION("""COMPUTED_VALUE"""),"Wand")</f>
        <v>Wand</v>
      </c>
      <c r="D93" s="16" t="str">
        <f>IFERROR(__xludf.DUMMYFUNCTION("""COMPUTED_VALUE"""),"Hand")</f>
        <v>Hand</v>
      </c>
      <c r="E93" s="16">
        <f>IFERROR(__xludf.DUMMYFUNCTION("""COMPUTED_VALUE"""),1.0)</f>
        <v>1</v>
      </c>
      <c r="F93" s="16" t="str">
        <f>IFERROR(__xludf.DUMMYFUNCTION("""COMPUTED_VALUE""")," ++Half SP costs for fire spells")</f>
        <v> ++Half SP costs for fire spells</v>
      </c>
      <c r="G93" s="16">
        <f>IFERROR(__xludf.DUMMYFUNCTION("""COMPUTED_VALUE"""),0.0)</f>
        <v>0</v>
      </c>
      <c r="H93" s="16"/>
      <c r="I93" s="16"/>
      <c r="J93" s="16"/>
      <c r="K93" s="16"/>
      <c r="L93" s="16"/>
      <c r="M93" s="16"/>
      <c r="N93" s="16"/>
      <c r="O93" s="16"/>
      <c r="P93" s="16"/>
      <c r="Q93" s="16"/>
      <c r="R93" s="16"/>
      <c r="S93" s="16"/>
      <c r="T93" s="16"/>
      <c r="U93" s="16"/>
      <c r="V93" s="16"/>
      <c r="W93" s="16"/>
      <c r="X93" s="16"/>
      <c r="Y93" s="16"/>
      <c r="Z93" s="16"/>
    </row>
    <row r="94">
      <c r="A94" s="16" t="str">
        <f>IFERROR(__xludf.DUMMYFUNCTION("""COMPUTED_VALUE"""),"Dy Yu’s Plated Armor")</f>
        <v>Dy Yu’s Plated Armor</v>
      </c>
      <c r="B94" s="16"/>
      <c r="C94" s="16"/>
      <c r="D94" s="16" t="str">
        <f>IFERROR(__xludf.DUMMYFUNCTION("""COMPUTED_VALUE"""),"Torso")</f>
        <v>Torso</v>
      </c>
      <c r="E94" s="16">
        <f>IFERROR(__xludf.DUMMYFUNCTION("""COMPUTED_VALUE"""),4000.0)</f>
        <v>4000</v>
      </c>
      <c r="F94" s="16" t="str">
        <f>IFERROR(__xludf.DUMMYFUNCTION("""COMPUTED_VALUE"""),"DEF: +50000, Fire DEF: +50000, Earth DEF: +50000, Spirit DEF: +50000 ++Roll a d20 at the beginning of battle, 11 or higher = half the damage taken from the first attack, 10 or lower = take double the damage from the first attack.")</f>
        <v>DEF: +50000, Fire DEF: +50000, Earth DEF: +50000, Spirit DEF: +50000 ++Roll a d20 at the beginning of battle, 11 or higher = half the damage taken from the first attack, 10 or lower = take double the damage from the first attack.</v>
      </c>
      <c r="G94" s="16">
        <f>IFERROR(__xludf.DUMMYFUNCTION("""COMPUTED_VALUE"""),7.98E8)</f>
        <v>798000000</v>
      </c>
      <c r="H94" s="16"/>
      <c r="I94" s="16"/>
      <c r="J94" s="16"/>
      <c r="K94" s="16"/>
      <c r="L94" s="16"/>
      <c r="M94" s="16"/>
      <c r="N94" s="16"/>
      <c r="O94" s="16"/>
      <c r="P94" s="16"/>
      <c r="Q94" s="16"/>
      <c r="R94" s="16"/>
      <c r="S94" s="16"/>
      <c r="T94" s="16"/>
      <c r="U94" s="16"/>
      <c r="V94" s="16"/>
      <c r="W94" s="16"/>
      <c r="X94" s="16"/>
      <c r="Y94" s="16"/>
      <c r="Z94" s="16"/>
    </row>
    <row r="95">
      <c r="A95" s="16" t="str">
        <f>IFERROR(__xludf.DUMMYFUNCTION("""COMPUTED_VALUE"""),"Easters Ring (Exclusive)")</f>
        <v>Easters Ring (Exclusive)</v>
      </c>
      <c r="B95" s="16"/>
      <c r="C95" s="16"/>
      <c r="D95" s="16" t="str">
        <f>IFERROR(__xludf.DUMMYFUNCTION("""COMPUTED_VALUE"""),"Ring")</f>
        <v>Ring</v>
      </c>
      <c r="E95" s="16">
        <f>IFERROR(__xludf.DUMMYFUNCTION("""COMPUTED_VALUE"""),1.0)</f>
        <v>1</v>
      </c>
      <c r="F95" s="16" t="str">
        <f>IFERROR(__xludf.DUMMYFUNCTION("""COMPUTED_VALUE""")," ++Can turn one bad day of travel into a good day of travel. +-Cannot be forged")</f>
        <v> ++Can turn one bad day of travel into a good day of travel. +-Cannot be forged</v>
      </c>
      <c r="G95" s="16">
        <f>IFERROR(__xludf.DUMMYFUNCTION("""COMPUTED_VALUE"""),0.0)</f>
        <v>0</v>
      </c>
      <c r="H95" s="16"/>
      <c r="I95" s="16"/>
      <c r="J95" s="16"/>
      <c r="K95" s="16"/>
      <c r="L95" s="16"/>
      <c r="M95" s="16"/>
      <c r="N95" s="16"/>
      <c r="O95" s="16"/>
      <c r="P95" s="16"/>
      <c r="Q95" s="16"/>
      <c r="R95" s="16"/>
      <c r="S95" s="16"/>
      <c r="T95" s="16"/>
      <c r="U95" s="16"/>
      <c r="V95" s="16"/>
      <c r="W95" s="16"/>
      <c r="X95" s="16"/>
      <c r="Y95" s="16"/>
      <c r="Z95" s="16"/>
    </row>
    <row r="96">
      <c r="A96" s="16" t="str">
        <f>IFERROR(__xludf.DUMMYFUNCTION("""COMPUTED_VALUE"""),"Enchanted Chestplate of Defense")</f>
        <v>Enchanted Chestplate of Defense</v>
      </c>
      <c r="B96" s="16"/>
      <c r="C96" s="16"/>
      <c r="D96" s="16" t="str">
        <f>IFERROR(__xludf.DUMMYFUNCTION("""COMPUTED_VALUE"""),"Torso")</f>
        <v>Torso</v>
      </c>
      <c r="E96" s="16">
        <f>IFERROR(__xludf.DUMMYFUNCTION("""COMPUTED_VALUE"""),100.0)</f>
        <v>100</v>
      </c>
      <c r="F96" s="16" t="str">
        <f>IFERROR(__xludf.DUMMYFUNCTION("""COMPUTED_VALUE"""),"DEF: +5000 ++Damage received by Spells and Weapons are reduced to half when wearing this.")</f>
        <v>DEF: +5000 ++Damage received by Spells and Weapons are reduced to half when wearing this.</v>
      </c>
      <c r="G96" s="16">
        <f>IFERROR(__xludf.DUMMYFUNCTION("""COMPUTED_VALUE"""),450000.0)</f>
        <v>450000</v>
      </c>
      <c r="H96" s="16"/>
      <c r="I96" s="16"/>
      <c r="J96" s="16"/>
      <c r="K96" s="16"/>
      <c r="L96" s="16"/>
      <c r="M96" s="16"/>
      <c r="N96" s="16"/>
      <c r="O96" s="16"/>
      <c r="P96" s="16"/>
      <c r="Q96" s="16"/>
      <c r="R96" s="16"/>
      <c r="S96" s="16"/>
      <c r="T96" s="16"/>
      <c r="U96" s="16"/>
      <c r="V96" s="16"/>
      <c r="W96" s="16"/>
      <c r="X96" s="16"/>
      <c r="Y96" s="16"/>
      <c r="Z96" s="16"/>
    </row>
    <row r="97">
      <c r="A97" s="16" t="str">
        <f>IFERROR(__xludf.DUMMYFUNCTION("""COMPUTED_VALUE"""),"Enchanted Dagger")</f>
        <v>Enchanted Dagger</v>
      </c>
      <c r="B97" s="16"/>
      <c r="C97" s="16" t="str">
        <f>IFERROR(__xludf.DUMMYFUNCTION("""COMPUTED_VALUE"""),"Knife")</f>
        <v>Knife</v>
      </c>
      <c r="D97" s="16" t="str">
        <f>IFERROR(__xludf.DUMMYFUNCTION("""COMPUTED_VALUE"""),"Hand")</f>
        <v>Hand</v>
      </c>
      <c r="E97" s="16">
        <f>IFERROR(__xludf.DUMMYFUNCTION("""COMPUTED_VALUE"""),1.0)</f>
        <v>1</v>
      </c>
      <c r="F97" s="16" t="str">
        <f>IFERROR(__xludf.DUMMYFUNCTION("""COMPUTED_VALUE"""),": +1 ++100% of instantly killing the target.")</f>
        <v>: +1 ++100% of instantly killing the target.</v>
      </c>
      <c r="G97" s="16">
        <f>IFERROR(__xludf.DUMMYFUNCTION("""COMPUTED_VALUE"""),0.0)</f>
        <v>0</v>
      </c>
      <c r="H97" s="16"/>
      <c r="I97" s="16"/>
      <c r="J97" s="16"/>
      <c r="K97" s="16"/>
      <c r="L97" s="16"/>
      <c r="M97" s="16"/>
      <c r="N97" s="16"/>
      <c r="O97" s="16"/>
      <c r="P97" s="16"/>
      <c r="Q97" s="16"/>
      <c r="R97" s="16"/>
      <c r="S97" s="16"/>
      <c r="T97" s="16"/>
      <c r="U97" s="16"/>
      <c r="V97" s="16"/>
      <c r="W97" s="16"/>
      <c r="X97" s="16"/>
      <c r="Y97" s="16"/>
      <c r="Z97" s="16"/>
    </row>
    <row r="98">
      <c r="A98" s="16" t="str">
        <f>IFERROR(__xludf.DUMMYFUNCTION("""COMPUTED_VALUE"""),"Enchanted Falcon Blade")</f>
        <v>Enchanted Falcon Blade</v>
      </c>
      <c r="B98" s="16"/>
      <c r="C98" s="16" t="str">
        <f>IFERROR(__xludf.DUMMYFUNCTION("""COMPUTED_VALUE"""),"Sword")</f>
        <v>Sword</v>
      </c>
      <c r="D98" s="16" t="str">
        <f>IFERROR(__xludf.DUMMYFUNCTION("""COMPUTED_VALUE"""),"Hand")</f>
        <v>Hand</v>
      </c>
      <c r="E98" s="16">
        <f>IFERROR(__xludf.DUMMYFUNCTION("""COMPUTED_VALUE"""),60.0)</f>
        <v>60</v>
      </c>
      <c r="F98" s="16" t="str">
        <f>IFERROR(__xludf.DUMMYFUNCTION("""COMPUTED_VALUE"""),"DMG: +2000, Order DMG: +600 ++Falcon’s Power - All attacks dealt by your weapons will deal double in damage for 3 of your turns when equipped.")</f>
        <v>DMG: +2000, Order DMG: +600 ++Falcon’s Power - All attacks dealt by your weapons will deal double in damage for 3 of your turns when equipped.</v>
      </c>
      <c r="G98" s="16">
        <f>IFERROR(__xludf.DUMMYFUNCTION("""COMPUTED_VALUE"""),100000.0)</f>
        <v>100000</v>
      </c>
      <c r="H98" s="16"/>
      <c r="I98" s="16"/>
      <c r="J98" s="16"/>
      <c r="K98" s="16"/>
      <c r="L98" s="16"/>
      <c r="M98" s="16"/>
      <c r="N98" s="16"/>
      <c r="O98" s="16"/>
      <c r="P98" s="16"/>
      <c r="Q98" s="16"/>
      <c r="R98" s="16"/>
      <c r="S98" s="16"/>
      <c r="T98" s="16"/>
      <c r="U98" s="16"/>
      <c r="V98" s="16"/>
      <c r="W98" s="16"/>
      <c r="X98" s="16"/>
      <c r="Y98" s="16"/>
      <c r="Z98" s="16"/>
    </row>
    <row r="99">
      <c r="A99" s="16" t="str">
        <f>IFERROR(__xludf.DUMMYFUNCTION("""COMPUTED_VALUE"""),"Energy Prong")</f>
        <v>Energy Prong</v>
      </c>
      <c r="B99" s="16"/>
      <c r="C99" s="16" t="str">
        <f>IFERROR(__xludf.DUMMYFUNCTION("""COMPUTED_VALUE"""),"Spear")</f>
        <v>Spear</v>
      </c>
      <c r="D99" s="16" t="str">
        <f>IFERROR(__xludf.DUMMYFUNCTION("""COMPUTED_VALUE"""),"Hand")</f>
        <v>Hand</v>
      </c>
      <c r="E99" s="16">
        <f>IFERROR(__xludf.DUMMYFUNCTION("""COMPUTED_VALUE"""),10.0)</f>
        <v>10</v>
      </c>
      <c r="F99" s="16" t="str">
        <f>IFERROR(__xludf.DUMMYFUNCTION("""COMPUTED_VALUE"""),"DMG: +500 ++50% chance of stun 3.")</f>
        <v>DMG: +500 ++50% chance of stun 3.</v>
      </c>
      <c r="G99" s="16">
        <f>IFERROR(__xludf.DUMMYFUNCTION("""COMPUTED_VALUE"""),1000.0)</f>
        <v>1000</v>
      </c>
      <c r="H99" s="16"/>
      <c r="I99" s="16"/>
      <c r="J99" s="16"/>
      <c r="K99" s="16"/>
      <c r="L99" s="16"/>
      <c r="M99" s="16"/>
      <c r="N99" s="16"/>
      <c r="O99" s="16"/>
      <c r="P99" s="16"/>
      <c r="Q99" s="16"/>
      <c r="R99" s="16"/>
      <c r="S99" s="16"/>
      <c r="T99" s="16"/>
      <c r="U99" s="16"/>
      <c r="V99" s="16"/>
      <c r="W99" s="16"/>
      <c r="X99" s="16"/>
      <c r="Y99" s="16"/>
      <c r="Z99" s="16"/>
    </row>
    <row r="100">
      <c r="A100" s="16" t="str">
        <f>IFERROR(__xludf.DUMMYFUNCTION("""COMPUTED_VALUE"""),"Faery Kings Sword")</f>
        <v>Faery Kings Sword</v>
      </c>
      <c r="B100" s="16"/>
      <c r="C100" s="16" t="str">
        <f>IFERROR(__xludf.DUMMYFUNCTION("""COMPUTED_VALUE"""),"Sword")</f>
        <v>Sword</v>
      </c>
      <c r="D100" s="16" t="str">
        <f>IFERROR(__xludf.DUMMYFUNCTION("""COMPUTED_VALUE"""),"Hand")</f>
        <v>Hand</v>
      </c>
      <c r="E100" s="16">
        <f>IFERROR(__xludf.DUMMYFUNCTION("""COMPUTED_VALUE"""),200.0)</f>
        <v>200</v>
      </c>
      <c r="F100" s="16" t="str">
        <f>IFERROR(__xludf.DUMMYFUNCTION("""COMPUTED_VALUE"""),"DMG: +500000, Nature DMG: +25000, Celestial DMG: +25000")</f>
        <v>DMG: +500000, Nature DMG: +25000, Celestial DMG: +25000</v>
      </c>
      <c r="G100" s="16">
        <f>IFERROR(__xludf.DUMMYFUNCTION("""COMPUTED_VALUE"""),6.0445E9)</f>
        <v>6044500000</v>
      </c>
      <c r="H100" s="16"/>
      <c r="I100" s="16"/>
      <c r="J100" s="16"/>
      <c r="K100" s="16"/>
      <c r="L100" s="16"/>
      <c r="M100" s="16"/>
      <c r="N100" s="16"/>
      <c r="O100" s="16"/>
      <c r="P100" s="16"/>
      <c r="Q100" s="16"/>
      <c r="R100" s="16"/>
      <c r="S100" s="16"/>
      <c r="T100" s="16"/>
      <c r="U100" s="16"/>
      <c r="V100" s="16"/>
      <c r="W100" s="16"/>
      <c r="X100" s="16"/>
      <c r="Y100" s="16"/>
      <c r="Z100" s="16"/>
    </row>
    <row r="101">
      <c r="A101" s="16" t="str">
        <f>IFERROR(__xludf.DUMMYFUNCTION("""COMPUTED_VALUE"""),"False Helmet")</f>
        <v>False Helmet</v>
      </c>
      <c r="B101" s="16"/>
      <c r="C101" s="16"/>
      <c r="D101" s="16" t="str">
        <f>IFERROR(__xludf.DUMMYFUNCTION("""COMPUTED_VALUE"""),"Head")</f>
        <v>Head</v>
      </c>
      <c r="E101" s="16">
        <f>IFERROR(__xludf.DUMMYFUNCTION("""COMPUTED_VALUE"""),1.0)</f>
        <v>1</v>
      </c>
      <c r="F101" s="16" t="str">
        <f>IFERROR(__xludf.DUMMYFUNCTION("""COMPUTED_VALUE""")," ++ ++5 Intimidation, ++ - 2 Charisma. +-Cannot be forged +-Cannot be duplicated.")</f>
        <v> ++ ++5 Intimidation, ++ - 2 Charisma. +-Cannot be forged +-Cannot be duplicated.</v>
      </c>
      <c r="G101" s="16">
        <f>IFERROR(__xludf.DUMMYFUNCTION("""COMPUTED_VALUE"""),0.0)</f>
        <v>0</v>
      </c>
      <c r="H101" s="16"/>
      <c r="I101" s="16"/>
      <c r="J101" s="16"/>
      <c r="K101" s="16"/>
      <c r="L101" s="16"/>
      <c r="M101" s="16"/>
      <c r="N101" s="16"/>
      <c r="O101" s="16"/>
      <c r="P101" s="16"/>
      <c r="Q101" s="16"/>
      <c r="R101" s="16"/>
      <c r="S101" s="16"/>
      <c r="T101" s="16"/>
      <c r="U101" s="16"/>
      <c r="V101" s="16"/>
      <c r="W101" s="16"/>
      <c r="X101" s="16"/>
      <c r="Y101" s="16"/>
      <c r="Z101" s="16"/>
    </row>
    <row r="102">
      <c r="A102" s="16" t="str">
        <f>IFERROR(__xludf.DUMMYFUNCTION("""COMPUTED_VALUE"""),"Felt Cap")</f>
        <v>Felt Cap</v>
      </c>
      <c r="B102" s="16"/>
      <c r="C102" s="16"/>
      <c r="D102" s="16" t="str">
        <f>IFERROR(__xludf.DUMMYFUNCTION("""COMPUTED_VALUE"""),"Head")</f>
        <v>Head</v>
      </c>
      <c r="E102" s="16">
        <f>IFERROR(__xludf.DUMMYFUNCTION("""COMPUTED_VALUE"""),1.0)</f>
        <v>1</v>
      </c>
      <c r="F102" s="16" t="str">
        <f>IFERROR(__xludf.DUMMYFUNCTION("""COMPUTED_VALUE""")," ++ -1 Evasion ++ +2 Intimidation, +-Can only wear one, +-Cannot be duplicated.")</f>
        <v> ++ -1 Evasion ++ +2 Intimidation, +-Can only wear one, +-Cannot be duplicated.</v>
      </c>
      <c r="G102" s="16">
        <f>IFERROR(__xludf.DUMMYFUNCTION("""COMPUTED_VALUE"""),0.0)</f>
        <v>0</v>
      </c>
      <c r="H102" s="16"/>
      <c r="I102" s="16"/>
      <c r="J102" s="16"/>
      <c r="K102" s="16"/>
      <c r="L102" s="16"/>
      <c r="M102" s="16"/>
      <c r="N102" s="16"/>
      <c r="O102" s="16"/>
      <c r="P102" s="16"/>
      <c r="Q102" s="16"/>
      <c r="R102" s="16"/>
      <c r="S102" s="16"/>
      <c r="T102" s="16"/>
      <c r="U102" s="16"/>
      <c r="V102" s="16"/>
      <c r="W102" s="16"/>
      <c r="X102" s="16"/>
      <c r="Y102" s="16"/>
      <c r="Z102" s="16"/>
    </row>
    <row r="103">
      <c r="A103" s="16" t="str">
        <f>IFERROR(__xludf.DUMMYFUNCTION("""COMPUTED_VALUE"""),"Fire Resistant Boots")</f>
        <v>Fire Resistant Boots</v>
      </c>
      <c r="B103" s="16"/>
      <c r="C103" s="16"/>
      <c r="D103" s="16" t="str">
        <f>IFERROR(__xludf.DUMMYFUNCTION("""COMPUTED_VALUE"""),"Feet")</f>
        <v>Feet</v>
      </c>
      <c r="E103" s="16">
        <f>IFERROR(__xludf.DUMMYFUNCTION("""COMPUTED_VALUE"""),200.0)</f>
        <v>200</v>
      </c>
      <c r="F103" s="16" t="str">
        <f>IFERROR(__xludf.DUMMYFUNCTION("""COMPUTED_VALUE"""),", Fire DEF: +10000 ++Fire Immune, ++X2 Additional fire damage. +-Cannot be duplicated.")</f>
        <v>, Fire DEF: +10000 ++Fire Immune, ++X2 Additional fire damage. +-Cannot be duplicated.</v>
      </c>
      <c r="G103" s="16">
        <f>IFERROR(__xludf.DUMMYFUNCTION("""COMPUTED_VALUE"""),1900000.0)</f>
        <v>1900000</v>
      </c>
      <c r="H103" s="16"/>
      <c r="I103" s="16"/>
      <c r="J103" s="16"/>
      <c r="K103" s="16"/>
      <c r="L103" s="16"/>
      <c r="M103" s="16"/>
      <c r="N103" s="16"/>
      <c r="O103" s="16"/>
      <c r="P103" s="16"/>
      <c r="Q103" s="16"/>
      <c r="R103" s="16"/>
      <c r="S103" s="16"/>
      <c r="T103" s="16"/>
      <c r="U103" s="16"/>
      <c r="V103" s="16"/>
      <c r="W103" s="16"/>
      <c r="X103" s="16"/>
      <c r="Y103" s="16"/>
      <c r="Z103" s="16"/>
    </row>
    <row r="104">
      <c r="A104" s="16" t="str">
        <f>IFERROR(__xludf.DUMMYFUNCTION("""COMPUTED_VALUE"""),"Fire Ring")</f>
        <v>Fire Ring</v>
      </c>
      <c r="B104" s="16"/>
      <c r="C104" s="16"/>
      <c r="D104" s="16" t="str">
        <f>IFERROR(__xludf.DUMMYFUNCTION("""COMPUTED_VALUE"""),"Ring")</f>
        <v>Ring</v>
      </c>
      <c r="E104" s="16">
        <f>IFERROR(__xludf.DUMMYFUNCTION("""COMPUTED_VALUE"""),1.0)</f>
        <v>1</v>
      </c>
      <c r="F104" s="16" t="str">
        <f>IFERROR(__xludf.DUMMYFUNCTION("""COMPUTED_VALUE""")," ++Fire Immune, ++X2 Additional fire damage. +-Cannot be duplicated.")</f>
        <v> ++Fire Immune, ++X2 Additional fire damage. +-Cannot be duplicated.</v>
      </c>
      <c r="G104" s="16">
        <f>IFERROR(__xludf.DUMMYFUNCTION("""COMPUTED_VALUE"""),0.0)</f>
        <v>0</v>
      </c>
      <c r="H104" s="16"/>
      <c r="I104" s="16"/>
      <c r="J104" s="16"/>
      <c r="K104" s="16"/>
      <c r="L104" s="16"/>
      <c r="M104" s="16"/>
      <c r="N104" s="16"/>
      <c r="O104" s="16"/>
      <c r="P104" s="16"/>
      <c r="Q104" s="16"/>
      <c r="R104" s="16"/>
      <c r="S104" s="16"/>
      <c r="T104" s="16"/>
      <c r="U104" s="16"/>
      <c r="V104" s="16"/>
      <c r="W104" s="16"/>
      <c r="X104" s="16"/>
      <c r="Y104" s="16"/>
      <c r="Z104" s="16"/>
    </row>
    <row r="105">
      <c r="A105" s="16" t="str">
        <f>IFERROR(__xludf.DUMMYFUNCTION("""COMPUTED_VALUE"""),"Fire Shield")</f>
        <v>Fire Shield</v>
      </c>
      <c r="B105" s="16"/>
      <c r="C105" s="16" t="str">
        <f>IFERROR(__xludf.DUMMYFUNCTION("""COMPUTED_VALUE"""),"Towershield")</f>
        <v>Towershield</v>
      </c>
      <c r="D105" s="16" t="str">
        <f>IFERROR(__xludf.DUMMYFUNCTION("""COMPUTED_VALUE"""),"Hand")</f>
        <v>Hand</v>
      </c>
      <c r="E105" s="16">
        <f>IFERROR(__xludf.DUMMYFUNCTION("""COMPUTED_VALUE"""),200.0)</f>
        <v>200</v>
      </c>
      <c r="F105" s="16" t="str">
        <f>IFERROR(__xludf.DUMMYFUNCTION("""COMPUTED_VALUE"""),"DEF: +5000, Fire DEF: +5000 ++ Immunity to Fire, ++X2 Additional fire resistance. +-Cannot be duplicated.")</f>
        <v>DEF: +5000, Fire DEF: +5000 ++ Immunity to Fire, ++X2 Additional fire resistance. +-Cannot be duplicated.</v>
      </c>
      <c r="G105" s="16">
        <f>IFERROR(__xludf.DUMMYFUNCTION("""COMPUTED_VALUE"""),1900000.0)</f>
        <v>1900000</v>
      </c>
      <c r="H105" s="16"/>
      <c r="I105" s="16"/>
      <c r="J105" s="16"/>
      <c r="K105" s="16"/>
      <c r="L105" s="16"/>
      <c r="M105" s="16"/>
      <c r="N105" s="16"/>
      <c r="O105" s="16"/>
      <c r="P105" s="16"/>
      <c r="Q105" s="16"/>
      <c r="R105" s="16"/>
      <c r="S105" s="16"/>
      <c r="T105" s="16"/>
      <c r="U105" s="16"/>
      <c r="V105" s="16"/>
      <c r="W105" s="16"/>
      <c r="X105" s="16"/>
      <c r="Y105" s="16"/>
      <c r="Z105" s="16"/>
    </row>
    <row r="106">
      <c r="A106" s="16" t="str">
        <f>IFERROR(__xludf.DUMMYFUNCTION("""COMPUTED_VALUE"""),"Fire Sword")</f>
        <v>Fire Sword</v>
      </c>
      <c r="B106" s="16"/>
      <c r="C106" s="16" t="str">
        <f>IFERROR(__xludf.DUMMYFUNCTION("""COMPUTED_VALUE"""),"Sword")</f>
        <v>Sword</v>
      </c>
      <c r="D106" s="16" t="str">
        <f>IFERROR(__xludf.DUMMYFUNCTION("""COMPUTED_VALUE"""),"Hand")</f>
        <v>Hand</v>
      </c>
      <c r="E106" s="16">
        <f>IFERROR(__xludf.DUMMYFUNCTION("""COMPUTED_VALUE"""),200.0)</f>
        <v>200</v>
      </c>
      <c r="F106" s="16" t="str">
        <f>IFERROR(__xludf.DUMMYFUNCTION("""COMPUTED_VALUE"""),"DMG: +5000, Fire DMG: +5000 ++X2 Additional Fire damage. Burn 2500. Cannot be duplicated.")</f>
        <v>DMG: +5000, Fire DMG: +5000 ++X2 Additional Fire damage. Burn 2500. Cannot be duplicated.</v>
      </c>
      <c r="G106" s="16">
        <f>IFERROR(__xludf.DUMMYFUNCTION("""COMPUTED_VALUE"""),1900000.0)</f>
        <v>1900000</v>
      </c>
      <c r="H106" s="16"/>
      <c r="I106" s="16"/>
      <c r="J106" s="16"/>
      <c r="K106" s="16"/>
      <c r="L106" s="16"/>
      <c r="M106" s="16"/>
      <c r="N106" s="16"/>
      <c r="O106" s="16"/>
      <c r="P106" s="16"/>
      <c r="Q106" s="16"/>
      <c r="R106" s="16"/>
      <c r="S106" s="16"/>
      <c r="T106" s="16"/>
      <c r="U106" s="16"/>
      <c r="V106" s="16"/>
      <c r="W106" s="16"/>
      <c r="X106" s="16"/>
      <c r="Y106" s="16"/>
      <c r="Z106" s="16"/>
    </row>
    <row r="107">
      <c r="A107" s="16" t="str">
        <f>IFERROR(__xludf.DUMMYFUNCTION("""COMPUTED_VALUE"""),"Fireproof Suit")</f>
        <v>Fireproof Suit</v>
      </c>
      <c r="B107" s="16"/>
      <c r="C107" s="16"/>
      <c r="D107" s="16" t="str">
        <f>IFERROR(__xludf.DUMMYFUNCTION("""COMPUTED_VALUE"""),"Torso")</f>
        <v>Torso</v>
      </c>
      <c r="E107" s="16">
        <f>IFERROR(__xludf.DUMMYFUNCTION("""COMPUTED_VALUE"""),400.0)</f>
        <v>400</v>
      </c>
      <c r="F107" s="16" t="str">
        <f>IFERROR(__xludf.DUMMYFUNCTION("""COMPUTED_VALUE"""),"DEF: +5000, Fire DEF: +15000 Fire Immune, X2 Additional fire resistance. Cannot be duplicated.")</f>
        <v>DEF: +5000, Fire DEF: +15000 Fire Immune, X2 Additional fire resistance. Cannot be duplicated.</v>
      </c>
      <c r="G107" s="16">
        <f>IFERROR(__xludf.DUMMYFUNCTION("""COMPUTED_VALUE"""),7800000.0)</f>
        <v>7800000</v>
      </c>
      <c r="H107" s="16"/>
      <c r="I107" s="16"/>
      <c r="J107" s="16"/>
      <c r="K107" s="16"/>
      <c r="L107" s="16"/>
      <c r="M107" s="16"/>
      <c r="N107" s="16"/>
      <c r="O107" s="16"/>
      <c r="P107" s="16"/>
      <c r="Q107" s="16"/>
      <c r="R107" s="16"/>
      <c r="S107" s="16"/>
      <c r="T107" s="16"/>
      <c r="U107" s="16"/>
      <c r="V107" s="16"/>
      <c r="W107" s="16"/>
      <c r="X107" s="16"/>
      <c r="Y107" s="16"/>
      <c r="Z107" s="16"/>
    </row>
    <row r="108">
      <c r="A108" s="16" t="str">
        <f>IFERROR(__xludf.DUMMYFUNCTION("""COMPUTED_VALUE"""),"Fish Pendant")</f>
        <v>Fish Pendant</v>
      </c>
      <c r="B108" s="16"/>
      <c r="C108" s="16"/>
      <c r="D108" s="16" t="str">
        <f>IFERROR(__xludf.DUMMYFUNCTION("""COMPUTED_VALUE"""),"Neck")</f>
        <v>Neck</v>
      </c>
      <c r="E108" s="16">
        <f>IFERROR(__xludf.DUMMYFUNCTION("""COMPUTED_VALUE"""),1.0)</f>
        <v>1</v>
      </c>
      <c r="F108" s="16" t="str">
        <f>IFERROR(__xludf.DUMMYFUNCTION("""COMPUTED_VALUE""")," ++Choose the rarity of the fish when fishing +-Cannot be forged +-Cannot be duplicated +-Can only equip one")</f>
        <v> ++Choose the rarity of the fish when fishing +-Cannot be forged +-Cannot be duplicated +-Can only equip one</v>
      </c>
      <c r="G108" s="16">
        <f>IFERROR(__xludf.DUMMYFUNCTION("""COMPUTED_VALUE"""),0.0)</f>
        <v>0</v>
      </c>
      <c r="H108" s="16"/>
      <c r="I108" s="16"/>
      <c r="J108" s="16"/>
      <c r="K108" s="16"/>
      <c r="L108" s="16"/>
      <c r="M108" s="16"/>
      <c r="N108" s="16"/>
      <c r="O108" s="16"/>
      <c r="P108" s="16"/>
      <c r="Q108" s="16"/>
      <c r="R108" s="16"/>
      <c r="S108" s="16"/>
      <c r="T108" s="16"/>
      <c r="U108" s="16"/>
      <c r="V108" s="16"/>
      <c r="W108" s="16"/>
      <c r="X108" s="16"/>
      <c r="Y108" s="16"/>
      <c r="Z108" s="16"/>
    </row>
    <row r="109">
      <c r="A109" s="16" t="str">
        <f>IFERROR(__xludf.DUMMYFUNCTION("""COMPUTED_VALUE"""),"Flame Band")</f>
        <v>Flame Band</v>
      </c>
      <c r="B109" s="16"/>
      <c r="C109" s="16"/>
      <c r="D109" s="16" t="str">
        <f>IFERROR(__xludf.DUMMYFUNCTION("""COMPUTED_VALUE"""),"Arms")</f>
        <v>Arms</v>
      </c>
      <c r="E109" s="16">
        <f>IFERROR(__xludf.DUMMYFUNCTION("""COMPUTED_VALUE"""),1.0)</f>
        <v>1</v>
      </c>
      <c r="F109" s="16" t="str">
        <f>IFERROR(__xludf.DUMMYFUNCTION("""COMPUTED_VALUE""")," Fire Immune, X2 Additional fire damage. +-Cannot be duplicated")</f>
        <v> Fire Immune, X2 Additional fire damage. +-Cannot be duplicated</v>
      </c>
      <c r="G109" s="16">
        <f>IFERROR(__xludf.DUMMYFUNCTION("""COMPUTED_VALUE"""),0.0)</f>
        <v>0</v>
      </c>
      <c r="H109" s="16"/>
      <c r="I109" s="16"/>
      <c r="J109" s="16"/>
      <c r="K109" s="16"/>
      <c r="L109" s="16"/>
      <c r="M109" s="16"/>
      <c r="N109" s="16"/>
      <c r="O109" s="16"/>
      <c r="P109" s="16"/>
      <c r="Q109" s="16"/>
      <c r="R109" s="16"/>
      <c r="S109" s="16"/>
      <c r="T109" s="16"/>
      <c r="U109" s="16"/>
      <c r="V109" s="16"/>
      <c r="W109" s="16"/>
      <c r="X109" s="16"/>
      <c r="Y109" s="16"/>
      <c r="Z109" s="16"/>
    </row>
    <row r="110">
      <c r="A110" s="16" t="str">
        <f>IFERROR(__xludf.DUMMYFUNCTION("""COMPUTED_VALUE"""),"Flame Mask")</f>
        <v>Flame Mask</v>
      </c>
      <c r="B110" s="16"/>
      <c r="C110" s="16"/>
      <c r="D110" s="16" t="str">
        <f>IFERROR(__xludf.DUMMYFUNCTION("""COMPUTED_VALUE"""),"Head")</f>
        <v>Head</v>
      </c>
      <c r="E110" s="16">
        <f>IFERROR(__xludf.DUMMYFUNCTION("""COMPUTED_VALUE"""),130.0)</f>
        <v>130</v>
      </c>
      <c r="F110" s="16" t="str">
        <f>IFERROR(__xludf.DUMMYFUNCTION("""COMPUTED_VALUE"""),"DEF: +5000, Fire DEF: +1500 ++Fire Immunity, ++X2 Additional fire resistance. +-Cannot be duplicated.")</f>
        <v>DEF: +5000, Fire DEF: +1500 ++Fire Immunity, ++X2 Additional fire resistance. +-Cannot be duplicated.</v>
      </c>
      <c r="G110" s="16">
        <f>IFERROR(__xludf.DUMMYFUNCTION("""COMPUTED_VALUE"""),780000.0)</f>
        <v>780000</v>
      </c>
      <c r="H110" s="16"/>
      <c r="I110" s="16"/>
      <c r="J110" s="16"/>
      <c r="K110" s="16"/>
      <c r="L110" s="16"/>
      <c r="M110" s="16"/>
      <c r="N110" s="16"/>
      <c r="O110" s="16"/>
      <c r="P110" s="16"/>
      <c r="Q110" s="16"/>
      <c r="R110" s="16"/>
      <c r="S110" s="16"/>
      <c r="T110" s="16"/>
      <c r="U110" s="16"/>
      <c r="V110" s="16"/>
      <c r="W110" s="16"/>
      <c r="X110" s="16"/>
      <c r="Y110" s="16"/>
      <c r="Z110" s="16"/>
    </row>
    <row r="111">
      <c r="A111" s="16" t="str">
        <f>IFERROR(__xludf.DUMMYFUNCTION("""COMPUTED_VALUE"""),"Flamethrower")</f>
        <v>Flamethrower</v>
      </c>
      <c r="B111" s="16"/>
      <c r="C111" s="16" t="str">
        <f>IFERROR(__xludf.DUMMYFUNCTION("""COMPUTED_VALUE"""),"Firearm")</f>
        <v>Firearm</v>
      </c>
      <c r="D111" s="16" t="str">
        <f>IFERROR(__xludf.DUMMYFUNCTION("""COMPUTED_VALUE"""),"Hand")</f>
        <v>Hand</v>
      </c>
      <c r="E111" s="16">
        <f>IFERROR(__xludf.DUMMYFUNCTION("""COMPUTED_VALUE"""),700.0)</f>
        <v>700</v>
      </c>
      <c r="F111" s="16" t="str">
        <f>IFERROR(__xludf.DUMMYFUNCTION("""COMPUTED_VALUE"""),", Fire DMG: +35000 ++20% chance of hitting all enemies")</f>
        <v>, Fire DMG: +35000 ++20% chance of hitting all enemies</v>
      </c>
      <c r="G111" s="16">
        <f>IFERROR(__xludf.DUMMYFUNCTION("""COMPUTED_VALUE"""),2.415E7)</f>
        <v>24150000</v>
      </c>
      <c r="H111" s="16"/>
      <c r="I111" s="16"/>
      <c r="J111" s="16"/>
      <c r="K111" s="16"/>
      <c r="L111" s="16"/>
      <c r="M111" s="16"/>
      <c r="N111" s="16"/>
      <c r="O111" s="16"/>
      <c r="P111" s="16"/>
      <c r="Q111" s="16"/>
      <c r="R111" s="16"/>
      <c r="S111" s="16"/>
      <c r="T111" s="16"/>
      <c r="U111" s="16"/>
      <c r="V111" s="16"/>
      <c r="W111" s="16"/>
      <c r="X111" s="16"/>
      <c r="Y111" s="16"/>
      <c r="Z111" s="16"/>
    </row>
    <row r="112">
      <c r="A112" s="16" t="str">
        <f>IFERROR(__xludf.DUMMYFUNCTION("""COMPUTED_VALUE"""),"Flaming Sword")</f>
        <v>Flaming Sword</v>
      </c>
      <c r="B112" s="16"/>
      <c r="C112" s="16" t="str">
        <f>IFERROR(__xludf.DUMMYFUNCTION("""COMPUTED_VALUE"""),"Sword")</f>
        <v>Sword</v>
      </c>
      <c r="D112" s="16" t="str">
        <f>IFERROR(__xludf.DUMMYFUNCTION("""COMPUTED_VALUE"""),"Hand")</f>
        <v>Hand</v>
      </c>
      <c r="E112" s="16">
        <f>IFERROR(__xludf.DUMMYFUNCTION("""COMPUTED_VALUE"""),300.0)</f>
        <v>300</v>
      </c>
      <c r="F112" s="16" t="str">
        <f>IFERROR(__xludf.DUMMYFUNCTION("""COMPUTED_VALUE"""),"DMG: +5000, Fire DMG: +5000, Nature DMG: +5000 ++Burn 1000")</f>
        <v>DMG: +5000, Fire DMG: +5000, Nature DMG: +5000 ++Burn 1000</v>
      </c>
      <c r="G112" s="16">
        <f>IFERROR(__xludf.DUMMYFUNCTION("""COMPUTED_VALUE"""),4350000.0)</f>
        <v>4350000</v>
      </c>
      <c r="H112" s="16"/>
      <c r="I112" s="16"/>
      <c r="J112" s="16"/>
      <c r="K112" s="16"/>
      <c r="L112" s="16"/>
      <c r="M112" s="16"/>
      <c r="N112" s="16"/>
      <c r="O112" s="16"/>
      <c r="P112" s="16"/>
      <c r="Q112" s="16"/>
      <c r="R112" s="16"/>
      <c r="S112" s="16"/>
      <c r="T112" s="16"/>
      <c r="U112" s="16"/>
      <c r="V112" s="16"/>
      <c r="W112" s="16"/>
      <c r="X112" s="16"/>
      <c r="Y112" s="16"/>
      <c r="Z112" s="16"/>
    </row>
    <row r="113">
      <c r="A113" s="16" t="str">
        <f>IFERROR(__xludf.DUMMYFUNCTION("""COMPUTED_VALUE"""),"Foul Night Blade")</f>
        <v>Foul Night Blade</v>
      </c>
      <c r="B113" s="16"/>
      <c r="C113" s="16" t="str">
        <f>IFERROR(__xludf.DUMMYFUNCTION("""COMPUTED_VALUE"""),"Sword")</f>
        <v>Sword</v>
      </c>
      <c r="D113" s="16" t="str">
        <f>IFERROR(__xludf.DUMMYFUNCTION("""COMPUTED_VALUE"""),"Hand")</f>
        <v>Hand</v>
      </c>
      <c r="E113" s="16">
        <f>IFERROR(__xludf.DUMMYFUNCTION("""COMPUTED_VALUE"""),200.0)</f>
        <v>200</v>
      </c>
      <c r="F113" s="16" t="str">
        <f>IFERROR(__xludf.DUMMYFUNCTION("""COMPUTED_VALUE"""),"DMG: +5000, Nature DMG: +5000 (Foul Night Set) ++Poison 5000 for 3 rounds. ++Foul Night Embodiment - When Equipped  Any Dark, Nature or Poison damage is X4.")</f>
        <v>DMG: +5000, Nature DMG: +5000 (Foul Night Set) ++Poison 5000 for 3 rounds. ++Foul Night Embodiment - When Equipped  Any Dark, Nature or Poison damage is X4.</v>
      </c>
      <c r="G113" s="16">
        <f>IFERROR(__xludf.DUMMYFUNCTION("""COMPUTED_VALUE"""),1900000.0)</f>
        <v>1900000</v>
      </c>
      <c r="H113" s="16"/>
      <c r="I113" s="16"/>
      <c r="J113" s="16"/>
      <c r="K113" s="16"/>
      <c r="L113" s="16"/>
      <c r="M113" s="16"/>
      <c r="N113" s="16"/>
      <c r="O113" s="16"/>
      <c r="P113" s="16"/>
      <c r="Q113" s="16"/>
      <c r="R113" s="16"/>
      <c r="S113" s="16"/>
      <c r="T113" s="16"/>
      <c r="U113" s="16"/>
      <c r="V113" s="16"/>
      <c r="W113" s="16"/>
      <c r="X113" s="16"/>
      <c r="Y113" s="16"/>
      <c r="Z113" s="16"/>
    </row>
    <row r="114">
      <c r="A114" s="16" t="str">
        <f>IFERROR(__xludf.DUMMYFUNCTION("""COMPUTED_VALUE"""),"Freezing Chains")</f>
        <v>Freezing Chains</v>
      </c>
      <c r="B114" s="16"/>
      <c r="C114" s="16" t="str">
        <f>IFERROR(__xludf.DUMMYFUNCTION("""COMPUTED_VALUE"""),"Club")</f>
        <v>Club</v>
      </c>
      <c r="D114" s="16" t="str">
        <f>IFERROR(__xludf.DUMMYFUNCTION("""COMPUTED_VALUE"""),"Hand")</f>
        <v>Hand</v>
      </c>
      <c r="E114" s="16">
        <f>IFERROR(__xludf.DUMMYFUNCTION("""COMPUTED_VALUE"""),200.0)</f>
        <v>200</v>
      </c>
      <c r="F114" s="16" t="str">
        <f>IFERROR(__xludf.DUMMYFUNCTION("""COMPUTED_VALUE"""),"DMG: +5000, Water DMG: +5000 ++Frost Bind- binds the target freezing them until the end of their next turn")</f>
        <v>DMG: +5000, Water DMG: +5000 ++Frost Bind- binds the target freezing them until the end of their next turn</v>
      </c>
      <c r="G114" s="16">
        <f>IFERROR(__xludf.DUMMYFUNCTION("""COMPUTED_VALUE"""),1900000.0)</f>
        <v>1900000</v>
      </c>
      <c r="H114" s="16"/>
      <c r="I114" s="16"/>
      <c r="J114" s="16"/>
      <c r="K114" s="16"/>
      <c r="L114" s="16"/>
      <c r="M114" s="16"/>
      <c r="N114" s="16"/>
      <c r="O114" s="16"/>
      <c r="P114" s="16"/>
      <c r="Q114" s="16"/>
      <c r="R114" s="16"/>
      <c r="S114" s="16"/>
      <c r="T114" s="16"/>
      <c r="U114" s="16"/>
      <c r="V114" s="16"/>
      <c r="W114" s="16"/>
      <c r="X114" s="16"/>
      <c r="Y114" s="16"/>
      <c r="Z114" s="16"/>
    </row>
    <row r="115">
      <c r="A115" s="16" t="str">
        <f>IFERROR(__xludf.DUMMYFUNCTION("""COMPUTED_VALUE"""),"Frost Bow")</f>
        <v>Frost Bow</v>
      </c>
      <c r="B115" s="16"/>
      <c r="C115" s="16" t="str">
        <f>IFERROR(__xludf.DUMMYFUNCTION("""COMPUTED_VALUE"""),"Bow")</f>
        <v>Bow</v>
      </c>
      <c r="D115" s="16" t="str">
        <f>IFERROR(__xludf.DUMMYFUNCTION("""COMPUTED_VALUE"""),"Hand")</f>
        <v>Hand</v>
      </c>
      <c r="E115" s="16">
        <f>IFERROR(__xludf.DUMMYFUNCTION("""COMPUTED_VALUE"""),180.0)</f>
        <v>180</v>
      </c>
      <c r="F115" s="16" t="str">
        <f>IFERROR(__xludf.DUMMYFUNCTION("""COMPUTED_VALUE"""),"DMG: +5000, Water DMG: +4000 ++Arrows Used with this bow have a 50% chance to freeze the target(s)")</f>
        <v>DMG: +5000, Water DMG: +4000 ++Arrows Used with this bow have a 50% chance to freeze the target(s)</v>
      </c>
      <c r="G115" s="16">
        <f>IFERROR(__xludf.DUMMYFUNCTION("""COMPUTED_VALUE"""),1530000.0)</f>
        <v>1530000</v>
      </c>
      <c r="H115" s="16"/>
      <c r="I115" s="16"/>
      <c r="J115" s="16"/>
      <c r="K115" s="16"/>
      <c r="L115" s="16"/>
      <c r="M115" s="16"/>
      <c r="N115" s="16"/>
      <c r="O115" s="16"/>
      <c r="P115" s="16"/>
      <c r="Q115" s="16"/>
      <c r="R115" s="16"/>
      <c r="S115" s="16"/>
      <c r="T115" s="16"/>
      <c r="U115" s="16"/>
      <c r="V115" s="16"/>
      <c r="W115" s="16"/>
      <c r="X115" s="16"/>
      <c r="Y115" s="16"/>
      <c r="Z115" s="16"/>
    </row>
    <row r="116">
      <c r="A116" s="16" t="str">
        <f>IFERROR(__xludf.DUMMYFUNCTION("""COMPUTED_VALUE"""),"Frost Cloak")</f>
        <v>Frost Cloak</v>
      </c>
      <c r="B116" s="16"/>
      <c r="C116" s="16"/>
      <c r="D116" s="16" t="str">
        <f>IFERROR(__xludf.DUMMYFUNCTION("""COMPUTED_VALUE"""),"Torso")</f>
        <v>Torso</v>
      </c>
      <c r="E116" s="16">
        <f>IFERROR(__xludf.DUMMYFUNCTION("""COMPUTED_VALUE"""),1.0)</f>
        <v>1</v>
      </c>
      <c r="F116" s="16" t="str">
        <f>IFERROR(__xludf.DUMMYFUNCTION("""COMPUTED_VALUE""")," (Frost Mage Set) ++When caster is hit by an enemy,the enemy is frozen for 5r/s caster,s cloak last for 3 r/s 90 sp")</f>
        <v> (Frost Mage Set) ++When caster is hit by an enemy,the enemy is frozen for 5r/s caster,s cloak last for 3 r/s 90 sp</v>
      </c>
      <c r="G116" s="16">
        <f>IFERROR(__xludf.DUMMYFUNCTION("""COMPUTED_VALUE"""),0.0)</f>
        <v>0</v>
      </c>
      <c r="H116" s="16"/>
      <c r="I116" s="16"/>
      <c r="J116" s="16"/>
      <c r="K116" s="16"/>
      <c r="L116" s="16"/>
      <c r="M116" s="16"/>
      <c r="N116" s="16"/>
      <c r="O116" s="16"/>
      <c r="P116" s="16"/>
      <c r="Q116" s="16"/>
      <c r="R116" s="16"/>
      <c r="S116" s="16"/>
      <c r="T116" s="16"/>
      <c r="U116" s="16"/>
      <c r="V116" s="16"/>
      <c r="W116" s="16"/>
      <c r="X116" s="16"/>
      <c r="Y116" s="16"/>
      <c r="Z116" s="16"/>
    </row>
    <row r="117">
      <c r="A117" s="16" t="str">
        <f>IFERROR(__xludf.DUMMYFUNCTION("""COMPUTED_VALUE"""),"Frost Spear")</f>
        <v>Frost Spear</v>
      </c>
      <c r="B117" s="16" t="str">
        <f>IFERROR(__xludf.DUMMYFUNCTION("""COMPUTED_VALUE"""),"Event Exclusive")</f>
        <v>Event Exclusive</v>
      </c>
      <c r="C117" s="16" t="str">
        <f>IFERROR(__xludf.DUMMYFUNCTION("""COMPUTED_VALUE"""),"Spear")</f>
        <v>Spear</v>
      </c>
      <c r="D117" s="16" t="str">
        <f>IFERROR(__xludf.DUMMYFUNCTION("""COMPUTED_VALUE"""),"Hand")</f>
        <v>Hand</v>
      </c>
      <c r="E117" s="16">
        <f>IFERROR(__xludf.DUMMYFUNCTION("""COMPUTED_VALUE"""),1000.0)</f>
        <v>1000</v>
      </c>
      <c r="F117" s="16" t="str">
        <f>IFERROR(__xludf.DUMMYFUNCTION("""COMPUTED_VALUE"""),"DMG: +25000, Storm DMG: +25000 (The Frozen Spear Master Set) ++50% chance to freeze any enemies hit with this weapon")</f>
        <v>DMG: +25000, Storm DMG: +25000 (The Frozen Spear Master Set) ++50% chance to freeze any enemies hit with this weapon</v>
      </c>
      <c r="G117" s="16">
        <f>IFERROR(__xludf.DUMMYFUNCTION("""COMPUTED_VALUE"""),4.95E7)</f>
        <v>49500000</v>
      </c>
      <c r="H117" s="16"/>
      <c r="I117" s="16"/>
      <c r="J117" s="16"/>
      <c r="K117" s="16"/>
      <c r="L117" s="16"/>
      <c r="M117" s="16"/>
      <c r="N117" s="16"/>
      <c r="O117" s="16"/>
      <c r="P117" s="16"/>
      <c r="Q117" s="16"/>
      <c r="R117" s="16"/>
      <c r="S117" s="16"/>
      <c r="T117" s="16"/>
      <c r="U117" s="16"/>
      <c r="V117" s="16"/>
      <c r="W117" s="16"/>
      <c r="X117" s="16"/>
      <c r="Y117" s="16"/>
      <c r="Z117" s="16"/>
    </row>
    <row r="118">
      <c r="A118" s="16" t="str">
        <f>IFERROR(__xludf.DUMMYFUNCTION("""COMPUTED_VALUE"""),"Frozen Carrot Dagger")</f>
        <v>Frozen Carrot Dagger</v>
      </c>
      <c r="B118" s="16" t="str">
        <f>IFERROR(__xludf.DUMMYFUNCTION("""COMPUTED_VALUE"""),"Event Exclusive")</f>
        <v>Event Exclusive</v>
      </c>
      <c r="C118" s="16" t="str">
        <f>IFERROR(__xludf.DUMMYFUNCTION("""COMPUTED_VALUE"""),"Knife")</f>
        <v>Knife</v>
      </c>
      <c r="D118" s="16" t="str">
        <f>IFERROR(__xludf.DUMMYFUNCTION("""COMPUTED_VALUE"""),"Hand")</f>
        <v>Hand</v>
      </c>
      <c r="E118" s="16">
        <f>IFERROR(__xludf.DUMMYFUNCTION("""COMPUTED_VALUE"""),200.0)</f>
        <v>200</v>
      </c>
      <c r="F118" s="16" t="str">
        <f>IFERROR(__xludf.DUMMYFUNCTION("""COMPUTED_VALUE"""),"DMG: +5000, Water DMG: +5000")</f>
        <v>DMG: +5000, Water DMG: +5000</v>
      </c>
      <c r="G118" s="16">
        <f>IFERROR(__xludf.DUMMYFUNCTION("""COMPUTED_VALUE"""),1900000.0)</f>
        <v>1900000</v>
      </c>
      <c r="H118" s="16"/>
      <c r="I118" s="16"/>
      <c r="J118" s="16"/>
      <c r="K118" s="16"/>
      <c r="L118" s="16"/>
      <c r="M118" s="16"/>
      <c r="N118" s="16"/>
      <c r="O118" s="16"/>
      <c r="P118" s="16"/>
      <c r="Q118" s="16"/>
      <c r="R118" s="16"/>
      <c r="S118" s="16"/>
      <c r="T118" s="16"/>
      <c r="U118" s="16"/>
      <c r="V118" s="16"/>
      <c r="W118" s="16"/>
      <c r="X118" s="16"/>
      <c r="Y118" s="16"/>
      <c r="Z118" s="16"/>
    </row>
    <row r="119">
      <c r="A119" s="16" t="str">
        <f>IFERROR(__xludf.DUMMYFUNCTION("""COMPUTED_VALUE"""),"Frozen Falchion")</f>
        <v>Frozen Falchion</v>
      </c>
      <c r="B119" s="16"/>
      <c r="C119" s="16" t="str">
        <f>IFERROR(__xludf.DUMMYFUNCTION("""COMPUTED_VALUE"""),"Sword")</f>
        <v>Sword</v>
      </c>
      <c r="D119" s="16" t="str">
        <f>IFERROR(__xludf.DUMMYFUNCTION("""COMPUTED_VALUE"""),"Hand")</f>
        <v>Hand</v>
      </c>
      <c r="E119" s="16">
        <f>IFERROR(__xludf.DUMMYFUNCTION("""COMPUTED_VALUE"""),400.0)</f>
        <v>400</v>
      </c>
      <c r="F119" s="16" t="str">
        <f>IFERROR(__xludf.DUMMYFUNCTION("""COMPUTED_VALUE"""),"DMG: +10000, Water DMG: +10000 ++40% chance to freeze the target. ++While enemies are frozen in battle they will take 20,000 Water damage per round. +-Cannot be duplicated.")</f>
        <v>DMG: +10000, Water DMG: +10000 ++40% chance to freeze the target. ++While enemies are frozen in battle they will take 20,000 Water damage per round. +-Cannot be duplicated.</v>
      </c>
      <c r="G119" s="16">
        <f>IFERROR(__xludf.DUMMYFUNCTION("""COMPUTED_VALUE"""),7800000.0)</f>
        <v>7800000</v>
      </c>
      <c r="H119" s="16"/>
      <c r="I119" s="16"/>
      <c r="J119" s="16"/>
      <c r="K119" s="16"/>
      <c r="L119" s="16"/>
      <c r="M119" s="16"/>
      <c r="N119" s="16"/>
      <c r="O119" s="16"/>
      <c r="P119" s="16"/>
      <c r="Q119" s="16"/>
      <c r="R119" s="16"/>
      <c r="S119" s="16"/>
      <c r="T119" s="16"/>
      <c r="U119" s="16"/>
      <c r="V119" s="16"/>
      <c r="W119" s="16"/>
      <c r="X119" s="16"/>
      <c r="Y119" s="16"/>
      <c r="Z119" s="16"/>
    </row>
    <row r="120">
      <c r="A120" s="16" t="str">
        <f>IFERROR(__xludf.DUMMYFUNCTION("""COMPUTED_VALUE"""),"Frozen Soul Lantern")</f>
        <v>Frozen Soul Lantern</v>
      </c>
      <c r="B120" s="16"/>
      <c r="C120" s="16" t="str">
        <f>IFERROR(__xludf.DUMMYFUNCTION("""COMPUTED_VALUE"""),"Wand")</f>
        <v>Wand</v>
      </c>
      <c r="D120" s="16" t="str">
        <f>IFERROR(__xludf.DUMMYFUNCTION("""COMPUTED_VALUE"""),"Hand")</f>
        <v>Hand</v>
      </c>
      <c r="E120" s="16">
        <f>IFERROR(__xludf.DUMMYFUNCTION("""COMPUTED_VALUE"""),1.0)</f>
        <v>1</v>
      </c>
      <c r="F120" s="16" t="str">
        <f>IFERROR(__xludf.DUMMYFUNCTION("""COMPUTED_VALUE""")," ++When a spell that deals damage is casted by an enemy this item will inflict the effect Frostburn. ++Frostburn - The Targets spell damage is halved.")</f>
        <v> ++When a spell that deals damage is casted by an enemy this item will inflict the effect Frostburn. ++Frostburn - The Targets spell damage is halved.</v>
      </c>
      <c r="G120" s="16">
        <f>IFERROR(__xludf.DUMMYFUNCTION("""COMPUTED_VALUE"""),0.0)</f>
        <v>0</v>
      </c>
      <c r="H120" s="16"/>
      <c r="I120" s="16"/>
      <c r="J120" s="16"/>
      <c r="K120" s="16"/>
      <c r="L120" s="16"/>
      <c r="M120" s="16"/>
      <c r="N120" s="16"/>
      <c r="O120" s="16"/>
      <c r="P120" s="16"/>
      <c r="Q120" s="16"/>
      <c r="R120" s="16"/>
      <c r="S120" s="16"/>
      <c r="T120" s="16"/>
      <c r="U120" s="16"/>
      <c r="V120" s="16"/>
      <c r="W120" s="16"/>
      <c r="X120" s="16"/>
      <c r="Y120" s="16"/>
      <c r="Z120" s="16"/>
    </row>
    <row r="121">
      <c r="A121" s="16" t="str">
        <f>IFERROR(__xludf.DUMMYFUNCTION("""COMPUTED_VALUE"""),"Gargoyle War Horn")</f>
        <v>Gargoyle War Horn</v>
      </c>
      <c r="B121" s="16"/>
      <c r="C121" s="16" t="str">
        <f>IFERROR(__xludf.DUMMYFUNCTION("""COMPUTED_VALUE"""),"Wand")</f>
        <v>Wand</v>
      </c>
      <c r="D121" s="16" t="str">
        <f>IFERROR(__xludf.DUMMYFUNCTION("""COMPUTED_VALUE"""),"Hand")</f>
        <v>Hand</v>
      </c>
      <c r="E121" s="16">
        <f>IFERROR(__xludf.DUMMYFUNCTION("""COMPUTED_VALUE"""),1.0)</f>
        <v>1</v>
      </c>
      <c r="F121" s="16" t="str">
        <f>IFERROR(__xludf.DUMMYFUNCTION("""COMPUTED_VALUE""")," ++Summons a d2 of Gargoyles to help you in battle. +-Can only be used once per battle.")</f>
        <v> ++Summons a d2 of Gargoyles to help you in battle. +-Can only be used once per battle.</v>
      </c>
      <c r="G121" s="16">
        <f>IFERROR(__xludf.DUMMYFUNCTION("""COMPUTED_VALUE"""),0.0)</f>
        <v>0</v>
      </c>
      <c r="H121" s="16"/>
      <c r="I121" s="16"/>
      <c r="J121" s="16"/>
      <c r="K121" s="16"/>
      <c r="L121" s="16"/>
      <c r="M121" s="16"/>
      <c r="N121" s="16"/>
      <c r="O121" s="16"/>
      <c r="P121" s="16"/>
      <c r="Q121" s="16"/>
      <c r="R121" s="16"/>
      <c r="S121" s="16"/>
      <c r="T121" s="16"/>
      <c r="U121" s="16"/>
      <c r="V121" s="16"/>
      <c r="W121" s="16"/>
      <c r="X121" s="16"/>
      <c r="Y121" s="16"/>
      <c r="Z121" s="16"/>
    </row>
    <row r="122">
      <c r="A122" s="16" t="str">
        <f>IFERROR(__xludf.DUMMYFUNCTION("""COMPUTED_VALUE"""),"Gargoyle’s Heavy Enchanted Bow")</f>
        <v>Gargoyle’s Heavy Enchanted Bow</v>
      </c>
      <c r="B122" s="16"/>
      <c r="C122" s="16" t="str">
        <f>IFERROR(__xludf.DUMMYFUNCTION("""COMPUTED_VALUE"""),"Bow")</f>
        <v>Bow</v>
      </c>
      <c r="D122" s="16" t="str">
        <f>IFERROR(__xludf.DUMMYFUNCTION("""COMPUTED_VALUE"""),"Hand")</f>
        <v>Hand</v>
      </c>
      <c r="E122" s="16">
        <f>IFERROR(__xludf.DUMMYFUNCTION("""COMPUTED_VALUE"""),3000.0)</f>
        <v>3000</v>
      </c>
      <c r="F122" s="16" t="str">
        <f>IFERROR(__xludf.DUMMYFUNCTION("""COMPUTED_VALUE"""),"DMG: +100000, Earth DMG: +50000 ++Damage dealt with this bow gives you hp back equal to the damage you dealt. ")</f>
        <v>DMG: +100000, Earth DMG: +50000 ++Damage dealt with this bow gives you hp back equal to the damage you dealt. </v>
      </c>
      <c r="G122" s="16">
        <f>IFERROR(__xludf.DUMMYFUNCTION("""COMPUTED_VALUE"""),4.485E8)</f>
        <v>448500000</v>
      </c>
      <c r="H122" s="16"/>
      <c r="I122" s="16"/>
      <c r="J122" s="16"/>
      <c r="K122" s="16"/>
      <c r="L122" s="16"/>
      <c r="M122" s="16"/>
      <c r="N122" s="16"/>
      <c r="O122" s="16"/>
      <c r="P122" s="16"/>
      <c r="Q122" s="16"/>
      <c r="R122" s="16"/>
      <c r="S122" s="16"/>
      <c r="T122" s="16"/>
      <c r="U122" s="16"/>
      <c r="V122" s="16"/>
      <c r="W122" s="16"/>
      <c r="X122" s="16"/>
      <c r="Y122" s="16"/>
      <c r="Z122" s="16"/>
    </row>
    <row r="123">
      <c r="A123" s="16" t="str">
        <f>IFERROR(__xludf.DUMMYFUNCTION("""COMPUTED_VALUE"""),"Gargoyle’s Necklace of Luck ")</f>
        <v>Gargoyle’s Necklace of Luck </v>
      </c>
      <c r="B123" s="16"/>
      <c r="C123" s="16"/>
      <c r="D123" s="16" t="str">
        <f>IFERROR(__xludf.DUMMYFUNCTION("""COMPUTED_VALUE"""),"Neck")</f>
        <v>Neck</v>
      </c>
      <c r="E123" s="16">
        <f>IFERROR(__xludf.DUMMYFUNCTION("""COMPUTED_VALUE"""),1.0)</f>
        <v>1</v>
      </c>
      <c r="F123" s="16" t="str">
        <f>IFERROR(__xludf.DUMMYFUNCTION("""COMPUTED_VALUE""")," ++Allows 1 d20 roll to be a 20 once per battle or 1 rp action per day of travel. +-Cannot be forged +-Cannot be duplicated +-Can only equip one")</f>
        <v> ++Allows 1 d20 roll to be a 20 once per battle or 1 rp action per day of travel. +-Cannot be forged +-Cannot be duplicated +-Can only equip one</v>
      </c>
      <c r="G123" s="16">
        <f>IFERROR(__xludf.DUMMYFUNCTION("""COMPUTED_VALUE"""),0.0)</f>
        <v>0</v>
      </c>
      <c r="H123" s="16"/>
      <c r="I123" s="16"/>
      <c r="J123" s="16"/>
      <c r="K123" s="16"/>
      <c r="L123" s="16"/>
      <c r="M123" s="16"/>
      <c r="N123" s="16"/>
      <c r="O123" s="16"/>
      <c r="P123" s="16"/>
      <c r="Q123" s="16"/>
      <c r="R123" s="16"/>
      <c r="S123" s="16"/>
      <c r="T123" s="16"/>
      <c r="U123" s="16"/>
      <c r="V123" s="16"/>
      <c r="W123" s="16"/>
      <c r="X123" s="16"/>
      <c r="Y123" s="16"/>
      <c r="Z123" s="16"/>
    </row>
    <row r="124">
      <c r="A124" s="16" t="str">
        <f>IFERROR(__xludf.DUMMYFUNCTION("""COMPUTED_VALUE"""),"Gargoyle’s Ring")</f>
        <v>Gargoyle’s Ring</v>
      </c>
      <c r="B124" s="16"/>
      <c r="C124" s="16"/>
      <c r="D124" s="16" t="str">
        <f>IFERROR(__xludf.DUMMYFUNCTION("""COMPUTED_VALUE"""),"Ring")</f>
        <v>Ring</v>
      </c>
      <c r="E124" s="16">
        <f>IFERROR(__xludf.DUMMYFUNCTION("""COMPUTED_VALUE"""),1.0)</f>
        <v>1</v>
      </c>
      <c r="F124" s="16" t="str">
        <f>IFERROR(__xludf.DUMMYFUNCTION("""COMPUTED_VALUE""")," ++If you chose the gargoyle race as your main starting race this ring will make it so you will not become hardened.")</f>
        <v> ++If you chose the gargoyle race as your main starting race this ring will make it so you will not become hardened.</v>
      </c>
      <c r="G124" s="16">
        <f>IFERROR(__xludf.DUMMYFUNCTION("""COMPUTED_VALUE"""),0.0)</f>
        <v>0</v>
      </c>
      <c r="H124" s="16"/>
      <c r="I124" s="16"/>
      <c r="J124" s="16"/>
      <c r="K124" s="16"/>
      <c r="L124" s="16"/>
      <c r="M124" s="16"/>
      <c r="N124" s="16"/>
      <c r="O124" s="16"/>
      <c r="P124" s="16"/>
      <c r="Q124" s="16"/>
      <c r="R124" s="16"/>
      <c r="S124" s="16"/>
      <c r="T124" s="16"/>
      <c r="U124" s="16"/>
      <c r="V124" s="16"/>
      <c r="W124" s="16"/>
      <c r="X124" s="16"/>
      <c r="Y124" s="16"/>
      <c r="Z124" s="16"/>
    </row>
    <row r="125">
      <c r="A125" s="16" t="str">
        <f>IFERROR(__xludf.DUMMYFUNCTION("""COMPUTED_VALUE"""),"Giant Spider Leg")</f>
        <v>Giant Spider Leg</v>
      </c>
      <c r="B125" s="16"/>
      <c r="C125" s="16" t="str">
        <f>IFERROR(__xludf.DUMMYFUNCTION("""COMPUTED_VALUE"""),"Knife")</f>
        <v>Knife</v>
      </c>
      <c r="D125" s="16" t="str">
        <f>IFERROR(__xludf.DUMMYFUNCTION("""COMPUTED_VALUE"""),"Hand")</f>
        <v>Hand</v>
      </c>
      <c r="E125" s="16">
        <f>IFERROR(__xludf.DUMMYFUNCTION("""COMPUTED_VALUE"""),200.0)</f>
        <v>200</v>
      </c>
      <c r="F125" s="16" t="str">
        <f>IFERROR(__xludf.DUMMYFUNCTION("""COMPUTED_VALUE"""),"ATK: +10000 ++When hitting an enemy inflict them with poison 500")</f>
        <v>ATK: +10000 ++When hitting an enemy inflict them with poison 500</v>
      </c>
      <c r="G125" s="16">
        <f>IFERROR(__xludf.DUMMYFUNCTION("""COMPUTED_VALUE"""),1900000.0)</f>
        <v>1900000</v>
      </c>
      <c r="H125" s="16"/>
      <c r="I125" s="16"/>
      <c r="J125" s="16"/>
      <c r="K125" s="16"/>
      <c r="L125" s="16"/>
      <c r="M125" s="16"/>
      <c r="N125" s="16"/>
      <c r="O125" s="16"/>
      <c r="P125" s="16"/>
      <c r="Q125" s="16"/>
      <c r="R125" s="16"/>
      <c r="S125" s="16"/>
      <c r="T125" s="16"/>
      <c r="U125" s="16"/>
      <c r="V125" s="16"/>
      <c r="W125" s="16"/>
      <c r="X125" s="16"/>
      <c r="Y125" s="16"/>
      <c r="Z125" s="16"/>
    </row>
    <row r="126">
      <c r="A126" s="16" t="str">
        <f>IFERROR(__xludf.DUMMYFUNCTION("""COMPUTED_VALUE"""),"Glass Shield")</f>
        <v>Glass Shield</v>
      </c>
      <c r="B126" s="16"/>
      <c r="C126" s="16" t="str">
        <f>IFERROR(__xludf.DUMMYFUNCTION("""COMPUTED_VALUE"""),"Towershield")</f>
        <v>Towershield</v>
      </c>
      <c r="D126" s="16" t="str">
        <f>IFERROR(__xludf.DUMMYFUNCTION("""COMPUTED_VALUE"""),"Hand")</f>
        <v>Hand</v>
      </c>
      <c r="E126" s="16">
        <f>IFERROR(__xludf.DUMMYFUNCTION("""COMPUTED_VALUE"""),1000.0)</f>
        <v>1000</v>
      </c>
      <c r="F126" s="16" t="str">
        <f>IFERROR(__xludf.DUMMYFUNCTION("""COMPUTED_VALUE"""),"DEF: +50000 +-has a 50% chance of breaking upon taking damage")</f>
        <v>DEF: +50000 +-has a 50% chance of breaking upon taking damage</v>
      </c>
      <c r="G126" s="16">
        <f>IFERROR(__xludf.DUMMYFUNCTION("""COMPUTED_VALUE"""),4.95E7)</f>
        <v>49500000</v>
      </c>
      <c r="H126" s="16"/>
      <c r="I126" s="16"/>
      <c r="J126" s="16"/>
      <c r="K126" s="16"/>
      <c r="L126" s="16"/>
      <c r="M126" s="16"/>
      <c r="N126" s="16"/>
      <c r="O126" s="16"/>
      <c r="P126" s="16"/>
      <c r="Q126" s="16"/>
      <c r="R126" s="16"/>
      <c r="S126" s="16"/>
      <c r="T126" s="16"/>
      <c r="U126" s="16"/>
      <c r="V126" s="16"/>
      <c r="W126" s="16"/>
      <c r="X126" s="16"/>
      <c r="Y126" s="16"/>
      <c r="Z126" s="16"/>
    </row>
    <row r="127">
      <c r="A127" s="16" t="str">
        <f>IFERROR(__xludf.DUMMYFUNCTION("""COMPUTED_VALUE"""),"Goose Staff")</f>
        <v>Goose Staff</v>
      </c>
      <c r="B127" s="16"/>
      <c r="C127" s="16" t="str">
        <f>IFERROR(__xludf.DUMMYFUNCTION("""COMPUTED_VALUE"""),"Staff")</f>
        <v>Staff</v>
      </c>
      <c r="D127" s="16" t="str">
        <f>IFERROR(__xludf.DUMMYFUNCTION("""COMPUTED_VALUE"""),"Hand")</f>
        <v>Hand</v>
      </c>
      <c r="E127" s="16">
        <f>IFERROR(__xludf.DUMMYFUNCTION("""COMPUTED_VALUE"""),1.0)</f>
        <v>1</v>
      </c>
      <c r="F127" s="16" t="str">
        <f>IFERROR(__xludf.DUMMYFUNCTION("""COMPUTED_VALUE""")," ++Summons Lord Goose to aid you in battle, 1000 SP.")</f>
        <v> ++Summons Lord Goose to aid you in battle, 1000 SP.</v>
      </c>
      <c r="G127" s="16">
        <f>IFERROR(__xludf.DUMMYFUNCTION("""COMPUTED_VALUE"""),0.0)</f>
        <v>0</v>
      </c>
      <c r="H127" s="16"/>
      <c r="I127" s="16"/>
      <c r="J127" s="16"/>
      <c r="K127" s="16"/>
      <c r="L127" s="16"/>
      <c r="M127" s="16"/>
      <c r="N127" s="16"/>
      <c r="O127" s="16"/>
      <c r="P127" s="16"/>
      <c r="Q127" s="16"/>
      <c r="R127" s="16"/>
      <c r="S127" s="16"/>
      <c r="T127" s="16"/>
      <c r="U127" s="16"/>
      <c r="V127" s="16"/>
      <c r="W127" s="16"/>
      <c r="X127" s="16"/>
      <c r="Y127" s="16"/>
      <c r="Z127" s="16"/>
    </row>
    <row r="128">
      <c r="A128" s="16" t="str">
        <f>IFERROR(__xludf.DUMMYFUNCTION("""COMPUTED_VALUE"""),"Grand Hellfire Sword")</f>
        <v>Grand Hellfire Sword</v>
      </c>
      <c r="B128" s="16"/>
      <c r="C128" s="16" t="str">
        <f>IFERROR(__xludf.DUMMYFUNCTION("""COMPUTED_VALUE"""),"Sword")</f>
        <v>Sword</v>
      </c>
      <c r="D128" s="16" t="str">
        <f>IFERROR(__xludf.DUMMYFUNCTION("""COMPUTED_VALUE"""),"Hand")</f>
        <v>Hand</v>
      </c>
      <c r="E128" s="16">
        <f>IFERROR(__xludf.DUMMYFUNCTION("""COMPUTED_VALUE"""),200.0)</f>
        <v>200</v>
      </c>
      <c r="F128" s="16" t="str">
        <f>IFERROR(__xludf.DUMMYFUNCTION("""COMPUTED_VALUE"""),"DMG: +50000, Fire DMG: +100000, Dark DMG: +50000, Chaos DMG: +50000, Celestial DMG: +50000 ++Upon a successful hit this weapon will have a 20% chance to summon a Grand Dark and Fire Mage, Level is determined by DM/GM. +-Cannot be Duplicated.")</f>
        <v>DMG: +50000, Fire DMG: +100000, Dark DMG: +50000, Chaos DMG: +50000, Celestial DMG: +50000 ++Upon a successful hit this weapon will have a 20% chance to summon a Grand Dark and Fire Mage, Level is determined by DM/GM. +-Cannot be Duplicated.</v>
      </c>
      <c r="G128" s="16">
        <f>IFERROR(__xludf.DUMMYFUNCTION("""COMPUTED_VALUE"""),1.797E9)</f>
        <v>1797000000</v>
      </c>
      <c r="H128" s="16"/>
      <c r="I128" s="16"/>
      <c r="J128" s="16"/>
      <c r="K128" s="16"/>
      <c r="L128" s="16"/>
      <c r="M128" s="16"/>
      <c r="N128" s="16"/>
      <c r="O128" s="16"/>
      <c r="P128" s="16"/>
      <c r="Q128" s="16"/>
      <c r="R128" s="16"/>
      <c r="S128" s="16"/>
      <c r="T128" s="16"/>
      <c r="U128" s="16"/>
      <c r="V128" s="16"/>
      <c r="W128" s="16"/>
      <c r="X128" s="16"/>
      <c r="Y128" s="16"/>
      <c r="Z128" s="16"/>
    </row>
    <row r="129">
      <c r="A129" s="16" t="str">
        <f>IFERROR(__xludf.DUMMYFUNCTION("""COMPUTED_VALUE"""),"Grand Master Bow")</f>
        <v>Grand Master Bow</v>
      </c>
      <c r="B129" s="16"/>
      <c r="C129" s="16" t="str">
        <f>IFERROR(__xludf.DUMMYFUNCTION("""COMPUTED_VALUE"""),"Bow")</f>
        <v>Bow</v>
      </c>
      <c r="D129" s="16" t="str">
        <f>IFERROR(__xludf.DUMMYFUNCTION("""COMPUTED_VALUE"""),"Hand")</f>
        <v>Hand</v>
      </c>
      <c r="E129" s="16">
        <f>IFERROR(__xludf.DUMMYFUNCTION("""COMPUTED_VALUE"""),20.0)</f>
        <v>20</v>
      </c>
      <c r="F129" s="16" t="str">
        <f>IFERROR(__xludf.DUMMYFUNCTION("""COMPUTED_VALUE"""),"DMG: +1000 ++X4 additional damage towards ranged attacks. +-Only Archers can equip. +-Cannot be duplicated. ")</f>
        <v>DMG: +1000 ++X4 additional damage towards ranged attacks. +-Only Archers can equip. +-Cannot be duplicated. </v>
      </c>
      <c r="G129" s="16">
        <f>IFERROR(__xludf.DUMMYFUNCTION("""COMPUTED_VALUE"""),10000.0)</f>
        <v>10000</v>
      </c>
      <c r="H129" s="16"/>
      <c r="I129" s="16"/>
      <c r="J129" s="16"/>
      <c r="K129" s="16"/>
      <c r="L129" s="16"/>
      <c r="M129" s="16"/>
      <c r="N129" s="16"/>
      <c r="O129" s="16"/>
      <c r="P129" s="16"/>
      <c r="Q129" s="16"/>
      <c r="R129" s="16"/>
      <c r="S129" s="16"/>
      <c r="T129" s="16"/>
      <c r="U129" s="16"/>
      <c r="V129" s="16"/>
      <c r="W129" s="16"/>
      <c r="X129" s="16"/>
      <c r="Y129" s="16"/>
      <c r="Z129" s="16"/>
    </row>
    <row r="130">
      <c r="A130" s="16" t="str">
        <f>IFERROR(__xludf.DUMMYFUNCTION("""COMPUTED_VALUE"""),"Grass Sword")</f>
        <v>Grass Sword</v>
      </c>
      <c r="B130" s="16" t="str">
        <f>IFERROR(__xludf.DUMMYFUNCTION("""COMPUTED_VALUE"""),"A strong grass entity in the form of a sword")</f>
        <v>A strong grass entity in the form of a sword</v>
      </c>
      <c r="C130" s="16" t="str">
        <f>IFERROR(__xludf.DUMMYFUNCTION("""COMPUTED_VALUE"""),"Sword")</f>
        <v>Sword</v>
      </c>
      <c r="D130" s="16" t="str">
        <f>IFERROR(__xludf.DUMMYFUNCTION("""COMPUTED_VALUE"""),"Hand")</f>
        <v>Hand</v>
      </c>
      <c r="E130" s="16">
        <f>IFERROR(__xludf.DUMMYFUNCTION("""COMPUTED_VALUE"""),1.0)</f>
        <v>1</v>
      </c>
      <c r="F130" s="16" t="str">
        <f>IFERROR(__xludf.DUMMYFUNCTION("""COMPUTED_VALUE"""),"DMG: +250")</f>
        <v>DMG: +250</v>
      </c>
      <c r="G130" s="16">
        <f>IFERROR(__xludf.DUMMYFUNCTION("""COMPUTED_VALUE"""),0.0)</f>
        <v>0</v>
      </c>
      <c r="H130" s="16"/>
      <c r="I130" s="16"/>
      <c r="J130" s="16"/>
      <c r="K130" s="16"/>
      <c r="L130" s="16"/>
      <c r="M130" s="16"/>
      <c r="N130" s="16"/>
      <c r="O130" s="16"/>
      <c r="P130" s="16"/>
      <c r="Q130" s="16"/>
      <c r="R130" s="16"/>
      <c r="S130" s="16"/>
      <c r="T130" s="16"/>
      <c r="U130" s="16"/>
      <c r="V130" s="16"/>
      <c r="W130" s="16"/>
      <c r="X130" s="16"/>
      <c r="Y130" s="16"/>
      <c r="Z130" s="16"/>
    </row>
    <row r="131">
      <c r="A131" s="16" t="str">
        <f>IFERROR(__xludf.DUMMYFUNCTION("""COMPUTED_VALUE"""),"Great Stone Gargoyle Sword")</f>
        <v>Great Stone Gargoyle Sword</v>
      </c>
      <c r="B131" s="16"/>
      <c r="C131" s="16" t="str">
        <f>IFERROR(__xludf.DUMMYFUNCTION("""COMPUTED_VALUE"""),"Sword")</f>
        <v>Sword</v>
      </c>
      <c r="D131" s="16" t="str">
        <f>IFERROR(__xludf.DUMMYFUNCTION("""COMPUTED_VALUE"""),"Hand")</f>
        <v>Hand</v>
      </c>
      <c r="E131" s="16">
        <f>IFERROR(__xludf.DUMMYFUNCTION("""COMPUTED_VALUE"""),4000.0)</f>
        <v>4000</v>
      </c>
      <c r="F131" s="16" t="str">
        <f>IFERROR(__xludf.DUMMYFUNCTION("""COMPUTED_VALUE"""),"DMG: +100000, Earth DMG: +100000 ++When this weapon is equipped the wielder gets X2 Attack and Defence, +-Cannot be duplicated.")</f>
        <v>DMG: +100000, Earth DMG: +100000 ++When this weapon is equipped the wielder gets X2 Attack and Defence, +-Cannot be duplicated.</v>
      </c>
      <c r="G131" s="16">
        <f>IFERROR(__xludf.DUMMYFUNCTION("""COMPUTED_VALUE"""),7.98E8)</f>
        <v>798000000</v>
      </c>
      <c r="H131" s="16"/>
      <c r="I131" s="16"/>
      <c r="J131" s="16"/>
      <c r="K131" s="16"/>
      <c r="L131" s="16"/>
      <c r="M131" s="16"/>
      <c r="N131" s="16"/>
      <c r="O131" s="16"/>
      <c r="P131" s="16"/>
      <c r="Q131" s="16"/>
      <c r="R131" s="16"/>
      <c r="S131" s="16"/>
      <c r="T131" s="16"/>
      <c r="U131" s="16"/>
      <c r="V131" s="16"/>
      <c r="W131" s="16"/>
      <c r="X131" s="16"/>
      <c r="Y131" s="16"/>
      <c r="Z131" s="16"/>
    </row>
    <row r="132">
      <c r="A132" s="16" t="str">
        <f>IFERROR(__xludf.DUMMYFUNCTION("""COMPUTED_VALUE"""),"Greaves of The Sea Serpent")</f>
        <v>Greaves of The Sea Serpent</v>
      </c>
      <c r="B132" s="16"/>
      <c r="C132" s="16"/>
      <c r="D132" s="16" t="str">
        <f>IFERROR(__xludf.DUMMYFUNCTION("""COMPUTED_VALUE"""),"Legs")</f>
        <v>Legs</v>
      </c>
      <c r="E132" s="16">
        <f>IFERROR(__xludf.DUMMYFUNCTION("""COMPUTED_VALUE"""),100.0)</f>
        <v>100</v>
      </c>
      <c r="F132" s="16" t="str">
        <f>IFERROR(__xludf.DUMMYFUNCTION("""COMPUTED_VALUE"""),"DEF: +2500, Water DEF: +2500 ++X2 additional water damage for self.")</f>
        <v>DEF: +2500, Water DEF: +2500 ++X2 additional water damage for self.</v>
      </c>
      <c r="G132" s="16">
        <f>IFERROR(__xludf.DUMMYFUNCTION("""COMPUTED_VALUE"""),450000.0)</f>
        <v>450000</v>
      </c>
      <c r="H132" s="16"/>
      <c r="I132" s="16"/>
      <c r="J132" s="16"/>
      <c r="K132" s="16"/>
      <c r="L132" s="16"/>
      <c r="M132" s="16"/>
      <c r="N132" s="16"/>
      <c r="O132" s="16"/>
      <c r="P132" s="16"/>
      <c r="Q132" s="16"/>
      <c r="R132" s="16"/>
      <c r="S132" s="16"/>
      <c r="T132" s="16"/>
      <c r="U132" s="16"/>
      <c r="V132" s="16"/>
      <c r="W132" s="16"/>
      <c r="X132" s="16"/>
      <c r="Y132" s="16"/>
      <c r="Z132" s="16"/>
    </row>
    <row r="133">
      <c r="A133" s="16" t="str">
        <f>IFERROR(__xludf.DUMMYFUNCTION("""COMPUTED_VALUE"""),"Greaves of Waking Waters")</f>
        <v>Greaves of Waking Waters</v>
      </c>
      <c r="B133" s="16"/>
      <c r="C133" s="16"/>
      <c r="D133" s="16" t="str">
        <f>IFERROR(__xludf.DUMMYFUNCTION("""COMPUTED_VALUE"""),"Legs")</f>
        <v>Legs</v>
      </c>
      <c r="E133" s="16">
        <f>IFERROR(__xludf.DUMMYFUNCTION("""COMPUTED_VALUE"""),200.0)</f>
        <v>200</v>
      </c>
      <c r="F133" s="16" t="str">
        <f>IFERROR(__xludf.DUMMYFUNCTION("""COMPUTED_VALUE"""),"DEF: +5000, Water DEF: +5000 ++X4 additional water damage for self.")</f>
        <v>DEF: +5000, Water DEF: +5000 ++X4 additional water damage for self.</v>
      </c>
      <c r="G133" s="16">
        <f>IFERROR(__xludf.DUMMYFUNCTION("""COMPUTED_VALUE"""),1900000.0)</f>
        <v>1900000</v>
      </c>
      <c r="H133" s="16"/>
      <c r="I133" s="16"/>
      <c r="J133" s="16"/>
      <c r="K133" s="16"/>
      <c r="L133" s="16"/>
      <c r="M133" s="16"/>
      <c r="N133" s="16"/>
      <c r="O133" s="16"/>
      <c r="P133" s="16"/>
      <c r="Q133" s="16"/>
      <c r="R133" s="16"/>
      <c r="S133" s="16"/>
      <c r="T133" s="16"/>
      <c r="U133" s="16"/>
      <c r="V133" s="16"/>
      <c r="W133" s="16"/>
      <c r="X133" s="16"/>
      <c r="Y133" s="16"/>
      <c r="Z133" s="16"/>
    </row>
    <row r="134">
      <c r="A134" s="16" t="str">
        <f>IFERROR(__xludf.DUMMYFUNCTION("""COMPUTED_VALUE"""),"Halloween Staff")</f>
        <v>Halloween Staff</v>
      </c>
      <c r="B134" s="16" t="str">
        <f>IFERROR(__xludf.DUMMYFUNCTION("""COMPUTED_VALUE"""),"Halloween exclusive")</f>
        <v>Halloween exclusive</v>
      </c>
      <c r="C134" s="16" t="str">
        <f>IFERROR(__xludf.DUMMYFUNCTION("""COMPUTED_VALUE"""),"Staff")</f>
        <v>Staff</v>
      </c>
      <c r="D134" s="16" t="str">
        <f>IFERROR(__xludf.DUMMYFUNCTION("""COMPUTED_VALUE"""),"Hand")</f>
        <v>Hand</v>
      </c>
      <c r="E134" s="16">
        <f>IFERROR(__xludf.DUMMYFUNCTION("""COMPUTED_VALUE"""),1.0)</f>
        <v>1</v>
      </c>
      <c r="F134" s="16" t="str">
        <f>IFERROR(__xludf.DUMMYFUNCTION("""COMPUTED_VALUE""")," ++Transform into the Headless Horseman for 3 rounds.")</f>
        <v> ++Transform into the Headless Horseman for 3 rounds.</v>
      </c>
      <c r="G134" s="16">
        <f>IFERROR(__xludf.DUMMYFUNCTION("""COMPUTED_VALUE"""),0.0)</f>
        <v>0</v>
      </c>
      <c r="H134" s="16"/>
      <c r="I134" s="16"/>
      <c r="J134" s="16"/>
      <c r="K134" s="16"/>
      <c r="L134" s="16"/>
      <c r="M134" s="16"/>
      <c r="N134" s="16"/>
      <c r="O134" s="16"/>
      <c r="P134" s="16"/>
      <c r="Q134" s="16"/>
      <c r="R134" s="16"/>
      <c r="S134" s="16"/>
      <c r="T134" s="16"/>
      <c r="U134" s="16"/>
      <c r="V134" s="16"/>
      <c r="W134" s="16"/>
      <c r="X134" s="16"/>
      <c r="Y134" s="16"/>
      <c r="Z134" s="16"/>
    </row>
    <row r="135">
      <c r="A135" s="16" t="str">
        <f>IFERROR(__xludf.DUMMYFUNCTION("""COMPUTED_VALUE"""),"Hammer of Chaotic Shadows")</f>
        <v>Hammer of Chaotic Shadows</v>
      </c>
      <c r="B135" s="16"/>
      <c r="C135" s="16" t="str">
        <f>IFERROR(__xludf.DUMMYFUNCTION("""COMPUTED_VALUE"""),"Club")</f>
        <v>Club</v>
      </c>
      <c r="D135" s="16" t="str">
        <f>IFERROR(__xludf.DUMMYFUNCTION("""COMPUTED_VALUE"""),"Hand")</f>
        <v>Hand</v>
      </c>
      <c r="E135" s="16">
        <f>IFERROR(__xludf.DUMMYFUNCTION("""COMPUTED_VALUE"""),300.0)</f>
        <v>300</v>
      </c>
      <c r="F135" s="16" t="str">
        <f>IFERROR(__xludf.DUMMYFUNCTION("""COMPUTED_VALUE"""),"DMG: +5000, Dark DMG: +5000, Chaos DMG: +5000 ++X2 Additional Dark and Chaos Damage. ")</f>
        <v>DMG: +5000, Dark DMG: +5000, Chaos DMG: +5000 ++X2 Additional Dark and Chaos Damage. </v>
      </c>
      <c r="G135" s="16">
        <f>IFERROR(__xludf.DUMMYFUNCTION("""COMPUTED_VALUE"""),4350000.0)</f>
        <v>4350000</v>
      </c>
      <c r="H135" s="16"/>
      <c r="I135" s="16"/>
      <c r="J135" s="16"/>
      <c r="K135" s="16"/>
      <c r="L135" s="16"/>
      <c r="M135" s="16"/>
      <c r="N135" s="16"/>
      <c r="O135" s="16"/>
      <c r="P135" s="16"/>
      <c r="Q135" s="16"/>
      <c r="R135" s="16"/>
      <c r="S135" s="16"/>
      <c r="T135" s="16"/>
      <c r="U135" s="16"/>
      <c r="V135" s="16"/>
      <c r="W135" s="16"/>
      <c r="X135" s="16"/>
      <c r="Y135" s="16"/>
      <c r="Z135" s="16"/>
    </row>
    <row r="136">
      <c r="A136" s="16" t="str">
        <f>IFERROR(__xludf.DUMMYFUNCTION("""COMPUTED_VALUE"""),"Hardened Ice Sickle")</f>
        <v>Hardened Ice Sickle</v>
      </c>
      <c r="B136" s="16" t="str">
        <f>IFERROR(__xludf.DUMMYFUNCTION("""COMPUTED_VALUE"""),"Event Exclusive")</f>
        <v>Event Exclusive</v>
      </c>
      <c r="C136" s="16" t="str">
        <f>IFERROR(__xludf.DUMMYFUNCTION("""COMPUTED_VALUE"""),"Knife")</f>
        <v>Knife</v>
      </c>
      <c r="D136" s="16" t="str">
        <f>IFERROR(__xludf.DUMMYFUNCTION("""COMPUTED_VALUE"""),"Hand")</f>
        <v>Hand</v>
      </c>
      <c r="E136" s="16">
        <f>IFERROR(__xludf.DUMMYFUNCTION("""COMPUTED_VALUE"""),200.0)</f>
        <v>200</v>
      </c>
      <c r="F136" s="16" t="str">
        <f>IFERROR(__xludf.DUMMYFUNCTION("""COMPUTED_VALUE"""),"DMG: +5000, Water DMG: +5000 ++75% chance to freeze the target.")</f>
        <v>DMG: +5000, Water DMG: +5000 ++75% chance to freeze the target.</v>
      </c>
      <c r="G136" s="16">
        <f>IFERROR(__xludf.DUMMYFUNCTION("""COMPUTED_VALUE"""),1900000.0)</f>
        <v>1900000</v>
      </c>
      <c r="H136" s="16"/>
      <c r="I136" s="16"/>
      <c r="J136" s="16"/>
      <c r="K136" s="16"/>
      <c r="L136" s="16"/>
      <c r="M136" s="16"/>
      <c r="N136" s="16"/>
      <c r="O136" s="16"/>
      <c r="P136" s="16"/>
      <c r="Q136" s="16"/>
      <c r="R136" s="16"/>
      <c r="S136" s="16"/>
      <c r="T136" s="16"/>
      <c r="U136" s="16"/>
      <c r="V136" s="16"/>
      <c r="W136" s="16"/>
      <c r="X136" s="16"/>
      <c r="Y136" s="16"/>
      <c r="Z136" s="16"/>
    </row>
    <row r="137">
      <c r="A137" s="16" t="str">
        <f>IFERROR(__xludf.DUMMYFUNCTION("""COMPUTED_VALUE"""),"Haunted Katana")</f>
        <v>Haunted Katana</v>
      </c>
      <c r="B137" s="16"/>
      <c r="C137" s="16" t="str">
        <f>IFERROR(__xludf.DUMMYFUNCTION("""COMPUTED_VALUE"""),"Sword")</f>
        <v>Sword</v>
      </c>
      <c r="D137" s="16" t="str">
        <f>IFERROR(__xludf.DUMMYFUNCTION("""COMPUTED_VALUE"""),"Hand")</f>
        <v>Hand</v>
      </c>
      <c r="E137" s="16">
        <f>IFERROR(__xludf.DUMMYFUNCTION("""COMPUTED_VALUE"""),600.0)</f>
        <v>600</v>
      </c>
      <c r="F137" s="16" t="str">
        <f>IFERROR(__xludf.DUMMYFUNCTION("""COMPUTED_VALUE"""),"DMG: +10000, Dark DMG: +10000, Spirit DMG: +10000 +-You go last during the turn order in battle.. ")</f>
        <v>DMG: +10000, Dark DMG: +10000, Spirit DMG: +10000 +-You go last during the turn order in battle.. </v>
      </c>
      <c r="G137" s="16">
        <f>IFERROR(__xludf.DUMMYFUNCTION("""COMPUTED_VALUE"""),1.77E7)</f>
        <v>17700000</v>
      </c>
      <c r="H137" s="16"/>
      <c r="I137" s="16"/>
      <c r="J137" s="16"/>
      <c r="K137" s="16"/>
      <c r="L137" s="16"/>
      <c r="M137" s="16"/>
      <c r="N137" s="16"/>
      <c r="O137" s="16"/>
      <c r="P137" s="16"/>
      <c r="Q137" s="16"/>
      <c r="R137" s="16"/>
      <c r="S137" s="16"/>
      <c r="T137" s="16"/>
      <c r="U137" s="16"/>
      <c r="V137" s="16"/>
      <c r="W137" s="16"/>
      <c r="X137" s="16"/>
      <c r="Y137" s="16"/>
      <c r="Z137" s="16"/>
    </row>
    <row r="138">
      <c r="A138" s="16" t="str">
        <f>IFERROR(__xludf.DUMMYFUNCTION("""COMPUTED_VALUE"""),"Haunted King's Favorite Shield")</f>
        <v>Haunted King's Favorite Shield</v>
      </c>
      <c r="B138" s="16" t="str">
        <f>IFERROR(__xludf.DUMMYFUNCTION("""COMPUTED_VALUE"""),"Halloween exclusive")</f>
        <v>Halloween exclusive</v>
      </c>
      <c r="C138" s="16" t="str">
        <f>IFERROR(__xludf.DUMMYFUNCTION("""COMPUTED_VALUE"""),"Towershield")</f>
        <v>Towershield</v>
      </c>
      <c r="D138" s="16" t="str">
        <f>IFERROR(__xludf.DUMMYFUNCTION("""COMPUTED_VALUE"""),"Hand")</f>
        <v>Hand</v>
      </c>
      <c r="E138" s="16">
        <f>IFERROR(__xludf.DUMMYFUNCTION("""COMPUTED_VALUE"""),20.0)</f>
        <v>20</v>
      </c>
      <c r="F138" s="16" t="str">
        <f>IFERROR(__xludf.DUMMYFUNCTION("""COMPUTED_VALUE"""),"DEF: +1000 ++Great Block - When attacked you will take no damage until your next turn, Costs All SP and sets Users HP to 1.")</f>
        <v>DEF: +1000 ++Great Block - When attacked you will take no damage until your next turn, Costs All SP and sets Users HP to 1.</v>
      </c>
      <c r="G138" s="16">
        <f>IFERROR(__xludf.DUMMYFUNCTION("""COMPUTED_VALUE"""),10000.0)</f>
        <v>10000</v>
      </c>
      <c r="H138" s="16"/>
      <c r="I138" s="16"/>
      <c r="J138" s="16"/>
      <c r="K138" s="16"/>
      <c r="L138" s="16"/>
      <c r="M138" s="16"/>
      <c r="N138" s="16"/>
      <c r="O138" s="16"/>
      <c r="P138" s="16"/>
      <c r="Q138" s="16"/>
      <c r="R138" s="16"/>
      <c r="S138" s="16"/>
      <c r="T138" s="16"/>
      <c r="U138" s="16"/>
      <c r="V138" s="16"/>
      <c r="W138" s="16"/>
      <c r="X138" s="16"/>
      <c r="Y138" s="16"/>
      <c r="Z138" s="16"/>
    </row>
    <row r="139">
      <c r="A139" s="16" t="str">
        <f>IFERROR(__xludf.DUMMYFUNCTION("""COMPUTED_VALUE"""),"Haunted King's Favorite Sword")</f>
        <v>Haunted King's Favorite Sword</v>
      </c>
      <c r="B139" s="16" t="str">
        <f>IFERROR(__xludf.DUMMYFUNCTION("""COMPUTED_VALUE"""),"Halloween exclusive")</f>
        <v>Halloween exclusive</v>
      </c>
      <c r="C139" s="16" t="str">
        <f>IFERROR(__xludf.DUMMYFUNCTION("""COMPUTED_VALUE"""),"Sword")</f>
        <v>Sword</v>
      </c>
      <c r="D139" s="16" t="str">
        <f>IFERROR(__xludf.DUMMYFUNCTION("""COMPUTED_VALUE"""),"Hand")</f>
        <v>Hand</v>
      </c>
      <c r="E139" s="16">
        <f>IFERROR(__xludf.DUMMYFUNCTION("""COMPUTED_VALUE"""),60.0)</f>
        <v>60</v>
      </c>
      <c r="F139" s="16" t="str">
        <f>IFERROR(__xludf.DUMMYFUNCTION("""COMPUTED_VALUE"""),"DMG: +3000 ++Piercing Strike - Ignores all Def when attacking with this weapon ++gain 1000 SP upon a successful hit. +-Cannot be duplicated")</f>
        <v>DMG: +3000 ++Piercing Strike - Ignores all Def when attacking with this weapon ++gain 1000 SP upon a successful hit. +-Cannot be duplicated</v>
      </c>
      <c r="G139" s="16">
        <f>IFERROR(__xludf.DUMMYFUNCTION("""COMPUTED_VALUE"""),150000.0)</f>
        <v>150000</v>
      </c>
      <c r="H139" s="16"/>
      <c r="I139" s="16"/>
      <c r="J139" s="16"/>
      <c r="K139" s="16"/>
      <c r="L139" s="16"/>
      <c r="M139" s="16"/>
      <c r="N139" s="16"/>
      <c r="O139" s="16"/>
      <c r="P139" s="16"/>
      <c r="Q139" s="16"/>
      <c r="R139" s="16"/>
      <c r="S139" s="16"/>
      <c r="T139" s="16"/>
      <c r="U139" s="16"/>
      <c r="V139" s="16"/>
      <c r="W139" s="16"/>
      <c r="X139" s="16"/>
      <c r="Y139" s="16"/>
      <c r="Z139" s="16"/>
    </row>
    <row r="140">
      <c r="A140" s="16" t="str">
        <f>IFERROR(__xludf.DUMMYFUNCTION("""COMPUTED_VALUE"""),"Heatmore Flame Golem Head")</f>
        <v>Heatmore Flame Golem Head</v>
      </c>
      <c r="B140" s="16"/>
      <c r="C140" s="16"/>
      <c r="D140" s="16" t="str">
        <f>IFERROR(__xludf.DUMMYFUNCTION("""COMPUTED_VALUE"""),"Head")</f>
        <v>Head</v>
      </c>
      <c r="E140" s="16">
        <f>IFERROR(__xludf.DUMMYFUNCTION("""COMPUTED_VALUE"""),300.0)</f>
        <v>300</v>
      </c>
      <c r="F140" s="16" t="str">
        <f>IFERROR(__xludf.DUMMYFUNCTION("""COMPUTED_VALUE"""),"DEF: +5000, Fire DEF: +5000, Earth DEF: +5000 ++X2 additional Earth and Fire Resistance.")</f>
        <v>DEF: +5000, Fire DEF: +5000, Earth DEF: +5000 ++X2 additional Earth and Fire Resistance.</v>
      </c>
      <c r="G140" s="16">
        <f>IFERROR(__xludf.DUMMYFUNCTION("""COMPUTED_VALUE"""),4350000.0)</f>
        <v>4350000</v>
      </c>
      <c r="H140" s="16"/>
      <c r="I140" s="16"/>
      <c r="J140" s="16"/>
      <c r="K140" s="16"/>
      <c r="L140" s="16"/>
      <c r="M140" s="16"/>
      <c r="N140" s="16"/>
      <c r="O140" s="16"/>
      <c r="P140" s="16"/>
      <c r="Q140" s="16"/>
      <c r="R140" s="16"/>
      <c r="S140" s="16"/>
      <c r="T140" s="16"/>
      <c r="U140" s="16"/>
      <c r="V140" s="16"/>
      <c r="W140" s="16"/>
      <c r="X140" s="16"/>
      <c r="Y140" s="16"/>
      <c r="Z140" s="16"/>
    </row>
    <row r="141">
      <c r="A141" s="16" t="str">
        <f>IFERROR(__xludf.DUMMYFUNCTION("""COMPUTED_VALUE"""),"Helmet of Darkness")</f>
        <v>Helmet of Darkness</v>
      </c>
      <c r="B141" s="16"/>
      <c r="C141" s="16"/>
      <c r="D141" s="16" t="str">
        <f>IFERROR(__xludf.DUMMYFUNCTION("""COMPUTED_VALUE"""),"Head")</f>
        <v>Head</v>
      </c>
      <c r="E141" s="16">
        <f>IFERROR(__xludf.DUMMYFUNCTION("""COMPUTED_VALUE"""),400.0)</f>
        <v>400</v>
      </c>
      <c r="F141" s="16" t="str">
        <f>IFERROR(__xludf.DUMMYFUNCTION("""COMPUTED_VALUE"""),"DEF: +10000, Dark DEF: +10000 ++Immunity to Dark damage.")</f>
        <v>DEF: +10000, Dark DEF: +10000 ++Immunity to Dark damage.</v>
      </c>
      <c r="G141" s="16">
        <f>IFERROR(__xludf.DUMMYFUNCTION("""COMPUTED_VALUE"""),7800000.0)</f>
        <v>7800000</v>
      </c>
      <c r="H141" s="16"/>
      <c r="I141" s="16"/>
      <c r="J141" s="16"/>
      <c r="K141" s="16"/>
      <c r="L141" s="16"/>
      <c r="M141" s="16"/>
      <c r="N141" s="16"/>
      <c r="O141" s="16"/>
      <c r="P141" s="16"/>
      <c r="Q141" s="16"/>
      <c r="R141" s="16"/>
      <c r="S141" s="16"/>
      <c r="T141" s="16"/>
      <c r="U141" s="16"/>
      <c r="V141" s="16"/>
      <c r="W141" s="16"/>
      <c r="X141" s="16"/>
      <c r="Y141" s="16"/>
      <c r="Z141" s="16"/>
    </row>
    <row r="142">
      <c r="A142" s="16" t="str">
        <f>IFERROR(__xludf.DUMMYFUNCTION("""COMPUTED_VALUE"""),"Helmet of Waking Waters")</f>
        <v>Helmet of Waking Waters</v>
      </c>
      <c r="B142" s="16"/>
      <c r="C142" s="16"/>
      <c r="D142" s="16" t="str">
        <f>IFERROR(__xludf.DUMMYFUNCTION("""COMPUTED_VALUE"""),"Head")</f>
        <v>Head</v>
      </c>
      <c r="E142" s="16">
        <f>IFERROR(__xludf.DUMMYFUNCTION("""COMPUTED_VALUE"""),200.0)</f>
        <v>200</v>
      </c>
      <c r="F142" s="16" t="str">
        <f>IFERROR(__xludf.DUMMYFUNCTION("""COMPUTED_VALUE"""),"DEF: +5000, Water DEF: +5000 ++X4 additional water damage.")</f>
        <v>DEF: +5000, Water DEF: +5000 ++X4 additional water damage.</v>
      </c>
      <c r="G142" s="16">
        <f>IFERROR(__xludf.DUMMYFUNCTION("""COMPUTED_VALUE"""),1900000.0)</f>
        <v>1900000</v>
      </c>
      <c r="H142" s="16"/>
      <c r="I142" s="16"/>
      <c r="J142" s="16"/>
      <c r="K142" s="16"/>
      <c r="L142" s="16"/>
      <c r="M142" s="16"/>
      <c r="N142" s="16"/>
      <c r="O142" s="16"/>
      <c r="P142" s="16"/>
      <c r="Q142" s="16"/>
      <c r="R142" s="16"/>
      <c r="S142" s="16"/>
      <c r="T142" s="16"/>
      <c r="U142" s="16"/>
      <c r="V142" s="16"/>
      <c r="W142" s="16"/>
      <c r="X142" s="16"/>
      <c r="Y142" s="16"/>
      <c r="Z142" s="16"/>
    </row>
    <row r="143">
      <c r="A143" s="16" t="str">
        <f>IFERROR(__xludf.DUMMYFUNCTION("""COMPUTED_VALUE"""),"High Range Bow")</f>
        <v>High Range Bow</v>
      </c>
      <c r="B143" s="16"/>
      <c r="C143" s="16" t="str">
        <f>IFERROR(__xludf.DUMMYFUNCTION("""COMPUTED_VALUE"""),"Bow")</f>
        <v>Bow</v>
      </c>
      <c r="D143" s="16" t="str">
        <f>IFERROR(__xludf.DUMMYFUNCTION("""COMPUTED_VALUE"""),"Hand")</f>
        <v>Hand</v>
      </c>
      <c r="E143" s="16">
        <f>IFERROR(__xludf.DUMMYFUNCTION("""COMPUTED_VALUE"""),10.0)</f>
        <v>10</v>
      </c>
      <c r="F143" s="16" t="str">
        <f>IFERROR(__xludf.DUMMYFUNCTION("""COMPUTED_VALUE"""),"DMG: +500 ++Hawkeye: X2 more arrow damage and ranged attacks deal half damage that are dealt to the wearer. ")</f>
        <v>DMG: +500 ++Hawkeye: X2 more arrow damage and ranged attacks deal half damage that are dealt to the wearer. </v>
      </c>
      <c r="G143" s="16">
        <f>IFERROR(__xludf.DUMMYFUNCTION("""COMPUTED_VALUE"""),1000.0)</f>
        <v>1000</v>
      </c>
      <c r="H143" s="16"/>
      <c r="I143" s="16"/>
      <c r="J143" s="16"/>
      <c r="K143" s="16"/>
      <c r="L143" s="16"/>
      <c r="M143" s="16"/>
      <c r="N143" s="16"/>
      <c r="O143" s="16"/>
      <c r="P143" s="16"/>
      <c r="Q143" s="16"/>
      <c r="R143" s="16"/>
      <c r="S143" s="16"/>
      <c r="T143" s="16"/>
      <c r="U143" s="16"/>
      <c r="V143" s="16"/>
      <c r="W143" s="16"/>
      <c r="X143" s="16"/>
      <c r="Y143" s="16"/>
      <c r="Z143" s="16"/>
    </row>
    <row r="144">
      <c r="A144" s="16" t="str">
        <f>IFERROR(__xludf.DUMMYFUNCTION("""COMPUTED_VALUE"""),"Horn of The Forgotten")</f>
        <v>Horn of The Forgotten</v>
      </c>
      <c r="B144" s="16"/>
      <c r="C144" s="16" t="str">
        <f>IFERROR(__xludf.DUMMYFUNCTION("""COMPUTED_VALUE"""),"Wand")</f>
        <v>Wand</v>
      </c>
      <c r="D144" s="16" t="str">
        <f>IFERROR(__xludf.DUMMYFUNCTION("""COMPUTED_VALUE"""),"Hand")</f>
        <v>Hand</v>
      </c>
      <c r="E144" s="16">
        <f>IFERROR(__xludf.DUMMYFUNCTION("""COMPUTED_VALUE"""),1.0)</f>
        <v>1</v>
      </c>
      <c r="F144" s="16" t="str">
        <f>IFERROR(__xludf.DUMMYFUNCTION("""COMPUTED_VALUE""")," ++Calls upon a lost soul to aid you in battle. The lost soul increases your max health defence and attack by double its original for the rest of battle. +-Can only be used once per battle. +-Cannot be duplicated")</f>
        <v> ++Calls upon a lost soul to aid you in battle. The lost soul increases your max health defence and attack by double its original for the rest of battle. +-Can only be used once per battle. +-Cannot be duplicated</v>
      </c>
      <c r="G144" s="16">
        <f>IFERROR(__xludf.DUMMYFUNCTION("""COMPUTED_VALUE"""),0.0)</f>
        <v>0</v>
      </c>
      <c r="H144" s="16"/>
      <c r="I144" s="16"/>
      <c r="J144" s="16"/>
      <c r="K144" s="16"/>
      <c r="L144" s="16"/>
      <c r="M144" s="16"/>
      <c r="N144" s="16"/>
      <c r="O144" s="16"/>
      <c r="P144" s="16"/>
      <c r="Q144" s="16"/>
      <c r="R144" s="16"/>
      <c r="S144" s="16"/>
      <c r="T144" s="16"/>
      <c r="U144" s="16"/>
      <c r="V144" s="16"/>
      <c r="W144" s="16"/>
      <c r="X144" s="16"/>
      <c r="Y144" s="16"/>
      <c r="Z144" s="16"/>
    </row>
    <row r="145">
      <c r="A145" s="16" t="str">
        <f>IFERROR(__xludf.DUMMYFUNCTION("""COMPUTED_VALUE"""),"Houyi's Bow")</f>
        <v>Houyi's Bow</v>
      </c>
      <c r="B145" s="16"/>
      <c r="C145" s="16" t="str">
        <f>IFERROR(__xludf.DUMMYFUNCTION("""COMPUTED_VALUE"""),"Bow")</f>
        <v>Bow</v>
      </c>
      <c r="D145" s="16" t="str">
        <f>IFERROR(__xludf.DUMMYFUNCTION("""COMPUTED_VALUE"""),"Hand")</f>
        <v>Hand</v>
      </c>
      <c r="E145" s="16">
        <f>IFERROR(__xludf.DUMMYFUNCTION("""COMPUTED_VALUE"""),400.0)</f>
        <v>400</v>
      </c>
      <c r="F145" s="16" t="str">
        <f>IFERROR(__xludf.DUMMYFUNCTION("""COMPUTED_VALUE"""),"DMG: +20000 ++Skill Shot - gives the wielder X2 accuracy and X2 damage for bows.")</f>
        <v>DMG: +20000 ++Skill Shot - gives the wielder X2 accuracy and X2 damage for bows.</v>
      </c>
      <c r="G145" s="16">
        <f>IFERROR(__xludf.DUMMYFUNCTION("""COMPUTED_VALUE"""),7800000.0)</f>
        <v>7800000</v>
      </c>
      <c r="H145" s="16"/>
      <c r="I145" s="16"/>
      <c r="J145" s="16"/>
      <c r="K145" s="16"/>
      <c r="L145" s="16"/>
      <c r="M145" s="16"/>
      <c r="N145" s="16"/>
      <c r="O145" s="16"/>
      <c r="P145" s="16"/>
      <c r="Q145" s="16"/>
      <c r="R145" s="16"/>
      <c r="S145" s="16"/>
      <c r="T145" s="16"/>
      <c r="U145" s="16"/>
      <c r="V145" s="16"/>
      <c r="W145" s="16"/>
      <c r="X145" s="16"/>
      <c r="Y145" s="16"/>
      <c r="Z145" s="16"/>
    </row>
    <row r="146">
      <c r="A146" s="16" t="str">
        <f>IFERROR(__xludf.DUMMYFUNCTION("""COMPUTED_VALUE"""),"Ice Blade")</f>
        <v>Ice Blade</v>
      </c>
      <c r="B146" s="16"/>
      <c r="C146" s="16" t="str">
        <f>IFERROR(__xludf.DUMMYFUNCTION("""COMPUTED_VALUE"""),"Sword")</f>
        <v>Sword</v>
      </c>
      <c r="D146" s="16" t="str">
        <f>IFERROR(__xludf.DUMMYFUNCTION("""COMPUTED_VALUE"""),"Hand")</f>
        <v>Hand</v>
      </c>
      <c r="E146" s="16">
        <f>IFERROR(__xludf.DUMMYFUNCTION("""COMPUTED_VALUE"""),100.0)</f>
        <v>100</v>
      </c>
      <c r="F146" s="16" t="str">
        <f>IFERROR(__xludf.DUMMYFUNCTION("""COMPUTED_VALUE"""),"DMG: +2000, Water DMG: +3000 ++50% chance to freeze the target.")</f>
        <v>DMG: +2000, Water DMG: +3000 ++50% chance to freeze the target.</v>
      </c>
      <c r="G146" s="16">
        <f>IFERROR(__xludf.DUMMYFUNCTION("""COMPUTED_VALUE"""),450000.0)</f>
        <v>450000</v>
      </c>
      <c r="H146" s="16"/>
      <c r="I146" s="16"/>
      <c r="J146" s="16"/>
      <c r="K146" s="16"/>
      <c r="L146" s="16"/>
      <c r="M146" s="16"/>
      <c r="N146" s="16"/>
      <c r="O146" s="16"/>
      <c r="P146" s="16"/>
      <c r="Q146" s="16"/>
      <c r="R146" s="16"/>
      <c r="S146" s="16"/>
      <c r="T146" s="16"/>
      <c r="U146" s="16"/>
      <c r="V146" s="16"/>
      <c r="W146" s="16"/>
      <c r="X146" s="16"/>
      <c r="Y146" s="16"/>
      <c r="Z146" s="16"/>
    </row>
    <row r="147">
      <c r="A147" s="16" t="str">
        <f>IFERROR(__xludf.DUMMYFUNCTION("""COMPUTED_VALUE"""),"Inferno Staff")</f>
        <v>Inferno Staff</v>
      </c>
      <c r="B147" s="16"/>
      <c r="C147" s="16" t="str">
        <f>IFERROR(__xludf.DUMMYFUNCTION("""COMPUTED_VALUE"""),"Staff")</f>
        <v>Staff</v>
      </c>
      <c r="D147" s="16" t="str">
        <f>IFERROR(__xludf.DUMMYFUNCTION("""COMPUTED_VALUE"""),"Hand")</f>
        <v>Hand</v>
      </c>
      <c r="E147" s="16">
        <f>IFERROR(__xludf.DUMMYFUNCTION("""COMPUTED_VALUE"""),200.0)</f>
        <v>200</v>
      </c>
      <c r="F147" s="16" t="str">
        <f>IFERROR(__xludf.DUMMYFUNCTION("""COMPUTED_VALUE"""),", Fire : +10000 ++Burn 10,000 to 1 target for 3 rounds. 100sp.")</f>
        <v>, Fire : +10000 ++Burn 10,000 to 1 target for 3 rounds. 100sp.</v>
      </c>
      <c r="G147" s="16">
        <f>IFERROR(__xludf.DUMMYFUNCTION("""COMPUTED_VALUE"""),1900000.0)</f>
        <v>1900000</v>
      </c>
      <c r="H147" s="16"/>
      <c r="I147" s="16"/>
      <c r="J147" s="16"/>
      <c r="K147" s="16"/>
      <c r="L147" s="16"/>
      <c r="M147" s="16"/>
      <c r="N147" s="16"/>
      <c r="O147" s="16"/>
      <c r="P147" s="16"/>
      <c r="Q147" s="16"/>
      <c r="R147" s="16"/>
      <c r="S147" s="16"/>
      <c r="T147" s="16"/>
      <c r="U147" s="16"/>
      <c r="V147" s="16"/>
      <c r="W147" s="16"/>
      <c r="X147" s="16"/>
      <c r="Y147" s="16"/>
      <c r="Z147" s="16"/>
    </row>
    <row r="148">
      <c r="A148" s="16" t="str">
        <f>IFERROR(__xludf.DUMMYFUNCTION("""COMPUTED_VALUE"""),"Jack's Special Archer Robe")</f>
        <v>Jack's Special Archer Robe</v>
      </c>
      <c r="B148" s="16" t="str">
        <f>IFERROR(__xludf.DUMMYFUNCTION("""COMPUTED_VALUE"""),"Halloween exclusive")</f>
        <v>Halloween exclusive</v>
      </c>
      <c r="C148" s="16"/>
      <c r="D148" s="16" t="str">
        <f>IFERROR(__xludf.DUMMYFUNCTION("""COMPUTED_VALUE"""),"Torso")</f>
        <v>Torso</v>
      </c>
      <c r="E148" s="16">
        <f>IFERROR(__xludf.DUMMYFUNCTION("""COMPUTED_VALUE"""),20.0)</f>
        <v>20</v>
      </c>
      <c r="F148" s="16" t="str">
        <f>IFERROR(__xludf.DUMMYFUNCTION("""COMPUTED_VALUE"""),"DEF: +900 ++Range Spells cost half the SP cost and all damage is doubled for ranged spells +-Archer Class Only")</f>
        <v>DEF: +900 ++Range Spells cost half the SP cost and all damage is doubled for ranged spells +-Archer Class Only</v>
      </c>
      <c r="G148" s="16">
        <f>IFERROR(__xludf.DUMMYFUNCTION("""COMPUTED_VALUE"""),1000.0)</f>
        <v>1000</v>
      </c>
      <c r="H148" s="16"/>
      <c r="I148" s="16"/>
      <c r="J148" s="16"/>
      <c r="K148" s="16"/>
      <c r="L148" s="16"/>
      <c r="M148" s="16"/>
      <c r="N148" s="16"/>
      <c r="O148" s="16"/>
      <c r="P148" s="16"/>
      <c r="Q148" s="16"/>
      <c r="R148" s="16"/>
      <c r="S148" s="16"/>
      <c r="T148" s="16"/>
      <c r="U148" s="16"/>
      <c r="V148" s="16"/>
      <c r="W148" s="16"/>
      <c r="X148" s="16"/>
      <c r="Y148" s="16"/>
      <c r="Z148" s="16"/>
    </row>
    <row r="149">
      <c r="A149" s="16" t="str">
        <f>IFERROR(__xludf.DUMMYFUNCTION("""COMPUTED_VALUE"""),"Jack's Special Ring")</f>
        <v>Jack's Special Ring</v>
      </c>
      <c r="B149" s="16" t="str">
        <f>IFERROR(__xludf.DUMMYFUNCTION("""COMPUTED_VALUE"""),"Halloween exclusive")</f>
        <v>Halloween exclusive</v>
      </c>
      <c r="C149" s="16"/>
      <c r="D149" s="16" t="str">
        <f>IFERROR(__xludf.DUMMYFUNCTION("""COMPUTED_VALUE"""),"Ring")</f>
        <v>Ring</v>
      </c>
      <c r="E149" s="16">
        <f>IFERROR(__xludf.DUMMYFUNCTION("""COMPUTED_VALUE"""),1.0)</f>
        <v>1</v>
      </c>
      <c r="F149" s="16" t="str">
        <f>IFERROR(__xludf.DUMMYFUNCTION("""COMPUTED_VALUE""")," ++Increase all types of damage by X2. +-Cannot be forged +-Cannot be duplicated")</f>
        <v> ++Increase all types of damage by X2. +-Cannot be forged +-Cannot be duplicated</v>
      </c>
      <c r="G149" s="16">
        <f>IFERROR(__xludf.DUMMYFUNCTION("""COMPUTED_VALUE"""),0.0)</f>
        <v>0</v>
      </c>
      <c r="H149" s="16"/>
      <c r="I149" s="16"/>
      <c r="J149" s="16"/>
      <c r="K149" s="16"/>
      <c r="L149" s="16"/>
      <c r="M149" s="16"/>
      <c r="N149" s="16"/>
      <c r="O149" s="16"/>
      <c r="P149" s="16"/>
      <c r="Q149" s="16"/>
      <c r="R149" s="16"/>
      <c r="S149" s="16"/>
      <c r="T149" s="16"/>
      <c r="U149" s="16"/>
      <c r="V149" s="16"/>
      <c r="W149" s="16"/>
      <c r="X149" s="16"/>
      <c r="Y149" s="16"/>
      <c r="Z149" s="16"/>
    </row>
    <row r="150">
      <c r="A150" s="16" t="str">
        <f>IFERROR(__xludf.DUMMYFUNCTION("""COMPUTED_VALUE"""),"Jack's Special Sword")</f>
        <v>Jack's Special Sword</v>
      </c>
      <c r="B150" s="16" t="str">
        <f>IFERROR(__xludf.DUMMYFUNCTION("""COMPUTED_VALUE"""),"Halloween exclusive")</f>
        <v>Halloween exclusive</v>
      </c>
      <c r="C150" s="16" t="str">
        <f>IFERROR(__xludf.DUMMYFUNCTION("""COMPUTED_VALUE"""),"Sword")</f>
        <v>Sword</v>
      </c>
      <c r="D150" s="16" t="str">
        <f>IFERROR(__xludf.DUMMYFUNCTION("""COMPUTED_VALUE"""),"Hand")</f>
        <v>Hand</v>
      </c>
      <c r="E150" s="16">
        <f>IFERROR(__xludf.DUMMYFUNCTION("""COMPUTED_VALUE"""),60.0)</f>
        <v>60</v>
      </c>
      <c r="F150" s="16" t="str">
        <f>IFERROR(__xludf.DUMMYFUNCTION("""COMPUTED_VALUE"""),"DMG: +1500, Dark DMG: +600, Chaos DMG: +900 ++Vampires Lust II - Any damage dealt by this sword will give you HP and SP equal to the damage dealt. +-Cannot be duplicated")</f>
        <v>DMG: +1500, Dark DMG: +600, Chaos DMG: +900 ++Vampires Lust II - Any damage dealt by this sword will give you HP and SP equal to the damage dealt. +-Cannot be duplicated</v>
      </c>
      <c r="G150" s="16">
        <f>IFERROR(__xludf.DUMMYFUNCTION("""COMPUTED_VALUE"""),150000.0)</f>
        <v>150000</v>
      </c>
      <c r="H150" s="16"/>
      <c r="I150" s="16"/>
      <c r="J150" s="16"/>
      <c r="K150" s="16"/>
      <c r="L150" s="16"/>
      <c r="M150" s="16"/>
      <c r="N150" s="16"/>
      <c r="O150" s="16"/>
      <c r="P150" s="16"/>
      <c r="Q150" s="16"/>
      <c r="R150" s="16"/>
      <c r="S150" s="16"/>
      <c r="T150" s="16"/>
      <c r="U150" s="16"/>
      <c r="V150" s="16"/>
      <c r="W150" s="16"/>
      <c r="X150" s="16"/>
      <c r="Y150" s="16"/>
      <c r="Z150" s="16"/>
    </row>
    <row r="151">
      <c r="A151" s="16" t="str">
        <f>IFERROR(__xludf.DUMMYFUNCTION("""COMPUTED_VALUE"""),"Jack’o Lantern Helmet of Swampy Hallow")</f>
        <v>Jack’o Lantern Helmet of Swampy Hallow</v>
      </c>
      <c r="B151" s="16" t="str">
        <f>IFERROR(__xludf.DUMMYFUNCTION("""COMPUTED_VALUE"""),"Halloween exclusive")</f>
        <v>Halloween exclusive</v>
      </c>
      <c r="C151" s="16"/>
      <c r="D151" s="16" t="str">
        <f>IFERROR(__xludf.DUMMYFUNCTION("""COMPUTED_VALUE"""),"Head")</f>
        <v>Head</v>
      </c>
      <c r="E151" s="16">
        <f>IFERROR(__xludf.DUMMYFUNCTION("""COMPUTED_VALUE"""),600.0)</f>
        <v>600</v>
      </c>
      <c r="F151" s="16" t="str">
        <f>IFERROR(__xludf.DUMMYFUNCTION("""COMPUTED_VALUE"""),"DEF: +5000, Fire DEF: +5000, Dark DEF: +5000, Spirit DEF: +5000, Chaos DEF: +5000, Nature DEF: +5000 ++Allows you to use up to Rank 9 Nature, Fire, Dark, Chaos, and Spirit Spells, ++X2 additional Nature, Fire, Dark, Chaos, and Spirit damage.")</f>
        <v>DEF: +5000, Fire DEF: +5000, Dark DEF: +5000, Spirit DEF: +5000, Chaos DEF: +5000, Nature DEF: +5000 ++Allows you to use up to Rank 9 Nature, Fire, Dark, Chaos, and Spirit Spells, ++X2 additional Nature, Fire, Dark, Chaos, and Spirit damage.</v>
      </c>
      <c r="G151" s="16">
        <f>IFERROR(__xludf.DUMMYFUNCTION("""COMPUTED_VALUE"""),1.77E7)</f>
        <v>17700000</v>
      </c>
      <c r="H151" s="16"/>
      <c r="I151" s="16"/>
      <c r="J151" s="16"/>
      <c r="K151" s="16"/>
      <c r="L151" s="16"/>
      <c r="M151" s="16"/>
      <c r="N151" s="16"/>
      <c r="O151" s="16"/>
      <c r="P151" s="16"/>
      <c r="Q151" s="16"/>
      <c r="R151" s="16"/>
      <c r="S151" s="16"/>
      <c r="T151" s="16"/>
      <c r="U151" s="16"/>
      <c r="V151" s="16"/>
      <c r="W151" s="16"/>
      <c r="X151" s="16"/>
      <c r="Y151" s="16"/>
      <c r="Z151" s="16"/>
    </row>
    <row r="152">
      <c r="A152" s="16" t="str">
        <f>IFERROR(__xludf.DUMMYFUNCTION("""COMPUTED_VALUE"""),"Katana")</f>
        <v>Katana</v>
      </c>
      <c r="B152" s="16"/>
      <c r="C152" s="16" t="str">
        <f>IFERROR(__xludf.DUMMYFUNCTION("""COMPUTED_VALUE"""),"Sword")</f>
        <v>Sword</v>
      </c>
      <c r="D152" s="16" t="str">
        <f>IFERROR(__xludf.DUMMYFUNCTION("""COMPUTED_VALUE"""),"Hand")</f>
        <v>Hand</v>
      </c>
      <c r="E152" s="16">
        <f>IFERROR(__xludf.DUMMYFUNCTION("""COMPUTED_VALUE"""),10.0)</f>
        <v>10</v>
      </c>
      <c r="F152" s="16" t="str">
        <f>IFERROR(__xludf.DUMMYFUNCTION("""COMPUTED_VALUE"""),"DMG: +500 ++ +10% chance of the sword ability activating.")</f>
        <v>DMG: +500 ++ +10% chance of the sword ability activating.</v>
      </c>
      <c r="G152" s="16">
        <f>IFERROR(__xludf.DUMMYFUNCTION("""COMPUTED_VALUE"""),1000.0)</f>
        <v>1000</v>
      </c>
      <c r="H152" s="16"/>
      <c r="I152" s="16"/>
      <c r="J152" s="16"/>
      <c r="K152" s="16"/>
      <c r="L152" s="16"/>
      <c r="M152" s="16"/>
      <c r="N152" s="16"/>
      <c r="O152" s="16"/>
      <c r="P152" s="16"/>
      <c r="Q152" s="16"/>
      <c r="R152" s="16"/>
      <c r="S152" s="16"/>
      <c r="T152" s="16"/>
      <c r="U152" s="16"/>
      <c r="V152" s="16"/>
      <c r="W152" s="16"/>
      <c r="X152" s="16"/>
      <c r="Y152" s="16"/>
      <c r="Z152" s="16"/>
    </row>
    <row r="153">
      <c r="A153" s="16" t="str">
        <f>IFERROR(__xludf.DUMMYFUNCTION("""COMPUTED_VALUE"""),"King Of Mekanas Sword")</f>
        <v>King Of Mekanas Sword</v>
      </c>
      <c r="B153" s="16" t="str">
        <f>IFERROR(__xludf.DUMMYFUNCTION("""COMPUTED_VALUE"""),"Mob Exclusive")</f>
        <v>Mob Exclusive</v>
      </c>
      <c r="C153" s="16" t="str">
        <f>IFERROR(__xludf.DUMMYFUNCTION("""COMPUTED_VALUE"""),"Sword")</f>
        <v>Sword</v>
      </c>
      <c r="D153" s="16" t="str">
        <f>IFERROR(__xludf.DUMMYFUNCTION("""COMPUTED_VALUE"""),"Hand")</f>
        <v>Hand</v>
      </c>
      <c r="E153" s="16">
        <f>IFERROR(__xludf.DUMMYFUNCTION("""COMPUTED_VALUE"""),3000.0)</f>
        <v>3000</v>
      </c>
      <c r="F153" s="16" t="str">
        <f>IFERROR(__xludf.DUMMYFUNCTION("""COMPUTED_VALUE"""),"DMG: +50000, Fire DMG: +50000, Storm DMG: +50000 ++X8 additional Fire and Storm damage. ")</f>
        <v>DMG: +50000, Fire DMG: +50000, Storm DMG: +50000 ++X8 additional Fire and Storm damage. </v>
      </c>
      <c r="G153" s="16">
        <f>IFERROR(__xludf.DUMMYFUNCTION("""COMPUTED_VALUE"""),4.485E8)</f>
        <v>448500000</v>
      </c>
      <c r="H153" s="16"/>
      <c r="I153" s="16"/>
      <c r="J153" s="16"/>
      <c r="K153" s="16"/>
      <c r="L153" s="16"/>
      <c r="M153" s="16"/>
      <c r="N153" s="16"/>
      <c r="O153" s="16"/>
      <c r="P153" s="16"/>
      <c r="Q153" s="16"/>
      <c r="R153" s="16"/>
      <c r="S153" s="16"/>
      <c r="T153" s="16"/>
      <c r="U153" s="16"/>
      <c r="V153" s="16"/>
      <c r="W153" s="16"/>
      <c r="X153" s="16"/>
      <c r="Y153" s="16"/>
      <c r="Z153" s="16"/>
    </row>
    <row r="154">
      <c r="A154" s="16" t="str">
        <f>IFERROR(__xludf.DUMMYFUNCTION("""COMPUTED_VALUE"""),"King's Royal Sword")</f>
        <v>King's Royal Sword</v>
      </c>
      <c r="B154" s="16" t="str">
        <f>IFERROR(__xludf.DUMMYFUNCTION("""COMPUTED_VALUE"""),"Quest Item")</f>
        <v>Quest Item</v>
      </c>
      <c r="C154" s="16" t="str">
        <f>IFERROR(__xludf.DUMMYFUNCTION("""COMPUTED_VALUE"""),"Sword")</f>
        <v>Sword</v>
      </c>
      <c r="D154" s="16" t="str">
        <f>IFERROR(__xludf.DUMMYFUNCTION("""COMPUTED_VALUE"""),"Hand")</f>
        <v>Hand</v>
      </c>
      <c r="E154" s="16">
        <f>IFERROR(__xludf.DUMMYFUNCTION("""COMPUTED_VALUE"""),200.0)</f>
        <v>200</v>
      </c>
      <c r="F154" s="16" t="str">
        <f>IFERROR(__xludf.DUMMYFUNCTION("""COMPUTED_VALUE"""),"DMG: +100000, Celestial DMG: +100000 ++ +5 can be added to your d20 rolls. X12 additional Celestial damage. +-Cannot be duplicated")</f>
        <v>DMG: +100000, Celestial DMG: +100000 ++ +5 can be added to your d20 rolls. X12 additional Celestial damage. +-Cannot be duplicated</v>
      </c>
      <c r="G154" s="16">
        <f>IFERROR(__xludf.DUMMYFUNCTION("""COMPUTED_VALUE"""),7.98E8)</f>
        <v>798000000</v>
      </c>
      <c r="H154" s="16"/>
      <c r="I154" s="16"/>
      <c r="J154" s="16"/>
      <c r="K154" s="16"/>
      <c r="L154" s="16"/>
      <c r="M154" s="16"/>
      <c r="N154" s="16"/>
      <c r="O154" s="16"/>
      <c r="P154" s="16"/>
      <c r="Q154" s="16"/>
      <c r="R154" s="16"/>
      <c r="S154" s="16"/>
      <c r="T154" s="16"/>
      <c r="U154" s="16"/>
      <c r="V154" s="16"/>
      <c r="W154" s="16"/>
      <c r="X154" s="16"/>
      <c r="Y154" s="16"/>
      <c r="Z154" s="16"/>
    </row>
    <row r="155">
      <c r="A155" s="16" t="str">
        <f>IFERROR(__xludf.DUMMYFUNCTION("""COMPUTED_VALUE"""),"Knife")</f>
        <v>Knife</v>
      </c>
      <c r="B155" s="16"/>
      <c r="C155" s="16" t="str">
        <f>IFERROR(__xludf.DUMMYFUNCTION("""COMPUTED_VALUE"""),"Knife")</f>
        <v>Knife</v>
      </c>
      <c r="D155" s="16" t="str">
        <f>IFERROR(__xludf.DUMMYFUNCTION("""COMPUTED_VALUE"""),"Hand")</f>
        <v>Hand</v>
      </c>
      <c r="E155" s="16">
        <f>IFERROR(__xludf.DUMMYFUNCTION("""COMPUTED_VALUE"""),20.0)</f>
        <v>20</v>
      </c>
      <c r="F155" s="16" t="str">
        <f>IFERROR(__xludf.DUMMYFUNCTION("""COMPUTED_VALUE"""),"DMG: +1000")</f>
        <v>DMG: +1000</v>
      </c>
      <c r="G155" s="16">
        <f>IFERROR(__xludf.DUMMYFUNCTION("""COMPUTED_VALUE"""),10000.0)</f>
        <v>10000</v>
      </c>
      <c r="H155" s="16"/>
      <c r="I155" s="16"/>
      <c r="J155" s="16"/>
      <c r="K155" s="16"/>
      <c r="L155" s="16"/>
      <c r="M155" s="16"/>
      <c r="N155" s="16"/>
      <c r="O155" s="16"/>
      <c r="P155" s="16"/>
      <c r="Q155" s="16"/>
      <c r="R155" s="16"/>
      <c r="S155" s="16"/>
      <c r="T155" s="16"/>
      <c r="U155" s="16"/>
      <c r="V155" s="16"/>
      <c r="W155" s="16"/>
      <c r="X155" s="16"/>
      <c r="Y155" s="16"/>
      <c r="Z155" s="16"/>
    </row>
    <row r="156">
      <c r="A156" s="16" t="str">
        <f>IFERROR(__xludf.DUMMYFUNCTION("""COMPUTED_VALUE"""),"Knife of Jinx")</f>
        <v>Knife of Jinx</v>
      </c>
      <c r="B156" s="16"/>
      <c r="C156" s="16" t="str">
        <f>IFERROR(__xludf.DUMMYFUNCTION("""COMPUTED_VALUE"""),"Knife")</f>
        <v>Knife</v>
      </c>
      <c r="D156" s="16" t="str">
        <f>IFERROR(__xludf.DUMMYFUNCTION("""COMPUTED_VALUE"""),"Hand")</f>
        <v>Hand</v>
      </c>
      <c r="E156" s="16">
        <f>IFERROR(__xludf.DUMMYFUNCTION("""COMPUTED_VALUE"""),1.0)</f>
        <v>1</v>
      </c>
      <c r="F156" s="16" t="str">
        <f>IFERROR(__xludf.DUMMYFUNCTION("""COMPUTED_VALUE"""),"DMG: +10 ++ If this weapon is used against a character owned by James, This will instantly kill that character even if they are immune to instant death, otherwise this will deal 10 damage")</f>
        <v>DMG: +10 ++ If this weapon is used against a character owned by James, This will instantly kill that character even if they are immune to instant death, otherwise this will deal 10 damage</v>
      </c>
      <c r="G156" s="16">
        <f>IFERROR(__xludf.DUMMYFUNCTION("""COMPUTED_VALUE"""),0.0)</f>
        <v>0</v>
      </c>
      <c r="H156" s="16"/>
      <c r="I156" s="16"/>
      <c r="J156" s="16"/>
      <c r="K156" s="16"/>
      <c r="L156" s="16"/>
      <c r="M156" s="16"/>
      <c r="N156" s="16"/>
      <c r="O156" s="16"/>
      <c r="P156" s="16"/>
      <c r="Q156" s="16"/>
      <c r="R156" s="16"/>
      <c r="S156" s="16"/>
      <c r="T156" s="16"/>
      <c r="U156" s="16"/>
      <c r="V156" s="16"/>
      <c r="W156" s="16"/>
      <c r="X156" s="16"/>
      <c r="Y156" s="16"/>
      <c r="Z156" s="16"/>
    </row>
    <row r="157">
      <c r="A157" s="16" t="str">
        <f>IFERROR(__xludf.DUMMYFUNCTION("""COMPUTED_VALUE"""),"kraken's power ring")</f>
        <v>kraken's power ring</v>
      </c>
      <c r="B157" s="16"/>
      <c r="C157" s="16"/>
      <c r="D157" s="16" t="str">
        <f>IFERROR(__xludf.DUMMYFUNCTION("""COMPUTED_VALUE"""),"Ring")</f>
        <v>Ring</v>
      </c>
      <c r="E157" s="16">
        <f>IFERROR(__xludf.DUMMYFUNCTION("""COMPUTED_VALUE"""),1.0)</f>
        <v>1</v>
      </c>
      <c r="F157" s="16" t="str">
        <f>IFERROR(__xludf.DUMMYFUNCTION("""COMPUTED_VALUE""")," ++water based attacks double in damage. ++sp cost is halved for water spells only")</f>
        <v> ++water based attacks double in damage. ++sp cost is halved for water spells only</v>
      </c>
      <c r="G157" s="16">
        <f>IFERROR(__xludf.DUMMYFUNCTION("""COMPUTED_VALUE"""),0.0)</f>
        <v>0</v>
      </c>
      <c r="H157" s="16"/>
      <c r="I157" s="16"/>
      <c r="J157" s="16"/>
      <c r="K157" s="16"/>
      <c r="L157" s="16"/>
      <c r="M157" s="16"/>
      <c r="N157" s="16"/>
      <c r="O157" s="16"/>
      <c r="P157" s="16"/>
      <c r="Q157" s="16"/>
      <c r="R157" s="16"/>
      <c r="S157" s="16"/>
      <c r="T157" s="16"/>
      <c r="U157" s="16"/>
      <c r="V157" s="16"/>
      <c r="W157" s="16"/>
      <c r="X157" s="16"/>
      <c r="Y157" s="16"/>
      <c r="Z157" s="16"/>
    </row>
    <row r="158">
      <c r="A158" s="16" t="str">
        <f>IFERROR(__xludf.DUMMYFUNCTION("""COMPUTED_VALUE"""),"Krakens Power Ring")</f>
        <v>Krakens Power Ring</v>
      </c>
      <c r="B158" s="16"/>
      <c r="C158" s="16"/>
      <c r="D158" s="16" t="str">
        <f>IFERROR(__xludf.DUMMYFUNCTION("""COMPUTED_VALUE"""),"Ring")</f>
        <v>Ring</v>
      </c>
      <c r="E158" s="16">
        <f>IFERROR(__xludf.DUMMYFUNCTION("""COMPUTED_VALUE"""),1.0)</f>
        <v>1</v>
      </c>
      <c r="F158" s="16" t="str">
        <f>IFERROR(__xludf.DUMMYFUNCTION("""COMPUTED_VALUE""")," ++water based attacks deal x2 damage, ++sp is halved for water spells only. +-(one use per battle)")</f>
        <v> ++water based attacks deal x2 damage, ++sp is halved for water spells only. +-(one use per battle)</v>
      </c>
      <c r="G158" s="16">
        <f>IFERROR(__xludf.DUMMYFUNCTION("""COMPUTED_VALUE"""),0.0)</f>
        <v>0</v>
      </c>
      <c r="H158" s="16"/>
      <c r="I158" s="16"/>
      <c r="J158" s="16"/>
      <c r="K158" s="16"/>
      <c r="L158" s="16"/>
      <c r="M158" s="16"/>
      <c r="N158" s="16"/>
      <c r="O158" s="16"/>
      <c r="P158" s="16"/>
      <c r="Q158" s="16"/>
      <c r="R158" s="16"/>
      <c r="S158" s="16"/>
      <c r="T158" s="16"/>
      <c r="U158" s="16"/>
      <c r="V158" s="16"/>
      <c r="W158" s="16"/>
      <c r="X158" s="16"/>
      <c r="Y158" s="16"/>
      <c r="Z158" s="16"/>
    </row>
    <row r="159">
      <c r="A159" s="16" t="str">
        <f>IFERROR(__xludf.DUMMYFUNCTION("""COMPUTED_VALUE"""),"Lava Longsword")</f>
        <v>Lava Longsword</v>
      </c>
      <c r="B159" s="16"/>
      <c r="C159" s="16" t="str">
        <f>IFERROR(__xludf.DUMMYFUNCTION("""COMPUTED_VALUE"""),"Sword")</f>
        <v>Sword</v>
      </c>
      <c r="D159" s="16" t="str">
        <f>IFERROR(__xludf.DUMMYFUNCTION("""COMPUTED_VALUE"""),"Hand")</f>
        <v>Hand</v>
      </c>
      <c r="E159" s="16">
        <f>IFERROR(__xludf.DUMMYFUNCTION("""COMPUTED_VALUE"""),800.0)</f>
        <v>800</v>
      </c>
      <c r="F159" s="16" t="str">
        <f>IFERROR(__xludf.DUMMYFUNCTION("""COMPUTED_VALUE"""),"DMG: +20000, Fire DMG: +20000 ++Burn 10,000 for 3 rounds.")</f>
        <v>DMG: +20000, Fire DMG: +20000 ++Burn 10,000 for 3 rounds.</v>
      </c>
      <c r="G159" s="16">
        <f>IFERROR(__xludf.DUMMYFUNCTION("""COMPUTED_VALUE"""),3.16E7)</f>
        <v>31600000</v>
      </c>
      <c r="H159" s="16"/>
      <c r="I159" s="16"/>
      <c r="J159" s="16"/>
      <c r="K159" s="16"/>
      <c r="L159" s="16"/>
      <c r="M159" s="16"/>
      <c r="N159" s="16"/>
      <c r="O159" s="16"/>
      <c r="P159" s="16"/>
      <c r="Q159" s="16"/>
      <c r="R159" s="16"/>
      <c r="S159" s="16"/>
      <c r="T159" s="16"/>
      <c r="U159" s="16"/>
      <c r="V159" s="16"/>
      <c r="W159" s="16"/>
      <c r="X159" s="16"/>
      <c r="Y159" s="16"/>
      <c r="Z159" s="16"/>
    </row>
    <row r="160">
      <c r="A160" s="16" t="str">
        <f>IFERROR(__xludf.DUMMYFUNCTION("""COMPUTED_VALUE"""),"Lazer Infused Sword")</f>
        <v>Lazer Infused Sword</v>
      </c>
      <c r="B160" s="16"/>
      <c r="C160" s="16" t="str">
        <f>IFERROR(__xludf.DUMMYFUNCTION("""COMPUTED_VALUE"""),"Sword")</f>
        <v>Sword</v>
      </c>
      <c r="D160" s="16" t="str">
        <f>IFERROR(__xludf.DUMMYFUNCTION("""COMPUTED_VALUE"""),"Hand")</f>
        <v>Hand</v>
      </c>
      <c r="E160" s="16">
        <f>IFERROR(__xludf.DUMMYFUNCTION("""COMPUTED_VALUE"""),600.0)</f>
        <v>600</v>
      </c>
      <c r="F160" s="16" t="str">
        <f>IFERROR(__xludf.DUMMYFUNCTION("""COMPUTED_VALUE"""),"DMG: +10000, Fire DMG: +10000, Blood DMG: +10000 ++Ignores Defense. +-Cannot be duplicated.")</f>
        <v>DMG: +10000, Fire DMG: +10000, Blood DMG: +10000 ++Ignores Defense. +-Cannot be duplicated.</v>
      </c>
      <c r="G160" s="16">
        <f>IFERROR(__xludf.DUMMYFUNCTION("""COMPUTED_VALUE"""),1.77E7)</f>
        <v>17700000</v>
      </c>
      <c r="H160" s="16"/>
      <c r="I160" s="16"/>
      <c r="J160" s="16"/>
      <c r="K160" s="16"/>
      <c r="L160" s="16"/>
      <c r="M160" s="16"/>
      <c r="N160" s="16"/>
      <c r="O160" s="16"/>
      <c r="P160" s="16"/>
      <c r="Q160" s="16"/>
      <c r="R160" s="16"/>
      <c r="S160" s="16"/>
      <c r="T160" s="16"/>
      <c r="U160" s="16"/>
      <c r="V160" s="16"/>
      <c r="W160" s="16"/>
      <c r="X160" s="16"/>
      <c r="Y160" s="16"/>
      <c r="Z160" s="16"/>
    </row>
    <row r="161">
      <c r="A161" s="16" t="str">
        <f>IFERROR(__xludf.DUMMYFUNCTION("""COMPUTED_VALUE"""),"Legendary Sword of Heatmore")</f>
        <v>Legendary Sword of Heatmore</v>
      </c>
      <c r="B161" s="16"/>
      <c r="C161" s="16" t="str">
        <f>IFERROR(__xludf.DUMMYFUNCTION("""COMPUTED_VALUE"""),"Sword")</f>
        <v>Sword</v>
      </c>
      <c r="D161" s="16" t="str">
        <f>IFERROR(__xludf.DUMMYFUNCTION("""COMPUTED_VALUE"""),"Hand")</f>
        <v>Hand</v>
      </c>
      <c r="E161" s="16">
        <f>IFERROR(__xludf.DUMMYFUNCTION("""COMPUTED_VALUE"""),200.0)</f>
        <v>200</v>
      </c>
      <c r="F161" s="16" t="str">
        <f>IFERROR(__xludf.DUMMYFUNCTION("""COMPUTED_VALUE"""),"DMG: +20000, Fire DMG: +20000, Water DMG: +20000, Celestial DMG: +20000 ++75% chance of instant death. ++X6 additional Fire damage. ++Burn 10,000. +-Cannot be duplicated")</f>
        <v>DMG: +20000, Fire DMG: +20000, Water DMG: +20000, Celestial DMG: +20000 ++75% chance of instant death. ++X6 additional Fire damage. ++Burn 10,000. +-Cannot be duplicated</v>
      </c>
      <c r="G161" s="16">
        <f>IFERROR(__xludf.DUMMYFUNCTION("""COMPUTED_VALUE"""),1.272E8)</f>
        <v>127200000</v>
      </c>
      <c r="H161" s="16"/>
      <c r="I161" s="16"/>
      <c r="J161" s="16"/>
      <c r="K161" s="16"/>
      <c r="L161" s="16"/>
      <c r="M161" s="16"/>
      <c r="N161" s="16"/>
      <c r="O161" s="16"/>
      <c r="P161" s="16"/>
      <c r="Q161" s="16"/>
      <c r="R161" s="16"/>
      <c r="S161" s="16"/>
      <c r="T161" s="16"/>
      <c r="U161" s="16"/>
      <c r="V161" s="16"/>
      <c r="W161" s="16"/>
      <c r="X161" s="16"/>
      <c r="Y161" s="16"/>
      <c r="Z161" s="16"/>
    </row>
    <row r="162">
      <c r="A162" s="16" t="str">
        <f>IFERROR(__xludf.DUMMYFUNCTION("""COMPUTED_VALUE"""),"Legendary Tree Sword")</f>
        <v>Legendary Tree Sword</v>
      </c>
      <c r="B162" s="16"/>
      <c r="C162" s="16" t="str">
        <f>IFERROR(__xludf.DUMMYFUNCTION("""COMPUTED_VALUE"""),"Sword")</f>
        <v>Sword</v>
      </c>
      <c r="D162" s="16" t="str">
        <f>IFERROR(__xludf.DUMMYFUNCTION("""COMPUTED_VALUE"""),"Hand")</f>
        <v>Hand</v>
      </c>
      <c r="E162" s="16">
        <f>IFERROR(__xludf.DUMMYFUNCTION("""COMPUTED_VALUE"""),200.0)</f>
        <v>200</v>
      </c>
      <c r="F162" s="16" t="str">
        <f>IFERROR(__xludf.DUMMYFUNCTION("""COMPUTED_VALUE"""),"DMG: +50000, Nature DMG: +50000, Celestial DMG: +50000 ++X6 Additional Nature damage. ++20% chance of Incorporeal 2. +-Cannot be duplicated.")</f>
        <v>DMG: +50000, Nature DMG: +50000, Celestial DMG: +50000 ++X6 Additional Nature damage. ++20% chance of Incorporeal 2. +-Cannot be duplicated.</v>
      </c>
      <c r="G162" s="16">
        <f>IFERROR(__xludf.DUMMYFUNCTION("""COMPUTED_VALUE"""),4.485E8)</f>
        <v>448500000</v>
      </c>
      <c r="H162" s="16"/>
      <c r="I162" s="16"/>
      <c r="J162" s="16"/>
      <c r="K162" s="16"/>
      <c r="L162" s="16"/>
      <c r="M162" s="16"/>
      <c r="N162" s="16"/>
      <c r="O162" s="16"/>
      <c r="P162" s="16"/>
      <c r="Q162" s="16"/>
      <c r="R162" s="16"/>
      <c r="S162" s="16"/>
      <c r="T162" s="16"/>
      <c r="U162" s="16"/>
      <c r="V162" s="16"/>
      <c r="W162" s="16"/>
      <c r="X162" s="16"/>
      <c r="Y162" s="16"/>
      <c r="Z162" s="16"/>
    </row>
    <row r="163">
      <c r="A163" s="16" t="str">
        <f>IFERROR(__xludf.DUMMYFUNCTION("""COMPUTED_VALUE"""),"Leggings Of Tritonoch")</f>
        <v>Leggings Of Tritonoch</v>
      </c>
      <c r="B163" s="16"/>
      <c r="C163" s="16"/>
      <c r="D163" s="16" t="str">
        <f>IFERROR(__xludf.DUMMYFUNCTION("""COMPUTED_VALUE"""),"Legs")</f>
        <v>Legs</v>
      </c>
      <c r="E163" s="16">
        <f>IFERROR(__xludf.DUMMYFUNCTION("""COMPUTED_VALUE"""),400.0)</f>
        <v>400</v>
      </c>
      <c r="F163" s="16" t="str">
        <f>IFERROR(__xludf.DUMMYFUNCTION("""COMPUTED_VALUE"""),"DEF: +20000 ++Waves of Entitlement - x5 additional Water damage")</f>
        <v>DEF: +20000 ++Waves of Entitlement - x5 additional Water damage</v>
      </c>
      <c r="G163" s="16">
        <f>IFERROR(__xludf.DUMMYFUNCTION("""COMPUTED_VALUE"""),7800000.0)</f>
        <v>7800000</v>
      </c>
      <c r="H163" s="16"/>
      <c r="I163" s="16"/>
      <c r="J163" s="16"/>
      <c r="K163" s="16"/>
      <c r="L163" s="16"/>
      <c r="M163" s="16"/>
      <c r="N163" s="16"/>
      <c r="O163" s="16"/>
      <c r="P163" s="16"/>
      <c r="Q163" s="16"/>
      <c r="R163" s="16"/>
      <c r="S163" s="16"/>
      <c r="T163" s="16"/>
      <c r="U163" s="16"/>
      <c r="V163" s="16"/>
      <c r="W163" s="16"/>
      <c r="X163" s="16"/>
      <c r="Y163" s="16"/>
      <c r="Z163" s="16"/>
    </row>
    <row r="164">
      <c r="A164" s="16" t="str">
        <f>IFERROR(__xludf.DUMMYFUNCTION("""COMPUTED_VALUE"""),"Lightning Lance")</f>
        <v>Lightning Lance</v>
      </c>
      <c r="B164" s="16"/>
      <c r="C164" s="16" t="str">
        <f>IFERROR(__xludf.DUMMYFUNCTION("""COMPUTED_VALUE"""),"Spear")</f>
        <v>Spear</v>
      </c>
      <c r="D164" s="16" t="str">
        <f>IFERROR(__xludf.DUMMYFUNCTION("""COMPUTED_VALUE"""),"Hand")</f>
        <v>Hand</v>
      </c>
      <c r="E164" s="16">
        <f>IFERROR(__xludf.DUMMYFUNCTION("""COMPUTED_VALUE"""),500.0)</f>
        <v>500</v>
      </c>
      <c r="F164" s="16" t="str">
        <f>IFERROR(__xludf.DUMMYFUNCTION("""COMPUTED_VALUE"""),"DMG: +10000, Storm DMG: +15000 ++Stun 2")</f>
        <v>DMG: +10000, Storm DMG: +15000 ++Stun 2</v>
      </c>
      <c r="G164" s="16">
        <f>IFERROR(__xludf.DUMMYFUNCTION("""COMPUTED_VALUE"""),1.225E7)</f>
        <v>12250000</v>
      </c>
      <c r="H164" s="16"/>
      <c r="I164" s="16"/>
      <c r="J164" s="16"/>
      <c r="K164" s="16"/>
      <c r="L164" s="16"/>
      <c r="M164" s="16"/>
      <c r="N164" s="16"/>
      <c r="O164" s="16"/>
      <c r="P164" s="16"/>
      <c r="Q164" s="16"/>
      <c r="R164" s="16"/>
      <c r="S164" s="16"/>
      <c r="T164" s="16"/>
      <c r="U164" s="16"/>
      <c r="V164" s="16"/>
      <c r="W164" s="16"/>
      <c r="X164" s="16"/>
      <c r="Y164" s="16"/>
      <c r="Z164" s="16"/>
    </row>
    <row r="165">
      <c r="A165" s="16" t="str">
        <f>IFERROR(__xludf.DUMMYFUNCTION("""COMPUTED_VALUE"""),"Long Spear")</f>
        <v>Long Spear</v>
      </c>
      <c r="B165" s="16"/>
      <c r="C165" s="16" t="str">
        <f>IFERROR(__xludf.DUMMYFUNCTION("""COMPUTED_VALUE"""),"Spear")</f>
        <v>Spear</v>
      </c>
      <c r="D165" s="16" t="str">
        <f>IFERROR(__xludf.DUMMYFUNCTION("""COMPUTED_VALUE"""),"Hand")</f>
        <v>Hand</v>
      </c>
      <c r="E165" s="16">
        <f>IFERROR(__xludf.DUMMYFUNCTION("""COMPUTED_VALUE"""),10.0)</f>
        <v>10</v>
      </c>
      <c r="F165" s="16" t="str">
        <f>IFERROR(__xludf.DUMMYFUNCTION("""COMPUTED_VALUE"""),"DMG: +500 ++25% chance of instant death. ")</f>
        <v>DMG: +500 ++25% chance of instant death. </v>
      </c>
      <c r="G165" s="16">
        <f>IFERROR(__xludf.DUMMYFUNCTION("""COMPUTED_VALUE"""),1000.0)</f>
        <v>1000</v>
      </c>
      <c r="H165" s="16"/>
      <c r="I165" s="16"/>
      <c r="J165" s="16"/>
      <c r="K165" s="16"/>
      <c r="L165" s="16"/>
      <c r="M165" s="16"/>
      <c r="N165" s="16"/>
      <c r="O165" s="16"/>
      <c r="P165" s="16"/>
      <c r="Q165" s="16"/>
      <c r="R165" s="16"/>
      <c r="S165" s="16"/>
      <c r="T165" s="16"/>
      <c r="U165" s="16"/>
      <c r="V165" s="16"/>
      <c r="W165" s="16"/>
      <c r="X165" s="16"/>
      <c r="Y165" s="16"/>
      <c r="Z165" s="16"/>
    </row>
    <row r="166">
      <c r="A166" s="16" t="str">
        <f>IFERROR(__xludf.DUMMYFUNCTION("""COMPUTED_VALUE"""),"Lord Dreadfuls Sword")</f>
        <v>Lord Dreadfuls Sword</v>
      </c>
      <c r="B166" s="16"/>
      <c r="C166" s="16" t="str">
        <f>IFERROR(__xludf.DUMMYFUNCTION("""COMPUTED_VALUE"""),"Sword")</f>
        <v>Sword</v>
      </c>
      <c r="D166" s="16" t="str">
        <f>IFERROR(__xludf.DUMMYFUNCTION("""COMPUTED_VALUE"""),"Hand")</f>
        <v>Hand</v>
      </c>
      <c r="E166" s="16">
        <f>IFERROR(__xludf.DUMMYFUNCTION("""COMPUTED_VALUE"""),800.0)</f>
        <v>800</v>
      </c>
      <c r="F166" s="16" t="str">
        <f>IFERROR(__xludf.DUMMYFUNCTION("""COMPUTED_VALUE"""),"DMG: +20000, Dark DMG: +10000, Chaos DMG: +10000")</f>
        <v>DMG: +20000, Dark DMG: +10000, Chaos DMG: +10000</v>
      </c>
      <c r="G166" s="16">
        <f>IFERROR(__xludf.DUMMYFUNCTION("""COMPUTED_VALUE"""),3.16E7)</f>
        <v>31600000</v>
      </c>
      <c r="H166" s="16"/>
      <c r="I166" s="16"/>
      <c r="J166" s="16"/>
      <c r="K166" s="16"/>
      <c r="L166" s="16"/>
      <c r="M166" s="16"/>
      <c r="N166" s="16"/>
      <c r="O166" s="16"/>
      <c r="P166" s="16"/>
      <c r="Q166" s="16"/>
      <c r="R166" s="16"/>
      <c r="S166" s="16"/>
      <c r="T166" s="16"/>
      <c r="U166" s="16"/>
      <c r="V166" s="16"/>
      <c r="W166" s="16"/>
      <c r="X166" s="16"/>
      <c r="Y166" s="16"/>
      <c r="Z166" s="16"/>
    </row>
    <row r="167">
      <c r="A167" s="16" t="str">
        <f>IFERROR(__xludf.DUMMYFUNCTION("""COMPUTED_VALUE"""),"Magma Morningstar")</f>
        <v>Magma Morningstar</v>
      </c>
      <c r="B167" s="16"/>
      <c r="C167" s="16" t="str">
        <f>IFERROR(__xludf.DUMMYFUNCTION("""COMPUTED_VALUE"""),"Club")</f>
        <v>Club</v>
      </c>
      <c r="D167" s="16" t="str">
        <f>IFERROR(__xludf.DUMMYFUNCTION("""COMPUTED_VALUE"""),"Hand")</f>
        <v>Hand</v>
      </c>
      <c r="E167" s="16">
        <f>IFERROR(__xludf.DUMMYFUNCTION("""COMPUTED_VALUE"""),20.0)</f>
        <v>20</v>
      </c>
      <c r="F167" s="16" t="str">
        <f>IFERROR(__xludf.DUMMYFUNCTION("""COMPUTED_VALUE"""),"DMG: +500, Fire DMG: +400 ++Will return to you each round when thrown")</f>
        <v>DMG: +500, Fire DMG: +400 ++Will return to you each round when thrown</v>
      </c>
      <c r="G167" s="16">
        <f>IFERROR(__xludf.DUMMYFUNCTION("""COMPUTED_VALUE"""),1000.0)</f>
        <v>1000</v>
      </c>
      <c r="H167" s="16"/>
      <c r="I167" s="16"/>
      <c r="J167" s="16"/>
      <c r="K167" s="16"/>
      <c r="L167" s="16"/>
      <c r="M167" s="16"/>
      <c r="N167" s="16"/>
      <c r="O167" s="16"/>
      <c r="P167" s="16"/>
      <c r="Q167" s="16"/>
      <c r="R167" s="16"/>
      <c r="S167" s="16"/>
      <c r="T167" s="16"/>
      <c r="U167" s="16"/>
      <c r="V167" s="16"/>
      <c r="W167" s="16"/>
      <c r="X167" s="16"/>
      <c r="Y167" s="16"/>
      <c r="Z167" s="16"/>
    </row>
    <row r="168">
      <c r="A168" s="16" t="str">
        <f>IFERROR(__xludf.DUMMYFUNCTION("""COMPUTED_VALUE"""),"Magma Sword")</f>
        <v>Magma Sword</v>
      </c>
      <c r="B168" s="16" t="str">
        <f>IFERROR(__xludf.DUMMYFUNCTION("""COMPUTED_VALUE"""),"A sword that turned Forest View into Ash View.")</f>
        <v>A sword that turned Forest View into Ash View.</v>
      </c>
      <c r="C168" s="16" t="str">
        <f>IFERROR(__xludf.DUMMYFUNCTION("""COMPUTED_VALUE"""),"Sword")</f>
        <v>Sword</v>
      </c>
      <c r="D168" s="16" t="str">
        <f>IFERROR(__xludf.DUMMYFUNCTION("""COMPUTED_VALUE"""),"Hand")</f>
        <v>Hand</v>
      </c>
      <c r="E168" s="16">
        <f>IFERROR(__xludf.DUMMYFUNCTION("""COMPUTED_VALUE"""),200.0)</f>
        <v>200</v>
      </c>
      <c r="F168" s="16" t="str">
        <f>IFERROR(__xludf.DUMMYFUNCTION("""COMPUTED_VALUE"""),"DMG: +50000, Fire DMG: +50000, Celestial DMG: +50000 ++X6 additional Fire damage. ++Burn 20,000 for 3 rounds. +-Cannot be duplicated")</f>
        <v>DMG: +50000, Fire DMG: +50000, Celestial DMG: +50000 ++X6 additional Fire damage. ++Burn 20,000 for 3 rounds. +-Cannot be duplicated</v>
      </c>
      <c r="G168" s="16">
        <f>IFERROR(__xludf.DUMMYFUNCTION("""COMPUTED_VALUE"""),4.485E8)</f>
        <v>448500000</v>
      </c>
      <c r="H168" s="16"/>
      <c r="I168" s="16"/>
      <c r="J168" s="16"/>
      <c r="K168" s="16"/>
      <c r="L168" s="16"/>
      <c r="M168" s="16"/>
      <c r="N168" s="16"/>
      <c r="O168" s="16"/>
      <c r="P168" s="16"/>
      <c r="Q168" s="16"/>
      <c r="R168" s="16"/>
      <c r="S168" s="16"/>
      <c r="T168" s="16"/>
      <c r="U168" s="16"/>
      <c r="V168" s="16"/>
      <c r="W168" s="16"/>
      <c r="X168" s="16"/>
      <c r="Y168" s="16"/>
      <c r="Z168" s="16"/>
    </row>
    <row r="169">
      <c r="A169" s="16" t="str">
        <f>IFERROR(__xludf.DUMMYFUNCTION("""COMPUTED_VALUE"""),"Masking Cloak")</f>
        <v>Masking Cloak</v>
      </c>
      <c r="B169" s="16"/>
      <c r="C169" s="16"/>
      <c r="D169" s="16" t="str">
        <f>IFERROR(__xludf.DUMMYFUNCTION("""COMPUTED_VALUE"""),"Torso")</f>
        <v>Torso</v>
      </c>
      <c r="E169" s="16">
        <f>IFERROR(__xludf.DUMMYFUNCTION("""COMPUTED_VALUE"""),1.0)</f>
        <v>1</v>
      </c>
      <c r="F169" s="16" t="str">
        <f>IFERROR(__xludf.DUMMYFUNCTION("""COMPUTED_VALUE""")," ++5 Evasion +-(Cannot be duplicated)")</f>
        <v> ++5 Evasion +-(Cannot be duplicated)</v>
      </c>
      <c r="G169" s="16">
        <f>IFERROR(__xludf.DUMMYFUNCTION("""COMPUTED_VALUE"""),0.0)</f>
        <v>0</v>
      </c>
      <c r="H169" s="16"/>
      <c r="I169" s="16"/>
      <c r="J169" s="16"/>
      <c r="K169" s="16"/>
      <c r="L169" s="16"/>
      <c r="M169" s="16"/>
      <c r="N169" s="16"/>
      <c r="O169" s="16"/>
      <c r="P169" s="16"/>
      <c r="Q169" s="16"/>
      <c r="R169" s="16"/>
      <c r="S169" s="16"/>
      <c r="T169" s="16"/>
      <c r="U169" s="16"/>
      <c r="V169" s="16"/>
      <c r="W169" s="16"/>
      <c r="X169" s="16"/>
      <c r="Y169" s="16"/>
      <c r="Z169" s="16"/>
    </row>
    <row r="170">
      <c r="A170" s="16" t="str">
        <f>IFERROR(__xludf.DUMMYFUNCTION("""COMPUTED_VALUE"""),"Mini Lucky Fish in a Bottle")</f>
        <v>Mini Lucky Fish in a Bottle</v>
      </c>
      <c r="B170" s="16"/>
      <c r="C170" s="16" t="str">
        <f>IFERROR(__xludf.DUMMYFUNCTION("""COMPUTED_VALUE"""),"Wand")</f>
        <v>Wand</v>
      </c>
      <c r="D170" s="16" t="str">
        <f>IFERROR(__xludf.DUMMYFUNCTION("""COMPUTED_VALUE"""),"Hand")</f>
        <v>Hand</v>
      </c>
      <c r="E170" s="16">
        <f>IFERROR(__xludf.DUMMYFUNCTION("""COMPUTED_VALUE"""),1.0)</f>
        <v>1</v>
      </c>
      <c r="F170" s="16" t="str">
        <f>IFERROR(__xludf.DUMMYFUNCTION("""COMPUTED_VALUE""")," ++Percentage rolls are now increased by 10% for caster that holds this item. +-Can only equip one")</f>
        <v> ++Percentage rolls are now increased by 10% for caster that holds this item. +-Can only equip one</v>
      </c>
      <c r="G170" s="16">
        <f>IFERROR(__xludf.DUMMYFUNCTION("""COMPUTED_VALUE"""),0.0)</f>
        <v>0</v>
      </c>
      <c r="H170" s="16"/>
      <c r="I170" s="16"/>
      <c r="J170" s="16"/>
      <c r="K170" s="16"/>
      <c r="L170" s="16"/>
      <c r="M170" s="16"/>
      <c r="N170" s="16"/>
      <c r="O170" s="16"/>
      <c r="P170" s="16"/>
      <c r="Q170" s="16"/>
      <c r="R170" s="16"/>
      <c r="S170" s="16"/>
      <c r="T170" s="16"/>
      <c r="U170" s="16"/>
      <c r="V170" s="16"/>
      <c r="W170" s="16"/>
      <c r="X170" s="16"/>
      <c r="Y170" s="16"/>
      <c r="Z170" s="16"/>
    </row>
    <row r="171">
      <c r="A171" s="16" t="str">
        <f>IFERROR(__xludf.DUMMYFUNCTION("""COMPUTED_VALUE"""),"Nature Faery Wand")</f>
        <v>Nature Faery Wand</v>
      </c>
      <c r="B171" s="16"/>
      <c r="C171" s="16" t="str">
        <f>IFERROR(__xludf.DUMMYFUNCTION("""COMPUTED_VALUE"""),"Wand")</f>
        <v>Wand</v>
      </c>
      <c r="D171" s="16" t="str">
        <f>IFERROR(__xludf.DUMMYFUNCTION("""COMPUTED_VALUE"""),"Hand")</f>
        <v>Hand</v>
      </c>
      <c r="E171" s="16">
        <f>IFERROR(__xludf.DUMMYFUNCTION("""COMPUTED_VALUE"""),1.0)</f>
        <v>1</v>
      </c>
      <c r="F171" s="16" t="str">
        <f>IFERROR(__xludf.DUMMYFUNCTION("""COMPUTED_VALUE""")," ++half the sp cost of nature spells")</f>
        <v> ++half the sp cost of nature spells</v>
      </c>
      <c r="G171" s="16">
        <f>IFERROR(__xludf.DUMMYFUNCTION("""COMPUTED_VALUE"""),0.0)</f>
        <v>0</v>
      </c>
      <c r="H171" s="16"/>
      <c r="I171" s="16"/>
      <c r="J171" s="16"/>
      <c r="K171" s="16"/>
      <c r="L171" s="16"/>
      <c r="M171" s="16"/>
      <c r="N171" s="16"/>
      <c r="O171" s="16"/>
      <c r="P171" s="16"/>
      <c r="Q171" s="16"/>
      <c r="R171" s="16"/>
      <c r="S171" s="16"/>
      <c r="T171" s="16"/>
      <c r="U171" s="16"/>
      <c r="V171" s="16"/>
      <c r="W171" s="16"/>
      <c r="X171" s="16"/>
      <c r="Y171" s="16"/>
      <c r="Z171" s="16"/>
    </row>
    <row r="172">
      <c r="A172" s="16" t="str">
        <f>IFERROR(__xludf.DUMMYFUNCTION("""COMPUTED_VALUE"""),"Nature's Sword")</f>
        <v>Nature's Sword</v>
      </c>
      <c r="B172" s="16"/>
      <c r="C172" s="16" t="str">
        <f>IFERROR(__xludf.DUMMYFUNCTION("""COMPUTED_VALUE"""),"Sword")</f>
        <v>Sword</v>
      </c>
      <c r="D172" s="16" t="str">
        <f>IFERROR(__xludf.DUMMYFUNCTION("""COMPUTED_VALUE"""),"Hand")</f>
        <v>Hand</v>
      </c>
      <c r="E172" s="16">
        <f>IFERROR(__xludf.DUMMYFUNCTION("""COMPUTED_VALUE"""),40.0)</f>
        <v>40</v>
      </c>
      <c r="F172" s="16" t="str">
        <f>IFERROR(__xludf.DUMMYFUNCTION("""COMPUTED_VALUE"""),"DMG: +800, Nature DMG: +800 ++Upon a successful hit, the next turn you will automatically use the spell Tree Stance.")</f>
        <v>DMG: +800, Nature DMG: +800 ++Upon a successful hit, the next turn you will automatically use the spell Tree Stance.</v>
      </c>
      <c r="G172" s="16">
        <f>IFERROR(__xludf.DUMMYFUNCTION("""COMPUTED_VALUE"""),30000.0)</f>
        <v>30000</v>
      </c>
      <c r="H172" s="16"/>
      <c r="I172" s="16"/>
      <c r="J172" s="16"/>
      <c r="K172" s="16"/>
      <c r="L172" s="16"/>
      <c r="M172" s="16"/>
      <c r="N172" s="16"/>
      <c r="O172" s="16"/>
      <c r="P172" s="16"/>
      <c r="Q172" s="16"/>
      <c r="R172" s="16"/>
      <c r="S172" s="16"/>
      <c r="T172" s="16"/>
      <c r="U172" s="16"/>
      <c r="V172" s="16"/>
      <c r="W172" s="16"/>
      <c r="X172" s="16"/>
      <c r="Y172" s="16"/>
      <c r="Z172" s="16"/>
    </row>
    <row r="173">
      <c r="A173" s="16" t="str">
        <f>IFERROR(__xludf.DUMMYFUNCTION("""COMPUTED_VALUE"""),"Necklace o' Lending")</f>
        <v>Necklace o' Lending</v>
      </c>
      <c r="B173" s="16"/>
      <c r="C173" s="16"/>
      <c r="D173" s="16" t="str">
        <f>IFERROR(__xludf.DUMMYFUNCTION("""COMPUTED_VALUE"""),"Neck")</f>
        <v>Neck</v>
      </c>
      <c r="E173" s="16">
        <f>IFERROR(__xludf.DUMMYFUNCTION("""COMPUTED_VALUE"""),1.0)</f>
        <v>1</v>
      </c>
      <c r="F173" s="16" t="str">
        <f>IFERROR(__xludf.DUMMYFUNCTION("""COMPUTED_VALUE""")," ++Decrease XHP and XSP from your character sheet and add that amount to another target.")</f>
        <v> ++Decrease XHP and XSP from your character sheet and add that amount to another target.</v>
      </c>
      <c r="G173" s="16">
        <f>IFERROR(__xludf.DUMMYFUNCTION("""COMPUTED_VALUE"""),0.0)</f>
        <v>0</v>
      </c>
      <c r="H173" s="16"/>
      <c r="I173" s="16"/>
      <c r="J173" s="16"/>
      <c r="K173" s="16"/>
      <c r="L173" s="16"/>
      <c r="M173" s="16"/>
      <c r="N173" s="16"/>
      <c r="O173" s="16"/>
      <c r="P173" s="16"/>
      <c r="Q173" s="16"/>
      <c r="R173" s="16"/>
      <c r="S173" s="16"/>
      <c r="T173" s="16"/>
      <c r="U173" s="16"/>
      <c r="V173" s="16"/>
      <c r="W173" s="16"/>
      <c r="X173" s="16"/>
      <c r="Y173" s="16"/>
      <c r="Z173" s="16"/>
    </row>
    <row r="174">
      <c r="A174" s="16" t="str">
        <f>IFERROR(__xludf.DUMMYFUNCTION("""COMPUTED_VALUE"""),"Necklace Of Ancient Mountains")</f>
        <v>Necklace Of Ancient Mountains</v>
      </c>
      <c r="B174" s="16"/>
      <c r="C174" s="16"/>
      <c r="D174" s="16" t="str">
        <f>IFERROR(__xludf.DUMMYFUNCTION("""COMPUTED_VALUE"""),"Neck")</f>
        <v>Neck</v>
      </c>
      <c r="E174" s="16">
        <f>IFERROR(__xludf.DUMMYFUNCTION("""COMPUTED_VALUE"""),1.0)</f>
        <v>1</v>
      </c>
      <c r="F174" s="16" t="str">
        <f>IFERROR(__xludf.DUMMYFUNCTION("""COMPUTED_VALUE""")," ++Forged items now deal double in damage for the wearer, ++Forging rolls cannot fail, +-Cannot be forged +-Cannot be duplicated")</f>
        <v> ++Forged items now deal double in damage for the wearer, ++Forging rolls cannot fail, +-Cannot be forged +-Cannot be duplicated</v>
      </c>
      <c r="G174" s="16">
        <f>IFERROR(__xludf.DUMMYFUNCTION("""COMPUTED_VALUE"""),0.0)</f>
        <v>0</v>
      </c>
      <c r="H174" s="16"/>
      <c r="I174" s="16"/>
      <c r="J174" s="16"/>
      <c r="K174" s="16"/>
      <c r="L174" s="16"/>
      <c r="M174" s="16"/>
      <c r="N174" s="16"/>
      <c r="O174" s="16"/>
      <c r="P174" s="16"/>
      <c r="Q174" s="16"/>
      <c r="R174" s="16"/>
      <c r="S174" s="16"/>
      <c r="T174" s="16"/>
      <c r="U174" s="16"/>
      <c r="V174" s="16"/>
      <c r="W174" s="16"/>
      <c r="X174" s="16"/>
      <c r="Y174" s="16"/>
      <c r="Z174" s="16"/>
    </row>
    <row r="175">
      <c r="A175" s="16" t="str">
        <f>IFERROR(__xludf.DUMMYFUNCTION("""COMPUTED_VALUE"""),"Necklace Of Heatmore")</f>
        <v>Necklace Of Heatmore</v>
      </c>
      <c r="B175" s="16"/>
      <c r="C175" s="16"/>
      <c r="D175" s="16" t="str">
        <f>IFERROR(__xludf.DUMMYFUNCTION("""COMPUTED_VALUE"""),"Neck")</f>
        <v>Neck</v>
      </c>
      <c r="E175" s="16">
        <f>IFERROR(__xludf.DUMMYFUNCTION("""COMPUTED_VALUE"""),1.0)</f>
        <v>1</v>
      </c>
      <c r="F175" s="16" t="str">
        <f>IFERROR(__xludf.DUMMYFUNCTION("""COMPUTED_VALUE""")," ++ +2 is added to your d20 roll.")</f>
        <v> ++ +2 is added to your d20 roll.</v>
      </c>
      <c r="G175" s="16">
        <f>IFERROR(__xludf.DUMMYFUNCTION("""COMPUTED_VALUE"""),0.0)</f>
        <v>0</v>
      </c>
      <c r="H175" s="16"/>
      <c r="I175" s="16"/>
      <c r="J175" s="16"/>
      <c r="K175" s="16"/>
      <c r="L175" s="16"/>
      <c r="M175" s="16"/>
      <c r="N175" s="16"/>
      <c r="O175" s="16"/>
      <c r="P175" s="16"/>
      <c r="Q175" s="16"/>
      <c r="R175" s="16"/>
      <c r="S175" s="16"/>
      <c r="T175" s="16"/>
      <c r="U175" s="16"/>
      <c r="V175" s="16"/>
      <c r="W175" s="16"/>
      <c r="X175" s="16"/>
      <c r="Y175" s="16"/>
      <c r="Z175" s="16"/>
    </row>
    <row r="176">
      <c r="A176" s="16" t="str">
        <f>IFERROR(__xludf.DUMMYFUNCTION("""COMPUTED_VALUE"""),"Necklace of Shards")</f>
        <v>Necklace of Shards</v>
      </c>
      <c r="B176" s="16"/>
      <c r="C176" s="16"/>
      <c r="D176" s="16" t="str">
        <f>IFERROR(__xludf.DUMMYFUNCTION("""COMPUTED_VALUE"""),"Neck")</f>
        <v>Neck</v>
      </c>
      <c r="E176" s="16">
        <f>IFERROR(__xludf.DUMMYFUNCTION("""COMPUTED_VALUE"""),1.0)</f>
        <v>1</v>
      </c>
      <c r="F176" s="16" t="str">
        <f>IFERROR(__xludf.DUMMYFUNCTION("""COMPUTED_VALUE""")," ++X6 Chaos and Dark Damage. +-Cannot be duplicated.")</f>
        <v> ++X6 Chaos and Dark Damage. +-Cannot be duplicated.</v>
      </c>
      <c r="G176" s="16">
        <f>IFERROR(__xludf.DUMMYFUNCTION("""COMPUTED_VALUE"""),0.0)</f>
        <v>0</v>
      </c>
      <c r="H176" s="16"/>
      <c r="I176" s="16"/>
      <c r="J176" s="16"/>
      <c r="K176" s="16"/>
      <c r="L176" s="16"/>
      <c r="M176" s="16"/>
      <c r="N176" s="16"/>
      <c r="O176" s="16"/>
      <c r="P176" s="16"/>
      <c r="Q176" s="16"/>
      <c r="R176" s="16"/>
      <c r="S176" s="16"/>
      <c r="T176" s="16"/>
      <c r="U176" s="16"/>
      <c r="V176" s="16"/>
      <c r="W176" s="16"/>
      <c r="X176" s="16"/>
      <c r="Y176" s="16"/>
      <c r="Z176" s="16"/>
    </row>
    <row r="177">
      <c r="A177" s="16" t="str">
        <f>IFERROR(__xludf.DUMMYFUNCTION("""COMPUTED_VALUE"""),"Necklace of The Lost Soul")</f>
        <v>Necklace of The Lost Soul</v>
      </c>
      <c r="B177" s="16"/>
      <c r="C177" s="16"/>
      <c r="D177" s="16" t="str">
        <f>IFERROR(__xludf.DUMMYFUNCTION("""COMPUTED_VALUE"""),"Neck")</f>
        <v>Neck</v>
      </c>
      <c r="E177" s="16">
        <f>IFERROR(__xludf.DUMMYFUNCTION("""COMPUTED_VALUE"""),1.0)</f>
        <v>1</v>
      </c>
      <c r="F177" s="16" t="str">
        <f>IFERROR(__xludf.DUMMYFUNCTION("""COMPUTED_VALUE"""),"DEF: +100 ++X2 Spirit Damage, ++Soul Enhanced II - Each soul you put into this item will increase its base defense by 100 up to 200,000.")</f>
        <v>DEF: +100 ++X2 Spirit Damage, ++Soul Enhanced II - Each soul you put into this item will increase its base defense by 100 up to 200,000.</v>
      </c>
      <c r="G177" s="16">
        <f>IFERROR(__xludf.DUMMYFUNCTION("""COMPUTED_VALUE"""),0.0)</f>
        <v>0</v>
      </c>
      <c r="H177" s="16"/>
      <c r="I177" s="16"/>
      <c r="J177" s="16"/>
      <c r="K177" s="16"/>
      <c r="L177" s="16"/>
      <c r="M177" s="16"/>
      <c r="N177" s="16"/>
      <c r="O177" s="16"/>
      <c r="P177" s="16"/>
      <c r="Q177" s="16"/>
      <c r="R177" s="16"/>
      <c r="S177" s="16"/>
      <c r="T177" s="16"/>
      <c r="U177" s="16"/>
      <c r="V177" s="16"/>
      <c r="W177" s="16"/>
      <c r="X177" s="16"/>
      <c r="Y177" s="16"/>
      <c r="Z177" s="16"/>
    </row>
    <row r="178">
      <c r="A178" s="16" t="str">
        <f>IFERROR(__xludf.DUMMYFUNCTION("""COMPUTED_VALUE"""),"Necklace of the Pumpkin")</f>
        <v>Necklace of the Pumpkin</v>
      </c>
      <c r="B178" s="16"/>
      <c r="C178" s="16"/>
      <c r="D178" s="16" t="str">
        <f>IFERROR(__xludf.DUMMYFUNCTION("""COMPUTED_VALUE"""),"Neck")</f>
        <v>Neck</v>
      </c>
      <c r="E178" s="16">
        <f>IFERROR(__xludf.DUMMYFUNCTION("""COMPUTED_VALUE"""),1.0)</f>
        <v>1</v>
      </c>
      <c r="F178" s="16" t="str">
        <f>IFERROR(__xludf.DUMMYFUNCTION("""COMPUTED_VALUE""")," ++Gives Immunity to Fire, Dark, and Nature damage")</f>
        <v> ++Gives Immunity to Fire, Dark, and Nature damage</v>
      </c>
      <c r="G178" s="16">
        <f>IFERROR(__xludf.DUMMYFUNCTION("""COMPUTED_VALUE"""),0.0)</f>
        <v>0</v>
      </c>
      <c r="H178" s="16"/>
      <c r="I178" s="16"/>
      <c r="J178" s="16"/>
      <c r="K178" s="16"/>
      <c r="L178" s="16"/>
      <c r="M178" s="16"/>
      <c r="N178" s="16"/>
      <c r="O178" s="16"/>
      <c r="P178" s="16"/>
      <c r="Q178" s="16"/>
      <c r="R178" s="16"/>
      <c r="S178" s="16"/>
      <c r="T178" s="16"/>
      <c r="U178" s="16"/>
      <c r="V178" s="16"/>
      <c r="W178" s="16"/>
      <c r="X178" s="16"/>
      <c r="Y178" s="16"/>
      <c r="Z178" s="16"/>
    </row>
    <row r="179">
      <c r="A179" s="16" t="str">
        <f>IFERROR(__xludf.DUMMYFUNCTION("""COMPUTED_VALUE"""),"Necklace Of Tritonoch")</f>
        <v>Necklace Of Tritonoch</v>
      </c>
      <c r="B179" s="16"/>
      <c r="C179" s="16"/>
      <c r="D179" s="16" t="str">
        <f>IFERROR(__xludf.DUMMYFUNCTION("""COMPUTED_VALUE"""),"Neck")</f>
        <v>Neck</v>
      </c>
      <c r="E179" s="16">
        <f>IFERROR(__xludf.DUMMYFUNCTION("""COMPUTED_VALUE"""),1.0)</f>
        <v>1</v>
      </c>
      <c r="F179" s="16" t="str">
        <f>IFERROR(__xludf.DUMMYFUNCTION("""COMPUTED_VALUE""")," ++Any water attack dealt by the wearer has a 50% chance to freeze the targets it hits, ++Waves of Entitlement - x5 additional Water damage")</f>
        <v> ++Any water attack dealt by the wearer has a 50% chance to freeze the targets it hits, ++Waves of Entitlement - x5 additional Water damage</v>
      </c>
      <c r="G179" s="16">
        <f>IFERROR(__xludf.DUMMYFUNCTION("""COMPUTED_VALUE"""),0.0)</f>
        <v>0</v>
      </c>
      <c r="H179" s="16"/>
      <c r="I179" s="16"/>
      <c r="J179" s="16"/>
      <c r="K179" s="16"/>
      <c r="L179" s="16"/>
      <c r="M179" s="16"/>
      <c r="N179" s="16"/>
      <c r="O179" s="16"/>
      <c r="P179" s="16"/>
      <c r="Q179" s="16"/>
      <c r="R179" s="16"/>
      <c r="S179" s="16"/>
      <c r="T179" s="16"/>
      <c r="U179" s="16"/>
      <c r="V179" s="16"/>
      <c r="W179" s="16"/>
      <c r="X179" s="16"/>
      <c r="Y179" s="16"/>
      <c r="Z179" s="16"/>
    </row>
    <row r="180">
      <c r="A180" s="16" t="str">
        <f>IFERROR(__xludf.DUMMYFUNCTION("""COMPUTED_VALUE"""),"Necklace of Waking Waters")</f>
        <v>Necklace of Waking Waters</v>
      </c>
      <c r="B180" s="16"/>
      <c r="C180" s="16"/>
      <c r="D180" s="16" t="str">
        <f>IFERROR(__xludf.DUMMYFUNCTION("""COMPUTED_VALUE"""),"Neck")</f>
        <v>Neck</v>
      </c>
      <c r="E180" s="16">
        <f>IFERROR(__xludf.DUMMYFUNCTION("""COMPUTED_VALUE"""),1.0)</f>
        <v>1</v>
      </c>
      <c r="F180" s="16" t="str">
        <f>IFERROR(__xludf.DUMMYFUNCTION("""COMPUTED_VALUE""")," ++Immunity to sleep. ++X4 Water damage.")</f>
        <v> ++Immunity to sleep. ++X4 Water damage.</v>
      </c>
      <c r="G180" s="16">
        <f>IFERROR(__xludf.DUMMYFUNCTION("""COMPUTED_VALUE"""),0.0)</f>
        <v>0</v>
      </c>
      <c r="H180" s="16"/>
      <c r="I180" s="16"/>
      <c r="J180" s="16"/>
      <c r="K180" s="16"/>
      <c r="L180" s="16"/>
      <c r="M180" s="16"/>
      <c r="N180" s="16"/>
      <c r="O180" s="16"/>
      <c r="P180" s="16"/>
      <c r="Q180" s="16"/>
      <c r="R180" s="16"/>
      <c r="S180" s="16"/>
      <c r="T180" s="16"/>
      <c r="U180" s="16"/>
      <c r="V180" s="16"/>
      <c r="W180" s="16"/>
      <c r="X180" s="16"/>
      <c r="Y180" s="16"/>
      <c r="Z180" s="16"/>
    </row>
    <row r="181">
      <c r="A181" s="16" t="str">
        <f>IFERROR(__xludf.DUMMYFUNCTION("""COMPUTED_VALUE"""),"Necklace of Water Breathing")</f>
        <v>Necklace of Water Breathing</v>
      </c>
      <c r="B181" s="16"/>
      <c r="C181" s="16"/>
      <c r="D181" s="16" t="str">
        <f>IFERROR(__xludf.DUMMYFUNCTION("""COMPUTED_VALUE"""),"Neck")</f>
        <v>Neck</v>
      </c>
      <c r="E181" s="16">
        <f>IFERROR(__xludf.DUMMYFUNCTION("""COMPUTED_VALUE"""),1.0)</f>
        <v>1</v>
      </c>
      <c r="F181" s="16" t="str">
        <f>IFERROR(__xludf.DUMMYFUNCTION("""COMPUTED_VALUE""")," ++Allows you to breath underwater.")</f>
        <v> ++Allows you to breath underwater.</v>
      </c>
      <c r="G181" s="16">
        <f>IFERROR(__xludf.DUMMYFUNCTION("""COMPUTED_VALUE"""),0.0)</f>
        <v>0</v>
      </c>
      <c r="H181" s="16"/>
      <c r="I181" s="16"/>
      <c r="J181" s="16"/>
      <c r="K181" s="16"/>
      <c r="L181" s="16"/>
      <c r="M181" s="16"/>
      <c r="N181" s="16"/>
      <c r="O181" s="16"/>
      <c r="P181" s="16"/>
      <c r="Q181" s="16"/>
      <c r="R181" s="16"/>
      <c r="S181" s="16"/>
      <c r="T181" s="16"/>
      <c r="U181" s="16"/>
      <c r="V181" s="16"/>
      <c r="W181" s="16"/>
      <c r="X181" s="16"/>
      <c r="Y181" s="16"/>
      <c r="Z181" s="16"/>
    </row>
    <row r="182">
      <c r="A182" s="16" t="str">
        <f>IFERROR(__xludf.DUMMYFUNCTION("""COMPUTED_VALUE"""),"Obsidian Chestplate")</f>
        <v>Obsidian Chestplate</v>
      </c>
      <c r="B182" s="16" t="str">
        <f>IFERROR(__xludf.DUMMYFUNCTION("""COMPUTED_VALUE"""),"Quest Item")</f>
        <v>Quest Item</v>
      </c>
      <c r="C182" s="16"/>
      <c r="D182" s="16" t="str">
        <f>IFERROR(__xludf.DUMMYFUNCTION("""COMPUTED_VALUE"""),"Torso")</f>
        <v>Torso</v>
      </c>
      <c r="E182" s="16">
        <f>IFERROR(__xludf.DUMMYFUNCTION("""COMPUTED_VALUE"""),4000.0)</f>
        <v>4000</v>
      </c>
      <c r="F182" s="16" t="str">
        <f>IFERROR(__xludf.DUMMYFUNCTION("""COMPUTED_VALUE"""),"DEF: +100000, Fire DEF: +100000 ++Fire Immunity. +-Cannot be duplicated.")</f>
        <v>DEF: +100000, Fire DEF: +100000 ++Fire Immunity. +-Cannot be duplicated.</v>
      </c>
      <c r="G182" s="16">
        <f>IFERROR(__xludf.DUMMYFUNCTION("""COMPUTED_VALUE"""),7.98E8)</f>
        <v>798000000</v>
      </c>
      <c r="H182" s="16"/>
      <c r="I182" s="16"/>
      <c r="J182" s="16"/>
      <c r="K182" s="16"/>
      <c r="L182" s="16"/>
      <c r="M182" s="16"/>
      <c r="N182" s="16"/>
      <c r="O182" s="16"/>
      <c r="P182" s="16"/>
      <c r="Q182" s="16"/>
      <c r="R182" s="16"/>
      <c r="S182" s="16"/>
      <c r="T182" s="16"/>
      <c r="U182" s="16"/>
      <c r="V182" s="16"/>
      <c r="W182" s="16"/>
      <c r="X182" s="16"/>
      <c r="Y182" s="16"/>
      <c r="Z182" s="16"/>
    </row>
    <row r="183">
      <c r="A183" s="16" t="str">
        <f>IFERROR(__xludf.DUMMYFUNCTION("""COMPUTED_VALUE"""),"Ancient Oni Mask")</f>
        <v>Ancient Oni Mask</v>
      </c>
      <c r="B183" s="16" t="str">
        <f>IFERROR(__xludf.DUMMYFUNCTION("""COMPUTED_VALUE"""),"An ancient relic to Zhenmay")</f>
        <v>An ancient relic to Zhenmay</v>
      </c>
      <c r="C183" s="16"/>
      <c r="D183" s="16" t="str">
        <f>IFERROR(__xludf.DUMMYFUNCTION("""COMPUTED_VALUE"""),"Head")</f>
        <v>Head</v>
      </c>
      <c r="E183" s="16">
        <f>IFERROR(__xludf.DUMMYFUNCTION("""COMPUTED_VALUE"""),200.0)</f>
        <v>200</v>
      </c>
      <c r="F183"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G183" s="16">
        <f>IFERROR(__xludf.DUMMYFUNCTION("""COMPUTED_VALUE"""),5.104E8)</f>
        <v>510400000</v>
      </c>
      <c r="H183" s="16"/>
      <c r="I183" s="16"/>
      <c r="J183" s="16"/>
      <c r="K183" s="16"/>
      <c r="L183" s="16"/>
      <c r="M183" s="16"/>
      <c r="N183" s="16"/>
      <c r="O183" s="16"/>
      <c r="P183" s="16"/>
      <c r="Q183" s="16"/>
      <c r="R183" s="16"/>
      <c r="S183" s="16"/>
      <c r="T183" s="16"/>
      <c r="U183" s="16"/>
      <c r="V183" s="16"/>
      <c r="W183" s="16"/>
      <c r="X183" s="16"/>
      <c r="Y183" s="16"/>
      <c r="Z183" s="16"/>
    </row>
    <row r="184">
      <c r="A184" s="16" t="str">
        <f>IFERROR(__xludf.DUMMYFUNCTION("""COMPUTED_VALUE"""),"Pauldrons of Waking Waters")</f>
        <v>Pauldrons of Waking Waters</v>
      </c>
      <c r="B184" s="16"/>
      <c r="C184" s="16"/>
      <c r="D184" s="16" t="str">
        <f>IFERROR(__xludf.DUMMYFUNCTION("""COMPUTED_VALUE"""),"Shoulders")</f>
        <v>Shoulders</v>
      </c>
      <c r="E184" s="16">
        <f>IFERROR(__xludf.DUMMYFUNCTION("""COMPUTED_VALUE"""),200.0)</f>
        <v>200</v>
      </c>
      <c r="F184" s="16" t="str">
        <f>IFERROR(__xludf.DUMMYFUNCTION("""COMPUTED_VALUE"""),"DEF: +5000, Water DEF: +5000 ++X4 additional water damage for self.")</f>
        <v>DEF: +5000, Water DEF: +5000 ++X4 additional water damage for self.</v>
      </c>
      <c r="G184" s="16">
        <f>IFERROR(__xludf.DUMMYFUNCTION("""COMPUTED_VALUE"""),1900000.0)</f>
        <v>1900000</v>
      </c>
      <c r="H184" s="16"/>
      <c r="I184" s="16"/>
      <c r="J184" s="16"/>
      <c r="K184" s="16"/>
      <c r="L184" s="16"/>
      <c r="M184" s="16"/>
      <c r="N184" s="16"/>
      <c r="O184" s="16"/>
      <c r="P184" s="16"/>
      <c r="Q184" s="16"/>
      <c r="R184" s="16"/>
      <c r="S184" s="16"/>
      <c r="T184" s="16"/>
      <c r="U184" s="16"/>
      <c r="V184" s="16"/>
      <c r="W184" s="16"/>
      <c r="X184" s="16"/>
      <c r="Y184" s="16"/>
      <c r="Z184" s="16"/>
    </row>
    <row r="185">
      <c r="A185" s="16" t="str">
        <f>IFERROR(__xludf.DUMMYFUNCTION("""COMPUTED_VALUE"""),"Pendent of the Sea Serpent")</f>
        <v>Pendent of the Sea Serpent</v>
      </c>
      <c r="B185" s="16"/>
      <c r="C185" s="16"/>
      <c r="D185" s="16" t="str">
        <f>IFERROR(__xludf.DUMMYFUNCTION("""COMPUTED_VALUE"""),"Neck")</f>
        <v>Neck</v>
      </c>
      <c r="E185" s="16">
        <f>IFERROR(__xludf.DUMMYFUNCTION("""COMPUTED_VALUE"""),1.0)</f>
        <v>1</v>
      </c>
      <c r="F185" s="16" t="str">
        <f>IFERROR(__xludf.DUMMYFUNCTION("""COMPUTED_VALUE""")," ++X2 Water Resistance.")</f>
        <v> ++X2 Water Resistance.</v>
      </c>
      <c r="G185" s="16">
        <f>IFERROR(__xludf.DUMMYFUNCTION("""COMPUTED_VALUE"""),0.0)</f>
        <v>0</v>
      </c>
      <c r="H185" s="16"/>
      <c r="I185" s="16"/>
      <c r="J185" s="16"/>
      <c r="K185" s="16"/>
      <c r="L185" s="16"/>
      <c r="M185" s="16"/>
      <c r="N185" s="16"/>
      <c r="O185" s="16"/>
      <c r="P185" s="16"/>
      <c r="Q185" s="16"/>
      <c r="R185" s="16"/>
      <c r="S185" s="16"/>
      <c r="T185" s="16"/>
      <c r="U185" s="16"/>
      <c r="V185" s="16"/>
      <c r="W185" s="16"/>
      <c r="X185" s="16"/>
      <c r="Y185" s="16"/>
      <c r="Z185" s="16"/>
    </row>
    <row r="186">
      <c r="A186" s="16" t="str">
        <f>IFERROR(__xludf.DUMMYFUNCTION("""COMPUTED_VALUE"""),"Pendent of Confusion")</f>
        <v>Pendent of Confusion</v>
      </c>
      <c r="B186" s="16"/>
      <c r="C186" s="16"/>
      <c r="D186" s="16" t="str">
        <f>IFERROR(__xludf.DUMMYFUNCTION("""COMPUTED_VALUE"""),"Neck")</f>
        <v>Neck</v>
      </c>
      <c r="E186" s="16">
        <f>IFERROR(__xludf.DUMMYFUNCTION("""COMPUTED_VALUE"""),1.0)</f>
        <v>1</v>
      </c>
      <c r="F186" s="16" t="str">
        <f>IFERROR(__xludf.DUMMYFUNCTION("""COMPUTED_VALUE""")," ++At the beginning of battle choose a target and choose two numbers between 1-40 whenever the target rolls the numbers you chose while they are attacking they attack themself (1 use per battle)")</f>
        <v> ++At the beginning of battle choose a target and choose two numbers between 1-40 whenever the target rolls the numbers you chose while they are attacking they attack themself (1 use per battle)</v>
      </c>
      <c r="G186" s="16">
        <f>IFERROR(__xludf.DUMMYFUNCTION("""COMPUTED_VALUE"""),0.0)</f>
        <v>0</v>
      </c>
      <c r="H186" s="16"/>
      <c r="I186" s="16"/>
      <c r="J186" s="16"/>
      <c r="K186" s="16"/>
      <c r="L186" s="16"/>
      <c r="M186" s="16"/>
      <c r="N186" s="16"/>
      <c r="O186" s="16"/>
      <c r="P186" s="16"/>
      <c r="Q186" s="16"/>
      <c r="R186" s="16"/>
      <c r="S186" s="16"/>
      <c r="T186" s="16"/>
      <c r="U186" s="16"/>
      <c r="V186" s="16"/>
      <c r="W186" s="16"/>
      <c r="X186" s="16"/>
      <c r="Y186" s="16"/>
      <c r="Z186" s="16"/>
    </row>
    <row r="187">
      <c r="A187" s="16" t="str">
        <f>IFERROR(__xludf.DUMMYFUNCTION("""COMPUTED_VALUE"""),"Pendent of Luck")</f>
        <v>Pendent of Luck</v>
      </c>
      <c r="B187" s="16"/>
      <c r="C187" s="16"/>
      <c r="D187" s="16" t="str">
        <f>IFERROR(__xludf.DUMMYFUNCTION("""COMPUTED_VALUE"""),"Neck")</f>
        <v>Neck</v>
      </c>
      <c r="E187" s="16">
        <f>IFERROR(__xludf.DUMMYFUNCTION("""COMPUTED_VALUE"""),1.0)</f>
        <v>1</v>
      </c>
      <c r="F187" s="16" t="str">
        <f>IFERROR(__xludf.DUMMYFUNCTION("""COMPUTED_VALUE""")," ++Plus 100 to each base Stat.")</f>
        <v> ++Plus 100 to each base Stat.</v>
      </c>
      <c r="G187" s="16">
        <f>IFERROR(__xludf.DUMMYFUNCTION("""COMPUTED_VALUE"""),0.0)</f>
        <v>0</v>
      </c>
      <c r="H187" s="16"/>
      <c r="I187" s="16"/>
      <c r="J187" s="16"/>
      <c r="K187" s="16"/>
      <c r="L187" s="16"/>
      <c r="M187" s="16"/>
      <c r="N187" s="16"/>
      <c r="O187" s="16"/>
      <c r="P187" s="16"/>
      <c r="Q187" s="16"/>
      <c r="R187" s="16"/>
      <c r="S187" s="16"/>
      <c r="T187" s="16"/>
      <c r="U187" s="16"/>
      <c r="V187" s="16"/>
      <c r="W187" s="16"/>
      <c r="X187" s="16"/>
      <c r="Y187" s="16"/>
      <c r="Z187" s="16"/>
    </row>
    <row r="188">
      <c r="A188" s="16" t="str">
        <f>IFERROR(__xludf.DUMMYFUNCTION("""COMPUTED_VALUE"""),"Pillow of Dreams")</f>
        <v>Pillow of Dreams</v>
      </c>
      <c r="B188" s="16"/>
      <c r="C188" s="16" t="str">
        <f>IFERROR(__xludf.DUMMYFUNCTION("""COMPUTED_VALUE"""),"Towershield")</f>
        <v>Towershield</v>
      </c>
      <c r="D188" s="16" t="str">
        <f>IFERROR(__xludf.DUMMYFUNCTION("""COMPUTED_VALUE"""),"Hand")</f>
        <v>Hand</v>
      </c>
      <c r="E188" s="16">
        <f>IFERROR(__xludf.DUMMYFUNCTION("""COMPUTED_VALUE"""),200.0)</f>
        <v>200</v>
      </c>
      <c r="F188" s="16" t="str">
        <f>IFERROR(__xludf.DUMMYFUNCTION("""COMPUTED_VALUE"""),"DEF: +100000, Astral DEF: +100000, Celestial DEF: +50000 ++When you sleep in a INN your dreams become reality. Roll a d20 to see what your dreams awaken. This item must be equipped for the effect to be applied. Can only be used once before each journey. M"&amp;"ust have lower then half your max hp, sp, hunger, thirst, or energy to use.")</f>
        <v>DEF: +100000, Astral DEF: +100000, Celestial DEF: +50000 ++When you sleep in a INN your dreams become reality. Roll a d20 to see what your dreams awaken. This item must be equipped for the effect to be applied. Can only be used once before each journey. Must have lower then half your max hp, sp, hunger, thirst, or energy to use.</v>
      </c>
      <c r="G188" s="16">
        <f>IFERROR(__xludf.DUMMYFUNCTION("""COMPUTED_VALUE"""),1.2475E9)</f>
        <v>1247500000</v>
      </c>
      <c r="H188" s="16"/>
      <c r="I188" s="16"/>
      <c r="J188" s="16"/>
      <c r="K188" s="16"/>
      <c r="L188" s="16"/>
      <c r="M188" s="16"/>
      <c r="N188" s="16"/>
      <c r="O188" s="16"/>
      <c r="P188" s="16"/>
      <c r="Q188" s="16"/>
      <c r="R188" s="16"/>
      <c r="S188" s="16"/>
      <c r="T188" s="16"/>
      <c r="U188" s="16"/>
      <c r="V188" s="16"/>
      <c r="W188" s="16"/>
      <c r="X188" s="16"/>
      <c r="Y188" s="16"/>
      <c r="Z188" s="16"/>
    </row>
    <row r="189">
      <c r="A189" s="16" t="str">
        <f>IFERROR(__xludf.DUMMYFUNCTION("""COMPUTED_VALUE"""),"Poison Vine Sword")</f>
        <v>Poison Vine Sword</v>
      </c>
      <c r="B189" s="16"/>
      <c r="C189" s="16" t="str">
        <f>IFERROR(__xludf.DUMMYFUNCTION("""COMPUTED_VALUE"""),"Sword")</f>
        <v>Sword</v>
      </c>
      <c r="D189" s="16" t="str">
        <f>IFERROR(__xludf.DUMMYFUNCTION("""COMPUTED_VALUE"""),"Hand")</f>
        <v>Hand</v>
      </c>
      <c r="E189" s="16">
        <f>IFERROR(__xludf.DUMMYFUNCTION("""COMPUTED_VALUE"""),2000.0)</f>
        <v>2000</v>
      </c>
      <c r="F189" s="16" t="str">
        <f>IFERROR(__xludf.DUMMYFUNCTION("""COMPUTED_VALUE"""),"DMG: +50000, Nature DMG: +50000 ++Poison 25,000")</f>
        <v>DMG: +50000, Nature DMG: +50000 ++Poison 25,000</v>
      </c>
      <c r="G189" s="16">
        <f>IFERROR(__xludf.DUMMYFUNCTION("""COMPUTED_VALUE"""),1.99E8)</f>
        <v>199000000</v>
      </c>
      <c r="H189" s="16"/>
      <c r="I189" s="16"/>
      <c r="J189" s="16"/>
      <c r="K189" s="16"/>
      <c r="L189" s="16"/>
      <c r="M189" s="16"/>
      <c r="N189" s="16"/>
      <c r="O189" s="16"/>
      <c r="P189" s="16"/>
      <c r="Q189" s="16"/>
      <c r="R189" s="16"/>
      <c r="S189" s="16"/>
      <c r="T189" s="16"/>
      <c r="U189" s="16"/>
      <c r="V189" s="16"/>
      <c r="W189" s="16"/>
      <c r="X189" s="16"/>
      <c r="Y189" s="16"/>
      <c r="Z189" s="16"/>
    </row>
    <row r="190">
      <c r="A190" s="16" t="str">
        <f>IFERROR(__xludf.DUMMYFUNCTION("""COMPUTED_VALUE"""),"Poseidon's Boots")</f>
        <v>Poseidon's Boots</v>
      </c>
      <c r="B190" s="16"/>
      <c r="C190" s="16"/>
      <c r="D190" s="16" t="str">
        <f>IFERROR(__xludf.DUMMYFUNCTION("""COMPUTED_VALUE"""),"Feet")</f>
        <v>Feet</v>
      </c>
      <c r="E190" s="16">
        <f>IFERROR(__xludf.DUMMYFUNCTION("""COMPUTED_VALUE"""),400.0)</f>
        <v>400</v>
      </c>
      <c r="F190" s="16" t="str">
        <f>IFERROR(__xludf.DUMMYFUNCTION("""COMPUTED_VALUE"""),"DEF: +10000, Water DEF: +10000 ++X8 additional water damage for self.")</f>
        <v>DEF: +10000, Water DEF: +10000 ++X8 additional water damage for self.</v>
      </c>
      <c r="G190" s="16">
        <f>IFERROR(__xludf.DUMMYFUNCTION("""COMPUTED_VALUE"""),7800000.0)</f>
        <v>7800000</v>
      </c>
      <c r="H190" s="16"/>
      <c r="I190" s="16"/>
      <c r="J190" s="16"/>
      <c r="K190" s="16"/>
      <c r="L190" s="16"/>
      <c r="M190" s="16"/>
      <c r="N190" s="16"/>
      <c r="O190" s="16"/>
      <c r="P190" s="16"/>
      <c r="Q190" s="16"/>
      <c r="R190" s="16"/>
      <c r="S190" s="16"/>
      <c r="T190" s="16"/>
      <c r="U190" s="16"/>
      <c r="V190" s="16"/>
      <c r="W190" s="16"/>
      <c r="X190" s="16"/>
      <c r="Y190" s="16"/>
      <c r="Z190" s="16"/>
    </row>
    <row r="191">
      <c r="A191" s="16" t="str">
        <f>IFERROR(__xludf.DUMMYFUNCTION("""COMPUTED_VALUE"""),"Poseidon's Chestplate")</f>
        <v>Poseidon's Chestplate</v>
      </c>
      <c r="B191" s="16"/>
      <c r="C191" s="16"/>
      <c r="D191" s="16" t="str">
        <f>IFERROR(__xludf.DUMMYFUNCTION("""COMPUTED_VALUE"""),"Torso")</f>
        <v>Torso</v>
      </c>
      <c r="E191" s="16">
        <f>IFERROR(__xludf.DUMMYFUNCTION("""COMPUTED_VALUE"""),800.0)</f>
        <v>800</v>
      </c>
      <c r="F191" s="16" t="str">
        <f>IFERROR(__xludf.DUMMYFUNCTION("""COMPUTED_VALUE"""),"DEF: +20000, Water DEF: +20000 ++X8 additional water damage for self. ++X10 additional water resistance and Natural Defense for self and allies if you have all Poseidon Equipment Equipped.")</f>
        <v>DEF: +20000, Water DEF: +20000 ++X8 additional water damage for self. ++X10 additional water resistance and Natural Defense for self and allies if you have all Poseidon Equipment Equipped.</v>
      </c>
      <c r="G191" s="16">
        <f>IFERROR(__xludf.DUMMYFUNCTION("""COMPUTED_VALUE"""),3.16E7)</f>
        <v>31600000</v>
      </c>
      <c r="H191" s="16"/>
      <c r="I191" s="16"/>
      <c r="J191" s="16"/>
      <c r="K191" s="16"/>
      <c r="L191" s="16"/>
      <c r="M191" s="16"/>
      <c r="N191" s="16"/>
      <c r="O191" s="16"/>
      <c r="P191" s="16"/>
      <c r="Q191" s="16"/>
      <c r="R191" s="16"/>
      <c r="S191" s="16"/>
      <c r="T191" s="16"/>
      <c r="U191" s="16"/>
      <c r="V191" s="16"/>
      <c r="W191" s="16"/>
      <c r="X191" s="16"/>
      <c r="Y191" s="16"/>
      <c r="Z191" s="16"/>
    </row>
    <row r="192">
      <c r="A192" s="16" t="str">
        <f>IFERROR(__xludf.DUMMYFUNCTION("""COMPUTED_VALUE"""),"Poseidon's Greaves")</f>
        <v>Poseidon's Greaves</v>
      </c>
      <c r="B192" s="16"/>
      <c r="C192" s="16"/>
      <c r="D192" s="16" t="str">
        <f>IFERROR(__xludf.DUMMYFUNCTION("""COMPUTED_VALUE"""),"Legs")</f>
        <v>Legs</v>
      </c>
      <c r="E192" s="16">
        <f>IFERROR(__xludf.DUMMYFUNCTION("""COMPUTED_VALUE"""),400.0)</f>
        <v>400</v>
      </c>
      <c r="F192" s="16" t="str">
        <f>IFERROR(__xludf.DUMMYFUNCTION("""COMPUTED_VALUE"""),"DEF: +10000, Water DEF: +10000 ++X8 additional water damage for self.")</f>
        <v>DEF: +10000, Water DEF: +10000 ++X8 additional water damage for self.</v>
      </c>
      <c r="G192" s="16">
        <f>IFERROR(__xludf.DUMMYFUNCTION("""COMPUTED_VALUE"""),7800000.0)</f>
        <v>7800000</v>
      </c>
      <c r="H192" s="16"/>
      <c r="I192" s="16"/>
      <c r="J192" s="16"/>
      <c r="K192" s="16"/>
      <c r="L192" s="16"/>
      <c r="M192" s="16"/>
      <c r="N192" s="16"/>
      <c r="O192" s="16"/>
      <c r="P192" s="16"/>
      <c r="Q192" s="16"/>
      <c r="R192" s="16"/>
      <c r="S192" s="16"/>
      <c r="T192" s="16"/>
      <c r="U192" s="16"/>
      <c r="V192" s="16"/>
      <c r="W192" s="16"/>
      <c r="X192" s="16"/>
      <c r="Y192" s="16"/>
      <c r="Z192" s="16"/>
    </row>
    <row r="193">
      <c r="A193" s="16" t="str">
        <f>IFERROR(__xludf.DUMMYFUNCTION("""COMPUTED_VALUE"""),"Poseidon's Helmet")</f>
        <v>Poseidon's Helmet</v>
      </c>
      <c r="B193" s="16"/>
      <c r="C193" s="16"/>
      <c r="D193" s="16" t="str">
        <f>IFERROR(__xludf.DUMMYFUNCTION("""COMPUTED_VALUE"""),"Head")</f>
        <v>Head</v>
      </c>
      <c r="E193" s="16">
        <f>IFERROR(__xludf.DUMMYFUNCTION("""COMPUTED_VALUE"""),400.0)</f>
        <v>400</v>
      </c>
      <c r="F193" s="16" t="str">
        <f>IFERROR(__xludf.DUMMYFUNCTION("""COMPUTED_VALUE"""),"DEF: +10000, Water DEF: +10000 ++X8 additional water damage for self.")</f>
        <v>DEF: +10000, Water DEF: +10000 ++X8 additional water damage for self.</v>
      </c>
      <c r="G193" s="16">
        <f>IFERROR(__xludf.DUMMYFUNCTION("""COMPUTED_VALUE"""),7800000.0)</f>
        <v>7800000</v>
      </c>
      <c r="H193" s="16"/>
      <c r="I193" s="16"/>
      <c r="J193" s="16"/>
      <c r="K193" s="16"/>
      <c r="L193" s="16"/>
      <c r="M193" s="16"/>
      <c r="N193" s="16"/>
      <c r="O193" s="16"/>
      <c r="P193" s="16"/>
      <c r="Q193" s="16"/>
      <c r="R193" s="16"/>
      <c r="S193" s="16"/>
      <c r="T193" s="16"/>
      <c r="U193" s="16"/>
      <c r="V193" s="16"/>
      <c r="W193" s="16"/>
      <c r="X193" s="16"/>
      <c r="Y193" s="16"/>
      <c r="Z193" s="16"/>
    </row>
    <row r="194">
      <c r="A194" s="16" t="str">
        <f>IFERROR(__xludf.DUMMYFUNCTION("""COMPUTED_VALUE"""),"Poseidon's Pauldrons")</f>
        <v>Poseidon's Pauldrons</v>
      </c>
      <c r="B194" s="16"/>
      <c r="C194" s="16"/>
      <c r="D194" s="16" t="str">
        <f>IFERROR(__xludf.DUMMYFUNCTION("""COMPUTED_VALUE"""),"Shoulders")</f>
        <v>Shoulders</v>
      </c>
      <c r="E194" s="16">
        <f>IFERROR(__xludf.DUMMYFUNCTION("""COMPUTED_VALUE"""),400.0)</f>
        <v>400</v>
      </c>
      <c r="F194" s="16" t="str">
        <f>IFERROR(__xludf.DUMMYFUNCTION("""COMPUTED_VALUE"""),"DEF: +10000, Water DEF: +10000 ++X8 additional water damage for self.")</f>
        <v>DEF: +10000, Water DEF: +10000 ++X8 additional water damage for self.</v>
      </c>
      <c r="G194" s="16">
        <f>IFERROR(__xludf.DUMMYFUNCTION("""COMPUTED_VALUE"""),7800000.0)</f>
        <v>7800000</v>
      </c>
      <c r="H194" s="16"/>
      <c r="I194" s="16"/>
      <c r="J194" s="16"/>
      <c r="K194" s="16"/>
      <c r="L194" s="16"/>
      <c r="M194" s="16"/>
      <c r="N194" s="16"/>
      <c r="O194" s="16"/>
      <c r="P194" s="16"/>
      <c r="Q194" s="16"/>
      <c r="R194" s="16"/>
      <c r="S194" s="16"/>
      <c r="T194" s="16"/>
      <c r="U194" s="16"/>
      <c r="V194" s="16"/>
      <c r="W194" s="16"/>
      <c r="X194" s="16"/>
      <c r="Y194" s="16"/>
      <c r="Z194" s="16"/>
    </row>
    <row r="195">
      <c r="A195" s="16" t="str">
        <f>IFERROR(__xludf.DUMMYFUNCTION("""COMPUTED_VALUE"""),"Poseidon's Ring")</f>
        <v>Poseidon's Ring</v>
      </c>
      <c r="B195" s="16"/>
      <c r="C195" s="16"/>
      <c r="D195" s="16" t="str">
        <f>IFERROR(__xludf.DUMMYFUNCTION("""COMPUTED_VALUE"""),"Ring")</f>
        <v>Ring</v>
      </c>
      <c r="E195" s="16">
        <f>IFERROR(__xludf.DUMMYFUNCTION("""COMPUTED_VALUE"""),20.0)</f>
        <v>20</v>
      </c>
      <c r="F195" s="16" t="str">
        <f>IFERROR(__xludf.DUMMYFUNCTION("""COMPUTED_VALUE"""),"DEF: +1000 ++X8 additional water damage for self. ")</f>
        <v>DEF: +1000 ++X8 additional water damage for self. </v>
      </c>
      <c r="G195" s="16">
        <f>IFERROR(__xludf.DUMMYFUNCTION("""COMPUTED_VALUE"""),10000.0)</f>
        <v>10000</v>
      </c>
      <c r="H195" s="16"/>
      <c r="I195" s="16"/>
      <c r="J195" s="16"/>
      <c r="K195" s="16"/>
      <c r="L195" s="16"/>
      <c r="M195" s="16"/>
      <c r="N195" s="16"/>
      <c r="O195" s="16"/>
      <c r="P195" s="16"/>
      <c r="Q195" s="16"/>
      <c r="R195" s="16"/>
      <c r="S195" s="16"/>
      <c r="T195" s="16"/>
      <c r="U195" s="16"/>
      <c r="V195" s="16"/>
      <c r="W195" s="16"/>
      <c r="X195" s="16"/>
      <c r="Y195" s="16"/>
      <c r="Z195" s="16"/>
    </row>
    <row r="196">
      <c r="A196" s="16" t="str">
        <f>IFERROR(__xludf.DUMMYFUNCTION("""COMPUTED_VALUE"""),"Poseidon's Sword")</f>
        <v>Poseidon's Sword</v>
      </c>
      <c r="B196" s="16"/>
      <c r="C196" s="16" t="str">
        <f>IFERROR(__xludf.DUMMYFUNCTION("""COMPUTED_VALUE"""),"Sword")</f>
        <v>Sword</v>
      </c>
      <c r="D196" s="16" t="str">
        <f>IFERROR(__xludf.DUMMYFUNCTION("""COMPUTED_VALUE"""),"Hand")</f>
        <v>Hand</v>
      </c>
      <c r="E196" s="16">
        <f>IFERROR(__xludf.DUMMYFUNCTION("""COMPUTED_VALUE"""),200.0)</f>
        <v>200</v>
      </c>
      <c r="F196" s="16" t="str">
        <f>IFERROR(__xludf.DUMMYFUNCTION("""COMPUTED_VALUE"""),"DMG: +40000, Water DMG: +40000, Celestial DMG: +20000 ++X10 additional water damage for self. ++X12 additional water damage and Natural Defense for self and allies if you have all Poseidon Equipment Equipped. +-Cannot be forged +-Cannot be duplicated")</f>
        <v>DMG: +40000, Water DMG: +40000, Celestial DMG: +20000 ++X10 additional water damage for self. ++X12 additional water damage and Natural Defense for self and allies if you have all Poseidon Equipment Equipped. +-Cannot be forged +-Cannot be duplicated</v>
      </c>
      <c r="G196" s="16">
        <f>IFERROR(__xludf.DUMMYFUNCTION("""COMPUTED_VALUE"""),1.99E8)</f>
        <v>199000000</v>
      </c>
      <c r="H196" s="16"/>
      <c r="I196" s="16"/>
      <c r="J196" s="16"/>
      <c r="K196" s="16"/>
      <c r="L196" s="16"/>
      <c r="M196" s="16"/>
      <c r="N196" s="16"/>
      <c r="O196" s="16"/>
      <c r="P196" s="16"/>
      <c r="Q196" s="16"/>
      <c r="R196" s="16"/>
      <c r="S196" s="16"/>
      <c r="T196" s="16"/>
      <c r="U196" s="16"/>
      <c r="V196" s="16"/>
      <c r="W196" s="16"/>
      <c r="X196" s="16"/>
      <c r="Y196" s="16"/>
      <c r="Z196" s="16"/>
    </row>
    <row r="197">
      <c r="A197" s="16" t="str">
        <f>IFERROR(__xludf.DUMMYFUNCTION("""COMPUTED_VALUE"""),"Poseidon's Trident")</f>
        <v>Poseidon's Trident</v>
      </c>
      <c r="B197" s="16"/>
      <c r="C197" s="16" t="str">
        <f>IFERROR(__xludf.DUMMYFUNCTION("""COMPUTED_VALUE"""),"Spear")</f>
        <v>Spear</v>
      </c>
      <c r="D197" s="16" t="str">
        <f>IFERROR(__xludf.DUMMYFUNCTION("""COMPUTED_VALUE"""),"Hand")</f>
        <v>Hand</v>
      </c>
      <c r="E197" s="16">
        <f>IFERROR(__xludf.DUMMYFUNCTION("""COMPUTED_VALUE"""),200.0)</f>
        <v>200</v>
      </c>
      <c r="F197" s="16" t="str">
        <f>IFERROR(__xludf.DUMMYFUNCTION("""COMPUTED_VALUE"""),"DMG: +50000, Water DMG: +50000, Celestial DMG: +25000 ++The user is Immune to the first attack of each battle, Ignores Defense and Water Immunity when attacking a target. +-Cannot be forged +-Cannot be duplicated")</f>
        <v>DMG: +50000, Water DMG: +50000, Celestial DMG: +25000 ++The user is Immune to the first attack of each battle, Ignores Defense and Water Immunity when attacking a target. +-Cannot be forged +-Cannot be duplicated</v>
      </c>
      <c r="G197" s="16">
        <f>IFERROR(__xludf.DUMMYFUNCTION("""COMPUTED_VALUE"""),3.1125E8)</f>
        <v>311250000</v>
      </c>
      <c r="H197" s="16"/>
      <c r="I197" s="16"/>
      <c r="J197" s="16"/>
      <c r="K197" s="16"/>
      <c r="L197" s="16"/>
      <c r="M197" s="16"/>
      <c r="N197" s="16"/>
      <c r="O197" s="16"/>
      <c r="P197" s="16"/>
      <c r="Q197" s="16"/>
      <c r="R197" s="16"/>
      <c r="S197" s="16"/>
      <c r="T197" s="16"/>
      <c r="U197" s="16"/>
      <c r="V197" s="16"/>
      <c r="W197" s="16"/>
      <c r="X197" s="16"/>
      <c r="Y197" s="16"/>
      <c r="Z197" s="16"/>
    </row>
    <row r="198">
      <c r="A198" s="16" t="str">
        <f>IFERROR(__xludf.DUMMYFUNCTION("""COMPUTED_VALUE"""),"Poseidon's Vambraces")</f>
        <v>Poseidon's Vambraces</v>
      </c>
      <c r="B198" s="16"/>
      <c r="C198" s="16"/>
      <c r="D198" s="16" t="str">
        <f>IFERROR(__xludf.DUMMYFUNCTION("""COMPUTED_VALUE"""),"Arms")</f>
        <v>Arms</v>
      </c>
      <c r="E198" s="16">
        <f>IFERROR(__xludf.DUMMYFUNCTION("""COMPUTED_VALUE"""),400.0)</f>
        <v>400</v>
      </c>
      <c r="F198" s="16" t="str">
        <f>IFERROR(__xludf.DUMMYFUNCTION("""COMPUTED_VALUE"""),"DEF: +10000, Water DEF: +10000 ++X8 additional water damage for self.")</f>
        <v>DEF: +10000, Water DEF: +10000 ++X8 additional water damage for self.</v>
      </c>
      <c r="G198" s="16">
        <f>IFERROR(__xludf.DUMMYFUNCTION("""COMPUTED_VALUE"""),7800000.0)</f>
        <v>7800000</v>
      </c>
      <c r="H198" s="16"/>
      <c r="I198" s="16"/>
      <c r="J198" s="16"/>
      <c r="K198" s="16"/>
      <c r="L198" s="16"/>
      <c r="M198" s="16"/>
      <c r="N198" s="16"/>
      <c r="O198" s="16"/>
      <c r="P198" s="16"/>
      <c r="Q198" s="16"/>
      <c r="R198" s="16"/>
      <c r="S198" s="16"/>
      <c r="T198" s="16"/>
      <c r="U198" s="16"/>
      <c r="V198" s="16"/>
      <c r="W198" s="16"/>
      <c r="X198" s="16"/>
      <c r="Y198" s="16"/>
      <c r="Z198" s="16"/>
    </row>
    <row r="199">
      <c r="A199" s="16" t="str">
        <f>IFERROR(__xludf.DUMMYFUNCTION("""COMPUTED_VALUE"""),"Riftblade")</f>
        <v>Riftblade</v>
      </c>
      <c r="B199" s="16" t="str">
        <f>IFERROR(__xludf.DUMMYFUNCTION("""COMPUTED_VALUE"""),"An ancient blade from a forgotten time")</f>
        <v>An ancient blade from a forgotten time</v>
      </c>
      <c r="C199" s="16" t="str">
        <f>IFERROR(__xludf.DUMMYFUNCTION("""COMPUTED_VALUE"""),"Sword")</f>
        <v>Sword</v>
      </c>
      <c r="D199" s="16" t="str">
        <f>IFERROR(__xludf.DUMMYFUNCTION("""COMPUTED_VALUE"""),"Hand")</f>
        <v>Hand</v>
      </c>
      <c r="E199" s="16">
        <f>IFERROR(__xludf.DUMMYFUNCTION("""COMPUTED_VALUE"""),600.0)</f>
        <v>600</v>
      </c>
      <c r="F199" s="16" t="str">
        <f>IFERROR(__xludf.DUMMYFUNCTION("""COMPUTED_VALUE"""),"DMG: +10000, Chaos DMG: +10000, Nature DMG: +10000")</f>
        <v>DMG: +10000, Chaos DMG: +10000, Nature DMG: +10000</v>
      </c>
      <c r="G199" s="16">
        <f>IFERROR(__xludf.DUMMYFUNCTION("""COMPUTED_VALUE"""),1.77E7)</f>
        <v>17700000</v>
      </c>
      <c r="H199" s="16"/>
      <c r="I199" s="16"/>
      <c r="J199" s="16"/>
      <c r="K199" s="16"/>
      <c r="L199" s="16"/>
      <c r="M199" s="16"/>
      <c r="N199" s="16"/>
      <c r="O199" s="16"/>
      <c r="P199" s="16"/>
      <c r="Q199" s="16"/>
      <c r="R199" s="16"/>
      <c r="S199" s="16"/>
      <c r="T199" s="16"/>
      <c r="U199" s="16"/>
      <c r="V199" s="16"/>
      <c r="W199" s="16"/>
      <c r="X199" s="16"/>
      <c r="Y199" s="16"/>
      <c r="Z199" s="16"/>
    </row>
    <row r="200">
      <c r="A200" s="16" t="str">
        <f>IFERROR(__xludf.DUMMYFUNCTION("""COMPUTED_VALUE"""),"Ring o’ Luck and Nature")</f>
        <v>Ring o’ Luck and Nature</v>
      </c>
      <c r="B200" s="16"/>
      <c r="C200" s="16"/>
      <c r="D200" s="16" t="str">
        <f>IFERROR(__xludf.DUMMYFUNCTION("""COMPUTED_VALUE"""),"Ring")</f>
        <v>Ring</v>
      </c>
      <c r="E200" s="16">
        <f>IFERROR(__xludf.DUMMYFUNCTION("""COMPUTED_VALUE"""),1.0)</f>
        <v>1</v>
      </c>
      <c r="F200" s="16" t="str">
        <f>IFERROR(__xludf.DUMMYFUNCTION("""COMPUTED_VALUE""")," ++Immunity to nature damage, ++increases the roll of a d20 by 2. +-Can only equip one")</f>
        <v> ++Immunity to nature damage, ++increases the roll of a d20 by 2. +-Can only equip one</v>
      </c>
      <c r="G200" s="16">
        <f>IFERROR(__xludf.DUMMYFUNCTION("""COMPUTED_VALUE"""),0.0)</f>
        <v>0</v>
      </c>
      <c r="H200" s="16"/>
      <c r="I200" s="16"/>
      <c r="J200" s="16"/>
      <c r="K200" s="16"/>
      <c r="L200" s="16"/>
      <c r="M200" s="16"/>
      <c r="N200" s="16"/>
      <c r="O200" s="16"/>
      <c r="P200" s="16"/>
      <c r="Q200" s="16"/>
      <c r="R200" s="16"/>
      <c r="S200" s="16"/>
      <c r="T200" s="16"/>
      <c r="U200" s="16"/>
      <c r="V200" s="16"/>
      <c r="W200" s="16"/>
      <c r="X200" s="16"/>
      <c r="Y200" s="16"/>
      <c r="Z200" s="16"/>
    </row>
    <row r="201">
      <c r="A201" s="16" t="str">
        <f>IFERROR(__xludf.DUMMYFUNCTION("""COMPUTED_VALUE"""),"Ring of Darkness")</f>
        <v>Ring of Darkness</v>
      </c>
      <c r="B201" s="16"/>
      <c r="C201" s="16"/>
      <c r="D201" s="16" t="str">
        <f>IFERROR(__xludf.DUMMYFUNCTION("""COMPUTED_VALUE"""),"Ring")</f>
        <v>Ring</v>
      </c>
      <c r="E201" s="16">
        <f>IFERROR(__xludf.DUMMYFUNCTION("""COMPUTED_VALUE"""),1.0)</f>
        <v>1</v>
      </c>
      <c r="F201" s="16" t="str">
        <f>IFERROR(__xludf.DUMMYFUNCTION("""COMPUTED_VALUE""")," ++Shadow Cloud - Cloaks you in a cloud darkness - causes all enemies to miss you with any attack, including cannot avoid attacks for the rest of the round, Fail/Succeed, -200 sp.")</f>
        <v> ++Shadow Cloud - Cloaks you in a cloud darkness - causes all enemies to miss you with any attack, including cannot avoid attacks for the rest of the round, Fail/Succeed, -200 sp.</v>
      </c>
      <c r="G201" s="16">
        <f>IFERROR(__xludf.DUMMYFUNCTION("""COMPUTED_VALUE"""),0.0)</f>
        <v>0</v>
      </c>
      <c r="H201" s="16"/>
      <c r="I201" s="16"/>
      <c r="J201" s="16"/>
      <c r="K201" s="16"/>
      <c r="L201" s="16"/>
      <c r="M201" s="16"/>
      <c r="N201" s="16"/>
      <c r="O201" s="16"/>
      <c r="P201" s="16"/>
      <c r="Q201" s="16"/>
      <c r="R201" s="16"/>
      <c r="S201" s="16"/>
      <c r="T201" s="16"/>
      <c r="U201" s="16"/>
      <c r="V201" s="16"/>
      <c r="W201" s="16"/>
      <c r="X201" s="16"/>
      <c r="Y201" s="16"/>
      <c r="Z201" s="16"/>
    </row>
    <row r="202">
      <c r="A202" s="16" t="str">
        <f>IFERROR(__xludf.DUMMYFUNCTION("""COMPUTED_VALUE"""),"Ring of Death")</f>
        <v>Ring of Death</v>
      </c>
      <c r="B202" s="16"/>
      <c r="C202" s="16"/>
      <c r="D202" s="16" t="str">
        <f>IFERROR(__xludf.DUMMYFUNCTION("""COMPUTED_VALUE"""),"Ring")</f>
        <v>Ring</v>
      </c>
      <c r="E202" s="16">
        <f>IFERROR(__xludf.DUMMYFUNCTION("""COMPUTED_VALUE"""),1.0)</f>
        <v>1</v>
      </c>
      <c r="F202" s="16" t="str">
        <f>IFERROR(__xludf.DUMMYFUNCTION("""COMPUTED_VALUE""")," ++Causes instant death with a fail/succeed roll.")</f>
        <v> ++Causes instant death with a fail/succeed roll.</v>
      </c>
      <c r="G202" s="16">
        <f>IFERROR(__xludf.DUMMYFUNCTION("""COMPUTED_VALUE"""),0.0)</f>
        <v>0</v>
      </c>
      <c r="H202" s="16"/>
      <c r="I202" s="16"/>
      <c r="J202" s="16"/>
      <c r="K202" s="16"/>
      <c r="L202" s="16"/>
      <c r="M202" s="16"/>
      <c r="N202" s="16"/>
      <c r="O202" s="16"/>
      <c r="P202" s="16"/>
      <c r="Q202" s="16"/>
      <c r="R202" s="16"/>
      <c r="S202" s="16"/>
      <c r="T202" s="16"/>
      <c r="U202" s="16"/>
      <c r="V202" s="16"/>
      <c r="W202" s="16"/>
      <c r="X202" s="16"/>
      <c r="Y202" s="16"/>
      <c r="Z202" s="16"/>
    </row>
    <row r="203">
      <c r="A203" s="16" t="str">
        <f>IFERROR(__xludf.DUMMYFUNCTION("""COMPUTED_VALUE"""),"Ring Of Dwelling Waters")</f>
        <v>Ring Of Dwelling Waters</v>
      </c>
      <c r="B203" s="16"/>
      <c r="C203" s="16"/>
      <c r="D203" s="16" t="str">
        <f>IFERROR(__xludf.DUMMYFUNCTION("""COMPUTED_VALUE"""),"Ring")</f>
        <v>Ring</v>
      </c>
      <c r="E203" s="16">
        <f>IFERROR(__xludf.DUMMYFUNCTION("""COMPUTED_VALUE"""),1.0)</f>
        <v>1</v>
      </c>
      <c r="F203" s="16" t="str">
        <f>IFERROR(__xludf.DUMMYFUNCTION("""COMPUTED_VALUE"""),", Fire : +  ++X2 Water and Dark damage.")</f>
        <v>, Fire : +  ++X2 Water and Dark damage.</v>
      </c>
      <c r="G203" s="16">
        <f>IFERROR(__xludf.DUMMYFUNCTION("""COMPUTED_VALUE"""),0.0)</f>
        <v>0</v>
      </c>
      <c r="H203" s="16"/>
      <c r="I203" s="16"/>
      <c r="J203" s="16"/>
      <c r="K203" s="16"/>
      <c r="L203" s="16"/>
      <c r="M203" s="16"/>
      <c r="N203" s="16"/>
      <c r="O203" s="16"/>
      <c r="P203" s="16"/>
      <c r="Q203" s="16"/>
      <c r="R203" s="16"/>
      <c r="S203" s="16"/>
      <c r="T203" s="16"/>
      <c r="U203" s="16"/>
      <c r="V203" s="16"/>
      <c r="W203" s="16"/>
      <c r="X203" s="16"/>
      <c r="Y203" s="16"/>
      <c r="Z203" s="16"/>
    </row>
    <row r="204">
      <c r="A204" s="16" t="str">
        <f>IFERROR(__xludf.DUMMYFUNCTION("""COMPUTED_VALUE"""),"Ring of Endless Souls")</f>
        <v>Ring of Endless Souls</v>
      </c>
      <c r="B204" s="16"/>
      <c r="C204" s="16"/>
      <c r="D204" s="16" t="str">
        <f>IFERROR(__xludf.DUMMYFUNCTION("""COMPUTED_VALUE"""),"Ring")</f>
        <v>Ring</v>
      </c>
      <c r="E204" s="16">
        <f>IFERROR(__xludf.DUMMYFUNCTION("""COMPUTED_VALUE"""),1.0)</f>
        <v>1</v>
      </c>
      <c r="F204" s="16" t="str">
        <f>IFERROR(__xludf.DUMMYFUNCTION("""COMPUTED_VALUE""")," ++0 Def ++Soul Enchanted - Every time you enchant a soul into this item increase the Def of this item by 10. ")</f>
        <v> ++0 Def ++Soul Enchanted - Every time you enchant a soul into this item increase the Def of this item by 10. </v>
      </c>
      <c r="G204" s="16">
        <f>IFERROR(__xludf.DUMMYFUNCTION("""COMPUTED_VALUE"""),0.0)</f>
        <v>0</v>
      </c>
      <c r="H204" s="16"/>
      <c r="I204" s="16"/>
      <c r="J204" s="16"/>
      <c r="K204" s="16"/>
      <c r="L204" s="16"/>
      <c r="M204" s="16"/>
      <c r="N204" s="16"/>
      <c r="O204" s="16"/>
      <c r="P204" s="16"/>
      <c r="Q204" s="16"/>
      <c r="R204" s="16"/>
      <c r="S204" s="16"/>
      <c r="T204" s="16"/>
      <c r="U204" s="16"/>
      <c r="V204" s="16"/>
      <c r="W204" s="16"/>
      <c r="X204" s="16"/>
      <c r="Y204" s="16"/>
      <c r="Z204" s="16"/>
    </row>
    <row r="205">
      <c r="A205" s="16" t="str">
        <f>IFERROR(__xludf.DUMMYFUNCTION("""COMPUTED_VALUE"""),"Ring of Healing")</f>
        <v>Ring of Healing</v>
      </c>
      <c r="B205" s="16"/>
      <c r="C205" s="16"/>
      <c r="D205" s="16" t="str">
        <f>IFERROR(__xludf.DUMMYFUNCTION("""COMPUTED_VALUE"""),"Ring")</f>
        <v>Ring</v>
      </c>
      <c r="E205" s="16">
        <f>IFERROR(__xludf.DUMMYFUNCTION("""COMPUTED_VALUE"""),1.0)</f>
        <v>1</v>
      </c>
      <c r="F205" s="16" t="str">
        <f>IFERROR(__xludf.DUMMYFUNCTION("""COMPUTED_VALUE""")," ++500 hp per round.")</f>
        <v> ++500 hp per round.</v>
      </c>
      <c r="G205" s="16">
        <f>IFERROR(__xludf.DUMMYFUNCTION("""COMPUTED_VALUE"""),0.0)</f>
        <v>0</v>
      </c>
      <c r="H205" s="16"/>
      <c r="I205" s="16"/>
      <c r="J205" s="16"/>
      <c r="K205" s="16"/>
      <c r="L205" s="16"/>
      <c r="M205" s="16"/>
      <c r="N205" s="16"/>
      <c r="O205" s="16"/>
      <c r="P205" s="16"/>
      <c r="Q205" s="16"/>
      <c r="R205" s="16"/>
      <c r="S205" s="16"/>
      <c r="T205" s="16"/>
      <c r="U205" s="16"/>
      <c r="V205" s="16"/>
      <c r="W205" s="16"/>
      <c r="X205" s="16"/>
      <c r="Y205" s="16"/>
      <c r="Z205" s="16"/>
    </row>
    <row r="206">
      <c r="A206" s="16" t="str">
        <f>IFERROR(__xludf.DUMMYFUNCTION("""COMPUTED_VALUE"""),"Ring of Invulnerability ")</f>
        <v>Ring of Invulnerability </v>
      </c>
      <c r="B206" s="16"/>
      <c r="C206" s="16"/>
      <c r="D206" s="16" t="str">
        <f>IFERROR(__xludf.DUMMYFUNCTION("""COMPUTED_VALUE"""),"Ring")</f>
        <v>Ring</v>
      </c>
      <c r="E206" s="16">
        <f>IFERROR(__xludf.DUMMYFUNCTION("""COMPUTED_VALUE"""),1.0)</f>
        <v>1</v>
      </c>
      <c r="F206" s="16" t="str">
        <f>IFERROR(__xludf.DUMMYFUNCTION("""COMPUTED_VALUE""")," ++Gain invulnerability to damage for the first round of battle, you are unable to inflict any non-magic damage for the first round of battle. +-Cannot be duplicated. +-Cannot be forged. ")</f>
        <v> ++Gain invulnerability to damage for the first round of battle, you are unable to inflict any non-magic damage for the first round of battle. +-Cannot be duplicated. +-Cannot be forged. </v>
      </c>
      <c r="G206" s="16">
        <f>IFERROR(__xludf.DUMMYFUNCTION("""COMPUTED_VALUE"""),0.0)</f>
        <v>0</v>
      </c>
      <c r="H206" s="16"/>
      <c r="I206" s="16"/>
      <c r="J206" s="16"/>
      <c r="K206" s="16"/>
      <c r="L206" s="16"/>
      <c r="M206" s="16"/>
      <c r="N206" s="16"/>
      <c r="O206" s="16"/>
      <c r="P206" s="16"/>
      <c r="Q206" s="16"/>
      <c r="R206" s="16"/>
      <c r="S206" s="16"/>
      <c r="T206" s="16"/>
      <c r="U206" s="16"/>
      <c r="V206" s="16"/>
      <c r="W206" s="16"/>
      <c r="X206" s="16"/>
      <c r="Y206" s="16"/>
      <c r="Z206" s="16"/>
    </row>
    <row r="207">
      <c r="A207" s="16" t="str">
        <f>IFERROR(__xludf.DUMMYFUNCTION("""COMPUTED_VALUE"""),"Ring of Pure Chaos")</f>
        <v>Ring of Pure Chaos</v>
      </c>
      <c r="B207" s="16"/>
      <c r="C207" s="16"/>
      <c r="D207" s="16" t="str">
        <f>IFERROR(__xludf.DUMMYFUNCTION("""COMPUTED_VALUE"""),"Ring")</f>
        <v>Ring</v>
      </c>
      <c r="E207" s="16">
        <f>IFERROR(__xludf.DUMMYFUNCTION("""COMPUTED_VALUE"""),1.0)</f>
        <v>1</v>
      </c>
      <c r="F207" s="16" t="str">
        <f>IFERROR(__xludf.DUMMYFUNCTION("""COMPUTED_VALUE""")," ++X2 Chaos damage, ++ +5 Charisma and Intimidation. +-Cannot be forged +-Cannot be duplicated +-Can only equip one")</f>
        <v> ++X2 Chaos damage, ++ +5 Charisma and Intimidation. +-Cannot be forged +-Cannot be duplicated +-Can only equip one</v>
      </c>
      <c r="G207" s="16">
        <f>IFERROR(__xludf.DUMMYFUNCTION("""COMPUTED_VALUE"""),0.0)</f>
        <v>0</v>
      </c>
      <c r="H207" s="16"/>
      <c r="I207" s="16"/>
      <c r="J207" s="16"/>
      <c r="K207" s="16"/>
      <c r="L207" s="16"/>
      <c r="M207" s="16"/>
      <c r="N207" s="16"/>
      <c r="O207" s="16"/>
      <c r="P207" s="16"/>
      <c r="Q207" s="16"/>
      <c r="R207" s="16"/>
      <c r="S207" s="16"/>
      <c r="T207" s="16"/>
      <c r="U207" s="16"/>
      <c r="V207" s="16"/>
      <c r="W207" s="16"/>
      <c r="X207" s="16"/>
      <c r="Y207" s="16"/>
      <c r="Z207" s="16"/>
    </row>
    <row r="208">
      <c r="A208" s="16" t="str">
        <f>IFERROR(__xludf.DUMMYFUNCTION("""COMPUTED_VALUE"""),"Ring of Pure Defense")</f>
        <v>Ring of Pure Defense</v>
      </c>
      <c r="B208" s="16"/>
      <c r="C208" s="16"/>
      <c r="D208" s="16" t="str">
        <f>IFERROR(__xludf.DUMMYFUNCTION("""COMPUTED_VALUE"""),"Ring")</f>
        <v>Ring</v>
      </c>
      <c r="E208" s="16">
        <f>IFERROR(__xludf.DUMMYFUNCTION("""COMPUTED_VALUE"""),1.0)</f>
        <v>1</v>
      </c>
      <c r="F208" s="16" t="str">
        <f>IFERROR(__xludf.DUMMYFUNCTION("""COMPUTED_VALUE""")," ++Half the damage taken from the next attack 100SP Will Succeed.")</f>
        <v> ++Half the damage taken from the next attack 100SP Will Succeed.</v>
      </c>
      <c r="G208" s="16">
        <f>IFERROR(__xludf.DUMMYFUNCTION("""COMPUTED_VALUE"""),0.0)</f>
        <v>0</v>
      </c>
      <c r="H208" s="16"/>
      <c r="I208" s="16"/>
      <c r="J208" s="16"/>
      <c r="K208" s="16"/>
      <c r="L208" s="16"/>
      <c r="M208" s="16"/>
      <c r="N208" s="16"/>
      <c r="O208" s="16"/>
      <c r="P208" s="16"/>
      <c r="Q208" s="16"/>
      <c r="R208" s="16"/>
      <c r="S208" s="16"/>
      <c r="T208" s="16"/>
      <c r="U208" s="16"/>
      <c r="V208" s="16"/>
      <c r="W208" s="16"/>
      <c r="X208" s="16"/>
      <c r="Y208" s="16"/>
      <c r="Z208" s="16"/>
    </row>
    <row r="209">
      <c r="A209" s="16" t="str">
        <f>IFERROR(__xludf.DUMMYFUNCTION("""COMPUTED_VALUE"""),"Ring of Reflect")</f>
        <v>Ring of Reflect</v>
      </c>
      <c r="B209" s="16"/>
      <c r="C209" s="16"/>
      <c r="D209" s="16" t="str">
        <f>IFERROR(__xludf.DUMMYFUNCTION("""COMPUTED_VALUE"""),"Ring")</f>
        <v>Ring</v>
      </c>
      <c r="E209" s="16">
        <f>IFERROR(__xludf.DUMMYFUNCTION("""COMPUTED_VALUE"""),1.0)</f>
        <v>1</v>
      </c>
      <c r="F209" s="16" t="str">
        <f>IFERROR(__xludf.DUMMYFUNCTION("""COMPUTED_VALUE""")," ++Inflict half the damage you take back to the enemy that dealt it. +-Can only have one equipped. +-Cannot be duplicated.")</f>
        <v> ++Inflict half the damage you take back to the enemy that dealt it. +-Can only have one equipped. +-Cannot be duplicated.</v>
      </c>
      <c r="G209" s="16">
        <f>IFERROR(__xludf.DUMMYFUNCTION("""COMPUTED_VALUE"""),0.0)</f>
        <v>0</v>
      </c>
      <c r="H209" s="16"/>
      <c r="I209" s="16"/>
      <c r="J209" s="16"/>
      <c r="K209" s="16"/>
      <c r="L209" s="16"/>
      <c r="M209" s="16"/>
      <c r="N209" s="16"/>
      <c r="O209" s="16"/>
      <c r="P209" s="16"/>
      <c r="Q209" s="16"/>
      <c r="R209" s="16"/>
      <c r="S209" s="16"/>
      <c r="T209" s="16"/>
      <c r="U209" s="16"/>
      <c r="V209" s="16"/>
      <c r="W209" s="16"/>
      <c r="X209" s="16"/>
      <c r="Y209" s="16"/>
      <c r="Z209" s="16"/>
    </row>
    <row r="210">
      <c r="A210" s="16" t="str">
        <f>IFERROR(__xludf.DUMMYFUNCTION("""COMPUTED_VALUE"""),"Ring of the Bonded Undead")</f>
        <v>Ring of the Bonded Undead</v>
      </c>
      <c r="B210" s="16"/>
      <c r="C210" s="16"/>
      <c r="D210" s="16" t="str">
        <f>IFERROR(__xludf.DUMMYFUNCTION("""COMPUTED_VALUE"""),"Ring")</f>
        <v>Ring</v>
      </c>
      <c r="E210" s="16">
        <f>IFERROR(__xludf.DUMMYFUNCTION("""COMPUTED_VALUE"""),1.0)</f>
        <v>1</v>
      </c>
      <c r="F210" s="16" t="str">
        <f>IFERROR(__xludf.DUMMYFUNCTION("""COMPUTED_VALUE""")," ++When you battle with any Undead target you can deal X2 more damage.")</f>
        <v> ++When you battle with any Undead target you can deal X2 more damage.</v>
      </c>
      <c r="G210" s="16">
        <f>IFERROR(__xludf.DUMMYFUNCTION("""COMPUTED_VALUE"""),0.0)</f>
        <v>0</v>
      </c>
      <c r="H210" s="16"/>
      <c r="I210" s="16"/>
      <c r="J210" s="16"/>
      <c r="K210" s="16"/>
      <c r="L210" s="16"/>
      <c r="M210" s="16"/>
      <c r="N210" s="16"/>
      <c r="O210" s="16"/>
      <c r="P210" s="16"/>
      <c r="Q210" s="16"/>
      <c r="R210" s="16"/>
      <c r="S210" s="16"/>
      <c r="T210" s="16"/>
      <c r="U210" s="16"/>
      <c r="V210" s="16"/>
      <c r="W210" s="16"/>
      <c r="X210" s="16"/>
      <c r="Y210" s="16"/>
      <c r="Z210" s="16"/>
    </row>
    <row r="211">
      <c r="A211" s="16" t="str">
        <f>IFERROR(__xludf.DUMMYFUNCTION("""COMPUTED_VALUE"""),"Ring of the Forgotten")</f>
        <v>Ring of the Forgotten</v>
      </c>
      <c r="B211" s="16"/>
      <c r="C211" s="16"/>
      <c r="D211" s="16" t="str">
        <f>IFERROR(__xludf.DUMMYFUNCTION("""COMPUTED_VALUE"""),"Ring")</f>
        <v>Ring</v>
      </c>
      <c r="E211" s="16">
        <f>IFERROR(__xludf.DUMMYFUNCTION("""COMPUTED_VALUE"""),1.0)</f>
        <v>1</v>
      </c>
      <c r="F211" s="16" t="str">
        <f>IFERROR(__xludf.DUMMYFUNCTION("""COMPUTED_VALUE""")," ++Make a fail/succeed roll to make a target forget they were fighting you. +-Cannot be duplicated")</f>
        <v> ++Make a fail/succeed roll to make a target forget they were fighting you. +-Cannot be duplicated</v>
      </c>
      <c r="G211" s="16">
        <f>IFERROR(__xludf.DUMMYFUNCTION("""COMPUTED_VALUE"""),0.0)</f>
        <v>0</v>
      </c>
      <c r="H211" s="16"/>
      <c r="I211" s="16"/>
      <c r="J211" s="16"/>
      <c r="K211" s="16"/>
      <c r="L211" s="16"/>
      <c r="M211" s="16"/>
      <c r="N211" s="16"/>
      <c r="O211" s="16"/>
      <c r="P211" s="16"/>
      <c r="Q211" s="16"/>
      <c r="R211" s="16"/>
      <c r="S211" s="16"/>
      <c r="T211" s="16"/>
      <c r="U211" s="16"/>
      <c r="V211" s="16"/>
      <c r="W211" s="16"/>
      <c r="X211" s="16"/>
      <c r="Y211" s="16"/>
      <c r="Z211" s="16"/>
    </row>
    <row r="212">
      <c r="A212" s="16" t="str">
        <f>IFERROR(__xludf.DUMMYFUNCTION("""COMPUTED_VALUE"""),"Ring Of Tritonoch")</f>
        <v>Ring Of Tritonoch</v>
      </c>
      <c r="B212" s="16"/>
      <c r="C212" s="16"/>
      <c r="D212" s="16" t="str">
        <f>IFERROR(__xludf.DUMMYFUNCTION("""COMPUTED_VALUE"""),"Ring")</f>
        <v>Ring</v>
      </c>
      <c r="E212" s="16">
        <f>IFERROR(__xludf.DUMMYFUNCTION("""COMPUTED_VALUE"""),1.0)</f>
        <v>1</v>
      </c>
      <c r="F212" s="16" t="str">
        <f>IFERROR(__xludf.DUMMYFUNCTION("""COMPUTED_VALUE""")," ++Waves of Entitlement - x5 additional Water damage")</f>
        <v> ++Waves of Entitlement - x5 additional Water damage</v>
      </c>
      <c r="G212" s="16">
        <f>IFERROR(__xludf.DUMMYFUNCTION("""COMPUTED_VALUE"""),0.0)</f>
        <v>0</v>
      </c>
      <c r="H212" s="16"/>
      <c r="I212" s="16"/>
      <c r="J212" s="16"/>
      <c r="K212" s="16"/>
      <c r="L212" s="16"/>
      <c r="M212" s="16"/>
      <c r="N212" s="16"/>
      <c r="O212" s="16"/>
      <c r="P212" s="16"/>
      <c r="Q212" s="16"/>
      <c r="R212" s="16"/>
      <c r="S212" s="16"/>
      <c r="T212" s="16"/>
      <c r="U212" s="16"/>
      <c r="V212" s="16"/>
      <c r="W212" s="16"/>
      <c r="X212" s="16"/>
      <c r="Y212" s="16"/>
      <c r="Z212" s="16"/>
    </row>
    <row r="213">
      <c r="A213" s="16" t="str">
        <f>IFERROR(__xludf.DUMMYFUNCTION("""COMPUTED_VALUE"""),"Ring of Waking Waters")</f>
        <v>Ring of Waking Waters</v>
      </c>
      <c r="B213" s="16"/>
      <c r="C213" s="16"/>
      <c r="D213" s="16" t="str">
        <f>IFERROR(__xludf.DUMMYFUNCTION("""COMPUTED_VALUE"""),"Ring")</f>
        <v>Ring</v>
      </c>
      <c r="E213" s="16">
        <f>IFERROR(__xludf.DUMMYFUNCTION("""COMPUTED_VALUE"""),100.0)</f>
        <v>100</v>
      </c>
      <c r="F213" s="16" t="str">
        <f>IFERROR(__xludf.DUMMYFUNCTION("""COMPUTED_VALUE"""),", Water DEF: +5000 ++X4 additional water damage for self.")</f>
        <v>, Water DEF: +5000 ++X4 additional water damage for self.</v>
      </c>
      <c r="G213" s="16">
        <f>IFERROR(__xludf.DUMMYFUNCTION("""COMPUTED_VALUE"""),450000.0)</f>
        <v>450000</v>
      </c>
      <c r="H213" s="16"/>
      <c r="I213" s="16"/>
      <c r="J213" s="16"/>
      <c r="K213" s="16"/>
      <c r="L213" s="16"/>
      <c r="M213" s="16"/>
      <c r="N213" s="16"/>
      <c r="O213" s="16"/>
      <c r="P213" s="16"/>
      <c r="Q213" s="16"/>
      <c r="R213" s="16"/>
      <c r="S213" s="16"/>
      <c r="T213" s="16"/>
      <c r="U213" s="16"/>
      <c r="V213" s="16"/>
      <c r="W213" s="16"/>
      <c r="X213" s="16"/>
      <c r="Y213" s="16"/>
      <c r="Z213" s="16"/>
    </row>
    <row r="214">
      <c r="A214" s="16" t="str">
        <f>IFERROR(__xludf.DUMMYFUNCTION("""COMPUTED_VALUE"""),"Robe of The Cultist")</f>
        <v>Robe of The Cultist</v>
      </c>
      <c r="B214" s="16"/>
      <c r="C214" s="16"/>
      <c r="D214" s="16" t="str">
        <f>IFERROR(__xludf.DUMMYFUNCTION("""COMPUTED_VALUE"""),"Torso")</f>
        <v>Torso</v>
      </c>
      <c r="E214" s="16">
        <f>IFERROR(__xludf.DUMMYFUNCTION("""COMPUTED_VALUE"""),80.0)</f>
        <v>80</v>
      </c>
      <c r="F214" s="16" t="str">
        <f>IFERROR(__xludf.DUMMYFUNCTION("""COMPUTED_VALUE"""),"DEF: +2000, Dark DEF: +2000 ++Instant Death Immunity. ++500HP +-Cannot be forged +-Cannot be duplicated")</f>
        <v>DEF: +2000, Dark DEF: +2000 ++Instant Death Immunity. ++500HP +-Cannot be forged +-Cannot be duplicated</v>
      </c>
      <c r="G214" s="16">
        <f>IFERROR(__xludf.DUMMYFUNCTION("""COMPUTED_VALUE"""),280000.0)</f>
        <v>280000</v>
      </c>
      <c r="H214" s="16"/>
      <c r="I214" s="16"/>
      <c r="J214" s="16"/>
      <c r="K214" s="16"/>
      <c r="L214" s="16"/>
      <c r="M214" s="16"/>
      <c r="N214" s="16"/>
      <c r="O214" s="16"/>
      <c r="P214" s="16"/>
      <c r="Q214" s="16"/>
      <c r="R214" s="16"/>
      <c r="S214" s="16"/>
      <c r="T214" s="16"/>
      <c r="U214" s="16"/>
      <c r="V214" s="16"/>
      <c r="W214" s="16"/>
      <c r="X214" s="16"/>
      <c r="Y214" s="16"/>
      <c r="Z214" s="16"/>
    </row>
    <row r="215">
      <c r="A215" s="16" t="str">
        <f>IFERROR(__xludf.DUMMYFUNCTION("""COMPUTED_VALUE"""),"Robe of Vanish")</f>
        <v>Robe of Vanish</v>
      </c>
      <c r="B215" s="16"/>
      <c r="C215" s="16"/>
      <c r="D215" s="16" t="str">
        <f>IFERROR(__xludf.DUMMYFUNCTION("""COMPUTED_VALUE"""),"Torso")</f>
        <v>Torso</v>
      </c>
      <c r="E215" s="16">
        <f>IFERROR(__xludf.DUMMYFUNCTION("""COMPUTED_VALUE"""),20.0)</f>
        <v>20</v>
      </c>
      <c r="F215" s="16" t="str">
        <f>IFERROR(__xludf.DUMMYFUNCTION("""COMPUTED_VALUE"""),"DEF: +900 ++Shadow Disappear - When Equipped you are invulnerable to all damage for the first round of battle. ")</f>
        <v>DEF: +900 ++Shadow Disappear - When Equipped you are invulnerable to all damage for the first round of battle. </v>
      </c>
      <c r="G215" s="16">
        <f>IFERROR(__xludf.DUMMYFUNCTION("""COMPUTED_VALUE"""),1000.0)</f>
        <v>1000</v>
      </c>
      <c r="H215" s="16"/>
      <c r="I215" s="16"/>
      <c r="J215" s="16"/>
      <c r="K215" s="16"/>
      <c r="L215" s="16"/>
      <c r="M215" s="16"/>
      <c r="N215" s="16"/>
      <c r="O215" s="16"/>
      <c r="P215" s="16"/>
      <c r="Q215" s="16"/>
      <c r="R215" s="16"/>
      <c r="S215" s="16"/>
      <c r="T215" s="16"/>
      <c r="U215" s="16"/>
      <c r="V215" s="16"/>
      <c r="W215" s="16"/>
      <c r="X215" s="16"/>
      <c r="Y215" s="16"/>
      <c r="Z215" s="16"/>
    </row>
    <row r="216">
      <c r="A216" s="16" t="str">
        <f>IFERROR(__xludf.DUMMYFUNCTION("""COMPUTED_VALUE"""),"Robes of a Peaceful Immortal")</f>
        <v>Robes of a Peaceful Immortal</v>
      </c>
      <c r="B216" s="16"/>
      <c r="C216" s="16"/>
      <c r="D216" s="16" t="str">
        <f>IFERROR(__xludf.DUMMYFUNCTION("""COMPUTED_VALUE"""),"Torso")</f>
        <v>Torso</v>
      </c>
      <c r="E216" s="16">
        <f>IFERROR(__xludf.DUMMYFUNCTION("""COMPUTED_VALUE"""),1.0)</f>
        <v>1</v>
      </c>
      <c r="F216" s="16" t="str">
        <f>IFERROR(__xludf.DUMMYFUNCTION("""COMPUTED_VALUE""")," ++Peaceful Blessing - Incapable of receiving or dealing damage. +-Cannot be duplicated.")</f>
        <v> ++Peaceful Blessing - Incapable of receiving or dealing damage. +-Cannot be duplicated.</v>
      </c>
      <c r="G216" s="16">
        <f>IFERROR(__xludf.DUMMYFUNCTION("""COMPUTED_VALUE"""),0.0)</f>
        <v>0</v>
      </c>
      <c r="H216" s="16"/>
      <c r="I216" s="16"/>
      <c r="J216" s="16"/>
      <c r="K216" s="16"/>
      <c r="L216" s="16"/>
      <c r="M216" s="16"/>
      <c r="N216" s="16"/>
      <c r="O216" s="16"/>
      <c r="P216" s="16"/>
      <c r="Q216" s="16"/>
      <c r="R216" s="16"/>
      <c r="S216" s="16"/>
      <c r="T216" s="16"/>
      <c r="U216" s="16"/>
      <c r="V216" s="16"/>
      <c r="W216" s="16"/>
      <c r="X216" s="16"/>
      <c r="Y216" s="16"/>
      <c r="Z216" s="16"/>
    </row>
    <row r="217">
      <c r="A217" s="16" t="str">
        <f>IFERROR(__xludf.DUMMYFUNCTION("""COMPUTED_VALUE"""),"Royal Amulet Of Heatmore")</f>
        <v>Royal Amulet Of Heatmore</v>
      </c>
      <c r="B217" s="16"/>
      <c r="C217" s="16"/>
      <c r="D217" s="16" t="str">
        <f>IFERROR(__xludf.DUMMYFUNCTION("""COMPUTED_VALUE"""),"Neck")</f>
        <v>Neck</v>
      </c>
      <c r="E217" s="16">
        <f>IFERROR(__xludf.DUMMYFUNCTION("""COMPUTED_VALUE"""),1.0)</f>
        <v>1</v>
      </c>
      <c r="F217" s="16" t="str">
        <f>IFERROR(__xludf.DUMMYFUNCTION("""COMPUTED_VALUE""")," ++ immune to fire dmg")</f>
        <v> ++ immune to fire dmg</v>
      </c>
      <c r="G217" s="16">
        <f>IFERROR(__xludf.DUMMYFUNCTION("""COMPUTED_VALUE"""),0.0)</f>
        <v>0</v>
      </c>
      <c r="H217" s="16"/>
      <c r="I217" s="16"/>
      <c r="J217" s="16"/>
      <c r="K217" s="16"/>
      <c r="L217" s="16"/>
      <c r="M217" s="16"/>
      <c r="N217" s="16"/>
      <c r="O217" s="16"/>
      <c r="P217" s="16"/>
      <c r="Q217" s="16"/>
      <c r="R217" s="16"/>
      <c r="S217" s="16"/>
      <c r="T217" s="16"/>
      <c r="U217" s="16"/>
      <c r="V217" s="16"/>
      <c r="W217" s="16"/>
      <c r="X217" s="16"/>
      <c r="Y217" s="16"/>
      <c r="Z217" s="16"/>
    </row>
    <row r="218">
      <c r="A218" s="16" t="str">
        <f>IFERROR(__xludf.DUMMYFUNCTION("""COMPUTED_VALUE"""),"Royal Guard Axe")</f>
        <v>Royal Guard Axe</v>
      </c>
      <c r="B218" s="16" t="str">
        <f>IFERROR(__xludf.DUMMYFUNCTION("""COMPUTED_VALUE"""),"Quest Item")</f>
        <v>Quest Item</v>
      </c>
      <c r="C218" s="16"/>
      <c r="D218" s="16" t="str">
        <f>IFERROR(__xludf.DUMMYFUNCTION("""COMPUTED_VALUE"""),"Hand")</f>
        <v>Hand</v>
      </c>
      <c r="E218" s="16">
        <f>IFERROR(__xludf.DUMMYFUNCTION("""COMPUTED_VALUE"""),200.0)</f>
        <v>200</v>
      </c>
      <c r="F218" s="16" t="str">
        <f>IFERROR(__xludf.DUMMYFUNCTION("""COMPUTED_VALUE"""),"DMG: +50000, Light DMG: +50000, Celestial DMG: +50000 ++X4 additional Weapon Damage. +-Cannot be duplicated.")</f>
        <v>DMG: +50000, Light DMG: +50000, Celestial DMG: +50000 ++X4 additional Weapon Damage. +-Cannot be duplicated.</v>
      </c>
      <c r="G218" s="16">
        <f>IFERROR(__xludf.DUMMYFUNCTION("""COMPUTED_VALUE"""),4.485E8)</f>
        <v>448500000</v>
      </c>
      <c r="H218" s="16"/>
      <c r="I218" s="16"/>
      <c r="J218" s="16"/>
      <c r="K218" s="16"/>
      <c r="L218" s="16"/>
      <c r="M218" s="16"/>
      <c r="N218" s="16"/>
      <c r="O218" s="16"/>
      <c r="P218" s="16"/>
      <c r="Q218" s="16"/>
      <c r="R218" s="16"/>
      <c r="S218" s="16"/>
      <c r="T218" s="16"/>
      <c r="U218" s="16"/>
      <c r="V218" s="16"/>
      <c r="W218" s="16"/>
      <c r="X218" s="16"/>
      <c r="Y218" s="16"/>
      <c r="Z218" s="16"/>
    </row>
    <row r="219">
      <c r="A219" s="16" t="str">
        <f>IFERROR(__xludf.DUMMYFUNCTION("""COMPUTED_VALUE"""),"Royal Guard Helmet")</f>
        <v>Royal Guard Helmet</v>
      </c>
      <c r="B219" s="16" t="str">
        <f>IFERROR(__xludf.DUMMYFUNCTION("""COMPUTED_VALUE"""),"Quest Item")</f>
        <v>Quest Item</v>
      </c>
      <c r="C219" s="16"/>
      <c r="D219" s="16" t="str">
        <f>IFERROR(__xludf.DUMMYFUNCTION("""COMPUTED_VALUE"""),"Head")</f>
        <v>Head</v>
      </c>
      <c r="E219" s="16">
        <f>IFERROR(__xludf.DUMMYFUNCTION("""COMPUTED_VALUE"""),200.0)</f>
        <v>200</v>
      </c>
      <c r="F219"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19" s="16">
        <f>IFERROR(__xludf.DUMMYFUNCTION("""COMPUTED_VALUE"""),4.485E8)</f>
        <v>448500000</v>
      </c>
      <c r="H219" s="16"/>
      <c r="I219" s="16"/>
      <c r="J219" s="16"/>
      <c r="K219" s="16"/>
      <c r="L219" s="16"/>
      <c r="M219" s="16"/>
      <c r="N219" s="16"/>
      <c r="O219" s="16"/>
      <c r="P219" s="16"/>
      <c r="Q219" s="16"/>
      <c r="R219" s="16"/>
      <c r="S219" s="16"/>
      <c r="T219" s="16"/>
      <c r="U219" s="16"/>
      <c r="V219" s="16"/>
      <c r="W219" s="16"/>
      <c r="X219" s="16"/>
      <c r="Y219" s="16"/>
      <c r="Z219" s="16"/>
    </row>
    <row r="220">
      <c r="A220" s="16" t="str">
        <f>IFERROR(__xludf.DUMMYFUNCTION("""COMPUTED_VALUE"""),"Royal Guard Chestplate")</f>
        <v>Royal Guard Chestplate</v>
      </c>
      <c r="B220" s="16" t="str">
        <f>IFERROR(__xludf.DUMMYFUNCTION("""COMPUTED_VALUE"""),"Quest Item")</f>
        <v>Quest Item</v>
      </c>
      <c r="C220" s="16"/>
      <c r="D220" s="16" t="str">
        <f>IFERROR(__xludf.DUMMYFUNCTION("""COMPUTED_VALUE"""),"Torso")</f>
        <v>Torso</v>
      </c>
      <c r="E220" s="16">
        <f>IFERROR(__xludf.DUMMYFUNCTION("""COMPUTED_VALUE"""),200.0)</f>
        <v>200</v>
      </c>
      <c r="F220"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0" s="16">
        <f>IFERROR(__xludf.DUMMYFUNCTION("""COMPUTED_VALUE"""),4.485E8)</f>
        <v>448500000</v>
      </c>
      <c r="H220" s="16"/>
      <c r="I220" s="16"/>
      <c r="J220" s="16"/>
      <c r="K220" s="16"/>
      <c r="L220" s="16"/>
      <c r="M220" s="16"/>
      <c r="N220" s="16"/>
      <c r="O220" s="16"/>
      <c r="P220" s="16"/>
      <c r="Q220" s="16"/>
      <c r="R220" s="16"/>
      <c r="S220" s="16"/>
      <c r="T220" s="16"/>
      <c r="U220" s="16"/>
      <c r="V220" s="16"/>
      <c r="W220" s="16"/>
      <c r="X220" s="16"/>
      <c r="Y220" s="16"/>
      <c r="Z220" s="16"/>
    </row>
    <row r="221">
      <c r="A221" s="16" t="str">
        <f>IFERROR(__xludf.DUMMYFUNCTION("""COMPUTED_VALUE"""),"Royal Guard Boots")</f>
        <v>Royal Guard Boots</v>
      </c>
      <c r="B221" s="16" t="str">
        <f>IFERROR(__xludf.DUMMYFUNCTION("""COMPUTED_VALUE"""),"Quest Item")</f>
        <v>Quest Item</v>
      </c>
      <c r="C221" s="16"/>
      <c r="D221" s="16" t="str">
        <f>IFERROR(__xludf.DUMMYFUNCTION("""COMPUTED_VALUE"""),"Feet")</f>
        <v>Feet</v>
      </c>
      <c r="E221" s="16">
        <f>IFERROR(__xludf.DUMMYFUNCTION("""COMPUTED_VALUE"""),200.0)</f>
        <v>200</v>
      </c>
      <c r="F221"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1" s="16">
        <f>IFERROR(__xludf.DUMMYFUNCTION("""COMPUTED_VALUE"""),4.485E8)</f>
        <v>448500000</v>
      </c>
      <c r="H221" s="16"/>
      <c r="I221" s="16"/>
      <c r="J221" s="16"/>
      <c r="K221" s="16"/>
      <c r="L221" s="16"/>
      <c r="M221" s="16"/>
      <c r="N221" s="16"/>
      <c r="O221" s="16"/>
      <c r="P221" s="16"/>
      <c r="Q221" s="16"/>
      <c r="R221" s="16"/>
      <c r="S221" s="16"/>
      <c r="T221" s="16"/>
      <c r="U221" s="16"/>
      <c r="V221" s="16"/>
      <c r="W221" s="16"/>
      <c r="X221" s="16"/>
      <c r="Y221" s="16"/>
      <c r="Z221" s="16"/>
    </row>
    <row r="222">
      <c r="A222" s="16" t="str">
        <f>IFERROR(__xludf.DUMMYFUNCTION("""COMPUTED_VALUE"""),"Royal Guard Greaves")</f>
        <v>Royal Guard Greaves</v>
      </c>
      <c r="B222" s="16" t="str">
        <f>IFERROR(__xludf.DUMMYFUNCTION("""COMPUTED_VALUE"""),"Quest Item")</f>
        <v>Quest Item</v>
      </c>
      <c r="C222" s="16"/>
      <c r="D222" s="16" t="str">
        <f>IFERROR(__xludf.DUMMYFUNCTION("""COMPUTED_VALUE"""),"Legs")</f>
        <v>Legs</v>
      </c>
      <c r="E222" s="16">
        <f>IFERROR(__xludf.DUMMYFUNCTION("""COMPUTED_VALUE"""),200.0)</f>
        <v>200</v>
      </c>
      <c r="F222" s="16" t="str">
        <f>IFERROR(__xludf.DUMMYFUNCTION("""COMPUTED_VALUE"""),"DEF: +50000, Light DEF: +50000, Celestial DEF: +50000 ++X4 Additional Weapon damage. ++X2 Additional Defense. +-Cannot be duplicated.")</f>
        <v>DEF: +50000, Light DEF: +50000, Celestial DEF: +50000 ++X4 Additional Weapon damage. ++X2 Additional Defense. +-Cannot be duplicated.</v>
      </c>
      <c r="G222" s="16">
        <f>IFERROR(__xludf.DUMMYFUNCTION("""COMPUTED_VALUE"""),4.485E8)</f>
        <v>448500000</v>
      </c>
      <c r="H222" s="16"/>
      <c r="I222" s="16"/>
      <c r="J222" s="16"/>
      <c r="K222" s="16"/>
      <c r="L222" s="16"/>
      <c r="M222" s="16"/>
      <c r="N222" s="16"/>
      <c r="O222" s="16"/>
      <c r="P222" s="16"/>
      <c r="Q222" s="16"/>
      <c r="R222" s="16"/>
      <c r="S222" s="16"/>
      <c r="T222" s="16"/>
      <c r="U222" s="16"/>
      <c r="V222" s="16"/>
      <c r="W222" s="16"/>
      <c r="X222" s="16"/>
      <c r="Y222" s="16"/>
      <c r="Z222" s="16"/>
    </row>
    <row r="223">
      <c r="A223" s="16" t="str">
        <f>IFERROR(__xludf.DUMMYFUNCTION("""COMPUTED_VALUE"""),"Royal Keeper Shield")</f>
        <v>Royal Keeper Shield</v>
      </c>
      <c r="B223" s="16"/>
      <c r="C223" s="16" t="str">
        <f>IFERROR(__xludf.DUMMYFUNCTION("""COMPUTED_VALUE"""),"Towershield")</f>
        <v>Towershield</v>
      </c>
      <c r="D223" s="16" t="str">
        <f>IFERROR(__xludf.DUMMYFUNCTION("""COMPUTED_VALUE"""),"Hand")</f>
        <v>Hand</v>
      </c>
      <c r="E223" s="16">
        <f>IFERROR(__xludf.DUMMYFUNCTION("""COMPUTED_VALUE"""),20.0)</f>
        <v>20</v>
      </c>
      <c r="F223" s="16" t="str">
        <f>IFERROR(__xludf.DUMMYFUNCTION("""COMPUTED_VALUE"""),"DEF: +1000 ++Royal Block - Gan invulnerability to all damage for 3 rounds of battle. 5000SP Will Succeed.")</f>
        <v>DEF: +1000 ++Royal Block - Gan invulnerability to all damage for 3 rounds of battle. 5000SP Will Succeed.</v>
      </c>
      <c r="G223" s="16">
        <f>IFERROR(__xludf.DUMMYFUNCTION("""COMPUTED_VALUE"""),10000.0)</f>
        <v>10000</v>
      </c>
      <c r="H223" s="16"/>
      <c r="I223" s="16"/>
      <c r="J223" s="16"/>
      <c r="K223" s="16"/>
      <c r="L223" s="16"/>
      <c r="M223" s="16"/>
      <c r="N223" s="16"/>
      <c r="O223" s="16"/>
      <c r="P223" s="16"/>
      <c r="Q223" s="16"/>
      <c r="R223" s="16"/>
      <c r="S223" s="16"/>
      <c r="T223" s="16"/>
      <c r="U223" s="16"/>
      <c r="V223" s="16"/>
      <c r="W223" s="16"/>
      <c r="X223" s="16"/>
      <c r="Y223" s="16"/>
      <c r="Z223" s="16"/>
    </row>
    <row r="224">
      <c r="A224" s="16" t="str">
        <f>IFERROR(__xludf.DUMMYFUNCTION("""COMPUTED_VALUE"""),"Royal Keeper Spear")</f>
        <v>Royal Keeper Spear</v>
      </c>
      <c r="B224" s="16"/>
      <c r="C224" s="16" t="str">
        <f>IFERROR(__xludf.DUMMYFUNCTION("""COMPUTED_VALUE"""),"Spear")</f>
        <v>Spear</v>
      </c>
      <c r="D224" s="16" t="str">
        <f>IFERROR(__xludf.DUMMYFUNCTION("""COMPUTED_VALUE"""),"Hand")</f>
        <v>Hand</v>
      </c>
      <c r="E224" s="16">
        <f>IFERROR(__xludf.DUMMYFUNCTION("""COMPUTED_VALUE"""),400.0)</f>
        <v>400</v>
      </c>
      <c r="F224" s="16" t="str">
        <f>IFERROR(__xludf.DUMMYFUNCTION("""COMPUTED_VALUE"""),"DMG: +10000, Fire DMG: +10000 ++Royal Stance -  Shuttering 1 for the first round of battle.")</f>
        <v>DMG: +10000, Fire DMG: +10000 ++Royal Stance -  Shuttering 1 for the first round of battle.</v>
      </c>
      <c r="G224" s="16">
        <f>IFERROR(__xludf.DUMMYFUNCTION("""COMPUTED_VALUE"""),7800000.0)</f>
        <v>7800000</v>
      </c>
      <c r="H224" s="16"/>
      <c r="I224" s="16"/>
      <c r="J224" s="16"/>
      <c r="K224" s="16"/>
      <c r="L224" s="16"/>
      <c r="M224" s="16"/>
      <c r="N224" s="16"/>
      <c r="O224" s="16"/>
      <c r="P224" s="16"/>
      <c r="Q224" s="16"/>
      <c r="R224" s="16"/>
      <c r="S224" s="16"/>
      <c r="T224" s="16"/>
      <c r="U224" s="16"/>
      <c r="V224" s="16"/>
      <c r="W224" s="16"/>
      <c r="X224" s="16"/>
      <c r="Y224" s="16"/>
      <c r="Z224" s="16"/>
    </row>
    <row r="225">
      <c r="A225" s="16" t="str">
        <f>IFERROR(__xludf.DUMMYFUNCTION("""COMPUTED_VALUE"""),"Royal Sword of Chaotic Shadows")</f>
        <v>Royal Sword of Chaotic Shadows</v>
      </c>
      <c r="B225" s="16"/>
      <c r="C225" s="16" t="str">
        <f>IFERROR(__xludf.DUMMYFUNCTION("""COMPUTED_VALUE"""),"Sword")</f>
        <v>Sword</v>
      </c>
      <c r="D225" s="16" t="str">
        <f>IFERROR(__xludf.DUMMYFUNCTION("""COMPUTED_VALUE"""),"Hand")</f>
        <v>Hand</v>
      </c>
      <c r="E225" s="16">
        <f>IFERROR(__xludf.DUMMYFUNCTION("""COMPUTED_VALUE"""),900.0)</f>
        <v>900</v>
      </c>
      <c r="F225" s="16" t="str">
        <f>IFERROR(__xludf.DUMMYFUNCTION("""COMPUTED_VALUE"""),"DMG: +15000, Dark DMG: +15000, Chaos DMG: +15000 ++Dark and Chaos Weapons and Spells deal an additional X2 damage while this item is equipped.. +-Cannot be duplicated.")</f>
        <v>DMG: +15000, Dark DMG: +15000, Chaos DMG: +15000 ++Dark and Chaos Weapons and Spells deal an additional X2 damage while this item is equipped.. +-Cannot be duplicated.</v>
      </c>
      <c r="G225" s="16">
        <f>IFERROR(__xludf.DUMMYFUNCTION("""COMPUTED_VALUE"""),4.005E7)</f>
        <v>40050000</v>
      </c>
      <c r="H225" s="16"/>
      <c r="I225" s="16"/>
      <c r="J225" s="16"/>
      <c r="K225" s="16"/>
      <c r="L225" s="16"/>
      <c r="M225" s="16"/>
      <c r="N225" s="16"/>
      <c r="O225" s="16"/>
      <c r="P225" s="16"/>
      <c r="Q225" s="16"/>
      <c r="R225" s="16"/>
      <c r="S225" s="16"/>
      <c r="T225" s="16"/>
      <c r="U225" s="16"/>
      <c r="V225" s="16"/>
      <c r="W225" s="16"/>
      <c r="X225" s="16"/>
      <c r="Y225" s="16"/>
      <c r="Z225" s="16"/>
    </row>
    <row r="226">
      <c r="A226" s="16" t="str">
        <f>IFERROR(__xludf.DUMMYFUNCTION("""COMPUTED_VALUE"""),"Rusty sword")</f>
        <v>Rusty sword</v>
      </c>
      <c r="B226" s="16"/>
      <c r="C226" s="16" t="str">
        <f>IFERROR(__xludf.DUMMYFUNCTION("""COMPUTED_VALUE"""),"Sword")</f>
        <v>Sword</v>
      </c>
      <c r="D226" s="16" t="str">
        <f>IFERROR(__xludf.DUMMYFUNCTION("""COMPUTED_VALUE"""),"Hand")</f>
        <v>Hand</v>
      </c>
      <c r="E226" s="16">
        <f>IFERROR(__xludf.DUMMYFUNCTION("""COMPUTED_VALUE"""),1.0)</f>
        <v>1</v>
      </c>
      <c r="F226" s="16" t="str">
        <f>IFERROR(__xludf.DUMMYFUNCTION("""COMPUTED_VALUE"""),"DMG: +60 ++25% chance to break with each use")</f>
        <v>DMG: +60 ++25% chance to break with each use</v>
      </c>
      <c r="G226" s="16">
        <f>IFERROR(__xludf.DUMMYFUNCTION("""COMPUTED_VALUE"""),0.0)</f>
        <v>0</v>
      </c>
      <c r="H226" s="16"/>
      <c r="I226" s="16"/>
      <c r="J226" s="16"/>
      <c r="K226" s="16"/>
      <c r="L226" s="16"/>
      <c r="M226" s="16"/>
      <c r="N226" s="16"/>
      <c r="O226" s="16"/>
      <c r="P226" s="16"/>
      <c r="Q226" s="16"/>
      <c r="R226" s="16"/>
      <c r="S226" s="16"/>
      <c r="T226" s="16"/>
      <c r="U226" s="16"/>
      <c r="V226" s="16"/>
      <c r="W226" s="16"/>
      <c r="X226" s="16"/>
      <c r="Y226" s="16"/>
      <c r="Z226" s="16"/>
    </row>
    <row r="227">
      <c r="A227" s="16" t="str">
        <f>IFERROR(__xludf.DUMMYFUNCTION("""COMPUTED_VALUE"""),"Saber Toothed Sword")</f>
        <v>Saber Toothed Sword</v>
      </c>
      <c r="B227" s="16" t="str">
        <f>IFERROR(__xludf.DUMMYFUNCTION("""COMPUTED_VALUE"""),"A sword crafted from the teeth of a saber toothed cat.")</f>
        <v>A sword crafted from the teeth of a saber toothed cat.</v>
      </c>
      <c r="C227" s="16" t="str">
        <f>IFERROR(__xludf.DUMMYFUNCTION("""COMPUTED_VALUE"""),"Sword")</f>
        <v>Sword</v>
      </c>
      <c r="D227" s="16" t="str">
        <f>IFERROR(__xludf.DUMMYFUNCTION("""COMPUTED_VALUE"""),"Hand")</f>
        <v>Hand</v>
      </c>
      <c r="E227" s="16">
        <f>IFERROR(__xludf.DUMMYFUNCTION("""COMPUTED_VALUE"""),2200.0)</f>
        <v>2200</v>
      </c>
      <c r="F227" s="16" t="str">
        <f>IFERROR(__xludf.DUMMYFUNCTION("""COMPUTED_VALUE"""),"DMG: +60000, Blood DMG: +50000 ++X2 additional blood damage.")</f>
        <v>DMG: +60000, Blood DMG: +50000 ++X2 additional blood damage.</v>
      </c>
      <c r="G227" s="16">
        <f>IFERROR(__xludf.DUMMYFUNCTION("""COMPUTED_VALUE"""),2.409E8)</f>
        <v>240900000</v>
      </c>
      <c r="H227" s="16"/>
      <c r="I227" s="16"/>
      <c r="J227" s="16"/>
      <c r="K227" s="16"/>
      <c r="L227" s="16"/>
      <c r="M227" s="16"/>
      <c r="N227" s="16"/>
      <c r="O227" s="16"/>
      <c r="P227" s="16"/>
      <c r="Q227" s="16"/>
      <c r="R227" s="16"/>
      <c r="S227" s="16"/>
      <c r="T227" s="16"/>
      <c r="U227" s="16"/>
      <c r="V227" s="16"/>
      <c r="W227" s="16"/>
      <c r="X227" s="16"/>
      <c r="Y227" s="16"/>
      <c r="Z227" s="16"/>
    </row>
    <row r="228">
      <c r="A228" s="16" t="str">
        <f>IFERROR(__xludf.DUMMYFUNCTION("""COMPUTED_VALUE"""),"Ancient Oni Chestplate")</f>
        <v>Ancient Oni Chestplate</v>
      </c>
      <c r="B228" s="16" t="str">
        <f>IFERROR(__xludf.DUMMYFUNCTION("""COMPUTED_VALUE"""),"An ancient relic to Zhenmay")</f>
        <v>An ancient relic to Zhenmay</v>
      </c>
      <c r="C228" s="16"/>
      <c r="D228" s="16" t="str">
        <f>IFERROR(__xludf.DUMMYFUNCTION("""COMPUTED_VALUE"""),"Torso")</f>
        <v>Torso</v>
      </c>
      <c r="E228" s="16">
        <f>IFERROR(__xludf.DUMMYFUNCTION("""COMPUTED_VALUE"""),200.0)</f>
        <v>200</v>
      </c>
      <c r="F228"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duplicated or forged.")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duplicated or forged.</v>
      </c>
      <c r="G228" s="16">
        <f>IFERROR(__xludf.DUMMYFUNCTION("""COMPUTED_VALUE"""),5.104E8)</f>
        <v>510400000</v>
      </c>
      <c r="H228" s="16"/>
      <c r="I228" s="16"/>
      <c r="J228" s="16"/>
      <c r="K228" s="16"/>
      <c r="L228" s="16"/>
      <c r="M228" s="16"/>
      <c r="N228" s="16"/>
      <c r="O228" s="16"/>
      <c r="P228" s="16"/>
      <c r="Q228" s="16"/>
      <c r="R228" s="16"/>
      <c r="S228" s="16"/>
      <c r="T228" s="16"/>
      <c r="U228" s="16"/>
      <c r="V228" s="16"/>
      <c r="W228" s="16"/>
      <c r="X228" s="16"/>
      <c r="Y228" s="16"/>
      <c r="Z228" s="16"/>
    </row>
    <row r="229">
      <c r="A229" s="16" t="str">
        <f>IFERROR(__xludf.DUMMYFUNCTION("""COMPUTED_VALUE"""),"Scythe of Mischief ")</f>
        <v>Scythe of Mischief </v>
      </c>
      <c r="B229" s="16"/>
      <c r="C229" s="16" t="str">
        <f>IFERROR(__xludf.DUMMYFUNCTION("""COMPUTED_VALUE"""),"Scythe")</f>
        <v>Scythe</v>
      </c>
      <c r="D229" s="16" t="str">
        <f>IFERROR(__xludf.DUMMYFUNCTION("""COMPUTED_VALUE"""),"Hand")</f>
        <v>Hand</v>
      </c>
      <c r="E229" s="16">
        <f>IFERROR(__xludf.DUMMYFUNCTION("""COMPUTED_VALUE"""),200.0)</f>
        <v>200</v>
      </c>
      <c r="F229" s="16" t="str">
        <f>IFERROR(__xludf.DUMMYFUNCTION("""COMPUTED_VALUE"""),"DMG: +5000, Fire DMG: +5000, Dark DMG: +5000, Spirit DMG: +5000, Chaos DMG: +5000, Stasis DMG: +5000, Twilight DMG: +5000, Voodoo DMG: +5000, Blood DMG: +5000, Celestial DMG: +10000 ++Enemies deduct 2 from their rolls when targeting you. +-Cannot be dupli"&amp;"cated")</f>
        <v>DMG: +5000, Fire DMG: +5000, Dark DMG: +5000, Spirit DMG: +5000, Chaos DMG: +5000, Stasis DMG: +5000, Twilight DMG: +5000, Voodoo DMG: +5000, Blood DMG: +5000, Celestial DMG: +10000 ++Enemies deduct 2 from their rolls when targeting you. +-Cannot be duplicated</v>
      </c>
      <c r="G229" s="16">
        <f>IFERROR(__xludf.DUMMYFUNCTION("""COMPUTED_VALUE"""),5.995E7)</f>
        <v>59950000</v>
      </c>
      <c r="H229" s="16"/>
      <c r="I229" s="16"/>
      <c r="J229" s="16"/>
      <c r="K229" s="16"/>
      <c r="L229" s="16"/>
      <c r="M229" s="16"/>
      <c r="N229" s="16"/>
      <c r="O229" s="16"/>
      <c r="P229" s="16"/>
      <c r="Q229" s="16"/>
      <c r="R229" s="16"/>
      <c r="S229" s="16"/>
      <c r="T229" s="16"/>
      <c r="U229" s="16"/>
      <c r="V229" s="16"/>
      <c r="W229" s="16"/>
      <c r="X229" s="16"/>
      <c r="Y229" s="16"/>
      <c r="Z229" s="16"/>
    </row>
    <row r="230">
      <c r="A230" s="16" t="str">
        <f>IFERROR(__xludf.DUMMYFUNCTION("""COMPUTED_VALUE"""),"Sea Serpent Boots")</f>
        <v>Sea Serpent Boots</v>
      </c>
      <c r="B230" s="16"/>
      <c r="C230" s="16"/>
      <c r="D230" s="16" t="str">
        <f>IFERROR(__xludf.DUMMYFUNCTION("""COMPUTED_VALUE"""),"Feet")</f>
        <v>Feet</v>
      </c>
      <c r="E230" s="16">
        <f>IFERROR(__xludf.DUMMYFUNCTION("""COMPUTED_VALUE"""),100.0)</f>
        <v>100</v>
      </c>
      <c r="F230" s="16" t="str">
        <f>IFERROR(__xludf.DUMMYFUNCTION("""COMPUTED_VALUE"""),"DEF: +2500, Water DEF: +2500 ++X2 additional water damage for self.")</f>
        <v>DEF: +2500, Water DEF: +2500 ++X2 additional water damage for self.</v>
      </c>
      <c r="G230" s="16">
        <f>IFERROR(__xludf.DUMMYFUNCTION("""COMPUTED_VALUE"""),450000.0)</f>
        <v>450000</v>
      </c>
      <c r="H230" s="16"/>
      <c r="I230" s="16"/>
      <c r="J230" s="16"/>
      <c r="K230" s="16"/>
      <c r="L230" s="16"/>
      <c r="M230" s="16"/>
      <c r="N230" s="16"/>
      <c r="O230" s="16"/>
      <c r="P230" s="16"/>
      <c r="Q230" s="16"/>
      <c r="R230" s="16"/>
      <c r="S230" s="16"/>
      <c r="T230" s="16"/>
      <c r="U230" s="16"/>
      <c r="V230" s="16"/>
      <c r="W230" s="16"/>
      <c r="X230" s="16"/>
      <c r="Y230" s="16"/>
      <c r="Z230" s="16"/>
    </row>
    <row r="231">
      <c r="A231" s="16" t="str">
        <f>IFERROR(__xludf.DUMMYFUNCTION("""COMPUTED_VALUE"""),"Sea Serpent Pauldrons")</f>
        <v>Sea Serpent Pauldrons</v>
      </c>
      <c r="B231" s="16"/>
      <c r="C231" s="16"/>
      <c r="D231" s="16" t="str">
        <f>IFERROR(__xludf.DUMMYFUNCTION("""COMPUTED_VALUE"""),"Shoulders")</f>
        <v>Shoulders</v>
      </c>
      <c r="E231" s="16">
        <f>IFERROR(__xludf.DUMMYFUNCTION("""COMPUTED_VALUE"""),100.0)</f>
        <v>100</v>
      </c>
      <c r="F231" s="16" t="str">
        <f>IFERROR(__xludf.DUMMYFUNCTION("""COMPUTED_VALUE"""),"DEF: +2500, Water DEF: +2500 ++X2 additional water damage for self.")</f>
        <v>DEF: +2500, Water DEF: +2500 ++X2 additional water damage for self.</v>
      </c>
      <c r="G231" s="16">
        <f>IFERROR(__xludf.DUMMYFUNCTION("""COMPUTED_VALUE"""),450000.0)</f>
        <v>450000</v>
      </c>
      <c r="H231" s="16"/>
      <c r="I231" s="16"/>
      <c r="J231" s="16"/>
      <c r="K231" s="16"/>
      <c r="L231" s="16"/>
      <c r="M231" s="16"/>
      <c r="N231" s="16"/>
      <c r="O231" s="16"/>
      <c r="P231" s="16"/>
      <c r="Q231" s="16"/>
      <c r="R231" s="16"/>
      <c r="S231" s="16"/>
      <c r="T231" s="16"/>
      <c r="U231" s="16"/>
      <c r="V231" s="16"/>
      <c r="W231" s="16"/>
      <c r="X231" s="16"/>
      <c r="Y231" s="16"/>
      <c r="Z231" s="16"/>
    </row>
    <row r="232">
      <c r="A232" s="16" t="str">
        <f>IFERROR(__xludf.DUMMYFUNCTION("""COMPUTED_VALUE"""),"Sea Serpent Vambrace")</f>
        <v>Sea Serpent Vambrace</v>
      </c>
      <c r="B232" s="16"/>
      <c r="C232" s="16"/>
      <c r="D232" s="16" t="str">
        <f>IFERROR(__xludf.DUMMYFUNCTION("""COMPUTED_VALUE"""),"Arms")</f>
        <v>Arms</v>
      </c>
      <c r="E232" s="16">
        <f>IFERROR(__xludf.DUMMYFUNCTION("""COMPUTED_VALUE"""),100.0)</f>
        <v>100</v>
      </c>
      <c r="F232" s="16" t="str">
        <f>IFERROR(__xludf.DUMMYFUNCTION("""COMPUTED_VALUE"""),"DEF: +2500, Water DEF: +2500 ++X2 additional water damage for self.")</f>
        <v>DEF: +2500, Water DEF: +2500 ++X2 additional water damage for self.</v>
      </c>
      <c r="G232" s="16">
        <f>IFERROR(__xludf.DUMMYFUNCTION("""COMPUTED_VALUE"""),450000.0)</f>
        <v>450000</v>
      </c>
      <c r="H232" s="16"/>
      <c r="I232" s="16"/>
      <c r="J232" s="16"/>
      <c r="K232" s="16"/>
      <c r="L232" s="16"/>
      <c r="M232" s="16"/>
      <c r="N232" s="16"/>
      <c r="O232" s="16"/>
      <c r="P232" s="16"/>
      <c r="Q232" s="16"/>
      <c r="R232" s="16"/>
      <c r="S232" s="16"/>
      <c r="T232" s="16"/>
      <c r="U232" s="16"/>
      <c r="V232" s="16"/>
      <c r="W232" s="16"/>
      <c r="X232" s="16"/>
      <c r="Y232" s="16"/>
      <c r="Z232" s="16"/>
    </row>
    <row r="233">
      <c r="A233" s="16" t="str">
        <f>IFERROR(__xludf.DUMMYFUNCTION("""COMPUTED_VALUE"""),"Sea Serpents Mythical Chestplate")</f>
        <v>Sea Serpents Mythical Chestplate</v>
      </c>
      <c r="B233" s="16"/>
      <c r="C233" s="16"/>
      <c r="D233" s="16" t="str">
        <f>IFERROR(__xludf.DUMMYFUNCTION("""COMPUTED_VALUE"""),"Torso")</f>
        <v>Torso</v>
      </c>
      <c r="E233" s="16">
        <f>IFERROR(__xludf.DUMMYFUNCTION("""COMPUTED_VALUE"""),200.0)</f>
        <v>200</v>
      </c>
      <c r="F233" s="16" t="str">
        <f>IFERROR(__xludf.DUMMYFUNCTION("""COMPUTED_VALUE"""),"DEF: +5000, Water DEF: +5000 ++X2 additional water damage for self. ++X4 Water damage for self and allies if you have all Sea Serpent Equipment Equipped.")</f>
        <v>DEF: +5000, Water DEF: +5000 ++X2 additional water damage for self. ++X4 Water damage for self and allies if you have all Sea Serpent Equipment Equipped.</v>
      </c>
      <c r="G233" s="16">
        <f>IFERROR(__xludf.DUMMYFUNCTION("""COMPUTED_VALUE"""),1900000.0)</f>
        <v>1900000</v>
      </c>
      <c r="H233" s="16"/>
      <c r="I233" s="16"/>
      <c r="J233" s="16"/>
      <c r="K233" s="16"/>
      <c r="L233" s="16"/>
      <c r="M233" s="16"/>
      <c r="N233" s="16"/>
      <c r="O233" s="16"/>
      <c r="P233" s="16"/>
      <c r="Q233" s="16"/>
      <c r="R233" s="16"/>
      <c r="S233" s="16"/>
      <c r="T233" s="16"/>
      <c r="U233" s="16"/>
      <c r="V233" s="16"/>
      <c r="W233" s="16"/>
      <c r="X233" s="16"/>
      <c r="Y233" s="16"/>
      <c r="Z233" s="16"/>
    </row>
    <row r="234">
      <c r="A234" s="16" t="str">
        <f>IFERROR(__xludf.DUMMYFUNCTION("""COMPUTED_VALUE"""),"Shadow Flute")</f>
        <v>Shadow Flute</v>
      </c>
      <c r="B234" s="16"/>
      <c r="C234" s="16"/>
      <c r="D234" s="16" t="str">
        <f>IFERROR(__xludf.DUMMYFUNCTION("""COMPUTED_VALUE"""),"Hand")</f>
        <v>Hand</v>
      </c>
      <c r="E234" s="16">
        <f>IFERROR(__xludf.DUMMYFUNCTION("""COMPUTED_VALUE"""),1.0)</f>
        <v>1</v>
      </c>
      <c r="F234" s="16" t="str">
        <f>IFERROR(__xludf.DUMMYFUNCTION("""COMPUTED_VALUE""")," ++Can summon a chaotic shadow gnome to battle.")</f>
        <v> ++Can summon a chaotic shadow gnome to battle.</v>
      </c>
      <c r="G234" s="16">
        <f>IFERROR(__xludf.DUMMYFUNCTION("""COMPUTED_VALUE"""),0.0)</f>
        <v>0</v>
      </c>
      <c r="H234" s="16"/>
      <c r="I234" s="16"/>
      <c r="J234" s="16"/>
      <c r="K234" s="16"/>
      <c r="L234" s="16"/>
      <c r="M234" s="16"/>
      <c r="N234" s="16"/>
      <c r="O234" s="16"/>
      <c r="P234" s="16"/>
      <c r="Q234" s="16"/>
      <c r="R234" s="16"/>
      <c r="S234" s="16"/>
      <c r="T234" s="16"/>
      <c r="U234" s="16"/>
      <c r="V234" s="16"/>
      <c r="W234" s="16"/>
      <c r="X234" s="16"/>
      <c r="Y234" s="16"/>
      <c r="Z234" s="16"/>
    </row>
    <row r="235">
      <c r="A235" s="16" t="str">
        <f>IFERROR(__xludf.DUMMYFUNCTION("""COMPUTED_VALUE"""),"Shadow Kings Sword")</f>
        <v>Shadow Kings Sword</v>
      </c>
      <c r="B235" s="16"/>
      <c r="C235" s="16" t="str">
        <f>IFERROR(__xludf.DUMMYFUNCTION("""COMPUTED_VALUE"""),"Sword")</f>
        <v>Sword</v>
      </c>
      <c r="D235" s="16" t="str">
        <f>IFERROR(__xludf.DUMMYFUNCTION("""COMPUTED_VALUE"""),"Hand")</f>
        <v>Hand</v>
      </c>
      <c r="E235" s="16">
        <f>IFERROR(__xludf.DUMMYFUNCTION("""COMPUTED_VALUE"""),400.0)</f>
        <v>400</v>
      </c>
      <c r="F235" s="16" t="str">
        <f>IFERROR(__xludf.DUMMYFUNCTION("""COMPUTED_VALUE"""),"DMG: +10000, Dark DMG: +5000, Chaos DMG: +5000")</f>
        <v>DMG: +10000, Dark DMG: +5000, Chaos DMG: +5000</v>
      </c>
      <c r="G235" s="16">
        <f>IFERROR(__xludf.DUMMYFUNCTION("""COMPUTED_VALUE"""),7800000.0)</f>
        <v>7800000</v>
      </c>
      <c r="H235" s="16"/>
      <c r="I235" s="16"/>
      <c r="J235" s="16"/>
      <c r="K235" s="16"/>
      <c r="L235" s="16"/>
      <c r="M235" s="16"/>
      <c r="N235" s="16"/>
      <c r="O235" s="16"/>
      <c r="P235" s="16"/>
      <c r="Q235" s="16"/>
      <c r="R235" s="16"/>
      <c r="S235" s="16"/>
      <c r="T235" s="16"/>
      <c r="U235" s="16"/>
      <c r="V235" s="16"/>
      <c r="W235" s="16"/>
      <c r="X235" s="16"/>
      <c r="Y235" s="16"/>
      <c r="Z235" s="16"/>
    </row>
    <row r="236">
      <c r="A236" s="16" t="str">
        <f>IFERROR(__xludf.DUMMYFUNCTION("""COMPUTED_VALUE"""),"Shield of Guarding Smite")</f>
        <v>Shield of Guarding Smite</v>
      </c>
      <c r="B236" s="16"/>
      <c r="C236" s="16" t="str">
        <f>IFERROR(__xludf.DUMMYFUNCTION("""COMPUTED_VALUE"""),"Towershield")</f>
        <v>Towershield</v>
      </c>
      <c r="D236" s="16" t="str">
        <f>IFERROR(__xludf.DUMMYFUNCTION("""COMPUTED_VALUE"""),"Hand")</f>
        <v>Hand</v>
      </c>
      <c r="E236" s="16">
        <f>IFERROR(__xludf.DUMMYFUNCTION("""COMPUTED_VALUE"""),2000.0)</f>
        <v>2000</v>
      </c>
      <c r="F236" s="16" t="str">
        <f>IFERROR(__xludf.DUMMYFUNCTION("""COMPUTED_VALUE"""),"DEF: +100000 ++75% chance to melt an enemies weapon that dealt damage to you. +-Cannot be duplicated")</f>
        <v>DEF: +100000 ++75% chance to melt an enemies weapon that dealt damage to you. +-Cannot be duplicated</v>
      </c>
      <c r="G236" s="16">
        <f>IFERROR(__xludf.DUMMYFUNCTION("""COMPUTED_VALUE"""),1.99E8)</f>
        <v>199000000</v>
      </c>
      <c r="H236" s="16"/>
      <c r="I236" s="16"/>
      <c r="J236" s="16"/>
      <c r="K236" s="16"/>
      <c r="L236" s="16"/>
      <c r="M236" s="16"/>
      <c r="N236" s="16"/>
      <c r="O236" s="16"/>
      <c r="P236" s="16"/>
      <c r="Q236" s="16"/>
      <c r="R236" s="16"/>
      <c r="S236" s="16"/>
      <c r="T236" s="16"/>
      <c r="U236" s="16"/>
      <c r="V236" s="16"/>
      <c r="W236" s="16"/>
      <c r="X236" s="16"/>
      <c r="Y236" s="16"/>
      <c r="Z236" s="16"/>
    </row>
    <row r="237">
      <c r="A237" s="16" t="str">
        <f>IFERROR(__xludf.DUMMYFUNCTION("""COMPUTED_VALUE"""),"Shield of Targeting")</f>
        <v>Shield of Targeting</v>
      </c>
      <c r="B237" s="16"/>
      <c r="C237" s="16" t="str">
        <f>IFERROR(__xludf.DUMMYFUNCTION("""COMPUTED_VALUE"""),"Buckler")</f>
        <v>Buckler</v>
      </c>
      <c r="D237" s="16" t="str">
        <f>IFERROR(__xludf.DUMMYFUNCTION("""COMPUTED_VALUE"""),"Hand")</f>
        <v>Hand</v>
      </c>
      <c r="E237" s="16">
        <f>IFERROR(__xludf.DUMMYFUNCTION("""COMPUTED_VALUE"""),20.0)</f>
        <v>20</v>
      </c>
      <c r="F237" s="16" t="str">
        <f>IFERROR(__xludf.DUMMYFUNCTION("""COMPUTED_VALUE"""),"DEF: +1000 ++Target me you B**** - enemies will automatically target you no matter, Use intimidation for this item effect.")</f>
        <v>DEF: +1000 ++Target me you B**** - enemies will automatically target you no matter, Use intimidation for this item effect.</v>
      </c>
      <c r="G237" s="16">
        <f>IFERROR(__xludf.DUMMYFUNCTION("""COMPUTED_VALUE"""),10000.0)</f>
        <v>10000</v>
      </c>
      <c r="H237" s="16"/>
      <c r="I237" s="16"/>
      <c r="J237" s="16"/>
      <c r="K237" s="16"/>
      <c r="L237" s="16"/>
      <c r="M237" s="16"/>
      <c r="N237" s="16"/>
      <c r="O237" s="16"/>
      <c r="P237" s="16"/>
      <c r="Q237" s="16"/>
      <c r="R237" s="16"/>
      <c r="S237" s="16"/>
      <c r="T237" s="16"/>
      <c r="U237" s="16"/>
      <c r="V237" s="16"/>
      <c r="W237" s="16"/>
      <c r="X237" s="16"/>
      <c r="Y237" s="16"/>
      <c r="Z237" s="16"/>
    </row>
    <row r="238">
      <c r="A238" s="16" t="str">
        <f>IFERROR(__xludf.DUMMYFUNCTION("""COMPUTED_VALUE"""),"Shining Katana")</f>
        <v>Shining Katana</v>
      </c>
      <c r="B238" s="16"/>
      <c r="C238" s="16"/>
      <c r="D238" s="16" t="str">
        <f>IFERROR(__xludf.DUMMYFUNCTION("""COMPUTED_VALUE"""),"Hand")</f>
        <v>Hand</v>
      </c>
      <c r="E238" s="16">
        <f>IFERROR(__xludf.DUMMYFUNCTION("""COMPUTED_VALUE"""),200.0)</f>
        <v>200</v>
      </c>
      <c r="F238" s="16" t="str">
        <f>IFERROR(__xludf.DUMMYFUNCTION("""COMPUTED_VALUE"""),"DMG: +10000 ++++500 bleeding damage p/r.")</f>
        <v>DMG: +10000 ++++500 bleeding damage p/r.</v>
      </c>
      <c r="G238" s="16">
        <f>IFERROR(__xludf.DUMMYFUNCTION("""COMPUTED_VALUE"""),1900000.0)</f>
        <v>1900000</v>
      </c>
      <c r="H238" s="16"/>
      <c r="I238" s="16"/>
      <c r="J238" s="16"/>
      <c r="K238" s="16"/>
      <c r="L238" s="16"/>
      <c r="M238" s="16"/>
      <c r="N238" s="16"/>
      <c r="O238" s="16"/>
      <c r="P238" s="16"/>
      <c r="Q238" s="16"/>
      <c r="R238" s="16"/>
      <c r="S238" s="16"/>
      <c r="T238" s="16"/>
      <c r="U238" s="16"/>
      <c r="V238" s="16"/>
      <c r="W238" s="16"/>
      <c r="X238" s="16"/>
      <c r="Y238" s="16"/>
      <c r="Z238" s="16"/>
    </row>
    <row r="239">
      <c r="A239" s="16" t="str">
        <f>IFERROR(__xludf.DUMMYFUNCTION("""COMPUTED_VALUE"""),"Shoes of Metal Harmony's")</f>
        <v>Shoes of Metal Harmony's</v>
      </c>
      <c r="B239" s="16"/>
      <c r="C239" s="16"/>
      <c r="D239" s="16" t="str">
        <f>IFERROR(__xludf.DUMMYFUNCTION("""COMPUTED_VALUE"""),"Feet")</f>
        <v>Feet</v>
      </c>
      <c r="E239" s="16">
        <f>IFERROR(__xludf.DUMMYFUNCTION("""COMPUTED_VALUE"""),200.0)</f>
        <v>200</v>
      </c>
      <c r="F239" s="16" t="str">
        <f>IFERROR(__xludf.DUMMYFUNCTION("""COMPUTED_VALUE"""),"DEF: +10000 ++When dealing damage with an instrument you will regain hp equal to the damage you caused.")</f>
        <v>DEF: +10000 ++When dealing damage with an instrument you will regain hp equal to the damage you caused.</v>
      </c>
      <c r="G239" s="16">
        <f>IFERROR(__xludf.DUMMYFUNCTION("""COMPUTED_VALUE"""),1900000.0)</f>
        <v>1900000</v>
      </c>
      <c r="H239" s="16"/>
      <c r="I239" s="16"/>
      <c r="J239" s="16"/>
      <c r="K239" s="16"/>
      <c r="L239" s="16"/>
      <c r="M239" s="16"/>
      <c r="N239" s="16"/>
      <c r="O239" s="16"/>
      <c r="P239" s="16"/>
      <c r="Q239" s="16"/>
      <c r="R239" s="16"/>
      <c r="S239" s="16"/>
      <c r="T239" s="16"/>
      <c r="U239" s="16"/>
      <c r="V239" s="16"/>
      <c r="W239" s="16"/>
      <c r="X239" s="16"/>
      <c r="Y239" s="16"/>
      <c r="Z239" s="16"/>
    </row>
    <row r="240">
      <c r="A240" s="16" t="str">
        <f>IFERROR(__xludf.DUMMYFUNCTION("""COMPUTED_VALUE"""),"Shoes of Water Walking")</f>
        <v>Shoes of Water Walking</v>
      </c>
      <c r="B240" s="16"/>
      <c r="C240" s="16"/>
      <c r="D240" s="16" t="str">
        <f>IFERROR(__xludf.DUMMYFUNCTION("""COMPUTED_VALUE"""),"Feet")</f>
        <v>Feet</v>
      </c>
      <c r="E240" s="16">
        <f>IFERROR(__xludf.DUMMYFUNCTION("""COMPUTED_VALUE"""),200.0)</f>
        <v>200</v>
      </c>
      <c r="F240" s="16" t="str">
        <f>IFERROR(__xludf.DUMMYFUNCTION("""COMPUTED_VALUE"""),"DEF: +5000, Water DEF: +5000 ++All water damage can now be any Element of choosing (this will still be counted as water damage for additional buffs).")</f>
        <v>DEF: +5000, Water DEF: +5000 ++All water damage can now be any Element of choosing (this will still be counted as water damage for additional buffs).</v>
      </c>
      <c r="G240" s="16">
        <f>IFERROR(__xludf.DUMMYFUNCTION("""COMPUTED_VALUE"""),1900000.0)</f>
        <v>1900000</v>
      </c>
      <c r="H240" s="16"/>
      <c r="I240" s="16"/>
      <c r="J240" s="16"/>
      <c r="K240" s="16"/>
      <c r="L240" s="16"/>
      <c r="M240" s="16"/>
      <c r="N240" s="16"/>
      <c r="O240" s="16"/>
      <c r="P240" s="16"/>
      <c r="Q240" s="16"/>
      <c r="R240" s="16"/>
      <c r="S240" s="16"/>
      <c r="T240" s="16"/>
      <c r="U240" s="16"/>
      <c r="V240" s="16"/>
      <c r="W240" s="16"/>
      <c r="X240" s="16"/>
      <c r="Y240" s="16"/>
      <c r="Z240" s="16"/>
    </row>
    <row r="241">
      <c r="A241" s="16" t="str">
        <f>IFERROR(__xludf.DUMMYFUNCTION("""COMPUTED_VALUE"""),"Short Spear")</f>
        <v>Short Spear</v>
      </c>
      <c r="B241" s="16"/>
      <c r="C241" s="16" t="str">
        <f>IFERROR(__xludf.DUMMYFUNCTION("""COMPUTED_VALUE"""),"Spear")</f>
        <v>Spear</v>
      </c>
      <c r="D241" s="16" t="str">
        <f>IFERROR(__xludf.DUMMYFUNCTION("""COMPUTED_VALUE"""),"Hand")</f>
        <v>Hand</v>
      </c>
      <c r="E241" s="16">
        <f>IFERROR(__xludf.DUMMYFUNCTION("""COMPUTED_VALUE"""),1.0)</f>
        <v>1</v>
      </c>
      <c r="F241" s="16" t="str">
        <f>IFERROR(__xludf.DUMMYFUNCTION("""COMPUTED_VALUE"""),"DMG: +250")</f>
        <v>DMG: +250</v>
      </c>
      <c r="G241" s="16">
        <f>IFERROR(__xludf.DUMMYFUNCTION("""COMPUTED_VALUE"""),0.0)</f>
        <v>0</v>
      </c>
      <c r="H241" s="16"/>
      <c r="I241" s="16"/>
      <c r="J241" s="16"/>
      <c r="K241" s="16"/>
      <c r="L241" s="16"/>
      <c r="M241" s="16"/>
      <c r="N241" s="16"/>
      <c r="O241" s="16"/>
      <c r="P241" s="16"/>
      <c r="Q241" s="16"/>
      <c r="R241" s="16"/>
      <c r="S241" s="16"/>
      <c r="T241" s="16"/>
      <c r="U241" s="16"/>
      <c r="V241" s="16"/>
      <c r="W241" s="16"/>
      <c r="X241" s="16"/>
      <c r="Y241" s="16"/>
      <c r="Z241" s="16"/>
    </row>
    <row r="242">
      <c r="A242" s="16" t="str">
        <f>IFERROR(__xludf.DUMMYFUNCTION("""COMPUTED_VALUE"""),"Shuriken")</f>
        <v>Shuriken</v>
      </c>
      <c r="B242" s="16"/>
      <c r="C242" s="16" t="str">
        <f>IFERROR(__xludf.DUMMYFUNCTION("""COMPUTED_VALUE"""),"Boomerang")</f>
        <v>Boomerang</v>
      </c>
      <c r="D242" s="16" t="str">
        <f>IFERROR(__xludf.DUMMYFUNCTION("""COMPUTED_VALUE"""),"Hand")</f>
        <v>Hand</v>
      </c>
      <c r="E242" s="16">
        <f>IFERROR(__xludf.DUMMYFUNCTION("""COMPUTED_VALUE"""),200.0)</f>
        <v>200</v>
      </c>
      <c r="F242" s="16" t="str">
        <f>IFERROR(__xludf.DUMMYFUNCTION("""COMPUTED_VALUE"""),"DMG: +5000, Blood DMG: +5000 ++Will return to you when thrown.")</f>
        <v>DMG: +5000, Blood DMG: +5000 ++Will return to you when thrown.</v>
      </c>
      <c r="G242" s="16">
        <f>IFERROR(__xludf.DUMMYFUNCTION("""COMPUTED_VALUE"""),1900000.0)</f>
        <v>1900000</v>
      </c>
      <c r="H242" s="16"/>
      <c r="I242" s="16"/>
      <c r="J242" s="16"/>
      <c r="K242" s="16"/>
      <c r="L242" s="16"/>
      <c r="M242" s="16"/>
      <c r="N242" s="16"/>
      <c r="O242" s="16"/>
      <c r="P242" s="16"/>
      <c r="Q242" s="16"/>
      <c r="R242" s="16"/>
      <c r="S242" s="16"/>
      <c r="T242" s="16"/>
      <c r="U242" s="16"/>
      <c r="V242" s="16"/>
      <c r="W242" s="16"/>
      <c r="X242" s="16"/>
      <c r="Y242" s="16"/>
      <c r="Z242" s="16"/>
    </row>
    <row r="243">
      <c r="A243" s="16" t="str">
        <f>IFERROR(__xludf.DUMMYFUNCTION("""COMPUTED_VALUE"""),"Shuttering Cloak")</f>
        <v>Shuttering Cloak</v>
      </c>
      <c r="B243" s="16"/>
      <c r="C243" s="16"/>
      <c r="D243" s="16" t="str">
        <f>IFERROR(__xludf.DUMMYFUNCTION("""COMPUTED_VALUE"""),"Torso")</f>
        <v>Torso</v>
      </c>
      <c r="E243" s="16">
        <f>IFERROR(__xludf.DUMMYFUNCTION("""COMPUTED_VALUE"""),1.0)</f>
        <v>1</v>
      </c>
      <c r="F243" s="16" t="str">
        <f>IFERROR(__xludf.DUMMYFUNCTION("""COMPUTED_VALUE""")," ++Plus 10 Evasion and Mobility, +-You Cannot be unaffected by spells or attacks. +-Can only equip one")</f>
        <v> ++Plus 10 Evasion and Mobility, +-You Cannot be unaffected by spells or attacks. +-Can only equip one</v>
      </c>
      <c r="G243" s="16">
        <f>IFERROR(__xludf.DUMMYFUNCTION("""COMPUTED_VALUE"""),0.0)</f>
        <v>0</v>
      </c>
      <c r="H243" s="16"/>
      <c r="I243" s="16"/>
      <c r="J243" s="16"/>
      <c r="K243" s="16"/>
      <c r="L243" s="16"/>
      <c r="M243" s="16"/>
      <c r="N243" s="16"/>
      <c r="O243" s="16"/>
      <c r="P243" s="16"/>
      <c r="Q243" s="16"/>
      <c r="R243" s="16"/>
      <c r="S243" s="16"/>
      <c r="T243" s="16"/>
      <c r="U243" s="16"/>
      <c r="V243" s="16"/>
      <c r="W243" s="16"/>
      <c r="X243" s="16"/>
      <c r="Y243" s="16"/>
      <c r="Z243" s="16"/>
    </row>
    <row r="244">
      <c r="A244" s="16" t="str">
        <f>IFERROR(__xludf.DUMMYFUNCTION("""COMPUTED_VALUE"""),"Silver Armor")</f>
        <v>Silver Armor</v>
      </c>
      <c r="B244" s="16"/>
      <c r="C244" s="16"/>
      <c r="D244" s="16" t="str">
        <f>IFERROR(__xludf.DUMMYFUNCTION("""COMPUTED_VALUE"""),"Torso")</f>
        <v>Torso</v>
      </c>
      <c r="E244" s="16">
        <f>IFERROR(__xludf.DUMMYFUNCTION("""COMPUTED_VALUE"""),1.0)</f>
        <v>1</v>
      </c>
      <c r="F244" s="16" t="str">
        <f>IFERROR(__xludf.DUMMYFUNCTION("""COMPUTED_VALUE"""),"DEF: +30")</f>
        <v>DEF: +30</v>
      </c>
      <c r="G244" s="16">
        <f>IFERROR(__xludf.DUMMYFUNCTION("""COMPUTED_VALUE"""),0.0)</f>
        <v>0</v>
      </c>
      <c r="H244" s="16"/>
      <c r="I244" s="16"/>
      <c r="J244" s="16"/>
      <c r="K244" s="16"/>
      <c r="L244" s="16"/>
      <c r="M244" s="16"/>
      <c r="N244" s="16"/>
      <c r="O244" s="16"/>
      <c r="P244" s="16"/>
      <c r="Q244" s="16"/>
      <c r="R244" s="16"/>
      <c r="S244" s="16"/>
      <c r="T244" s="16"/>
      <c r="U244" s="16"/>
      <c r="V244" s="16"/>
      <c r="W244" s="16"/>
      <c r="X244" s="16"/>
      <c r="Y244" s="16"/>
      <c r="Z244" s="16"/>
    </row>
    <row r="245">
      <c r="A245" s="16" t="str">
        <f>IFERROR(__xludf.DUMMYFUNCTION("""COMPUTED_VALUE"""),"Silver Katana")</f>
        <v>Silver Katana</v>
      </c>
      <c r="B245" s="16"/>
      <c r="C245" s="16" t="str">
        <f>IFERROR(__xludf.DUMMYFUNCTION("""COMPUTED_VALUE"""),"Sword")</f>
        <v>Sword</v>
      </c>
      <c r="D245" s="16" t="str">
        <f>IFERROR(__xludf.DUMMYFUNCTION("""COMPUTED_VALUE"""),"Hand")</f>
        <v>Hand</v>
      </c>
      <c r="E245" s="16">
        <f>IFERROR(__xludf.DUMMYFUNCTION("""COMPUTED_VALUE"""),200.0)</f>
        <v>200</v>
      </c>
      <c r="F245" s="16" t="str">
        <f>IFERROR(__xludf.DUMMYFUNCTION("""COMPUTED_VALUE"""),"DMG: +10000 ++Causes Blindness 3")</f>
        <v>DMG: +10000 ++Causes Blindness 3</v>
      </c>
      <c r="G245" s="16">
        <f>IFERROR(__xludf.DUMMYFUNCTION("""COMPUTED_VALUE"""),1900000.0)</f>
        <v>1900000</v>
      </c>
      <c r="H245" s="16"/>
      <c r="I245" s="16"/>
      <c r="J245" s="16"/>
      <c r="K245" s="16"/>
      <c r="L245" s="16"/>
      <c r="M245" s="16"/>
      <c r="N245" s="16"/>
      <c r="O245" s="16"/>
      <c r="P245" s="16"/>
      <c r="Q245" s="16"/>
      <c r="R245" s="16"/>
      <c r="S245" s="16"/>
      <c r="T245" s="16"/>
      <c r="U245" s="16"/>
      <c r="V245" s="16"/>
      <c r="W245" s="16"/>
      <c r="X245" s="16"/>
      <c r="Y245" s="16"/>
      <c r="Z245" s="16"/>
    </row>
    <row r="246">
      <c r="A246" s="16" t="str">
        <f>IFERROR(__xludf.DUMMYFUNCTION("""COMPUTED_VALUE"""),"Silver Knife")</f>
        <v>Silver Knife</v>
      </c>
      <c r="B246" s="16"/>
      <c r="C246" s="16" t="str">
        <f>IFERROR(__xludf.DUMMYFUNCTION("""COMPUTED_VALUE"""),"Knife")</f>
        <v>Knife</v>
      </c>
      <c r="D246" s="16" t="str">
        <f>IFERROR(__xludf.DUMMYFUNCTION("""COMPUTED_VALUE"""),"Hand")</f>
        <v>Hand</v>
      </c>
      <c r="E246" s="16">
        <f>IFERROR(__xludf.DUMMYFUNCTION("""COMPUTED_VALUE"""),200.0)</f>
        <v>200</v>
      </c>
      <c r="F246" s="16" t="str">
        <f>IFERROR(__xludf.DUMMYFUNCTION("""COMPUTED_VALUE"""),"DMG: +10000")</f>
        <v>DMG: +10000</v>
      </c>
      <c r="G246" s="16">
        <f>IFERROR(__xludf.DUMMYFUNCTION("""COMPUTED_VALUE"""),1900000.0)</f>
        <v>1900000</v>
      </c>
      <c r="H246" s="16"/>
      <c r="I246" s="16"/>
      <c r="J246" s="16"/>
      <c r="K246" s="16"/>
      <c r="L246" s="16"/>
      <c r="M246" s="16"/>
      <c r="N246" s="16"/>
      <c r="O246" s="16"/>
      <c r="P246" s="16"/>
      <c r="Q246" s="16"/>
      <c r="R246" s="16"/>
      <c r="S246" s="16"/>
      <c r="T246" s="16"/>
      <c r="U246" s="16"/>
      <c r="V246" s="16"/>
      <c r="W246" s="16"/>
      <c r="X246" s="16"/>
      <c r="Y246" s="16"/>
      <c r="Z246" s="16"/>
    </row>
    <row r="247">
      <c r="A247" s="16" t="str">
        <f>IFERROR(__xludf.DUMMYFUNCTION("""COMPUTED_VALUE"""),"Skull Cleaver")</f>
        <v>Skull Cleaver</v>
      </c>
      <c r="B247" s="16"/>
      <c r="C247" s="16" t="str">
        <f>IFERROR(__xludf.DUMMYFUNCTION("""COMPUTED_VALUE"""),"Sword")</f>
        <v>Sword</v>
      </c>
      <c r="D247" s="16" t="str">
        <f>IFERROR(__xludf.DUMMYFUNCTION("""COMPUTED_VALUE"""),"Hand")</f>
        <v>Hand</v>
      </c>
      <c r="E247" s="16">
        <f>IFERROR(__xludf.DUMMYFUNCTION("""COMPUTED_VALUE"""),1000.0)</f>
        <v>1000</v>
      </c>
      <c r="F247" s="16" t="str">
        <f>IFERROR(__xludf.DUMMYFUNCTION("""COMPUTED_VALUE"""),"DMG: +30000, Dark DMG: +20000 ++75% Chance of instant death.")</f>
        <v>DMG: +30000, Dark DMG: +20000 ++75% Chance of instant death.</v>
      </c>
      <c r="G247" s="16">
        <f>IFERROR(__xludf.DUMMYFUNCTION("""COMPUTED_VALUE"""),4.95E7)</f>
        <v>49500000</v>
      </c>
      <c r="H247" s="16"/>
      <c r="I247" s="16"/>
      <c r="J247" s="16"/>
      <c r="K247" s="16"/>
      <c r="L247" s="16"/>
      <c r="M247" s="16"/>
      <c r="N247" s="16"/>
      <c r="O247" s="16"/>
      <c r="P247" s="16"/>
      <c r="Q247" s="16"/>
      <c r="R247" s="16"/>
      <c r="S247" s="16"/>
      <c r="T247" s="16"/>
      <c r="U247" s="16"/>
      <c r="V247" s="16"/>
      <c r="W247" s="16"/>
      <c r="X247" s="16"/>
      <c r="Y247" s="16"/>
      <c r="Z247" s="16"/>
    </row>
    <row r="248">
      <c r="A248" s="16" t="str">
        <f>IFERROR(__xludf.DUMMYFUNCTION("""COMPUTED_VALUE"""),"Skull of the many Kings")</f>
        <v>Skull of the many Kings</v>
      </c>
      <c r="B248" s="16"/>
      <c r="C248" s="16"/>
      <c r="D248" s="16" t="str">
        <f>IFERROR(__xludf.DUMMYFUNCTION("""COMPUTED_VALUE"""),"Head")</f>
        <v>Head</v>
      </c>
      <c r="E248" s="16">
        <f>IFERROR(__xludf.DUMMYFUNCTION("""COMPUTED_VALUE"""),1.0)</f>
        <v>1</v>
      </c>
      <c r="F248" s="16" t="str">
        <f>IFERROR(__xludf.DUMMYFUNCTION("""COMPUTED_VALUE"""),"DEF: +300 ++Immunity to all dark damage")</f>
        <v>DEF: +300 ++Immunity to all dark damage</v>
      </c>
      <c r="G248" s="16">
        <f>IFERROR(__xludf.DUMMYFUNCTION("""COMPUTED_VALUE"""),0.0)</f>
        <v>0</v>
      </c>
      <c r="H248" s="16"/>
      <c r="I248" s="16"/>
      <c r="J248" s="16"/>
      <c r="K248" s="16"/>
      <c r="L248" s="16"/>
      <c r="M248" s="16"/>
      <c r="N248" s="16"/>
      <c r="O248" s="16"/>
      <c r="P248" s="16"/>
      <c r="Q248" s="16"/>
      <c r="R248" s="16"/>
      <c r="S248" s="16"/>
      <c r="T248" s="16"/>
      <c r="U248" s="16"/>
      <c r="V248" s="16"/>
      <c r="W248" s="16"/>
      <c r="X248" s="16"/>
      <c r="Y248" s="16"/>
      <c r="Z248" s="16"/>
    </row>
    <row r="249">
      <c r="A249" s="16" t="str">
        <f>IFERROR(__xludf.DUMMYFUNCTION("""COMPUTED_VALUE"""),"Skull Ring")</f>
        <v>Skull Ring</v>
      </c>
      <c r="B249" s="16"/>
      <c r="C249" s="16"/>
      <c r="D249" s="16" t="str">
        <f>IFERROR(__xludf.DUMMYFUNCTION("""COMPUTED_VALUE"""),"Ring")</f>
        <v>Ring</v>
      </c>
      <c r="E249" s="16">
        <f>IFERROR(__xludf.DUMMYFUNCTION("""COMPUTED_VALUE"""),1.0)</f>
        <v>1</v>
      </c>
      <c r="F249" s="16" t="str">
        <f>IFERROR(__xludf.DUMMYFUNCTION("""COMPUTED_VALUE""")," ++Increase damage of all dark spells and weapons by X2")</f>
        <v> ++Increase damage of all dark spells and weapons by X2</v>
      </c>
      <c r="G249" s="16">
        <f>IFERROR(__xludf.DUMMYFUNCTION("""COMPUTED_VALUE"""),0.0)</f>
        <v>0</v>
      </c>
      <c r="H249" s="16"/>
      <c r="I249" s="16"/>
      <c r="J249" s="16"/>
      <c r="K249" s="16"/>
      <c r="L249" s="16"/>
      <c r="M249" s="16"/>
      <c r="N249" s="16"/>
      <c r="O249" s="16"/>
      <c r="P249" s="16"/>
      <c r="Q249" s="16"/>
      <c r="R249" s="16"/>
      <c r="S249" s="16"/>
      <c r="T249" s="16"/>
      <c r="U249" s="16"/>
      <c r="V249" s="16"/>
      <c r="W249" s="16"/>
      <c r="X249" s="16"/>
      <c r="Y249" s="16"/>
      <c r="Z249" s="16"/>
    </row>
    <row r="250">
      <c r="A250" s="16" t="str">
        <f>IFERROR(__xludf.DUMMYFUNCTION("""COMPUTED_VALUE"""),"Spear")</f>
        <v>Spear</v>
      </c>
      <c r="B250" s="16"/>
      <c r="C250" s="16" t="str">
        <f>IFERROR(__xludf.DUMMYFUNCTION("""COMPUTED_VALUE"""),"Spear")</f>
        <v>Spear</v>
      </c>
      <c r="D250" s="16" t="str">
        <f>IFERROR(__xludf.DUMMYFUNCTION("""COMPUTED_VALUE"""),"Hand")</f>
        <v>Hand</v>
      </c>
      <c r="E250" s="16">
        <f>IFERROR(__xludf.DUMMYFUNCTION("""COMPUTED_VALUE"""),1.0)</f>
        <v>1</v>
      </c>
      <c r="F250" s="16" t="str">
        <f>IFERROR(__xludf.DUMMYFUNCTION("""COMPUTED_VALUE"""),"DMG: +100")</f>
        <v>DMG: +100</v>
      </c>
      <c r="G250" s="16">
        <f>IFERROR(__xludf.DUMMYFUNCTION("""COMPUTED_VALUE"""),0.0)</f>
        <v>0</v>
      </c>
      <c r="H250" s="16"/>
      <c r="I250" s="16"/>
      <c r="J250" s="16"/>
      <c r="K250" s="16"/>
      <c r="L250" s="16"/>
      <c r="M250" s="16"/>
      <c r="N250" s="16"/>
      <c r="O250" s="16"/>
      <c r="P250" s="16"/>
      <c r="Q250" s="16"/>
      <c r="R250" s="16"/>
      <c r="S250" s="16"/>
      <c r="T250" s="16"/>
      <c r="U250" s="16"/>
      <c r="V250" s="16"/>
      <c r="W250" s="16"/>
      <c r="X250" s="16"/>
      <c r="Y250" s="16"/>
      <c r="Z250" s="16"/>
    </row>
    <row r="251">
      <c r="A251" s="16" t="str">
        <f>IFERROR(__xludf.DUMMYFUNCTION("""COMPUTED_VALUE"""),"Spear Of Assal ")</f>
        <v>Spear Of Assal </v>
      </c>
      <c r="B251" s="16" t="str">
        <f>IFERROR(__xludf.DUMMYFUNCTION("""COMPUTED_VALUE"""),"(Event Exclusive) Lugh's Spear he weilded in battle. The spear will always find its mark when the incantation Ibar is spoken by the user. ")</f>
        <v>(Event Exclusive) Lugh's Spear he weilded in battle. The spear will always find its mark when the incantation Ibar is spoken by the user. </v>
      </c>
      <c r="C251" s="16" t="str">
        <f>IFERROR(__xludf.DUMMYFUNCTION("""COMPUTED_VALUE"""),"Spear")</f>
        <v>Spear</v>
      </c>
      <c r="D251" s="16" t="str">
        <f>IFERROR(__xludf.DUMMYFUNCTION("""COMPUTED_VALUE"""),"Hand")</f>
        <v>Hand</v>
      </c>
      <c r="E251" s="16">
        <f>IFERROR(__xludf.DUMMYFUNCTION("""COMPUTED_VALUE"""),200.0)</f>
        <v>200</v>
      </c>
      <c r="F251" s="16" t="str">
        <f>IFERROR(__xludf.DUMMYFUNCTION("""COMPUTED_VALUE"""),"DMG: +50000, Fire DMG: +50000, Celestial DMG: +50000 ++12,000 celestial and fire damage for 3 rounds. +-Cannot be forged +-Cannot be duplicated +-Cannot be confiscated. ++Ignores evasion, ++Will always return when thrown.")</f>
        <v>DMG: +50000, Fire DMG: +50000, Celestial DMG: +50000 ++12,000 celestial and fire damage for 3 rounds. +-Cannot be forged +-Cannot be duplicated +-Cannot be confiscated. ++Ignores evasion, ++Will always return when thrown.</v>
      </c>
      <c r="G251" s="16">
        <f>IFERROR(__xludf.DUMMYFUNCTION("""COMPUTED_VALUE"""),4.485E8)</f>
        <v>448500000</v>
      </c>
      <c r="H251" s="16"/>
      <c r="I251" s="16"/>
      <c r="J251" s="16"/>
      <c r="K251" s="16"/>
      <c r="L251" s="16"/>
      <c r="M251" s="16"/>
      <c r="N251" s="16"/>
      <c r="O251" s="16"/>
      <c r="P251" s="16"/>
      <c r="Q251" s="16"/>
      <c r="R251" s="16"/>
      <c r="S251" s="16"/>
      <c r="T251" s="16"/>
      <c r="U251" s="16"/>
      <c r="V251" s="16"/>
      <c r="W251" s="16"/>
      <c r="X251" s="16"/>
      <c r="Y251" s="16"/>
      <c r="Z251" s="16"/>
    </row>
    <row r="252">
      <c r="A252" s="16" t="str">
        <f>IFERROR(__xludf.DUMMYFUNCTION("""COMPUTED_VALUE"""),"Spiked Armor")</f>
        <v>Spiked Armor</v>
      </c>
      <c r="B252" s="16"/>
      <c r="C252" s="16"/>
      <c r="D252" s="16" t="str">
        <f>IFERROR(__xludf.DUMMYFUNCTION("""COMPUTED_VALUE"""),"Torso")</f>
        <v>Torso</v>
      </c>
      <c r="E252" s="16">
        <f>IFERROR(__xludf.DUMMYFUNCTION("""COMPUTED_VALUE"""),1.0)</f>
        <v>1</v>
      </c>
      <c r="F252" s="16" t="str">
        <f>IFERROR(__xludf.DUMMYFUNCTION("""COMPUTED_VALUE"""),"DEF: +100 ++Used for both offense and defense. ++Enemies take half the damage they caused, when they attack you.")</f>
        <v>DEF: +100 ++Used for both offense and defense. ++Enemies take half the damage they caused, when they attack you.</v>
      </c>
      <c r="G252" s="16">
        <f>IFERROR(__xludf.DUMMYFUNCTION("""COMPUTED_VALUE"""),0.0)</f>
        <v>0</v>
      </c>
      <c r="H252" s="16"/>
      <c r="I252" s="16"/>
      <c r="J252" s="16"/>
      <c r="K252" s="16"/>
      <c r="L252" s="16"/>
      <c r="M252" s="16"/>
      <c r="N252" s="16"/>
      <c r="O252" s="16"/>
      <c r="P252" s="16"/>
      <c r="Q252" s="16"/>
      <c r="R252" s="16"/>
      <c r="S252" s="16"/>
      <c r="T252" s="16"/>
      <c r="U252" s="16"/>
      <c r="V252" s="16"/>
      <c r="W252" s="16"/>
      <c r="X252" s="16"/>
      <c r="Y252" s="16"/>
      <c r="Z252" s="16"/>
    </row>
    <row r="253">
      <c r="A253" s="16" t="str">
        <f>IFERROR(__xludf.DUMMYFUNCTION("""COMPUTED_VALUE"""),"Spiny Shield")</f>
        <v>Spiny Shield</v>
      </c>
      <c r="B253" s="16"/>
      <c r="C253" s="16" t="str">
        <f>IFERROR(__xludf.DUMMYFUNCTION("""COMPUTED_VALUE"""),"Buckler")</f>
        <v>Buckler</v>
      </c>
      <c r="D253" s="16" t="str">
        <f>IFERROR(__xludf.DUMMYFUNCTION("""COMPUTED_VALUE"""),"Hand")</f>
        <v>Hand</v>
      </c>
      <c r="E253" s="16">
        <f>IFERROR(__xludf.DUMMYFUNCTION("""COMPUTED_VALUE"""),1.0)</f>
        <v>1</v>
      </c>
      <c r="F253" s="16" t="str">
        <f>IFERROR(__xludf.DUMMYFUNCTION("""COMPUTED_VALUE"""),"DEF: +170")</f>
        <v>DEF: +170</v>
      </c>
      <c r="G253" s="16">
        <f>IFERROR(__xludf.DUMMYFUNCTION("""COMPUTED_VALUE"""),0.0)</f>
        <v>0</v>
      </c>
      <c r="H253" s="16"/>
      <c r="I253" s="16"/>
      <c r="J253" s="16"/>
      <c r="K253" s="16"/>
      <c r="L253" s="16"/>
      <c r="M253" s="16"/>
      <c r="N253" s="16"/>
      <c r="O253" s="16"/>
      <c r="P253" s="16"/>
      <c r="Q253" s="16"/>
      <c r="R253" s="16"/>
      <c r="S253" s="16"/>
      <c r="T253" s="16"/>
      <c r="U253" s="16"/>
      <c r="V253" s="16"/>
      <c r="W253" s="16"/>
      <c r="X253" s="16"/>
      <c r="Y253" s="16"/>
      <c r="Z253" s="16"/>
    </row>
    <row r="254">
      <c r="A254" s="16" t="str">
        <f>IFERROR(__xludf.DUMMYFUNCTION("""COMPUTED_VALUE"""),"Spooky Branch Ring")</f>
        <v>Spooky Branch Ring</v>
      </c>
      <c r="B254" s="16" t="str">
        <f>IFERROR(__xludf.DUMMYFUNCTION("""COMPUTED_VALUE"""),"Halloween Exclusive")</f>
        <v>Halloween Exclusive</v>
      </c>
      <c r="C254" s="16"/>
      <c r="D254" s="16" t="str">
        <f>IFERROR(__xludf.DUMMYFUNCTION("""COMPUTED_VALUE"""),"Ring")</f>
        <v>Ring</v>
      </c>
      <c r="E254" s="16">
        <f>IFERROR(__xludf.DUMMYFUNCTION("""COMPUTED_VALUE"""),1.0)</f>
        <v>1</v>
      </c>
      <c r="F254" s="16" t="str">
        <f>IFERROR(__xludf.DUMMYFUNCTION("""COMPUTED_VALUE""")," ++Increase fire and dark damage by X2.")</f>
        <v> ++Increase fire and dark damage by X2.</v>
      </c>
      <c r="G254" s="16">
        <f>IFERROR(__xludf.DUMMYFUNCTION("""COMPUTED_VALUE"""),0.0)</f>
        <v>0</v>
      </c>
      <c r="H254" s="16"/>
      <c r="I254" s="16"/>
      <c r="J254" s="16"/>
      <c r="K254" s="16"/>
      <c r="L254" s="16"/>
      <c r="M254" s="16"/>
      <c r="N254" s="16"/>
      <c r="O254" s="16"/>
      <c r="P254" s="16"/>
      <c r="Q254" s="16"/>
      <c r="R254" s="16"/>
      <c r="S254" s="16"/>
      <c r="T254" s="16"/>
      <c r="U254" s="16"/>
      <c r="V254" s="16"/>
      <c r="W254" s="16"/>
      <c r="X254" s="16"/>
      <c r="Y254" s="16"/>
      <c r="Z254" s="16"/>
    </row>
    <row r="255">
      <c r="A255" s="16" t="str">
        <f>IFERROR(__xludf.DUMMYFUNCTION("""COMPUTED_VALUE"""),"Staff of Chaotic Shadows")</f>
        <v>Staff of Chaotic Shadows</v>
      </c>
      <c r="B255" s="16"/>
      <c r="C255" s="16" t="str">
        <f>IFERROR(__xludf.DUMMYFUNCTION("""COMPUTED_VALUE"""),"Staff")</f>
        <v>Staff</v>
      </c>
      <c r="D255" s="16" t="str">
        <f>IFERROR(__xludf.DUMMYFUNCTION("""COMPUTED_VALUE"""),"Hand")</f>
        <v>Hand</v>
      </c>
      <c r="E255" s="16">
        <f>IFERROR(__xludf.DUMMYFUNCTION("""COMPUTED_VALUE"""),1200.0)</f>
        <v>1200</v>
      </c>
      <c r="F255" s="16" t="str">
        <f>IFERROR(__xludf.DUMMYFUNCTION("""COMPUTED_VALUE"""),", Fire DMG: +20000, Dark DMG: +20000, Chaos DMG: +20000 ++damages all enemies. +-Cannot be forged.")</f>
        <v>, Fire DMG: +20000, Dark DMG: +20000, Chaos DMG: +20000 ++damages all enemies. +-Cannot be forged.</v>
      </c>
      <c r="G255" s="16">
        <f>IFERROR(__xludf.DUMMYFUNCTION("""COMPUTED_VALUE"""),7.14E7)</f>
        <v>71400000</v>
      </c>
      <c r="H255" s="16"/>
      <c r="I255" s="16"/>
      <c r="J255" s="16"/>
      <c r="K255" s="16"/>
      <c r="L255" s="16"/>
      <c r="M255" s="16"/>
      <c r="N255" s="16"/>
      <c r="O255" s="16"/>
      <c r="P255" s="16"/>
      <c r="Q255" s="16"/>
      <c r="R255" s="16"/>
      <c r="S255" s="16"/>
      <c r="T255" s="16"/>
      <c r="U255" s="16"/>
      <c r="V255" s="16"/>
      <c r="W255" s="16"/>
      <c r="X255" s="16"/>
      <c r="Y255" s="16"/>
      <c r="Z255" s="16"/>
    </row>
    <row r="256">
      <c r="A256" s="16" t="str">
        <f>IFERROR(__xludf.DUMMYFUNCTION("""COMPUTED_VALUE"""),"Staff of Crystals")</f>
        <v>Staff of Crystals</v>
      </c>
      <c r="B256" s="16"/>
      <c r="C256" s="16" t="str">
        <f>IFERROR(__xludf.DUMMYFUNCTION("""COMPUTED_VALUE"""),"Staff")</f>
        <v>Staff</v>
      </c>
      <c r="D256" s="16" t="str">
        <f>IFERROR(__xludf.DUMMYFUNCTION("""COMPUTED_VALUE"""),"Hand")</f>
        <v>Hand</v>
      </c>
      <c r="E256" s="16">
        <f>IFERROR(__xludf.DUMMYFUNCTION("""COMPUTED_VALUE"""),400.0)</f>
        <v>400</v>
      </c>
      <c r="F256" s="16" t="str">
        <f>IFERROR(__xludf.DUMMYFUNCTION("""COMPUTED_VALUE"""),", Earth DMG: +20000 ++When Equipped any damage dealt by a Crystal or Gem related weapon is X4. +-Cannot be duplicated.")</f>
        <v>, Earth DMG: +20000 ++When Equipped any damage dealt by a Crystal or Gem related weapon is X4. +-Cannot be duplicated.</v>
      </c>
      <c r="G256" s="16">
        <f>IFERROR(__xludf.DUMMYFUNCTION("""COMPUTED_VALUE"""),7800000.0)</f>
        <v>7800000</v>
      </c>
      <c r="H256" s="16"/>
      <c r="I256" s="16"/>
      <c r="J256" s="16"/>
      <c r="K256" s="16"/>
      <c r="L256" s="16"/>
      <c r="M256" s="16"/>
      <c r="N256" s="16"/>
      <c r="O256" s="16"/>
      <c r="P256" s="16"/>
      <c r="Q256" s="16"/>
      <c r="R256" s="16"/>
      <c r="S256" s="16"/>
      <c r="T256" s="16"/>
      <c r="U256" s="16"/>
      <c r="V256" s="16"/>
      <c r="W256" s="16"/>
      <c r="X256" s="16"/>
      <c r="Y256" s="16"/>
      <c r="Z256" s="16"/>
    </row>
    <row r="257">
      <c r="A257" s="16" t="str">
        <f>IFERROR(__xludf.DUMMYFUNCTION("""COMPUTED_VALUE"""),"Staff Of Heatmore")</f>
        <v>Staff Of Heatmore</v>
      </c>
      <c r="B257" s="16"/>
      <c r="C257" s="16" t="str">
        <f>IFERROR(__xludf.DUMMYFUNCTION("""COMPUTED_VALUE"""),"Staff")</f>
        <v>Staff</v>
      </c>
      <c r="D257" s="16" t="str">
        <f>IFERROR(__xludf.DUMMYFUNCTION("""COMPUTED_VALUE"""),"Hand")</f>
        <v>Hand</v>
      </c>
      <c r="E257" s="16">
        <f>IFERROR(__xludf.DUMMYFUNCTION("""COMPUTED_VALUE"""),1.0)</f>
        <v>1</v>
      </c>
      <c r="F257" s="16" t="str">
        <f>IFERROR(__xludf.DUMMYFUNCTION("""COMPUTED_VALUE""")," ++20,000 fire damage to all enemies, cannot avoid. 10,000sp")</f>
        <v> ++20,000 fire damage to all enemies, cannot avoid. 10,000sp</v>
      </c>
      <c r="G257" s="16">
        <f>IFERROR(__xludf.DUMMYFUNCTION("""COMPUTED_VALUE"""),0.0)</f>
        <v>0</v>
      </c>
      <c r="H257" s="16"/>
      <c r="I257" s="16"/>
      <c r="J257" s="16"/>
      <c r="K257" s="16"/>
      <c r="L257" s="16"/>
      <c r="M257" s="16"/>
      <c r="N257" s="16"/>
      <c r="O257" s="16"/>
      <c r="P257" s="16"/>
      <c r="Q257" s="16"/>
      <c r="R257" s="16"/>
      <c r="S257" s="16"/>
      <c r="T257" s="16"/>
      <c r="U257" s="16"/>
      <c r="V257" s="16"/>
      <c r="W257" s="16"/>
      <c r="X257" s="16"/>
      <c r="Y257" s="16"/>
      <c r="Z257" s="16"/>
    </row>
    <row r="258">
      <c r="A258" s="16" t="str">
        <f>IFERROR(__xludf.DUMMYFUNCTION("""COMPUTED_VALUE"""),"Staff of Shadows")</f>
        <v>Staff of Shadows</v>
      </c>
      <c r="B258" s="16"/>
      <c r="C258" s="16" t="str">
        <f>IFERROR(__xludf.DUMMYFUNCTION("""COMPUTED_VALUE"""),"Staff")</f>
        <v>Staff</v>
      </c>
      <c r="D258" s="16" t="str">
        <f>IFERROR(__xludf.DUMMYFUNCTION("""COMPUTED_VALUE"""),"Hand")</f>
        <v>Hand</v>
      </c>
      <c r="E258" s="16">
        <f>IFERROR(__xludf.DUMMYFUNCTION("""COMPUTED_VALUE"""),1.0)</f>
        <v>1</v>
      </c>
      <c r="F258" s="16" t="str">
        <f>IFERROR(__xludf.DUMMYFUNCTION("""COMPUTED_VALUE""")," ++You are invisible and silent so long as you don't attack. You cannot be attacked while invisible. 200SP")</f>
        <v> ++You are invisible and silent so long as you don't attack. You cannot be attacked while invisible. 200SP</v>
      </c>
      <c r="G258" s="16">
        <f>IFERROR(__xludf.DUMMYFUNCTION("""COMPUTED_VALUE"""),0.0)</f>
        <v>0</v>
      </c>
      <c r="H258" s="16"/>
      <c r="I258" s="16"/>
      <c r="J258" s="16"/>
      <c r="K258" s="16"/>
      <c r="L258" s="16"/>
      <c r="M258" s="16"/>
      <c r="N258" s="16"/>
      <c r="O258" s="16"/>
      <c r="P258" s="16"/>
      <c r="Q258" s="16"/>
      <c r="R258" s="16"/>
      <c r="S258" s="16"/>
      <c r="T258" s="16"/>
      <c r="U258" s="16"/>
      <c r="V258" s="16"/>
      <c r="W258" s="16"/>
      <c r="X258" s="16"/>
      <c r="Y258" s="16"/>
      <c r="Z258" s="16"/>
    </row>
    <row r="259">
      <c r="A259" s="16" t="str">
        <f>IFERROR(__xludf.DUMMYFUNCTION("""COMPUTED_VALUE"""),"Staff Of Suffering")</f>
        <v>Staff Of Suffering</v>
      </c>
      <c r="B259" s="16"/>
      <c r="C259" s="16" t="str">
        <f>IFERROR(__xludf.DUMMYFUNCTION("""COMPUTED_VALUE"""),"Staff")</f>
        <v>Staff</v>
      </c>
      <c r="D259" s="16" t="str">
        <f>IFERROR(__xludf.DUMMYFUNCTION("""COMPUTED_VALUE"""),"Hand")</f>
        <v>Hand</v>
      </c>
      <c r="E259" s="16">
        <f>IFERROR(__xludf.DUMMYFUNCTION("""COMPUTED_VALUE"""),1.0)</f>
        <v>1</v>
      </c>
      <c r="F259" s="16" t="str">
        <f>IFERROR(__xludf.DUMMYFUNCTION("""COMPUTED_VALUE""")," ++Casts a chaotic aura around 1 target dealing 1000 unblockable damage to them each time they cast a spell.")</f>
        <v> ++Casts a chaotic aura around 1 target dealing 1000 unblockable damage to them each time they cast a spell.</v>
      </c>
      <c r="G259" s="16">
        <f>IFERROR(__xludf.DUMMYFUNCTION("""COMPUTED_VALUE"""),0.0)</f>
        <v>0</v>
      </c>
      <c r="H259" s="16"/>
      <c r="I259" s="16"/>
      <c r="J259" s="16"/>
      <c r="K259" s="16"/>
      <c r="L259" s="16"/>
      <c r="M259" s="16"/>
      <c r="N259" s="16"/>
      <c r="O259" s="16"/>
      <c r="P259" s="16"/>
      <c r="Q259" s="16"/>
      <c r="R259" s="16"/>
      <c r="S259" s="16"/>
      <c r="T259" s="16"/>
      <c r="U259" s="16"/>
      <c r="V259" s="16"/>
      <c r="W259" s="16"/>
      <c r="X259" s="16"/>
      <c r="Y259" s="16"/>
      <c r="Z259" s="16"/>
    </row>
    <row r="260">
      <c r="A260" s="16" t="str">
        <f>IFERROR(__xludf.DUMMYFUNCTION("""COMPUTED_VALUE"""),"Staff of Targeting")</f>
        <v>Staff of Targeting</v>
      </c>
      <c r="B260" s="16"/>
      <c r="C260" s="16" t="str">
        <f>IFERROR(__xludf.DUMMYFUNCTION("""COMPUTED_VALUE"""),"Staff")</f>
        <v>Staff</v>
      </c>
      <c r="D260" s="16" t="str">
        <f>IFERROR(__xludf.DUMMYFUNCTION("""COMPUTED_VALUE"""),"Hand")</f>
        <v>Hand</v>
      </c>
      <c r="E260" s="16">
        <f>IFERROR(__xludf.DUMMYFUNCTION("""COMPUTED_VALUE"""),1.0)</f>
        <v>1</v>
      </c>
      <c r="F260" s="16" t="str">
        <f>IFERROR(__xludf.DUMMYFUNCTION("""COMPUTED_VALUE""")," ++When you complain about getting targeted this staff will deal Unblockable 1,000,000 dmg to every player in the battle. +-Cannot resist or be immune to.")</f>
        <v> ++When you complain about getting targeted this staff will deal Unblockable 1,000,000 dmg to every player in the battle. +-Cannot resist or be immune to.</v>
      </c>
      <c r="G260" s="16">
        <f>IFERROR(__xludf.DUMMYFUNCTION("""COMPUTED_VALUE"""),0.0)</f>
        <v>0</v>
      </c>
      <c r="H260" s="16"/>
      <c r="I260" s="16"/>
      <c r="J260" s="16"/>
      <c r="K260" s="16"/>
      <c r="L260" s="16"/>
      <c r="M260" s="16"/>
      <c r="N260" s="16"/>
      <c r="O260" s="16"/>
      <c r="P260" s="16"/>
      <c r="Q260" s="16"/>
      <c r="R260" s="16"/>
      <c r="S260" s="16"/>
      <c r="T260" s="16"/>
      <c r="U260" s="16"/>
      <c r="V260" s="16"/>
      <c r="W260" s="16"/>
      <c r="X260" s="16"/>
      <c r="Y260" s="16"/>
      <c r="Z260" s="16"/>
    </row>
    <row r="261">
      <c r="A261" s="16" t="str">
        <f>IFERROR(__xludf.DUMMYFUNCTION("""COMPUTED_VALUE"""),"Staff of Waves")</f>
        <v>Staff of Waves</v>
      </c>
      <c r="B261" s="16"/>
      <c r="C261" s="16" t="str">
        <f>IFERROR(__xludf.DUMMYFUNCTION("""COMPUTED_VALUE"""),"Staff")</f>
        <v>Staff</v>
      </c>
      <c r="D261" s="16" t="str">
        <f>IFERROR(__xludf.DUMMYFUNCTION("""COMPUTED_VALUE"""),"Hand")</f>
        <v>Hand</v>
      </c>
      <c r="E261" s="16">
        <f>IFERROR(__xludf.DUMMYFUNCTION("""COMPUTED_VALUE"""),1.0)</f>
        <v>1</v>
      </c>
      <c r="F261" s="16" t="str">
        <f>IFERROR(__xludf.DUMMYFUNCTION("""COMPUTED_VALUE""")," ++Casts the Spell Tsunami as if you would know it.")</f>
        <v> ++Casts the Spell Tsunami as if you would know it.</v>
      </c>
      <c r="G261" s="16">
        <f>IFERROR(__xludf.DUMMYFUNCTION("""COMPUTED_VALUE"""),0.0)</f>
        <v>0</v>
      </c>
      <c r="H261" s="16"/>
      <c r="I261" s="16"/>
      <c r="J261" s="16"/>
      <c r="K261" s="16"/>
      <c r="L261" s="16"/>
      <c r="M261" s="16"/>
      <c r="N261" s="16"/>
      <c r="O261" s="16"/>
      <c r="P261" s="16"/>
      <c r="Q261" s="16"/>
      <c r="R261" s="16"/>
      <c r="S261" s="16"/>
      <c r="T261" s="16"/>
      <c r="U261" s="16"/>
      <c r="V261" s="16"/>
      <c r="W261" s="16"/>
      <c r="X261" s="16"/>
      <c r="Y261" s="16"/>
      <c r="Z261" s="16"/>
    </row>
    <row r="262">
      <c r="A262" s="16" t="str">
        <f>IFERROR(__xludf.DUMMYFUNCTION("""COMPUTED_VALUE"""),"Guard Helmet")</f>
        <v>Guard Helmet</v>
      </c>
      <c r="B262" s="16" t="str">
        <f>IFERROR(__xludf.DUMMYFUNCTION("""COMPUTED_VALUE"""),"Quest Item")</f>
        <v>Quest Item</v>
      </c>
      <c r="C262" s="16"/>
      <c r="D262" s="16" t="str">
        <f>IFERROR(__xludf.DUMMYFUNCTION("""COMPUTED_VALUE"""),"Head")</f>
        <v>Head</v>
      </c>
      <c r="E262" s="16">
        <f>IFERROR(__xludf.DUMMYFUNCTION("""COMPUTED_VALUE"""),200.0)</f>
        <v>200</v>
      </c>
      <c r="F262" s="16" t="str">
        <f>IFERROR(__xludf.DUMMYFUNCTION("""COMPUTED_VALUE"""),"DEF: +25000, Light DEF: +25000, Celestial DEF: +25000")</f>
        <v>DEF: +25000, Light DEF: +25000, Celestial DEF: +25000</v>
      </c>
      <c r="G262" s="16">
        <f>IFERROR(__xludf.DUMMYFUNCTION("""COMPUTED_VALUE"""),1.1175E8)</f>
        <v>111750000</v>
      </c>
      <c r="H262" s="16"/>
      <c r="I262" s="16"/>
      <c r="J262" s="16"/>
      <c r="K262" s="16"/>
      <c r="L262" s="16"/>
      <c r="M262" s="16"/>
      <c r="N262" s="16"/>
      <c r="O262" s="16"/>
      <c r="P262" s="16"/>
      <c r="Q262" s="16"/>
      <c r="R262" s="16"/>
      <c r="S262" s="16"/>
      <c r="T262" s="16"/>
      <c r="U262" s="16"/>
      <c r="V262" s="16"/>
      <c r="W262" s="16"/>
      <c r="X262" s="16"/>
      <c r="Y262" s="16"/>
      <c r="Z262" s="16"/>
    </row>
    <row r="263">
      <c r="A263" s="16" t="str">
        <f>IFERROR(__xludf.DUMMYFUNCTION("""COMPUTED_VALUE"""),"Guard Shield")</f>
        <v>Guard Shield</v>
      </c>
      <c r="B263" s="16" t="str">
        <f>IFERROR(__xludf.DUMMYFUNCTION("""COMPUTED_VALUE"""),"Quest Item")</f>
        <v>Quest Item</v>
      </c>
      <c r="C263" s="16" t="str">
        <f>IFERROR(__xludf.DUMMYFUNCTION("""COMPUTED_VALUE"""),"Towershield")</f>
        <v>Towershield</v>
      </c>
      <c r="D263" s="16" t="str">
        <f>IFERROR(__xludf.DUMMYFUNCTION("""COMPUTED_VALUE"""),"Hand")</f>
        <v>Hand</v>
      </c>
      <c r="E263" s="16">
        <f>IFERROR(__xludf.DUMMYFUNCTION("""COMPUTED_VALUE"""),200.0)</f>
        <v>200</v>
      </c>
      <c r="F263" s="16" t="str">
        <f>IFERROR(__xludf.DUMMYFUNCTION("""COMPUTED_VALUE"""),"DEF: +25000, Light DEF: +25000, Celestial DEF: +25000")</f>
        <v>DEF: +25000, Light DEF: +25000, Celestial DEF: +25000</v>
      </c>
      <c r="G263" s="16">
        <f>IFERROR(__xludf.DUMMYFUNCTION("""COMPUTED_VALUE"""),1.1175E8)</f>
        <v>111750000</v>
      </c>
      <c r="H263" s="16"/>
      <c r="I263" s="16"/>
      <c r="J263" s="16"/>
      <c r="K263" s="16"/>
      <c r="L263" s="16"/>
      <c r="M263" s="16"/>
      <c r="N263" s="16"/>
      <c r="O263" s="16"/>
      <c r="P263" s="16"/>
      <c r="Q263" s="16"/>
      <c r="R263" s="16"/>
      <c r="S263" s="16"/>
      <c r="T263" s="16"/>
      <c r="U263" s="16"/>
      <c r="V263" s="16"/>
      <c r="W263" s="16"/>
      <c r="X263" s="16"/>
      <c r="Y263" s="16"/>
      <c r="Z263" s="16"/>
    </row>
    <row r="264">
      <c r="A264" s="16" t="str">
        <f>IFERROR(__xludf.DUMMYFUNCTION("""COMPUTED_VALUE"""),"Guard Sword")</f>
        <v>Guard Sword</v>
      </c>
      <c r="B264" s="16" t="str">
        <f>IFERROR(__xludf.DUMMYFUNCTION("""COMPUTED_VALUE"""),"Quest Item")</f>
        <v>Quest Item</v>
      </c>
      <c r="C264" s="16" t="str">
        <f>IFERROR(__xludf.DUMMYFUNCTION("""COMPUTED_VALUE"""),"Sword")</f>
        <v>Sword</v>
      </c>
      <c r="D264" s="16" t="str">
        <f>IFERROR(__xludf.DUMMYFUNCTION("""COMPUTED_VALUE"""),"Hand")</f>
        <v>Hand</v>
      </c>
      <c r="E264" s="16">
        <f>IFERROR(__xludf.DUMMYFUNCTION("""COMPUTED_VALUE"""),200.0)</f>
        <v>200</v>
      </c>
      <c r="F264" s="16" t="str">
        <f>IFERROR(__xludf.DUMMYFUNCTION("""COMPUTED_VALUE"""),"DMG: +25000, Light DMG: +25000, Celestial DMG: +25000")</f>
        <v>DMG: +25000, Light DMG: +25000, Celestial DMG: +25000</v>
      </c>
      <c r="G264" s="16">
        <f>IFERROR(__xludf.DUMMYFUNCTION("""COMPUTED_VALUE"""),1.1175E8)</f>
        <v>111750000</v>
      </c>
      <c r="H264" s="16"/>
      <c r="I264" s="16"/>
      <c r="J264" s="16"/>
      <c r="K264" s="16"/>
      <c r="L264" s="16"/>
      <c r="M264" s="16"/>
      <c r="N264" s="16"/>
      <c r="O264" s="16"/>
      <c r="P264" s="16"/>
      <c r="Q264" s="16"/>
      <c r="R264" s="16"/>
      <c r="S264" s="16"/>
      <c r="T264" s="16"/>
      <c r="U264" s="16"/>
      <c r="V264" s="16"/>
      <c r="W264" s="16"/>
      <c r="X264" s="16"/>
      <c r="Y264" s="16"/>
      <c r="Z264" s="16"/>
    </row>
    <row r="265">
      <c r="A265" s="16" t="str">
        <f>IFERROR(__xludf.DUMMYFUNCTION("""COMPUTED_VALUE"""),"Steel Armor")</f>
        <v>Steel Armor</v>
      </c>
      <c r="B265" s="16"/>
      <c r="C265" s="16"/>
      <c r="D265" s="16" t="str">
        <f>IFERROR(__xludf.DUMMYFUNCTION("""COMPUTED_VALUE"""),"Torso")</f>
        <v>Torso</v>
      </c>
      <c r="E265" s="16">
        <f>IFERROR(__xludf.DUMMYFUNCTION("""COMPUTED_VALUE"""),1.0)</f>
        <v>1</v>
      </c>
      <c r="F265" s="16" t="str">
        <f>IFERROR(__xludf.DUMMYFUNCTION("""COMPUTED_VALUE"""),"DEF: +20")</f>
        <v>DEF: +20</v>
      </c>
      <c r="G265" s="16">
        <f>IFERROR(__xludf.DUMMYFUNCTION("""COMPUTED_VALUE"""),0.0)</f>
        <v>0</v>
      </c>
      <c r="H265" s="16"/>
      <c r="I265" s="16"/>
      <c r="J265" s="16"/>
      <c r="K265" s="16"/>
      <c r="L265" s="16"/>
      <c r="M265" s="16"/>
      <c r="N265" s="16"/>
      <c r="O265" s="16"/>
      <c r="P265" s="16"/>
      <c r="Q265" s="16"/>
      <c r="R265" s="16"/>
      <c r="S265" s="16"/>
      <c r="T265" s="16"/>
      <c r="U265" s="16"/>
      <c r="V265" s="16"/>
      <c r="W265" s="16"/>
      <c r="X265" s="16"/>
      <c r="Y265" s="16"/>
      <c r="Z265" s="16"/>
    </row>
    <row r="266">
      <c r="A266" s="16" t="str">
        <f>IFERROR(__xludf.DUMMYFUNCTION("""COMPUTED_VALUE"""),"Steel Broadsword")</f>
        <v>Steel Broadsword</v>
      </c>
      <c r="B266" s="16"/>
      <c r="C266" s="16" t="str">
        <f>IFERROR(__xludf.DUMMYFUNCTION("""COMPUTED_VALUE"""),"Sword")</f>
        <v>Sword</v>
      </c>
      <c r="D266" s="16" t="str">
        <f>IFERROR(__xludf.DUMMYFUNCTION("""COMPUTED_VALUE"""),"Hand")</f>
        <v>Hand</v>
      </c>
      <c r="E266" s="16">
        <f>IFERROR(__xludf.DUMMYFUNCTION("""COMPUTED_VALUE"""),40.0)</f>
        <v>40</v>
      </c>
      <c r="F266" s="16" t="str">
        <f>IFERROR(__xludf.DUMMYFUNCTION("""COMPUTED_VALUE"""),"DMG: +2000")</f>
        <v>DMG: +2000</v>
      </c>
      <c r="G266" s="16">
        <f>IFERROR(__xludf.DUMMYFUNCTION("""COMPUTED_VALUE"""),60000.0)</f>
        <v>60000</v>
      </c>
      <c r="H266" s="16"/>
      <c r="I266" s="16"/>
      <c r="J266" s="16"/>
      <c r="K266" s="16"/>
      <c r="L266" s="16"/>
      <c r="M266" s="16"/>
      <c r="N266" s="16"/>
      <c r="O266" s="16"/>
      <c r="P266" s="16"/>
      <c r="Q266" s="16"/>
      <c r="R266" s="16"/>
      <c r="S266" s="16"/>
      <c r="T266" s="16"/>
      <c r="U266" s="16"/>
      <c r="V266" s="16"/>
      <c r="W266" s="16"/>
      <c r="X266" s="16"/>
      <c r="Y266" s="16"/>
      <c r="Z266" s="16"/>
    </row>
    <row r="267">
      <c r="A267" s="16" t="str">
        <f>IFERROR(__xludf.DUMMYFUNCTION("""COMPUTED_VALUE"""),"Steel Sword")</f>
        <v>Steel Sword</v>
      </c>
      <c r="B267" s="16"/>
      <c r="C267" s="16" t="str">
        <f>IFERROR(__xludf.DUMMYFUNCTION("""COMPUTED_VALUE"""),"Sword")</f>
        <v>Sword</v>
      </c>
      <c r="D267" s="16" t="str">
        <f>IFERROR(__xludf.DUMMYFUNCTION("""COMPUTED_VALUE"""),"Hand")</f>
        <v>Hand</v>
      </c>
      <c r="E267" s="16">
        <f>IFERROR(__xludf.DUMMYFUNCTION("""COMPUTED_VALUE"""),10.0)</f>
        <v>10</v>
      </c>
      <c r="F267" s="16" t="str">
        <f>IFERROR(__xludf.DUMMYFUNCTION("""COMPUTED_VALUE"""),"DMG: +500")</f>
        <v>DMG: +500</v>
      </c>
      <c r="G267" s="16">
        <f>IFERROR(__xludf.DUMMYFUNCTION("""COMPUTED_VALUE"""),1000.0)</f>
        <v>1000</v>
      </c>
      <c r="H267" s="16"/>
      <c r="I267" s="16"/>
      <c r="J267" s="16"/>
      <c r="K267" s="16"/>
      <c r="L267" s="16"/>
      <c r="M267" s="16"/>
      <c r="N267" s="16"/>
      <c r="O267" s="16"/>
      <c r="P267" s="16"/>
      <c r="Q267" s="16"/>
      <c r="R267" s="16"/>
      <c r="S267" s="16"/>
      <c r="T267" s="16"/>
      <c r="U267" s="16"/>
      <c r="V267" s="16"/>
      <c r="W267" s="16"/>
      <c r="X267" s="16"/>
      <c r="Y267" s="16"/>
      <c r="Z267" s="16"/>
    </row>
    <row r="268">
      <c r="A268" s="16" t="str">
        <f>IFERROR(__xludf.DUMMYFUNCTION("""COMPUTED_VALUE"""),"Stick of Mystery ")</f>
        <v>Stick of Mystery </v>
      </c>
      <c r="B268" s="16" t="str">
        <f>IFERROR(__xludf.DUMMYFUNCTION("""COMPUTED_VALUE"""),"Those who doubt the stick's power will suffer the stick's wrath")</f>
        <v>Those who doubt the stick's power will suffer the stick's wrath</v>
      </c>
      <c r="C268" s="16" t="str">
        <f>IFERROR(__xludf.DUMMYFUNCTION("""COMPUTED_VALUE"""),"Wand")</f>
        <v>Wand</v>
      </c>
      <c r="D268" s="16" t="str">
        <f>IFERROR(__xludf.DUMMYFUNCTION("""COMPUTED_VALUE"""),"Hand")</f>
        <v>Hand</v>
      </c>
      <c r="E268" s="16">
        <f>IFERROR(__xludf.DUMMYFUNCTION("""COMPUTED_VALUE"""),1.0)</f>
        <v>1</v>
      </c>
      <c r="F268" s="16" t="str">
        <f>IFERROR(__xludf.DUMMYFUNCTION("""COMPUTED_VALUE""")," ++roll a d20 to see what it does :)")</f>
        <v> ++roll a d20 to see what it does :)</v>
      </c>
      <c r="G268" s="16">
        <f>IFERROR(__xludf.DUMMYFUNCTION("""COMPUTED_VALUE"""),0.0)</f>
        <v>0</v>
      </c>
      <c r="H268" s="16"/>
      <c r="I268" s="16"/>
      <c r="J268" s="16"/>
      <c r="K268" s="16"/>
      <c r="L268" s="16"/>
      <c r="M268" s="16"/>
      <c r="N268" s="16"/>
      <c r="O268" s="16"/>
      <c r="P268" s="16"/>
      <c r="Q268" s="16"/>
      <c r="R268" s="16"/>
      <c r="S268" s="16"/>
      <c r="T268" s="16"/>
      <c r="U268" s="16"/>
      <c r="V268" s="16"/>
      <c r="W268" s="16"/>
      <c r="X268" s="16"/>
      <c r="Y268" s="16"/>
      <c r="Z268" s="16"/>
    </row>
    <row r="269">
      <c r="A269" s="16" t="str">
        <f>IFERROR(__xludf.DUMMYFUNCTION("""COMPUTED_VALUE"""),"Stone Arming Sword")</f>
        <v>Stone Arming Sword</v>
      </c>
      <c r="B269" s="16"/>
      <c r="C269" s="16" t="str">
        <f>IFERROR(__xludf.DUMMYFUNCTION("""COMPUTED_VALUE"""),"Sword")</f>
        <v>Sword</v>
      </c>
      <c r="D269" s="16" t="str">
        <f>IFERROR(__xludf.DUMMYFUNCTION("""COMPUTED_VALUE"""),"Hand")</f>
        <v>Hand</v>
      </c>
      <c r="E269" s="16">
        <f>IFERROR(__xludf.DUMMYFUNCTION("""COMPUTED_VALUE"""),20.0)</f>
        <v>20</v>
      </c>
      <c r="F269" s="16" t="str">
        <f>IFERROR(__xludf.DUMMYFUNCTION("""COMPUTED_VALUE"""),"DMG: +500, Dark DMG: +200")</f>
        <v>DMG: +500, Dark DMG: +200</v>
      </c>
      <c r="G269" s="16">
        <f>IFERROR(__xludf.DUMMYFUNCTION("""COMPUTED_VALUE"""),1000.0)</f>
        <v>1000</v>
      </c>
      <c r="H269" s="16"/>
      <c r="I269" s="16"/>
      <c r="J269" s="16"/>
      <c r="K269" s="16"/>
      <c r="L269" s="16"/>
      <c r="M269" s="16"/>
      <c r="N269" s="16"/>
      <c r="O269" s="16"/>
      <c r="P269" s="16"/>
      <c r="Q269" s="16"/>
      <c r="R269" s="16"/>
      <c r="S269" s="16"/>
      <c r="T269" s="16"/>
      <c r="U269" s="16"/>
      <c r="V269" s="16"/>
      <c r="W269" s="16"/>
      <c r="X269" s="16"/>
      <c r="Y269" s="16"/>
      <c r="Z269" s="16"/>
    </row>
    <row r="270">
      <c r="A270" s="16" t="str">
        <f>IFERROR(__xludf.DUMMYFUNCTION("""COMPUTED_VALUE"""),"Stone Sledgehammer")</f>
        <v>Stone Sledgehammer</v>
      </c>
      <c r="B270" s="16"/>
      <c r="C270" s="16" t="str">
        <f>IFERROR(__xludf.DUMMYFUNCTION("""COMPUTED_VALUE"""),"Club")</f>
        <v>Club</v>
      </c>
      <c r="D270" s="16" t="str">
        <f>IFERROR(__xludf.DUMMYFUNCTION("""COMPUTED_VALUE"""),"Hand")</f>
        <v>Hand</v>
      </c>
      <c r="E270" s="16">
        <f>IFERROR(__xludf.DUMMYFUNCTION("""COMPUTED_VALUE"""),20.0)</f>
        <v>20</v>
      </c>
      <c r="F270" s="16" t="str">
        <f>IFERROR(__xludf.DUMMYFUNCTION("""COMPUTED_VALUE"""),"DMG: +400, Earth DMG: +200")</f>
        <v>DMG: +400, Earth DMG: +200</v>
      </c>
      <c r="G270" s="16">
        <f>IFERROR(__xludf.DUMMYFUNCTION("""COMPUTED_VALUE"""),1000.0)</f>
        <v>1000</v>
      </c>
      <c r="H270" s="16"/>
      <c r="I270" s="16"/>
      <c r="J270" s="16"/>
      <c r="K270" s="16"/>
      <c r="L270" s="16"/>
      <c r="M270" s="16"/>
      <c r="N270" s="16"/>
      <c r="O270" s="16"/>
      <c r="P270" s="16"/>
      <c r="Q270" s="16"/>
      <c r="R270" s="16"/>
      <c r="S270" s="16"/>
      <c r="T270" s="16"/>
      <c r="U270" s="16"/>
      <c r="V270" s="16"/>
      <c r="W270" s="16"/>
      <c r="X270" s="16"/>
      <c r="Y270" s="16"/>
      <c r="Z270" s="16"/>
    </row>
    <row r="271">
      <c r="A271" s="16" t="str">
        <f>IFERROR(__xludf.DUMMYFUNCTION("""COMPUTED_VALUE"""),"Stone Small Shield")</f>
        <v>Stone Small Shield</v>
      </c>
      <c r="B271" s="16"/>
      <c r="C271" s="16" t="str">
        <f>IFERROR(__xludf.DUMMYFUNCTION("""COMPUTED_VALUE"""),"Buckler")</f>
        <v>Buckler</v>
      </c>
      <c r="D271" s="16" t="str">
        <f>IFERROR(__xludf.DUMMYFUNCTION("""COMPUTED_VALUE"""),"Hand")</f>
        <v>Hand</v>
      </c>
      <c r="E271" s="16">
        <f>IFERROR(__xludf.DUMMYFUNCTION("""COMPUTED_VALUE"""),1.0)</f>
        <v>1</v>
      </c>
      <c r="F271" s="16" t="str">
        <f>IFERROR(__xludf.DUMMYFUNCTION("""COMPUTED_VALUE"""),"DEF: +100")</f>
        <v>DEF: +100</v>
      </c>
      <c r="G271" s="16">
        <f>IFERROR(__xludf.DUMMYFUNCTION("""COMPUTED_VALUE"""),0.0)</f>
        <v>0</v>
      </c>
      <c r="H271" s="16"/>
      <c r="I271" s="16"/>
      <c r="J271" s="16"/>
      <c r="K271" s="16"/>
      <c r="L271" s="16"/>
      <c r="M271" s="16"/>
      <c r="N271" s="16"/>
      <c r="O271" s="16"/>
      <c r="P271" s="16"/>
      <c r="Q271" s="16"/>
      <c r="R271" s="16"/>
      <c r="S271" s="16"/>
      <c r="T271" s="16"/>
      <c r="U271" s="16"/>
      <c r="V271" s="16"/>
      <c r="W271" s="16"/>
      <c r="X271" s="16"/>
      <c r="Y271" s="16"/>
      <c r="Z271" s="16"/>
    </row>
    <row r="272">
      <c r="A272" s="16" t="str">
        <f>IFERROR(__xludf.DUMMYFUNCTION("""COMPUTED_VALUE"""),"Stonewall Shield")</f>
        <v>Stonewall Shield</v>
      </c>
      <c r="B272" s="16"/>
      <c r="C272" s="16" t="str">
        <f>IFERROR(__xludf.DUMMYFUNCTION("""COMPUTED_VALUE"""),"Towershield")</f>
        <v>Towershield</v>
      </c>
      <c r="D272" s="16" t="str">
        <f>IFERROR(__xludf.DUMMYFUNCTION("""COMPUTED_VALUE"""),"Hand")</f>
        <v>Hand</v>
      </c>
      <c r="E272" s="16">
        <f>IFERROR(__xludf.DUMMYFUNCTION("""COMPUTED_VALUE"""),10.0)</f>
        <v>10</v>
      </c>
      <c r="F272" s="16" t="str">
        <f>IFERROR(__xludf.DUMMYFUNCTION("""COMPUTED_VALUE"""),"DEF: +500 ++Immunity to earth")</f>
        <v>DEF: +500 ++Immunity to earth</v>
      </c>
      <c r="G272" s="16">
        <f>IFERROR(__xludf.DUMMYFUNCTION("""COMPUTED_VALUE"""),1000.0)</f>
        <v>1000</v>
      </c>
      <c r="H272" s="16"/>
      <c r="I272" s="16"/>
      <c r="J272" s="16"/>
      <c r="K272" s="16"/>
      <c r="L272" s="16"/>
      <c r="M272" s="16"/>
      <c r="N272" s="16"/>
      <c r="O272" s="16"/>
      <c r="P272" s="16"/>
      <c r="Q272" s="16"/>
      <c r="R272" s="16"/>
      <c r="S272" s="16"/>
      <c r="T272" s="16"/>
      <c r="U272" s="16"/>
      <c r="V272" s="16"/>
      <c r="W272" s="16"/>
      <c r="X272" s="16"/>
      <c r="Y272" s="16"/>
      <c r="Z272" s="16"/>
    </row>
    <row r="273">
      <c r="A273" s="16" t="str">
        <f>IFERROR(__xludf.DUMMYFUNCTION("""COMPUTED_VALUE"""),"Sturdy Wooden Shield")</f>
        <v>Sturdy Wooden Shield</v>
      </c>
      <c r="B273" s="16" t="str">
        <f>IFERROR(__xludf.DUMMYFUNCTION("""COMPUTED_VALUE"""),"A wooden shield")</f>
        <v>A wooden shield</v>
      </c>
      <c r="C273" s="16" t="str">
        <f>IFERROR(__xludf.DUMMYFUNCTION("""COMPUTED_VALUE"""),"Towershield")</f>
        <v>Towershield</v>
      </c>
      <c r="D273" s="16" t="str">
        <f>IFERROR(__xludf.DUMMYFUNCTION("""COMPUTED_VALUE"""),"Hand")</f>
        <v>Hand</v>
      </c>
      <c r="E273" s="16">
        <f>IFERROR(__xludf.DUMMYFUNCTION("""COMPUTED_VALUE"""),1.0)</f>
        <v>1</v>
      </c>
      <c r="F273" s="16" t="str">
        <f>IFERROR(__xludf.DUMMYFUNCTION("""COMPUTED_VALUE"""),"DEF: +50")</f>
        <v>DEF: +50</v>
      </c>
      <c r="G273" s="16">
        <f>IFERROR(__xludf.DUMMYFUNCTION("""COMPUTED_VALUE"""),0.0)</f>
        <v>0</v>
      </c>
      <c r="H273" s="16"/>
      <c r="I273" s="16"/>
      <c r="J273" s="16"/>
      <c r="K273" s="16"/>
      <c r="L273" s="16"/>
      <c r="M273" s="16"/>
      <c r="N273" s="16"/>
      <c r="O273" s="16"/>
      <c r="P273" s="16"/>
      <c r="Q273" s="16"/>
      <c r="R273" s="16"/>
      <c r="S273" s="16"/>
      <c r="T273" s="16"/>
      <c r="U273" s="16"/>
      <c r="V273" s="16"/>
      <c r="W273" s="16"/>
      <c r="X273" s="16"/>
      <c r="Y273" s="16"/>
      <c r="Z273" s="16"/>
    </row>
    <row r="274">
      <c r="A274" s="16" t="str">
        <f>IFERROR(__xludf.DUMMYFUNCTION("""COMPUTED_VALUE"""),"Swampville Dagger")</f>
        <v>Swampville Dagger</v>
      </c>
      <c r="B274" s="16"/>
      <c r="C274" s="16" t="str">
        <f>IFERROR(__xludf.DUMMYFUNCTION("""COMPUTED_VALUE"""),"Knife")</f>
        <v>Knife</v>
      </c>
      <c r="D274" s="16" t="str">
        <f>IFERROR(__xludf.DUMMYFUNCTION("""COMPUTED_VALUE"""),"Hand")</f>
        <v>Hand</v>
      </c>
      <c r="E274" s="16">
        <f>IFERROR(__xludf.DUMMYFUNCTION("""COMPUTED_VALUE"""),400.0)</f>
        <v>400</v>
      </c>
      <c r="F274" s="16" t="str">
        <f>IFERROR(__xludf.DUMMYFUNCTION("""COMPUTED_VALUE"""),"DMG: +10000, Nature DMG: +10000 ++Poison 5000 for 3 rounds.")</f>
        <v>DMG: +10000, Nature DMG: +10000 ++Poison 5000 for 3 rounds.</v>
      </c>
      <c r="G274" s="16">
        <f>IFERROR(__xludf.DUMMYFUNCTION("""COMPUTED_VALUE"""),7800000.0)</f>
        <v>7800000</v>
      </c>
      <c r="H274" s="16"/>
      <c r="I274" s="16"/>
      <c r="J274" s="16"/>
      <c r="K274" s="16"/>
      <c r="L274" s="16"/>
      <c r="M274" s="16"/>
      <c r="N274" s="16"/>
      <c r="O274" s="16"/>
      <c r="P274" s="16"/>
      <c r="Q274" s="16"/>
      <c r="R274" s="16"/>
      <c r="S274" s="16"/>
      <c r="T274" s="16"/>
      <c r="U274" s="16"/>
      <c r="V274" s="16"/>
      <c r="W274" s="16"/>
      <c r="X274" s="16"/>
      <c r="Y274" s="16"/>
      <c r="Z274" s="16"/>
    </row>
    <row r="275">
      <c r="A275" s="16" t="str">
        <f>IFERROR(__xludf.DUMMYFUNCTION("""COMPUTED_VALUE"""),"Sword of Bad Luck")</f>
        <v>Sword of Bad Luck</v>
      </c>
      <c r="B275" s="16"/>
      <c r="C275" s="16" t="str">
        <f>IFERROR(__xludf.DUMMYFUNCTION("""COMPUTED_VALUE"""),"Sword")</f>
        <v>Sword</v>
      </c>
      <c r="D275" s="16" t="str">
        <f>IFERROR(__xludf.DUMMYFUNCTION("""COMPUTED_VALUE"""),"Hand")</f>
        <v>Hand</v>
      </c>
      <c r="E275" s="16">
        <f>IFERROR(__xludf.DUMMYFUNCTION("""COMPUTED_VALUE"""),600.0)</f>
        <v>600</v>
      </c>
      <c r="F275" s="16" t="str">
        <f>IFERROR(__xludf.DUMMYFUNCTION("""COMPUTED_VALUE"""),"DMG: +30000 ++GSteal - Steal X amount of gilders equal to the amount of damage caused with this weapon.")</f>
        <v>DMG: +30000 ++GSteal - Steal X amount of gilders equal to the amount of damage caused with this weapon.</v>
      </c>
      <c r="G275" s="16">
        <f>IFERROR(__xludf.DUMMYFUNCTION("""COMPUTED_VALUE"""),1.77E7)</f>
        <v>17700000</v>
      </c>
      <c r="H275" s="16"/>
      <c r="I275" s="16"/>
      <c r="J275" s="16"/>
      <c r="K275" s="16"/>
      <c r="L275" s="16"/>
      <c r="M275" s="16"/>
      <c r="N275" s="16"/>
      <c r="O275" s="16"/>
      <c r="P275" s="16"/>
      <c r="Q275" s="16"/>
      <c r="R275" s="16"/>
      <c r="S275" s="16"/>
      <c r="T275" s="16"/>
      <c r="U275" s="16"/>
      <c r="V275" s="16"/>
      <c r="W275" s="16"/>
      <c r="X275" s="16"/>
      <c r="Y275" s="16"/>
      <c r="Z275" s="16"/>
    </row>
    <row r="276">
      <c r="A276" s="16" t="str">
        <f>IFERROR(__xludf.DUMMYFUNCTION("""COMPUTED_VALUE"""),"Sword of Chaotic Shadows")</f>
        <v>Sword of Chaotic Shadows</v>
      </c>
      <c r="B276" s="16"/>
      <c r="C276" s="16" t="str">
        <f>IFERROR(__xludf.DUMMYFUNCTION("""COMPUTED_VALUE"""),"Sword")</f>
        <v>Sword</v>
      </c>
      <c r="D276" s="16" t="str">
        <f>IFERROR(__xludf.DUMMYFUNCTION("""COMPUTED_VALUE"""),"Hand")</f>
        <v>Hand</v>
      </c>
      <c r="E276" s="16">
        <f>IFERROR(__xludf.DUMMYFUNCTION("""COMPUTED_VALUE"""),600.0)</f>
        <v>600</v>
      </c>
      <c r="F276" s="16" t="str">
        <f>IFERROR(__xludf.DUMMYFUNCTION("""COMPUTED_VALUE"""),"DMG: +10000, Dark DMG: +10000, Chaos DMG: +10000")</f>
        <v>DMG: +10000, Dark DMG: +10000, Chaos DMG: +10000</v>
      </c>
      <c r="G276" s="16">
        <f>IFERROR(__xludf.DUMMYFUNCTION("""COMPUTED_VALUE"""),1.77E7)</f>
        <v>17700000</v>
      </c>
      <c r="H276" s="16"/>
      <c r="I276" s="16"/>
      <c r="J276" s="16"/>
      <c r="K276" s="16"/>
      <c r="L276" s="16"/>
      <c r="M276" s="16"/>
      <c r="N276" s="16"/>
      <c r="O276" s="16"/>
      <c r="P276" s="16"/>
      <c r="Q276" s="16"/>
      <c r="R276" s="16"/>
      <c r="S276" s="16"/>
      <c r="T276" s="16"/>
      <c r="U276" s="16"/>
      <c r="V276" s="16"/>
      <c r="W276" s="16"/>
      <c r="X276" s="16"/>
      <c r="Y276" s="16"/>
      <c r="Z276" s="16"/>
    </row>
    <row r="277">
      <c r="A277" s="16" t="str">
        <f>IFERROR(__xludf.DUMMYFUNCTION("""COMPUTED_VALUE"""),"Sword Of Darkness")</f>
        <v>Sword Of Darkness</v>
      </c>
      <c r="B277" s="16"/>
      <c r="C277" s="16" t="str">
        <f>IFERROR(__xludf.DUMMYFUNCTION("""COMPUTED_VALUE"""),"Sword")</f>
        <v>Sword</v>
      </c>
      <c r="D277" s="16" t="str">
        <f>IFERROR(__xludf.DUMMYFUNCTION("""COMPUTED_VALUE"""),"Hand")</f>
        <v>Hand</v>
      </c>
      <c r="E277" s="16">
        <f>IFERROR(__xludf.DUMMYFUNCTION("""COMPUTED_VALUE"""),20.0)</f>
        <v>20</v>
      </c>
      <c r="F277" s="16" t="str">
        <f>IFERROR(__xludf.DUMMYFUNCTION("""COMPUTED_VALUE"""),"DMG: +500, Dark DMG: +200")</f>
        <v>DMG: +500, Dark DMG: +200</v>
      </c>
      <c r="G277" s="16">
        <f>IFERROR(__xludf.DUMMYFUNCTION("""COMPUTED_VALUE"""),1000.0)</f>
        <v>1000</v>
      </c>
      <c r="H277" s="16"/>
      <c r="I277" s="16"/>
      <c r="J277" s="16"/>
      <c r="K277" s="16"/>
      <c r="L277" s="16"/>
      <c r="M277" s="16"/>
      <c r="N277" s="16"/>
      <c r="O277" s="16"/>
      <c r="P277" s="16"/>
      <c r="Q277" s="16"/>
      <c r="R277" s="16"/>
      <c r="S277" s="16"/>
      <c r="T277" s="16"/>
      <c r="U277" s="16"/>
      <c r="V277" s="16"/>
      <c r="W277" s="16"/>
      <c r="X277" s="16"/>
      <c r="Y277" s="16"/>
      <c r="Z277" s="16"/>
    </row>
    <row r="278">
      <c r="A278" s="16" t="str">
        <f>IFERROR(__xludf.DUMMYFUNCTION("""COMPUTED_VALUE"""),"Sword of Disorder")</f>
        <v>Sword of Disorder</v>
      </c>
      <c r="B278" s="16"/>
      <c r="C278" s="16" t="str">
        <f>IFERROR(__xludf.DUMMYFUNCTION("""COMPUTED_VALUE"""),"Sword")</f>
        <v>Sword</v>
      </c>
      <c r="D278" s="16" t="str">
        <f>IFERROR(__xludf.DUMMYFUNCTION("""COMPUTED_VALUE"""),"Hand")</f>
        <v>Hand</v>
      </c>
      <c r="E278" s="16">
        <f>IFERROR(__xludf.DUMMYFUNCTION("""COMPUTED_VALUE"""),1.0)</f>
        <v>1</v>
      </c>
      <c r="F278" s="16" t="str">
        <f>IFERROR(__xludf.DUMMYFUNCTION("""COMPUTED_VALUE""")," ++Make a fail or succeed roll while attacking to determine the effect. Fail = 1 damage. Succeed = 50,000 Chaos damage.
")</f>
        <v> ++Make a fail or succeed roll while attacking to determine the effect. Fail = 1 damage. Succeed = 50,000 Chaos damage.
</v>
      </c>
      <c r="G278" s="16">
        <f>IFERROR(__xludf.DUMMYFUNCTION("""COMPUTED_VALUE"""),0.0)</f>
        <v>0</v>
      </c>
      <c r="H278" s="16"/>
      <c r="I278" s="16"/>
      <c r="J278" s="16"/>
      <c r="K278" s="16"/>
      <c r="L278" s="16"/>
      <c r="M278" s="16"/>
      <c r="N278" s="16"/>
      <c r="O278" s="16"/>
      <c r="P278" s="16"/>
      <c r="Q278" s="16"/>
      <c r="R278" s="16"/>
      <c r="S278" s="16"/>
      <c r="T278" s="16"/>
      <c r="U278" s="16"/>
      <c r="V278" s="16"/>
      <c r="W278" s="16"/>
      <c r="X278" s="16"/>
      <c r="Y278" s="16"/>
      <c r="Z278" s="16"/>
    </row>
    <row r="279">
      <c r="A279" s="16" t="str">
        <f>IFERROR(__xludf.DUMMYFUNCTION("""COMPUTED_VALUE"""),"Sword Of Divine Flames")</f>
        <v>Sword Of Divine Flames</v>
      </c>
      <c r="B279" s="16"/>
      <c r="C279" s="16" t="str">
        <f>IFERROR(__xludf.DUMMYFUNCTION("""COMPUTED_VALUE"""),"Sword")</f>
        <v>Sword</v>
      </c>
      <c r="D279" s="16" t="str">
        <f>IFERROR(__xludf.DUMMYFUNCTION("""COMPUTED_VALUE"""),"Hand")</f>
        <v>Hand</v>
      </c>
      <c r="E279" s="16">
        <f>IFERROR(__xludf.DUMMYFUNCTION("""COMPUTED_VALUE"""),300.0)</f>
        <v>300</v>
      </c>
      <c r="F279" s="16" t="str">
        <f>IFERROR(__xludf.DUMMYFUNCTION("""COMPUTED_VALUE"""),"DMG: +10000, Fire DMG: +5000 ++Divine Flame - Fire spells and weapons will deal an additional X2 damage while this weapon is equipped")</f>
        <v>DMG: +10000, Fire DMG: +5000 ++Divine Flame - Fire spells and weapons will deal an additional X2 damage while this weapon is equipped</v>
      </c>
      <c r="G279" s="16">
        <f>IFERROR(__xludf.DUMMYFUNCTION("""COMPUTED_VALUE"""),4350000.0)</f>
        <v>4350000</v>
      </c>
      <c r="H279" s="16"/>
      <c r="I279" s="16"/>
      <c r="J279" s="16"/>
      <c r="K279" s="16"/>
      <c r="L279" s="16"/>
      <c r="M279" s="16"/>
      <c r="N279" s="16"/>
      <c r="O279" s="16"/>
      <c r="P279" s="16"/>
      <c r="Q279" s="16"/>
      <c r="R279" s="16"/>
      <c r="S279" s="16"/>
      <c r="T279" s="16"/>
      <c r="U279" s="16"/>
      <c r="V279" s="16"/>
      <c r="W279" s="16"/>
      <c r="X279" s="16"/>
      <c r="Y279" s="16"/>
      <c r="Z279" s="16"/>
    </row>
    <row r="280">
      <c r="A280" s="16" t="str">
        <f>IFERROR(__xludf.DUMMYFUNCTION("""COMPUTED_VALUE"""),"Sword of Eternal darkness")</f>
        <v>Sword of Eternal darkness</v>
      </c>
      <c r="B280" s="16"/>
      <c r="C280" s="16" t="str">
        <f>IFERROR(__xludf.DUMMYFUNCTION("""COMPUTED_VALUE"""),"Sword")</f>
        <v>Sword</v>
      </c>
      <c r="D280" s="16" t="str">
        <f>IFERROR(__xludf.DUMMYFUNCTION("""COMPUTED_VALUE"""),"Hand")</f>
        <v>Hand</v>
      </c>
      <c r="E280" s="16">
        <f>IFERROR(__xludf.DUMMYFUNCTION("""COMPUTED_VALUE"""),30.0)</f>
        <v>30</v>
      </c>
      <c r="F280" s="16" t="str">
        <f>IFERROR(__xludf.DUMMYFUNCTION("""COMPUTED_VALUE"""),"DMG: +500, Dark DMG: +600")</f>
        <v>DMG: +500, Dark DMG: +600</v>
      </c>
      <c r="G280" s="16">
        <f>IFERROR(__xludf.DUMMYFUNCTION("""COMPUTED_VALUE"""),10000.0)</f>
        <v>10000</v>
      </c>
      <c r="H280" s="16"/>
      <c r="I280" s="16"/>
      <c r="J280" s="16"/>
      <c r="K280" s="16"/>
      <c r="L280" s="16"/>
      <c r="M280" s="16"/>
      <c r="N280" s="16"/>
      <c r="O280" s="16"/>
      <c r="P280" s="16"/>
      <c r="Q280" s="16"/>
      <c r="R280" s="16"/>
      <c r="S280" s="16"/>
      <c r="T280" s="16"/>
      <c r="U280" s="16"/>
      <c r="V280" s="16"/>
      <c r="W280" s="16"/>
      <c r="X280" s="16"/>
      <c r="Y280" s="16"/>
      <c r="Z280" s="16"/>
    </row>
    <row r="281">
      <c r="A281" s="16" t="str">
        <f>IFERROR(__xludf.DUMMYFUNCTION("""COMPUTED_VALUE"""),"Hela's Death Scythe")</f>
        <v>Hela's Death Scythe</v>
      </c>
      <c r="B281" s="16"/>
      <c r="C281" s="16" t="str">
        <f>IFERROR(__xludf.DUMMYFUNCTION("""COMPUTED_VALUE"""),"Scythe")</f>
        <v>Scythe</v>
      </c>
      <c r="D281" s="16" t="str">
        <f>IFERROR(__xludf.DUMMYFUNCTION("""COMPUTED_VALUE"""),"Hand")</f>
        <v>Hand</v>
      </c>
      <c r="E281" s="16">
        <f>IFERROR(__xludf.DUMMYFUNCTION("""COMPUTED_VALUE"""),1.0)</f>
        <v>1</v>
      </c>
      <c r="F281" s="16" t="str">
        <f>IFERROR(__xludf.DUMMYFUNCTION("""COMPUTED_VALUE"""),"DMG: +0, Spirit DMG: +0 ++Soul Enhanced - This sword can be enchanted with any soul to increase its Natural and Spirit damage, Each soul enchanted into this sword gives it an additional 200 natural and spirit damage. +-Cannot be forged +-Cannot be duplica"&amp;"ted
Souls 0/3000")</f>
        <v>DMG: +0, Spirit DMG: +0 ++Soul Enhanced - This sword can be enchanted with any soul to increase its Natural and Spirit damage, Each soul enchanted into this sword gives it an additional 200 natural and spirit damage. +-Cannot be forged +-Cannot be duplicated
Souls 0/3000</v>
      </c>
      <c r="G281" s="16">
        <f>IFERROR(__xludf.DUMMYFUNCTION("""COMPUTED_VALUE"""),0.0)</f>
        <v>0</v>
      </c>
      <c r="H281" s="16"/>
      <c r="I281" s="16"/>
      <c r="J281" s="16"/>
      <c r="K281" s="16"/>
      <c r="L281" s="16"/>
      <c r="M281" s="16"/>
      <c r="N281" s="16"/>
      <c r="O281" s="16"/>
      <c r="P281" s="16"/>
      <c r="Q281" s="16"/>
      <c r="R281" s="16"/>
      <c r="S281" s="16"/>
      <c r="T281" s="16"/>
      <c r="U281" s="16"/>
      <c r="V281" s="16"/>
      <c r="W281" s="16"/>
      <c r="X281" s="16"/>
      <c r="Y281" s="16"/>
      <c r="Z281" s="16"/>
    </row>
    <row r="282">
      <c r="A282" s="16" t="str">
        <f>IFERROR(__xludf.DUMMYFUNCTION("""COMPUTED_VALUE"""),"Sword of Nature’s Love")</f>
        <v>Sword of Nature’s Love</v>
      </c>
      <c r="B282" s="16"/>
      <c r="C282" s="16" t="str">
        <f>IFERROR(__xludf.DUMMYFUNCTION("""COMPUTED_VALUE"""),"Sword")</f>
        <v>Sword</v>
      </c>
      <c r="D282" s="16" t="str">
        <f>IFERROR(__xludf.DUMMYFUNCTION("""COMPUTED_VALUE"""),"Hand")</f>
        <v>Hand</v>
      </c>
      <c r="E282" s="16">
        <f>IFERROR(__xludf.DUMMYFUNCTION("""COMPUTED_VALUE"""),160.0)</f>
        <v>160</v>
      </c>
      <c r="F282" s="16" t="str">
        <f>IFERROR(__xludf.DUMMYFUNCTION("""COMPUTED_VALUE"""),"DMG: +4000, Nature DMG: +4000 ++Nature's Power - any damage dealt by this weapon gives HP back to the user equal to the damage dealt.")</f>
        <v>DMG: +4000, Nature DMG: +4000 ++Nature's Power - any damage dealt by this weapon gives HP back to the user equal to the damage dealt.</v>
      </c>
      <c r="G282" s="16">
        <f>IFERROR(__xludf.DUMMYFUNCTION("""COMPUTED_VALUE"""),1200000.0)</f>
        <v>1200000</v>
      </c>
      <c r="H282" s="16"/>
      <c r="I282" s="16"/>
      <c r="J282" s="16"/>
      <c r="K282" s="16"/>
      <c r="L282" s="16"/>
      <c r="M282" s="16"/>
      <c r="N282" s="16"/>
      <c r="O282" s="16"/>
      <c r="P282" s="16"/>
      <c r="Q282" s="16"/>
      <c r="R282" s="16"/>
      <c r="S282" s="16"/>
      <c r="T282" s="16"/>
      <c r="U282" s="16"/>
      <c r="V282" s="16"/>
      <c r="W282" s="16"/>
      <c r="X282" s="16"/>
      <c r="Y282" s="16"/>
      <c r="Z282" s="16"/>
    </row>
    <row r="283">
      <c r="A283" s="16" t="str">
        <f>IFERROR(__xludf.DUMMYFUNCTION("""COMPUTED_VALUE"""),"Sword of Shadows")</f>
        <v>Sword of Shadows</v>
      </c>
      <c r="B283" s="16"/>
      <c r="C283" s="16" t="str">
        <f>IFERROR(__xludf.DUMMYFUNCTION("""COMPUTED_VALUE"""),"Sword")</f>
        <v>Sword</v>
      </c>
      <c r="D283" s="16" t="str">
        <f>IFERROR(__xludf.DUMMYFUNCTION("""COMPUTED_VALUE"""),"Hand")</f>
        <v>Hand</v>
      </c>
      <c r="E283" s="16">
        <f>IFERROR(__xludf.DUMMYFUNCTION("""COMPUTED_VALUE"""),30.0)</f>
        <v>30</v>
      </c>
      <c r="F283" s="16" t="str">
        <f>IFERROR(__xludf.DUMMYFUNCTION("""COMPUTED_VALUE"""),"DMG: +1000, Dark DMG: +500")</f>
        <v>DMG: +1000, Dark DMG: +500</v>
      </c>
      <c r="G283" s="16">
        <f>IFERROR(__xludf.DUMMYFUNCTION("""COMPUTED_VALUE"""),30000.0)</f>
        <v>30000</v>
      </c>
      <c r="H283" s="16"/>
      <c r="I283" s="16"/>
      <c r="J283" s="16"/>
      <c r="K283" s="16"/>
      <c r="L283" s="16"/>
      <c r="M283" s="16"/>
      <c r="N283" s="16"/>
      <c r="O283" s="16"/>
      <c r="P283" s="16"/>
      <c r="Q283" s="16"/>
      <c r="R283" s="16"/>
      <c r="S283" s="16"/>
      <c r="T283" s="16"/>
      <c r="U283" s="16"/>
      <c r="V283" s="16"/>
      <c r="W283" s="16"/>
      <c r="X283" s="16"/>
      <c r="Y283" s="16"/>
      <c r="Z283" s="16"/>
    </row>
    <row r="284">
      <c r="A284" s="16" t="str">
        <f>IFERROR(__xludf.DUMMYFUNCTION("""COMPUTED_VALUE"""),"Sword of Steel")</f>
        <v>Sword of Steel</v>
      </c>
      <c r="B284" s="16"/>
      <c r="C284" s="16" t="str">
        <f>IFERROR(__xludf.DUMMYFUNCTION("""COMPUTED_VALUE"""),"Sword")</f>
        <v>Sword</v>
      </c>
      <c r="D284" s="16" t="str">
        <f>IFERROR(__xludf.DUMMYFUNCTION("""COMPUTED_VALUE"""),"Hand")</f>
        <v>Hand</v>
      </c>
      <c r="E284" s="16">
        <f>IFERROR(__xludf.DUMMYFUNCTION("""COMPUTED_VALUE"""),1.0)</f>
        <v>1</v>
      </c>
      <c r="F284" s="16" t="str">
        <f>IFERROR(__xludf.DUMMYFUNCTION("""COMPUTED_VALUE"""),"DMG: +300")</f>
        <v>DMG: +300</v>
      </c>
      <c r="G284" s="16">
        <f>IFERROR(__xludf.DUMMYFUNCTION("""COMPUTED_VALUE"""),0.0)</f>
        <v>0</v>
      </c>
      <c r="H284" s="16"/>
      <c r="I284" s="16"/>
      <c r="J284" s="16"/>
      <c r="K284" s="16"/>
      <c r="L284" s="16"/>
      <c r="M284" s="16"/>
      <c r="N284" s="16"/>
      <c r="O284" s="16"/>
      <c r="P284" s="16"/>
      <c r="Q284" s="16"/>
      <c r="R284" s="16"/>
      <c r="S284" s="16"/>
      <c r="T284" s="16"/>
      <c r="U284" s="16"/>
      <c r="V284" s="16"/>
      <c r="W284" s="16"/>
      <c r="X284" s="16"/>
      <c r="Y284" s="16"/>
      <c r="Z284" s="16"/>
    </row>
    <row r="285">
      <c r="A285" s="16" t="str">
        <f>IFERROR(__xludf.DUMMYFUNCTION("""COMPUTED_VALUE"""),"Sword of The Abyss")</f>
        <v>Sword of The Abyss</v>
      </c>
      <c r="B285" s="16"/>
      <c r="C285" s="16" t="str">
        <f>IFERROR(__xludf.DUMMYFUNCTION("""COMPUTED_VALUE"""),"Sword")</f>
        <v>Sword</v>
      </c>
      <c r="D285" s="16" t="str">
        <f>IFERROR(__xludf.DUMMYFUNCTION("""COMPUTED_VALUE"""),"Hand")</f>
        <v>Hand</v>
      </c>
      <c r="E285" s="16">
        <f>IFERROR(__xludf.DUMMYFUNCTION("""COMPUTED_VALUE"""),260.0)</f>
        <v>260</v>
      </c>
      <c r="F285" s="16" t="str">
        <f>IFERROR(__xludf.DUMMYFUNCTION("""COMPUTED_VALUE"""),"DMG: +8000, Dark DMG: +5000 ++Abyss Embodiment - dark damage is increased by X2 for the user.")</f>
        <v>DMG: +8000, Dark DMG: +5000 ++Abyss Embodiment - dark damage is increased by X2 for the user.</v>
      </c>
      <c r="G285" s="16">
        <f>IFERROR(__xludf.DUMMYFUNCTION("""COMPUTED_VALUE"""),3250000.0)</f>
        <v>3250000</v>
      </c>
      <c r="H285" s="16"/>
      <c r="I285" s="16"/>
      <c r="J285" s="16"/>
      <c r="K285" s="16"/>
      <c r="L285" s="16"/>
      <c r="M285" s="16"/>
      <c r="N285" s="16"/>
      <c r="O285" s="16"/>
      <c r="P285" s="16"/>
      <c r="Q285" s="16"/>
      <c r="R285" s="16"/>
      <c r="S285" s="16"/>
      <c r="T285" s="16"/>
      <c r="U285" s="16"/>
      <c r="V285" s="16"/>
      <c r="W285" s="16"/>
      <c r="X285" s="16"/>
      <c r="Y285" s="16"/>
      <c r="Z285" s="16"/>
    </row>
    <row r="286">
      <c r="A286" s="16" t="str">
        <f>IFERROR(__xludf.DUMMYFUNCTION("""COMPUTED_VALUE"""),"Sword of The Ancient Fire Serpent")</f>
        <v>Sword of The Ancient Fire Serpent</v>
      </c>
      <c r="B286" s="16"/>
      <c r="C286" s="16" t="str">
        <f>IFERROR(__xludf.DUMMYFUNCTION("""COMPUTED_VALUE"""),"Sword")</f>
        <v>Sword</v>
      </c>
      <c r="D286" s="16" t="str">
        <f>IFERROR(__xludf.DUMMYFUNCTION("""COMPUTED_VALUE"""),"Hand")</f>
        <v>Hand</v>
      </c>
      <c r="E286" s="16">
        <f>IFERROR(__xludf.DUMMYFUNCTION("""COMPUTED_VALUE"""),2000.0)</f>
        <v>2000</v>
      </c>
      <c r="F286" s="16" t="str">
        <f>IFERROR(__xludf.DUMMYFUNCTION("""COMPUTED_VALUE"""),"DMG: +50000, Fire DMG: +50000 ++ Burn 50,000. ++Serpents Luck - +5 can be added to the users d20 rolls. +-Cannot be duplicated.")</f>
        <v>DMG: +50000, Fire DMG: +50000 ++ Burn 50,000. ++Serpents Luck - +5 can be added to the users d20 rolls. +-Cannot be duplicated.</v>
      </c>
      <c r="G286" s="16">
        <f>IFERROR(__xludf.DUMMYFUNCTION("""COMPUTED_VALUE"""),1.99E8)</f>
        <v>199000000</v>
      </c>
      <c r="H286" s="16"/>
      <c r="I286" s="16"/>
      <c r="J286" s="16"/>
      <c r="K286" s="16"/>
      <c r="L286" s="16"/>
      <c r="M286" s="16"/>
      <c r="N286" s="16"/>
      <c r="O286" s="16"/>
      <c r="P286" s="16"/>
      <c r="Q286" s="16"/>
      <c r="R286" s="16"/>
      <c r="S286" s="16"/>
      <c r="T286" s="16"/>
      <c r="U286" s="16"/>
      <c r="V286" s="16"/>
      <c r="W286" s="16"/>
      <c r="X286" s="16"/>
      <c r="Y286" s="16"/>
      <c r="Z286" s="16"/>
    </row>
    <row r="287">
      <c r="A287" s="16" t="str">
        <f>IFERROR(__xludf.DUMMYFUNCTION("""COMPUTED_VALUE"""),"Sword of The Burning Forest")</f>
        <v>Sword of The Burning Forest</v>
      </c>
      <c r="B287" s="16" t="str">
        <f>IFERROR(__xludf.DUMMYFUNCTION("""COMPUTED_VALUE"""),"A sword forged by mekana to obliterate natural environments.")</f>
        <v>A sword forged by mekana to obliterate natural environments.</v>
      </c>
      <c r="C287" s="16" t="str">
        <f>IFERROR(__xludf.DUMMYFUNCTION("""COMPUTED_VALUE"""),"Sword")</f>
        <v>Sword</v>
      </c>
      <c r="D287" s="16" t="str">
        <f>IFERROR(__xludf.DUMMYFUNCTION("""COMPUTED_VALUE"""),"Hand")</f>
        <v>Hand</v>
      </c>
      <c r="E287" s="16">
        <f>IFERROR(__xludf.DUMMYFUNCTION("""COMPUTED_VALUE"""),600.0)</f>
        <v>600</v>
      </c>
      <c r="F287" s="16" t="str">
        <f>IFERROR(__xludf.DUMMYFUNCTION("""COMPUTED_VALUE"""),"DMG: +20000, Fire DMG: +10000 ++Forest Fire- Burn 10,000, x4 fire damage while in a natural environment.")</f>
        <v>DMG: +20000, Fire DMG: +10000 ++Forest Fire- Burn 10,000, x4 fire damage while in a natural environment.</v>
      </c>
      <c r="G287" s="16">
        <f>IFERROR(__xludf.DUMMYFUNCTION("""COMPUTED_VALUE"""),1.77E7)</f>
        <v>17700000</v>
      </c>
      <c r="H287" s="16"/>
      <c r="I287" s="16"/>
      <c r="J287" s="16"/>
      <c r="K287" s="16"/>
      <c r="L287" s="16"/>
      <c r="M287" s="16"/>
      <c r="N287" s="16"/>
      <c r="O287" s="16"/>
      <c r="P287" s="16"/>
      <c r="Q287" s="16"/>
      <c r="R287" s="16"/>
      <c r="S287" s="16"/>
      <c r="T287" s="16"/>
      <c r="U287" s="16"/>
      <c r="V287" s="16"/>
      <c r="W287" s="16"/>
      <c r="X287" s="16"/>
      <c r="Y287" s="16"/>
      <c r="Z287" s="16"/>
    </row>
    <row r="288">
      <c r="A288" s="16" t="str">
        <f>IFERROR(__xludf.DUMMYFUNCTION("""COMPUTED_VALUE"""),"Sword of The Crystal Chosen")</f>
        <v>Sword of The Crystal Chosen</v>
      </c>
      <c r="B288" s="16"/>
      <c r="C288" s="16" t="str">
        <f>IFERROR(__xludf.DUMMYFUNCTION("""COMPUTED_VALUE"""),"Sword")</f>
        <v>Sword</v>
      </c>
      <c r="D288" s="16" t="str">
        <f>IFERROR(__xludf.DUMMYFUNCTION("""COMPUTED_VALUE"""),"Hand")</f>
        <v>Hand</v>
      </c>
      <c r="E288" s="16">
        <f>IFERROR(__xludf.DUMMYFUNCTION("""COMPUTED_VALUE"""),400.0)</f>
        <v>400</v>
      </c>
      <c r="F288" s="16" t="str">
        <f>IFERROR(__xludf.DUMMYFUNCTION("""COMPUTED_VALUE"""),"DMG: +10000, Earth DMG: +10000 ++The Chosen Crystal - When Equipped any damage dealt by a Crystal or Gem related weapon is X4. +-Cannot be duplicated.")</f>
        <v>DMG: +10000, Earth DMG: +10000 ++The Chosen Crystal - When Equipped any damage dealt by a Crystal or Gem related weapon is X4. +-Cannot be duplicated.</v>
      </c>
      <c r="G288" s="16">
        <f>IFERROR(__xludf.DUMMYFUNCTION("""COMPUTED_VALUE"""),7800000.0)</f>
        <v>7800000</v>
      </c>
      <c r="H288" s="16"/>
      <c r="I288" s="16"/>
      <c r="J288" s="16"/>
      <c r="K288" s="16"/>
      <c r="L288" s="16"/>
      <c r="M288" s="16"/>
      <c r="N288" s="16"/>
      <c r="O288" s="16"/>
      <c r="P288" s="16"/>
      <c r="Q288" s="16"/>
      <c r="R288" s="16"/>
      <c r="S288" s="16"/>
      <c r="T288" s="16"/>
      <c r="U288" s="16"/>
      <c r="V288" s="16"/>
      <c r="W288" s="16"/>
      <c r="X288" s="16"/>
      <c r="Y288" s="16"/>
      <c r="Z288" s="16"/>
    </row>
    <row r="289">
      <c r="A289" s="16" t="str">
        <f>IFERROR(__xludf.DUMMYFUNCTION("""COMPUTED_VALUE"""),"Sword Of The Cursed Naga")</f>
        <v>Sword Of The Cursed Naga</v>
      </c>
      <c r="B289" s="16"/>
      <c r="C289" s="16" t="str">
        <f>IFERROR(__xludf.DUMMYFUNCTION("""COMPUTED_VALUE"""),"Sword")</f>
        <v>Sword</v>
      </c>
      <c r="D289" s="16" t="str">
        <f>IFERROR(__xludf.DUMMYFUNCTION("""COMPUTED_VALUE"""),"Hand")</f>
        <v>Hand</v>
      </c>
      <c r="E289" s="16">
        <f>IFERROR(__xludf.DUMMYFUNCTION("""COMPUTED_VALUE"""),200.0)</f>
        <v>200</v>
      </c>
      <c r="F289" s="16" t="str">
        <f>IFERROR(__xludf.DUMMYFUNCTION("""COMPUTED_VALUE"""),"DMG: +10000, Earth DMG: +50000, Blood DMG: +50000, Celestial DMG: +10000 ++Earth Charmer - Earth attacks will deal an additional X4 damage while this weapon is equipped.
++Poison Charmer - Poison 50,000 p/r.")</f>
        <v>DMG: +10000, Earth DMG: +50000, Blood DMG: +50000, Celestial DMG: +10000 ++Earth Charmer - Earth attacks will deal an additional X4 damage while this weapon is equipped.
++Poison Charmer - Poison 50,000 p/r.</v>
      </c>
      <c r="G289" s="16">
        <f>IFERROR(__xludf.DUMMYFUNCTION("""COMPUTED_VALUE"""),2.868E8)</f>
        <v>286800000</v>
      </c>
      <c r="H289" s="16"/>
      <c r="I289" s="16"/>
      <c r="J289" s="16"/>
      <c r="K289" s="16"/>
      <c r="L289" s="16"/>
      <c r="M289" s="16"/>
      <c r="N289" s="16"/>
      <c r="O289" s="16"/>
      <c r="P289" s="16"/>
      <c r="Q289" s="16"/>
      <c r="R289" s="16"/>
      <c r="S289" s="16"/>
      <c r="T289" s="16"/>
      <c r="U289" s="16"/>
      <c r="V289" s="16"/>
      <c r="W289" s="16"/>
      <c r="X289" s="16"/>
      <c r="Y289" s="16"/>
      <c r="Z289" s="16"/>
    </row>
    <row r="290">
      <c r="A290" s="16" t="str">
        <f>IFERROR(__xludf.DUMMYFUNCTION("""COMPUTED_VALUE"""),"Sword Of The Dragons Blood")</f>
        <v>Sword Of The Dragons Blood</v>
      </c>
      <c r="B290" s="16"/>
      <c r="C290" s="16" t="str">
        <f>IFERROR(__xludf.DUMMYFUNCTION("""COMPUTED_VALUE"""),"Sword")</f>
        <v>Sword</v>
      </c>
      <c r="D290" s="16" t="str">
        <f>IFERROR(__xludf.DUMMYFUNCTION("""COMPUTED_VALUE"""),"Hand")</f>
        <v>Hand</v>
      </c>
      <c r="E290" s="16">
        <f>IFERROR(__xludf.DUMMYFUNCTION("""COMPUTED_VALUE"""),1500.0)</f>
        <v>1500</v>
      </c>
      <c r="F290" s="16" t="str">
        <f>IFERROR(__xludf.DUMMYFUNCTION("""COMPUTED_VALUE"""),"DMG: +50000, Blood DMG: +25000 ++Burning Blood: Upon a successful hit; 5000 bleed and burn until the enemy dies.")</f>
        <v>DMG: +50000, Blood DMG: +25000 ++Burning Blood: Upon a successful hit; 5000 bleed and burn until the enemy dies.</v>
      </c>
      <c r="G290" s="16">
        <f>IFERROR(__xludf.DUMMYFUNCTION("""COMPUTED_VALUE"""),1.1175E8)</f>
        <v>111750000</v>
      </c>
      <c r="H290" s="16"/>
      <c r="I290" s="16"/>
      <c r="J290" s="16"/>
      <c r="K290" s="16"/>
      <c r="L290" s="16"/>
      <c r="M290" s="16"/>
      <c r="N290" s="16"/>
      <c r="O290" s="16"/>
      <c r="P290" s="16"/>
      <c r="Q290" s="16"/>
      <c r="R290" s="16"/>
      <c r="S290" s="16"/>
      <c r="T290" s="16"/>
      <c r="U290" s="16"/>
      <c r="V290" s="16"/>
      <c r="W290" s="16"/>
      <c r="X290" s="16"/>
      <c r="Y290" s="16"/>
      <c r="Z290" s="16"/>
    </row>
    <row r="291">
      <c r="A291" s="16" t="str">
        <f>IFERROR(__xludf.DUMMYFUNCTION("""COMPUTED_VALUE"""),"Sword of The Haunted Mansion")</f>
        <v>Sword of The Haunted Mansion</v>
      </c>
      <c r="B291" s="16" t="str">
        <f>IFERROR(__xludf.DUMMYFUNCTION("""COMPUTED_VALUE"""),"Halloween exclusive")</f>
        <v>Halloween exclusive</v>
      </c>
      <c r="C291" s="16" t="str">
        <f>IFERROR(__xludf.DUMMYFUNCTION("""COMPUTED_VALUE"""),"Sword")</f>
        <v>Sword</v>
      </c>
      <c r="D291" s="16" t="str">
        <f>IFERROR(__xludf.DUMMYFUNCTION("""COMPUTED_VALUE"""),"Hand")</f>
        <v>Hand</v>
      </c>
      <c r="E291" s="16">
        <f>IFERROR(__xludf.DUMMYFUNCTION("""COMPUTED_VALUE"""),200.0)</f>
        <v>200</v>
      </c>
      <c r="F291" s="16" t="str">
        <f>IFERROR(__xludf.DUMMYFUNCTION("""COMPUTED_VALUE"""),"DMG: +20000, Fire DMG: +20000, Dark DMG: +20000, Chaos DMG: +20000, Celestial DMG: +20000 ++Hallows Welcome: All enemies roll a d20 at the beginning of battle; All enemies that roll a 10 or lower start with 0 base defense and 0 evasion, All enemies that r"&amp;"oll a 11 or higher start with X2 defense and ++5 additional evasion. +-Cannot be forged +-Cannot be duplicated")</f>
        <v>DMG: +20000, Fire DMG: +20000, Dark DMG: +20000, Chaos DMG: +20000, Celestial DMG: +20000 ++Hallows Welcome: All enemies roll a d20 at the beginning of battle; All enemies that roll a 10 or lower start with 0 base defense and 0 evasion, All enemies that roll a 11 or higher start with X2 defense and ++5 additional evasion. +-Cannot be forged +-Cannot be duplicated</v>
      </c>
      <c r="G291" s="16">
        <f>IFERROR(__xludf.DUMMYFUNCTION("""COMPUTED_VALUE"""),1.99E8)</f>
        <v>199000000</v>
      </c>
      <c r="H291" s="16"/>
      <c r="I291" s="16"/>
      <c r="J291" s="16"/>
      <c r="K291" s="16"/>
      <c r="L291" s="16"/>
      <c r="M291" s="16"/>
      <c r="N291" s="16"/>
      <c r="O291" s="16"/>
      <c r="P291" s="16"/>
      <c r="Q291" s="16"/>
      <c r="R291" s="16"/>
      <c r="S291" s="16"/>
      <c r="T291" s="16"/>
      <c r="U291" s="16"/>
      <c r="V291" s="16"/>
      <c r="W291" s="16"/>
      <c r="X291" s="16"/>
      <c r="Y291" s="16"/>
      <c r="Z291" s="16"/>
    </row>
    <row r="292">
      <c r="A292" s="16" t="str">
        <f>IFERROR(__xludf.DUMMYFUNCTION("""COMPUTED_VALUE"""),"Sword Of The Honorable Samurai")</f>
        <v>Sword Of The Honorable Samurai</v>
      </c>
      <c r="B292" s="16"/>
      <c r="C292" s="16" t="str">
        <f>IFERROR(__xludf.DUMMYFUNCTION("""COMPUTED_VALUE"""),"Sword")</f>
        <v>Sword</v>
      </c>
      <c r="D292" s="16" t="str">
        <f>IFERROR(__xludf.DUMMYFUNCTION("""COMPUTED_VALUE"""),"Hand")</f>
        <v>Hand</v>
      </c>
      <c r="E292" s="16">
        <f>IFERROR(__xludf.DUMMYFUNCTION("""COMPUTED_VALUE"""),400.0)</f>
        <v>400</v>
      </c>
      <c r="F292" s="16" t="str">
        <f>IFERROR(__xludf.DUMMYFUNCTION("""COMPUTED_VALUE"""),"DMG: +10000, Light DMG: +5000, Order DMG: +5000")</f>
        <v>DMG: +10000, Light DMG: +5000, Order DMG: +5000</v>
      </c>
      <c r="G292" s="16">
        <f>IFERROR(__xludf.DUMMYFUNCTION("""COMPUTED_VALUE"""),7800000.0)</f>
        <v>7800000</v>
      </c>
      <c r="H292" s="16"/>
      <c r="I292" s="16"/>
      <c r="J292" s="16"/>
      <c r="K292" s="16"/>
      <c r="L292" s="16"/>
      <c r="M292" s="16"/>
      <c r="N292" s="16"/>
      <c r="O292" s="16"/>
      <c r="P292" s="16"/>
      <c r="Q292" s="16"/>
      <c r="R292" s="16"/>
      <c r="S292" s="16"/>
      <c r="T292" s="16"/>
      <c r="U292" s="16"/>
      <c r="V292" s="16"/>
      <c r="W292" s="16"/>
      <c r="X292" s="16"/>
      <c r="Y292" s="16"/>
      <c r="Z292" s="16"/>
    </row>
    <row r="293">
      <c r="A293" s="16" t="str">
        <f>IFERROR(__xludf.DUMMYFUNCTION("""COMPUTED_VALUE"""),"Sword of The Crystal King")</f>
        <v>Sword of The Crystal King</v>
      </c>
      <c r="B293" s="16"/>
      <c r="C293" s="16" t="str">
        <f>IFERROR(__xludf.DUMMYFUNCTION("""COMPUTED_VALUE"""),"Sword")</f>
        <v>Sword</v>
      </c>
      <c r="D293" s="16" t="str">
        <f>IFERROR(__xludf.DUMMYFUNCTION("""COMPUTED_VALUE"""),"Hand")</f>
        <v>Hand</v>
      </c>
      <c r="E293" s="16">
        <f>IFERROR(__xludf.DUMMYFUNCTION("""COMPUTED_VALUE"""),200.0)</f>
        <v>200</v>
      </c>
      <c r="F293" s="16" t="str">
        <f>IFERROR(__xludf.DUMMYFUNCTION("""COMPUTED_VALUE"""),"DMG: +20000, Earth DMG: +20000, Celestial DMG: +10000 ++Crystal Kings Power - Damage dealt by this weapon gives you SP back equal to the damage you deal. ++ Crystal Embodyment - When Equipped any damage dealt by a Crystal or Gem related weapon is X8 for t"&amp;"he user. +-Cannot be duplicated.")</f>
        <v>DMG: +20000, Earth DMG: +20000, Celestial DMG: +10000 ++Crystal Kings Power - Damage dealt by this weapon gives you SP back equal to the damage you deal. ++ Crystal Embodyment - When Equipped any damage dealt by a Crystal or Gem related weapon is X8 for the user. +-Cannot be duplicated.</v>
      </c>
      <c r="G293" s="16">
        <f>IFERROR(__xludf.DUMMYFUNCTION("""COMPUTED_VALUE"""),4.95E7)</f>
        <v>49500000</v>
      </c>
      <c r="H293" s="16"/>
      <c r="I293" s="16"/>
      <c r="J293" s="16"/>
      <c r="K293" s="16"/>
      <c r="L293" s="16"/>
      <c r="M293" s="16"/>
      <c r="N293" s="16"/>
      <c r="O293" s="16"/>
      <c r="P293" s="16"/>
      <c r="Q293" s="16"/>
      <c r="R293" s="16"/>
      <c r="S293" s="16"/>
      <c r="T293" s="16"/>
      <c r="U293" s="16"/>
      <c r="V293" s="16"/>
      <c r="W293" s="16"/>
      <c r="X293" s="16"/>
      <c r="Y293" s="16"/>
      <c r="Z293" s="16"/>
    </row>
    <row r="294">
      <c r="A294" s="16" t="str">
        <f>IFERROR(__xludf.DUMMYFUNCTION("""COMPUTED_VALUE"""),"Sword of The Many Heroes")</f>
        <v>Sword of The Many Heroes</v>
      </c>
      <c r="B294" s="16"/>
      <c r="C294" s="16" t="str">
        <f>IFERROR(__xludf.DUMMYFUNCTION("""COMPUTED_VALUE"""),"Sword")</f>
        <v>Sword</v>
      </c>
      <c r="D294" s="16" t="str">
        <f>IFERROR(__xludf.DUMMYFUNCTION("""COMPUTED_VALUE"""),"Hand")</f>
        <v>Hand</v>
      </c>
      <c r="E294" s="16">
        <f>IFERROR(__xludf.DUMMYFUNCTION("""COMPUTED_VALUE"""),200.0)</f>
        <v>200</v>
      </c>
      <c r="F294" s="16" t="str">
        <f>IFERROR(__xludf.DUMMYFUNCTION("""COMPUTED_VALUE"""),"DMG: +100000, Celestial DMG: +500000 ++While you have this sword equipped and you have 4+ party members among your party, You and your allies deal X4 additional damage with weapons only. +-Cannot be duplicated")</f>
        <v>DMG: +100000, Celestial DMG: +500000 ++While you have this sword equipped and you have 4+ party members among your party, You and your allies deal X4 additional damage with weapons only. +-Cannot be duplicated</v>
      </c>
      <c r="G294" s="16">
        <f>IFERROR(__xludf.DUMMYFUNCTION("""COMPUTED_VALUE"""),7.194E9)</f>
        <v>7194000000</v>
      </c>
      <c r="H294" s="16"/>
      <c r="I294" s="16"/>
      <c r="J294" s="16"/>
      <c r="K294" s="16"/>
      <c r="L294" s="16"/>
      <c r="M294" s="16"/>
      <c r="N294" s="16"/>
      <c r="O294" s="16"/>
      <c r="P294" s="16"/>
      <c r="Q294" s="16"/>
      <c r="R294" s="16"/>
      <c r="S294" s="16"/>
      <c r="T294" s="16"/>
      <c r="U294" s="16"/>
      <c r="V294" s="16"/>
      <c r="W294" s="16"/>
      <c r="X294" s="16"/>
      <c r="Y294" s="16"/>
      <c r="Z294" s="16"/>
    </row>
    <row r="295">
      <c r="A295" s="16" t="str">
        <f>IFERROR(__xludf.DUMMYFUNCTION("""COMPUTED_VALUE"""),"Sword Of The Reaper")</f>
        <v>Sword Of The Reaper</v>
      </c>
      <c r="B295" s="16"/>
      <c r="C295" s="16" t="str">
        <f>IFERROR(__xludf.DUMMYFUNCTION("""COMPUTED_VALUE"""),"Sword")</f>
        <v>Sword</v>
      </c>
      <c r="D295" s="16" t="str">
        <f>IFERROR(__xludf.DUMMYFUNCTION("""COMPUTED_VALUE"""),"Hand")</f>
        <v>Hand</v>
      </c>
      <c r="E295" s="16">
        <f>IFERROR(__xludf.DUMMYFUNCTION("""COMPUTED_VALUE"""),200.0)</f>
        <v>200</v>
      </c>
      <c r="F295" s="16" t="str">
        <f>IFERROR(__xludf.DUMMYFUNCTION("""COMPUTED_VALUE"""),"DMG: +5000, Celestial DMG: +1000 ++Stop Targeting Me! - When targeted for an attack the base damage of this weapon will be increased by 1000 damage for the battle only.")</f>
        <v>DMG: +5000, Celestial DMG: +1000 ++Stop Targeting Me! - When targeted for an attack the base damage of this weapon will be increased by 1000 damage for the battle only.</v>
      </c>
      <c r="G295" s="16">
        <f>IFERROR(__xludf.DUMMYFUNCTION("""COMPUTED_VALUE"""),660000.0)</f>
        <v>660000</v>
      </c>
      <c r="H295" s="16"/>
      <c r="I295" s="16"/>
      <c r="J295" s="16"/>
      <c r="K295" s="16"/>
      <c r="L295" s="16"/>
      <c r="M295" s="16"/>
      <c r="N295" s="16"/>
      <c r="O295" s="16"/>
      <c r="P295" s="16"/>
      <c r="Q295" s="16"/>
      <c r="R295" s="16"/>
      <c r="S295" s="16"/>
      <c r="T295" s="16"/>
      <c r="U295" s="16"/>
      <c r="V295" s="16"/>
      <c r="W295" s="16"/>
      <c r="X295" s="16"/>
      <c r="Y295" s="16"/>
      <c r="Z295" s="16"/>
    </row>
    <row r="296">
      <c r="A296" s="16" t="str">
        <f>IFERROR(__xludf.DUMMYFUNCTION("""COMPUTED_VALUE"""),"Sword of The Sea Serpent")</f>
        <v>Sword of The Sea Serpent</v>
      </c>
      <c r="B296" s="16"/>
      <c r="C296" s="16" t="str">
        <f>IFERROR(__xludf.DUMMYFUNCTION("""COMPUTED_VALUE"""),"Sword")</f>
        <v>Sword</v>
      </c>
      <c r="D296" s="16" t="str">
        <f>IFERROR(__xludf.DUMMYFUNCTION("""COMPUTED_VALUE"""),"Hand")</f>
        <v>Hand</v>
      </c>
      <c r="E296" s="16">
        <f>IFERROR(__xludf.DUMMYFUNCTION("""COMPUTED_VALUE"""),400.0)</f>
        <v>400</v>
      </c>
      <c r="F296" s="16" t="str">
        <f>IFERROR(__xludf.DUMMYFUNCTION("""COMPUTED_VALUE"""),"DMG: +10000, Water DMG: +10000 ++X2 Additional water damage for self, ++Sea Serpents Call: Upon a succesful hit there will be a 50% chance of summoning a sea serpent to aid you in battle if the battle is in water.")</f>
        <v>DMG: +10000, Water DMG: +10000 ++X2 Additional water damage for self, ++Sea Serpents Call: Upon a succesful hit there will be a 50% chance of summoning a sea serpent to aid you in battle if the battle is in water.</v>
      </c>
      <c r="G296" s="16">
        <f>IFERROR(__xludf.DUMMYFUNCTION("""COMPUTED_VALUE"""),7800000.0)</f>
        <v>7800000</v>
      </c>
      <c r="H296" s="16"/>
      <c r="I296" s="16"/>
      <c r="J296" s="16"/>
      <c r="K296" s="16"/>
      <c r="L296" s="16"/>
      <c r="M296" s="16"/>
      <c r="N296" s="16"/>
      <c r="O296" s="16"/>
      <c r="P296" s="16"/>
      <c r="Q296" s="16"/>
      <c r="R296" s="16"/>
      <c r="S296" s="16"/>
      <c r="T296" s="16"/>
      <c r="U296" s="16"/>
      <c r="V296" s="16"/>
      <c r="W296" s="16"/>
      <c r="X296" s="16"/>
      <c r="Y296" s="16"/>
      <c r="Z296" s="16"/>
    </row>
    <row r="297">
      <c r="A297" s="16" t="str">
        <f>IFERROR(__xludf.DUMMYFUNCTION("""COMPUTED_VALUE"""),"Sword of the Vampire’s Lust")</f>
        <v>Sword of the Vampire’s Lust</v>
      </c>
      <c r="B297" s="16"/>
      <c r="C297" s="16" t="str">
        <f>IFERROR(__xludf.DUMMYFUNCTION("""COMPUTED_VALUE"""),"Sword")</f>
        <v>Sword</v>
      </c>
      <c r="D297" s="16" t="str">
        <f>IFERROR(__xludf.DUMMYFUNCTION("""COMPUTED_VALUE"""),"Hand")</f>
        <v>Hand</v>
      </c>
      <c r="E297" s="16">
        <f>IFERROR(__xludf.DUMMYFUNCTION("""COMPUTED_VALUE"""),800.0)</f>
        <v>800</v>
      </c>
      <c r="F297" s="16" t="str">
        <f>IFERROR(__xludf.DUMMYFUNCTION("""COMPUTED_VALUE"""),"DMG: +10000, Fire DMG: +10000, Dark DMG: +10000, Spirit DMG: +5000, Chaos DMG: +5000 ++Damage dealt by this weapon gives you hp back equal to the damage you deal")</f>
        <v>DMG: +10000, Fire DMG: +10000, Dark DMG: +10000, Spirit DMG: +5000, Chaos DMG: +5000 ++Damage dealt by this weapon gives you hp back equal to the damage you deal</v>
      </c>
      <c r="G297" s="16">
        <f>IFERROR(__xludf.DUMMYFUNCTION("""COMPUTED_VALUE"""),3.16E7)</f>
        <v>31600000</v>
      </c>
      <c r="H297" s="16"/>
      <c r="I297" s="16"/>
      <c r="J297" s="16"/>
      <c r="K297" s="16"/>
      <c r="L297" s="16"/>
      <c r="M297" s="16"/>
      <c r="N297" s="16"/>
      <c r="O297" s="16"/>
      <c r="P297" s="16"/>
      <c r="Q297" s="16"/>
      <c r="R297" s="16"/>
      <c r="S297" s="16"/>
      <c r="T297" s="16"/>
      <c r="U297" s="16"/>
      <c r="V297" s="16"/>
      <c r="W297" s="16"/>
      <c r="X297" s="16"/>
      <c r="Y297" s="16"/>
      <c r="Z297" s="16"/>
    </row>
    <row r="298">
      <c r="A298" s="16" t="str">
        <f>IFERROR(__xludf.DUMMYFUNCTION("""COMPUTED_VALUE"""),"Sword of The Waking Waters")</f>
        <v>Sword of The Waking Waters</v>
      </c>
      <c r="B298" s="16"/>
      <c r="C298" s="16" t="str">
        <f>IFERROR(__xludf.DUMMYFUNCTION("""COMPUTED_VALUE"""),"Sword")</f>
        <v>Sword</v>
      </c>
      <c r="D298" s="16" t="str">
        <f>IFERROR(__xludf.DUMMYFUNCTION("""COMPUTED_VALUE"""),"Hand")</f>
        <v>Hand</v>
      </c>
      <c r="E298" s="16">
        <f>IFERROR(__xludf.DUMMYFUNCTION("""COMPUTED_VALUE"""),800.0)</f>
        <v>800</v>
      </c>
      <c r="F298" s="16" t="str">
        <f>IFERROR(__xludf.DUMMYFUNCTION("""COMPUTED_VALUE"""),"DMG: +20000, Water DMG: +20000 ++X4 additional Water damage for this weapon only. ++Waking Waters: When the battle is in water and you are attacking with this weapon your d20 roll becomes double. +-Cannot be duplicated")</f>
        <v>DMG: +20000, Water DMG: +20000 ++X4 additional Water damage for this weapon only. ++Waking Waters: When the battle is in water and you are attacking with this weapon your d20 roll becomes double. +-Cannot be duplicated</v>
      </c>
      <c r="G298" s="16">
        <f>IFERROR(__xludf.DUMMYFUNCTION("""COMPUTED_VALUE"""),3.16E7)</f>
        <v>31600000</v>
      </c>
      <c r="H298" s="16"/>
      <c r="I298" s="16"/>
      <c r="J298" s="16"/>
      <c r="K298" s="16"/>
      <c r="L298" s="16"/>
      <c r="M298" s="16"/>
      <c r="N298" s="16"/>
      <c r="O298" s="16"/>
      <c r="P298" s="16"/>
      <c r="Q298" s="16"/>
      <c r="R298" s="16"/>
      <c r="S298" s="16"/>
      <c r="T298" s="16"/>
      <c r="U298" s="16"/>
      <c r="V298" s="16"/>
      <c r="W298" s="16"/>
      <c r="X298" s="16"/>
      <c r="Y298" s="16"/>
      <c r="Z298" s="16"/>
    </row>
    <row r="299">
      <c r="A299" s="16" t="str">
        <f>IFERROR(__xludf.DUMMYFUNCTION("""COMPUTED_VALUE"""),"Sword of the Wicked")</f>
        <v>Sword of the Wicked</v>
      </c>
      <c r="B299" s="16"/>
      <c r="C299" s="16" t="str">
        <f>IFERROR(__xludf.DUMMYFUNCTION("""COMPUTED_VALUE"""),"Sword")</f>
        <v>Sword</v>
      </c>
      <c r="D299" s="16" t="str">
        <f>IFERROR(__xludf.DUMMYFUNCTION("""COMPUTED_VALUE"""),"Hand")</f>
        <v>Hand</v>
      </c>
      <c r="E299" s="16">
        <f>IFERROR(__xludf.DUMMYFUNCTION("""COMPUTED_VALUE"""),50.0)</f>
        <v>50</v>
      </c>
      <c r="F299" s="16" t="str">
        <f>IFERROR(__xludf.DUMMYFUNCTION("""COMPUTED_VALUE"""),"DMG: +700, Dark DMG: +900, Chaos DMG: +900")</f>
        <v>DMG: +700, Dark DMG: +900, Chaos DMG: +900</v>
      </c>
      <c r="G299" s="16">
        <f>IFERROR(__xludf.DUMMYFUNCTION("""COMPUTED_VALUE"""),100000.0)</f>
        <v>100000</v>
      </c>
      <c r="H299" s="16"/>
      <c r="I299" s="16"/>
      <c r="J299" s="16"/>
      <c r="K299" s="16"/>
      <c r="L299" s="16"/>
      <c r="M299" s="16"/>
      <c r="N299" s="16"/>
      <c r="O299" s="16"/>
      <c r="P299" s="16"/>
      <c r="Q299" s="16"/>
      <c r="R299" s="16"/>
      <c r="S299" s="16"/>
      <c r="T299" s="16"/>
      <c r="U299" s="16"/>
      <c r="V299" s="16"/>
      <c r="W299" s="16"/>
      <c r="X299" s="16"/>
      <c r="Y299" s="16"/>
      <c r="Z299" s="16"/>
    </row>
    <row r="300">
      <c r="A300" s="16" t="str">
        <f>IFERROR(__xludf.DUMMYFUNCTION("""COMPUTED_VALUE"""),"Sword Of Tritonoch")</f>
        <v>Sword Of Tritonoch</v>
      </c>
      <c r="B300" s="16"/>
      <c r="C300" s="16" t="str">
        <f>IFERROR(__xludf.DUMMYFUNCTION("""COMPUTED_VALUE"""),"Sword")</f>
        <v>Sword</v>
      </c>
      <c r="D300" s="16" t="str">
        <f>IFERROR(__xludf.DUMMYFUNCTION("""COMPUTED_VALUE"""),"Hand")</f>
        <v>Hand</v>
      </c>
      <c r="E300" s="16">
        <f>IFERROR(__xludf.DUMMYFUNCTION("""COMPUTED_VALUE"""),800.0)</f>
        <v>800</v>
      </c>
      <c r="F300" s="16" t="str">
        <f>IFERROR(__xludf.DUMMYFUNCTION("""COMPUTED_VALUE"""),"DMG: +20000, Water DMG: +20000 ++Order of Atlanteans - +2 to your d20 roll, +5 charisma, ++Waves of Entitlement - x5 additional Water damage. +-Cannot be duplicated.")</f>
        <v>DMG: +20000, Water DMG: +20000 ++Order of Atlanteans - +2 to your d20 roll, +5 charisma, ++Waves of Entitlement - x5 additional Water damage. +-Cannot be duplicated.</v>
      </c>
      <c r="G300" s="16">
        <f>IFERROR(__xludf.DUMMYFUNCTION("""COMPUTED_VALUE"""),3.16E7)</f>
        <v>31600000</v>
      </c>
      <c r="H300" s="16"/>
      <c r="I300" s="16"/>
      <c r="J300" s="16"/>
      <c r="K300" s="16"/>
      <c r="L300" s="16"/>
      <c r="M300" s="16"/>
      <c r="N300" s="16"/>
      <c r="O300" s="16"/>
      <c r="P300" s="16"/>
      <c r="Q300" s="16"/>
      <c r="R300" s="16"/>
      <c r="S300" s="16"/>
      <c r="T300" s="16"/>
      <c r="U300" s="16"/>
      <c r="V300" s="16"/>
      <c r="W300" s="16"/>
      <c r="X300" s="16"/>
      <c r="Y300" s="16"/>
      <c r="Z300" s="16"/>
    </row>
    <row r="301">
      <c r="A301" s="16" t="str">
        <f>IFERROR(__xludf.DUMMYFUNCTION("""COMPUTED_VALUE"""),"Tentacle")</f>
        <v>Tentacle</v>
      </c>
      <c r="B301" s="16"/>
      <c r="C301" s="16" t="str">
        <f>IFERROR(__xludf.DUMMYFUNCTION("""COMPUTED_VALUE"""),"Claw")</f>
        <v>Claw</v>
      </c>
      <c r="D301" s="16" t="str">
        <f>IFERROR(__xludf.DUMMYFUNCTION("""COMPUTED_VALUE"""),"Hand")</f>
        <v>Hand</v>
      </c>
      <c r="E301" s="16">
        <f>IFERROR(__xludf.DUMMYFUNCTION("""COMPUTED_VALUE"""),30.0)</f>
        <v>30</v>
      </c>
      <c r="F301" s="16" t="str">
        <f>IFERROR(__xludf.DUMMYFUNCTION("""COMPUTED_VALUE"""),"DMG: +1000, Water DMG: +500 ++10% chance to remove target from battle")</f>
        <v>DMG: +1000, Water DMG: +500 ++10% chance to remove target from battle</v>
      </c>
      <c r="G301" s="16">
        <f>IFERROR(__xludf.DUMMYFUNCTION("""COMPUTED_VALUE"""),30000.0)</f>
        <v>30000</v>
      </c>
      <c r="H301" s="16"/>
      <c r="I301" s="16"/>
      <c r="J301" s="16"/>
      <c r="K301" s="16"/>
      <c r="L301" s="16"/>
      <c r="M301" s="16"/>
      <c r="N301" s="16"/>
      <c r="O301" s="16"/>
      <c r="P301" s="16"/>
      <c r="Q301" s="16"/>
      <c r="R301" s="16"/>
      <c r="S301" s="16"/>
      <c r="T301" s="16"/>
      <c r="U301" s="16"/>
      <c r="V301" s="16"/>
      <c r="W301" s="16"/>
      <c r="X301" s="16"/>
      <c r="Y301" s="16"/>
      <c r="Z301" s="16"/>
    </row>
    <row r="302">
      <c r="A302" s="16" t="str">
        <f>IFERROR(__xludf.DUMMYFUNCTION("""COMPUTED_VALUE"""),"The Black Hook")</f>
        <v>The Black Hook</v>
      </c>
      <c r="B302" s="16"/>
      <c r="C302" s="16" t="str">
        <f>IFERROR(__xludf.DUMMYFUNCTION("""COMPUTED_VALUE"""),"Claw")</f>
        <v>Claw</v>
      </c>
      <c r="D302" s="16" t="str">
        <f>IFERROR(__xludf.DUMMYFUNCTION("""COMPUTED_VALUE"""),"Hand")</f>
        <v>Hand</v>
      </c>
      <c r="E302" s="16">
        <f>IFERROR(__xludf.DUMMYFUNCTION("""COMPUTED_VALUE"""),2500.0)</f>
        <v>2500</v>
      </c>
      <c r="F302" s="16" t="str">
        <f>IFERROR(__xludf.DUMMYFUNCTION("""COMPUTED_VALUE"""),"DMG: +50000, Dark DMG: +50000, Blood DMG: +25000 ++Increases blood and dark damage by X4 for the wielder of this claw, ++Decreases the HP cost of spells by half. ++35% chance to remove an enemy from battle")</f>
        <v>DMG: +50000, Dark DMG: +50000, Blood DMG: +25000 ++Increases blood and dark damage by X4 for the wielder of this claw, ++Decreases the HP cost of spells by half. ++35% chance to remove an enemy from battle</v>
      </c>
      <c r="G302" s="16">
        <f>IFERROR(__xludf.DUMMYFUNCTION("""COMPUTED_VALUE"""),3.1125E8)</f>
        <v>311250000</v>
      </c>
      <c r="H302" s="16"/>
      <c r="I302" s="16"/>
      <c r="J302" s="16"/>
      <c r="K302" s="16"/>
      <c r="L302" s="16"/>
      <c r="M302" s="16"/>
      <c r="N302" s="16"/>
      <c r="O302" s="16"/>
      <c r="P302" s="16"/>
      <c r="Q302" s="16"/>
      <c r="R302" s="16"/>
      <c r="S302" s="16"/>
      <c r="T302" s="16"/>
      <c r="U302" s="16"/>
      <c r="V302" s="16"/>
      <c r="W302" s="16"/>
      <c r="X302" s="16"/>
      <c r="Y302" s="16"/>
      <c r="Z302" s="16"/>
    </row>
    <row r="303">
      <c r="A303" s="16" t="str">
        <f>IFERROR(__xludf.DUMMYFUNCTION("""COMPUTED_VALUE"""),"The Blade of the Chosen")</f>
        <v>The Blade of the Chosen</v>
      </c>
      <c r="B303" s="16"/>
      <c r="C303" s="16" t="str">
        <f>IFERROR(__xludf.DUMMYFUNCTION("""COMPUTED_VALUE"""),"Sword")</f>
        <v>Sword</v>
      </c>
      <c r="D303" s="16" t="str">
        <f>IFERROR(__xludf.DUMMYFUNCTION("""COMPUTED_VALUE"""),"Hand")</f>
        <v>Hand</v>
      </c>
      <c r="E303" s="16">
        <f>IFERROR(__xludf.DUMMYFUNCTION("""COMPUTED_VALUE"""),1000.0)</f>
        <v>1000</v>
      </c>
      <c r="F303" s="16" t="str">
        <f>IFERROR(__xludf.DUMMYFUNCTION("""COMPUTED_VALUE"""),"DMG: +10000, Fire DMG: +10000, Order DMG: +10000, Nature DMG: +10000, Blood DMG: +10000 ++Roll a d20 at the beginning of battle, 11 or higher = double the users defense and damage dealt for the current battle, 10 or lower = half the users defense and dama"&amp;"ge dealt for the current battle.")</f>
        <v>DMG: +10000, Fire DMG: +10000, Order DMG: +10000, Nature DMG: +10000, Blood DMG: +10000 ++Roll a d20 at the beginning of battle, 11 or higher = double the users defense and damage dealt for the current battle, 10 or lower = half the users defense and damage dealt for the current battle.</v>
      </c>
      <c r="G303" s="16">
        <f>IFERROR(__xludf.DUMMYFUNCTION("""COMPUTED_VALUE"""),4.95E7)</f>
        <v>49500000</v>
      </c>
      <c r="H303" s="16"/>
      <c r="I303" s="16"/>
      <c r="J303" s="16"/>
      <c r="K303" s="16"/>
      <c r="L303" s="16"/>
      <c r="M303" s="16"/>
      <c r="N303" s="16"/>
      <c r="O303" s="16"/>
      <c r="P303" s="16"/>
      <c r="Q303" s="16"/>
      <c r="R303" s="16"/>
      <c r="S303" s="16"/>
      <c r="T303" s="16"/>
      <c r="U303" s="16"/>
      <c r="V303" s="16"/>
      <c r="W303" s="16"/>
      <c r="X303" s="16"/>
      <c r="Y303" s="16"/>
      <c r="Z303" s="16"/>
    </row>
    <row r="304">
      <c r="A304" s="16" t="str">
        <f>IFERROR(__xludf.DUMMYFUNCTION("""COMPUTED_VALUE"""),"The Bow of the Fallen Hero")</f>
        <v>The Bow of the Fallen Hero</v>
      </c>
      <c r="B304" s="16"/>
      <c r="C304" s="16" t="str">
        <f>IFERROR(__xludf.DUMMYFUNCTION("""COMPUTED_VALUE"""),"Bow")</f>
        <v>Bow</v>
      </c>
      <c r="D304" s="16" t="str">
        <f>IFERROR(__xludf.DUMMYFUNCTION("""COMPUTED_VALUE"""),"Hand")</f>
        <v>Hand</v>
      </c>
      <c r="E304" s="16">
        <f>IFERROR(__xludf.DUMMYFUNCTION("""COMPUTED_VALUE"""),100.0)</f>
        <v>100</v>
      </c>
      <c r="F304" s="16" t="str">
        <f>IFERROR(__xludf.DUMMYFUNCTION("""COMPUTED_VALUE"""),"DMG: +5000 ++Dashing Arrows - You can use up to 6 arrows when attacking with this bow. ")</f>
        <v>DMG: +5000 ++Dashing Arrows - You can use up to 6 arrows when attacking with this bow. </v>
      </c>
      <c r="G304" s="16">
        <f>IFERROR(__xludf.DUMMYFUNCTION("""COMPUTED_VALUE"""),450000.0)</f>
        <v>450000</v>
      </c>
      <c r="H304" s="16"/>
      <c r="I304" s="16"/>
      <c r="J304" s="16"/>
      <c r="K304" s="16"/>
      <c r="L304" s="16"/>
      <c r="M304" s="16"/>
      <c r="N304" s="16"/>
      <c r="O304" s="16"/>
      <c r="P304" s="16"/>
      <c r="Q304" s="16"/>
      <c r="R304" s="16"/>
      <c r="S304" s="16"/>
      <c r="T304" s="16"/>
      <c r="U304" s="16"/>
      <c r="V304" s="16"/>
      <c r="W304" s="16"/>
      <c r="X304" s="16"/>
      <c r="Y304" s="16"/>
      <c r="Z304" s="16"/>
    </row>
    <row r="305">
      <c r="A305" s="16" t="str">
        <f>IFERROR(__xludf.DUMMYFUNCTION("""COMPUTED_VALUE"""),"The Bow of the Haunted")</f>
        <v>The Bow of the Haunted</v>
      </c>
      <c r="B305" s="16" t="str">
        <f>IFERROR(__xludf.DUMMYFUNCTION("""COMPUTED_VALUE"""),"Halloween exclusive")</f>
        <v>Halloween exclusive</v>
      </c>
      <c r="C305" s="16" t="str">
        <f>IFERROR(__xludf.DUMMYFUNCTION("""COMPUTED_VALUE"""),"Bow")</f>
        <v>Bow</v>
      </c>
      <c r="D305" s="16" t="str">
        <f>IFERROR(__xludf.DUMMYFUNCTION("""COMPUTED_VALUE"""),"Hand")</f>
        <v>Hand</v>
      </c>
      <c r="E305" s="16">
        <f>IFERROR(__xludf.DUMMYFUNCTION("""COMPUTED_VALUE"""),620.0)</f>
        <v>620</v>
      </c>
      <c r="F305" s="16" t="str">
        <f>IFERROR(__xludf.DUMMYFUNCTION("""COMPUTED_VALUE"""),"DMG: +1000, Fire DMG: +10000, Dark DMG: +10000, Chaos DMG: +10000 ++You can use d20 arrows when attacking with this bow, rolls to see how many. Dark and Chaos damage is doubled when attacking with this bow.")</f>
        <v>DMG: +1000, Fire DMG: +10000, Dark DMG: +10000, Chaos DMG: +10000 ++You can use d20 arrows when attacking with this bow, rolls to see how many. Dark and Chaos damage is doubled when attacking with this bow.</v>
      </c>
      <c r="G305" s="16">
        <f>IFERROR(__xludf.DUMMYFUNCTION("""COMPUTED_VALUE"""),1.891E7)</f>
        <v>18910000</v>
      </c>
      <c r="H305" s="16"/>
      <c r="I305" s="16"/>
      <c r="J305" s="16"/>
      <c r="K305" s="16"/>
      <c r="L305" s="16"/>
      <c r="M305" s="16"/>
      <c r="N305" s="16"/>
      <c r="O305" s="16"/>
      <c r="P305" s="16"/>
      <c r="Q305" s="16"/>
      <c r="R305" s="16"/>
      <c r="S305" s="16"/>
      <c r="T305" s="16"/>
      <c r="U305" s="16"/>
      <c r="V305" s="16"/>
      <c r="W305" s="16"/>
      <c r="X305" s="16"/>
      <c r="Y305" s="16"/>
      <c r="Z305" s="16"/>
    </row>
    <row r="306">
      <c r="A306" s="16" t="str">
        <f>IFERROR(__xludf.DUMMYFUNCTION("""COMPUTED_VALUE"""),"The Bow of the Pandarian")</f>
        <v>The Bow of the Pandarian</v>
      </c>
      <c r="B306" s="16"/>
      <c r="C306" s="16" t="str">
        <f>IFERROR(__xludf.DUMMYFUNCTION("""COMPUTED_VALUE"""),"Bow")</f>
        <v>Bow</v>
      </c>
      <c r="D306" s="16" t="str">
        <f>IFERROR(__xludf.DUMMYFUNCTION("""COMPUTED_VALUE"""),"Hand")</f>
        <v>Hand</v>
      </c>
      <c r="E306" s="16">
        <f>IFERROR(__xludf.DUMMYFUNCTION("""COMPUTED_VALUE"""),40.0)</f>
        <v>40</v>
      </c>
      <c r="F306" s="16" t="str">
        <f>IFERROR(__xludf.DUMMYFUNCTION("""COMPUTED_VALUE"""),"DMG: +2000 ++Half the Arrow - Ranged Spells cost half the sp cost, Ranger Enrage - All Ranged Attacks. do double in damage. ")</f>
        <v>DMG: +2000 ++Half the Arrow - Ranged Spells cost half the sp cost, Ranger Enrage - All Ranged Attacks. do double in damage. </v>
      </c>
      <c r="G306" s="16">
        <f>IFERROR(__xludf.DUMMYFUNCTION("""COMPUTED_VALUE"""),60000.0)</f>
        <v>60000</v>
      </c>
      <c r="H306" s="16"/>
      <c r="I306" s="16"/>
      <c r="J306" s="16"/>
      <c r="K306" s="16"/>
      <c r="L306" s="16"/>
      <c r="M306" s="16"/>
      <c r="N306" s="16"/>
      <c r="O306" s="16"/>
      <c r="P306" s="16"/>
      <c r="Q306" s="16"/>
      <c r="R306" s="16"/>
      <c r="S306" s="16"/>
      <c r="T306" s="16"/>
      <c r="U306" s="16"/>
      <c r="V306" s="16"/>
      <c r="W306" s="16"/>
      <c r="X306" s="16"/>
      <c r="Y306" s="16"/>
      <c r="Z306" s="16"/>
    </row>
    <row r="307">
      <c r="A307" s="16" t="str">
        <f>IFERROR(__xludf.DUMMYFUNCTION("""COMPUTED_VALUE"""),"The Buster")</f>
        <v>The Buster</v>
      </c>
      <c r="B307" s="16"/>
      <c r="C307" s="16" t="str">
        <f>IFERROR(__xludf.DUMMYFUNCTION("""COMPUTED_VALUE"""),"Sword")</f>
        <v>Sword</v>
      </c>
      <c r="D307" s="16" t="str">
        <f>IFERROR(__xludf.DUMMYFUNCTION("""COMPUTED_VALUE"""),"Hand")</f>
        <v>Hand</v>
      </c>
      <c r="E307" s="16">
        <f>IFERROR(__xludf.DUMMYFUNCTION("""COMPUTED_VALUE"""),400.0)</f>
        <v>400</v>
      </c>
      <c r="F307" s="16" t="str">
        <f>IFERROR(__xludf.DUMMYFUNCTION("""COMPUTED_VALUE"""),"DMG: +20000")</f>
        <v>DMG: +20000</v>
      </c>
      <c r="G307" s="16">
        <f>IFERROR(__xludf.DUMMYFUNCTION("""COMPUTED_VALUE"""),7800000.0)</f>
        <v>7800000</v>
      </c>
      <c r="H307" s="16"/>
      <c r="I307" s="16"/>
      <c r="J307" s="16"/>
      <c r="K307" s="16"/>
      <c r="L307" s="16"/>
      <c r="M307" s="16"/>
      <c r="N307" s="16"/>
      <c r="O307" s="16"/>
      <c r="P307" s="16"/>
      <c r="Q307" s="16"/>
      <c r="R307" s="16"/>
      <c r="S307" s="16"/>
      <c r="T307" s="16"/>
      <c r="U307" s="16"/>
      <c r="V307" s="16"/>
      <c r="W307" s="16"/>
      <c r="X307" s="16"/>
      <c r="Y307" s="16"/>
      <c r="Z307" s="16"/>
    </row>
    <row r="308">
      <c r="A308" s="16" t="str">
        <f>IFERROR(__xludf.DUMMYFUNCTION("""COMPUTED_VALUE"""),"The Dawn Splitter")</f>
        <v>The Dawn Splitter</v>
      </c>
      <c r="B308" s="16"/>
      <c r="C308" s="16" t="str">
        <f>IFERROR(__xludf.DUMMYFUNCTION("""COMPUTED_VALUE"""),"Sword")</f>
        <v>Sword</v>
      </c>
      <c r="D308" s="16" t="str">
        <f>IFERROR(__xludf.DUMMYFUNCTION("""COMPUTED_VALUE"""),"Hand")</f>
        <v>Hand</v>
      </c>
      <c r="E308" s="16">
        <f>IFERROR(__xludf.DUMMYFUNCTION("""COMPUTED_VALUE"""),200.0)</f>
        <v>200</v>
      </c>
      <c r="F308" s="16" t="str">
        <f>IFERROR(__xludf.DUMMYFUNCTION("""COMPUTED_VALUE"""),"DMG: +50000, Fire DMG: +50000, Dark DMG: +50000, Celestial DMG: +50000 ++50% Chance to put the target to sleep.")</f>
        <v>DMG: +50000, Fire DMG: +50000, Dark DMG: +50000, Celestial DMG: +50000 ++50% Chance to put the target to sleep.</v>
      </c>
      <c r="G308" s="16">
        <f>IFERROR(__xludf.DUMMYFUNCTION("""COMPUTED_VALUE"""),7.98E8)</f>
        <v>798000000</v>
      </c>
      <c r="H308" s="16"/>
      <c r="I308" s="16"/>
      <c r="J308" s="16"/>
      <c r="K308" s="16"/>
      <c r="L308" s="16"/>
      <c r="M308" s="16"/>
      <c r="N308" s="16"/>
      <c r="O308" s="16"/>
      <c r="P308" s="16"/>
      <c r="Q308" s="16"/>
      <c r="R308" s="16"/>
      <c r="S308" s="16"/>
      <c r="T308" s="16"/>
      <c r="U308" s="16"/>
      <c r="V308" s="16"/>
      <c r="W308" s="16"/>
      <c r="X308" s="16"/>
      <c r="Y308" s="16"/>
      <c r="Z308" s="16"/>
    </row>
    <row r="309">
      <c r="A309" s="16" t="str">
        <f>IFERROR(__xludf.DUMMYFUNCTION("""COMPUTED_VALUE"""),"The Dragon King's Crown")</f>
        <v>The Dragon King's Crown</v>
      </c>
      <c r="B309" s="16"/>
      <c r="C309" s="16"/>
      <c r="D309" s="16" t="str">
        <f>IFERROR(__xludf.DUMMYFUNCTION("""COMPUTED_VALUE"""),"Head")</f>
        <v>Head</v>
      </c>
      <c r="E309" s="16">
        <f>IFERROR(__xludf.DUMMYFUNCTION("""COMPUTED_VALUE"""),400.0)</f>
        <v>400</v>
      </c>
      <c r="F309" s="16" t="str">
        <f>IFERROR(__xludf.DUMMYFUNCTION("""COMPUTED_VALUE"""),"DEF: +20000 ++Immunity to damage from Natural Attacks...")</f>
        <v>DEF: +20000 ++Immunity to damage from Natural Attacks...</v>
      </c>
      <c r="G309" s="16">
        <f>IFERROR(__xludf.DUMMYFUNCTION("""COMPUTED_VALUE"""),7800000.0)</f>
        <v>7800000</v>
      </c>
      <c r="H309" s="16"/>
      <c r="I309" s="16"/>
      <c r="J309" s="16"/>
      <c r="K309" s="16"/>
      <c r="L309" s="16"/>
      <c r="M309" s="16"/>
      <c r="N309" s="16"/>
      <c r="O309" s="16"/>
      <c r="P309" s="16"/>
      <c r="Q309" s="16"/>
      <c r="R309" s="16"/>
      <c r="S309" s="16"/>
      <c r="T309" s="16"/>
      <c r="U309" s="16"/>
      <c r="V309" s="16"/>
      <c r="W309" s="16"/>
      <c r="X309" s="16"/>
      <c r="Y309" s="16"/>
      <c r="Z309" s="16"/>
    </row>
    <row r="310">
      <c r="A310" s="16" t="str">
        <f>IFERROR(__xludf.DUMMYFUNCTION("""COMPUTED_VALUE"""),"The Guardian Of Death's Sword")</f>
        <v>The Guardian Of Death's Sword</v>
      </c>
      <c r="B310" s="16"/>
      <c r="C310" s="16" t="str">
        <f>IFERROR(__xludf.DUMMYFUNCTION("""COMPUTED_VALUE"""),"Sword")</f>
        <v>Sword</v>
      </c>
      <c r="D310" s="16" t="str">
        <f>IFERROR(__xludf.DUMMYFUNCTION("""COMPUTED_VALUE"""),"Hand")</f>
        <v>Hand</v>
      </c>
      <c r="E310" s="16">
        <f>IFERROR(__xludf.DUMMYFUNCTION("""COMPUTED_VALUE"""),600.0)</f>
        <v>600</v>
      </c>
      <c r="F310" s="16" t="str">
        <f>IFERROR(__xludf.DUMMYFUNCTION("""COMPUTED_VALUE"""),"DMG: +15000, Dark DMG: +5000, Spirit DMG: +5000, Chaos DMG: +5000")</f>
        <v>DMG: +15000, Dark DMG: +5000, Spirit DMG: +5000, Chaos DMG: +5000</v>
      </c>
      <c r="G310" s="16">
        <f>IFERROR(__xludf.DUMMYFUNCTION("""COMPUTED_VALUE"""),1.77E7)</f>
        <v>17700000</v>
      </c>
      <c r="H310" s="16"/>
      <c r="I310" s="16"/>
      <c r="J310" s="16"/>
      <c r="K310" s="16"/>
      <c r="L310" s="16"/>
      <c r="M310" s="16"/>
      <c r="N310" s="16"/>
      <c r="O310" s="16"/>
      <c r="P310" s="16"/>
      <c r="Q310" s="16"/>
      <c r="R310" s="16"/>
      <c r="S310" s="16"/>
      <c r="T310" s="16"/>
      <c r="U310" s="16"/>
      <c r="V310" s="16"/>
      <c r="W310" s="16"/>
      <c r="X310" s="16"/>
      <c r="Y310" s="16"/>
      <c r="Z310" s="16"/>
    </row>
    <row r="311">
      <c r="A311" s="16" t="str">
        <f>IFERROR(__xludf.DUMMYFUNCTION("""COMPUTED_VALUE"""),"The Helm of Foul Night")</f>
        <v>The Helm of Foul Night</v>
      </c>
      <c r="B311" s="16"/>
      <c r="C311" s="16"/>
      <c r="D311" s="16" t="str">
        <f>IFERROR(__xludf.DUMMYFUNCTION("""COMPUTED_VALUE"""),"Head")</f>
        <v>Head</v>
      </c>
      <c r="E311" s="16">
        <f>IFERROR(__xludf.DUMMYFUNCTION("""COMPUTED_VALUE"""),200.0)</f>
        <v>200</v>
      </c>
      <c r="F311" s="16" t="str">
        <f>IFERROR(__xludf.DUMMYFUNCTION("""COMPUTED_VALUE"""),"DEF: +5000, Nature DEF: +5000 (Foul Night Set) ++X2 Nature and Poison damage. ++Poison Immunity. ")</f>
        <v>DEF: +5000, Nature DEF: +5000 (Foul Night Set) ++X2 Nature and Poison damage. ++Poison Immunity. </v>
      </c>
      <c r="G311" s="16">
        <f>IFERROR(__xludf.DUMMYFUNCTION("""COMPUTED_VALUE"""),1900000.0)</f>
        <v>1900000</v>
      </c>
      <c r="H311" s="16"/>
      <c r="I311" s="16"/>
      <c r="J311" s="16"/>
      <c r="K311" s="16"/>
      <c r="L311" s="16"/>
      <c r="M311" s="16"/>
      <c r="N311" s="16"/>
      <c r="O311" s="16"/>
      <c r="P311" s="16"/>
      <c r="Q311" s="16"/>
      <c r="R311" s="16"/>
      <c r="S311" s="16"/>
      <c r="T311" s="16"/>
      <c r="U311" s="16"/>
      <c r="V311" s="16"/>
      <c r="W311" s="16"/>
      <c r="X311" s="16"/>
      <c r="Y311" s="16"/>
      <c r="Z311" s="16"/>
    </row>
    <row r="312">
      <c r="A312" s="16" t="str">
        <f>IFERROR(__xludf.DUMMYFUNCTION("""COMPUTED_VALUE"""),"The Invisible Spear")</f>
        <v>The Invisible Spear</v>
      </c>
      <c r="B312" s="16"/>
      <c r="C312" s="16" t="str">
        <f>IFERROR(__xludf.DUMMYFUNCTION("""COMPUTED_VALUE"""),"Spear")</f>
        <v>Spear</v>
      </c>
      <c r="D312" s="16" t="str">
        <f>IFERROR(__xludf.DUMMYFUNCTION("""COMPUTED_VALUE"""),"Hand")</f>
        <v>Hand</v>
      </c>
      <c r="E312" s="16">
        <f>IFERROR(__xludf.DUMMYFUNCTION("""COMPUTED_VALUE"""),1.0)</f>
        <v>1</v>
      </c>
      <c r="F312" s="16" t="str">
        <f>IFERROR(__xludf.DUMMYFUNCTION("""COMPUTED_VALUE"""),"DMG: +200 ++ignores evasion")</f>
        <v>DMG: +200 ++ignores evasion</v>
      </c>
      <c r="G312" s="16">
        <f>IFERROR(__xludf.DUMMYFUNCTION("""COMPUTED_VALUE"""),0.0)</f>
        <v>0</v>
      </c>
      <c r="H312" s="16"/>
      <c r="I312" s="16"/>
      <c r="J312" s="16"/>
      <c r="K312" s="16"/>
      <c r="L312" s="16"/>
      <c r="M312" s="16"/>
      <c r="N312" s="16"/>
      <c r="O312" s="16"/>
      <c r="P312" s="16"/>
      <c r="Q312" s="16"/>
      <c r="R312" s="16"/>
      <c r="S312" s="16"/>
      <c r="T312" s="16"/>
      <c r="U312" s="16"/>
      <c r="V312" s="16"/>
      <c r="W312" s="16"/>
      <c r="X312" s="16"/>
      <c r="Y312" s="16"/>
      <c r="Z312" s="16"/>
    </row>
    <row r="313">
      <c r="A313" s="16" t="str">
        <f>IFERROR(__xludf.DUMMYFUNCTION("""COMPUTED_VALUE"""),"The Mysterious Mirror")</f>
        <v>The Mysterious Mirror</v>
      </c>
      <c r="B313" s="16"/>
      <c r="C313" s="16" t="str">
        <f>IFERROR(__xludf.DUMMYFUNCTION("""COMPUTED_VALUE"""),"Towershield")</f>
        <v>Towershield</v>
      </c>
      <c r="D313" s="16" t="str">
        <f>IFERROR(__xludf.DUMMYFUNCTION("""COMPUTED_VALUE"""),"Hand")</f>
        <v>Hand</v>
      </c>
      <c r="E313" s="16">
        <f>IFERROR(__xludf.DUMMYFUNCTION("""COMPUTED_VALUE"""),1.0)</f>
        <v>1</v>
      </c>
      <c r="F313" s="16" t="str">
        <f>IFERROR(__xludf.DUMMYFUNCTION("""COMPUTED_VALUE""")," ++When the user would take damage from an enemy the damage is reflected back at all enemies instead, or you can choose to have the mirror absorb all damage taken from the first 2 attacks to add that damage on to your next attack, you may only choose up t"&amp;"o 5 targets for the damage to be reflected back at. The mirrors effect only lasts for your first 2 turns. +-Cannot be forged +-Cannot be duplicated")</f>
        <v> ++When the user would take damage from an enemy the damage is reflected back at all enemies instead, or you can choose to have the mirror absorb all damage taken from the first 2 attacks to add that damage on to your next attack, you may only choose up to 5 targets for the damage to be reflected back at. The mirrors effect only lasts for your first 2 turns. +-Cannot be forged +-Cannot be duplicated</v>
      </c>
      <c r="G313" s="16">
        <f>IFERROR(__xludf.DUMMYFUNCTION("""COMPUTED_VALUE"""),0.0)</f>
        <v>0</v>
      </c>
      <c r="H313" s="16"/>
      <c r="I313" s="16"/>
      <c r="J313" s="16"/>
      <c r="K313" s="16"/>
      <c r="L313" s="16"/>
      <c r="M313" s="16"/>
      <c r="N313" s="16"/>
      <c r="O313" s="16"/>
      <c r="P313" s="16"/>
      <c r="Q313" s="16"/>
      <c r="R313" s="16"/>
      <c r="S313" s="16"/>
      <c r="T313" s="16"/>
      <c r="U313" s="16"/>
      <c r="V313" s="16"/>
      <c r="W313" s="16"/>
      <c r="X313" s="16"/>
      <c r="Y313" s="16"/>
      <c r="Z313" s="16"/>
    </row>
    <row r="314">
      <c r="A314" s="16" t="str">
        <f>IFERROR(__xludf.DUMMYFUNCTION("""COMPUTED_VALUE"""),"The Puppet Masters Amulet")</f>
        <v>The Puppet Masters Amulet</v>
      </c>
      <c r="B314" s="16"/>
      <c r="C314" s="16"/>
      <c r="D314" s="16" t="str">
        <f>IFERROR(__xludf.DUMMYFUNCTION("""COMPUTED_VALUE"""),"Neck")</f>
        <v>Neck</v>
      </c>
      <c r="E314" s="16">
        <f>IFERROR(__xludf.DUMMYFUNCTION("""COMPUTED_VALUE"""),1.0)</f>
        <v>1</v>
      </c>
      <c r="F314" s="16" t="str">
        <f>IFERROR(__xludf.DUMMYFUNCTION("""COMPUTED_VALUE""")," ++Immune to possession.  +-Cannot be duplicated.")</f>
        <v> ++Immune to possession.  +-Cannot be duplicated.</v>
      </c>
      <c r="G314" s="16">
        <f>IFERROR(__xludf.DUMMYFUNCTION("""COMPUTED_VALUE"""),0.0)</f>
        <v>0</v>
      </c>
      <c r="H314" s="16"/>
      <c r="I314" s="16"/>
      <c r="J314" s="16"/>
      <c r="K314" s="16"/>
      <c r="L314" s="16"/>
      <c r="M314" s="16"/>
      <c r="N314" s="16"/>
      <c r="O314" s="16"/>
      <c r="P314" s="16"/>
      <c r="Q314" s="16"/>
      <c r="R314" s="16"/>
      <c r="S314" s="16"/>
      <c r="T314" s="16"/>
      <c r="U314" s="16"/>
      <c r="V314" s="16"/>
      <c r="W314" s="16"/>
      <c r="X314" s="16"/>
      <c r="Y314" s="16"/>
      <c r="Z314" s="16"/>
    </row>
    <row r="315">
      <c r="A315" s="16" t="str">
        <f>IFERROR(__xludf.DUMMYFUNCTION("""COMPUTED_VALUE"""),"The Puppet Masters Cloak")</f>
        <v>The Puppet Masters Cloak</v>
      </c>
      <c r="B315" s="16"/>
      <c r="C315" s="16"/>
      <c r="D315" s="16" t="str">
        <f>IFERROR(__xludf.DUMMYFUNCTION("""COMPUTED_VALUE"""),"Torso")</f>
        <v>Torso</v>
      </c>
      <c r="E315" s="16">
        <f>IFERROR(__xludf.DUMMYFUNCTION("""COMPUTED_VALUE"""),1.0)</f>
        <v>1</v>
      </c>
      <c r="F315" s="16" t="str">
        <f>IFERROR(__xludf.DUMMYFUNCTION("""COMPUTED_VALUE""")," ++User and allies gain immunity to chaos and dark damage while in the party. +-Cannot be duplicated")</f>
        <v> ++User and allies gain immunity to chaos and dark damage while in the party. +-Cannot be duplicated</v>
      </c>
      <c r="G315" s="16">
        <f>IFERROR(__xludf.DUMMYFUNCTION("""COMPUTED_VALUE"""),0.0)</f>
        <v>0</v>
      </c>
      <c r="H315" s="16"/>
      <c r="I315" s="16"/>
      <c r="J315" s="16"/>
      <c r="K315" s="16"/>
      <c r="L315" s="16"/>
      <c r="M315" s="16"/>
      <c r="N315" s="16"/>
      <c r="O315" s="16"/>
      <c r="P315" s="16"/>
      <c r="Q315" s="16"/>
      <c r="R315" s="16"/>
      <c r="S315" s="16"/>
      <c r="T315" s="16"/>
      <c r="U315" s="16"/>
      <c r="V315" s="16"/>
      <c r="W315" s="16"/>
      <c r="X315" s="16"/>
      <c r="Y315" s="16"/>
      <c r="Z315" s="16"/>
    </row>
    <row r="316">
      <c r="A316" s="16" t="str">
        <f>IFERROR(__xludf.DUMMYFUNCTION("""COMPUTED_VALUE"""),"The Puppet Masters Ring")</f>
        <v>The Puppet Masters Ring</v>
      </c>
      <c r="B316" s="16"/>
      <c r="C316" s="16"/>
      <c r="D316" s="16" t="str">
        <f>IFERROR(__xludf.DUMMYFUNCTION("""COMPUTED_VALUE"""),"Ring")</f>
        <v>Ring</v>
      </c>
      <c r="E316" s="16">
        <f>IFERROR(__xludf.DUMMYFUNCTION("""COMPUTED_VALUE"""),1.0)</f>
        <v>1</v>
      </c>
      <c r="F316" s="16" t="str">
        <f>IFERROR(__xludf.DUMMYFUNCTION("""COMPUTED_VALUE""")," ++Take control of a target of choice. Fail/Succeed roll, (This effect counts as a possession)  +-Cannot be duplicated.")</f>
        <v> ++Take control of a target of choice. Fail/Succeed roll, (This effect counts as a possession)  +-Cannot be duplicated.</v>
      </c>
      <c r="G316" s="16">
        <f>IFERROR(__xludf.DUMMYFUNCTION("""COMPUTED_VALUE"""),0.0)</f>
        <v>0</v>
      </c>
      <c r="H316" s="16"/>
      <c r="I316" s="16"/>
      <c r="J316" s="16"/>
      <c r="K316" s="16"/>
      <c r="L316" s="16"/>
      <c r="M316" s="16"/>
      <c r="N316" s="16"/>
      <c r="O316" s="16"/>
      <c r="P316" s="16"/>
      <c r="Q316" s="16"/>
      <c r="R316" s="16"/>
      <c r="S316" s="16"/>
      <c r="T316" s="16"/>
      <c r="U316" s="16"/>
      <c r="V316" s="16"/>
      <c r="W316" s="16"/>
      <c r="X316" s="16"/>
      <c r="Y316" s="16"/>
      <c r="Z316" s="16"/>
    </row>
    <row r="317">
      <c r="A317" s="16" t="str">
        <f>IFERROR(__xludf.DUMMYFUNCTION("""COMPUTED_VALUE"""),"The Red Sword")</f>
        <v>The Red Sword</v>
      </c>
      <c r="B317" s="16" t="str">
        <f>IFERROR(__xludf.DUMMYFUNCTION("""COMPUTED_VALUE"""),"A Sword that was made of Vampire’s Blood")</f>
        <v>A Sword that was made of Vampire’s Blood</v>
      </c>
      <c r="C317" s="16" t="str">
        <f>IFERROR(__xludf.DUMMYFUNCTION("""COMPUTED_VALUE"""),"Sword")</f>
        <v>Sword</v>
      </c>
      <c r="D317" s="16" t="str">
        <f>IFERROR(__xludf.DUMMYFUNCTION("""COMPUTED_VALUE"""),"Hand")</f>
        <v>Hand</v>
      </c>
      <c r="E317" s="16">
        <f>IFERROR(__xludf.DUMMYFUNCTION("""COMPUTED_VALUE"""),1.0)</f>
        <v>1</v>
      </c>
      <c r="F317" s="16" t="str">
        <f>IFERROR(__xludf.DUMMYFUNCTION("""COMPUTED_VALUE"""),"DMG: +300")</f>
        <v>DMG: +300</v>
      </c>
      <c r="G317" s="16">
        <f>IFERROR(__xludf.DUMMYFUNCTION("""COMPUTED_VALUE"""),0.0)</f>
        <v>0</v>
      </c>
      <c r="H317" s="16"/>
      <c r="I317" s="16"/>
      <c r="J317" s="16"/>
      <c r="K317" s="16"/>
      <c r="L317" s="16"/>
      <c r="M317" s="16"/>
      <c r="N317" s="16"/>
      <c r="O317" s="16"/>
      <c r="P317" s="16"/>
      <c r="Q317" s="16"/>
      <c r="R317" s="16"/>
      <c r="S317" s="16"/>
      <c r="T317" s="16"/>
      <c r="U317" s="16"/>
      <c r="V317" s="16"/>
      <c r="W317" s="16"/>
      <c r="X317" s="16"/>
      <c r="Y317" s="16"/>
      <c r="Z317" s="16"/>
    </row>
    <row r="318">
      <c r="A318" s="16" t="str">
        <f>IFERROR(__xludf.DUMMYFUNCTION("""COMPUTED_VALUE"""),"The Servants Sword")</f>
        <v>The Servants Sword</v>
      </c>
      <c r="B318" s="16"/>
      <c r="C318" s="16" t="str">
        <f>IFERROR(__xludf.DUMMYFUNCTION("""COMPUTED_VALUE"""),"Sword")</f>
        <v>Sword</v>
      </c>
      <c r="D318" s="16" t="str">
        <f>IFERROR(__xludf.DUMMYFUNCTION("""COMPUTED_VALUE"""),"Hand")</f>
        <v>Hand</v>
      </c>
      <c r="E318" s="16">
        <f>IFERROR(__xludf.DUMMYFUNCTION("""COMPUTED_VALUE"""),600.0)</f>
        <v>600</v>
      </c>
      <c r="F318" s="16" t="str">
        <f>IFERROR(__xludf.DUMMYFUNCTION("""COMPUTED_VALUE"""),"DMG: +20000, Chaos DMG: +10000")</f>
        <v>DMG: +20000, Chaos DMG: +10000</v>
      </c>
      <c r="G318" s="16">
        <f>IFERROR(__xludf.DUMMYFUNCTION("""COMPUTED_VALUE"""),1.77E7)</f>
        <v>17700000</v>
      </c>
      <c r="H318" s="16"/>
      <c r="I318" s="16"/>
      <c r="J318" s="16"/>
      <c r="K318" s="16"/>
      <c r="L318" s="16"/>
      <c r="M318" s="16"/>
      <c r="N318" s="16"/>
      <c r="O318" s="16"/>
      <c r="P318" s="16"/>
      <c r="Q318" s="16"/>
      <c r="R318" s="16"/>
      <c r="S318" s="16"/>
      <c r="T318" s="16"/>
      <c r="U318" s="16"/>
      <c r="V318" s="16"/>
      <c r="W318" s="16"/>
      <c r="X318" s="16"/>
      <c r="Y318" s="16"/>
      <c r="Z318" s="16"/>
    </row>
    <row r="319">
      <c r="A319" s="16" t="str">
        <f>IFERROR(__xludf.DUMMYFUNCTION("""COMPUTED_VALUE"""),"The Shield of Foul Night")</f>
        <v>The Shield of Foul Night</v>
      </c>
      <c r="B319" s="16"/>
      <c r="C319" s="16" t="str">
        <f>IFERROR(__xludf.DUMMYFUNCTION("""COMPUTED_VALUE"""),"Buckler")</f>
        <v>Buckler</v>
      </c>
      <c r="D319" s="16" t="str">
        <f>IFERROR(__xludf.DUMMYFUNCTION("""COMPUTED_VALUE"""),"Hand")</f>
        <v>Hand</v>
      </c>
      <c r="E319" s="16">
        <f>IFERROR(__xludf.DUMMYFUNCTION("""COMPUTED_VALUE"""),200.0)</f>
        <v>200</v>
      </c>
      <c r="F319" s="16" t="str">
        <f>IFERROR(__xludf.DUMMYFUNCTION("""COMPUTED_VALUE"""),"DEF: +5000, Nature DEF: +5000 (Foul Night Set) ++Nature Immunity, Poison Immunity")</f>
        <v>DEF: +5000, Nature DEF: +5000 (Foul Night Set) ++Nature Immunity, Poison Immunity</v>
      </c>
      <c r="G319" s="16">
        <f>IFERROR(__xludf.DUMMYFUNCTION("""COMPUTED_VALUE"""),1900000.0)</f>
        <v>1900000</v>
      </c>
      <c r="H319" s="16"/>
      <c r="I319" s="16"/>
      <c r="J319" s="16"/>
      <c r="K319" s="16"/>
      <c r="L319" s="16"/>
      <c r="M319" s="16"/>
      <c r="N319" s="16"/>
      <c r="O319" s="16"/>
      <c r="P319" s="16"/>
      <c r="Q319" s="16"/>
      <c r="R319" s="16"/>
      <c r="S319" s="16"/>
      <c r="T319" s="16"/>
      <c r="U319" s="16"/>
      <c r="V319" s="16"/>
      <c r="W319" s="16"/>
      <c r="X319" s="16"/>
      <c r="Y319" s="16"/>
      <c r="Z319" s="16"/>
    </row>
    <row r="320">
      <c r="A320" s="16" t="str">
        <f>IFERROR(__xludf.DUMMYFUNCTION("""COMPUTED_VALUE"""),"The Staff of  Haunted Bones")</f>
        <v>The Staff of  Haunted Bones</v>
      </c>
      <c r="B320" s="16" t="str">
        <f>IFERROR(__xludf.DUMMYFUNCTION("""COMPUTED_VALUE"""),"Halloween exclusive")</f>
        <v>Halloween exclusive</v>
      </c>
      <c r="C320" s="16" t="str">
        <f>IFERROR(__xludf.DUMMYFUNCTION("""COMPUTED_VALUE"""),"Staff")</f>
        <v>Staff</v>
      </c>
      <c r="D320" s="16" t="str">
        <f>IFERROR(__xludf.DUMMYFUNCTION("""COMPUTED_VALUE"""),"Hand")</f>
        <v>Hand</v>
      </c>
      <c r="E320" s="16">
        <f>IFERROR(__xludf.DUMMYFUNCTION("""COMPUTED_VALUE"""),1.0)</f>
        <v>1</v>
      </c>
      <c r="F320" s="16" t="str">
        <f>IFERROR(__xludf.DUMMYFUNCTION("""COMPUTED_VALUE""")," X2 additional Dark, Chaos, and Spirit damage.")</f>
        <v> X2 additional Dark, Chaos, and Spirit damage.</v>
      </c>
      <c r="G320" s="16">
        <f>IFERROR(__xludf.DUMMYFUNCTION("""COMPUTED_VALUE"""),0.0)</f>
        <v>0</v>
      </c>
      <c r="H320" s="16"/>
      <c r="I320" s="16"/>
      <c r="J320" s="16"/>
      <c r="K320" s="16"/>
      <c r="L320" s="16"/>
      <c r="M320" s="16"/>
      <c r="N320" s="16"/>
      <c r="O320" s="16"/>
      <c r="P320" s="16"/>
      <c r="Q320" s="16"/>
      <c r="R320" s="16"/>
      <c r="S320" s="16"/>
      <c r="T320" s="16"/>
      <c r="U320" s="16"/>
      <c r="V320" s="16"/>
      <c r="W320" s="16"/>
      <c r="X320" s="16"/>
      <c r="Y320" s="16"/>
      <c r="Z320" s="16"/>
    </row>
    <row r="321">
      <c r="A321" s="16" t="str">
        <f>IFERROR(__xludf.DUMMYFUNCTION("""COMPUTED_VALUE"""),"The Staff of the Aquas")</f>
        <v>The Staff of the Aquas</v>
      </c>
      <c r="B321" s="16"/>
      <c r="C321" s="16" t="str">
        <f>IFERROR(__xludf.DUMMYFUNCTION("""COMPUTED_VALUE"""),"Staff")</f>
        <v>Staff</v>
      </c>
      <c r="D321" s="16" t="str">
        <f>IFERROR(__xludf.DUMMYFUNCTION("""COMPUTED_VALUE"""),"Hand")</f>
        <v>Hand</v>
      </c>
      <c r="E321" s="16">
        <f>IFERROR(__xludf.DUMMYFUNCTION("""COMPUTED_VALUE"""),1.0)</f>
        <v>1</v>
      </c>
      <c r="F321" s="16" t="str">
        <f>IFERROR(__xludf.DUMMYFUNCTION("""COMPUTED_VALUE""")," ++All Water Spells Deal x3 damage and cost half sp to use.")</f>
        <v> ++All Water Spells Deal x3 damage and cost half sp to use.</v>
      </c>
      <c r="G321" s="16">
        <f>IFERROR(__xludf.DUMMYFUNCTION("""COMPUTED_VALUE"""),0.0)</f>
        <v>0</v>
      </c>
      <c r="H321" s="16"/>
      <c r="I321" s="16"/>
      <c r="J321" s="16"/>
      <c r="K321" s="16"/>
      <c r="L321" s="16"/>
      <c r="M321" s="16"/>
      <c r="N321" s="16"/>
      <c r="O321" s="16"/>
      <c r="P321" s="16"/>
      <c r="Q321" s="16"/>
      <c r="R321" s="16"/>
      <c r="S321" s="16"/>
      <c r="T321" s="16"/>
      <c r="U321" s="16"/>
      <c r="V321" s="16"/>
      <c r="W321" s="16"/>
      <c r="X321" s="16"/>
      <c r="Y321" s="16"/>
      <c r="Z321" s="16"/>
    </row>
    <row r="322">
      <c r="A322" s="16" t="str">
        <f>IFERROR(__xludf.DUMMYFUNCTION("""COMPUTED_VALUE"""),"The Staff of The Pumpkin’s Curse")</f>
        <v>The Staff of The Pumpkin’s Curse</v>
      </c>
      <c r="B322" s="16"/>
      <c r="C322" s="16" t="str">
        <f>IFERROR(__xludf.DUMMYFUNCTION("""COMPUTED_VALUE"""),"Staff")</f>
        <v>Staff</v>
      </c>
      <c r="D322" s="16" t="str">
        <f>IFERROR(__xludf.DUMMYFUNCTION("""COMPUTED_VALUE"""),"Hand")</f>
        <v>Hand</v>
      </c>
      <c r="E322" s="16">
        <f>IFERROR(__xludf.DUMMYFUNCTION("""COMPUTED_VALUE"""),1.0)</f>
        <v>1</v>
      </c>
      <c r="F322" s="16" t="str">
        <f>IFERROR(__xludf.DUMMYFUNCTION("""COMPUTED_VALUE""")," ++ Select a target, Any Fire Nature and Dark damage the target deals halved, Fail/Succeed.")</f>
        <v> ++ Select a target, Any Fire Nature and Dark damage the target deals halved, Fail/Succeed.</v>
      </c>
      <c r="G322" s="16">
        <f>IFERROR(__xludf.DUMMYFUNCTION("""COMPUTED_VALUE"""),0.0)</f>
        <v>0</v>
      </c>
      <c r="H322" s="16"/>
      <c r="I322" s="16"/>
      <c r="J322" s="16"/>
      <c r="K322" s="16"/>
      <c r="L322" s="16"/>
      <c r="M322" s="16"/>
      <c r="N322" s="16"/>
      <c r="O322" s="16"/>
      <c r="P322" s="16"/>
      <c r="Q322" s="16"/>
      <c r="R322" s="16"/>
      <c r="S322" s="16"/>
      <c r="T322" s="16"/>
      <c r="U322" s="16"/>
      <c r="V322" s="16"/>
      <c r="W322" s="16"/>
      <c r="X322" s="16"/>
      <c r="Y322" s="16"/>
      <c r="Z322" s="16"/>
    </row>
    <row r="323">
      <c r="A323" s="16" t="str">
        <f>IFERROR(__xludf.DUMMYFUNCTION("""COMPUTED_VALUE"""),"The Stick of the Panda")</f>
        <v>The Stick of the Panda</v>
      </c>
      <c r="B323" s="16"/>
      <c r="C323" s="16" t="str">
        <f>IFERROR(__xludf.DUMMYFUNCTION("""COMPUTED_VALUE"""),"Club")</f>
        <v>Club</v>
      </c>
      <c r="D323" s="16" t="str">
        <f>IFERROR(__xludf.DUMMYFUNCTION("""COMPUTED_VALUE"""),"Hand")</f>
        <v>Hand</v>
      </c>
      <c r="E323" s="16">
        <f>IFERROR(__xludf.DUMMYFUNCTION("""COMPUTED_VALUE"""),400.0)</f>
        <v>400</v>
      </c>
      <c r="F323" s="16" t="str">
        <f>IFERROR(__xludf.DUMMYFUNCTION("""COMPUTED_VALUE"""),"DMG: +10000, Nature DMG: +10000 ++When you find an herb you get 2 of the herb found instead of 1. +-Cannot be duplicated")</f>
        <v>DMG: +10000, Nature DMG: +10000 ++When you find an herb you get 2 of the herb found instead of 1. +-Cannot be duplicated</v>
      </c>
      <c r="G323" s="16">
        <f>IFERROR(__xludf.DUMMYFUNCTION("""COMPUTED_VALUE"""),7800000.0)</f>
        <v>7800000</v>
      </c>
      <c r="H323" s="16"/>
      <c r="I323" s="16"/>
      <c r="J323" s="16"/>
      <c r="K323" s="16"/>
      <c r="L323" s="16"/>
      <c r="M323" s="16"/>
      <c r="N323" s="16"/>
      <c r="O323" s="16"/>
      <c r="P323" s="16"/>
      <c r="Q323" s="16"/>
      <c r="R323" s="16"/>
      <c r="S323" s="16"/>
      <c r="T323" s="16"/>
      <c r="U323" s="16"/>
      <c r="V323" s="16"/>
      <c r="W323" s="16"/>
      <c r="X323" s="16"/>
      <c r="Y323" s="16"/>
      <c r="Z323" s="16"/>
    </row>
    <row r="324">
      <c r="A324" s="16" t="str">
        <f>IFERROR(__xludf.DUMMYFUNCTION("""COMPUTED_VALUE"""),"The Sword Of Death")</f>
        <v>The Sword Of Death</v>
      </c>
      <c r="B324" s="16"/>
      <c r="C324" s="16" t="str">
        <f>IFERROR(__xludf.DUMMYFUNCTION("""COMPUTED_VALUE"""),"Sword")</f>
        <v>Sword</v>
      </c>
      <c r="D324" s="16" t="str">
        <f>IFERROR(__xludf.DUMMYFUNCTION("""COMPUTED_VALUE"""),"Hand")</f>
        <v>Hand</v>
      </c>
      <c r="E324" s="16">
        <f>IFERROR(__xludf.DUMMYFUNCTION("""COMPUTED_VALUE"""),1.0)</f>
        <v>1</v>
      </c>
      <c r="F324" s="16" t="str">
        <f>IFERROR(__xludf.DUMMYFUNCTION("""COMPUTED_VALUE"""),"DMG: +250")</f>
        <v>DMG: +250</v>
      </c>
      <c r="G324" s="16">
        <f>IFERROR(__xludf.DUMMYFUNCTION("""COMPUTED_VALUE"""),0.0)</f>
        <v>0</v>
      </c>
      <c r="H324" s="16"/>
      <c r="I324" s="16"/>
      <c r="J324" s="16"/>
      <c r="K324" s="16"/>
      <c r="L324" s="16"/>
      <c r="M324" s="16"/>
      <c r="N324" s="16"/>
      <c r="O324" s="16"/>
      <c r="P324" s="16"/>
      <c r="Q324" s="16"/>
      <c r="R324" s="16"/>
      <c r="S324" s="16"/>
      <c r="T324" s="16"/>
      <c r="U324" s="16"/>
      <c r="V324" s="16"/>
      <c r="W324" s="16"/>
      <c r="X324" s="16"/>
      <c r="Y324" s="16"/>
      <c r="Z324" s="16"/>
    </row>
    <row r="325">
      <c r="A325" s="16" t="str">
        <f>IFERROR(__xludf.DUMMYFUNCTION("""COMPUTED_VALUE"""),"The Sword Of Easter's Gathering (Exclusive)")</f>
        <v>The Sword Of Easter's Gathering (Exclusive)</v>
      </c>
      <c r="B325" s="16"/>
      <c r="C325" s="16" t="str">
        <f>IFERROR(__xludf.DUMMYFUNCTION("""COMPUTED_VALUE"""),"Sword")</f>
        <v>Sword</v>
      </c>
      <c r="D325" s="16" t="str">
        <f>IFERROR(__xludf.DUMMYFUNCTION("""COMPUTED_VALUE"""),"Hand")</f>
        <v>Hand</v>
      </c>
      <c r="E325" s="16">
        <f>IFERROR(__xludf.DUMMYFUNCTION("""COMPUTED_VALUE"""),200.0)</f>
        <v>200</v>
      </c>
      <c r="F325" s="16" t="str">
        <f>IFERROR(__xludf.DUMMYFUNCTION("""COMPUTED_VALUE"""),", Nature DMG: +10000, Celestial DMG: +10000 ++Doubles all elemental damage when held, ++2 on all rolls while in battle, +-Cannot be forged +-Cannot be duplicated")</f>
        <v>, Nature DMG: +10000, Celestial DMG: +10000 ++Doubles all elemental damage when held, ++2 on all rolls while in battle, +-Cannot be forged +-Cannot be duplicated</v>
      </c>
      <c r="G325" s="16">
        <f>IFERROR(__xludf.DUMMYFUNCTION("""COMPUTED_VALUE"""),7800000.0)</f>
        <v>7800000</v>
      </c>
      <c r="H325" s="16"/>
      <c r="I325" s="16"/>
      <c r="J325" s="16"/>
      <c r="K325" s="16"/>
      <c r="L325" s="16"/>
      <c r="M325" s="16"/>
      <c r="N325" s="16"/>
      <c r="O325" s="16"/>
      <c r="P325" s="16"/>
      <c r="Q325" s="16"/>
      <c r="R325" s="16"/>
      <c r="S325" s="16"/>
      <c r="T325" s="16"/>
      <c r="U325" s="16"/>
      <c r="V325" s="16"/>
      <c r="W325" s="16"/>
      <c r="X325" s="16"/>
      <c r="Y325" s="16"/>
      <c r="Z325" s="16"/>
    </row>
    <row r="326">
      <c r="A326" s="16" t="str">
        <f>IFERROR(__xludf.DUMMYFUNCTION("""COMPUTED_VALUE"""),"The Sword of Manannán (Exclusive)")</f>
        <v>The Sword of Manannán (Exclusive)</v>
      </c>
      <c r="B326" s="16" t="str">
        <f>IFERROR(__xludf.DUMMYFUNCTION("""COMPUTED_VALUE"""),"Lugh's Sword he wielded in battle")</f>
        <v>Lugh's Sword he wielded in battle</v>
      </c>
      <c r="C326" s="16" t="str">
        <f>IFERROR(__xludf.DUMMYFUNCTION("""COMPUTED_VALUE"""),"Sword")</f>
        <v>Sword</v>
      </c>
      <c r="D326" s="16" t="str">
        <f>IFERROR(__xludf.DUMMYFUNCTION("""COMPUTED_VALUE"""),"Hand")</f>
        <v>Hand</v>
      </c>
      <c r="E326" s="16">
        <f>IFERROR(__xludf.DUMMYFUNCTION("""COMPUTED_VALUE"""),200.0)</f>
        <v>200</v>
      </c>
      <c r="F326" s="16" t="str">
        <f>IFERROR(__xludf.DUMMYFUNCTION("""COMPUTED_VALUE"""),"DMG: +75000, Celestial DMG: +75000 ++Intimidation and Charisma stat is double while equipped")</f>
        <v>DMG: +75000, Celestial DMG: +75000 ++Intimidation and Charisma stat is double while equipped</v>
      </c>
      <c r="G326" s="16">
        <f>IFERROR(__xludf.DUMMYFUNCTION("""COMPUTED_VALUE"""),4.485E8)</f>
        <v>448500000</v>
      </c>
      <c r="H326" s="16"/>
      <c r="I326" s="16"/>
      <c r="J326" s="16"/>
      <c r="K326" s="16"/>
      <c r="L326" s="16"/>
      <c r="M326" s="16"/>
      <c r="N326" s="16"/>
      <c r="O326" s="16"/>
      <c r="P326" s="16"/>
      <c r="Q326" s="16"/>
      <c r="R326" s="16"/>
      <c r="S326" s="16"/>
      <c r="T326" s="16"/>
      <c r="U326" s="16"/>
      <c r="V326" s="16"/>
      <c r="W326" s="16"/>
      <c r="X326" s="16"/>
      <c r="Y326" s="16"/>
      <c r="Z326" s="16"/>
    </row>
    <row r="327">
      <c r="A327" s="16" t="str">
        <f>IFERROR(__xludf.DUMMYFUNCTION("""COMPUTED_VALUE"""),"The Waking Ash of the Serpent’s Pendent")</f>
        <v>The Waking Ash of the Serpent’s Pendent</v>
      </c>
      <c r="B327" s="16"/>
      <c r="C327" s="16"/>
      <c r="D327" s="16" t="str">
        <f>IFERROR(__xludf.DUMMYFUNCTION("""COMPUTED_VALUE"""),"Neck")</f>
        <v>Neck</v>
      </c>
      <c r="E327" s="16">
        <f>IFERROR(__xludf.DUMMYFUNCTION("""COMPUTED_VALUE"""),1.0)</f>
        <v>1</v>
      </c>
      <c r="F327" s="16" t="str">
        <f>IFERROR(__xludf.DUMMYFUNCTION("""COMPUTED_VALUE""")," ++When attacked with a fire spell or fire weapon you may absorb the damage you take from that 1 attack and add the damage you would have taken to your next attack as additional fire damage, This effect can only be used once per battle. +-Cannot be duplic"&amp;"ated.")</f>
        <v> ++When attacked with a fire spell or fire weapon you may absorb the damage you take from that 1 attack and add the damage you would have taken to your next attack as additional fire damage, This effect can only be used once per battle. +-Cannot be duplicated.</v>
      </c>
      <c r="G327" s="16">
        <f>IFERROR(__xludf.DUMMYFUNCTION("""COMPUTED_VALUE"""),0.0)</f>
        <v>0</v>
      </c>
      <c r="H327" s="16"/>
      <c r="I327" s="16"/>
      <c r="J327" s="16"/>
      <c r="K327" s="16"/>
      <c r="L327" s="16"/>
      <c r="M327" s="16"/>
      <c r="N327" s="16"/>
      <c r="O327" s="16"/>
      <c r="P327" s="16"/>
      <c r="Q327" s="16"/>
      <c r="R327" s="16"/>
      <c r="S327" s="16"/>
      <c r="T327" s="16"/>
      <c r="U327" s="16"/>
      <c r="V327" s="16"/>
      <c r="W327" s="16"/>
      <c r="X327" s="16"/>
      <c r="Y327" s="16"/>
      <c r="Z327" s="16"/>
    </row>
    <row r="328">
      <c r="A328" s="16" t="str">
        <f>IFERROR(__xludf.DUMMYFUNCTION("""COMPUTED_VALUE"""),"The Wand of Aquatic Beasts")</f>
        <v>The Wand of Aquatic Beasts</v>
      </c>
      <c r="B328" s="16"/>
      <c r="C328" s="16" t="str">
        <f>IFERROR(__xludf.DUMMYFUNCTION("""COMPUTED_VALUE"""),"Wand")</f>
        <v>Wand</v>
      </c>
      <c r="D328" s="16" t="str">
        <f>IFERROR(__xludf.DUMMYFUNCTION("""COMPUTED_VALUE"""),"Hand")</f>
        <v>Hand</v>
      </c>
      <c r="E328" s="16">
        <f>IFERROR(__xludf.DUMMYFUNCTION("""COMPUTED_VALUE"""),1.0)</f>
        <v>1</v>
      </c>
      <c r="F328" s="16" t="str">
        <f>IFERROR(__xludf.DUMMYFUNCTION("""COMPUTED_VALUE""")," ++All water and storm spells are decreased by half sp.")</f>
        <v> ++All water and storm spells are decreased by half sp.</v>
      </c>
      <c r="G328" s="16">
        <f>IFERROR(__xludf.DUMMYFUNCTION("""COMPUTED_VALUE"""),0.0)</f>
        <v>0</v>
      </c>
      <c r="H328" s="16"/>
      <c r="I328" s="16"/>
      <c r="J328" s="16"/>
      <c r="K328" s="16"/>
      <c r="L328" s="16"/>
      <c r="M328" s="16"/>
      <c r="N328" s="16"/>
      <c r="O328" s="16"/>
      <c r="P328" s="16"/>
      <c r="Q328" s="16"/>
      <c r="R328" s="16"/>
      <c r="S328" s="16"/>
      <c r="T328" s="16"/>
      <c r="U328" s="16"/>
      <c r="V328" s="16"/>
      <c r="W328" s="16"/>
      <c r="X328" s="16"/>
      <c r="Y328" s="16"/>
      <c r="Z328" s="16"/>
    </row>
    <row r="329">
      <c r="A329" s="16" t="str">
        <f>IFERROR(__xludf.DUMMYFUNCTION("""COMPUTED_VALUE"""),"Titanic Two Hander")</f>
        <v>Titanic Two Hander</v>
      </c>
      <c r="B329" s="16"/>
      <c r="C329" s="16" t="str">
        <f>IFERROR(__xludf.DUMMYFUNCTION("""COMPUTED_VALUE"""),"Sword")</f>
        <v>Sword</v>
      </c>
      <c r="D329" s="16" t="str">
        <f>IFERROR(__xludf.DUMMYFUNCTION("""COMPUTED_VALUE"""),"Hand")</f>
        <v>Hand</v>
      </c>
      <c r="E329" s="16">
        <f>IFERROR(__xludf.DUMMYFUNCTION("""COMPUTED_VALUE"""),200.0)</f>
        <v>200</v>
      </c>
      <c r="F329" s="16" t="str">
        <f>IFERROR(__xludf.DUMMYFUNCTION("""COMPUTED_VALUE"""),"DMG: +10000")</f>
        <v>DMG: +10000</v>
      </c>
      <c r="G329" s="16">
        <f>IFERROR(__xludf.DUMMYFUNCTION("""COMPUTED_VALUE"""),1900000.0)</f>
        <v>1900000</v>
      </c>
      <c r="H329" s="16"/>
      <c r="I329" s="16"/>
      <c r="J329" s="16"/>
      <c r="K329" s="16"/>
      <c r="L329" s="16"/>
      <c r="M329" s="16"/>
      <c r="N329" s="16"/>
      <c r="O329" s="16"/>
      <c r="P329" s="16"/>
      <c r="Q329" s="16"/>
      <c r="R329" s="16"/>
      <c r="S329" s="16"/>
      <c r="T329" s="16"/>
      <c r="U329" s="16"/>
      <c r="V329" s="16"/>
      <c r="W329" s="16"/>
      <c r="X329" s="16"/>
      <c r="Y329" s="16"/>
      <c r="Z329" s="16"/>
    </row>
    <row r="330">
      <c r="A330" s="16" t="str">
        <f>IFERROR(__xludf.DUMMYFUNCTION("""COMPUTED_VALUE"""),"Top Hat")</f>
        <v>Top Hat</v>
      </c>
      <c r="B330" s="16" t="str">
        <f>IFERROR(__xludf.DUMMYFUNCTION("""COMPUTED_VALUE"""),"nothing like good ol abraham")</f>
        <v>nothing like good ol abraham</v>
      </c>
      <c r="C330" s="16"/>
      <c r="D330" s="16" t="str">
        <f>IFERROR(__xludf.DUMMYFUNCTION("""COMPUTED_VALUE"""),"Head")</f>
        <v>Head</v>
      </c>
      <c r="E330" s="16">
        <f>IFERROR(__xludf.DUMMYFUNCTION("""COMPUTED_VALUE"""),1.0)</f>
        <v>1</v>
      </c>
      <c r="F330" s="16" t="str">
        <f>IFERROR(__xludf.DUMMYFUNCTION("""COMPUTED_VALUE"""),"DEF: +1")</f>
        <v>DEF: +1</v>
      </c>
      <c r="G330" s="16">
        <f>IFERROR(__xludf.DUMMYFUNCTION("""COMPUTED_VALUE"""),0.0)</f>
        <v>0</v>
      </c>
      <c r="H330" s="16"/>
      <c r="I330" s="16"/>
      <c r="J330" s="16"/>
      <c r="K330" s="16"/>
      <c r="L330" s="16"/>
      <c r="M330" s="16"/>
      <c r="N330" s="16"/>
      <c r="O330" s="16"/>
      <c r="P330" s="16"/>
      <c r="Q330" s="16"/>
      <c r="R330" s="16"/>
      <c r="S330" s="16"/>
      <c r="T330" s="16"/>
      <c r="U330" s="16"/>
      <c r="V330" s="16"/>
      <c r="W330" s="16"/>
      <c r="X330" s="16"/>
      <c r="Y330" s="16"/>
      <c r="Z330" s="16"/>
    </row>
    <row r="331">
      <c r="A331" s="16" t="str">
        <f>IFERROR(__xludf.DUMMYFUNCTION("""COMPUTED_VALUE"""),"Trident")</f>
        <v>Trident</v>
      </c>
      <c r="B331" s="16"/>
      <c r="C331" s="16" t="str">
        <f>IFERROR(__xludf.DUMMYFUNCTION("""COMPUTED_VALUE"""),"Spear")</f>
        <v>Spear</v>
      </c>
      <c r="D331" s="16" t="str">
        <f>IFERROR(__xludf.DUMMYFUNCTION("""COMPUTED_VALUE"""),"Hand")</f>
        <v>Hand</v>
      </c>
      <c r="E331" s="16">
        <f>IFERROR(__xludf.DUMMYFUNCTION("""COMPUTED_VALUE"""),20.0)</f>
        <v>20</v>
      </c>
      <c r="F331" s="16" t="str">
        <f>IFERROR(__xludf.DUMMYFUNCTION("""COMPUTED_VALUE"""),"DMG: +600")</f>
        <v>DMG: +600</v>
      </c>
      <c r="G331" s="16">
        <f>IFERROR(__xludf.DUMMYFUNCTION("""COMPUTED_VALUE"""),1000.0)</f>
        <v>1000</v>
      </c>
      <c r="H331" s="16"/>
      <c r="I331" s="16"/>
      <c r="J331" s="16"/>
      <c r="K331" s="16"/>
      <c r="L331" s="16"/>
      <c r="M331" s="16"/>
      <c r="N331" s="16"/>
      <c r="O331" s="16"/>
      <c r="P331" s="16"/>
      <c r="Q331" s="16"/>
      <c r="R331" s="16"/>
      <c r="S331" s="16"/>
      <c r="T331" s="16"/>
      <c r="U331" s="16"/>
      <c r="V331" s="16"/>
      <c r="W331" s="16"/>
      <c r="X331" s="16"/>
      <c r="Y331" s="16"/>
      <c r="Z331" s="16"/>
    </row>
    <row r="332">
      <c r="A332" s="16" t="str">
        <f>IFERROR(__xludf.DUMMYFUNCTION("""COMPUTED_VALUE"""),"Tundra Staff")</f>
        <v>Tundra Staff</v>
      </c>
      <c r="B332" s="16"/>
      <c r="C332" s="16" t="str">
        <f>IFERROR(__xludf.DUMMYFUNCTION("""COMPUTED_VALUE"""),"Staff")</f>
        <v>Staff</v>
      </c>
      <c r="D332" s="16" t="str">
        <f>IFERROR(__xludf.DUMMYFUNCTION("""COMPUTED_VALUE"""),"Hand")</f>
        <v>Hand</v>
      </c>
      <c r="E332" s="16">
        <f>IFERROR(__xludf.DUMMYFUNCTION("""COMPUTED_VALUE"""),200.0)</f>
        <v>200</v>
      </c>
      <c r="F332" s="16" t="str">
        <f>IFERROR(__xludf.DUMMYFUNCTION("""COMPUTED_VALUE"""),", Earth : +10000 ++X2 Earth damage. +-Cannot be duplicated")</f>
        <v>, Earth : +10000 ++X2 Earth damage. +-Cannot be duplicated</v>
      </c>
      <c r="G332" s="16">
        <f>IFERROR(__xludf.DUMMYFUNCTION("""COMPUTED_VALUE"""),1900000.0)</f>
        <v>1900000</v>
      </c>
      <c r="H332" s="16"/>
      <c r="I332" s="16"/>
      <c r="J332" s="16"/>
      <c r="K332" s="16"/>
      <c r="L332" s="16"/>
      <c r="M332" s="16"/>
      <c r="N332" s="16"/>
      <c r="O332" s="16"/>
      <c r="P332" s="16"/>
      <c r="Q332" s="16"/>
      <c r="R332" s="16"/>
      <c r="S332" s="16"/>
      <c r="T332" s="16"/>
      <c r="U332" s="16"/>
      <c r="V332" s="16"/>
      <c r="W332" s="16"/>
      <c r="X332" s="16"/>
      <c r="Y332" s="16"/>
      <c r="Z332" s="16"/>
    </row>
    <row r="333">
      <c r="A333" s="16" t="str">
        <f>IFERROR(__xludf.DUMMYFUNCTION("""COMPUTED_VALUE"""),"Twilight Bow")</f>
        <v>Twilight Bow</v>
      </c>
      <c r="B333" s="16"/>
      <c r="C333" s="16" t="str">
        <f>IFERROR(__xludf.DUMMYFUNCTION("""COMPUTED_VALUE"""),"Bow")</f>
        <v>Bow</v>
      </c>
      <c r="D333" s="16" t="str">
        <f>IFERROR(__xludf.DUMMYFUNCTION("""COMPUTED_VALUE"""),"Hand")</f>
        <v>Hand</v>
      </c>
      <c r="E333" s="16">
        <f>IFERROR(__xludf.DUMMYFUNCTION("""COMPUTED_VALUE"""),400.0)</f>
        <v>400</v>
      </c>
      <c r="F333" s="16" t="str">
        <f>IFERROR(__xludf.DUMMYFUNCTION("""COMPUTED_VALUE"""),"DMG: +10000, Twilight DMG: +10000")</f>
        <v>DMG: +10000, Twilight DMG: +10000</v>
      </c>
      <c r="G333" s="16">
        <f>IFERROR(__xludf.DUMMYFUNCTION("""COMPUTED_VALUE"""),7800000.0)</f>
        <v>7800000</v>
      </c>
      <c r="H333" s="16"/>
      <c r="I333" s="16"/>
      <c r="J333" s="16"/>
      <c r="K333" s="16"/>
      <c r="L333" s="16"/>
      <c r="M333" s="16"/>
      <c r="N333" s="16"/>
      <c r="O333" s="16"/>
      <c r="P333" s="16"/>
      <c r="Q333" s="16"/>
      <c r="R333" s="16"/>
      <c r="S333" s="16"/>
      <c r="T333" s="16"/>
      <c r="U333" s="16"/>
      <c r="V333" s="16"/>
      <c r="W333" s="16"/>
      <c r="X333" s="16"/>
      <c r="Y333" s="16"/>
      <c r="Z333" s="16"/>
    </row>
    <row r="334">
      <c r="A334" s="16" t="str">
        <f>IFERROR(__xludf.DUMMYFUNCTION("""COMPUTED_VALUE"""),"Twilight Crystal Sword of Evil's Bane")</f>
        <v>Twilight Crystal Sword of Evil's Bane</v>
      </c>
      <c r="B334" s="16" t="str">
        <f>IFERROR(__xludf.DUMMYFUNCTION("""COMPUTED_VALUE"""),"Halloween Event Exclusive Item")</f>
        <v>Halloween Event Exclusive Item</v>
      </c>
      <c r="C334" s="16" t="str">
        <f>IFERROR(__xludf.DUMMYFUNCTION("""COMPUTED_VALUE"""),"Sword")</f>
        <v>Sword</v>
      </c>
      <c r="D334" s="16" t="str">
        <f>IFERROR(__xludf.DUMMYFUNCTION("""COMPUTED_VALUE"""),"Hand")</f>
        <v>Hand</v>
      </c>
      <c r="E334" s="16">
        <f>IFERROR(__xludf.DUMMYFUNCTION("""COMPUTED_VALUE"""),200.0)</f>
        <v>200</v>
      </c>
      <c r="F334" s="16" t="str">
        <f>IFERROR(__xludf.DUMMYFUNCTION("""COMPUTED_VALUE"""),"DMG: +20000, Twilight DMG: +20000, Celestial DMG: +10000 ++X4 Order, Light, Chaos, and Dark damage for the user and party. +-Cannot be forged +-Cannot be duplicated")</f>
        <v>DMG: +20000, Twilight DMG: +20000, Celestial DMG: +10000 ++X4 Order, Light, Chaos, and Dark damage for the user and party. +-Cannot be forged +-Cannot be duplicated</v>
      </c>
      <c r="G334" s="16">
        <f>IFERROR(__xludf.DUMMYFUNCTION("""COMPUTED_VALUE"""),4.95E7)</f>
        <v>49500000</v>
      </c>
      <c r="H334" s="16"/>
      <c r="I334" s="16"/>
      <c r="J334" s="16"/>
      <c r="K334" s="16"/>
      <c r="L334" s="16"/>
      <c r="M334" s="16"/>
      <c r="N334" s="16"/>
      <c r="O334" s="16"/>
      <c r="P334" s="16"/>
      <c r="Q334" s="16"/>
      <c r="R334" s="16"/>
      <c r="S334" s="16"/>
      <c r="T334" s="16"/>
      <c r="U334" s="16"/>
      <c r="V334" s="16"/>
      <c r="W334" s="16"/>
      <c r="X334" s="16"/>
      <c r="Y334" s="16"/>
      <c r="Z334" s="16"/>
    </row>
    <row r="335">
      <c r="A335" s="16" t="str">
        <f>IFERROR(__xludf.DUMMYFUNCTION("""COMPUTED_VALUE"""),"Twilight Sword")</f>
        <v>Twilight Sword</v>
      </c>
      <c r="B335" s="16"/>
      <c r="C335" s="16" t="str">
        <f>IFERROR(__xludf.DUMMYFUNCTION("""COMPUTED_VALUE"""),"Sword")</f>
        <v>Sword</v>
      </c>
      <c r="D335" s="16" t="str">
        <f>IFERROR(__xludf.DUMMYFUNCTION("""COMPUTED_VALUE"""),"Hand")</f>
        <v>Hand</v>
      </c>
      <c r="E335" s="16">
        <f>IFERROR(__xludf.DUMMYFUNCTION("""COMPUTED_VALUE"""),20.0)</f>
        <v>20</v>
      </c>
      <c r="F335" s="16" t="str">
        <f>IFERROR(__xludf.DUMMYFUNCTION("""COMPUTED_VALUE"""),"DMG: +500, Twilight DMG: +200")</f>
        <v>DMG: +500, Twilight DMG: +200</v>
      </c>
      <c r="G335" s="16">
        <f>IFERROR(__xludf.DUMMYFUNCTION("""COMPUTED_VALUE"""),1000.0)</f>
        <v>1000</v>
      </c>
      <c r="H335" s="16"/>
      <c r="I335" s="16"/>
      <c r="J335" s="16"/>
      <c r="K335" s="16"/>
      <c r="L335" s="16"/>
      <c r="M335" s="16"/>
      <c r="N335" s="16"/>
      <c r="O335" s="16"/>
      <c r="P335" s="16"/>
      <c r="Q335" s="16"/>
      <c r="R335" s="16"/>
      <c r="S335" s="16"/>
      <c r="T335" s="16"/>
      <c r="U335" s="16"/>
      <c r="V335" s="16"/>
      <c r="W335" s="16"/>
      <c r="X335" s="16"/>
      <c r="Y335" s="16"/>
      <c r="Z335" s="16"/>
    </row>
    <row r="336">
      <c r="A336" s="16" t="str">
        <f>IFERROR(__xludf.DUMMYFUNCTION("""COMPUTED_VALUE"""),"Unknown Amulet")</f>
        <v>Unknown Amulet</v>
      </c>
      <c r="B336" s="16"/>
      <c r="C336" s="16"/>
      <c r="D336" s="16" t="str">
        <f>IFERROR(__xludf.DUMMYFUNCTION("""COMPUTED_VALUE"""),"Neck")</f>
        <v>Neck</v>
      </c>
      <c r="E336" s="16">
        <f>IFERROR(__xludf.DUMMYFUNCTION("""COMPUTED_VALUE"""),1.0)</f>
        <v>1</v>
      </c>
      <c r="F336" s="16" t="str">
        <f>IFERROR(__xludf.DUMMYFUNCTION("""COMPUTED_VALUE""")," ++At the beginning of battle, roll a d20. If the number is 1-5, everyone in the battle loses 1 HP. If the number is 6-10, all enemies lose 25% of their current HP. If the number is 11-19, the wearer loses 40% current HP. If the number is 20, the battle i"&amp;"s instantly won. (If you roll above a 20 , double your loot amount of each item)")</f>
        <v> ++At the beginning of battle, roll a d20. If the number is 1-5, everyone in the battle loses 1 HP. If the number is 6-10, all enemies lose 25% of their current HP. If the number is 11-19, the wearer loses 40% current HP. If the number is 20, the battle is instantly won. (If you roll above a 20 , double your loot amount of each item)</v>
      </c>
      <c r="G336" s="16">
        <f>IFERROR(__xludf.DUMMYFUNCTION("""COMPUTED_VALUE"""),0.0)</f>
        <v>0</v>
      </c>
      <c r="H336" s="16"/>
      <c r="I336" s="16"/>
      <c r="J336" s="16"/>
      <c r="K336" s="16"/>
      <c r="L336" s="16"/>
      <c r="M336" s="16"/>
      <c r="N336" s="16"/>
      <c r="O336" s="16"/>
      <c r="P336" s="16"/>
      <c r="Q336" s="16"/>
      <c r="R336" s="16"/>
      <c r="S336" s="16"/>
      <c r="T336" s="16"/>
      <c r="U336" s="16"/>
      <c r="V336" s="16"/>
      <c r="W336" s="16"/>
      <c r="X336" s="16"/>
      <c r="Y336" s="16"/>
      <c r="Z336" s="16"/>
    </row>
    <row r="337">
      <c r="A337" s="16" t="str">
        <f>IFERROR(__xludf.DUMMYFUNCTION("""COMPUTED_VALUE"""),"Vambraces of Waking Waters")</f>
        <v>Vambraces of Waking Waters</v>
      </c>
      <c r="B337" s="16"/>
      <c r="C337" s="16"/>
      <c r="D337" s="16" t="str">
        <f>IFERROR(__xludf.DUMMYFUNCTION("""COMPUTED_VALUE"""),"Arms")</f>
        <v>Arms</v>
      </c>
      <c r="E337" s="16">
        <f>IFERROR(__xludf.DUMMYFUNCTION("""COMPUTED_VALUE"""),200.0)</f>
        <v>200</v>
      </c>
      <c r="F337" s="16" t="str">
        <f>IFERROR(__xludf.DUMMYFUNCTION("""COMPUTED_VALUE"""),"DEF: +5000, Water DEF: +5000 ++X4 additional Water damage.")</f>
        <v>DEF: +5000, Water DEF: +5000 ++X4 additional Water damage.</v>
      </c>
      <c r="G337" s="16">
        <f>IFERROR(__xludf.DUMMYFUNCTION("""COMPUTED_VALUE"""),1900000.0)</f>
        <v>1900000</v>
      </c>
      <c r="H337" s="16"/>
      <c r="I337" s="16"/>
      <c r="J337" s="16"/>
      <c r="K337" s="16"/>
      <c r="L337" s="16"/>
      <c r="M337" s="16"/>
      <c r="N337" s="16"/>
      <c r="O337" s="16"/>
      <c r="P337" s="16"/>
      <c r="Q337" s="16"/>
      <c r="R337" s="16"/>
      <c r="S337" s="16"/>
      <c r="T337" s="16"/>
      <c r="U337" s="16"/>
      <c r="V337" s="16"/>
      <c r="W337" s="16"/>
      <c r="X337" s="16"/>
      <c r="Y337" s="16"/>
      <c r="Z337" s="16"/>
    </row>
    <row r="338">
      <c r="A338" s="16" t="str">
        <f>IFERROR(__xludf.DUMMYFUNCTION("""COMPUTED_VALUE"""),"Viking Helm")</f>
        <v>Viking Helm</v>
      </c>
      <c r="B338" s="16"/>
      <c r="C338" s="16"/>
      <c r="D338" s="16" t="str">
        <f>IFERROR(__xludf.DUMMYFUNCTION("""COMPUTED_VALUE"""),"Head")</f>
        <v>Head</v>
      </c>
      <c r="E338" s="16">
        <f>IFERROR(__xludf.DUMMYFUNCTION("""COMPUTED_VALUE"""),1.0)</f>
        <v>1</v>
      </c>
      <c r="F338" s="16" t="str">
        <f>IFERROR(__xludf.DUMMYFUNCTION("""COMPUTED_VALUE"""),"DEF: +200 (Viking Set)")</f>
        <v>DEF: +200 (Viking Set)</v>
      </c>
      <c r="G338" s="16">
        <f>IFERROR(__xludf.DUMMYFUNCTION("""COMPUTED_VALUE"""),0.0)</f>
        <v>0</v>
      </c>
      <c r="H338" s="16"/>
      <c r="I338" s="16"/>
      <c r="J338" s="16"/>
      <c r="K338" s="16"/>
      <c r="L338" s="16"/>
      <c r="M338" s="16"/>
      <c r="N338" s="16"/>
      <c r="O338" s="16"/>
      <c r="P338" s="16"/>
      <c r="Q338" s="16"/>
      <c r="R338" s="16"/>
      <c r="S338" s="16"/>
      <c r="T338" s="16"/>
      <c r="U338" s="16"/>
      <c r="V338" s="16"/>
      <c r="W338" s="16"/>
      <c r="X338" s="16"/>
      <c r="Y338" s="16"/>
      <c r="Z338" s="16"/>
    </row>
    <row r="339">
      <c r="A339" s="16" t="str">
        <f>IFERROR(__xludf.DUMMYFUNCTION("""COMPUTED_VALUE"""),"Void sword")</f>
        <v>Void sword</v>
      </c>
      <c r="B339" s="16"/>
      <c r="C339" s="16" t="str">
        <f>IFERROR(__xludf.DUMMYFUNCTION("""COMPUTED_VALUE"""),"Sword")</f>
        <v>Sword</v>
      </c>
      <c r="D339" s="16" t="str">
        <f>IFERROR(__xludf.DUMMYFUNCTION("""COMPUTED_VALUE"""),"Hand")</f>
        <v>Hand</v>
      </c>
      <c r="E339" s="16">
        <f>IFERROR(__xludf.DUMMYFUNCTION("""COMPUTED_VALUE"""),200.0)</f>
        <v>200</v>
      </c>
      <c r="F339" s="16" t="str">
        <f>IFERROR(__xludf.DUMMYFUNCTION("""COMPUTED_VALUE"""),", Celestial : +1 ++100% chance of instant death. Breaks upon instant death and causes a giant explosion causing 10,000,000 Celestial damage to all enemies..")</f>
        <v>, Celestial : +1 ++100% chance of instant death. Breaks upon instant death and causes a giant explosion causing 10,000,000 Celestial damage to all enemies..</v>
      </c>
      <c r="G339" s="16">
        <f>IFERROR(__xludf.DUMMYFUNCTION("""COMPUTED_VALUE"""),0.0)</f>
        <v>0</v>
      </c>
      <c r="H339" s="16"/>
      <c r="I339" s="16"/>
      <c r="J339" s="16"/>
      <c r="K339" s="16"/>
      <c r="L339" s="16"/>
      <c r="M339" s="16"/>
      <c r="N339" s="16"/>
      <c r="O339" s="16"/>
      <c r="P339" s="16"/>
      <c r="Q339" s="16"/>
      <c r="R339" s="16"/>
      <c r="S339" s="16"/>
      <c r="T339" s="16"/>
      <c r="U339" s="16"/>
      <c r="V339" s="16"/>
      <c r="W339" s="16"/>
      <c r="X339" s="16"/>
      <c r="Y339" s="16"/>
      <c r="Z339" s="16"/>
    </row>
    <row r="340">
      <c r="A340" s="16" t="str">
        <f>IFERROR(__xludf.DUMMYFUNCTION("""COMPUTED_VALUE"""),"Volcanic Sword of Destruction")</f>
        <v>Volcanic Sword of Destruction</v>
      </c>
      <c r="B340" s="16"/>
      <c r="C340" s="16" t="str">
        <f>IFERROR(__xludf.DUMMYFUNCTION("""COMPUTED_VALUE"""),"Sword")</f>
        <v>Sword</v>
      </c>
      <c r="D340" s="16" t="str">
        <f>IFERROR(__xludf.DUMMYFUNCTION("""COMPUTED_VALUE"""),"Hand")</f>
        <v>Hand</v>
      </c>
      <c r="E340" s="16">
        <f>IFERROR(__xludf.DUMMYFUNCTION("""COMPUTED_VALUE"""),200.0)</f>
        <v>200</v>
      </c>
      <c r="F340" s="16" t="str">
        <f>IFERROR(__xludf.DUMMYFUNCTION("""COMPUTED_VALUE"""),"DMG: +100000, Fire DMG: +300000, Celestial DMG: +100000 ++Volcanic Valves - Increase the damage of fire weapons and fire spells by x3, When you attack and miss the target with this sword the damage this sword deals will double each time you miss. +-Cannot"&amp;" be forged +-Cannot be duplicated")</f>
        <v>DMG: +100000, Fire DMG: +300000, Celestial DMG: +100000 ++Volcanic Valves - Increase the damage of fire weapons and fire spells by x3, When you attack and miss the target with this sword the damage this sword deals will double each time you miss. +-Cannot be forged +-Cannot be duplicated</v>
      </c>
      <c r="G340" s="16">
        <f>IFERROR(__xludf.DUMMYFUNCTION("""COMPUTED_VALUE"""),4.995E9)</f>
        <v>4995000000</v>
      </c>
      <c r="H340" s="16"/>
      <c r="I340" s="16"/>
      <c r="J340" s="16"/>
      <c r="K340" s="16"/>
      <c r="L340" s="16"/>
      <c r="M340" s="16"/>
      <c r="N340" s="16"/>
      <c r="O340" s="16"/>
      <c r="P340" s="16"/>
      <c r="Q340" s="16"/>
      <c r="R340" s="16"/>
      <c r="S340" s="16"/>
      <c r="T340" s="16"/>
      <c r="U340" s="16"/>
      <c r="V340" s="16"/>
      <c r="W340" s="16"/>
      <c r="X340" s="16"/>
      <c r="Y340" s="16"/>
      <c r="Z340" s="16"/>
    </row>
    <row r="341">
      <c r="A341" s="16" t="str">
        <f>IFERROR(__xludf.DUMMYFUNCTION("""COMPUTED_VALUE"""),"Wand of Grey")</f>
        <v>Wand of Grey</v>
      </c>
      <c r="B341" s="16"/>
      <c r="C341" s="16" t="str">
        <f>IFERROR(__xludf.DUMMYFUNCTION("""COMPUTED_VALUE"""),"Wand")</f>
        <v>Wand</v>
      </c>
      <c r="D341" s="16" t="str">
        <f>IFERROR(__xludf.DUMMYFUNCTION("""COMPUTED_VALUE"""),"Hand")</f>
        <v>Hand</v>
      </c>
      <c r="E341" s="16">
        <f>IFERROR(__xludf.DUMMYFUNCTION("""COMPUTED_VALUE"""),1.0)</f>
        <v>1</v>
      </c>
      <c r="F341" s="16" t="str">
        <f>IFERROR(__xludf.DUMMYFUNCTION("""COMPUTED_VALUE""")," ++X2 more damage to all spells. +-Cannot be duplicated.")</f>
        <v> ++X2 more damage to all spells. +-Cannot be duplicated.</v>
      </c>
      <c r="G341" s="16">
        <f>IFERROR(__xludf.DUMMYFUNCTION("""COMPUTED_VALUE"""),0.0)</f>
        <v>0</v>
      </c>
      <c r="H341" s="16"/>
      <c r="I341" s="16"/>
      <c r="J341" s="16"/>
      <c r="K341" s="16"/>
      <c r="L341" s="16"/>
      <c r="M341" s="16"/>
      <c r="N341" s="16"/>
      <c r="O341" s="16"/>
      <c r="P341" s="16"/>
      <c r="Q341" s="16"/>
      <c r="R341" s="16"/>
      <c r="S341" s="16"/>
      <c r="T341" s="16"/>
      <c r="U341" s="16"/>
      <c r="V341" s="16"/>
      <c r="W341" s="16"/>
      <c r="X341" s="16"/>
      <c r="Y341" s="16"/>
      <c r="Z341" s="16"/>
    </row>
    <row r="342">
      <c r="A342" s="16" t="str">
        <f>IFERROR(__xludf.DUMMYFUNCTION("""COMPUTED_VALUE"""),"Wand of Multi-Color")</f>
        <v>Wand of Multi-Color</v>
      </c>
      <c r="B342" s="16"/>
      <c r="C342" s="16" t="str">
        <f>IFERROR(__xludf.DUMMYFUNCTION("""COMPUTED_VALUE"""),"Wand")</f>
        <v>Wand</v>
      </c>
      <c r="D342" s="16" t="str">
        <f>IFERROR(__xludf.DUMMYFUNCTION("""COMPUTED_VALUE"""),"Hand")</f>
        <v>Hand</v>
      </c>
      <c r="E342" s="16">
        <f>IFERROR(__xludf.DUMMYFUNCTION("""COMPUTED_VALUE"""),1.0)</f>
        <v>1</v>
      </c>
      <c r="F342" s="16" t="str">
        <f>IFERROR(__xludf.DUMMYFUNCTION("""COMPUTED_VALUE""")," ++All types of spells are reduced by half sp. +-Cannot be duplicated. +-Can only equip one")</f>
        <v> ++All types of spells are reduced by half sp. +-Cannot be duplicated. +-Can only equip one</v>
      </c>
      <c r="G342" s="16">
        <f>IFERROR(__xludf.DUMMYFUNCTION("""COMPUTED_VALUE"""),0.0)</f>
        <v>0</v>
      </c>
      <c r="H342" s="16"/>
      <c r="I342" s="16"/>
      <c r="J342" s="16"/>
      <c r="K342" s="16"/>
      <c r="L342" s="16"/>
      <c r="M342" s="16"/>
      <c r="N342" s="16"/>
      <c r="O342" s="16"/>
      <c r="P342" s="16"/>
      <c r="Q342" s="16"/>
      <c r="R342" s="16"/>
      <c r="S342" s="16"/>
      <c r="T342" s="16"/>
      <c r="U342" s="16"/>
      <c r="V342" s="16"/>
      <c r="W342" s="16"/>
      <c r="X342" s="16"/>
      <c r="Y342" s="16"/>
      <c r="Z342" s="16"/>
    </row>
    <row r="343">
      <c r="A343" s="16" t="str">
        <f>IFERROR(__xludf.DUMMYFUNCTION("""COMPUTED_VALUE"""),"Warlock’s Armored Chestplate")</f>
        <v>Warlock’s Armored Chestplate</v>
      </c>
      <c r="B343" s="16"/>
      <c r="C343" s="16"/>
      <c r="D343" s="16" t="str">
        <f>IFERROR(__xludf.DUMMYFUNCTION("""COMPUTED_VALUE"""),"Torso")</f>
        <v>Torso</v>
      </c>
      <c r="E343" s="16">
        <f>IFERROR(__xludf.DUMMYFUNCTION("""COMPUTED_VALUE"""),100.0)</f>
        <v>100</v>
      </c>
      <c r="F343" s="16" t="str">
        <f>IFERROR(__xludf.DUMMYFUNCTION("""COMPUTED_VALUE"""),"DEF: +5000 ++All Dark, and Weapon attacks deal X2 more damage, All SP costs for Melee, Dark, and Physical Spells are reduced to half. ++Immunity to Dark and Chaos Damage.")</f>
        <v>DEF: +5000 ++All Dark, and Weapon attacks deal X2 more damage, All SP costs for Melee, Dark, and Physical Spells are reduced to half. ++Immunity to Dark and Chaos Damage.</v>
      </c>
      <c r="G343" s="16">
        <f>IFERROR(__xludf.DUMMYFUNCTION("""COMPUTED_VALUE"""),450000.0)</f>
        <v>450000</v>
      </c>
      <c r="H343" s="16"/>
      <c r="I343" s="16"/>
      <c r="J343" s="16"/>
      <c r="K343" s="16"/>
      <c r="L343" s="16"/>
      <c r="M343" s="16"/>
      <c r="N343" s="16"/>
      <c r="O343" s="16"/>
      <c r="P343" s="16"/>
      <c r="Q343" s="16"/>
      <c r="R343" s="16"/>
      <c r="S343" s="16"/>
      <c r="T343" s="16"/>
      <c r="U343" s="16"/>
      <c r="V343" s="16"/>
      <c r="W343" s="16"/>
      <c r="X343" s="16"/>
      <c r="Y343" s="16"/>
      <c r="Z343" s="16"/>
    </row>
    <row r="344">
      <c r="A344" s="16" t="str">
        <f>IFERROR(__xludf.DUMMYFUNCTION("""COMPUTED_VALUE"""),"Water Warhammer")</f>
        <v>Water Warhammer</v>
      </c>
      <c r="B344" s="16"/>
      <c r="C344" s="16" t="str">
        <f>IFERROR(__xludf.DUMMYFUNCTION("""COMPUTED_VALUE"""),"Club")</f>
        <v>Club</v>
      </c>
      <c r="D344" s="16" t="str">
        <f>IFERROR(__xludf.DUMMYFUNCTION("""COMPUTED_VALUE"""),"Hand")</f>
        <v>Hand</v>
      </c>
      <c r="E344" s="16">
        <f>IFERROR(__xludf.DUMMYFUNCTION("""COMPUTED_VALUE"""),200.0)</f>
        <v>200</v>
      </c>
      <c r="F344" s="16" t="str">
        <f>IFERROR(__xludf.DUMMYFUNCTION("""COMPUTED_VALUE"""),"DMG: +5000, Water DMG: +5000")</f>
        <v>DMG: +5000, Water DMG: +5000</v>
      </c>
      <c r="G344" s="16">
        <f>IFERROR(__xludf.DUMMYFUNCTION("""COMPUTED_VALUE"""),1900000.0)</f>
        <v>1900000</v>
      </c>
      <c r="H344" s="16"/>
      <c r="I344" s="16"/>
      <c r="J344" s="16"/>
      <c r="K344" s="16"/>
      <c r="L344" s="16"/>
      <c r="M344" s="16"/>
      <c r="N344" s="16"/>
      <c r="O344" s="16"/>
      <c r="P344" s="16"/>
      <c r="Q344" s="16"/>
      <c r="R344" s="16"/>
      <c r="S344" s="16"/>
      <c r="T344" s="16"/>
      <c r="U344" s="16"/>
      <c r="V344" s="16"/>
      <c r="W344" s="16"/>
      <c r="X344" s="16"/>
      <c r="Y344" s="16"/>
      <c r="Z344" s="16"/>
    </row>
    <row r="345">
      <c r="A345" s="16" t="str">
        <f>IFERROR(__xludf.DUMMYFUNCTION("""COMPUTED_VALUE"""),"Weaponized Bamboo Hat")</f>
        <v>Weaponized Bamboo Hat</v>
      </c>
      <c r="B345" s="16"/>
      <c r="C345" s="16" t="str">
        <f>IFERROR(__xludf.DUMMYFUNCTION("""COMPUTED_VALUE"""),"Knife")</f>
        <v>Knife</v>
      </c>
      <c r="D345" s="16" t="str">
        <f>IFERROR(__xludf.DUMMYFUNCTION("""COMPUTED_VALUE"""),"Head")</f>
        <v>Head</v>
      </c>
      <c r="E345" s="16">
        <f>IFERROR(__xludf.DUMMYFUNCTION("""COMPUTED_VALUE"""),40.0)</f>
        <v>40</v>
      </c>
      <c r="F345" s="16" t="str">
        <f>IFERROR(__xludf.DUMMYFUNCTION("""COMPUTED_VALUE"""),"DEF: +1000, Nature DEF: +1000 ++10,000 damage when thrown, this item will return to you after thrown.")</f>
        <v>DEF: +1000, Nature DEF: +1000 ++10,000 damage when thrown, this item will return to you after thrown.</v>
      </c>
      <c r="G345" s="16">
        <f>IFERROR(__xludf.DUMMYFUNCTION("""COMPUTED_VALUE"""),60000.0)</f>
        <v>60000</v>
      </c>
      <c r="H345" s="16"/>
      <c r="I345" s="16"/>
      <c r="J345" s="16"/>
      <c r="K345" s="16"/>
      <c r="L345" s="16"/>
      <c r="M345" s="16"/>
      <c r="N345" s="16"/>
      <c r="O345" s="16"/>
      <c r="P345" s="16"/>
      <c r="Q345" s="16"/>
      <c r="R345" s="16"/>
      <c r="S345" s="16"/>
      <c r="T345" s="16"/>
      <c r="U345" s="16"/>
      <c r="V345" s="16"/>
      <c r="W345" s="16"/>
      <c r="X345" s="16"/>
      <c r="Y345" s="16"/>
      <c r="Z345" s="16"/>
    </row>
    <row r="346">
      <c r="A346" s="16" t="str">
        <f>IFERROR(__xludf.DUMMYFUNCTION("""COMPUTED_VALUE"""),"Wig of Temper Fire")</f>
        <v>Wig of Temper Fire</v>
      </c>
      <c r="B346" s="16"/>
      <c r="C346" s="16"/>
      <c r="D346" s="16" t="str">
        <f>IFERROR(__xludf.DUMMYFUNCTION("""COMPUTED_VALUE"""),"Head")</f>
        <v>Head</v>
      </c>
      <c r="E346" s="16">
        <f>IFERROR(__xludf.DUMMYFUNCTION("""COMPUTED_VALUE"""),1.0)</f>
        <v>1</v>
      </c>
      <c r="F346" s="16" t="str">
        <f>IFERROR(__xludf.DUMMYFUNCTION("""COMPUTED_VALUE""")," ++reduces any fire damage to 1 +-Cannot be duplicated")</f>
        <v> ++reduces any fire damage to 1 +-Cannot be duplicated</v>
      </c>
      <c r="G346" s="16">
        <f>IFERROR(__xludf.DUMMYFUNCTION("""COMPUTED_VALUE"""),0.0)</f>
        <v>0</v>
      </c>
      <c r="H346" s="16"/>
      <c r="I346" s="16"/>
      <c r="J346" s="16"/>
      <c r="K346" s="16"/>
      <c r="L346" s="16"/>
      <c r="M346" s="16"/>
      <c r="N346" s="16"/>
      <c r="O346" s="16"/>
      <c r="P346" s="16"/>
      <c r="Q346" s="16"/>
      <c r="R346" s="16"/>
      <c r="S346" s="16"/>
      <c r="T346" s="16"/>
      <c r="U346" s="16"/>
      <c r="V346" s="16"/>
      <c r="W346" s="16"/>
      <c r="X346" s="16"/>
      <c r="Y346" s="16"/>
      <c r="Z346" s="16"/>
    </row>
    <row r="347">
      <c r="A347" s="16" t="str">
        <f>IFERROR(__xludf.DUMMYFUNCTION("""COMPUTED_VALUE"""),"Woodsman’s Hacker")</f>
        <v>Woodsman’s Hacker</v>
      </c>
      <c r="B347" s="16"/>
      <c r="C347" s="16" t="str">
        <f>IFERROR(__xludf.DUMMYFUNCTION("""COMPUTED_VALUE"""),"Axe")</f>
        <v>Axe</v>
      </c>
      <c r="D347" s="16" t="str">
        <f>IFERROR(__xludf.DUMMYFUNCTION("""COMPUTED_VALUE"""),"Hand")</f>
        <v>Hand</v>
      </c>
      <c r="E347" s="16">
        <f>IFERROR(__xludf.DUMMYFUNCTION("""COMPUTED_VALUE"""),10.0)</f>
        <v>10</v>
      </c>
      <c r="F347" s="16" t="str">
        <f>IFERROR(__xludf.DUMMYFUNCTION("""COMPUTED_VALUE"""),"DMG: +500")</f>
        <v>DMG: +500</v>
      </c>
      <c r="G347" s="16">
        <f>IFERROR(__xludf.DUMMYFUNCTION("""COMPUTED_VALUE"""),1000.0)</f>
        <v>1000</v>
      </c>
      <c r="H347" s="16"/>
      <c r="I347" s="16"/>
      <c r="J347" s="16"/>
      <c r="K347" s="16"/>
      <c r="L347" s="16"/>
      <c r="M347" s="16"/>
      <c r="N347" s="16"/>
      <c r="O347" s="16"/>
      <c r="P347" s="16"/>
      <c r="Q347" s="16"/>
      <c r="R347" s="16"/>
      <c r="S347" s="16"/>
      <c r="T347" s="16"/>
      <c r="U347" s="16"/>
      <c r="V347" s="16"/>
      <c r="W347" s="16"/>
      <c r="X347" s="16"/>
      <c r="Y347" s="16"/>
      <c r="Z347" s="16"/>
    </row>
    <row r="348">
      <c r="A348" s="16" t="str">
        <f>IFERROR(__xludf.DUMMYFUNCTION("""COMPUTED_VALUE"""),"World Tree Sword")</f>
        <v>World Tree Sword</v>
      </c>
      <c r="B348" s="16"/>
      <c r="C348" s="16"/>
      <c r="D348" s="16" t="str">
        <f>IFERROR(__xludf.DUMMYFUNCTION("""COMPUTED_VALUE"""),"Hand")</f>
        <v>Hand</v>
      </c>
      <c r="E348" s="16">
        <f>IFERROR(__xludf.DUMMYFUNCTION("""COMPUTED_VALUE"""),200.0)</f>
        <v>200</v>
      </c>
      <c r="F348" s="16" t="str">
        <f>IFERROR(__xludf.DUMMYFUNCTION("""COMPUTED_VALUE"""),"DMG: +100000, Earth DMG: +50000, Light DMG: +50000, Spirit DMG: +50000, Order DMG: +50000, Nature DMG: +50000, Celestial DMG: +50000 ++If you kill an enemy with this weapon your HP and SP will fully be restored. +-Cannot be forged +-Cannot be duplicated")</f>
        <v>DMG: +100000, Earth DMG: +50000, Light DMG: +50000, Spirit DMG: +50000, Order DMG: +50000, Nature DMG: +50000, Celestial DMG: +50000 ++If you kill an enemy with this weapon your HP and SP will fully be restored. +-Cannot be forged +-Cannot be duplicated</v>
      </c>
      <c r="G348" s="16">
        <f>IFERROR(__xludf.DUMMYFUNCTION("""COMPUTED_VALUE"""),3.196E9)</f>
        <v>3196000000</v>
      </c>
      <c r="H348" s="16"/>
      <c r="I348" s="16"/>
      <c r="J348" s="16"/>
      <c r="K348" s="16"/>
      <c r="L348" s="16"/>
      <c r="M348" s="16"/>
      <c r="N348" s="16"/>
      <c r="O348" s="16"/>
      <c r="P348" s="16"/>
      <c r="Q348" s="16"/>
      <c r="R348" s="16"/>
      <c r="S348" s="16"/>
      <c r="T348" s="16"/>
      <c r="U348" s="16"/>
      <c r="V348" s="16"/>
      <c r="W348" s="16"/>
      <c r="X348" s="16"/>
      <c r="Y348" s="16"/>
      <c r="Z348" s="16"/>
    </row>
    <row r="349">
      <c r="A349" s="16" t="str">
        <f>IFERROR(__xludf.DUMMYFUNCTION("""COMPUTED_VALUE"""),"Tear of the Dragon Pendant")</f>
        <v>Tear of the Dragon Pendant</v>
      </c>
      <c r="B349" s="16"/>
      <c r="C349" s="16"/>
      <c r="D349" s="16" t="str">
        <f>IFERROR(__xludf.DUMMYFUNCTION("""COMPUTED_VALUE"""),"Neck")</f>
        <v>Neck</v>
      </c>
      <c r="E349" s="16">
        <f>IFERROR(__xludf.DUMMYFUNCTION("""COMPUTED_VALUE"""),1.0)</f>
        <v>1</v>
      </c>
      <c r="F349" s="16" t="str">
        <f>IFERROR(__xludf.DUMMYFUNCTION("""COMPUTED_VALUE""")," ++Plus 5 or Minus 5 on your attack and percentage rolls, Users choice. +-Cannot be duplicated.")</f>
        <v> ++Plus 5 or Minus 5 on your attack and percentage rolls, Users choice. +-Cannot be duplicated.</v>
      </c>
      <c r="G349" s="16">
        <f>IFERROR(__xludf.DUMMYFUNCTION("""COMPUTED_VALUE"""),0.0)</f>
        <v>0</v>
      </c>
      <c r="H349" s="16"/>
      <c r="I349" s="16"/>
      <c r="J349" s="16"/>
      <c r="K349" s="16"/>
      <c r="L349" s="16"/>
      <c r="M349" s="16"/>
      <c r="N349" s="16"/>
      <c r="O349" s="16"/>
      <c r="P349" s="16"/>
      <c r="Q349" s="16"/>
      <c r="R349" s="16"/>
      <c r="S349" s="16"/>
      <c r="T349" s="16"/>
      <c r="U349" s="16"/>
      <c r="V349" s="16"/>
      <c r="W349" s="16"/>
      <c r="X349" s="16"/>
      <c r="Y349" s="16"/>
      <c r="Z349" s="16"/>
    </row>
    <row r="350">
      <c r="A350" s="16" t="str">
        <f>IFERROR(__xludf.DUMMYFUNCTION("""COMPUTED_VALUE"""),"Luck of the Dragon Pendant")</f>
        <v>Luck of the Dragon Pendant</v>
      </c>
      <c r="B350" s="16"/>
      <c r="C350" s="16"/>
      <c r="D350" s="16" t="str">
        <f>IFERROR(__xludf.DUMMYFUNCTION("""COMPUTED_VALUE"""),"Neck")</f>
        <v>Neck</v>
      </c>
      <c r="E350" s="16">
        <f>IFERROR(__xludf.DUMMYFUNCTION("""COMPUTED_VALUE"""),1.0)</f>
        <v>1</v>
      </c>
      <c r="F350" s="16" t="str">
        <f>IFERROR(__xludf.DUMMYFUNCTION("""COMPUTED_VALUE""")," ++Plus 5 or Minus 5 on your Loot and Fail/Succeed rolls, Users choice. +-Cannot be duplicated.")</f>
        <v> ++Plus 5 or Minus 5 on your Loot and Fail/Succeed rolls, Users choice. +-Cannot be duplicated.</v>
      </c>
      <c r="G350" s="16">
        <f>IFERROR(__xludf.DUMMYFUNCTION("""COMPUTED_VALUE"""),0.0)</f>
        <v>0</v>
      </c>
      <c r="H350" s="16"/>
      <c r="I350" s="16"/>
      <c r="J350" s="16"/>
      <c r="K350" s="16"/>
      <c r="L350" s="16"/>
      <c r="M350" s="16"/>
      <c r="N350" s="16"/>
      <c r="O350" s="16"/>
      <c r="P350" s="16"/>
      <c r="Q350" s="16"/>
      <c r="R350" s="16"/>
      <c r="S350" s="16"/>
      <c r="T350" s="16"/>
      <c r="U350" s="16"/>
      <c r="V350" s="16"/>
      <c r="W350" s="16"/>
      <c r="X350" s="16"/>
      <c r="Y350" s="16"/>
      <c r="Z350" s="16"/>
    </row>
    <row r="351">
      <c r="A351" s="16" t="str">
        <f>IFERROR(__xludf.DUMMYFUNCTION("""COMPUTED_VALUE"""),"Scale of the Dragon Pendant")</f>
        <v>Scale of the Dragon Pendant</v>
      </c>
      <c r="B351" s="16"/>
      <c r="C351" s="16"/>
      <c r="D351" s="16" t="str">
        <f>IFERROR(__xludf.DUMMYFUNCTION("""COMPUTED_VALUE"""),"Neck")</f>
        <v>Neck</v>
      </c>
      <c r="E351" s="16">
        <f>IFERROR(__xludf.DUMMYFUNCTION("""COMPUTED_VALUE"""),1.0)</f>
        <v>1</v>
      </c>
      <c r="F351" s="16" t="str">
        <f>IFERROR(__xludf.DUMMYFUNCTION("""COMPUTED_VALUE""")," ++Allows you to use a companions SP as your own if the companion is a dragon. +-Cannot be duplicated.")</f>
        <v> ++Allows you to use a companions SP as your own if the companion is a dragon. +-Cannot be duplicated.</v>
      </c>
      <c r="G351" s="16">
        <f>IFERROR(__xludf.DUMMYFUNCTION("""COMPUTED_VALUE"""),0.0)</f>
        <v>0</v>
      </c>
      <c r="H351" s="16"/>
      <c r="I351" s="16"/>
      <c r="J351" s="16"/>
      <c r="K351" s="16"/>
      <c r="L351" s="16"/>
      <c r="M351" s="16"/>
      <c r="N351" s="16"/>
      <c r="O351" s="16"/>
      <c r="P351" s="16"/>
      <c r="Q351" s="16"/>
      <c r="R351" s="16"/>
      <c r="S351" s="16"/>
      <c r="T351" s="16"/>
      <c r="U351" s="16"/>
      <c r="V351" s="16"/>
      <c r="W351" s="16"/>
      <c r="X351" s="16"/>
      <c r="Y351" s="16"/>
      <c r="Z351" s="16"/>
    </row>
    <row r="352">
      <c r="A352" s="16" t="str">
        <f>IFERROR(__xludf.DUMMYFUNCTION("""COMPUTED_VALUE"""),"Guard Pauldrons")</f>
        <v>Guard Pauldrons</v>
      </c>
      <c r="B352" s="16" t="str">
        <f>IFERROR(__xludf.DUMMYFUNCTION("""COMPUTED_VALUE"""),"Quest Item")</f>
        <v>Quest Item</v>
      </c>
      <c r="C352" s="16"/>
      <c r="D352" s="16" t="str">
        <f>IFERROR(__xludf.DUMMYFUNCTION("""COMPUTED_VALUE"""),"Shoulders")</f>
        <v>Shoulders</v>
      </c>
      <c r="E352" s="16">
        <f>IFERROR(__xludf.DUMMYFUNCTION("""COMPUTED_VALUE"""),200.0)</f>
        <v>200</v>
      </c>
      <c r="F352" s="16" t="str">
        <f>IFERROR(__xludf.DUMMYFUNCTION("""COMPUTED_VALUE"""),"DEF: +25000, Light DEF: +25000, Celestial DEF: +25000 +-Cannot be duplicated")</f>
        <v>DEF: +25000, Light DEF: +25000, Celestial DEF: +25000 +-Cannot be duplicated</v>
      </c>
      <c r="G352" s="16">
        <f>IFERROR(__xludf.DUMMYFUNCTION("""COMPUTED_VALUE"""),1.1175E8)</f>
        <v>111750000</v>
      </c>
      <c r="H352" s="16"/>
      <c r="I352" s="16"/>
      <c r="J352" s="16"/>
      <c r="K352" s="16"/>
      <c r="L352" s="16"/>
      <c r="M352" s="16"/>
      <c r="N352" s="16"/>
      <c r="O352" s="16"/>
      <c r="P352" s="16"/>
      <c r="Q352" s="16"/>
      <c r="R352" s="16"/>
      <c r="S352" s="16"/>
      <c r="T352" s="16"/>
      <c r="U352" s="16"/>
      <c r="V352" s="16"/>
      <c r="W352" s="16"/>
      <c r="X352" s="16"/>
      <c r="Y352" s="16"/>
      <c r="Z352" s="16"/>
    </row>
    <row r="353">
      <c r="A353" s="16" t="str">
        <f>IFERROR(__xludf.DUMMYFUNCTION("""COMPUTED_VALUE"""),"Guard Vambraces")</f>
        <v>Guard Vambraces</v>
      </c>
      <c r="B353" s="16" t="str">
        <f>IFERROR(__xludf.DUMMYFUNCTION("""COMPUTED_VALUE"""),"Quest Item")</f>
        <v>Quest Item</v>
      </c>
      <c r="C353" s="16"/>
      <c r="D353" s="16" t="str">
        <f>IFERROR(__xludf.DUMMYFUNCTION("""COMPUTED_VALUE"""),"Arms")</f>
        <v>Arms</v>
      </c>
      <c r="E353" s="16">
        <f>IFERROR(__xludf.DUMMYFUNCTION("""COMPUTED_VALUE"""),200.0)</f>
        <v>200</v>
      </c>
      <c r="F353" s="16" t="str">
        <f>IFERROR(__xludf.DUMMYFUNCTION("""COMPUTED_VALUE"""),"DEF: +25000, Light DEF: +25000, Celestial DEF: +25000 +-Cannot be duplicated")</f>
        <v>DEF: +25000, Light DEF: +25000, Celestial DEF: +25000 +-Cannot be duplicated</v>
      </c>
      <c r="G353" s="16">
        <f>IFERROR(__xludf.DUMMYFUNCTION("""COMPUTED_VALUE"""),1.1175E8)</f>
        <v>111750000</v>
      </c>
      <c r="H353" s="16"/>
      <c r="I353" s="16"/>
      <c r="J353" s="16"/>
      <c r="K353" s="16"/>
      <c r="L353" s="16"/>
      <c r="M353" s="16"/>
      <c r="N353" s="16"/>
      <c r="O353" s="16"/>
      <c r="P353" s="16"/>
      <c r="Q353" s="16"/>
      <c r="R353" s="16"/>
      <c r="S353" s="16"/>
      <c r="T353" s="16"/>
      <c r="U353" s="16"/>
      <c r="V353" s="16"/>
      <c r="W353" s="16"/>
      <c r="X353" s="16"/>
      <c r="Y353" s="16"/>
      <c r="Z353" s="16"/>
    </row>
    <row r="354">
      <c r="A354" s="16" t="str">
        <f>IFERROR(__xludf.DUMMYFUNCTION("""COMPUTED_VALUE"""),"Royal Guard Pauldrons")</f>
        <v>Royal Guard Pauldrons</v>
      </c>
      <c r="B354" s="16" t="str">
        <f>IFERROR(__xludf.DUMMYFUNCTION("""COMPUTED_VALUE"""),"Quest Item")</f>
        <v>Quest Item</v>
      </c>
      <c r="C354" s="16"/>
      <c r="D354" s="16" t="str">
        <f>IFERROR(__xludf.DUMMYFUNCTION("""COMPUTED_VALUE"""),"Shoulders")</f>
        <v>Shoulders</v>
      </c>
      <c r="E354" s="16">
        <f>IFERROR(__xludf.DUMMYFUNCTION("""COMPUTED_VALUE"""),200.0)</f>
        <v>200</v>
      </c>
      <c r="F354" s="16" t="str">
        <f>IFERROR(__xludf.DUMMYFUNCTION("""COMPUTED_VALUE"""),"DEF: +50000, Light DEF: +50000, Celestial DEF: +50000 +-Cannot be duplicated")</f>
        <v>DEF: +50000, Light DEF: +50000, Celestial DEF: +50000 +-Cannot be duplicated</v>
      </c>
      <c r="G354" s="16">
        <f>IFERROR(__xludf.DUMMYFUNCTION("""COMPUTED_VALUE"""),4.485E8)</f>
        <v>448500000</v>
      </c>
      <c r="H354" s="16"/>
      <c r="I354" s="16"/>
      <c r="J354" s="16"/>
      <c r="K354" s="16"/>
      <c r="L354" s="16"/>
      <c r="M354" s="16"/>
      <c r="N354" s="16"/>
      <c r="O354" s="16"/>
      <c r="P354" s="16"/>
      <c r="Q354" s="16"/>
      <c r="R354" s="16"/>
      <c r="S354" s="16"/>
      <c r="T354" s="16"/>
      <c r="U354" s="16"/>
      <c r="V354" s="16"/>
      <c r="W354" s="16"/>
      <c r="X354" s="16"/>
      <c r="Y354" s="16"/>
      <c r="Z354" s="16"/>
    </row>
    <row r="355">
      <c r="A355" s="16" t="str">
        <f>IFERROR(__xludf.DUMMYFUNCTION("""COMPUTED_VALUE"""),"Royal Guard Vambraces")</f>
        <v>Royal Guard Vambraces</v>
      </c>
      <c r="B355" s="16" t="str">
        <f>IFERROR(__xludf.DUMMYFUNCTION("""COMPUTED_VALUE"""),"Quest Item")</f>
        <v>Quest Item</v>
      </c>
      <c r="C355" s="16"/>
      <c r="D355" s="16" t="str">
        <f>IFERROR(__xludf.DUMMYFUNCTION("""COMPUTED_VALUE"""),"Arms")</f>
        <v>Arms</v>
      </c>
      <c r="E355" s="16">
        <f>IFERROR(__xludf.DUMMYFUNCTION("""COMPUTED_VALUE"""),200.0)</f>
        <v>200</v>
      </c>
      <c r="F355" s="16" t="str">
        <f>IFERROR(__xludf.DUMMYFUNCTION("""COMPUTED_VALUE"""),"DEF: +50000, Light DEF: +50000, Celestial DEF: +50000 +-Cannot be duplicated")</f>
        <v>DEF: +50000, Light DEF: +50000, Celestial DEF: +50000 +-Cannot be duplicated</v>
      </c>
      <c r="G355" s="16">
        <f>IFERROR(__xludf.DUMMYFUNCTION("""COMPUTED_VALUE"""),4.485E8)</f>
        <v>448500000</v>
      </c>
      <c r="H355" s="16"/>
      <c r="I355" s="16"/>
      <c r="J355" s="16"/>
      <c r="K355" s="16"/>
      <c r="L355" s="16"/>
      <c r="M355" s="16"/>
      <c r="N355" s="16"/>
      <c r="O355" s="16"/>
      <c r="P355" s="16"/>
      <c r="Q355" s="16"/>
      <c r="R355" s="16"/>
      <c r="S355" s="16"/>
      <c r="T355" s="16"/>
      <c r="U355" s="16"/>
      <c r="V355" s="16"/>
      <c r="W355" s="16"/>
      <c r="X355" s="16"/>
      <c r="Y355" s="16"/>
      <c r="Z355" s="16"/>
    </row>
    <row r="356">
      <c r="A356" s="16" t="str">
        <f>IFERROR(__xludf.DUMMYFUNCTION("""COMPUTED_VALUE"""),"Celestian Royal Pauldrons")</f>
        <v>Celestian Royal Pauldrons</v>
      </c>
      <c r="B356" s="16" t="str">
        <f>IFERROR(__xludf.DUMMYFUNCTION("""COMPUTED_VALUE"""),"Quest Item")</f>
        <v>Quest Item</v>
      </c>
      <c r="C356" s="16"/>
      <c r="D356" s="16" t="str">
        <f>IFERROR(__xludf.DUMMYFUNCTION("""COMPUTED_VALUE"""),"Shoulders")</f>
        <v>Shoulders</v>
      </c>
      <c r="E356" s="16">
        <f>IFERROR(__xludf.DUMMYFUNCTION("""COMPUTED_VALUE"""),200.0)</f>
        <v>200</v>
      </c>
      <c r="F356" s="16" t="str">
        <f>IFERROR(__xludf.DUMMYFUNCTION("""COMPUTED_VALUE"""),"DEF: +100000, Light DEF: +100000, Dark DEF: +100000, Celestial DEF: +100000 ++X2 Celestial Damage. +-Cannot be duplicated.")</f>
        <v>DEF: +100000, Light DEF: +100000, Dark DEF: +100000, Celestial DEF: +100000 ++X2 Celestial Damage. +-Cannot be duplicated.</v>
      </c>
      <c r="G356" s="16">
        <f>IFERROR(__xludf.DUMMYFUNCTION("""COMPUTED_VALUE"""),3.196E9)</f>
        <v>3196000000</v>
      </c>
      <c r="H356" s="16"/>
      <c r="I356" s="16"/>
      <c r="J356" s="16"/>
      <c r="K356" s="16"/>
      <c r="L356" s="16"/>
      <c r="M356" s="16"/>
      <c r="N356" s="16"/>
      <c r="O356" s="16"/>
      <c r="P356" s="16"/>
      <c r="Q356" s="16"/>
      <c r="R356" s="16"/>
      <c r="S356" s="16"/>
      <c r="T356" s="16"/>
      <c r="U356" s="16"/>
      <c r="V356" s="16"/>
      <c r="W356" s="16"/>
      <c r="X356" s="16"/>
      <c r="Y356" s="16"/>
      <c r="Z356" s="16"/>
    </row>
    <row r="357">
      <c r="A357" s="16" t="str">
        <f>IFERROR(__xludf.DUMMYFUNCTION("""COMPUTED_VALUE"""),"Celestian Royal Vambraces")</f>
        <v>Celestian Royal Vambraces</v>
      </c>
      <c r="B357" s="16" t="str">
        <f>IFERROR(__xludf.DUMMYFUNCTION("""COMPUTED_VALUE"""),"Quest Item")</f>
        <v>Quest Item</v>
      </c>
      <c r="C357" s="16"/>
      <c r="D357" s="16" t="str">
        <f>IFERROR(__xludf.DUMMYFUNCTION("""COMPUTED_VALUE"""),"Arms")</f>
        <v>Arms</v>
      </c>
      <c r="E357" s="16">
        <f>IFERROR(__xludf.DUMMYFUNCTION("""COMPUTED_VALUE"""),200.0)</f>
        <v>200</v>
      </c>
      <c r="F357" s="16" t="str">
        <f>IFERROR(__xludf.DUMMYFUNCTION("""COMPUTED_VALUE"""),"DEF: +100000, Light DEF: +100000, Dark DEF: +100000, Celestial DEF: +100000 ++X2 Celestial Damage. +-Cannot be duplicated.")</f>
        <v>DEF: +100000, Light DEF: +100000, Dark DEF: +100000, Celestial DEF: +100000 ++X2 Celestial Damage. +-Cannot be duplicated.</v>
      </c>
      <c r="G357" s="16">
        <f>IFERROR(__xludf.DUMMYFUNCTION("""COMPUTED_VALUE"""),3.196E9)</f>
        <v>3196000000</v>
      </c>
      <c r="H357" s="16"/>
      <c r="I357" s="16"/>
      <c r="J357" s="16"/>
      <c r="K357" s="16"/>
      <c r="L357" s="16"/>
      <c r="M357" s="16"/>
      <c r="N357" s="16"/>
      <c r="O357" s="16"/>
      <c r="P357" s="16"/>
      <c r="Q357" s="16"/>
      <c r="R357" s="16"/>
      <c r="S357" s="16"/>
      <c r="T357" s="16"/>
      <c r="U357" s="16"/>
      <c r="V357" s="16"/>
      <c r="W357" s="16"/>
      <c r="X357" s="16"/>
      <c r="Y357" s="16"/>
      <c r="Z357" s="16"/>
    </row>
    <row r="358">
      <c r="A358" s="16" t="str">
        <f>IFERROR(__xludf.DUMMYFUNCTION("""COMPUTED_VALUE"""),"Royal Guard Shield")</f>
        <v>Royal Guard Shield</v>
      </c>
      <c r="B358" s="16" t="str">
        <f>IFERROR(__xludf.DUMMYFUNCTION("""COMPUTED_VALUE"""),"Quest Item")</f>
        <v>Quest Item</v>
      </c>
      <c r="C358" s="16" t="str">
        <f>IFERROR(__xludf.DUMMYFUNCTION("""COMPUTED_VALUE"""),"Towershield")</f>
        <v>Towershield</v>
      </c>
      <c r="D358" s="16" t="str">
        <f>IFERROR(__xludf.DUMMYFUNCTION("""COMPUTED_VALUE"""),"Hand")</f>
        <v>Hand</v>
      </c>
      <c r="E358" s="16">
        <f>IFERROR(__xludf.DUMMYFUNCTION("""COMPUTED_VALUE"""),200.0)</f>
        <v>200</v>
      </c>
      <c r="F358" s="16" t="str">
        <f>IFERROR(__xludf.DUMMYFUNCTION("""COMPUTED_VALUE"""),"DEF: +50000, Light DEF: +50000, Dark DEF: +50000, Celestial DEF: +50000 ++X2 Celestial Defense. +-Cannot be duplicated.")</f>
        <v>DEF: +50000, Light DEF: +50000, Dark DEF: +50000, Celestial DEF: +50000 ++X2 Celestial Defense. +-Cannot be duplicated.</v>
      </c>
      <c r="G358" s="16">
        <f>IFERROR(__xludf.DUMMYFUNCTION("""COMPUTED_VALUE"""),7.98E8)</f>
        <v>798000000</v>
      </c>
      <c r="H358" s="16"/>
      <c r="I358" s="16"/>
      <c r="J358" s="16"/>
      <c r="K358" s="16"/>
      <c r="L358" s="16"/>
      <c r="M358" s="16"/>
      <c r="N358" s="16"/>
      <c r="O358" s="16"/>
      <c r="P358" s="16"/>
      <c r="Q358" s="16"/>
      <c r="R358" s="16"/>
      <c r="S358" s="16"/>
      <c r="T358" s="16"/>
      <c r="U358" s="16"/>
      <c r="V358" s="16"/>
      <c r="W358" s="16"/>
      <c r="X358" s="16"/>
      <c r="Y358" s="16"/>
      <c r="Z358" s="16"/>
    </row>
    <row r="359">
      <c r="A359" s="16" t="str">
        <f>IFERROR(__xludf.DUMMYFUNCTION("""COMPUTED_VALUE"""),"Guard Leggings")</f>
        <v>Guard Leggings</v>
      </c>
      <c r="B359" s="16" t="str">
        <f>IFERROR(__xludf.DUMMYFUNCTION("""COMPUTED_VALUE"""),"Quest Item")</f>
        <v>Quest Item</v>
      </c>
      <c r="C359" s="16"/>
      <c r="D359" s="16" t="str">
        <f>IFERROR(__xludf.DUMMYFUNCTION("""COMPUTED_VALUE"""),"Legs")</f>
        <v>Legs</v>
      </c>
      <c r="E359" s="16">
        <f>IFERROR(__xludf.DUMMYFUNCTION("""COMPUTED_VALUE"""),200.0)</f>
        <v>200</v>
      </c>
      <c r="F359" s="16" t="str">
        <f>IFERROR(__xludf.DUMMYFUNCTION("""COMPUTED_VALUE"""),"DEF: +25000, Light DEF: +25000, Celestial DEF: +25000 +-Cannot be duplicated")</f>
        <v>DEF: +25000, Light DEF: +25000, Celestial DEF: +25000 +-Cannot be duplicated</v>
      </c>
      <c r="G359" s="16">
        <f>IFERROR(__xludf.DUMMYFUNCTION("""COMPUTED_VALUE"""),1.1175E8)</f>
        <v>111750000</v>
      </c>
      <c r="H359" s="16"/>
      <c r="I359" s="16"/>
      <c r="J359" s="16"/>
      <c r="K359" s="16"/>
      <c r="L359" s="16"/>
      <c r="M359" s="16"/>
      <c r="N359" s="16"/>
      <c r="O359" s="16"/>
      <c r="P359" s="16"/>
      <c r="Q359" s="16"/>
      <c r="R359" s="16"/>
      <c r="S359" s="16"/>
      <c r="T359" s="16"/>
      <c r="U359" s="16"/>
      <c r="V359" s="16"/>
      <c r="W359" s="16"/>
      <c r="X359" s="16"/>
      <c r="Y359" s="16"/>
      <c r="Z359" s="16"/>
    </row>
    <row r="360">
      <c r="A360" s="16" t="str">
        <f>IFERROR(__xludf.DUMMYFUNCTION("""COMPUTED_VALUE"""),"Guard Boots")</f>
        <v>Guard Boots</v>
      </c>
      <c r="B360" s="16" t="str">
        <f>IFERROR(__xludf.DUMMYFUNCTION("""COMPUTED_VALUE"""),"Quest Item")</f>
        <v>Quest Item</v>
      </c>
      <c r="C360" s="16"/>
      <c r="D360" s="16" t="str">
        <f>IFERROR(__xludf.DUMMYFUNCTION("""COMPUTED_VALUE"""),"Feet")</f>
        <v>Feet</v>
      </c>
      <c r="E360" s="16">
        <f>IFERROR(__xludf.DUMMYFUNCTION("""COMPUTED_VALUE"""),200.0)</f>
        <v>200</v>
      </c>
      <c r="F360" s="16" t="str">
        <f>IFERROR(__xludf.DUMMYFUNCTION("""COMPUTED_VALUE"""),"DEF: +25000, Light DEF: +25000, Celestial DEF: +25000 +-Cannot be duplicated")</f>
        <v>DEF: +25000, Light DEF: +25000, Celestial DEF: +25000 +-Cannot be duplicated</v>
      </c>
      <c r="G360" s="16">
        <f>IFERROR(__xludf.DUMMYFUNCTION("""COMPUTED_VALUE"""),1.1175E8)</f>
        <v>111750000</v>
      </c>
      <c r="H360" s="16"/>
      <c r="I360" s="16"/>
      <c r="J360" s="16"/>
      <c r="K360" s="16"/>
      <c r="L360" s="16"/>
      <c r="M360" s="16"/>
      <c r="N360" s="16"/>
      <c r="O360" s="16"/>
      <c r="P360" s="16"/>
      <c r="Q360" s="16"/>
      <c r="R360" s="16"/>
      <c r="S360" s="16"/>
      <c r="T360" s="16"/>
      <c r="U360" s="16"/>
      <c r="V360" s="16"/>
      <c r="W360" s="16"/>
      <c r="X360" s="16"/>
      <c r="Y360" s="16"/>
      <c r="Z360" s="16"/>
    </row>
    <row r="361">
      <c r="A361" s="16" t="str">
        <f>IFERROR(__xludf.DUMMYFUNCTION("""COMPUTED_VALUE"""),"Celestian Royal Boots")</f>
        <v>Celestian Royal Boots</v>
      </c>
      <c r="B361" s="16" t="str">
        <f>IFERROR(__xludf.DUMMYFUNCTION("""COMPUTED_VALUE"""),"Quest Item")</f>
        <v>Quest Item</v>
      </c>
      <c r="C361" s="16"/>
      <c r="D361" s="16" t="str">
        <f>IFERROR(__xludf.DUMMYFUNCTION("""COMPUTED_VALUE"""),"Feet")</f>
        <v>Feet</v>
      </c>
      <c r="E361" s="16">
        <f>IFERROR(__xludf.DUMMYFUNCTION("""COMPUTED_VALUE"""),200.0)</f>
        <v>200</v>
      </c>
      <c r="F361" s="16" t="str">
        <f>IFERROR(__xludf.DUMMYFUNCTION("""COMPUTED_VALUE"""),"DEF: +100000, Light DEF: +100000, Dark DEF: +100000, Celestial DEF: +100000 ++X6 Celestial Damage. +-Cannot be duplicated.")</f>
        <v>DEF: +100000, Light DEF: +100000, Dark DEF: +100000, Celestial DEF: +100000 ++X6 Celestial Damage. +-Cannot be duplicated.</v>
      </c>
      <c r="G361" s="16">
        <f>IFERROR(__xludf.DUMMYFUNCTION("""COMPUTED_VALUE"""),3.196E9)</f>
        <v>3196000000</v>
      </c>
      <c r="H361" s="16"/>
      <c r="I361" s="16"/>
      <c r="J361" s="16"/>
      <c r="K361" s="16"/>
      <c r="L361" s="16"/>
      <c r="M361" s="16"/>
      <c r="N361" s="16"/>
      <c r="O361" s="16"/>
      <c r="P361" s="16"/>
      <c r="Q361" s="16"/>
      <c r="R361" s="16"/>
      <c r="S361" s="16"/>
      <c r="T361" s="16"/>
      <c r="U361" s="16"/>
      <c r="V361" s="16"/>
      <c r="W361" s="16"/>
      <c r="X361" s="16"/>
      <c r="Y361" s="16"/>
      <c r="Z361" s="16"/>
    </row>
    <row r="362">
      <c r="A362" s="16" t="str">
        <f>IFERROR(__xludf.DUMMYFUNCTION("""COMPUTED_VALUE"""),"Celestian Royal Leggings")</f>
        <v>Celestian Royal Leggings</v>
      </c>
      <c r="B362" s="16" t="str">
        <f>IFERROR(__xludf.DUMMYFUNCTION("""COMPUTED_VALUE"""),"Quest Item")</f>
        <v>Quest Item</v>
      </c>
      <c r="C362" s="16"/>
      <c r="D362" s="16" t="str">
        <f>IFERROR(__xludf.DUMMYFUNCTION("""COMPUTED_VALUE"""),"Legs")</f>
        <v>Legs</v>
      </c>
      <c r="E362" s="16">
        <f>IFERROR(__xludf.DUMMYFUNCTION("""COMPUTED_VALUE"""),200.0)</f>
        <v>200</v>
      </c>
      <c r="F362" s="16" t="str">
        <f>IFERROR(__xludf.DUMMYFUNCTION("""COMPUTED_VALUE"""),"DEF: +100000, Light DEF: +100000, Dark DEF: +100000, Celestial DEF: +100000 ++X6 Celestial Damage. +-Cannot be duplicated.")</f>
        <v>DEF: +100000, Light DEF: +100000, Dark DEF: +100000, Celestial DEF: +100000 ++X6 Celestial Damage. +-Cannot be duplicated.</v>
      </c>
      <c r="G362" s="16">
        <f>IFERROR(__xludf.DUMMYFUNCTION("""COMPUTED_VALUE"""),3.196E9)</f>
        <v>3196000000</v>
      </c>
      <c r="H362" s="16"/>
      <c r="I362" s="16"/>
      <c r="J362" s="16"/>
      <c r="K362" s="16"/>
      <c r="L362" s="16"/>
      <c r="M362" s="16"/>
      <c r="N362" s="16"/>
      <c r="O362" s="16"/>
      <c r="P362" s="16"/>
      <c r="Q362" s="16"/>
      <c r="R362" s="16"/>
      <c r="S362" s="16"/>
      <c r="T362" s="16"/>
      <c r="U362" s="16"/>
      <c r="V362" s="16"/>
      <c r="W362" s="16"/>
      <c r="X362" s="16"/>
      <c r="Y362" s="16"/>
      <c r="Z362" s="16"/>
    </row>
    <row r="363">
      <c r="A363" s="16" t="str">
        <f>IFERROR(__xludf.DUMMYFUNCTION("""COMPUTED_VALUE"""),"Celestian Royal Helmet")</f>
        <v>Celestian Royal Helmet</v>
      </c>
      <c r="B363" s="16" t="str">
        <f>IFERROR(__xludf.DUMMYFUNCTION("""COMPUTED_VALUE"""),"Quest Item")</f>
        <v>Quest Item</v>
      </c>
      <c r="C363" s="16"/>
      <c r="D363" s="16" t="str">
        <f>IFERROR(__xludf.DUMMYFUNCTION("""COMPUTED_VALUE"""),"Head")</f>
        <v>Head</v>
      </c>
      <c r="E363" s="16">
        <f>IFERROR(__xludf.DUMMYFUNCTION("""COMPUTED_VALUE"""),200.0)</f>
        <v>200</v>
      </c>
      <c r="F363" s="16" t="str">
        <f>IFERROR(__xludf.DUMMYFUNCTION("""COMPUTED_VALUE"""),"DEF: +100000, Light DEF: +100000, Dark DEF: +100000, Celestial DEF: +100000 ++X6 Celestial Damage. +-Cannot be duplicated.")</f>
        <v>DEF: +100000, Light DEF: +100000, Dark DEF: +100000, Celestial DEF: +100000 ++X6 Celestial Damage. +-Cannot be duplicated.</v>
      </c>
      <c r="G363" s="16">
        <f>IFERROR(__xludf.DUMMYFUNCTION("""COMPUTED_VALUE"""),3.196E9)</f>
        <v>3196000000</v>
      </c>
      <c r="H363" s="16"/>
      <c r="I363" s="16"/>
      <c r="J363" s="16"/>
      <c r="K363" s="16"/>
      <c r="L363" s="16"/>
      <c r="M363" s="16"/>
      <c r="N363" s="16"/>
      <c r="O363" s="16"/>
      <c r="P363" s="16"/>
      <c r="Q363" s="16"/>
      <c r="R363" s="16"/>
      <c r="S363" s="16"/>
      <c r="T363" s="16"/>
      <c r="U363" s="16"/>
      <c r="V363" s="16"/>
      <c r="W363" s="16"/>
      <c r="X363" s="16"/>
      <c r="Y363" s="16"/>
      <c r="Z363" s="16"/>
    </row>
    <row r="364">
      <c r="A364" s="16" t="str">
        <f>IFERROR(__xludf.DUMMYFUNCTION("""COMPUTED_VALUE"""),"Celestian Royal Chestplate")</f>
        <v>Celestian Royal Chestplate</v>
      </c>
      <c r="B364" s="16" t="str">
        <f>IFERROR(__xludf.DUMMYFUNCTION("""COMPUTED_VALUE"""),"Quest Item")</f>
        <v>Quest Item</v>
      </c>
      <c r="C364" s="16"/>
      <c r="D364" s="16" t="str">
        <f>IFERROR(__xludf.DUMMYFUNCTION("""COMPUTED_VALUE"""),"Torso")</f>
        <v>Torso</v>
      </c>
      <c r="E364" s="16">
        <f>IFERROR(__xludf.DUMMYFUNCTION("""COMPUTED_VALUE"""),200.0)</f>
        <v>200</v>
      </c>
      <c r="F364" s="16" t="str">
        <f>IFERROR(__xludf.DUMMYFUNCTION("""COMPUTED_VALUE"""),"DEF: +100000, Light DEF: +100000, Dark DEF: +100000, Celestial DEF: +100000 ++X6 Celestial Damage. +-Cannot be duplicated.")</f>
        <v>DEF: +100000, Light DEF: +100000, Dark DEF: +100000, Celestial DEF: +100000 ++X6 Celestial Damage. +-Cannot be duplicated.</v>
      </c>
      <c r="G364" s="16">
        <f>IFERROR(__xludf.DUMMYFUNCTION("""COMPUTED_VALUE"""),3.196E9)</f>
        <v>3196000000</v>
      </c>
      <c r="H364" s="16"/>
      <c r="I364" s="16"/>
      <c r="J364" s="16"/>
      <c r="K364" s="16"/>
      <c r="L364" s="16"/>
      <c r="M364" s="16"/>
      <c r="N364" s="16"/>
      <c r="O364" s="16"/>
      <c r="P364" s="16"/>
      <c r="Q364" s="16"/>
      <c r="R364" s="16"/>
      <c r="S364" s="16"/>
      <c r="T364" s="16"/>
      <c r="U364" s="16"/>
      <c r="V364" s="16"/>
      <c r="W364" s="16"/>
      <c r="X364" s="16"/>
      <c r="Y364" s="16"/>
      <c r="Z364" s="16"/>
    </row>
    <row r="365">
      <c r="A365" s="16" t="str">
        <f>IFERROR(__xludf.DUMMYFUNCTION("""COMPUTED_VALUE"""),"Guard Chestplate")</f>
        <v>Guard Chestplate</v>
      </c>
      <c r="B365" s="16" t="str">
        <f>IFERROR(__xludf.DUMMYFUNCTION("""COMPUTED_VALUE"""),"Quest Item")</f>
        <v>Quest Item</v>
      </c>
      <c r="C365" s="16"/>
      <c r="D365" s="16" t="str">
        <f>IFERROR(__xludf.DUMMYFUNCTION("""COMPUTED_VALUE"""),"Torso")</f>
        <v>Torso</v>
      </c>
      <c r="E365" s="16">
        <f>IFERROR(__xludf.DUMMYFUNCTION("""COMPUTED_VALUE"""),200.0)</f>
        <v>200</v>
      </c>
      <c r="F365" s="16" t="str">
        <f>IFERROR(__xludf.DUMMYFUNCTION("""COMPUTED_VALUE"""),"DEF: +25000, Light DEF: +25000, Celestial DEF: +25000 +-Cannot be duplicated.")</f>
        <v>DEF: +25000, Light DEF: +25000, Celestial DEF: +25000 +-Cannot be duplicated.</v>
      </c>
      <c r="G365" s="16">
        <f>IFERROR(__xludf.DUMMYFUNCTION("""COMPUTED_VALUE"""),1.1175E8)</f>
        <v>111750000</v>
      </c>
      <c r="H365" s="16"/>
      <c r="I365" s="16"/>
      <c r="J365" s="16"/>
      <c r="K365" s="16"/>
      <c r="L365" s="16"/>
      <c r="M365" s="16"/>
      <c r="N365" s="16"/>
      <c r="O365" s="16"/>
      <c r="P365" s="16"/>
      <c r="Q365" s="16"/>
      <c r="R365" s="16"/>
      <c r="S365" s="16"/>
      <c r="T365" s="16"/>
      <c r="U365" s="16"/>
      <c r="V365" s="16"/>
      <c r="W365" s="16"/>
      <c r="X365" s="16"/>
      <c r="Y365" s="16"/>
      <c r="Z365" s="16"/>
    </row>
    <row r="366">
      <c r="A366" s="16" t="str">
        <f>IFERROR(__xludf.DUMMYFUNCTION("""COMPUTED_VALUE"""),"Revolver")</f>
        <v>Revolver</v>
      </c>
      <c r="B366" s="16"/>
      <c r="C366" s="16" t="str">
        <f>IFERROR(__xludf.DUMMYFUNCTION("""COMPUTED_VALUE"""),"Firearm")</f>
        <v>Firearm</v>
      </c>
      <c r="D366" s="16" t="str">
        <f>IFERROR(__xludf.DUMMYFUNCTION("""COMPUTED_VALUE"""),"Hand")</f>
        <v>Hand</v>
      </c>
      <c r="E366" s="16">
        <f>IFERROR(__xludf.DUMMYFUNCTION("""COMPUTED_VALUE"""),200.0)</f>
        <v>200</v>
      </c>
      <c r="F366" s="16" t="str">
        <f>IFERROR(__xludf.DUMMYFUNCTION("""COMPUTED_VALUE"""),"DMG: +5000, Blood DMG: +5000")</f>
        <v>DMG: +5000, Blood DMG: +5000</v>
      </c>
      <c r="G366" s="16">
        <f>IFERROR(__xludf.DUMMYFUNCTION("""COMPUTED_VALUE"""),1900000.0)</f>
        <v>1900000</v>
      </c>
      <c r="H366" s="16"/>
      <c r="I366" s="16"/>
      <c r="J366" s="16"/>
      <c r="K366" s="16"/>
      <c r="L366" s="16"/>
      <c r="M366" s="16"/>
      <c r="N366" s="16"/>
      <c r="O366" s="16"/>
      <c r="P366" s="16"/>
      <c r="Q366" s="16"/>
      <c r="R366" s="16"/>
      <c r="S366" s="16"/>
      <c r="T366" s="16"/>
      <c r="U366" s="16"/>
      <c r="V366" s="16"/>
      <c r="W366" s="16"/>
      <c r="X366" s="16"/>
      <c r="Y366" s="16"/>
      <c r="Z366" s="16"/>
    </row>
    <row r="367">
      <c r="A367" s="16" t="str">
        <f>IFERROR(__xludf.DUMMYFUNCTION("""COMPUTED_VALUE"""),"Musket")</f>
        <v>Musket</v>
      </c>
      <c r="B367" s="16"/>
      <c r="C367" s="16" t="str">
        <f>IFERROR(__xludf.DUMMYFUNCTION("""COMPUTED_VALUE"""),"Firearm")</f>
        <v>Firearm</v>
      </c>
      <c r="D367" s="16" t="str">
        <f>IFERROR(__xludf.DUMMYFUNCTION("""COMPUTED_VALUE"""),"Hand")</f>
        <v>Hand</v>
      </c>
      <c r="E367" s="16">
        <f>IFERROR(__xludf.DUMMYFUNCTION("""COMPUTED_VALUE"""),400.0)</f>
        <v>400</v>
      </c>
      <c r="F367" s="16" t="str">
        <f>IFERROR(__xludf.DUMMYFUNCTION("""COMPUTED_VALUE"""),"DMG: +10000, Blood DMG: +10000")</f>
        <v>DMG: +10000, Blood DMG: +10000</v>
      </c>
      <c r="G367" s="16">
        <f>IFERROR(__xludf.DUMMYFUNCTION("""COMPUTED_VALUE"""),7800000.0)</f>
        <v>7800000</v>
      </c>
      <c r="H367" s="16"/>
      <c r="I367" s="16"/>
      <c r="J367" s="16"/>
      <c r="K367" s="16"/>
      <c r="L367" s="16"/>
      <c r="M367" s="16"/>
      <c r="N367" s="16"/>
      <c r="O367" s="16"/>
      <c r="P367" s="16"/>
      <c r="Q367" s="16"/>
      <c r="R367" s="16"/>
      <c r="S367" s="16"/>
      <c r="T367" s="16"/>
      <c r="U367" s="16"/>
      <c r="V367" s="16"/>
      <c r="W367" s="16"/>
      <c r="X367" s="16"/>
      <c r="Y367" s="16"/>
      <c r="Z367" s="16"/>
    </row>
    <row r="368">
      <c r="A368" s="16" t="str">
        <f>IFERROR(__xludf.DUMMYFUNCTION("""COMPUTED_VALUE"""),"Lazer Infused Railgun")</f>
        <v>Lazer Infused Railgun</v>
      </c>
      <c r="B368" s="16"/>
      <c r="C368" s="16" t="str">
        <f>IFERROR(__xludf.DUMMYFUNCTION("""COMPUTED_VALUE"""),"Firearm")</f>
        <v>Firearm</v>
      </c>
      <c r="D368" s="16" t="str">
        <f>IFERROR(__xludf.DUMMYFUNCTION("""COMPUTED_VALUE"""),"Hand")</f>
        <v>Hand</v>
      </c>
      <c r="E368" s="16">
        <f>IFERROR(__xludf.DUMMYFUNCTION("""COMPUTED_VALUE"""),1600.0)</f>
        <v>1600</v>
      </c>
      <c r="F368" s="16" t="str">
        <f>IFERROR(__xludf.DUMMYFUNCTION("""COMPUTED_VALUE"""),"DMG: +40000, Blood DMG: +40000 ++Damages all enemies, Cannot Avoid. ++Ignores defense, ++Does not need ammunition. +-Cannot be forged. ")</f>
        <v>DMG: +40000, Blood DMG: +40000 ++Damages all enemies, Cannot Avoid. ++Ignores defense, ++Does not need ammunition. +-Cannot be forged. </v>
      </c>
      <c r="G368" s="16">
        <f>IFERROR(__xludf.DUMMYFUNCTION("""COMPUTED_VALUE"""),1.272E8)</f>
        <v>127200000</v>
      </c>
      <c r="H368" s="16"/>
      <c r="I368" s="16"/>
      <c r="J368" s="16"/>
      <c r="K368" s="16"/>
      <c r="L368" s="16"/>
      <c r="M368" s="16"/>
      <c r="N368" s="16"/>
      <c r="O368" s="16"/>
      <c r="P368" s="16"/>
      <c r="Q368" s="16"/>
      <c r="R368" s="16"/>
      <c r="S368" s="16"/>
      <c r="T368" s="16"/>
      <c r="U368" s="16"/>
      <c r="V368" s="16"/>
      <c r="W368" s="16"/>
      <c r="X368" s="16"/>
      <c r="Y368" s="16"/>
      <c r="Z368" s="16"/>
    </row>
    <row r="369">
      <c r="A369" s="16" t="str">
        <f>IFERROR(__xludf.DUMMYFUNCTION("""COMPUTED_VALUE"""),"Minigun")</f>
        <v>Minigun</v>
      </c>
      <c r="B369" s="16"/>
      <c r="C369" s="16" t="str">
        <f>IFERROR(__xludf.DUMMYFUNCTION("""COMPUTED_VALUE"""),"Firearm")</f>
        <v>Firearm</v>
      </c>
      <c r="D369" s="16" t="str">
        <f>IFERROR(__xludf.DUMMYFUNCTION("""COMPUTED_VALUE"""),"Hand")</f>
        <v>Hand</v>
      </c>
      <c r="E369" s="16">
        <f>IFERROR(__xludf.DUMMYFUNCTION("""COMPUTED_VALUE"""),1200.0)</f>
        <v>1200</v>
      </c>
      <c r="F369" s="16" t="str">
        <f>IFERROR(__xludf.DUMMYFUNCTION("""COMPUTED_VALUE"""),"DMG: +30000, Blood DMG: +30000 ++Damages all enemies, Cannot Avoid, Roll a d100 the turn you use this weapon to see how many bullets it shoots.")</f>
        <v>DMG: +30000, Blood DMG: +30000 ++Damages all enemies, Cannot Avoid, Roll a d100 the turn you use this weapon to see how many bullets it shoots.</v>
      </c>
      <c r="G369" s="16">
        <f>IFERROR(__xludf.DUMMYFUNCTION("""COMPUTED_VALUE"""),7.14E7)</f>
        <v>71400000</v>
      </c>
      <c r="H369" s="16"/>
      <c r="I369" s="16"/>
      <c r="J369" s="16"/>
      <c r="K369" s="16"/>
      <c r="L369" s="16"/>
      <c r="M369" s="16"/>
      <c r="N369" s="16"/>
      <c r="O369" s="16"/>
      <c r="P369" s="16"/>
      <c r="Q369" s="16"/>
      <c r="R369" s="16"/>
      <c r="S369" s="16"/>
      <c r="T369" s="16"/>
      <c r="U369" s="16"/>
      <c r="V369" s="16"/>
      <c r="W369" s="16"/>
      <c r="X369" s="16"/>
      <c r="Y369" s="16"/>
      <c r="Z369" s="16"/>
    </row>
    <row r="370">
      <c r="A370" s="16" t="str">
        <f>IFERROR(__xludf.DUMMYFUNCTION("""COMPUTED_VALUE"""),"Seahorse’s Ring")</f>
        <v>Seahorse’s Ring</v>
      </c>
      <c r="B370" s="16"/>
      <c r="C370" s="16"/>
      <c r="D370" s="16" t="str">
        <f>IFERROR(__xludf.DUMMYFUNCTION("""COMPUTED_VALUE"""),"Ring")</f>
        <v>Ring</v>
      </c>
      <c r="E370" s="16">
        <f>IFERROR(__xludf.DUMMYFUNCTION("""COMPUTED_VALUE"""),20.0)</f>
        <v>20</v>
      </c>
      <c r="F370" s="16" t="str">
        <f>IFERROR(__xludf.DUMMYFUNCTION("""COMPUTED_VALUE"""),", Nature : +1000 ++When fishing you have a 5% chance to encounter a rare seahorse, and he will give you a unique item (Chosen by a DM/GM)")</f>
        <v>, Nature : +1000 ++When fishing you have a 5% chance to encounter a rare seahorse, and he will give you a unique item (Chosen by a DM/GM)</v>
      </c>
      <c r="G370" s="16">
        <f>IFERROR(__xludf.DUMMYFUNCTION("""COMPUTED_VALUE"""),10000.0)</f>
        <v>10000</v>
      </c>
      <c r="H370" s="16"/>
      <c r="I370" s="16"/>
      <c r="J370" s="16"/>
      <c r="K370" s="16"/>
      <c r="L370" s="16"/>
      <c r="M370" s="16"/>
      <c r="N370" s="16"/>
      <c r="O370" s="16"/>
      <c r="P370" s="16"/>
      <c r="Q370" s="16"/>
      <c r="R370" s="16"/>
      <c r="S370" s="16"/>
      <c r="T370" s="16"/>
      <c r="U370" s="16"/>
      <c r="V370" s="16"/>
      <c r="W370" s="16"/>
      <c r="X370" s="16"/>
      <c r="Y370" s="16"/>
      <c r="Z370" s="16"/>
    </row>
    <row r="371">
      <c r="A371" s="16" t="str">
        <f>IFERROR(__xludf.DUMMYFUNCTION("""COMPUTED_VALUE"""),"Bamboo Vambraces")</f>
        <v>Bamboo Vambraces</v>
      </c>
      <c r="B371" s="16"/>
      <c r="C371" s="16"/>
      <c r="D371" s="16" t="str">
        <f>IFERROR(__xludf.DUMMYFUNCTION("""COMPUTED_VALUE"""),"Arms")</f>
        <v>Arms</v>
      </c>
      <c r="E371" s="16">
        <f>IFERROR(__xludf.DUMMYFUNCTION("""COMPUTED_VALUE"""),40.0)</f>
        <v>40</v>
      </c>
      <c r="F371" s="16" t="str">
        <f>IFERROR(__xludf.DUMMYFUNCTION("""COMPUTED_VALUE"""),"DEF: +1000, Nature DEF: +1000")</f>
        <v>DEF: +1000, Nature DEF: +1000</v>
      </c>
      <c r="G371" s="16">
        <f>IFERROR(__xludf.DUMMYFUNCTION("""COMPUTED_VALUE"""),60000.0)</f>
        <v>60000</v>
      </c>
      <c r="H371" s="16"/>
      <c r="I371" s="16"/>
      <c r="J371" s="16"/>
      <c r="K371" s="16"/>
      <c r="L371" s="16"/>
      <c r="M371" s="16"/>
      <c r="N371" s="16"/>
      <c r="O371" s="16"/>
      <c r="P371" s="16"/>
      <c r="Q371" s="16"/>
      <c r="R371" s="16"/>
      <c r="S371" s="16"/>
      <c r="T371" s="16"/>
      <c r="U371" s="16"/>
      <c r="V371" s="16"/>
      <c r="W371" s="16"/>
      <c r="X371" s="16"/>
      <c r="Y371" s="16"/>
      <c r="Z371" s="16"/>
    </row>
    <row r="372">
      <c r="A372" s="16" t="str">
        <f>IFERROR(__xludf.DUMMYFUNCTION("""COMPUTED_VALUE"""),"Bamboo Pauldrons")</f>
        <v>Bamboo Pauldrons</v>
      </c>
      <c r="B372" s="16"/>
      <c r="C372" s="16"/>
      <c r="D372" s="16" t="str">
        <f>IFERROR(__xludf.DUMMYFUNCTION("""COMPUTED_VALUE"""),"Shoulders")</f>
        <v>Shoulders</v>
      </c>
      <c r="E372" s="16">
        <f>IFERROR(__xludf.DUMMYFUNCTION("""COMPUTED_VALUE"""),40.0)</f>
        <v>40</v>
      </c>
      <c r="F372" s="16" t="str">
        <f>IFERROR(__xludf.DUMMYFUNCTION("""COMPUTED_VALUE"""),"DEF: +1000, Nature DEF: +1000")</f>
        <v>DEF: +1000, Nature DEF: +1000</v>
      </c>
      <c r="G372" s="16">
        <f>IFERROR(__xludf.DUMMYFUNCTION("""COMPUTED_VALUE"""),60000.0)</f>
        <v>60000</v>
      </c>
      <c r="H372" s="16"/>
      <c r="I372" s="16"/>
      <c r="J372" s="16"/>
      <c r="K372" s="16"/>
      <c r="L372" s="16"/>
      <c r="M372" s="16"/>
      <c r="N372" s="16"/>
      <c r="O372" s="16"/>
      <c r="P372" s="16"/>
      <c r="Q372" s="16"/>
      <c r="R372" s="16"/>
      <c r="S372" s="16"/>
      <c r="T372" s="16"/>
      <c r="U372" s="16"/>
      <c r="V372" s="16"/>
      <c r="W372" s="16"/>
      <c r="X372" s="16"/>
      <c r="Y372" s="16"/>
      <c r="Z372" s="16"/>
    </row>
    <row r="373">
      <c r="A373" s="16" t="str">
        <f>IFERROR(__xludf.DUMMYFUNCTION("""COMPUTED_VALUE"""),"Bamboo Chestplate")</f>
        <v>Bamboo Chestplate</v>
      </c>
      <c r="B373" s="16"/>
      <c r="C373" s="16"/>
      <c r="D373" s="16" t="str">
        <f>IFERROR(__xludf.DUMMYFUNCTION("""COMPUTED_VALUE"""),"Torso")</f>
        <v>Torso</v>
      </c>
      <c r="E373" s="16">
        <f>IFERROR(__xludf.DUMMYFUNCTION("""COMPUTED_VALUE"""),40.0)</f>
        <v>40</v>
      </c>
      <c r="F373" s="16" t="str">
        <f>IFERROR(__xludf.DUMMYFUNCTION("""COMPUTED_VALUE"""),"DEF: +1000, Nature DEF: +1000")</f>
        <v>DEF: +1000, Nature DEF: +1000</v>
      </c>
      <c r="G373" s="16">
        <f>IFERROR(__xludf.DUMMYFUNCTION("""COMPUTED_VALUE"""),60000.0)</f>
        <v>60000</v>
      </c>
      <c r="H373" s="16"/>
      <c r="I373" s="16"/>
      <c r="J373" s="16"/>
      <c r="K373" s="16"/>
      <c r="L373" s="16"/>
      <c r="M373" s="16"/>
      <c r="N373" s="16"/>
      <c r="O373" s="16"/>
      <c r="P373" s="16"/>
      <c r="Q373" s="16"/>
      <c r="R373" s="16"/>
      <c r="S373" s="16"/>
      <c r="T373" s="16"/>
      <c r="U373" s="16"/>
      <c r="V373" s="16"/>
      <c r="W373" s="16"/>
      <c r="X373" s="16"/>
      <c r="Y373" s="16"/>
      <c r="Z373" s="16"/>
    </row>
    <row r="374">
      <c r="A374" s="16" t="str">
        <f>IFERROR(__xludf.DUMMYFUNCTION("""COMPUTED_VALUE"""),"Bamboo Greaves")</f>
        <v>Bamboo Greaves</v>
      </c>
      <c r="B374" s="16"/>
      <c r="C374" s="16"/>
      <c r="D374" s="16" t="str">
        <f>IFERROR(__xludf.DUMMYFUNCTION("""COMPUTED_VALUE"""),"Legs")</f>
        <v>Legs</v>
      </c>
      <c r="E374" s="16">
        <f>IFERROR(__xludf.DUMMYFUNCTION("""COMPUTED_VALUE"""),40.0)</f>
        <v>40</v>
      </c>
      <c r="F374" s="16" t="str">
        <f>IFERROR(__xludf.DUMMYFUNCTION("""COMPUTED_VALUE"""),"DEF: +1000, Nature DEF: +1000")</f>
        <v>DEF: +1000, Nature DEF: +1000</v>
      </c>
      <c r="G374" s="16">
        <f>IFERROR(__xludf.DUMMYFUNCTION("""COMPUTED_VALUE"""),60000.0)</f>
        <v>60000</v>
      </c>
      <c r="H374" s="16"/>
      <c r="I374" s="16"/>
      <c r="J374" s="16"/>
      <c r="K374" s="16"/>
      <c r="L374" s="16"/>
      <c r="M374" s="16"/>
      <c r="N374" s="16"/>
      <c r="O374" s="16"/>
      <c r="P374" s="16"/>
      <c r="Q374" s="16"/>
      <c r="R374" s="16"/>
      <c r="S374" s="16"/>
      <c r="T374" s="16"/>
      <c r="U374" s="16"/>
      <c r="V374" s="16"/>
      <c r="W374" s="16"/>
      <c r="X374" s="16"/>
      <c r="Y374" s="16"/>
      <c r="Z374" s="16"/>
    </row>
    <row r="375">
      <c r="A375" s="16" t="str">
        <f>IFERROR(__xludf.DUMMYFUNCTION("""COMPUTED_VALUE"""),"Strengthened Bamboo Sword")</f>
        <v>Strengthened Bamboo Sword</v>
      </c>
      <c r="B375" s="16"/>
      <c r="C375" s="16" t="str">
        <f>IFERROR(__xludf.DUMMYFUNCTION("""COMPUTED_VALUE"""),"Sword")</f>
        <v>Sword</v>
      </c>
      <c r="D375" s="16" t="str">
        <f>IFERROR(__xludf.DUMMYFUNCTION("""COMPUTED_VALUE"""),"Hand")</f>
        <v>Hand</v>
      </c>
      <c r="E375" s="16">
        <f>IFERROR(__xludf.DUMMYFUNCTION("""COMPUTED_VALUE"""),40.0)</f>
        <v>40</v>
      </c>
      <c r="F375" s="16" t="str">
        <f>IFERROR(__xludf.DUMMYFUNCTION("""COMPUTED_VALUE"""),"DMG: +1000, Nature DMG: +1000 ++X4 damage for this weapon if the battle is in a Forest or Jungle.")</f>
        <v>DMG: +1000, Nature DMG: +1000 ++X4 damage for this weapon if the battle is in a Forest or Jungle.</v>
      </c>
      <c r="G375" s="16">
        <f>IFERROR(__xludf.DUMMYFUNCTION("""COMPUTED_VALUE"""),60000.0)</f>
        <v>60000</v>
      </c>
      <c r="H375" s="16"/>
      <c r="I375" s="16"/>
      <c r="J375" s="16"/>
      <c r="K375" s="16"/>
      <c r="L375" s="16"/>
      <c r="M375" s="16"/>
      <c r="N375" s="16"/>
      <c r="O375" s="16"/>
      <c r="P375" s="16"/>
      <c r="Q375" s="16"/>
      <c r="R375" s="16"/>
      <c r="S375" s="16"/>
      <c r="T375" s="16"/>
      <c r="U375" s="16"/>
      <c r="V375" s="16"/>
      <c r="W375" s="16"/>
      <c r="X375" s="16"/>
      <c r="Y375" s="16"/>
      <c r="Z375" s="16"/>
    </row>
    <row r="376">
      <c r="A376" s="16" t="str">
        <f>IFERROR(__xludf.DUMMYFUNCTION("""COMPUTED_VALUE"""),"Bamboo Sandals")</f>
        <v>Bamboo Sandals</v>
      </c>
      <c r="B376" s="16"/>
      <c r="C376" s="16"/>
      <c r="D376" s="16" t="str">
        <f>IFERROR(__xludf.DUMMYFUNCTION("""COMPUTED_VALUE"""),"Feet")</f>
        <v>Feet</v>
      </c>
      <c r="E376" s="16">
        <f>IFERROR(__xludf.DUMMYFUNCTION("""COMPUTED_VALUE"""),40.0)</f>
        <v>40</v>
      </c>
      <c r="F376" s="16" t="str">
        <f>IFERROR(__xludf.DUMMYFUNCTION("""COMPUTED_VALUE"""),"DEF: +1000, Nature DEF: +1000")</f>
        <v>DEF: +1000, Nature DEF: +1000</v>
      </c>
      <c r="G376" s="16">
        <f>IFERROR(__xludf.DUMMYFUNCTION("""COMPUTED_VALUE"""),60000.0)</f>
        <v>60000</v>
      </c>
      <c r="H376" s="16"/>
      <c r="I376" s="16"/>
      <c r="J376" s="16"/>
      <c r="K376" s="16"/>
      <c r="L376" s="16"/>
      <c r="M376" s="16"/>
      <c r="N376" s="16"/>
      <c r="O376" s="16"/>
      <c r="P376" s="16"/>
      <c r="Q376" s="16"/>
      <c r="R376" s="16"/>
      <c r="S376" s="16"/>
      <c r="T376" s="16"/>
      <c r="U376" s="16"/>
      <c r="V376" s="16"/>
      <c r="W376" s="16"/>
      <c r="X376" s="16"/>
      <c r="Y376" s="16"/>
      <c r="Z376" s="16"/>
    </row>
    <row r="377">
      <c r="A377" s="16" t="str">
        <f>IFERROR(__xludf.DUMMYFUNCTION("""COMPUTED_VALUE"""),"Greaves of Foul Night")</f>
        <v>Greaves of Foul Night</v>
      </c>
      <c r="B377" s="16"/>
      <c r="C377" s="16"/>
      <c r="D377" s="16" t="str">
        <f>IFERROR(__xludf.DUMMYFUNCTION("""COMPUTED_VALUE"""),"Legs")</f>
        <v>Legs</v>
      </c>
      <c r="E377" s="16">
        <f>IFERROR(__xludf.DUMMYFUNCTION("""COMPUTED_VALUE"""),200.0)</f>
        <v>200</v>
      </c>
      <c r="F377" s="16" t="str">
        <f>IFERROR(__xludf.DUMMYFUNCTION("""COMPUTED_VALUE"""),"DEF: +5000, Nature DEF: +5000 (Foul Night Set) ++X2 Nature and Poison damage, Poison Immunity.")</f>
        <v>DEF: +5000, Nature DEF: +5000 (Foul Night Set) ++X2 Nature and Poison damage, Poison Immunity.</v>
      </c>
      <c r="G377" s="16">
        <f>IFERROR(__xludf.DUMMYFUNCTION("""COMPUTED_VALUE"""),1900000.0)</f>
        <v>1900000</v>
      </c>
      <c r="H377" s="16"/>
      <c r="I377" s="16"/>
      <c r="J377" s="16"/>
      <c r="K377" s="16"/>
      <c r="L377" s="16"/>
      <c r="M377" s="16"/>
      <c r="N377" s="16"/>
      <c r="O377" s="16"/>
      <c r="P377" s="16"/>
      <c r="Q377" s="16"/>
      <c r="R377" s="16"/>
      <c r="S377" s="16"/>
      <c r="T377" s="16"/>
      <c r="U377" s="16"/>
      <c r="V377" s="16"/>
      <c r="W377" s="16"/>
      <c r="X377" s="16"/>
      <c r="Y377" s="16"/>
      <c r="Z377" s="16"/>
    </row>
    <row r="378">
      <c r="A378" s="16" t="str">
        <f>IFERROR(__xludf.DUMMYFUNCTION("""COMPUTED_VALUE"""),"Vambraces of Foul Night")</f>
        <v>Vambraces of Foul Night</v>
      </c>
      <c r="B378" s="16"/>
      <c r="C378" s="16"/>
      <c r="D378" s="16" t="str">
        <f>IFERROR(__xludf.DUMMYFUNCTION("""COMPUTED_VALUE"""),"Arms")</f>
        <v>Arms</v>
      </c>
      <c r="E378" s="16">
        <f>IFERROR(__xludf.DUMMYFUNCTION("""COMPUTED_VALUE"""),200.0)</f>
        <v>200</v>
      </c>
      <c r="F378" s="16" t="str">
        <f>IFERROR(__xludf.DUMMYFUNCTION("""COMPUTED_VALUE"""),"DEF: +5000, Dark DEF: +5000 (Foul Night Set) ++X2 Dark and Poison damage, Poison Immunity.")</f>
        <v>DEF: +5000, Dark DEF: +5000 (Foul Night Set) ++X2 Dark and Poison damage, Poison Immunity.</v>
      </c>
      <c r="G378" s="16">
        <f>IFERROR(__xludf.DUMMYFUNCTION("""COMPUTED_VALUE"""),1900000.0)</f>
        <v>1900000</v>
      </c>
      <c r="H378" s="16"/>
      <c r="I378" s="16"/>
      <c r="J378" s="16"/>
      <c r="K378" s="16"/>
      <c r="L378" s="16"/>
      <c r="M378" s="16"/>
      <c r="N378" s="16"/>
      <c r="O378" s="16"/>
      <c r="P378" s="16"/>
      <c r="Q378" s="16"/>
      <c r="R378" s="16"/>
      <c r="S378" s="16"/>
      <c r="T378" s="16"/>
      <c r="U378" s="16"/>
      <c r="V378" s="16"/>
      <c r="W378" s="16"/>
      <c r="X378" s="16"/>
      <c r="Y378" s="16"/>
      <c r="Z378" s="16"/>
    </row>
    <row r="379">
      <c r="A379" s="16" t="str">
        <f>IFERROR(__xludf.DUMMYFUNCTION("""COMPUTED_VALUE"""),"Boots of Foul Night")</f>
        <v>Boots of Foul Night</v>
      </c>
      <c r="B379" s="16"/>
      <c r="C379" s="16"/>
      <c r="D379" s="16" t="str">
        <f>IFERROR(__xludf.DUMMYFUNCTION("""COMPUTED_VALUE"""),"Feet")</f>
        <v>Feet</v>
      </c>
      <c r="E379" s="16">
        <f>IFERROR(__xludf.DUMMYFUNCTION("""COMPUTED_VALUE"""),200.0)</f>
        <v>200</v>
      </c>
      <c r="F379" s="16" t="str">
        <f>IFERROR(__xludf.DUMMYFUNCTION("""COMPUTED_VALUE"""),"DEF: +5000, Dark DEF: +5000 (Foul Night Set) ++X2 Dark and Poison damage, Poison Immunity.")</f>
        <v>DEF: +5000, Dark DEF: +5000 (Foul Night Set) ++X2 Dark and Poison damage, Poison Immunity.</v>
      </c>
      <c r="G379" s="16">
        <f>IFERROR(__xludf.DUMMYFUNCTION("""COMPUTED_VALUE"""),1900000.0)</f>
        <v>1900000</v>
      </c>
      <c r="H379" s="16"/>
      <c r="I379" s="16"/>
      <c r="J379" s="16"/>
      <c r="K379" s="16"/>
      <c r="L379" s="16"/>
      <c r="M379" s="16"/>
      <c r="N379" s="16"/>
      <c r="O379" s="16"/>
      <c r="P379" s="16"/>
      <c r="Q379" s="16"/>
      <c r="R379" s="16"/>
      <c r="S379" s="16"/>
      <c r="T379" s="16"/>
      <c r="U379" s="16"/>
      <c r="V379" s="16"/>
      <c r="W379" s="16"/>
      <c r="X379" s="16"/>
      <c r="Y379" s="16"/>
      <c r="Z379" s="16"/>
    </row>
    <row r="380">
      <c r="A380" s="16" t="str">
        <f>IFERROR(__xludf.DUMMYFUNCTION("""COMPUTED_VALUE"""),"Pauldrons of Foul Night")</f>
        <v>Pauldrons of Foul Night</v>
      </c>
      <c r="B380" s="16"/>
      <c r="C380" s="16"/>
      <c r="D380" s="16" t="str">
        <f>IFERROR(__xludf.DUMMYFUNCTION("""COMPUTED_VALUE"""),"Shoulders")</f>
        <v>Shoulders</v>
      </c>
      <c r="E380" s="16">
        <f>IFERROR(__xludf.DUMMYFUNCTION("""COMPUTED_VALUE"""),200.0)</f>
        <v>200</v>
      </c>
      <c r="F380" s="16" t="str">
        <f>IFERROR(__xludf.DUMMYFUNCTION("""COMPUTED_VALUE"""),"DEF: +5000, Dark DEF: +5000 (Foul Night Set) ++X2 Dark and Poison damage, Poison Immunity.")</f>
        <v>DEF: +5000, Dark DEF: +5000 (Foul Night Set) ++X2 Dark and Poison damage, Poison Immunity.</v>
      </c>
      <c r="G380" s="16">
        <f>IFERROR(__xludf.DUMMYFUNCTION("""COMPUTED_VALUE"""),1900000.0)</f>
        <v>1900000</v>
      </c>
      <c r="H380" s="16"/>
      <c r="I380" s="16"/>
      <c r="J380" s="16"/>
      <c r="K380" s="16"/>
      <c r="L380" s="16"/>
      <c r="M380" s="16"/>
      <c r="N380" s="16"/>
      <c r="O380" s="16"/>
      <c r="P380" s="16"/>
      <c r="Q380" s="16"/>
      <c r="R380" s="16"/>
      <c r="S380" s="16"/>
      <c r="T380" s="16"/>
      <c r="U380" s="16"/>
      <c r="V380" s="16"/>
      <c r="W380" s="16"/>
      <c r="X380" s="16"/>
      <c r="Y380" s="16"/>
      <c r="Z380" s="16"/>
    </row>
    <row r="381">
      <c r="A381" s="16" t="str">
        <f>IFERROR(__xludf.DUMMYFUNCTION("""COMPUTED_VALUE"""),"Crystal Forged Pauldrons")</f>
        <v>Crystal Forged Pauldrons</v>
      </c>
      <c r="B381" s="16"/>
      <c r="C381" s="16"/>
      <c r="D381" s="16" t="str">
        <f>IFERROR(__xludf.DUMMYFUNCTION("""COMPUTED_VALUE"""),"Shoulders")</f>
        <v>Shoulders</v>
      </c>
      <c r="E381" s="16">
        <f>IFERROR(__xludf.DUMMYFUNCTION("""COMPUTED_VALUE"""),200.0)</f>
        <v>200</v>
      </c>
      <c r="F381"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1" s="16">
        <f>IFERROR(__xludf.DUMMYFUNCTION("""COMPUTED_VALUE"""),1900000.0)</f>
        <v>1900000</v>
      </c>
      <c r="H381" s="16"/>
      <c r="I381" s="16"/>
      <c r="J381" s="16"/>
      <c r="K381" s="16"/>
      <c r="L381" s="16"/>
      <c r="M381" s="16"/>
      <c r="N381" s="16"/>
      <c r="O381" s="16"/>
      <c r="P381" s="16"/>
      <c r="Q381" s="16"/>
      <c r="R381" s="16"/>
      <c r="S381" s="16"/>
      <c r="T381" s="16"/>
      <c r="U381" s="16"/>
      <c r="V381" s="16"/>
      <c r="W381" s="16"/>
      <c r="X381" s="16"/>
      <c r="Y381" s="16"/>
      <c r="Z381" s="16"/>
    </row>
    <row r="382">
      <c r="A382" s="16" t="str">
        <f>IFERROR(__xludf.DUMMYFUNCTION("""COMPUTED_VALUE"""),"Crystal Forged Greaves")</f>
        <v>Crystal Forged Greaves</v>
      </c>
      <c r="B382" s="16"/>
      <c r="C382" s="16"/>
      <c r="D382" s="16" t="str">
        <f>IFERROR(__xludf.DUMMYFUNCTION("""COMPUTED_VALUE"""),"Legs")</f>
        <v>Legs</v>
      </c>
      <c r="E382" s="16">
        <f>IFERROR(__xludf.DUMMYFUNCTION("""COMPUTED_VALUE"""),200.0)</f>
        <v>200</v>
      </c>
      <c r="F382"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2" s="16">
        <f>IFERROR(__xludf.DUMMYFUNCTION("""COMPUTED_VALUE"""),1900000.0)</f>
        <v>1900000</v>
      </c>
      <c r="H382" s="16"/>
      <c r="I382" s="16"/>
      <c r="J382" s="16"/>
      <c r="K382" s="16"/>
      <c r="L382" s="16"/>
      <c r="M382" s="16"/>
      <c r="N382" s="16"/>
      <c r="O382" s="16"/>
      <c r="P382" s="16"/>
      <c r="Q382" s="16"/>
      <c r="R382" s="16"/>
      <c r="S382" s="16"/>
      <c r="T382" s="16"/>
      <c r="U382" s="16"/>
      <c r="V382" s="16"/>
      <c r="W382" s="16"/>
      <c r="X382" s="16"/>
      <c r="Y382" s="16"/>
      <c r="Z382" s="16"/>
    </row>
    <row r="383">
      <c r="A383" s="16" t="str">
        <f>IFERROR(__xludf.DUMMYFUNCTION("""COMPUTED_VALUE"""),"Crystal Forged Boots")</f>
        <v>Crystal Forged Boots</v>
      </c>
      <c r="B383" s="16"/>
      <c r="C383" s="16"/>
      <c r="D383" s="16" t="str">
        <f>IFERROR(__xludf.DUMMYFUNCTION("""COMPUTED_VALUE"""),"Feet")</f>
        <v>Feet</v>
      </c>
      <c r="E383" s="16">
        <f>IFERROR(__xludf.DUMMYFUNCTION("""COMPUTED_VALUE"""),200.0)</f>
        <v>200</v>
      </c>
      <c r="F383"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3" s="16">
        <f>IFERROR(__xludf.DUMMYFUNCTION("""COMPUTED_VALUE"""),1900000.0)</f>
        <v>1900000</v>
      </c>
      <c r="H383" s="16"/>
      <c r="I383" s="16"/>
      <c r="J383" s="16"/>
      <c r="K383" s="16"/>
      <c r="L383" s="16"/>
      <c r="M383" s="16"/>
      <c r="N383" s="16"/>
      <c r="O383" s="16"/>
      <c r="P383" s="16"/>
      <c r="Q383" s="16"/>
      <c r="R383" s="16"/>
      <c r="S383" s="16"/>
      <c r="T383" s="16"/>
      <c r="U383" s="16"/>
      <c r="V383" s="16"/>
      <c r="W383" s="16"/>
      <c r="X383" s="16"/>
      <c r="Y383" s="16"/>
      <c r="Z383" s="16"/>
    </row>
    <row r="384">
      <c r="A384" s="16" t="str">
        <f>IFERROR(__xludf.DUMMYFUNCTION("""COMPUTED_VALUE"""),"Crystal Forged Vambraces")</f>
        <v>Crystal Forged Vambraces</v>
      </c>
      <c r="B384" s="16"/>
      <c r="C384" s="16"/>
      <c r="D384" s="16" t="str">
        <f>IFERROR(__xludf.DUMMYFUNCTION("""COMPUTED_VALUE"""),"Arms")</f>
        <v>Arms</v>
      </c>
      <c r="E384" s="16">
        <f>IFERROR(__xludf.DUMMYFUNCTION("""COMPUTED_VALUE"""),200.0)</f>
        <v>200</v>
      </c>
      <c r="F384" s="16" t="str">
        <f>IFERROR(__xludf.DUMMYFUNCTION("""COMPUTED_VALUE"""),"DEF: +5000, Earth DEF: +5000 ++When equipped, Gem and Crystal related weapons deal an additional X2 damage for the user.")</f>
        <v>DEF: +5000, Earth DEF: +5000 ++When equipped, Gem and Crystal related weapons deal an additional X2 damage for the user.</v>
      </c>
      <c r="G384" s="16">
        <f>IFERROR(__xludf.DUMMYFUNCTION("""COMPUTED_VALUE"""),1900000.0)</f>
        <v>1900000</v>
      </c>
      <c r="H384" s="16"/>
      <c r="I384" s="16"/>
      <c r="J384" s="16"/>
      <c r="K384" s="16"/>
      <c r="L384" s="16"/>
      <c r="M384" s="16"/>
      <c r="N384" s="16"/>
      <c r="O384" s="16"/>
      <c r="P384" s="16"/>
      <c r="Q384" s="16"/>
      <c r="R384" s="16"/>
      <c r="S384" s="16"/>
      <c r="T384" s="16"/>
      <c r="U384" s="16"/>
      <c r="V384" s="16"/>
      <c r="W384" s="16"/>
      <c r="X384" s="16"/>
      <c r="Y384" s="16"/>
      <c r="Z384" s="16"/>
    </row>
    <row r="385">
      <c r="A385" s="16" t="str">
        <f>IFERROR(__xludf.DUMMYFUNCTION("""COMPUTED_VALUE"""),"Fiddle")</f>
        <v>Fiddle</v>
      </c>
      <c r="B385" s="16"/>
      <c r="C385" s="16" t="str">
        <f>IFERROR(__xludf.DUMMYFUNCTION("""COMPUTED_VALUE"""),"Instrument")</f>
        <v>Instrument</v>
      </c>
      <c r="D385" s="16" t="str">
        <f>IFERROR(__xludf.DUMMYFUNCTION("""COMPUTED_VALUE"""),"Hand")</f>
        <v>Hand</v>
      </c>
      <c r="E385" s="16">
        <f>IFERROR(__xludf.DUMMYFUNCTION("""COMPUTED_VALUE"""),40.0)</f>
        <v>40</v>
      </c>
      <c r="F385" s="16" t="str">
        <f>IFERROR(__xludf.DUMMYFUNCTION("""COMPUTED_VALUE"""),"DMG: +2000")</f>
        <v>DMG: +2000</v>
      </c>
      <c r="G385" s="16">
        <f>IFERROR(__xludf.DUMMYFUNCTION("""COMPUTED_VALUE"""),60000.0)</f>
        <v>60000</v>
      </c>
      <c r="H385" s="16"/>
      <c r="I385" s="16"/>
      <c r="J385" s="16"/>
      <c r="K385" s="16"/>
      <c r="L385" s="16"/>
      <c r="M385" s="16"/>
      <c r="N385" s="16"/>
      <c r="O385" s="16"/>
      <c r="P385" s="16"/>
      <c r="Q385" s="16"/>
      <c r="R385" s="16"/>
      <c r="S385" s="16"/>
      <c r="T385" s="16"/>
      <c r="U385" s="16"/>
      <c r="V385" s="16"/>
      <c r="W385" s="16"/>
      <c r="X385" s="16"/>
      <c r="Y385" s="16"/>
      <c r="Z385" s="16"/>
    </row>
    <row r="386">
      <c r="A386" s="16" t="str">
        <f>IFERROR(__xludf.DUMMYFUNCTION("""COMPUTED_VALUE"""),"WyvernTail Blade")</f>
        <v>WyvernTail Blade</v>
      </c>
      <c r="B386" s="16"/>
      <c r="C386" s="16" t="str">
        <f>IFERROR(__xludf.DUMMYFUNCTION("""COMPUTED_VALUE"""),"Sword")</f>
        <v>Sword</v>
      </c>
      <c r="D386" s="16" t="str">
        <f>IFERROR(__xludf.DUMMYFUNCTION("""COMPUTED_VALUE"""),"Hand")</f>
        <v>Hand</v>
      </c>
      <c r="E386" s="16">
        <f>IFERROR(__xludf.DUMMYFUNCTION("""COMPUTED_VALUE"""),200.0)</f>
        <v>200</v>
      </c>
      <c r="F386" s="16" t="str">
        <f>IFERROR(__xludf.DUMMYFUNCTION("""COMPUTED_VALUE"""),"DMG: +5000, Water DMG: +5000 (Wyverntail Set) ++50% Chance to freeze the target being attacked by this weapon.")</f>
        <v>DMG: +5000, Water DMG: +5000 (Wyverntail Set) ++50% Chance to freeze the target being attacked by this weapon.</v>
      </c>
      <c r="G386" s="16">
        <f>IFERROR(__xludf.DUMMYFUNCTION("""COMPUTED_VALUE"""),1900000.0)</f>
        <v>1900000</v>
      </c>
      <c r="H386" s="16"/>
      <c r="I386" s="16"/>
      <c r="J386" s="16"/>
      <c r="K386" s="16"/>
      <c r="L386" s="16"/>
      <c r="M386" s="16"/>
      <c r="N386" s="16"/>
      <c r="O386" s="16"/>
      <c r="P386" s="16"/>
      <c r="Q386" s="16"/>
      <c r="R386" s="16"/>
      <c r="S386" s="16"/>
      <c r="T386" s="16"/>
      <c r="U386" s="16"/>
      <c r="V386" s="16"/>
      <c r="W386" s="16"/>
      <c r="X386" s="16"/>
      <c r="Y386" s="16"/>
      <c r="Z386" s="16"/>
    </row>
    <row r="387">
      <c r="A387" s="16" t="str">
        <f>IFERROR(__xludf.DUMMYFUNCTION("""COMPUTED_VALUE"""),"WyvernTail Helm")</f>
        <v>WyvernTail Helm</v>
      </c>
      <c r="B387" s="16"/>
      <c r="C387" s="16"/>
      <c r="D387" s="16" t="str">
        <f>IFERROR(__xludf.DUMMYFUNCTION("""COMPUTED_VALUE"""),"Head")</f>
        <v>Head</v>
      </c>
      <c r="E387" s="16">
        <f>IFERROR(__xludf.DUMMYFUNCTION("""COMPUTED_VALUE"""),200.0)</f>
        <v>200</v>
      </c>
      <c r="F387" s="16" t="str">
        <f>IFERROR(__xludf.DUMMYFUNCTION("""COMPUTED_VALUE"""),"DEF: +10000 (Wyverntail Set) ++Freeze Immunity")</f>
        <v>DEF: +10000 (Wyverntail Set) ++Freeze Immunity</v>
      </c>
      <c r="G387" s="16">
        <f>IFERROR(__xludf.DUMMYFUNCTION("""COMPUTED_VALUE"""),1900000.0)</f>
        <v>1900000</v>
      </c>
      <c r="H387" s="16"/>
      <c r="I387" s="16"/>
      <c r="J387" s="16"/>
      <c r="K387" s="16"/>
      <c r="L387" s="16"/>
      <c r="M387" s="16"/>
      <c r="N387" s="16"/>
      <c r="O387" s="16"/>
      <c r="P387" s="16"/>
      <c r="Q387" s="16"/>
      <c r="R387" s="16"/>
      <c r="S387" s="16"/>
      <c r="T387" s="16"/>
      <c r="U387" s="16"/>
      <c r="V387" s="16"/>
      <c r="W387" s="16"/>
      <c r="X387" s="16"/>
      <c r="Y387" s="16"/>
      <c r="Z387" s="16"/>
    </row>
    <row r="388">
      <c r="A388" s="16" t="str">
        <f>IFERROR(__xludf.DUMMYFUNCTION("""COMPUTED_VALUE"""),"WyvernTail Pauldrons")</f>
        <v>WyvernTail Pauldrons</v>
      </c>
      <c r="B388" s="16"/>
      <c r="C388" s="16"/>
      <c r="D388" s="16" t="str">
        <f>IFERROR(__xludf.DUMMYFUNCTION("""COMPUTED_VALUE"""),"Shoulders")</f>
        <v>Shoulders</v>
      </c>
      <c r="E388" s="16">
        <f>IFERROR(__xludf.DUMMYFUNCTION("""COMPUTED_VALUE"""),200.0)</f>
        <v>200</v>
      </c>
      <c r="F388" s="16" t="str">
        <f>IFERROR(__xludf.DUMMYFUNCTION("""COMPUTED_VALUE"""),"DEF: +10000 (Wyverntail Set) ++Freeze Immunity")</f>
        <v>DEF: +10000 (Wyverntail Set) ++Freeze Immunity</v>
      </c>
      <c r="G388" s="16">
        <f>IFERROR(__xludf.DUMMYFUNCTION("""COMPUTED_VALUE"""),1900000.0)</f>
        <v>1900000</v>
      </c>
      <c r="H388" s="16"/>
      <c r="I388" s="16"/>
      <c r="J388" s="16"/>
      <c r="K388" s="16"/>
      <c r="L388" s="16"/>
      <c r="M388" s="16"/>
      <c r="N388" s="16"/>
      <c r="O388" s="16"/>
      <c r="P388" s="16"/>
      <c r="Q388" s="16"/>
      <c r="R388" s="16"/>
      <c r="S388" s="16"/>
      <c r="T388" s="16"/>
      <c r="U388" s="16"/>
      <c r="V388" s="16"/>
      <c r="W388" s="16"/>
      <c r="X388" s="16"/>
      <c r="Y388" s="16"/>
      <c r="Z388" s="16"/>
    </row>
    <row r="389">
      <c r="A389" s="16" t="str">
        <f>IFERROR(__xludf.DUMMYFUNCTION("""COMPUTED_VALUE"""),"WyvernTail Chestplate")</f>
        <v>WyvernTail Chestplate</v>
      </c>
      <c r="B389" s="16"/>
      <c r="C389" s="16"/>
      <c r="D389" s="16" t="str">
        <f>IFERROR(__xludf.DUMMYFUNCTION("""COMPUTED_VALUE"""),"Torso")</f>
        <v>Torso</v>
      </c>
      <c r="E389" s="16">
        <f>IFERROR(__xludf.DUMMYFUNCTION("""COMPUTED_VALUE"""),200.0)</f>
        <v>200</v>
      </c>
      <c r="F389" s="16" t="str">
        <f>IFERROR(__xludf.DUMMYFUNCTION("""COMPUTED_VALUE"""),"DEF: +10000 (Wyverntail Set) ++Freeze Immunity")</f>
        <v>DEF: +10000 (Wyverntail Set) ++Freeze Immunity</v>
      </c>
      <c r="G389" s="16">
        <f>IFERROR(__xludf.DUMMYFUNCTION("""COMPUTED_VALUE"""),1900000.0)</f>
        <v>1900000</v>
      </c>
      <c r="H389" s="16"/>
      <c r="I389" s="16"/>
      <c r="J389" s="16"/>
      <c r="K389" s="16"/>
      <c r="L389" s="16"/>
      <c r="M389" s="16"/>
      <c r="N389" s="16"/>
      <c r="O389" s="16"/>
      <c r="P389" s="16"/>
      <c r="Q389" s="16"/>
      <c r="R389" s="16"/>
      <c r="S389" s="16"/>
      <c r="T389" s="16"/>
      <c r="U389" s="16"/>
      <c r="V389" s="16"/>
      <c r="W389" s="16"/>
      <c r="X389" s="16"/>
      <c r="Y389" s="16"/>
      <c r="Z389" s="16"/>
    </row>
    <row r="390">
      <c r="A390" s="16" t="str">
        <f>IFERROR(__xludf.DUMMYFUNCTION("""COMPUTED_VALUE"""),"WyvernTail Vambraces")</f>
        <v>WyvernTail Vambraces</v>
      </c>
      <c r="B390" s="16"/>
      <c r="C390" s="16"/>
      <c r="D390" s="16" t="str">
        <f>IFERROR(__xludf.DUMMYFUNCTION("""COMPUTED_VALUE"""),"Arms")</f>
        <v>Arms</v>
      </c>
      <c r="E390" s="16">
        <f>IFERROR(__xludf.DUMMYFUNCTION("""COMPUTED_VALUE"""),200.0)</f>
        <v>200</v>
      </c>
      <c r="F390" s="16" t="str">
        <f>IFERROR(__xludf.DUMMYFUNCTION("""COMPUTED_VALUE"""),"DEF: +10000 (Wyverntail Set) ++Freeze Immunity")</f>
        <v>DEF: +10000 (Wyverntail Set) ++Freeze Immunity</v>
      </c>
      <c r="G390" s="16">
        <f>IFERROR(__xludf.DUMMYFUNCTION("""COMPUTED_VALUE"""),1900000.0)</f>
        <v>1900000</v>
      </c>
      <c r="H390" s="16"/>
      <c r="I390" s="16"/>
      <c r="J390" s="16"/>
      <c r="K390" s="16"/>
      <c r="L390" s="16"/>
      <c r="M390" s="16"/>
      <c r="N390" s="16"/>
      <c r="O390" s="16"/>
      <c r="P390" s="16"/>
      <c r="Q390" s="16"/>
      <c r="R390" s="16"/>
      <c r="S390" s="16"/>
      <c r="T390" s="16"/>
      <c r="U390" s="16"/>
      <c r="V390" s="16"/>
      <c r="W390" s="16"/>
      <c r="X390" s="16"/>
      <c r="Y390" s="16"/>
      <c r="Z390" s="16"/>
    </row>
    <row r="391">
      <c r="A391" s="16" t="str">
        <f>IFERROR(__xludf.DUMMYFUNCTION("""COMPUTED_VALUE"""),"WyvernTail Greaves")</f>
        <v>WyvernTail Greaves</v>
      </c>
      <c r="B391" s="16"/>
      <c r="C391" s="16"/>
      <c r="D391" s="16" t="str">
        <f>IFERROR(__xludf.DUMMYFUNCTION("""COMPUTED_VALUE"""),"Legs")</f>
        <v>Legs</v>
      </c>
      <c r="E391" s="16">
        <f>IFERROR(__xludf.DUMMYFUNCTION("""COMPUTED_VALUE"""),200.0)</f>
        <v>200</v>
      </c>
      <c r="F391" s="16" t="str">
        <f>IFERROR(__xludf.DUMMYFUNCTION("""COMPUTED_VALUE"""),"DEF: +10000 (Wyverntail Set) ++Freeze Immunity")</f>
        <v>DEF: +10000 (Wyverntail Set) ++Freeze Immunity</v>
      </c>
      <c r="G391" s="16">
        <f>IFERROR(__xludf.DUMMYFUNCTION("""COMPUTED_VALUE"""),1900000.0)</f>
        <v>1900000</v>
      </c>
      <c r="H391" s="16"/>
      <c r="I391" s="16"/>
      <c r="J391" s="16"/>
      <c r="K391" s="16"/>
      <c r="L391" s="16"/>
      <c r="M391" s="16"/>
      <c r="N391" s="16"/>
      <c r="O391" s="16"/>
      <c r="P391" s="16"/>
      <c r="Q391" s="16"/>
      <c r="R391" s="16"/>
      <c r="S391" s="16"/>
      <c r="T391" s="16"/>
      <c r="U391" s="16"/>
      <c r="V391" s="16"/>
      <c r="W391" s="16"/>
      <c r="X391" s="16"/>
      <c r="Y391" s="16"/>
      <c r="Z391" s="16"/>
    </row>
    <row r="392">
      <c r="A392" s="16" t="str">
        <f>IFERROR(__xludf.DUMMYFUNCTION("""COMPUTED_VALUE"""),"WyvernTail Boots")</f>
        <v>WyvernTail Boots</v>
      </c>
      <c r="B392" s="16"/>
      <c r="C392" s="16"/>
      <c r="D392" s="16" t="str">
        <f>IFERROR(__xludf.DUMMYFUNCTION("""COMPUTED_VALUE"""),"Feet")</f>
        <v>Feet</v>
      </c>
      <c r="E392" s="16">
        <f>IFERROR(__xludf.DUMMYFUNCTION("""COMPUTED_VALUE"""),200.0)</f>
        <v>200</v>
      </c>
      <c r="F392" s="16" t="str">
        <f>IFERROR(__xludf.DUMMYFUNCTION("""COMPUTED_VALUE"""),"DEF: +10000 (Wyverntail Set) ++Freeze Immunity")</f>
        <v>DEF: +10000 (Wyverntail Set) ++Freeze Immunity</v>
      </c>
      <c r="G392" s="16">
        <f>IFERROR(__xludf.DUMMYFUNCTION("""COMPUTED_VALUE"""),1900000.0)</f>
        <v>1900000</v>
      </c>
      <c r="H392" s="16"/>
      <c r="I392" s="16"/>
      <c r="J392" s="16"/>
      <c r="K392" s="16"/>
      <c r="L392" s="16"/>
      <c r="M392" s="16"/>
      <c r="N392" s="16"/>
      <c r="O392" s="16"/>
      <c r="P392" s="16"/>
      <c r="Q392" s="16"/>
      <c r="R392" s="16"/>
      <c r="S392" s="16"/>
      <c r="T392" s="16"/>
      <c r="U392" s="16"/>
      <c r="V392" s="16"/>
      <c r="W392" s="16"/>
      <c r="X392" s="16"/>
      <c r="Y392" s="16"/>
      <c r="Z392" s="16"/>
    </row>
    <row r="393">
      <c r="A393" s="16" t="str">
        <f>IFERROR(__xludf.DUMMYFUNCTION("""COMPUTED_VALUE"""),"WyvernTail Pendent")</f>
        <v>WyvernTail Pendent</v>
      </c>
      <c r="B393" s="16"/>
      <c r="C393" s="16"/>
      <c r="D393" s="16" t="str">
        <f>IFERROR(__xludf.DUMMYFUNCTION("""COMPUTED_VALUE"""),"Neck")</f>
        <v>Neck</v>
      </c>
      <c r="E393" s="16">
        <f>IFERROR(__xludf.DUMMYFUNCTION("""COMPUTED_VALUE"""),1.0)</f>
        <v>1</v>
      </c>
      <c r="F393" s="16" t="str">
        <f>IFERROR(__xludf.DUMMYFUNCTION("""COMPUTED_VALUE""")," (Wyverntail Set) ++When you are attacked, the enemy that attacked you has a 25% Chance to Freeze.")</f>
        <v> (Wyverntail Set) ++When you are attacked, the enemy that attacked you has a 25% Chance to Freeze.</v>
      </c>
      <c r="G393" s="16">
        <f>IFERROR(__xludf.DUMMYFUNCTION("""COMPUTED_VALUE"""),0.0)</f>
        <v>0</v>
      </c>
      <c r="H393" s="16"/>
      <c r="I393" s="16"/>
      <c r="J393" s="16"/>
      <c r="K393" s="16"/>
      <c r="L393" s="16"/>
      <c r="M393" s="16"/>
      <c r="N393" s="16"/>
      <c r="O393" s="16"/>
      <c r="P393" s="16"/>
      <c r="Q393" s="16"/>
      <c r="R393" s="16"/>
      <c r="S393" s="16"/>
      <c r="T393" s="16"/>
      <c r="U393" s="16"/>
      <c r="V393" s="16"/>
      <c r="W393" s="16"/>
      <c r="X393" s="16"/>
      <c r="Y393" s="16"/>
      <c r="Z393" s="16"/>
    </row>
    <row r="394">
      <c r="A394" s="16" t="str">
        <f>IFERROR(__xludf.DUMMYFUNCTION("""COMPUTED_VALUE"""),"WyvernTail Ring")</f>
        <v>WyvernTail Ring</v>
      </c>
      <c r="B394" s="16"/>
      <c r="C394" s="16"/>
      <c r="D394" s="16" t="str">
        <f>IFERROR(__xludf.DUMMYFUNCTION("""COMPUTED_VALUE"""),"Ring")</f>
        <v>Ring</v>
      </c>
      <c r="E394" s="16">
        <f>IFERROR(__xludf.DUMMYFUNCTION("""COMPUTED_VALUE"""),1.0)</f>
        <v>1</v>
      </c>
      <c r="F394" s="16" t="str">
        <f>IFERROR(__xludf.DUMMYFUNCTION("""COMPUTED_VALUE""")," (Wyverntail Set) ++When you are attacked, the enemy that attacked you has a 25% Chance to Freeze. ")</f>
        <v> (Wyverntail Set) ++When you are attacked, the enemy that attacked you has a 25% Chance to Freeze. </v>
      </c>
      <c r="G394" s="16">
        <f>IFERROR(__xludf.DUMMYFUNCTION("""COMPUTED_VALUE"""),0.0)</f>
        <v>0</v>
      </c>
      <c r="H394" s="16"/>
      <c r="I394" s="16"/>
      <c r="J394" s="16"/>
      <c r="K394" s="16"/>
      <c r="L394" s="16"/>
      <c r="M394" s="16"/>
      <c r="N394" s="16"/>
      <c r="O394" s="16"/>
      <c r="P394" s="16"/>
      <c r="Q394" s="16"/>
      <c r="R394" s="16"/>
      <c r="S394" s="16"/>
      <c r="T394" s="16"/>
      <c r="U394" s="16"/>
      <c r="V394" s="16"/>
      <c r="W394" s="16"/>
      <c r="X394" s="16"/>
      <c r="Y394" s="16"/>
      <c r="Z394" s="16"/>
    </row>
    <row r="395">
      <c r="A395" s="16" t="str">
        <f>IFERROR(__xludf.DUMMYFUNCTION("""COMPUTED_VALUE"""),"Sweltering Blade")</f>
        <v>Sweltering Blade</v>
      </c>
      <c r="B395" s="16"/>
      <c r="C395" s="16" t="str">
        <f>IFERROR(__xludf.DUMMYFUNCTION("""COMPUTED_VALUE"""),"Sword")</f>
        <v>Sword</v>
      </c>
      <c r="D395" s="16" t="str">
        <f>IFERROR(__xludf.DUMMYFUNCTION("""COMPUTED_VALUE"""),"Hand")</f>
        <v>Hand</v>
      </c>
      <c r="E395" s="16">
        <f>IFERROR(__xludf.DUMMYFUNCTION("""COMPUTED_VALUE"""),400.0)</f>
        <v>400</v>
      </c>
      <c r="F395" s="16" t="str">
        <f>IFERROR(__xludf.DUMMYFUNCTION("""COMPUTED_VALUE"""),"DMG: +5000, Fire DMG: +5000, Water DMG: +5000, Nature DMG: +5000 (Sweltering Set) ++X2 Nature, Water, and Fire Damage.")</f>
        <v>DMG: +5000, Fire DMG: +5000, Water DMG: +5000, Nature DMG: +5000 (Sweltering Set) ++X2 Nature, Water, and Fire Damage.</v>
      </c>
      <c r="G395" s="16">
        <f>IFERROR(__xludf.DUMMYFUNCTION("""COMPUTED_VALUE"""),7800000.0)</f>
        <v>7800000</v>
      </c>
      <c r="H395" s="16"/>
      <c r="I395" s="16"/>
      <c r="J395" s="16"/>
      <c r="K395" s="16"/>
      <c r="L395" s="16"/>
      <c r="M395" s="16"/>
      <c r="N395" s="16"/>
      <c r="O395" s="16"/>
      <c r="P395" s="16"/>
      <c r="Q395" s="16"/>
      <c r="R395" s="16"/>
      <c r="S395" s="16"/>
      <c r="T395" s="16"/>
      <c r="U395" s="16"/>
      <c r="V395" s="16"/>
      <c r="W395" s="16"/>
      <c r="X395" s="16"/>
      <c r="Y395" s="16"/>
      <c r="Z395" s="16"/>
    </row>
    <row r="396">
      <c r="A396" s="16" t="str">
        <f>IFERROR(__xludf.DUMMYFUNCTION("""COMPUTED_VALUE"""),"Sweltering Helm")</f>
        <v>Sweltering Helm</v>
      </c>
      <c r="B396" s="16"/>
      <c r="C396" s="16"/>
      <c r="D396" s="16" t="str">
        <f>IFERROR(__xludf.DUMMYFUNCTION("""COMPUTED_VALUE"""),"Head")</f>
        <v>Head</v>
      </c>
      <c r="E396" s="16">
        <f>IFERROR(__xludf.DUMMYFUNCTION("""COMPUTED_VALUE"""),400.0)</f>
        <v>400</v>
      </c>
      <c r="F396" s="16" t="str">
        <f>IFERROR(__xludf.DUMMYFUNCTION("""COMPUTED_VALUE"""),"DEF: +5000, Fire DEF: +5000, Water DEF: +5000, Nature DEF: +5000 (Sweltering Set) ++X2 Nature, Water, and Fire Damage.")</f>
        <v>DEF: +5000, Fire DEF: +5000, Water DEF: +5000, Nature DEF: +5000 (Sweltering Set) ++X2 Nature, Water, and Fire Damage.</v>
      </c>
      <c r="G396" s="16">
        <f>IFERROR(__xludf.DUMMYFUNCTION("""COMPUTED_VALUE"""),7800000.0)</f>
        <v>7800000</v>
      </c>
      <c r="H396" s="16"/>
      <c r="I396" s="16"/>
      <c r="J396" s="16"/>
      <c r="K396" s="16"/>
      <c r="L396" s="16"/>
      <c r="M396" s="16"/>
      <c r="N396" s="16"/>
      <c r="O396" s="16"/>
      <c r="P396" s="16"/>
      <c r="Q396" s="16"/>
      <c r="R396" s="16"/>
      <c r="S396" s="16"/>
      <c r="T396" s="16"/>
      <c r="U396" s="16"/>
      <c r="V396" s="16"/>
      <c r="W396" s="16"/>
      <c r="X396" s="16"/>
      <c r="Y396" s="16"/>
      <c r="Z396" s="16"/>
    </row>
    <row r="397">
      <c r="A397" s="16" t="str">
        <f>IFERROR(__xludf.DUMMYFUNCTION("""COMPUTED_VALUE"""),"Sweltering Pauldrons")</f>
        <v>Sweltering Pauldrons</v>
      </c>
      <c r="B397" s="16"/>
      <c r="C397" s="16"/>
      <c r="D397" s="16" t="str">
        <f>IFERROR(__xludf.DUMMYFUNCTION("""COMPUTED_VALUE"""),"Shoulders")</f>
        <v>Shoulders</v>
      </c>
      <c r="E397" s="16">
        <f>IFERROR(__xludf.DUMMYFUNCTION("""COMPUTED_VALUE"""),400.0)</f>
        <v>400</v>
      </c>
      <c r="F397" s="16" t="str">
        <f>IFERROR(__xludf.DUMMYFUNCTION("""COMPUTED_VALUE"""),"DEF: +5000, Fire DEF: +5000, Water DEF: +5000, Nature DEF: +5000 (Sweltering Set) ++X2 Nature, Water, and Fire Damage.")</f>
        <v>DEF: +5000, Fire DEF: +5000, Water DEF: +5000, Nature DEF: +5000 (Sweltering Set) ++X2 Nature, Water, and Fire Damage.</v>
      </c>
      <c r="G397" s="16">
        <f>IFERROR(__xludf.DUMMYFUNCTION("""COMPUTED_VALUE"""),7800000.0)</f>
        <v>7800000</v>
      </c>
      <c r="H397" s="16"/>
      <c r="I397" s="16"/>
      <c r="J397" s="16"/>
      <c r="K397" s="16"/>
      <c r="L397" s="16"/>
      <c r="M397" s="16"/>
      <c r="N397" s="16"/>
      <c r="O397" s="16"/>
      <c r="P397" s="16"/>
      <c r="Q397" s="16"/>
      <c r="R397" s="16"/>
      <c r="S397" s="16"/>
      <c r="T397" s="16"/>
      <c r="U397" s="16"/>
      <c r="V397" s="16"/>
      <c r="W397" s="16"/>
      <c r="X397" s="16"/>
      <c r="Y397" s="16"/>
      <c r="Z397" s="16"/>
    </row>
    <row r="398">
      <c r="A398" s="16" t="str">
        <f>IFERROR(__xludf.DUMMYFUNCTION("""COMPUTED_VALUE"""),"Sweltering Chestplate")</f>
        <v>Sweltering Chestplate</v>
      </c>
      <c r="B398" s="16"/>
      <c r="C398" s="16"/>
      <c r="D398" s="16" t="str">
        <f>IFERROR(__xludf.DUMMYFUNCTION("""COMPUTED_VALUE"""),"Torso")</f>
        <v>Torso</v>
      </c>
      <c r="E398" s="16">
        <f>IFERROR(__xludf.DUMMYFUNCTION("""COMPUTED_VALUE"""),400.0)</f>
        <v>400</v>
      </c>
      <c r="F398" s="16" t="str">
        <f>IFERROR(__xludf.DUMMYFUNCTION("""COMPUTED_VALUE"""),"DEF: +5000, Fire DEF: +5000, Water DEF: +5000, Nature DEF: +5000 (Sweltering Set) ++X2 Nature, Water, and Fire Damage.")</f>
        <v>DEF: +5000, Fire DEF: +5000, Water DEF: +5000, Nature DEF: +5000 (Sweltering Set) ++X2 Nature, Water, and Fire Damage.</v>
      </c>
      <c r="G398" s="16">
        <f>IFERROR(__xludf.DUMMYFUNCTION("""COMPUTED_VALUE"""),7800000.0)</f>
        <v>7800000</v>
      </c>
      <c r="H398" s="16"/>
      <c r="I398" s="16"/>
      <c r="J398" s="16"/>
      <c r="K398" s="16"/>
      <c r="L398" s="16"/>
      <c r="M398" s="16"/>
      <c r="N398" s="16"/>
      <c r="O398" s="16"/>
      <c r="P398" s="16"/>
      <c r="Q398" s="16"/>
      <c r="R398" s="16"/>
      <c r="S398" s="16"/>
      <c r="T398" s="16"/>
      <c r="U398" s="16"/>
      <c r="V398" s="16"/>
      <c r="W398" s="16"/>
      <c r="X398" s="16"/>
      <c r="Y398" s="16"/>
      <c r="Z398" s="16"/>
    </row>
    <row r="399">
      <c r="A399" s="16" t="str">
        <f>IFERROR(__xludf.DUMMYFUNCTION("""COMPUTED_VALUE"""),"Sweltering Vambraces")</f>
        <v>Sweltering Vambraces</v>
      </c>
      <c r="B399" s="16"/>
      <c r="C399" s="16"/>
      <c r="D399" s="16" t="str">
        <f>IFERROR(__xludf.DUMMYFUNCTION("""COMPUTED_VALUE"""),"Arms")</f>
        <v>Arms</v>
      </c>
      <c r="E399" s="16">
        <f>IFERROR(__xludf.DUMMYFUNCTION("""COMPUTED_VALUE"""),400.0)</f>
        <v>400</v>
      </c>
      <c r="F399" s="16" t="str">
        <f>IFERROR(__xludf.DUMMYFUNCTION("""COMPUTED_VALUE"""),"DEF: +5000, Fire DEF: +5000, Water DEF: +5000, Nature DEF: +5000 (Sweltering Set) ++X2 Nature, Water, and Fire Damage.")</f>
        <v>DEF: +5000, Fire DEF: +5000, Water DEF: +5000, Nature DEF: +5000 (Sweltering Set) ++X2 Nature, Water, and Fire Damage.</v>
      </c>
      <c r="G399" s="16">
        <f>IFERROR(__xludf.DUMMYFUNCTION("""COMPUTED_VALUE"""),7800000.0)</f>
        <v>7800000</v>
      </c>
      <c r="H399" s="16"/>
      <c r="I399" s="16"/>
      <c r="J399" s="16"/>
      <c r="K399" s="16"/>
      <c r="L399" s="16"/>
      <c r="M399" s="16"/>
      <c r="N399" s="16"/>
      <c r="O399" s="16"/>
      <c r="P399" s="16"/>
      <c r="Q399" s="16"/>
      <c r="R399" s="16"/>
      <c r="S399" s="16"/>
      <c r="T399" s="16"/>
      <c r="U399" s="16"/>
      <c r="V399" s="16"/>
      <c r="W399" s="16"/>
      <c r="X399" s="16"/>
      <c r="Y399" s="16"/>
      <c r="Z399" s="16"/>
    </row>
    <row r="400">
      <c r="A400" s="16" t="str">
        <f>IFERROR(__xludf.DUMMYFUNCTION("""COMPUTED_VALUE"""),"Sweltering Greaves")</f>
        <v>Sweltering Greaves</v>
      </c>
      <c r="B400" s="16"/>
      <c r="C400" s="16"/>
      <c r="D400" s="16" t="str">
        <f>IFERROR(__xludf.DUMMYFUNCTION("""COMPUTED_VALUE"""),"Legs")</f>
        <v>Legs</v>
      </c>
      <c r="E400" s="16">
        <f>IFERROR(__xludf.DUMMYFUNCTION("""COMPUTED_VALUE"""),400.0)</f>
        <v>400</v>
      </c>
      <c r="F400" s="16" t="str">
        <f>IFERROR(__xludf.DUMMYFUNCTION("""COMPUTED_VALUE"""),"DEF: +5000, Fire DEF: +5000, Water DEF: +5000, Nature DEF: +5000 (Sweltering Set) ++X2 Nature, Water, and Fire Damage.")</f>
        <v>DEF: +5000, Fire DEF: +5000, Water DEF: +5000, Nature DEF: +5000 (Sweltering Set) ++X2 Nature, Water, and Fire Damage.</v>
      </c>
      <c r="G400" s="16">
        <f>IFERROR(__xludf.DUMMYFUNCTION("""COMPUTED_VALUE"""),7800000.0)</f>
        <v>7800000</v>
      </c>
      <c r="H400" s="16"/>
      <c r="I400" s="16"/>
      <c r="J400" s="16"/>
      <c r="K400" s="16"/>
      <c r="L400" s="16"/>
      <c r="M400" s="16"/>
      <c r="N400" s="16"/>
      <c r="O400" s="16"/>
      <c r="P400" s="16"/>
      <c r="Q400" s="16"/>
      <c r="R400" s="16"/>
      <c r="S400" s="16"/>
      <c r="T400" s="16"/>
      <c r="U400" s="16"/>
      <c r="V400" s="16"/>
      <c r="W400" s="16"/>
      <c r="X400" s="16"/>
      <c r="Y400" s="16"/>
      <c r="Z400" s="16"/>
    </row>
    <row r="401">
      <c r="A401" s="16" t="str">
        <f>IFERROR(__xludf.DUMMYFUNCTION("""COMPUTED_VALUE"""),"Sweltering Boots")</f>
        <v>Sweltering Boots</v>
      </c>
      <c r="B401" s="16"/>
      <c r="C401" s="16"/>
      <c r="D401" s="16" t="str">
        <f>IFERROR(__xludf.DUMMYFUNCTION("""COMPUTED_VALUE"""),"Feet")</f>
        <v>Feet</v>
      </c>
      <c r="E401" s="16">
        <f>IFERROR(__xludf.DUMMYFUNCTION("""COMPUTED_VALUE"""),400.0)</f>
        <v>400</v>
      </c>
      <c r="F401" s="16" t="str">
        <f>IFERROR(__xludf.DUMMYFUNCTION("""COMPUTED_VALUE"""),"DEF: +5000, Fire DEF: +5000, Water DEF: +5000, Nature DEF: +5000 (Sweltering Set) ++X2 Nature, Water, and Fire Damage.")</f>
        <v>DEF: +5000, Fire DEF: +5000, Water DEF: +5000, Nature DEF: +5000 (Sweltering Set) ++X2 Nature, Water, and Fire Damage.</v>
      </c>
      <c r="G401" s="16">
        <f>IFERROR(__xludf.DUMMYFUNCTION("""COMPUTED_VALUE"""),7800000.0)</f>
        <v>7800000</v>
      </c>
      <c r="H401" s="16"/>
      <c r="I401" s="16"/>
      <c r="J401" s="16"/>
      <c r="K401" s="16"/>
      <c r="L401" s="16"/>
      <c r="M401" s="16"/>
      <c r="N401" s="16"/>
      <c r="O401" s="16"/>
      <c r="P401" s="16"/>
      <c r="Q401" s="16"/>
      <c r="R401" s="16"/>
      <c r="S401" s="16"/>
      <c r="T401" s="16"/>
      <c r="U401" s="16"/>
      <c r="V401" s="16"/>
      <c r="W401" s="16"/>
      <c r="X401" s="16"/>
      <c r="Y401" s="16"/>
      <c r="Z401" s="16"/>
    </row>
    <row r="402">
      <c r="A402" s="16" t="str">
        <f>IFERROR(__xludf.DUMMYFUNCTION("""COMPUTED_VALUE"""),"Sweltering Pendent")</f>
        <v>Sweltering Pendent</v>
      </c>
      <c r="B402" s="16"/>
      <c r="C402" s="16"/>
      <c r="D402" s="16" t="str">
        <f>IFERROR(__xludf.DUMMYFUNCTION("""COMPUTED_VALUE"""),"Neck")</f>
        <v>Neck</v>
      </c>
      <c r="E402" s="16">
        <f>IFERROR(__xludf.DUMMYFUNCTION("""COMPUTED_VALUE"""),1.0)</f>
        <v>1</v>
      </c>
      <c r="F402" s="16" t="str">
        <f>IFERROR(__xludf.DUMMYFUNCTION("""COMPUTED_VALUE""")," (Sweltering Set) ++Fire, Nature, and Water immunity.")</f>
        <v> (Sweltering Set) ++Fire, Nature, and Water immunity.</v>
      </c>
      <c r="G402" s="16">
        <f>IFERROR(__xludf.DUMMYFUNCTION("""COMPUTED_VALUE"""),0.0)</f>
        <v>0</v>
      </c>
      <c r="H402" s="16"/>
      <c r="I402" s="16"/>
      <c r="J402" s="16"/>
      <c r="K402" s="16"/>
      <c r="L402" s="16"/>
      <c r="M402" s="16"/>
      <c r="N402" s="16"/>
      <c r="O402" s="16"/>
      <c r="P402" s="16"/>
      <c r="Q402" s="16"/>
      <c r="R402" s="16"/>
      <c r="S402" s="16"/>
      <c r="T402" s="16"/>
      <c r="U402" s="16"/>
      <c r="V402" s="16"/>
      <c r="W402" s="16"/>
      <c r="X402" s="16"/>
      <c r="Y402" s="16"/>
      <c r="Z402" s="16"/>
    </row>
    <row r="403">
      <c r="A403" s="16" t="str">
        <f>IFERROR(__xludf.DUMMYFUNCTION("""COMPUTED_VALUE"""),"Sweltering Ring")</f>
        <v>Sweltering Ring</v>
      </c>
      <c r="B403" s="16"/>
      <c r="C403" s="16"/>
      <c r="D403" s="16" t="str">
        <f>IFERROR(__xludf.DUMMYFUNCTION("""COMPUTED_VALUE"""),"Ring")</f>
        <v>Ring</v>
      </c>
      <c r="E403" s="16">
        <f>IFERROR(__xludf.DUMMYFUNCTION("""COMPUTED_VALUE"""),1.0)</f>
        <v>1</v>
      </c>
      <c r="F403" s="16" t="str">
        <f>IFERROR(__xludf.DUMMYFUNCTION("""COMPUTED_VALUE""")," (Sweltering Set) ++Fire, Nature, and Water immunity.")</f>
        <v> (Sweltering Set) ++Fire, Nature, and Water immunity.</v>
      </c>
      <c r="G403" s="16">
        <f>IFERROR(__xludf.DUMMYFUNCTION("""COMPUTED_VALUE"""),0.0)</f>
        <v>0</v>
      </c>
      <c r="H403" s="16"/>
      <c r="I403" s="16"/>
      <c r="J403" s="16"/>
      <c r="K403" s="16"/>
      <c r="L403" s="16"/>
      <c r="M403" s="16"/>
      <c r="N403" s="16"/>
      <c r="O403" s="16"/>
      <c r="P403" s="16"/>
      <c r="Q403" s="16"/>
      <c r="R403" s="16"/>
      <c r="S403" s="16"/>
      <c r="T403" s="16"/>
      <c r="U403" s="16"/>
      <c r="V403" s="16"/>
      <c r="W403" s="16"/>
      <c r="X403" s="16"/>
      <c r="Y403" s="16"/>
      <c r="Z403" s="16"/>
    </row>
    <row r="404">
      <c r="A404" s="16" t="str">
        <f>IFERROR(__xludf.DUMMYFUNCTION("""COMPUTED_VALUE"""),"Reinforced Tortoise Shell")</f>
        <v>Reinforced Tortoise Shell</v>
      </c>
      <c r="B404" s="16"/>
      <c r="C404" s="16"/>
      <c r="D404" s="16" t="str">
        <f>IFERROR(__xludf.DUMMYFUNCTION("""COMPUTED_VALUE"""),"Torso")</f>
        <v>Torso</v>
      </c>
      <c r="E404" s="16">
        <f>IFERROR(__xludf.DUMMYFUNCTION("""COMPUTED_VALUE"""),400.0)</f>
        <v>400</v>
      </c>
      <c r="F404" s="16" t="str">
        <f>IFERROR(__xludf.DUMMYFUNCTION("""COMPUTED_VALUE"""),"DEF: +10000, Water DEF: +5000, Light DEF: +5000 ++X2 Defense for the wearer. +-Cannot be Duplicated.")</f>
        <v>DEF: +10000, Water DEF: +5000, Light DEF: +5000 ++X2 Defense for the wearer. +-Cannot be Duplicated.</v>
      </c>
      <c r="G404" s="16">
        <f>IFERROR(__xludf.DUMMYFUNCTION("""COMPUTED_VALUE"""),7800000.0)</f>
        <v>7800000</v>
      </c>
      <c r="H404" s="16"/>
      <c r="I404" s="16"/>
      <c r="J404" s="16"/>
      <c r="K404" s="16"/>
      <c r="L404" s="16"/>
      <c r="M404" s="16"/>
      <c r="N404" s="16"/>
      <c r="O404" s="16"/>
      <c r="P404" s="16"/>
      <c r="Q404" s="16"/>
      <c r="R404" s="16"/>
      <c r="S404" s="16"/>
      <c r="T404" s="16"/>
      <c r="U404" s="16"/>
      <c r="V404" s="16"/>
      <c r="W404" s="16"/>
      <c r="X404" s="16"/>
      <c r="Y404" s="16"/>
      <c r="Z404" s="16"/>
    </row>
    <row r="405">
      <c r="A405" s="16" t="str">
        <f>IFERROR(__xludf.DUMMYFUNCTION("""COMPUTED_VALUE"""),"Tortoise Shell Shield")</f>
        <v>Tortoise Shell Shield</v>
      </c>
      <c r="B405" s="16"/>
      <c r="C405" s="16" t="str">
        <f>IFERROR(__xludf.DUMMYFUNCTION("""COMPUTED_VALUE"""),"Towershield")</f>
        <v>Towershield</v>
      </c>
      <c r="D405" s="16" t="str">
        <f>IFERROR(__xludf.DUMMYFUNCTION("""COMPUTED_VALUE"""),"Hand")</f>
        <v>Hand</v>
      </c>
      <c r="E405" s="16">
        <f>IFERROR(__xludf.DUMMYFUNCTION("""COMPUTED_VALUE"""),400.0)</f>
        <v>400</v>
      </c>
      <c r="F405" s="16" t="str">
        <f>IFERROR(__xludf.DUMMYFUNCTION("""COMPUTED_VALUE"""),"DEF: +20000 ++X2 Defense for the wearer. +-Cannot be Duplicated.")</f>
        <v>DEF: +20000 ++X2 Defense for the wearer. +-Cannot be Duplicated.</v>
      </c>
      <c r="G405" s="16">
        <f>IFERROR(__xludf.DUMMYFUNCTION("""COMPUTED_VALUE"""),7800000.0)</f>
        <v>7800000</v>
      </c>
      <c r="H405" s="16"/>
      <c r="I405" s="16"/>
      <c r="J405" s="16"/>
      <c r="K405" s="16"/>
      <c r="L405" s="16"/>
      <c r="M405" s="16"/>
      <c r="N405" s="16"/>
      <c r="O405" s="16"/>
      <c r="P405" s="16"/>
      <c r="Q405" s="16"/>
      <c r="R405" s="16"/>
      <c r="S405" s="16"/>
      <c r="T405" s="16"/>
      <c r="U405" s="16"/>
      <c r="V405" s="16"/>
      <c r="W405" s="16"/>
      <c r="X405" s="16"/>
      <c r="Y405" s="16"/>
      <c r="Z405" s="16"/>
    </row>
    <row r="406">
      <c r="A406" s="16" t="str">
        <f>IFERROR(__xludf.DUMMYFUNCTION("""COMPUTED_VALUE"""),"Stone of the Summit")</f>
        <v>Stone of the Summit</v>
      </c>
      <c r="B406" s="16"/>
      <c r="C406" s="16"/>
      <c r="D406" s="16" t="str">
        <f>IFERROR(__xludf.DUMMYFUNCTION("""COMPUTED_VALUE"""),"Hand")</f>
        <v>Hand</v>
      </c>
      <c r="E406" s="16">
        <f>IFERROR(__xludf.DUMMYFUNCTION("""COMPUTED_VALUE"""),1.0)</f>
        <v>1</v>
      </c>
      <c r="F406" s="16" t="str">
        <f>IFERROR(__xludf.DUMMYFUNCTION("""COMPUTED_VALUE""")," ++X2 additional damage towards weapons for the user.")</f>
        <v> ++X2 additional damage towards weapons for the user.</v>
      </c>
      <c r="G406" s="16">
        <f>IFERROR(__xludf.DUMMYFUNCTION("""COMPUTED_VALUE"""),0.0)</f>
        <v>0</v>
      </c>
      <c r="H406" s="16"/>
      <c r="I406" s="16"/>
      <c r="J406" s="16"/>
      <c r="K406" s="16"/>
      <c r="L406" s="16"/>
      <c r="M406" s="16"/>
      <c r="N406" s="16"/>
      <c r="O406" s="16"/>
      <c r="P406" s="16"/>
      <c r="Q406" s="16"/>
      <c r="R406" s="16"/>
      <c r="S406" s="16"/>
      <c r="T406" s="16"/>
      <c r="U406" s="16"/>
      <c r="V406" s="16"/>
      <c r="W406" s="16"/>
      <c r="X406" s="16"/>
      <c r="Y406" s="16"/>
      <c r="Z406" s="16"/>
    </row>
    <row r="407">
      <c r="A407" s="16" t="str">
        <f>IFERROR(__xludf.DUMMYFUNCTION("""COMPUTED_VALUE"""),"Deep Blue Pearl")</f>
        <v>Deep Blue Pearl</v>
      </c>
      <c r="B407" s="16" t="str">
        <f>IFERROR(__xludf.DUMMYFUNCTION("""COMPUTED_VALUE"""),"A rare pearl found deep within the ocean of Dragonscale Island.")</f>
        <v>A rare pearl found deep within the ocean of Dragonscale Island.</v>
      </c>
      <c r="C407" s="16"/>
      <c r="D407" s="16" t="str">
        <f>IFERROR(__xludf.DUMMYFUNCTION("""COMPUTED_VALUE"""),"Hand")</f>
        <v>Hand</v>
      </c>
      <c r="E407" s="16">
        <f>IFERROR(__xludf.DUMMYFUNCTION("""COMPUTED_VALUE"""),200.0)</f>
        <v>200</v>
      </c>
      <c r="F407" s="16" t="str">
        <f>IFERROR(__xludf.DUMMYFUNCTION("""COMPUTED_VALUE"""),"DEF: +10000 ++Water Immunity. ++Water damage dealt by you gives you sp back equal half the damage caused.")</f>
        <v>DEF: +10000 ++Water Immunity. ++Water damage dealt by you gives you sp back equal half the damage caused.</v>
      </c>
      <c r="G407" s="16">
        <f>IFERROR(__xludf.DUMMYFUNCTION("""COMPUTED_VALUE"""),1900000.0)</f>
        <v>1900000</v>
      </c>
      <c r="H407" s="16"/>
      <c r="I407" s="16"/>
      <c r="J407" s="16"/>
      <c r="K407" s="16"/>
      <c r="L407" s="16"/>
      <c r="M407" s="16"/>
      <c r="N407" s="16"/>
      <c r="O407" s="16"/>
      <c r="P407" s="16"/>
      <c r="Q407" s="16"/>
      <c r="R407" s="16"/>
      <c r="S407" s="16"/>
      <c r="T407" s="16"/>
      <c r="U407" s="16"/>
      <c r="V407" s="16"/>
      <c r="W407" s="16"/>
      <c r="X407" s="16"/>
      <c r="Y407" s="16"/>
      <c r="Z407" s="16"/>
    </row>
    <row r="408">
      <c r="A408" s="16" t="str">
        <f>IFERROR(__xludf.DUMMYFUNCTION("""COMPUTED_VALUE"""),"Tempests Lightning Rod")</f>
        <v>Tempests Lightning Rod</v>
      </c>
      <c r="B408" s="16"/>
      <c r="C408" s="16" t="str">
        <f>IFERROR(__xludf.DUMMYFUNCTION("""COMPUTED_VALUE"""),"Spear")</f>
        <v>Spear</v>
      </c>
      <c r="D408" s="16" t="str">
        <f>IFERROR(__xludf.DUMMYFUNCTION("""COMPUTED_VALUE"""),"Hand")</f>
        <v>Hand</v>
      </c>
      <c r="E408" s="16">
        <f>IFERROR(__xludf.DUMMYFUNCTION("""COMPUTED_VALUE"""),600.0)</f>
        <v>600</v>
      </c>
      <c r="F408" s="16" t="str">
        <f>IFERROR(__xludf.DUMMYFUNCTION("""COMPUTED_VALUE"""),"DMG: +10000, Water DMG: +10000, Storm DMG: +10000 ++X4 additional Storm Damage for the user, ++You may attack up to 3 times with this weapon in 1 turn, Roll a d3 to determine how many attacks this weapon does.")</f>
        <v>DMG: +10000, Water DMG: +10000, Storm DMG: +10000 ++X4 additional Storm Damage for the user, ++You may attack up to 3 times with this weapon in 1 turn, Roll a d3 to determine how many attacks this weapon does.</v>
      </c>
      <c r="G408" s="16">
        <f>IFERROR(__xludf.DUMMYFUNCTION("""COMPUTED_VALUE"""),1.77E7)</f>
        <v>17700000</v>
      </c>
      <c r="H408" s="16"/>
      <c r="I408" s="16"/>
      <c r="J408" s="16"/>
      <c r="K408" s="16"/>
      <c r="L408" s="16"/>
      <c r="M408" s="16"/>
      <c r="N408" s="16"/>
      <c r="O408" s="16"/>
      <c r="P408" s="16"/>
      <c r="Q408" s="16"/>
      <c r="R408" s="16"/>
      <c r="S408" s="16"/>
      <c r="T408" s="16"/>
      <c r="U408" s="16"/>
      <c r="V408" s="16"/>
      <c r="W408" s="16"/>
      <c r="X408" s="16"/>
      <c r="Y408" s="16"/>
      <c r="Z408" s="16"/>
    </row>
    <row r="409">
      <c r="A409" s="16" t="str">
        <f>IFERROR(__xludf.DUMMYFUNCTION("""COMPUTED_VALUE"""),"Sword of Mystic Vagility")</f>
        <v>Sword of Mystic Vagility</v>
      </c>
      <c r="B409" s="16"/>
      <c r="C409" s="16" t="str">
        <f>IFERROR(__xludf.DUMMYFUNCTION("""COMPUTED_VALUE"""),"Sword")</f>
        <v>Sword</v>
      </c>
      <c r="D409" s="16" t="str">
        <f>IFERROR(__xludf.DUMMYFUNCTION("""COMPUTED_VALUE"""),"Hand")</f>
        <v>Hand</v>
      </c>
      <c r="E409" s="16">
        <f>IFERROR(__xludf.DUMMYFUNCTION("""COMPUTED_VALUE"""),200.0)</f>
        <v>200</v>
      </c>
      <c r="F409" s="16" t="str">
        <f>IFERROR(__xludf.DUMMYFUNCTION("""COMPUTED_VALUE"""),"DMG: +50000, Celestial DMG: +50000 ++5 to d20 rolls, ++2 Evasion, ++2 Mobility. +-Cannot be duplicated.")</f>
        <v>DMG: +50000, Celestial DMG: +50000 ++5 to d20 rolls, ++2 Evasion, ++2 Mobility. +-Cannot be duplicated.</v>
      </c>
      <c r="G409" s="16">
        <f>IFERROR(__xludf.DUMMYFUNCTION("""COMPUTED_VALUE"""),1.99E8)</f>
        <v>199000000</v>
      </c>
      <c r="H409" s="16"/>
      <c r="I409" s="16"/>
      <c r="J409" s="16"/>
      <c r="K409" s="16"/>
      <c r="L409" s="16"/>
      <c r="M409" s="16"/>
      <c r="N409" s="16"/>
      <c r="O409" s="16"/>
      <c r="P409" s="16"/>
      <c r="Q409" s="16"/>
      <c r="R409" s="16"/>
      <c r="S409" s="16"/>
      <c r="T409" s="16"/>
      <c r="U409" s="16"/>
      <c r="V409" s="16"/>
      <c r="W409" s="16"/>
      <c r="X409" s="16"/>
      <c r="Y409" s="16"/>
      <c r="Z409" s="16"/>
    </row>
    <row r="410">
      <c r="A410" s="16" t="str">
        <f>IFERROR(__xludf.DUMMYFUNCTION("""COMPUTED_VALUE"""),".50 Caliber Machine Gun (car)")</f>
        <v>.50 Caliber Machine Gun (car)</v>
      </c>
      <c r="B410" s="16"/>
      <c r="C410" s="16" t="str">
        <f>IFERROR(__xludf.DUMMYFUNCTION("""COMPUTED_VALUE"""),"Firearm")</f>
        <v>Firearm</v>
      </c>
      <c r="D410" s="16" t="str">
        <f>IFERROR(__xludf.DUMMYFUNCTION("""COMPUTED_VALUE"""),"CarGun")</f>
        <v>CarGun</v>
      </c>
      <c r="E410" s="16">
        <f>IFERROR(__xludf.DUMMYFUNCTION("""COMPUTED_VALUE"""),400.0)</f>
        <v>400</v>
      </c>
      <c r="F410" s="16" t="str">
        <f>IFERROR(__xludf.DUMMYFUNCTION("""COMPUTED_VALUE"""),"DMG: +20000 ++Roll a d500 to see how many bullets are used when you attack with this weapon. +-Uses bullets. ++Damages 2 targets. ++Cannot Avoid.")</f>
        <v>DMG: +20000 ++Roll a d500 to see how many bullets are used when you attack with this weapon. +-Uses bullets. ++Damages 2 targets. ++Cannot Avoid.</v>
      </c>
      <c r="G410" s="16">
        <f>IFERROR(__xludf.DUMMYFUNCTION("""COMPUTED_VALUE"""),7800000.0)</f>
        <v>7800000</v>
      </c>
      <c r="H410" s="16"/>
      <c r="I410" s="16"/>
      <c r="J410" s="16"/>
      <c r="K410" s="16"/>
      <c r="L410" s="16"/>
      <c r="M410" s="16"/>
      <c r="N410" s="16"/>
      <c r="O410" s="16"/>
      <c r="P410" s="16"/>
      <c r="Q410" s="16"/>
      <c r="R410" s="16"/>
      <c r="S410" s="16"/>
      <c r="T410" s="16"/>
      <c r="U410" s="16"/>
      <c r="V410" s="16"/>
      <c r="W410" s="16"/>
      <c r="X410" s="16"/>
      <c r="Y410" s="16"/>
      <c r="Z410" s="16"/>
    </row>
    <row r="411">
      <c r="A411" s="16" t="str">
        <f>IFERROR(__xludf.DUMMYFUNCTION("""COMPUTED_VALUE"""),"Auto Turret")</f>
        <v>Auto Turret</v>
      </c>
      <c r="B411" s="16"/>
      <c r="C411" s="16" t="str">
        <f>IFERROR(__xludf.DUMMYFUNCTION("""COMPUTED_VALUE"""),"Firearm")</f>
        <v>Firearm</v>
      </c>
      <c r="D411" s="16" t="str">
        <f>IFERROR(__xludf.DUMMYFUNCTION("""COMPUTED_VALUE"""),"CarGun")</f>
        <v>CarGun</v>
      </c>
      <c r="E411" s="16">
        <f>IFERROR(__xludf.DUMMYFUNCTION("""COMPUTED_VALUE"""),800.0)</f>
        <v>800</v>
      </c>
      <c r="F411" s="16" t="str">
        <f>IFERROR(__xludf.DUMMYFUNCTION("""COMPUTED_VALUE"""),"DMG: +40000 ++Does not take an action to use, Acts as if it has a turn order of its own. ++Has unlimited bullets. +-Uses bullets ++Roll a d1000 to see how many bullets are used. ++Damages all targets. ++Cannot avoid.")</f>
        <v>DMG: +40000 ++Does not take an action to use, Acts as if it has a turn order of its own. ++Has unlimited bullets. +-Uses bullets ++Roll a d1000 to see how many bullets are used. ++Damages all targets. ++Cannot avoid.</v>
      </c>
      <c r="G411" s="16">
        <f>IFERROR(__xludf.DUMMYFUNCTION("""COMPUTED_VALUE"""),3.16E7)</f>
        <v>31600000</v>
      </c>
      <c r="H411" s="16"/>
      <c r="I411" s="16"/>
      <c r="J411" s="16"/>
      <c r="K411" s="16"/>
      <c r="L411" s="16"/>
      <c r="M411" s="16"/>
      <c r="N411" s="16"/>
      <c r="O411" s="16"/>
      <c r="P411" s="16"/>
      <c r="Q411" s="16"/>
      <c r="R411" s="16"/>
      <c r="S411" s="16"/>
      <c r="T411" s="16"/>
      <c r="U411" s="16"/>
      <c r="V411" s="16"/>
      <c r="W411" s="16"/>
      <c r="X411" s="16"/>
      <c r="Y411" s="16"/>
      <c r="Z411" s="16"/>
    </row>
    <row r="412">
      <c r="A412" s="16" t="str">
        <f>IFERROR(__xludf.DUMMYFUNCTION("""COMPUTED_VALUE"""),"Lazer Infused Cannon")</f>
        <v>Lazer Infused Cannon</v>
      </c>
      <c r="B412" s="16"/>
      <c r="C412" s="16" t="str">
        <f>IFERROR(__xludf.DUMMYFUNCTION("""COMPUTED_VALUE"""),"Firearm")</f>
        <v>Firearm</v>
      </c>
      <c r="D412" s="16" t="str">
        <f>IFERROR(__xludf.DUMMYFUNCTION("""COMPUTED_VALUE"""),"BoatGun")</f>
        <v>BoatGun</v>
      </c>
      <c r="E412" s="16">
        <f>IFERROR(__xludf.DUMMYFUNCTION("""COMPUTED_VALUE"""),5000.0)</f>
        <v>5000</v>
      </c>
      <c r="F412" s="16" t="str">
        <f>IFERROR(__xludf.DUMMYFUNCTION("""COMPUTED_VALUE"""),", Fire DMG: +250000 ++Does not use Ammunition. ++Cannot avoid, ++Damages all enemies.")</f>
        <v>, Fire DMG: +250000 ++Does not use Ammunition. ++Cannot avoid, ++Damages all enemies.</v>
      </c>
      <c r="G412" s="16">
        <f>IFERROR(__xludf.DUMMYFUNCTION("""COMPUTED_VALUE"""),1.2475E9)</f>
        <v>1247500000</v>
      </c>
      <c r="H412" s="16"/>
      <c r="I412" s="16"/>
      <c r="J412" s="16"/>
      <c r="K412" s="16"/>
      <c r="L412" s="16"/>
      <c r="M412" s="16"/>
      <c r="N412" s="16"/>
      <c r="O412" s="16"/>
      <c r="P412" s="16"/>
      <c r="Q412" s="16"/>
      <c r="R412" s="16"/>
      <c r="S412" s="16"/>
      <c r="T412" s="16"/>
      <c r="U412" s="16"/>
      <c r="V412" s="16"/>
      <c r="W412" s="16"/>
      <c r="X412" s="16"/>
      <c r="Y412" s="16"/>
      <c r="Z412" s="16"/>
    </row>
    <row r="413">
      <c r="A413" s="16" t="str">
        <f>IFERROR(__xludf.DUMMYFUNCTION("""COMPUTED_VALUE"""),"Roof Mounted Turret")</f>
        <v>Roof Mounted Turret</v>
      </c>
      <c r="B413" s="16"/>
      <c r="C413" s="16" t="str">
        <f>IFERROR(__xludf.DUMMYFUNCTION("""COMPUTED_VALUE"""),"Firearm")</f>
        <v>Firearm</v>
      </c>
      <c r="D413" s="16" t="str">
        <f>IFERROR(__xludf.DUMMYFUNCTION("""COMPUTED_VALUE"""),"CarGun")</f>
        <v>CarGun</v>
      </c>
      <c r="E413" s="16">
        <f>IFERROR(__xludf.DUMMYFUNCTION("""COMPUTED_VALUE"""),500.0)</f>
        <v>500</v>
      </c>
      <c r="F413" s="16" t="str">
        <f>IFERROR(__xludf.DUMMYFUNCTION("""COMPUTED_VALUE"""),"DMG: +25000 ++Roll a d500 to see how many bullets are used when you attack with this weapon. +-Uses bullets ++Damages up to 2 targets.")</f>
        <v>DMG: +25000 ++Roll a d500 to see how many bullets are used when you attack with this weapon. +-Uses bullets ++Damages up to 2 targets.</v>
      </c>
      <c r="G413" s="16">
        <f>IFERROR(__xludf.DUMMYFUNCTION("""COMPUTED_VALUE"""),1.225E7)</f>
        <v>12250000</v>
      </c>
      <c r="H413" s="16"/>
      <c r="I413" s="16"/>
      <c r="J413" s="16"/>
      <c r="K413" s="16"/>
      <c r="L413" s="16"/>
      <c r="M413" s="16"/>
      <c r="N413" s="16"/>
      <c r="O413" s="16"/>
      <c r="P413" s="16"/>
      <c r="Q413" s="16"/>
      <c r="R413" s="16"/>
      <c r="S413" s="16"/>
      <c r="T413" s="16"/>
      <c r="U413" s="16"/>
      <c r="V413" s="16"/>
      <c r="W413" s="16"/>
      <c r="X413" s="16"/>
      <c r="Y413" s="16"/>
      <c r="Z413" s="16"/>
    </row>
    <row r="414">
      <c r="A414" s="16" t="str">
        <f>IFERROR(__xludf.DUMMYFUNCTION("""COMPUTED_VALUE"""),".50 Caliber Machine Gun (boat)")</f>
        <v>.50 Caliber Machine Gun (boat)</v>
      </c>
      <c r="B414" s="16"/>
      <c r="C414" s="16" t="str">
        <f>IFERROR(__xludf.DUMMYFUNCTION("""COMPUTED_VALUE"""),"Firearm")</f>
        <v>Firearm</v>
      </c>
      <c r="D414" s="16" t="str">
        <f>IFERROR(__xludf.DUMMYFUNCTION("""COMPUTED_VALUE"""),"BoatGun")</f>
        <v>BoatGun</v>
      </c>
      <c r="E414" s="16">
        <f>IFERROR(__xludf.DUMMYFUNCTION("""COMPUTED_VALUE"""),500.0)</f>
        <v>500</v>
      </c>
      <c r="F414" s="16" t="str">
        <f>IFERROR(__xludf.DUMMYFUNCTION("""COMPUTED_VALUE"""),"DMG: +25000 ++Roll a d500 to see how many bullets are used when you attack with this weapon. +-Uses bullets")</f>
        <v>DMG: +25000 ++Roll a d500 to see how many bullets are used when you attack with this weapon. +-Uses bullets</v>
      </c>
      <c r="G414" s="16">
        <f>IFERROR(__xludf.DUMMYFUNCTION("""COMPUTED_VALUE"""),1.225E7)</f>
        <v>12250000</v>
      </c>
      <c r="H414" s="16"/>
      <c r="I414" s="16"/>
      <c r="J414" s="16"/>
      <c r="K414" s="16"/>
      <c r="L414" s="16"/>
      <c r="M414" s="16"/>
      <c r="N414" s="16"/>
      <c r="O414" s="16"/>
      <c r="P414" s="16"/>
      <c r="Q414" s="16"/>
      <c r="R414" s="16"/>
      <c r="S414" s="16"/>
      <c r="T414" s="16"/>
      <c r="U414" s="16"/>
      <c r="V414" s="16"/>
      <c r="W414" s="16"/>
      <c r="X414" s="16"/>
      <c r="Y414" s="16"/>
      <c r="Z414" s="16"/>
    </row>
    <row r="415">
      <c r="A415" s="16" t="str">
        <f>IFERROR(__xludf.DUMMYFUNCTION("""COMPUTED_VALUE"""),"Missile Turret (car)")</f>
        <v>Missile Turret (car)</v>
      </c>
      <c r="B415" s="16"/>
      <c r="C415" s="16" t="str">
        <f>IFERROR(__xludf.DUMMYFUNCTION("""COMPUTED_VALUE"""),"Firearm")</f>
        <v>Firearm</v>
      </c>
      <c r="D415" s="16" t="str">
        <f>IFERROR(__xludf.DUMMYFUNCTION("""COMPUTED_VALUE"""),"CarGun")</f>
        <v>CarGun</v>
      </c>
      <c r="E415" s="16">
        <f>IFERROR(__xludf.DUMMYFUNCTION("""COMPUTED_VALUE"""),2000.0)</f>
        <v>2000</v>
      </c>
      <c r="F415" s="16" t="str">
        <f>IFERROR(__xludf.DUMMYFUNCTION("""COMPUTED_VALUE"""),"DMG: +50000, Fire DMG: +50000 ++Damages all enemies. +-Uses Missiles.")</f>
        <v>DMG: +50000, Fire DMG: +50000 ++Damages all enemies. +-Uses Missiles.</v>
      </c>
      <c r="G415" s="16">
        <f>IFERROR(__xludf.DUMMYFUNCTION("""COMPUTED_VALUE"""),1.99E8)</f>
        <v>199000000</v>
      </c>
      <c r="H415" s="16"/>
      <c r="I415" s="16"/>
      <c r="J415" s="16"/>
      <c r="K415" s="16"/>
      <c r="L415" s="16"/>
      <c r="M415" s="16"/>
      <c r="N415" s="16"/>
      <c r="O415" s="16"/>
      <c r="P415" s="16"/>
      <c r="Q415" s="16"/>
      <c r="R415" s="16"/>
      <c r="S415" s="16"/>
      <c r="T415" s="16"/>
      <c r="U415" s="16"/>
      <c r="V415" s="16"/>
      <c r="W415" s="16"/>
      <c r="X415" s="16"/>
      <c r="Y415" s="16"/>
      <c r="Z415" s="16"/>
    </row>
    <row r="416">
      <c r="A416" s="16" t="str">
        <f>IFERROR(__xludf.DUMMYFUNCTION("""COMPUTED_VALUE"""),"Missile Turret (boat)")</f>
        <v>Missile Turret (boat)</v>
      </c>
      <c r="B416" s="16"/>
      <c r="C416" s="16" t="str">
        <f>IFERROR(__xludf.DUMMYFUNCTION("""COMPUTED_VALUE"""),"Firearm")</f>
        <v>Firearm</v>
      </c>
      <c r="D416" s="16" t="str">
        <f>IFERROR(__xludf.DUMMYFUNCTION("""COMPUTED_VALUE"""),"BoatGun")</f>
        <v>BoatGun</v>
      </c>
      <c r="E416" s="16">
        <f>IFERROR(__xludf.DUMMYFUNCTION("""COMPUTED_VALUE"""),2000.0)</f>
        <v>2000</v>
      </c>
      <c r="F416" s="16" t="str">
        <f>IFERROR(__xludf.DUMMYFUNCTION("""COMPUTED_VALUE"""),"DMG: +50000, Fire DMG: +50000 ++Damages all enemies. +-Uses Missiles.")</f>
        <v>DMG: +50000, Fire DMG: +50000 ++Damages all enemies. +-Uses Missiles.</v>
      </c>
      <c r="G416" s="16">
        <f>IFERROR(__xludf.DUMMYFUNCTION("""COMPUTED_VALUE"""),1.99E8)</f>
        <v>199000000</v>
      </c>
      <c r="H416" s="16"/>
      <c r="I416" s="16"/>
      <c r="J416" s="16"/>
      <c r="K416" s="16"/>
      <c r="L416" s="16"/>
      <c r="M416" s="16"/>
      <c r="N416" s="16"/>
      <c r="O416" s="16"/>
      <c r="P416" s="16"/>
      <c r="Q416" s="16"/>
      <c r="R416" s="16"/>
      <c r="S416" s="16"/>
      <c r="T416" s="16"/>
      <c r="U416" s="16"/>
      <c r="V416" s="16"/>
      <c r="W416" s="16"/>
      <c r="X416" s="16"/>
      <c r="Y416" s="16"/>
      <c r="Z416" s="16"/>
    </row>
    <row r="417">
      <c r="A417" s="16" t="str">
        <f>IFERROR(__xludf.DUMMYFUNCTION("""COMPUTED_VALUE"""),"Royal Sword of Dragonia")</f>
        <v>Royal Sword of Dragonia</v>
      </c>
      <c r="B417" s="16"/>
      <c r="C417" s="16" t="str">
        <f>IFERROR(__xludf.DUMMYFUNCTION("""COMPUTED_VALUE"""),"Sword")</f>
        <v>Sword</v>
      </c>
      <c r="D417" s="16" t="str">
        <f>IFERROR(__xludf.DUMMYFUNCTION("""COMPUTED_VALUE"""),"Hand")</f>
        <v>Hand</v>
      </c>
      <c r="E417" s="16">
        <f>IFERROR(__xludf.DUMMYFUNCTION("""COMPUTED_VALUE"""),200.0)</f>
        <v>200</v>
      </c>
      <c r="F417" s="16" t="str">
        <f>IFERROR(__xludf.DUMMYFUNCTION("""COMPUTED_VALUE"""),"DMG: +50000, Fire DMG: +50000, Order DMG: +50000, Blood DMG: +25000, Celestial DMG: +25000 ++Dragons Luck II: If you have a dragon companion with you during the current battle add ++5 to your turn order roll. +-Cannot be forged +-Cannot be duplicated")</f>
        <v>DMG: +50000, Fire DMG: +50000, Order DMG: +50000, Blood DMG: +25000, Celestial DMG: +25000 ++Dragons Luck II: If you have a dragon companion with you during the current battle add ++5 to your turn order roll. +-Cannot be forged +-Cannot be duplicated</v>
      </c>
      <c r="G417" s="16">
        <f>IFERROR(__xludf.DUMMYFUNCTION("""COMPUTED_VALUE"""),7.98E8)</f>
        <v>798000000</v>
      </c>
      <c r="H417" s="16"/>
      <c r="I417" s="16"/>
      <c r="J417" s="16"/>
      <c r="K417" s="16"/>
      <c r="L417" s="16"/>
      <c r="M417" s="16"/>
      <c r="N417" s="16"/>
      <c r="O417" s="16"/>
      <c r="P417" s="16"/>
      <c r="Q417" s="16"/>
      <c r="R417" s="16"/>
      <c r="S417" s="16"/>
      <c r="T417" s="16"/>
      <c r="U417" s="16"/>
      <c r="V417" s="16"/>
      <c r="W417" s="16"/>
      <c r="X417" s="16"/>
      <c r="Y417" s="16"/>
      <c r="Z417" s="16"/>
    </row>
    <row r="418">
      <c r="A418" s="16" t="str">
        <f>IFERROR(__xludf.DUMMYFUNCTION("""COMPUTED_VALUE"""),"Dragonian Helm")</f>
        <v>Dragonian Helm</v>
      </c>
      <c r="B418" s="16"/>
      <c r="C418" s="16" t="str">
        <f>IFERROR(__xludf.DUMMYFUNCTION("""COMPUTED_VALUE"""),"Sword")</f>
        <v>Sword</v>
      </c>
      <c r="D418" s="16" t="str">
        <f>IFERROR(__xludf.DUMMYFUNCTION("""COMPUTED_VALUE"""),"Head")</f>
        <v>Head</v>
      </c>
      <c r="E418" s="16">
        <f>IFERROR(__xludf.DUMMYFUNCTION("""COMPUTED_VALUE"""),200.0)</f>
        <v>200</v>
      </c>
      <c r="F418"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18" s="16">
        <f>IFERROR(__xludf.DUMMYFUNCTION("""COMPUTED_VALUE"""),7.98E8)</f>
        <v>798000000</v>
      </c>
      <c r="H418" s="16"/>
      <c r="I418" s="16"/>
      <c r="J418" s="16"/>
      <c r="K418" s="16"/>
      <c r="L418" s="16"/>
      <c r="M418" s="16"/>
      <c r="N418" s="16"/>
      <c r="O418" s="16"/>
      <c r="P418" s="16"/>
      <c r="Q418" s="16"/>
      <c r="R418" s="16"/>
      <c r="S418" s="16"/>
      <c r="T418" s="16"/>
      <c r="U418" s="16"/>
      <c r="V418" s="16"/>
      <c r="W418" s="16"/>
      <c r="X418" s="16"/>
      <c r="Y418" s="16"/>
      <c r="Z418" s="16"/>
    </row>
    <row r="419">
      <c r="A419" s="16" t="str">
        <f>IFERROR(__xludf.DUMMYFUNCTION("""COMPUTED_VALUE"""),"Dragonian Pauldrons")</f>
        <v>Dragonian Pauldrons</v>
      </c>
      <c r="B419" s="16"/>
      <c r="C419" s="16"/>
      <c r="D419" s="16" t="str">
        <f>IFERROR(__xludf.DUMMYFUNCTION("""COMPUTED_VALUE"""),"Shoulders")</f>
        <v>Shoulders</v>
      </c>
      <c r="E419" s="16">
        <f>IFERROR(__xludf.DUMMYFUNCTION("""COMPUTED_VALUE"""),200.0)</f>
        <v>200</v>
      </c>
      <c r="F419"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19" s="16">
        <f>IFERROR(__xludf.DUMMYFUNCTION("""COMPUTED_VALUE"""),7.98E8)</f>
        <v>798000000</v>
      </c>
      <c r="H419" s="16"/>
      <c r="I419" s="16"/>
      <c r="J419" s="16"/>
      <c r="K419" s="16"/>
      <c r="L419" s="16"/>
      <c r="M419" s="16"/>
      <c r="N419" s="16"/>
      <c r="O419" s="16"/>
      <c r="P419" s="16"/>
      <c r="Q419" s="16"/>
      <c r="R419" s="16"/>
      <c r="S419" s="16"/>
      <c r="T419" s="16"/>
      <c r="U419" s="16"/>
      <c r="V419" s="16"/>
      <c r="W419" s="16"/>
      <c r="X419" s="16"/>
      <c r="Y419" s="16"/>
      <c r="Z419" s="16"/>
    </row>
    <row r="420">
      <c r="A420" s="16" t="str">
        <f>IFERROR(__xludf.DUMMYFUNCTION("""COMPUTED_VALUE"""),"Dragonian Chestplate")</f>
        <v>Dragonian Chestplate</v>
      </c>
      <c r="B420" s="16"/>
      <c r="C420" s="16"/>
      <c r="D420" s="16" t="str">
        <f>IFERROR(__xludf.DUMMYFUNCTION("""COMPUTED_VALUE"""),"Torso")</f>
        <v>Torso</v>
      </c>
      <c r="E420" s="16">
        <f>IFERROR(__xludf.DUMMYFUNCTION("""COMPUTED_VALUE"""),200.0)</f>
        <v>200</v>
      </c>
      <c r="F420"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0" s="16">
        <f>IFERROR(__xludf.DUMMYFUNCTION("""COMPUTED_VALUE"""),7.98E8)</f>
        <v>798000000</v>
      </c>
      <c r="H420" s="16"/>
      <c r="I420" s="16"/>
      <c r="J420" s="16"/>
      <c r="K420" s="16"/>
      <c r="L420" s="16"/>
      <c r="M420" s="16"/>
      <c r="N420" s="16"/>
      <c r="O420" s="16"/>
      <c r="P420" s="16"/>
      <c r="Q420" s="16"/>
      <c r="R420" s="16"/>
      <c r="S420" s="16"/>
      <c r="T420" s="16"/>
      <c r="U420" s="16"/>
      <c r="V420" s="16"/>
      <c r="W420" s="16"/>
      <c r="X420" s="16"/>
      <c r="Y420" s="16"/>
      <c r="Z420" s="16"/>
    </row>
    <row r="421">
      <c r="A421" s="16" t="str">
        <f>IFERROR(__xludf.DUMMYFUNCTION("""COMPUTED_VALUE"""),"Dragonian Vambraces")</f>
        <v>Dragonian Vambraces</v>
      </c>
      <c r="B421" s="16"/>
      <c r="C421" s="16"/>
      <c r="D421" s="16" t="str">
        <f>IFERROR(__xludf.DUMMYFUNCTION("""COMPUTED_VALUE"""),"Arms")</f>
        <v>Arms</v>
      </c>
      <c r="E421" s="16">
        <f>IFERROR(__xludf.DUMMYFUNCTION("""COMPUTED_VALUE"""),200.0)</f>
        <v>200</v>
      </c>
      <c r="F421"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1" s="16">
        <f>IFERROR(__xludf.DUMMYFUNCTION("""COMPUTED_VALUE"""),7.98E8)</f>
        <v>798000000</v>
      </c>
      <c r="H421" s="16"/>
      <c r="I421" s="16"/>
      <c r="J421" s="16"/>
      <c r="K421" s="16"/>
      <c r="L421" s="16"/>
      <c r="M421" s="16"/>
      <c r="N421" s="16"/>
      <c r="O421" s="16"/>
      <c r="P421" s="16"/>
      <c r="Q421" s="16"/>
      <c r="R421" s="16"/>
      <c r="S421" s="16"/>
      <c r="T421" s="16"/>
      <c r="U421" s="16"/>
      <c r="V421" s="16"/>
      <c r="W421" s="16"/>
      <c r="X421" s="16"/>
      <c r="Y421" s="16"/>
      <c r="Z421" s="16"/>
    </row>
    <row r="422">
      <c r="A422" s="16" t="str">
        <f>IFERROR(__xludf.DUMMYFUNCTION("""COMPUTED_VALUE"""),"Dragonian Greaves")</f>
        <v>Dragonian Greaves</v>
      </c>
      <c r="B422" s="16"/>
      <c r="C422" s="16"/>
      <c r="D422" s="16" t="str">
        <f>IFERROR(__xludf.DUMMYFUNCTION("""COMPUTED_VALUE"""),"Legs")</f>
        <v>Legs</v>
      </c>
      <c r="E422" s="16">
        <f>IFERROR(__xludf.DUMMYFUNCTION("""COMPUTED_VALUE"""),200.0)</f>
        <v>200</v>
      </c>
      <c r="F422"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2" s="16">
        <f>IFERROR(__xludf.DUMMYFUNCTION("""COMPUTED_VALUE"""),7.98E8)</f>
        <v>798000000</v>
      </c>
      <c r="H422" s="16"/>
      <c r="I422" s="16"/>
      <c r="J422" s="16"/>
      <c r="K422" s="16"/>
      <c r="L422" s="16"/>
      <c r="M422" s="16"/>
      <c r="N422" s="16"/>
      <c r="O422" s="16"/>
      <c r="P422" s="16"/>
      <c r="Q422" s="16"/>
      <c r="R422" s="16"/>
      <c r="S422" s="16"/>
      <c r="T422" s="16"/>
      <c r="U422" s="16"/>
      <c r="V422" s="16"/>
      <c r="W422" s="16"/>
      <c r="X422" s="16"/>
      <c r="Y422" s="16"/>
      <c r="Z422" s="16"/>
    </row>
    <row r="423">
      <c r="A423" s="16" t="str">
        <f>IFERROR(__xludf.DUMMYFUNCTION("""COMPUTED_VALUE"""),"Dragonian Boots")</f>
        <v>Dragonian Boots</v>
      </c>
      <c r="B423" s="16"/>
      <c r="C423" s="16"/>
      <c r="D423" s="16" t="str">
        <f>IFERROR(__xludf.DUMMYFUNCTION("""COMPUTED_VALUE"""),"Feet")</f>
        <v>Feet</v>
      </c>
      <c r="E423" s="16">
        <f>IFERROR(__xludf.DUMMYFUNCTION("""COMPUTED_VALUE"""),200.0)</f>
        <v>200</v>
      </c>
      <c r="F423" s="16" t="str">
        <f>IFERROR(__xludf.DUMMYFUNCTION("""COMPUTED_VALUE"""),"DEF: +50000, Fire DEF: +50000, Order DEF: +50000, Blood DEF: +25000, Celestial DEF: +25000 ++Dragons Armor: Damage dealt to the wearer by a dragon becomes halved. +-Cannot be forged +-Cannot be duplicated")</f>
        <v>DEF: +50000, Fire DEF: +50000, Order DEF: +50000, Blood DEF: +25000, Celestial DEF: +25000 ++Dragons Armor: Damage dealt to the wearer by a dragon becomes halved. +-Cannot be forged +-Cannot be duplicated</v>
      </c>
      <c r="G423" s="16">
        <f>IFERROR(__xludf.DUMMYFUNCTION("""COMPUTED_VALUE"""),7.98E8)</f>
        <v>798000000</v>
      </c>
      <c r="H423" s="16"/>
      <c r="I423" s="16"/>
      <c r="J423" s="16"/>
      <c r="K423" s="16"/>
      <c r="L423" s="16"/>
      <c r="M423" s="16"/>
      <c r="N423" s="16"/>
      <c r="O423" s="16"/>
      <c r="P423" s="16"/>
      <c r="Q423" s="16"/>
      <c r="R423" s="16"/>
      <c r="S423" s="16"/>
      <c r="T423" s="16"/>
      <c r="U423" s="16"/>
      <c r="V423" s="16"/>
      <c r="W423" s="16"/>
      <c r="X423" s="16"/>
      <c r="Y423" s="16"/>
      <c r="Z423" s="16"/>
    </row>
    <row r="424">
      <c r="A424" s="16" t="str">
        <f>IFERROR(__xludf.DUMMYFUNCTION("""COMPUTED_VALUE"""),"Dragonian Pendent")</f>
        <v>Dragonian Pendent</v>
      </c>
      <c r="B424" s="16"/>
      <c r="C424" s="16"/>
      <c r="D424" s="16" t="str">
        <f>IFERROR(__xludf.DUMMYFUNCTION("""COMPUTED_VALUE"""),"Neck")</f>
        <v>Neck</v>
      </c>
      <c r="E424" s="16">
        <f>IFERROR(__xludf.DUMMYFUNCTION("""COMPUTED_VALUE"""),200.0)</f>
        <v>200</v>
      </c>
      <c r="F424" s="16" t="str">
        <f>IFERROR(__xludf.DUMMYFUNCTION("""COMPUTED_VALUE"""),", Celestial DEF: +15000 ++Dragon Dealer: Damage dealt to dragons by the wearer is increased by X4. +-Cannot be forged +-Cannot be duplicated")</f>
        <v>, Celestial DEF: +15000 ++Dragon Dealer: Damage dealt to dragons by the wearer is increased by X4. +-Cannot be forged +-Cannot be duplicated</v>
      </c>
      <c r="G424" s="16">
        <f>IFERROR(__xludf.DUMMYFUNCTION("""COMPUTED_VALUE"""),4350000.0)</f>
        <v>4350000</v>
      </c>
      <c r="H424" s="16"/>
      <c r="I424" s="16"/>
      <c r="J424" s="16"/>
      <c r="K424" s="16"/>
      <c r="L424" s="16"/>
      <c r="M424" s="16"/>
      <c r="N424" s="16"/>
      <c r="O424" s="16"/>
      <c r="P424" s="16"/>
      <c r="Q424" s="16"/>
      <c r="R424" s="16"/>
      <c r="S424" s="16"/>
      <c r="T424" s="16"/>
      <c r="U424" s="16"/>
      <c r="V424" s="16"/>
      <c r="W424" s="16"/>
      <c r="X424" s="16"/>
      <c r="Y424" s="16"/>
      <c r="Z424" s="16"/>
    </row>
    <row r="425">
      <c r="A425" s="16" t="str">
        <f>IFERROR(__xludf.DUMMYFUNCTION("""COMPUTED_VALUE"""),"Dragonian Ring")</f>
        <v>Dragonian Ring</v>
      </c>
      <c r="B425" s="16"/>
      <c r="C425" s="16"/>
      <c r="D425" s="16" t="str">
        <f>IFERROR(__xludf.DUMMYFUNCTION("""COMPUTED_VALUE"""),"Ring")</f>
        <v>Ring</v>
      </c>
      <c r="E425" s="16">
        <f>IFERROR(__xludf.DUMMYFUNCTION("""COMPUTED_VALUE"""),200.0)</f>
        <v>200</v>
      </c>
      <c r="F425" s="16" t="str">
        <f>IFERROR(__xludf.DUMMYFUNCTION("""COMPUTED_VALUE"""),", Celestial DEF: +15000 ++Dragon Dealer: Damage dealt to dragons by the wearer is increased by X4. +-Cannot be forged +-Cannot be duplicated")</f>
        <v>, Celestial DEF: +15000 ++Dragon Dealer: Damage dealt to dragons by the wearer is increased by X4. +-Cannot be forged +-Cannot be duplicated</v>
      </c>
      <c r="G425" s="16">
        <f>IFERROR(__xludf.DUMMYFUNCTION("""COMPUTED_VALUE"""),4350000.0)</f>
        <v>4350000</v>
      </c>
      <c r="H425" s="16"/>
      <c r="I425" s="16"/>
      <c r="J425" s="16"/>
      <c r="K425" s="16"/>
      <c r="L425" s="16"/>
      <c r="M425" s="16"/>
      <c r="N425" s="16"/>
      <c r="O425" s="16"/>
      <c r="P425" s="16"/>
      <c r="Q425" s="16"/>
      <c r="R425" s="16"/>
      <c r="S425" s="16"/>
      <c r="T425" s="16"/>
      <c r="U425" s="16"/>
      <c r="V425" s="16"/>
      <c r="W425" s="16"/>
      <c r="X425" s="16"/>
      <c r="Y425" s="16"/>
      <c r="Z425" s="16"/>
    </row>
    <row r="426">
      <c r="A426" s="16" t="str">
        <f>IFERROR(__xludf.DUMMYFUNCTION("""COMPUTED_VALUE"""),"Fishing Pole of Luck and Power")</f>
        <v>Fishing Pole of Luck and Power</v>
      </c>
      <c r="B426" s="16"/>
      <c r="C426" s="16" t="str">
        <f>IFERROR(__xludf.DUMMYFUNCTION("""COMPUTED_VALUE"""),"Club")</f>
        <v>Club</v>
      </c>
      <c r="D426" s="16" t="str">
        <f>IFERROR(__xludf.DUMMYFUNCTION("""COMPUTED_VALUE"""),"Hand")</f>
        <v>Hand</v>
      </c>
      <c r="E426" s="16">
        <f>IFERROR(__xludf.DUMMYFUNCTION("""COMPUTED_VALUE"""),1600.0)</f>
        <v>1600</v>
      </c>
      <c r="F426" s="16" t="str">
        <f>IFERROR(__xludf.DUMMYFUNCTION("""COMPUTED_VALUE"""),"DMG: +20000, Fire DMG: +20000, Water DMG: +20000, Storm DMG: +20000 ++Can be used as a weapon or to fish, Will cook fish that are caught. ++When you deal damage to a target with this item it will have a 50% chance to remove them from battle.")</f>
        <v>DMG: +20000, Fire DMG: +20000, Water DMG: +20000, Storm DMG: +20000 ++Can be used as a weapon or to fish, Will cook fish that are caught. ++When you deal damage to a target with this item it will have a 50% chance to remove them from battle.</v>
      </c>
      <c r="G426" s="16">
        <f>IFERROR(__xludf.DUMMYFUNCTION("""COMPUTED_VALUE"""),1.272E8)</f>
        <v>127200000</v>
      </c>
      <c r="H426" s="16"/>
      <c r="I426" s="16"/>
      <c r="J426" s="16"/>
      <c r="K426" s="16"/>
      <c r="L426" s="16"/>
      <c r="M426" s="16"/>
      <c r="N426" s="16"/>
      <c r="O426" s="16"/>
      <c r="P426" s="16"/>
      <c r="Q426" s="16"/>
      <c r="R426" s="16"/>
      <c r="S426" s="16"/>
      <c r="T426" s="16"/>
      <c r="U426" s="16"/>
      <c r="V426" s="16"/>
      <c r="W426" s="16"/>
      <c r="X426" s="16"/>
      <c r="Y426" s="16"/>
      <c r="Z426" s="16"/>
    </row>
    <row r="427">
      <c r="A427" s="16" t="str">
        <f>IFERROR(__xludf.DUMMYFUNCTION("""COMPUTED_VALUE"""),"Ancient Oni Pauldrons")</f>
        <v>Ancient Oni Pauldrons</v>
      </c>
      <c r="B427" s="16" t="str">
        <f>IFERROR(__xludf.DUMMYFUNCTION("""COMPUTED_VALUE"""),"An ancient relic to Zhenmay")</f>
        <v>An ancient relic to Zhenmay</v>
      </c>
      <c r="C427" s="16"/>
      <c r="D427" s="16" t="str">
        <f>IFERROR(__xludf.DUMMYFUNCTION("""COMPUTED_VALUE"""),"Shoulders")</f>
        <v>Shoulders</v>
      </c>
      <c r="E427" s="16">
        <f>IFERROR(__xludf.DUMMYFUNCTION("""COMPUTED_VALUE"""),200.0)</f>
        <v>200</v>
      </c>
      <c r="F427"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damage for all elements. +-Only Samurai's, Monks, and Ninjas can equip. +-Cannot be forged +-Cannot be duplicated</v>
      </c>
      <c r="G427" s="16">
        <f>IFERROR(__xludf.DUMMYFUNCTION("""COMPUTED_VALUE"""),5.104E8)</f>
        <v>510400000</v>
      </c>
      <c r="H427" s="16"/>
      <c r="I427" s="16"/>
      <c r="J427" s="16"/>
      <c r="K427" s="16"/>
      <c r="L427" s="16"/>
      <c r="M427" s="16"/>
      <c r="N427" s="16"/>
      <c r="O427" s="16"/>
      <c r="P427" s="16"/>
      <c r="Q427" s="16"/>
      <c r="R427" s="16"/>
      <c r="S427" s="16"/>
      <c r="T427" s="16"/>
      <c r="U427" s="16"/>
      <c r="V427" s="16"/>
      <c r="W427" s="16"/>
      <c r="X427" s="16"/>
      <c r="Y427" s="16"/>
      <c r="Z427" s="16"/>
    </row>
    <row r="428">
      <c r="A428" s="16" t="str">
        <f>IFERROR(__xludf.DUMMYFUNCTION("""COMPUTED_VALUE"""),"Ancient Oni Vambraces")</f>
        <v>Ancient Oni Vambraces</v>
      </c>
      <c r="B428" s="16" t="str">
        <f>IFERROR(__xludf.DUMMYFUNCTION("""COMPUTED_VALUE"""),"An ancient relic to Zhenmay")</f>
        <v>An ancient relic to Zhenmay</v>
      </c>
      <c r="C428" s="16"/>
      <c r="D428" s="16" t="str">
        <f>IFERROR(__xludf.DUMMYFUNCTION("""COMPUTED_VALUE"""),"Arms")</f>
        <v>Arms</v>
      </c>
      <c r="E428" s="16">
        <f>IFERROR(__xludf.DUMMYFUNCTION("""COMPUTED_VALUE"""),200.0)</f>
        <v>200</v>
      </c>
      <c r="F428"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28" s="16">
        <f>IFERROR(__xludf.DUMMYFUNCTION("""COMPUTED_VALUE"""),5.104E8)</f>
        <v>510400000</v>
      </c>
      <c r="H428" s="16"/>
      <c r="I428" s="16"/>
      <c r="J428" s="16"/>
      <c r="K428" s="16"/>
      <c r="L428" s="16"/>
      <c r="M428" s="16"/>
      <c r="N428" s="16"/>
      <c r="O428" s="16"/>
      <c r="P428" s="16"/>
      <c r="Q428" s="16"/>
      <c r="R428" s="16"/>
      <c r="S428" s="16"/>
      <c r="T428" s="16"/>
      <c r="U428" s="16"/>
      <c r="V428" s="16"/>
      <c r="W428" s="16"/>
      <c r="X428" s="16"/>
      <c r="Y428" s="16"/>
      <c r="Z428" s="16"/>
    </row>
    <row r="429">
      <c r="A429" s="16" t="str">
        <f>IFERROR(__xludf.DUMMYFUNCTION("""COMPUTED_VALUE"""),"Ancient Oni Greaves")</f>
        <v>Ancient Oni Greaves</v>
      </c>
      <c r="B429" s="16" t="str">
        <f>IFERROR(__xludf.DUMMYFUNCTION("""COMPUTED_VALUE"""),"An ancient relic to Zhenmay")</f>
        <v>An ancient relic to Zhenmay</v>
      </c>
      <c r="C429" s="16"/>
      <c r="D429" s="16" t="str">
        <f>IFERROR(__xludf.DUMMYFUNCTION("""COMPUTED_VALUE"""),"Legs")</f>
        <v>Legs</v>
      </c>
      <c r="E429" s="16">
        <f>IFERROR(__xludf.DUMMYFUNCTION("""COMPUTED_VALUE"""),200.0)</f>
        <v>200</v>
      </c>
      <c r="F429"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29" s="16">
        <f>IFERROR(__xludf.DUMMYFUNCTION("""COMPUTED_VALUE"""),5.104E8)</f>
        <v>510400000</v>
      </c>
      <c r="H429" s="16"/>
      <c r="I429" s="16"/>
      <c r="J429" s="16"/>
      <c r="K429" s="16"/>
      <c r="L429" s="16"/>
      <c r="M429" s="16"/>
      <c r="N429" s="16"/>
      <c r="O429" s="16"/>
      <c r="P429" s="16"/>
      <c r="Q429" s="16"/>
      <c r="R429" s="16"/>
      <c r="S429" s="16"/>
      <c r="T429" s="16"/>
      <c r="U429" s="16"/>
      <c r="V429" s="16"/>
      <c r="W429" s="16"/>
      <c r="X429" s="16"/>
      <c r="Y429" s="16"/>
      <c r="Z429" s="16"/>
    </row>
    <row r="430">
      <c r="A430" s="16" t="str">
        <f>IFERROR(__xludf.DUMMYFUNCTION("""COMPUTED_VALUE"""),"Ancient Oni Boots")</f>
        <v>Ancient Oni Boots</v>
      </c>
      <c r="B430" s="16" t="str">
        <f>IFERROR(__xludf.DUMMYFUNCTION("""COMPUTED_VALUE"""),"An ancient relic to Zhenmay")</f>
        <v>An ancient relic to Zhenmay</v>
      </c>
      <c r="C430" s="16"/>
      <c r="D430" s="16" t="str">
        <f>IFERROR(__xludf.DUMMYFUNCTION("""COMPUTED_VALUE"""),"Feet")</f>
        <v>Feet</v>
      </c>
      <c r="E430" s="16">
        <f>IFERROR(__xludf.DUMMYFUNCTION("""COMPUTED_VALUE"""),200.0)</f>
        <v>200</v>
      </c>
      <c r="F430" s="16" t="str">
        <f>IFERROR(__xludf.DUMMYFUNCTION("""COMPUTED_VALUE"""),"DEF: +10000, Fire DEF: +10000, Physical DEF: +10000, Water DEF: +10000, Storm DEF: +10000, Earth DEF: +10000, Light DEF: +10000, Dark DEF: +10000, Spirit DEF: +10000, Order DEF: +10000, Chaos DEF: +10000, Nature DEF: +10000, Voodoo DEF: +10000, Blood DEF:"&amp;" +10000, Astral DEF: +10000, Celestial DEF: +10000 ++X2 additional damage for all elements. +-Only Samurai's, Monks, and Ninjas can equip. +-Cannot be forged +-Cannot be duplicated")</f>
        <v>DEF: +10000, Fire DEF: +10000, Physical DEF: +10000, Water DEF: +10000, Storm DEF: +10000, Earth DEF: +10000, Light DEF: +10000, Dark DEF: +10000, Spirit DEF: +10000, Order DEF: +10000, Chaos DEF: +10000, Nature DEF: +10000, Voodoo DEF: +10000, Blood DEF: +10000, Astral DEF: +10000, Celestial DEF: +10000 ++X2 additional damage for all elements. +-Only Samurai's, Monks, and Ninjas can equip. +-Cannot be forged +-Cannot be duplicated</v>
      </c>
      <c r="G430" s="16">
        <f>IFERROR(__xludf.DUMMYFUNCTION("""COMPUTED_VALUE"""),5.104E8)</f>
        <v>510400000</v>
      </c>
      <c r="H430" s="16"/>
      <c r="I430" s="16"/>
      <c r="J430" s="16"/>
      <c r="K430" s="16"/>
      <c r="L430" s="16"/>
      <c r="M430" s="16"/>
      <c r="N430" s="16"/>
      <c r="O430" s="16"/>
      <c r="P430" s="16"/>
      <c r="Q430" s="16"/>
      <c r="R430" s="16"/>
      <c r="S430" s="16"/>
      <c r="T430" s="16"/>
      <c r="U430" s="16"/>
      <c r="V430" s="16"/>
      <c r="W430" s="16"/>
      <c r="X430" s="16"/>
      <c r="Y430" s="16"/>
      <c r="Z430" s="16"/>
    </row>
    <row r="431">
      <c r="A431" s="16" t="str">
        <f>IFERROR(__xludf.DUMMYFUNCTION("""COMPUTED_VALUE"""),"Ancient Oni Katana")</f>
        <v>Ancient Oni Katana</v>
      </c>
      <c r="B431" s="16" t="str">
        <f>IFERROR(__xludf.DUMMYFUNCTION("""COMPUTED_VALUE"""),"An ancient relic to Zhenmay")</f>
        <v>An ancient relic to Zhenmay</v>
      </c>
      <c r="C431" s="16" t="str">
        <f>IFERROR(__xludf.DUMMYFUNCTION("""COMPUTED_VALUE"""),"Sword")</f>
        <v>Sword</v>
      </c>
      <c r="D431" s="16" t="str">
        <f>IFERROR(__xludf.DUMMYFUNCTION("""COMPUTED_VALUE"""),"Hand")</f>
        <v>Hand</v>
      </c>
      <c r="E431" s="16">
        <f>IFERROR(__xludf.DUMMYFUNCTION("""COMPUTED_VALUE"""),200.0)</f>
        <v>200</v>
      </c>
      <c r="F431" s="16" t="str">
        <f>IFERROR(__xludf.DUMMYFUNCTION("""COMPUTED_VALUE"""),"DMG: +10000, Fire DMG: +10000, Physical DMG: +10000, Water DMG: +10000, Storm DMG: +10000, Earth DMG: +10000, Light DMG: +10000, Dark DMG: +10000, Spirit DMG: +10000, Order DMG: +10000, Chaos DMG: +10000, Nature DMG: +10000, Voodoo DMG: +10000, Blood DMG:"&amp;" +10000, Astral DMG: +10000, Celestial DMG: +10000 ++X2 additional damage for all elements. +-Only Samurai's, Monks, and Ninjas can equip. +-Cannot be forged +-Cannot be duplicated")</f>
        <v>DMG: +10000, Fire DMG: +10000, Physical DMG: +10000, Water DMG: +10000, Storm DMG: +10000, Earth DMG: +10000, Light DMG: +10000, Dark DMG: +10000, Spirit DMG: +10000, Order DMG: +10000, Chaos DMG: +10000, Nature DMG: +10000, Voodoo DMG: +10000, Blood DMG: +10000, Astral DMG: +10000, Celestial DMG: +10000 ++X2 additional damage for all elements. +-Only Samurai's, Monks, and Ninjas can equip. +-Cannot be forged +-Cannot be duplicated</v>
      </c>
      <c r="G431" s="16">
        <f>IFERROR(__xludf.DUMMYFUNCTION("""COMPUTED_VALUE"""),5.104E8)</f>
        <v>510400000</v>
      </c>
      <c r="H431" s="16"/>
      <c r="I431" s="16"/>
      <c r="J431" s="16"/>
      <c r="K431" s="16"/>
      <c r="L431" s="16"/>
      <c r="M431" s="16"/>
      <c r="N431" s="16"/>
      <c r="O431" s="16"/>
      <c r="P431" s="16"/>
      <c r="Q431" s="16"/>
      <c r="R431" s="16"/>
      <c r="S431" s="16"/>
      <c r="T431" s="16"/>
      <c r="U431" s="16"/>
      <c r="V431" s="16"/>
      <c r="W431" s="16"/>
      <c r="X431" s="16"/>
      <c r="Y431" s="16"/>
      <c r="Z431" s="16"/>
    </row>
    <row r="432">
      <c r="A432" s="16" t="str">
        <f>IFERROR(__xludf.DUMMYFUNCTION("""COMPUTED_VALUE"""),"The Grand Staff of Evil Flames")</f>
        <v>The Grand Staff of Evil Flames</v>
      </c>
      <c r="B432" s="16"/>
      <c r="C432" s="16" t="str">
        <f>IFERROR(__xludf.DUMMYFUNCTION("""COMPUTED_VALUE"""),"Staff")</f>
        <v>Staff</v>
      </c>
      <c r="D432" s="16" t="str">
        <f>IFERROR(__xludf.DUMMYFUNCTION("""COMPUTED_VALUE"""),"Hand")</f>
        <v>Hand</v>
      </c>
      <c r="E432" s="16">
        <f>IFERROR(__xludf.DUMMYFUNCTION("""COMPUTED_VALUE"""),1200.0)</f>
        <v>1200</v>
      </c>
      <c r="F432" s="16" t="str">
        <f>IFERROR(__xludf.DUMMYFUNCTION("""COMPUTED_VALUE"""),", Fire DMG: +20000, Dark DMG: +20000, Chaos DMG: +20000 ++X4 additional Dark, Fire, and Chaos damage for the user while equipped. +-Cannot be duplicated")</f>
        <v>, Fire DMG: +20000, Dark DMG: +20000, Chaos DMG: +20000 ++X4 additional Dark, Fire, and Chaos damage for the user while equipped. +-Cannot be duplicated</v>
      </c>
      <c r="G432" s="16">
        <f>IFERROR(__xludf.DUMMYFUNCTION("""COMPUTED_VALUE"""),7.14E7)</f>
        <v>71400000</v>
      </c>
      <c r="H432" s="16"/>
      <c r="I432" s="16"/>
      <c r="J432" s="16"/>
      <c r="K432" s="16"/>
      <c r="L432" s="16"/>
      <c r="M432" s="16"/>
      <c r="N432" s="16"/>
      <c r="O432" s="16"/>
      <c r="P432" s="16"/>
      <c r="Q432" s="16"/>
      <c r="R432" s="16"/>
      <c r="S432" s="16"/>
      <c r="T432" s="16"/>
      <c r="U432" s="16"/>
      <c r="V432" s="16"/>
      <c r="W432" s="16"/>
      <c r="X432" s="16"/>
      <c r="Y432" s="16"/>
      <c r="Z432" s="16"/>
    </row>
    <row r="433">
      <c r="A433" s="16" t="str">
        <f>IFERROR(__xludf.DUMMYFUNCTION("""COMPUTED_VALUE"""),"Soul Sword of The Endless Realm")</f>
        <v>Soul Sword of The Endless Realm</v>
      </c>
      <c r="B433" s="16"/>
      <c r="C433" s="16" t="str">
        <f>IFERROR(__xludf.DUMMYFUNCTION("""COMPUTED_VALUE"""),"Sword")</f>
        <v>Sword</v>
      </c>
      <c r="D433" s="16" t="str">
        <f>IFERROR(__xludf.DUMMYFUNCTION("""COMPUTED_VALUE"""),"Hand")</f>
        <v>Hand</v>
      </c>
      <c r="E433" s="16">
        <f>IFERROR(__xludf.DUMMYFUNCTION("""COMPUTED_VALUE"""),200.0)</f>
        <v>200</v>
      </c>
      <c r="F433" s="16" t="str">
        <f>IFERROR(__xludf.DUMMYFUNCTION("""COMPUTED_VALUE"""),"DMG: +150000, Dark DMG: +150000, Celestial DMG: +150000 ++While equipped if you have other soul related items equipped this sword will deal X8 additional damage, ++SP Steal: Gain SP back equal to the damage caused with this weapon. +-Cannot be duplicated.")</f>
        <v>DMG: +150000, Dark DMG: +150000, Celestial DMG: +150000 ++While equipped if you have other soul related items equipped this sword will deal X8 additional damage, ++SP Steal: Gain SP back equal to the damage caused with this weapon. +-Cannot be duplicated.</v>
      </c>
      <c r="G433" s="16">
        <f>IFERROR(__xludf.DUMMYFUNCTION("""COMPUTED_VALUE"""),4.0455E9)</f>
        <v>4045500000</v>
      </c>
      <c r="H433" s="16"/>
      <c r="I433" s="16"/>
      <c r="J433" s="16"/>
      <c r="K433" s="16"/>
      <c r="L433" s="16"/>
      <c r="M433" s="16"/>
      <c r="N433" s="16"/>
      <c r="O433" s="16"/>
      <c r="P433" s="16"/>
      <c r="Q433" s="16"/>
      <c r="R433" s="16"/>
      <c r="S433" s="16"/>
      <c r="T433" s="16"/>
      <c r="U433" s="16"/>
      <c r="V433" s="16"/>
      <c r="W433" s="16"/>
      <c r="X433" s="16"/>
      <c r="Y433" s="16"/>
      <c r="Z433" s="16"/>
    </row>
    <row r="434">
      <c r="A434" s="16" t="str">
        <f>IFERROR(__xludf.DUMMYFUNCTION("""COMPUTED_VALUE"""),"Rat King's Crown")</f>
        <v>Rat King's Crown</v>
      </c>
      <c r="B434" s="16"/>
      <c r="C434" s="16"/>
      <c r="D434" s="16" t="str">
        <f>IFERROR(__xludf.DUMMYFUNCTION("""COMPUTED_VALUE"""),"Head")</f>
        <v>Head</v>
      </c>
      <c r="E434" s="16">
        <f>IFERROR(__xludf.DUMMYFUNCTION("""COMPUTED_VALUE"""),1000.0)</f>
        <v>1000</v>
      </c>
      <c r="F434" s="16" t="str">
        <f>IFERROR(__xludf.DUMMYFUNCTION("""COMPUTED_VALUE"""),"DEF: +50000 ++If you or a party member dies this crown will summon a d2 of Lava Rats, Level determined by DM/GM, This effect can only be applied once per battle. +-Cannot be duplicated.")</f>
        <v>DEF: +50000 ++If you or a party member dies this crown will summon a d2 of Lava Rats, Level determined by DM/GM, This effect can only be applied once per battle. +-Cannot be duplicated.</v>
      </c>
      <c r="G434" s="16">
        <f>IFERROR(__xludf.DUMMYFUNCTION("""COMPUTED_VALUE"""),4.95E7)</f>
        <v>49500000</v>
      </c>
      <c r="H434" s="16"/>
      <c r="I434" s="16"/>
      <c r="J434" s="16"/>
      <c r="K434" s="16"/>
      <c r="L434" s="16"/>
      <c r="M434" s="16"/>
      <c r="N434" s="16"/>
      <c r="O434" s="16"/>
      <c r="P434" s="16"/>
      <c r="Q434" s="16"/>
      <c r="R434" s="16"/>
      <c r="S434" s="16"/>
      <c r="T434" s="16"/>
      <c r="U434" s="16"/>
      <c r="V434" s="16"/>
      <c r="W434" s="16"/>
      <c r="X434" s="16"/>
      <c r="Y434" s="16"/>
      <c r="Z434" s="16"/>
    </row>
    <row r="435">
      <c r="A435" s="16" t="str">
        <f>IFERROR(__xludf.DUMMYFUNCTION("""COMPUTED_VALUE"""),"Vermouth's Crown of Tides")</f>
        <v>Vermouth's Crown of Tides</v>
      </c>
      <c r="B435" s="16" t="str">
        <f>IFERROR(__xludf.DUMMYFUNCTION("""COMPUTED_VALUE"""),"A magical artifact that grants control over water and weather, allowing the wearer to manipulate aquatic elements.")</f>
        <v>A magical artifact that grants control over water and weather, allowing the wearer to manipulate aquatic elements.</v>
      </c>
      <c r="C435" s="16"/>
      <c r="D435" s="16" t="str">
        <f>IFERROR(__xludf.DUMMYFUNCTION("""COMPUTED_VALUE"""),"Head")</f>
        <v>Head</v>
      </c>
      <c r="E435" s="16">
        <f>IFERROR(__xludf.DUMMYFUNCTION("""COMPUTED_VALUE"""),700.0)</f>
        <v>700</v>
      </c>
      <c r="F435" s="16" t="str">
        <f>IFERROR(__xludf.DUMMYFUNCTION("""COMPUTED_VALUE"""),"DEF: +25000, Water DEF: +10000 ++Immunity to Water damage. ++X2 Additional Water damage for the user.")</f>
        <v>DEF: +25000, Water DEF: +10000 ++Immunity to Water damage. ++X2 Additional Water damage for the user.</v>
      </c>
      <c r="G435" s="16">
        <f>IFERROR(__xludf.DUMMYFUNCTION("""COMPUTED_VALUE"""),2.415E7)</f>
        <v>24150000</v>
      </c>
      <c r="H435" s="16"/>
      <c r="I435" s="16"/>
      <c r="J435" s="16"/>
      <c r="K435" s="16"/>
      <c r="L435" s="16"/>
      <c r="M435" s="16"/>
      <c r="N435" s="16"/>
      <c r="O435" s="16"/>
      <c r="P435" s="16"/>
      <c r="Q435" s="16"/>
      <c r="R435" s="16"/>
      <c r="S435" s="16"/>
      <c r="T435" s="16"/>
      <c r="U435" s="16"/>
      <c r="V435" s="16"/>
      <c r="W435" s="16"/>
      <c r="X435" s="16"/>
      <c r="Y435" s="16"/>
      <c r="Z435" s="16"/>
    </row>
    <row r="436">
      <c r="A436" s="16" t="str">
        <f>IFERROR(__xludf.DUMMYFUNCTION("""COMPUTED_VALUE"""),"ChronoMech Enigma")</f>
        <v>ChronoMech Enigma</v>
      </c>
      <c r="B436" s="16" t="str">
        <f>IFERROR(__xludf.DUMMYFUNCTION("""COMPUTED_VALUE"""),"A clockwork device that grants unique abilities.")</f>
        <v>A clockwork device that grants unique abilities.</v>
      </c>
      <c r="C436" s="16"/>
      <c r="D436" s="16" t="str">
        <f>IFERROR(__xludf.DUMMYFUNCTION("""COMPUTED_VALUE"""),"Hand")</f>
        <v>Hand</v>
      </c>
      <c r="E436" s="16">
        <f>IFERROR(__xludf.DUMMYFUNCTION("""COMPUTED_VALUE"""),200.0)</f>
        <v>200</v>
      </c>
      <c r="F436" s="16" t="str">
        <f>IFERROR(__xludf.DUMMYFUNCTION("""COMPUTED_VALUE"""),"DEF: +10000 ++Allows you to change the time of day to day or night. Can only be used once per journey while traveling. ++Fail/Succeed. +-Cannot be duplicated.")</f>
        <v>DEF: +10000 ++Allows you to change the time of day to day or night. Can only be used once per journey while traveling. ++Fail/Succeed. +-Cannot be duplicated.</v>
      </c>
      <c r="G436" s="16">
        <f>IFERROR(__xludf.DUMMYFUNCTION("""COMPUTED_VALUE"""),1900000.0)</f>
        <v>1900000</v>
      </c>
      <c r="H436" s="16"/>
      <c r="I436" s="16"/>
      <c r="J436" s="16"/>
      <c r="K436" s="16"/>
      <c r="L436" s="16"/>
      <c r="M436" s="16"/>
      <c r="N436" s="16"/>
      <c r="O436" s="16"/>
      <c r="P436" s="16"/>
      <c r="Q436" s="16"/>
      <c r="R436" s="16"/>
      <c r="S436" s="16"/>
      <c r="T436" s="16"/>
      <c r="U436" s="16"/>
      <c r="V436" s="16"/>
      <c r="W436" s="16"/>
      <c r="X436" s="16"/>
      <c r="Y436" s="16"/>
      <c r="Z436" s="16"/>
    </row>
    <row r="437">
      <c r="A437" s="16" t="str">
        <f>IFERROR(__xludf.DUMMYFUNCTION("""COMPUTED_VALUE"""),"Royal Sword of The Halloween Kingdom")</f>
        <v>Royal Sword of The Halloween Kingdom</v>
      </c>
      <c r="B437" s="16" t="str">
        <f>IFERROR(__xludf.DUMMYFUNCTION("""COMPUTED_VALUE"""),"Halloween Exclusive")</f>
        <v>Halloween Exclusive</v>
      </c>
      <c r="C437" s="16" t="str">
        <f>IFERROR(__xludf.DUMMYFUNCTION("""COMPUTED_VALUE"""),"Sword")</f>
        <v>Sword</v>
      </c>
      <c r="D437" s="16" t="str">
        <f>IFERROR(__xludf.DUMMYFUNCTION("""COMPUTED_VALUE"""),"Hand")</f>
        <v>Hand</v>
      </c>
      <c r="E437" s="16">
        <f>IFERROR(__xludf.DUMMYFUNCTION("""COMPUTED_VALUE"""),200.0)</f>
        <v>200</v>
      </c>
      <c r="F437" s="16" t="str">
        <f>IFERROR(__xludf.DUMMYFUNCTION("""COMPUTED_VALUE"""),"DMG: +50000, Fire DMG: +20000, Dark DMG: +20000, Spirit DMG: +20000, Chaos DMG: +20000, Stasis DMG: +20000, Twilight DMG: +20000, Voodoo DMG: +20000, Blood DMG: +20000, Celestial DMG: +20000 ++Hallows Guidance: +5 can be added to your d20 rolls, ++Royal S"&amp;"hadows of the Halloween Kingdom: 25% chance to cast conceal for no sp cost after successfully attacking an enemy with this weapon. +-Cannot be forged +-Cannot be duplicated")</f>
        <v>DMG: +50000, Fire DMG: +20000, Dark DMG: +20000, Spirit DMG: +20000, Chaos DMG: +20000, Stasis DMG: +20000, Twilight DMG: +20000, Voodoo DMG: +20000, Blood DMG: +20000, Celestial DMG: +20000 ++Hallows Guidance: +5 can be added to your d20 rolls, ++Royal Shadows of the Halloween Kingdom: 25% chance to cast conceal for no sp cost after successfully attacking an enemy with this weapon. +-Cannot be forged +-Cannot be duplicated</v>
      </c>
      <c r="G437" s="16">
        <f>IFERROR(__xludf.DUMMYFUNCTION("""COMPUTED_VALUE"""),1.0557E9)</f>
        <v>1055700000</v>
      </c>
      <c r="H437" s="16"/>
      <c r="I437" s="16"/>
      <c r="J437" s="16"/>
      <c r="K437" s="16"/>
      <c r="L437" s="16"/>
      <c r="M437" s="16"/>
      <c r="N437" s="16"/>
      <c r="O437" s="16"/>
      <c r="P437" s="16"/>
      <c r="Q437" s="16"/>
      <c r="R437" s="16"/>
      <c r="S437" s="16"/>
      <c r="T437" s="16"/>
      <c r="U437" s="16"/>
      <c r="V437" s="16"/>
      <c r="W437" s="16"/>
      <c r="X437" s="16"/>
      <c r="Y437" s="16"/>
      <c r="Z437" s="16"/>
    </row>
    <row r="438">
      <c r="A438" s="16" t="str">
        <f>IFERROR(__xludf.DUMMYFUNCTION("""COMPUTED_VALUE"""),"Royal Shield of The Halloween Kingdom")</f>
        <v>Royal Shield of The Halloween Kingdom</v>
      </c>
      <c r="B438" s="16" t="str">
        <f>IFERROR(__xludf.DUMMYFUNCTION("""COMPUTED_VALUE"""),"Halloween Exclusive")</f>
        <v>Halloween Exclusive</v>
      </c>
      <c r="C438" s="16" t="str">
        <f>IFERROR(__xludf.DUMMYFUNCTION("""COMPUTED_VALUE"""),"Towershield")</f>
        <v>Towershield</v>
      </c>
      <c r="D438" s="16" t="str">
        <f>IFERROR(__xludf.DUMMYFUNCTION("""COMPUTED_VALUE"""),"Hand")</f>
        <v>Hand</v>
      </c>
      <c r="E438" s="16">
        <f>IFERROR(__xludf.DUMMYFUNCTION("""COMPUTED_VALUE"""),200.0)</f>
        <v>200</v>
      </c>
      <c r="F438" s="16" t="str">
        <f>IFERROR(__xludf.DUMMYFUNCTION("""COMPUTED_VALUE"""),"DEF: +50000, Fire DEF: +20000, Dark DEF: +20000, Spirit DEF: +20000, Chaos DEF: +20000, Stasis DEF: +20000, Twilight DEF: +20000, Voodoo DEF: +20000, Blood DEF: +20000, Celestial DEF: +20000 ++Royal Ward of The Halloween Kingdom: 25% chance to be unaffect"&amp;"ed by a weapon attack. ++Pumpkin Thorns: 25% chance to inflict half the damage dealt to you back to the enemy. +-Cannot be forged +-Cannot be duplicated")</f>
        <v>DEF: +50000, Fire DEF: +20000, Dark DEF: +20000, Spirit DEF: +20000, Chaos DEF: +20000, Stasis DEF: +20000, Twilight DEF: +20000, Voodoo DEF: +20000, Blood DEF: +20000, Celestial DEF: +20000 ++Royal Ward of The Halloween Kingdom: 25% chance to be unaffected by a weapon attack. ++Pumpkin Thorns: 25% chance to inflict half the damage dealt to you back to the enemy. +-Cannot be forged +-Cannot be duplicated</v>
      </c>
      <c r="G438" s="16">
        <f>IFERROR(__xludf.DUMMYFUNCTION("""COMPUTED_VALUE"""),1.0557E9)</f>
        <v>1055700000</v>
      </c>
      <c r="H438" s="16"/>
      <c r="I438" s="16"/>
      <c r="J438" s="16"/>
      <c r="K438" s="16"/>
      <c r="L438" s="16"/>
      <c r="M438" s="16"/>
      <c r="N438" s="16"/>
      <c r="O438" s="16"/>
      <c r="P438" s="16"/>
      <c r="Q438" s="16"/>
      <c r="R438" s="16"/>
      <c r="S438" s="16"/>
      <c r="T438" s="16"/>
      <c r="U438" s="16"/>
      <c r="V438" s="16"/>
      <c r="W438" s="16"/>
      <c r="X438" s="16"/>
      <c r="Y438" s="16"/>
      <c r="Z438" s="16"/>
    </row>
    <row r="439">
      <c r="A439" s="16" t="str">
        <f>IFERROR(__xludf.DUMMYFUNCTION("""COMPUTED_VALUE"""),"Sacred Flaming Pearl")</f>
        <v>Sacred Flaming Pearl</v>
      </c>
      <c r="B439" s="16" t="str">
        <f>IFERROR(__xludf.DUMMYFUNCTION("""COMPUTED_VALUE"""),"Quest item.")</f>
        <v>Quest item.</v>
      </c>
      <c r="C439" s="16"/>
      <c r="D439" s="16" t="str">
        <f>IFERROR(__xludf.DUMMYFUNCTION("""COMPUTED_VALUE"""),"Hand")</f>
        <v>Hand</v>
      </c>
      <c r="E439" s="16">
        <f>IFERROR(__xludf.DUMMYFUNCTION("""COMPUTED_VALUE"""),1.0)</f>
        <v>1</v>
      </c>
      <c r="F439" s="16" t="str">
        <f>IFERROR(__xludf.DUMMYFUNCTION("""COMPUTED_VALUE""")," ++X4 additional fire damage for the user. +-Cannot be duplicated.")</f>
        <v> ++X4 additional fire damage for the user. +-Cannot be duplicated.</v>
      </c>
      <c r="G439" s="16">
        <f>IFERROR(__xludf.DUMMYFUNCTION("""COMPUTED_VALUE"""),0.0)</f>
        <v>0</v>
      </c>
      <c r="H439" s="16"/>
      <c r="I439" s="16"/>
      <c r="J439" s="16"/>
      <c r="K439" s="16"/>
      <c r="L439" s="16"/>
      <c r="M439" s="16"/>
      <c r="N439" s="16"/>
      <c r="O439" s="16"/>
      <c r="P439" s="16"/>
      <c r="Q439" s="16"/>
      <c r="R439" s="16"/>
      <c r="S439" s="16"/>
      <c r="T439" s="16"/>
      <c r="U439" s="16"/>
      <c r="V439" s="16"/>
      <c r="W439" s="16"/>
      <c r="X439" s="16"/>
      <c r="Y439" s="16"/>
      <c r="Z439" s="16"/>
    </row>
    <row r="440">
      <c r="A440" s="16" t="str">
        <f>IFERROR(__xludf.DUMMYFUNCTION("""COMPUTED_VALUE"""),"DragonScale Royal Helm")</f>
        <v>DragonScale Royal Helm</v>
      </c>
      <c r="B440" s="16"/>
      <c r="C440" s="16"/>
      <c r="D440" s="16" t="str">
        <f>IFERROR(__xludf.DUMMYFUNCTION("""COMPUTED_VALUE"""),"Head")</f>
        <v>Head</v>
      </c>
      <c r="E440" s="16">
        <f>IFERROR(__xludf.DUMMYFUNCTION("""COMPUTED_VALUE"""),200.0)</f>
        <v>200</v>
      </c>
      <c r="F440" s="16" t="str">
        <f>IFERROR(__xludf.DUMMYFUNCTION("""COMPUTED_VALUE"""),"DEF: +40000, Dark DEF: +10000, Chaos DEF: +10000, Celestial DEF: +10000 ++X2 Defense for the Wearer. ++Light Embodiment - When Equipped deal X2 Order and Light DMG ")</f>
        <v>DEF: +40000, Dark DEF: +10000, Chaos DEF: +10000, Celestial DEF: +10000 ++X2 Defense for the Wearer. ++Light Embodiment - When Equipped deal X2 Order and Light DMG </v>
      </c>
      <c r="G440" s="16">
        <f>IFERROR(__xludf.DUMMYFUNCTION("""COMPUTED_VALUE"""),9.73E7)</f>
        <v>97300000</v>
      </c>
      <c r="H440" s="16"/>
      <c r="I440" s="16"/>
      <c r="J440" s="16"/>
      <c r="K440" s="16"/>
      <c r="L440" s="16"/>
      <c r="M440" s="16"/>
      <c r="N440" s="16"/>
      <c r="O440" s="16"/>
      <c r="P440" s="16"/>
      <c r="Q440" s="16"/>
      <c r="R440" s="16"/>
      <c r="S440" s="16"/>
      <c r="T440" s="16"/>
      <c r="U440" s="16"/>
      <c r="V440" s="16"/>
      <c r="W440" s="16"/>
      <c r="X440" s="16"/>
      <c r="Y440" s="16"/>
      <c r="Z440" s="16"/>
    </row>
    <row r="441">
      <c r="A441" s="16" t="str">
        <f>IFERROR(__xludf.DUMMYFUNCTION("""COMPUTED_VALUE"""),"DragonScale Royal Chestplate")</f>
        <v>DragonScale Royal Chestplate</v>
      </c>
      <c r="B441" s="16"/>
      <c r="C441" s="16"/>
      <c r="D441" s="16" t="str">
        <f>IFERROR(__xludf.DUMMYFUNCTION("""COMPUTED_VALUE"""),"Torso")</f>
        <v>Torso</v>
      </c>
      <c r="E441" s="16">
        <f>IFERROR(__xludf.DUMMYFUNCTION("""COMPUTED_VALUE"""),200.0)</f>
        <v>200</v>
      </c>
      <c r="F441" s="16" t="str">
        <f>IFERROR(__xludf.DUMMYFUNCTION("""COMPUTED_VALUE"""),"DEF: +20000, Water DEF: +5000, Dark DEF: +10000, Chaos DEF: +10000, Celestial DEF: +10000 ++X4 Defense for the Wearer. ++Light Embodiment II - When Equipped deal X4 Order and Light DMG ")</f>
        <v>DEF: +20000, Water DEF: +5000, Dark DEF: +10000, Chaos DEF: +10000, Celestial DEF: +10000 ++X4 Defense for the Wearer. ++Light Embodiment II - When Equipped deal X4 Order and Light DMG </v>
      </c>
      <c r="G441" s="16">
        <f>IFERROR(__xludf.DUMMYFUNCTION("""COMPUTED_VALUE"""),5.995E7)</f>
        <v>59950000</v>
      </c>
      <c r="H441" s="16"/>
      <c r="I441" s="16"/>
      <c r="J441" s="16"/>
      <c r="K441" s="16"/>
      <c r="L441" s="16"/>
      <c r="M441" s="16"/>
      <c r="N441" s="16"/>
      <c r="O441" s="16"/>
      <c r="P441" s="16"/>
      <c r="Q441" s="16"/>
      <c r="R441" s="16"/>
      <c r="S441" s="16"/>
      <c r="T441" s="16"/>
      <c r="U441" s="16"/>
      <c r="V441" s="16"/>
      <c r="W441" s="16"/>
      <c r="X441" s="16"/>
      <c r="Y441" s="16"/>
      <c r="Z441" s="16"/>
    </row>
    <row r="442">
      <c r="A442" s="16" t="str">
        <f>IFERROR(__xludf.DUMMYFUNCTION("""COMPUTED_VALUE"""),"DragonScale Royal Vambraces")</f>
        <v>DragonScale Royal Vambraces</v>
      </c>
      <c r="B442" s="16"/>
      <c r="C442" s="16"/>
      <c r="D442" s="16" t="str">
        <f>IFERROR(__xludf.DUMMYFUNCTION("""COMPUTED_VALUE"""),"Arms")</f>
        <v>Arms</v>
      </c>
      <c r="E442" s="16">
        <f>IFERROR(__xludf.DUMMYFUNCTION("""COMPUTED_VALUE"""),200.0)</f>
        <v>200</v>
      </c>
      <c r="F442" s="16" t="str">
        <f>IFERROR(__xludf.DUMMYFUNCTION("""COMPUTED_VALUE"""),"DEF: +10000, Dark DEF: +10000, Chaos DEF: +10000, Celestial DEF: +10000 ++X2 Defense for the Wearer. ++Light Embodiment - When Equipped deal X2 Order and Light DMG ")</f>
        <v>DEF: +10000, Dark DEF: +10000, Chaos DEF: +10000, Celestial DEF: +10000 ++X2 Defense for the Wearer. ++Light Embodiment - When Equipped deal X2 Order and Light DMG </v>
      </c>
      <c r="G442" s="16">
        <f>IFERROR(__xludf.DUMMYFUNCTION("""COMPUTED_VALUE"""),3.16E7)</f>
        <v>31600000</v>
      </c>
      <c r="H442" s="16"/>
      <c r="I442" s="16"/>
      <c r="J442" s="16"/>
      <c r="K442" s="16"/>
      <c r="L442" s="16"/>
      <c r="M442" s="16"/>
      <c r="N442" s="16"/>
      <c r="O442" s="16"/>
      <c r="P442" s="16"/>
      <c r="Q442" s="16"/>
      <c r="R442" s="16"/>
      <c r="S442" s="16"/>
      <c r="T442" s="16"/>
      <c r="U442" s="16"/>
      <c r="V442" s="16"/>
      <c r="W442" s="16"/>
      <c r="X442" s="16"/>
      <c r="Y442" s="16"/>
      <c r="Z442" s="16"/>
    </row>
    <row r="443">
      <c r="A443" s="16" t="str">
        <f>IFERROR(__xludf.DUMMYFUNCTION("""COMPUTED_VALUE"""),"DragonScale Royal Greaves")</f>
        <v>DragonScale Royal Greaves</v>
      </c>
      <c r="B443" s="16"/>
      <c r="C443" s="16"/>
      <c r="D443" s="16" t="str">
        <f>IFERROR(__xludf.DUMMYFUNCTION("""COMPUTED_VALUE"""),"Legs")</f>
        <v>Legs</v>
      </c>
      <c r="E443" s="16">
        <f>IFERROR(__xludf.DUMMYFUNCTION("""COMPUTED_VALUE"""),200.0)</f>
        <v>200</v>
      </c>
      <c r="F443" s="16" t="str">
        <f>IFERROR(__xludf.DUMMYFUNCTION("""COMPUTED_VALUE"""),"DEF: +10000, Dark DEF: +10000, Chaos DEF: +10000, Celestial DEF: +10000 ++X2 Defense for the Wearer. ++Light Embodiment - When Equipped deal X2 Order and Light DMG ")</f>
        <v>DEF: +10000, Dark DEF: +10000, Chaos DEF: +10000, Celestial DEF: +10000 ++X2 Defense for the Wearer. ++Light Embodiment - When Equipped deal X2 Order and Light DMG </v>
      </c>
      <c r="G443" s="16">
        <f>IFERROR(__xludf.DUMMYFUNCTION("""COMPUTED_VALUE"""),3.16E7)</f>
        <v>31600000</v>
      </c>
      <c r="H443" s="16"/>
      <c r="I443" s="16"/>
      <c r="J443" s="16"/>
      <c r="K443" s="16"/>
      <c r="L443" s="16"/>
      <c r="M443" s="16"/>
      <c r="N443" s="16"/>
      <c r="O443" s="16"/>
      <c r="P443" s="16"/>
      <c r="Q443" s="16"/>
      <c r="R443" s="16"/>
      <c r="S443" s="16"/>
      <c r="T443" s="16"/>
      <c r="U443" s="16"/>
      <c r="V443" s="16"/>
      <c r="W443" s="16"/>
      <c r="X443" s="16"/>
      <c r="Y443" s="16"/>
      <c r="Z443" s="16"/>
    </row>
    <row r="444">
      <c r="A444" s="16" t="str">
        <f>IFERROR(__xludf.DUMMYFUNCTION("""COMPUTED_VALUE"""),"DragonScale Royal Shield")</f>
        <v>DragonScale Royal Shield</v>
      </c>
      <c r="B444" s="16"/>
      <c r="C444" s="16" t="str">
        <f>IFERROR(__xludf.DUMMYFUNCTION("""COMPUTED_VALUE"""),"Towershield")</f>
        <v>Towershield</v>
      </c>
      <c r="D444" s="16" t="str">
        <f>IFERROR(__xludf.DUMMYFUNCTION("""COMPUTED_VALUE"""),"Hand")</f>
        <v>Hand</v>
      </c>
      <c r="E444" s="16">
        <f>IFERROR(__xludf.DUMMYFUNCTION("""COMPUTED_VALUE"""),200.0)</f>
        <v>200</v>
      </c>
      <c r="F444" s="16" t="str">
        <f>IFERROR(__xludf.DUMMYFUNCTION("""COMPUTED_VALUE"""),"DEF: +55000, Dark DEF: +20000, Chaos DEF: +20000, Celestial DEF: +10000 ++X2 Defense for the Wearer. ++Light Embodiment - When Equipped deal X2 Order and Light DMG ")</f>
        <v>DEF: +55000, Dark DEF: +20000, Chaos DEF: +20000, Celestial DEF: +10000 ++X2 Defense for the Wearer. ++Light Embodiment - When Equipped deal X2 Order and Light DMG </v>
      </c>
      <c r="G444" s="16">
        <f>IFERROR(__xludf.DUMMYFUNCTION("""COMPUTED_VALUE"""),2.1945E8)</f>
        <v>219450000</v>
      </c>
      <c r="H444" s="16"/>
      <c r="I444" s="16"/>
      <c r="J444" s="16"/>
      <c r="K444" s="16"/>
      <c r="L444" s="16"/>
      <c r="M444" s="16"/>
      <c r="N444" s="16"/>
      <c r="O444" s="16"/>
      <c r="P444" s="16"/>
      <c r="Q444" s="16"/>
      <c r="R444" s="16"/>
      <c r="S444" s="16"/>
      <c r="T444" s="16"/>
      <c r="U444" s="16"/>
      <c r="V444" s="16"/>
      <c r="W444" s="16"/>
      <c r="X444" s="16"/>
      <c r="Y444" s="16"/>
      <c r="Z444" s="16"/>
    </row>
    <row r="445">
      <c r="A445" s="16" t="str">
        <f>IFERROR(__xludf.DUMMYFUNCTION("""COMPUTED_VALUE"""),"DragonScale Royal Boots")</f>
        <v>DragonScale Royal Boots</v>
      </c>
      <c r="B445" s="16"/>
      <c r="C445" s="16"/>
      <c r="D445" s="16" t="str">
        <f>IFERROR(__xludf.DUMMYFUNCTION("""COMPUTED_VALUE"""),"Feet")</f>
        <v>Feet</v>
      </c>
      <c r="E445" s="16">
        <f>IFERROR(__xludf.DUMMYFUNCTION("""COMPUTED_VALUE"""),200.0)</f>
        <v>200</v>
      </c>
      <c r="F445" s="16" t="str">
        <f>IFERROR(__xludf.DUMMYFUNCTION("""COMPUTED_VALUE"""),"DEF: +22000, Dark DEF: +10000, Chaos DEF: +10000, Celestial DEF: +10000 ++X2 Defense for the Wearer. ++Light Embodiment - When Equipped deal X2 Order and Light DMG ")</f>
        <v>DEF: +22000, Dark DEF: +10000, Chaos DEF: +10000, Celestial DEF: +10000 ++X2 Defense for the Wearer. ++Light Embodiment - When Equipped deal X2 Order and Light DMG </v>
      </c>
      <c r="G445" s="16">
        <f>IFERROR(__xludf.DUMMYFUNCTION("""COMPUTED_VALUE"""),5.356E7)</f>
        <v>53560000</v>
      </c>
      <c r="H445" s="16"/>
      <c r="I445" s="16"/>
      <c r="J445" s="16"/>
      <c r="K445" s="16"/>
      <c r="L445" s="16"/>
      <c r="M445" s="16"/>
      <c r="N445" s="16"/>
      <c r="O445" s="16"/>
      <c r="P445" s="16"/>
      <c r="Q445" s="16"/>
      <c r="R445" s="16"/>
      <c r="S445" s="16"/>
      <c r="T445" s="16"/>
      <c r="U445" s="16"/>
      <c r="V445" s="16"/>
      <c r="W445" s="16"/>
      <c r="X445" s="16"/>
      <c r="Y445" s="16"/>
      <c r="Z445" s="16"/>
    </row>
    <row r="446">
      <c r="A446" s="16" t="str">
        <f>IFERROR(__xludf.DUMMYFUNCTION("""COMPUTED_VALUE"""),"DragonScale Royal Pauldrons")</f>
        <v>DragonScale Royal Pauldrons</v>
      </c>
      <c r="B446" s="16"/>
      <c r="C446" s="16"/>
      <c r="D446" s="16" t="str">
        <f>IFERROR(__xludf.DUMMYFUNCTION("""COMPUTED_VALUE"""),"Shoulders")</f>
        <v>Shoulders</v>
      </c>
      <c r="E446" s="16">
        <f>IFERROR(__xludf.DUMMYFUNCTION("""COMPUTED_VALUE"""),200.0)</f>
        <v>200</v>
      </c>
      <c r="F446" s="16" t="str">
        <f>IFERROR(__xludf.DUMMYFUNCTION("""COMPUTED_VALUE"""),"DEF: +20000, Dark DEF: +10000, Chaos DEF: +10000, Celestial DEF: +10000 ++X2 Defense for the Wearer. ++Light Embodiment - When Equipped deal X2 Order and Light DMG ")</f>
        <v>DEF: +20000, Dark DEF: +10000, Chaos DEF: +10000, Celestial DEF: +10000 ++X2 Defense for the Wearer. ++Light Embodiment - When Equipped deal X2 Order and Light DMG </v>
      </c>
      <c r="G446" s="16">
        <f>IFERROR(__xludf.DUMMYFUNCTION("""COMPUTED_VALUE"""),4.95E7)</f>
        <v>49500000</v>
      </c>
      <c r="H446" s="16"/>
      <c r="I446" s="16"/>
      <c r="J446" s="16"/>
      <c r="K446" s="16"/>
      <c r="L446" s="16"/>
      <c r="M446" s="16"/>
      <c r="N446" s="16"/>
      <c r="O446" s="16"/>
      <c r="P446" s="16"/>
      <c r="Q446" s="16"/>
      <c r="R446" s="16"/>
      <c r="S446" s="16"/>
      <c r="T446" s="16"/>
      <c r="U446" s="16"/>
      <c r="V446" s="16"/>
      <c r="W446" s="16"/>
      <c r="X446" s="16"/>
      <c r="Y446" s="16"/>
      <c r="Z446" s="16"/>
    </row>
    <row r="447">
      <c r="A447" s="16" t="str">
        <f>IFERROR(__xludf.DUMMYFUNCTION("""COMPUTED_VALUE"""),"BLADE! OF! JUSTICE!!!!")</f>
        <v>BLADE! OF! JUSTICE!!!!</v>
      </c>
      <c r="B447" s="16"/>
      <c r="C447" s="16" t="str">
        <f>IFERROR(__xludf.DUMMYFUNCTION("""COMPUTED_VALUE"""),"Sword")</f>
        <v>Sword</v>
      </c>
      <c r="D447" s="16" t="str">
        <f>IFERROR(__xludf.DUMMYFUNCTION("""COMPUTED_VALUE"""),"Hand")</f>
        <v>Hand</v>
      </c>
      <c r="E447" s="16">
        <f>IFERROR(__xludf.DUMMYFUNCTION("""COMPUTED_VALUE"""),200.0)</f>
        <v>200</v>
      </c>
      <c r="F447" s="16" t="str">
        <f>IFERROR(__xludf.DUMMYFUNCTION("""COMPUTED_VALUE"""),"DMG: +100000, Light DMG: +10000, Order DMG: +10000, Celestial DMG: +10000 ++This Weapon will deal X4 damage while equipped against Criminals. ++Light Embodiment II - When Equipped deal X4 Order and Light DMG ")</f>
        <v>DMG: +100000, Light DMG: +10000, Order DMG: +10000, Celestial DMG: +10000 ++This Weapon will deal X4 damage while equipped against Criminals. ++Light Embodiment II - When Equipped deal X4 Order and Light DMG </v>
      </c>
      <c r="G447" s="16">
        <f>IFERROR(__xludf.DUMMYFUNCTION("""COMPUTED_VALUE"""),3.367E8)</f>
        <v>336700000</v>
      </c>
      <c r="H447" s="16"/>
      <c r="I447" s="16"/>
      <c r="J447" s="16"/>
      <c r="K447" s="16"/>
      <c r="L447" s="16"/>
      <c r="M447" s="16"/>
      <c r="N447" s="16"/>
      <c r="O447" s="16"/>
      <c r="P447" s="16"/>
      <c r="Q447" s="16"/>
      <c r="R447" s="16"/>
      <c r="S447" s="16"/>
      <c r="T447" s="16"/>
      <c r="U447" s="16"/>
      <c r="V447" s="16"/>
      <c r="W447" s="16"/>
      <c r="X447" s="16"/>
      <c r="Y447" s="16"/>
      <c r="Z447" s="16"/>
    </row>
    <row r="448">
      <c r="A448" s="16" t="str">
        <f>IFERROR(__xludf.DUMMYFUNCTION("""COMPUTED_VALUE"""),"Abstara Royal Helm")</f>
        <v>Abstara Royal Helm</v>
      </c>
      <c r="B448" s="16"/>
      <c r="C448" s="16"/>
      <c r="D448" s="16" t="str">
        <f>IFERROR(__xludf.DUMMYFUNCTION("""COMPUTED_VALUE"""),"Head")</f>
        <v>Head</v>
      </c>
      <c r="E448" s="16">
        <f>IFERROR(__xludf.DUMMYFUNCTION("""COMPUTED_VALUE"""),200.0)</f>
        <v>200</v>
      </c>
      <c r="F448"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48" s="16">
        <f>IFERROR(__xludf.DUMMYFUNCTION("""COMPUTED_VALUE"""),1.99E8)</f>
        <v>199000000</v>
      </c>
      <c r="H448" s="16"/>
      <c r="I448" s="16"/>
      <c r="J448" s="16"/>
      <c r="K448" s="16"/>
      <c r="L448" s="16"/>
      <c r="M448" s="16"/>
      <c r="N448" s="16"/>
      <c r="O448" s="16"/>
      <c r="P448" s="16"/>
      <c r="Q448" s="16"/>
      <c r="R448" s="16"/>
      <c r="S448" s="16"/>
      <c r="T448" s="16"/>
      <c r="U448" s="16"/>
      <c r="V448" s="16"/>
      <c r="W448" s="16"/>
      <c r="X448" s="16"/>
      <c r="Y448" s="16"/>
      <c r="Z448" s="16"/>
    </row>
    <row r="449">
      <c r="A449" s="16" t="str">
        <f>IFERROR(__xludf.DUMMYFUNCTION("""COMPUTED_VALUE"""),"Abstara Royal Chestplate")</f>
        <v>Abstara Royal Chestplate</v>
      </c>
      <c r="B449" s="16"/>
      <c r="C449" s="16"/>
      <c r="D449" s="16" t="str">
        <f>IFERROR(__xludf.DUMMYFUNCTION("""COMPUTED_VALUE"""),"Torso")</f>
        <v>Torso</v>
      </c>
      <c r="E449" s="16">
        <f>IFERROR(__xludf.DUMMYFUNCTION("""COMPUTED_VALUE"""),200.0)</f>
        <v>200</v>
      </c>
      <c r="F449"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49" s="16">
        <f>IFERROR(__xludf.DUMMYFUNCTION("""COMPUTED_VALUE"""),1.99E8)</f>
        <v>199000000</v>
      </c>
      <c r="H449" s="16"/>
      <c r="I449" s="16"/>
      <c r="J449" s="16"/>
      <c r="K449" s="16"/>
      <c r="L449" s="16"/>
      <c r="M449" s="16"/>
      <c r="N449" s="16"/>
      <c r="O449" s="16"/>
      <c r="P449" s="16"/>
      <c r="Q449" s="16"/>
      <c r="R449" s="16"/>
      <c r="S449" s="16"/>
      <c r="T449" s="16"/>
      <c r="U449" s="16"/>
      <c r="V449" s="16"/>
      <c r="W449" s="16"/>
      <c r="X449" s="16"/>
      <c r="Y449" s="16"/>
      <c r="Z449" s="16"/>
    </row>
    <row r="450">
      <c r="A450" s="16" t="str">
        <f>IFERROR(__xludf.DUMMYFUNCTION("""COMPUTED_VALUE"""),"Abstara Royal Vambraces")</f>
        <v>Abstara Royal Vambraces</v>
      </c>
      <c r="B450" s="16"/>
      <c r="C450" s="16"/>
      <c r="D450" s="16" t="str">
        <f>IFERROR(__xludf.DUMMYFUNCTION("""COMPUTED_VALUE"""),"Arms")</f>
        <v>Arms</v>
      </c>
      <c r="E450" s="16">
        <f>IFERROR(__xludf.DUMMYFUNCTION("""COMPUTED_VALUE"""),200.0)</f>
        <v>200</v>
      </c>
      <c r="F450"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0" s="16">
        <f>IFERROR(__xludf.DUMMYFUNCTION("""COMPUTED_VALUE"""),1.99E8)</f>
        <v>199000000</v>
      </c>
      <c r="H450" s="16"/>
      <c r="I450" s="16"/>
      <c r="J450" s="16"/>
      <c r="K450" s="16"/>
      <c r="L450" s="16"/>
      <c r="M450" s="16"/>
      <c r="N450" s="16"/>
      <c r="O450" s="16"/>
      <c r="P450" s="16"/>
      <c r="Q450" s="16"/>
      <c r="R450" s="16"/>
      <c r="S450" s="16"/>
      <c r="T450" s="16"/>
      <c r="U450" s="16"/>
      <c r="V450" s="16"/>
      <c r="W450" s="16"/>
      <c r="X450" s="16"/>
      <c r="Y450" s="16"/>
      <c r="Z450" s="16"/>
    </row>
    <row r="451">
      <c r="A451" s="16" t="str">
        <f>IFERROR(__xludf.DUMMYFUNCTION("""COMPUTED_VALUE"""),"Abstara Royal Greaves")</f>
        <v>Abstara Royal Greaves</v>
      </c>
      <c r="B451" s="16"/>
      <c r="C451" s="16"/>
      <c r="D451" s="16" t="str">
        <f>IFERROR(__xludf.DUMMYFUNCTION("""COMPUTED_VALUE"""),"Legs")</f>
        <v>Legs</v>
      </c>
      <c r="E451" s="16">
        <f>IFERROR(__xludf.DUMMYFUNCTION("""COMPUTED_VALUE"""),200.0)</f>
        <v>200</v>
      </c>
      <c r="F451"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1" s="16">
        <f>IFERROR(__xludf.DUMMYFUNCTION("""COMPUTED_VALUE"""),1.99E8)</f>
        <v>199000000</v>
      </c>
      <c r="H451" s="16"/>
      <c r="I451" s="16"/>
      <c r="J451" s="16"/>
      <c r="K451" s="16"/>
      <c r="L451" s="16"/>
      <c r="M451" s="16"/>
      <c r="N451" s="16"/>
      <c r="O451" s="16"/>
      <c r="P451" s="16"/>
      <c r="Q451" s="16"/>
      <c r="R451" s="16"/>
      <c r="S451" s="16"/>
      <c r="T451" s="16"/>
      <c r="U451" s="16"/>
      <c r="V451" s="16"/>
      <c r="W451" s="16"/>
      <c r="X451" s="16"/>
      <c r="Y451" s="16"/>
      <c r="Z451" s="16"/>
    </row>
    <row r="452">
      <c r="A452" s="16" t="str">
        <f>IFERROR(__xludf.DUMMYFUNCTION("""COMPUTED_VALUE"""),"Abstara Royal Shield")</f>
        <v>Abstara Royal Shield</v>
      </c>
      <c r="B452" s="16"/>
      <c r="C452" s="16" t="str">
        <f>IFERROR(__xludf.DUMMYFUNCTION("""COMPUTED_VALUE"""),"Towershield")</f>
        <v>Towershield</v>
      </c>
      <c r="D452" s="16" t="str">
        <f>IFERROR(__xludf.DUMMYFUNCTION("""COMPUTED_VALUE"""),"Hand")</f>
        <v>Hand</v>
      </c>
      <c r="E452" s="16">
        <f>IFERROR(__xludf.DUMMYFUNCTION("""COMPUTED_VALUE"""),200.0)</f>
        <v>200</v>
      </c>
      <c r="F452"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2" s="16">
        <f>IFERROR(__xludf.DUMMYFUNCTION("""COMPUTED_VALUE"""),1.99E8)</f>
        <v>199000000</v>
      </c>
      <c r="H452" s="16"/>
      <c r="I452" s="16"/>
      <c r="J452" s="16"/>
      <c r="K452" s="16"/>
      <c r="L452" s="16"/>
      <c r="M452" s="16"/>
      <c r="N452" s="16"/>
      <c r="O452" s="16"/>
      <c r="P452" s="16"/>
      <c r="Q452" s="16"/>
      <c r="R452" s="16"/>
      <c r="S452" s="16"/>
      <c r="T452" s="16"/>
      <c r="U452" s="16"/>
      <c r="V452" s="16"/>
      <c r="W452" s="16"/>
      <c r="X452" s="16"/>
      <c r="Y452" s="16"/>
      <c r="Z452" s="16"/>
    </row>
    <row r="453">
      <c r="A453" s="16" t="str">
        <f>IFERROR(__xludf.DUMMYFUNCTION("""COMPUTED_VALUE"""),"Abstara Royal Boots")</f>
        <v>Abstara Royal Boots</v>
      </c>
      <c r="B453" s="16"/>
      <c r="C453" s="16"/>
      <c r="D453" s="16" t="str">
        <f>IFERROR(__xludf.DUMMYFUNCTION("""COMPUTED_VALUE"""),"Feet")</f>
        <v>Feet</v>
      </c>
      <c r="E453" s="16">
        <f>IFERROR(__xludf.DUMMYFUNCTION("""COMPUTED_VALUE"""),200.0)</f>
        <v>200</v>
      </c>
      <c r="F453"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3" s="16">
        <f>IFERROR(__xludf.DUMMYFUNCTION("""COMPUTED_VALUE"""),1.99E8)</f>
        <v>199000000</v>
      </c>
      <c r="H453" s="16"/>
      <c r="I453" s="16"/>
      <c r="J453" s="16"/>
      <c r="K453" s="16"/>
      <c r="L453" s="16"/>
      <c r="M453" s="16"/>
      <c r="N453" s="16"/>
      <c r="O453" s="16"/>
      <c r="P453" s="16"/>
      <c r="Q453" s="16"/>
      <c r="R453" s="16"/>
      <c r="S453" s="16"/>
      <c r="T453" s="16"/>
      <c r="U453" s="16"/>
      <c r="V453" s="16"/>
      <c r="W453" s="16"/>
      <c r="X453" s="16"/>
      <c r="Y453" s="16"/>
      <c r="Z453" s="16"/>
    </row>
    <row r="454">
      <c r="A454" s="16" t="str">
        <f>IFERROR(__xludf.DUMMYFUNCTION("""COMPUTED_VALUE"""),"Abstara Royal Pauldrons")</f>
        <v>Abstara Royal Pauldrons</v>
      </c>
      <c r="B454" s="16"/>
      <c r="C454" s="16"/>
      <c r="D454" s="16" t="str">
        <f>IFERROR(__xludf.DUMMYFUNCTION("""COMPUTED_VALUE"""),"Shoulders")</f>
        <v>Shoulders</v>
      </c>
      <c r="E454" s="16">
        <f>IFERROR(__xludf.DUMMYFUNCTION("""COMPUTED_VALUE"""),200.0)</f>
        <v>200</v>
      </c>
      <c r="F454" s="16" t="str">
        <f>IFERROR(__xludf.DUMMYFUNCTION("""COMPUTED_VALUE"""),"DEF: +50000, Celestial DEF: +50000 ++X4 Defense for the Wearer. ++Underworldly Embodiment - When Equipped deal X4 Dark, Chaos, Fire, and Celestial DMG ")</f>
        <v>DEF: +50000, Celestial DEF: +50000 ++X4 Defense for the Wearer. ++Underworldly Embodiment - When Equipped deal X4 Dark, Chaos, Fire, and Celestial DMG </v>
      </c>
      <c r="G454" s="16">
        <f>IFERROR(__xludf.DUMMYFUNCTION("""COMPUTED_VALUE"""),1.99E8)</f>
        <v>199000000</v>
      </c>
      <c r="H454" s="16"/>
      <c r="I454" s="16"/>
      <c r="J454" s="16"/>
      <c r="K454" s="16"/>
      <c r="L454" s="16"/>
      <c r="M454" s="16"/>
      <c r="N454" s="16"/>
      <c r="O454" s="16"/>
      <c r="P454" s="16"/>
      <c r="Q454" s="16"/>
      <c r="R454" s="16"/>
      <c r="S454" s="16"/>
      <c r="T454" s="16"/>
      <c r="U454" s="16"/>
      <c r="V454" s="16"/>
      <c r="W454" s="16"/>
      <c r="X454" s="16"/>
      <c r="Y454" s="16"/>
      <c r="Z454" s="16"/>
    </row>
    <row r="455">
      <c r="A455" s="16" t="str">
        <f>IFERROR(__xludf.DUMMYFUNCTION("""COMPUTED_VALUE"""),"Feathered Hat of Roguish ""Justice""")</f>
        <v>Feathered Hat of Roguish "Justice"</v>
      </c>
      <c r="B455" s="16" t="str">
        <f>IFERROR(__xludf.DUMMYFUNCTION("""COMPUTED_VALUE"""),"Quest Item")</f>
        <v>Quest Item</v>
      </c>
      <c r="C455" s="16"/>
      <c r="D455" s="16" t="str">
        <f>IFERROR(__xludf.DUMMYFUNCTION("""COMPUTED_VALUE"""),"Head")</f>
        <v>Head</v>
      </c>
      <c r="E455" s="16">
        <f>IFERROR(__xludf.DUMMYFUNCTION("""COMPUTED_VALUE"""),200.0)</f>
        <v>200</v>
      </c>
      <c r="F455"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5" s="16">
        <f>IFERROR(__xludf.DUMMYFUNCTION("""COMPUTED_VALUE"""),3.16E7)</f>
        <v>31600000</v>
      </c>
      <c r="H455" s="16"/>
      <c r="I455" s="16"/>
      <c r="J455" s="16"/>
      <c r="K455" s="16"/>
      <c r="L455" s="16"/>
      <c r="M455" s="16"/>
      <c r="N455" s="16"/>
      <c r="O455" s="16"/>
      <c r="P455" s="16"/>
      <c r="Q455" s="16"/>
      <c r="R455" s="16"/>
      <c r="S455" s="16"/>
      <c r="T455" s="16"/>
      <c r="U455" s="16"/>
      <c r="V455" s="16"/>
      <c r="W455" s="16"/>
      <c r="X455" s="16"/>
      <c r="Y455" s="16"/>
      <c r="Z455" s="16"/>
    </row>
    <row r="456">
      <c r="A456" s="16" t="str">
        <f>IFERROR(__xludf.DUMMYFUNCTION("""COMPUTED_VALUE"""),"Cape of Misdeed")</f>
        <v>Cape of Misdeed</v>
      </c>
      <c r="B456" s="16" t="str">
        <f>IFERROR(__xludf.DUMMYFUNCTION("""COMPUTED_VALUE"""),"Quest Item")</f>
        <v>Quest Item</v>
      </c>
      <c r="C456" s="16"/>
      <c r="D456" s="16" t="str">
        <f>IFERROR(__xludf.DUMMYFUNCTION("""COMPUTED_VALUE"""),"Shoulders")</f>
        <v>Shoulders</v>
      </c>
      <c r="E456" s="16">
        <f>IFERROR(__xludf.DUMMYFUNCTION("""COMPUTED_VALUE"""),200.0)</f>
        <v>200</v>
      </c>
      <c r="F456" s="16" t="str">
        <f>IFERROR(__xludf.DUMMYFUNCTION("""COMPUTED_VALUE"""),"DEF: +1000, Light DEF: +10000, Order DEF: +10000, Celestial DEF: +1000 (Roguish Guise Set) ++X2 Money Stolen Via the Sword of Bad Luck. +1 Evasion When Fighting Guards. +-Cannot be duplicated +-Pirate/Marauder Only")</f>
        <v>DEF: +1000, Light DEF: +10000, Order DEF: +10000, Celestial DEF: +1000 (Roguish Guise Set) ++X2 Money Stolen Via the Sword of Bad Luck. +1 Evasion When Fighting Guards. +-Cannot be duplicated +-Pirate/Marauder Only</v>
      </c>
      <c r="G456" s="16">
        <f>IFERROR(__xludf.DUMMYFUNCTION("""COMPUTED_VALUE"""),9460000.0)</f>
        <v>9460000</v>
      </c>
      <c r="H456" s="16"/>
      <c r="I456" s="16"/>
      <c r="J456" s="16"/>
      <c r="K456" s="16"/>
      <c r="L456" s="16"/>
      <c r="M456" s="16"/>
      <c r="N456" s="16"/>
      <c r="O456" s="16"/>
      <c r="P456" s="16"/>
      <c r="Q456" s="16"/>
      <c r="R456" s="16"/>
      <c r="S456" s="16"/>
      <c r="T456" s="16"/>
      <c r="U456" s="16"/>
      <c r="V456" s="16"/>
      <c r="W456" s="16"/>
      <c r="X456" s="16"/>
      <c r="Y456" s="16"/>
      <c r="Z456" s="16"/>
    </row>
    <row r="457">
      <c r="A457" s="16" t="str">
        <f>IFERROR(__xludf.DUMMYFUNCTION("""COMPUTED_VALUE"""),"Doublet of Debauchery")</f>
        <v>Doublet of Debauchery</v>
      </c>
      <c r="B457" s="16" t="str">
        <f>IFERROR(__xludf.DUMMYFUNCTION("""COMPUTED_VALUE"""),"Quest Item")</f>
        <v>Quest Item</v>
      </c>
      <c r="C457" s="16"/>
      <c r="D457" s="16" t="str">
        <f>IFERROR(__xludf.DUMMYFUNCTION("""COMPUTED_VALUE"""),"Torso")</f>
        <v>Torso</v>
      </c>
      <c r="E457" s="16">
        <f>IFERROR(__xludf.DUMMYFUNCTION("""COMPUTED_VALUE"""),200.0)</f>
        <v>200</v>
      </c>
      <c r="F457" s="16" t="str">
        <f>IFERROR(__xludf.DUMMYFUNCTION("""COMPUTED_VALUE"""),"DEF: +20000, Light DEF: +20000, Order DEF: +20000, Celestial DEF: +10000 (Roguish Guise Set) ++X2 Money Stolen Via the Sword of Bad Luck. +1 Evasion When Fighting Guards. +-Cannot be duplicated +-Pirate/Marauder Only")</f>
        <v>DEF: +20000, Light DEF: +20000, Order DEF: +20000, Celestial DEF: +10000 (Roguish Guise Set) ++X2 Money Stolen Via the Sword of Bad Luck. +1 Evasion When Fighting Guards. +-Cannot be duplicated +-Pirate/Marauder Only</v>
      </c>
      <c r="G457" s="16">
        <f>IFERROR(__xludf.DUMMYFUNCTION("""COMPUTED_VALUE"""),9.73E7)</f>
        <v>97300000</v>
      </c>
      <c r="H457" s="16"/>
      <c r="I457" s="16"/>
      <c r="J457" s="16"/>
      <c r="K457" s="16"/>
      <c r="L457" s="16"/>
      <c r="M457" s="16"/>
      <c r="N457" s="16"/>
      <c r="O457" s="16"/>
      <c r="P457" s="16"/>
      <c r="Q457" s="16"/>
      <c r="R457" s="16"/>
      <c r="S457" s="16"/>
      <c r="T457" s="16"/>
      <c r="U457" s="16"/>
      <c r="V457" s="16"/>
      <c r="W457" s="16"/>
      <c r="X457" s="16"/>
      <c r="Y457" s="16"/>
      <c r="Z457" s="16"/>
    </row>
    <row r="458">
      <c r="A458" s="16" t="str">
        <f>IFERROR(__xludf.DUMMYFUNCTION("""COMPUTED_VALUE"""),"Leather Boots of Softstep")</f>
        <v>Leather Boots of Softstep</v>
      </c>
      <c r="B458" s="16" t="str">
        <f>IFERROR(__xludf.DUMMYFUNCTION("""COMPUTED_VALUE"""),"Quest Item")</f>
        <v>Quest Item</v>
      </c>
      <c r="C458" s="16"/>
      <c r="D458" s="16" t="str">
        <f>IFERROR(__xludf.DUMMYFUNCTION("""COMPUTED_VALUE"""),"Feet")</f>
        <v>Feet</v>
      </c>
      <c r="E458" s="16">
        <f>IFERROR(__xludf.DUMMYFUNCTION("""COMPUTED_VALUE"""),200.0)</f>
        <v>200</v>
      </c>
      <c r="F458"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8" s="16">
        <f>IFERROR(__xludf.DUMMYFUNCTION("""COMPUTED_VALUE"""),3.16E7)</f>
        <v>31600000</v>
      </c>
      <c r="H458" s="16"/>
      <c r="I458" s="16"/>
      <c r="J458" s="16"/>
      <c r="K458" s="16"/>
      <c r="L458" s="16"/>
      <c r="M458" s="16"/>
      <c r="N458" s="16"/>
      <c r="O458" s="16"/>
      <c r="P458" s="16"/>
      <c r="Q458" s="16"/>
      <c r="R458" s="16"/>
      <c r="S458" s="16"/>
      <c r="T458" s="16"/>
      <c r="U458" s="16"/>
      <c r="V458" s="16"/>
      <c r="W458" s="16"/>
      <c r="X458" s="16"/>
      <c r="Y458" s="16"/>
      <c r="Z458" s="16"/>
    </row>
    <row r="459">
      <c r="A459" s="16" t="str">
        <f>IFERROR(__xludf.DUMMYFUNCTION("""COMPUTED_VALUE"""),"Tights of Fabulous Thievery")</f>
        <v>Tights of Fabulous Thievery</v>
      </c>
      <c r="B459" s="16" t="str">
        <f>IFERROR(__xludf.DUMMYFUNCTION("""COMPUTED_VALUE"""),"Quest Item")</f>
        <v>Quest Item</v>
      </c>
      <c r="C459" s="16"/>
      <c r="D459" s="16" t="str">
        <f>IFERROR(__xludf.DUMMYFUNCTION("""COMPUTED_VALUE"""),"Legs")</f>
        <v>Legs</v>
      </c>
      <c r="E459" s="16">
        <f>IFERROR(__xludf.DUMMYFUNCTION("""COMPUTED_VALUE"""),200.0)</f>
        <v>200</v>
      </c>
      <c r="F459"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59" s="16">
        <f>IFERROR(__xludf.DUMMYFUNCTION("""COMPUTED_VALUE"""),3.16E7)</f>
        <v>31600000</v>
      </c>
      <c r="H459" s="16"/>
      <c r="I459" s="16"/>
      <c r="J459" s="16"/>
      <c r="K459" s="16"/>
      <c r="L459" s="16"/>
      <c r="M459" s="16"/>
      <c r="N459" s="16"/>
      <c r="O459" s="16"/>
      <c r="P459" s="16"/>
      <c r="Q459" s="16"/>
      <c r="R459" s="16"/>
      <c r="S459" s="16"/>
      <c r="T459" s="16"/>
      <c r="U459" s="16"/>
      <c r="V459" s="16"/>
      <c r="W459" s="16"/>
      <c r="X459" s="16"/>
      <c r="Y459" s="16"/>
      <c r="Z459" s="16"/>
    </row>
    <row r="460">
      <c r="A460" s="16" t="str">
        <f>IFERROR(__xludf.DUMMYFUNCTION("""COMPUTED_VALUE"""),"Fingerless Glove of Anonymity")</f>
        <v>Fingerless Glove of Anonymity</v>
      </c>
      <c r="B460" s="16" t="str">
        <f>IFERROR(__xludf.DUMMYFUNCTION("""COMPUTED_VALUE"""),"Quest Item")</f>
        <v>Quest Item</v>
      </c>
      <c r="C460" s="16" t="str">
        <f>IFERROR(__xludf.DUMMYFUNCTION("""COMPUTED_VALUE"""),"Claw")</f>
        <v>Claw</v>
      </c>
      <c r="D460" s="16" t="str">
        <f>IFERROR(__xludf.DUMMYFUNCTION("""COMPUTED_VALUE"""),"Hand")</f>
        <v>Hand</v>
      </c>
      <c r="E460" s="16">
        <f>IFERROR(__xludf.DUMMYFUNCTION("""COMPUTED_VALUE"""),200.0)</f>
        <v>200</v>
      </c>
      <c r="F460" s="16" t="str">
        <f>IFERROR(__xludf.DUMMYFUNCTION("""COMPUTED_VALUE"""),"DMG: +10000, Light DMG: +10000, Order DMG: +10000, Celestial DMG: +10000 (Roguish Guise Set) ++X2 Money Stolen Via the Sword of Bad Luck. +1 Evasion When Fighting Guards. ++5% Chance to not gain a bounty when committing a crime (Cannot be Increased) ++20%"&amp;" chance to remove enemy from battle +-Cannot be duplicated +-Pirate/Marauder Only")</f>
        <v>DMG: +10000, Light DMG: +10000, Order DMG: +10000, Celestial DMG: +10000 (Roguish Guise Set) ++X2 Money Stolen Via the Sword of Bad Luck. +1 Evasion When Fighting Guards. ++5% Chance to not gain a bounty when committing a crime (Cannot be Increased) ++20% chance to remove enemy from battle +-Cannot be duplicated +-Pirate/Marauder Only</v>
      </c>
      <c r="G460" s="16">
        <f>IFERROR(__xludf.DUMMYFUNCTION("""COMPUTED_VALUE"""),3.16E7)</f>
        <v>31600000</v>
      </c>
      <c r="H460" s="16"/>
      <c r="I460" s="16"/>
      <c r="J460" s="16"/>
      <c r="K460" s="16"/>
      <c r="L460" s="16"/>
      <c r="M460" s="16"/>
      <c r="N460" s="16"/>
      <c r="O460" s="16"/>
      <c r="P460" s="16"/>
      <c r="Q460" s="16"/>
      <c r="R460" s="16"/>
      <c r="S460" s="16"/>
      <c r="T460" s="16"/>
      <c r="U460" s="16"/>
      <c r="V460" s="16"/>
      <c r="W460" s="16"/>
      <c r="X460" s="16"/>
      <c r="Y460" s="16"/>
      <c r="Z460" s="16"/>
    </row>
    <row r="461">
      <c r="A461" s="16" t="str">
        <f>IFERROR(__xludf.DUMMYFUNCTION("""COMPUTED_VALUE"""),"Bracers of Dastardly Deflection")</f>
        <v>Bracers of Dastardly Deflection</v>
      </c>
      <c r="B461" s="16" t="str">
        <f>IFERROR(__xludf.DUMMYFUNCTION("""COMPUTED_VALUE"""),"Quest Item")</f>
        <v>Quest Item</v>
      </c>
      <c r="C461" s="16"/>
      <c r="D461" s="16" t="str">
        <f>IFERROR(__xludf.DUMMYFUNCTION("""COMPUTED_VALUE"""),"Arms")</f>
        <v>Arms</v>
      </c>
      <c r="E461" s="16">
        <f>IFERROR(__xludf.DUMMYFUNCTION("""COMPUTED_VALUE"""),200.0)</f>
        <v>200</v>
      </c>
      <c r="F461" s="16" t="str">
        <f>IFERROR(__xludf.DUMMYFUNCTION("""COMPUTED_VALUE"""),"DEF: +10000, Light DEF: +10000, Order DEF: +10000, Celestial DEF: +10000 (Roguish Guise Set) ++X2 Money Stolen Via the Sword of Bad Luck. +1 Evasion When Fighting Guards +-Cannot be duplicated +-Pirate/Marauder Only")</f>
        <v>DEF: +10000, Light DEF: +10000, Order DEF: +10000, Celestial DEF: +10000 (Roguish Guise Set) ++X2 Money Stolen Via the Sword of Bad Luck. +1 Evasion When Fighting Guards +-Cannot be duplicated +-Pirate/Marauder Only</v>
      </c>
      <c r="G461" s="16">
        <f>IFERROR(__xludf.DUMMYFUNCTION("""COMPUTED_VALUE"""),3.16E7)</f>
        <v>31600000</v>
      </c>
      <c r="H461" s="16"/>
      <c r="I461" s="16"/>
      <c r="J461" s="16"/>
      <c r="K461" s="16"/>
      <c r="L461" s="16"/>
      <c r="M461" s="16"/>
      <c r="N461" s="16"/>
      <c r="O461" s="16"/>
      <c r="P461" s="16"/>
      <c r="Q461" s="16"/>
      <c r="R461" s="16"/>
      <c r="S461" s="16"/>
      <c r="T461" s="16"/>
      <c r="U461" s="16"/>
      <c r="V461" s="16"/>
      <c r="W461" s="16"/>
      <c r="X461" s="16"/>
      <c r="Y461" s="16"/>
      <c r="Z461" s="16"/>
    </row>
    <row r="462">
      <c r="A462" s="16" t="str">
        <f>IFERROR(__xludf.DUMMYFUNCTION("""COMPUTED_VALUE"""),"Amulet of the Goddess of Theft")</f>
        <v>Amulet of the Goddess of Theft</v>
      </c>
      <c r="B462" s="16" t="str">
        <f>IFERROR(__xludf.DUMMYFUNCTION("""COMPUTED_VALUE"""),"Quest Item")</f>
        <v>Quest Item</v>
      </c>
      <c r="C462" s="16"/>
      <c r="D462" s="16" t="str">
        <f>IFERROR(__xludf.DUMMYFUNCTION("""COMPUTED_VALUE"""),"Neck")</f>
        <v>Neck</v>
      </c>
      <c r="E462" s="16">
        <f>IFERROR(__xludf.DUMMYFUNCTION("""COMPUTED_VALUE"""),1.0)</f>
        <v>1</v>
      </c>
      <c r="F462" s="16" t="str">
        <f>IFERROR(__xludf.DUMMYFUNCTION("""COMPUTED_VALUE""")," (Roguish Guise Set) ++X2 Money Stolen Via the Sword of Bad Luck. +5 Evasion +-Cannot be forged +-Cannot be duplicated +-Pirate/Marauder Only")</f>
        <v> (Roguish Guise Set) ++X2 Money Stolen Via the Sword of Bad Luck. +5 Evasion +-Cannot be forged +-Cannot be duplicated +-Pirate/Marauder Only</v>
      </c>
      <c r="G462" s="16">
        <f>IFERROR(__xludf.DUMMYFUNCTION("""COMPUTED_VALUE"""),0.0)</f>
        <v>0</v>
      </c>
      <c r="H462" s="16"/>
      <c r="I462" s="16"/>
      <c r="J462" s="16"/>
      <c r="K462" s="16"/>
      <c r="L462" s="16"/>
      <c r="M462" s="16"/>
      <c r="N462" s="16"/>
      <c r="O462" s="16"/>
      <c r="P462" s="16"/>
      <c r="Q462" s="16"/>
      <c r="R462" s="16"/>
      <c r="S462" s="16"/>
      <c r="T462" s="16"/>
      <c r="U462" s="16"/>
      <c r="V462" s="16"/>
      <c r="W462" s="16"/>
      <c r="X462" s="16"/>
      <c r="Y462" s="16"/>
      <c r="Z462" s="16"/>
    </row>
    <row r="463">
      <c r="A463" s="16" t="str">
        <f>IFERROR(__xludf.DUMMYFUNCTION("""COMPUTED_VALUE"""),"Flute of The Majestic Forest")</f>
        <v>Flute of The Majestic Forest</v>
      </c>
      <c r="B463" s="16"/>
      <c r="C463" s="16" t="str">
        <f>IFERROR(__xludf.DUMMYFUNCTION("""COMPUTED_VALUE"""),"Instrument")</f>
        <v>Instrument</v>
      </c>
      <c r="D463" s="16" t="str">
        <f>IFERROR(__xludf.DUMMYFUNCTION("""COMPUTED_VALUE"""),"Hand")</f>
        <v>Hand</v>
      </c>
      <c r="E463" s="16">
        <f>IFERROR(__xludf.DUMMYFUNCTION("""COMPUTED_VALUE"""),300.0)</f>
        <v>300</v>
      </c>
      <c r="F463" s="16" t="str">
        <f>IFERROR(__xludf.DUMMYFUNCTION("""COMPUTED_VALUE"""),"DMG: +5000, Nature DMG: +5000, Acoustic DMG: +5000 ++X2 Additional Nature damage while equipped. ++Song of The Forest - Summons a nature mob determined by the DM/GM to assist you in battle. +-Cannot be duplicated. +-Only Bards can equip.")</f>
        <v>DMG: +5000, Nature DMG: +5000, Acoustic DMG: +5000 ++X2 Additional Nature damage while equipped. ++Song of The Forest - Summons a nature mob determined by the DM/GM to assist you in battle. +-Cannot be duplicated. +-Only Bards can equip.</v>
      </c>
      <c r="G463" s="16">
        <f>IFERROR(__xludf.DUMMYFUNCTION("""COMPUTED_VALUE"""),4350000.0)</f>
        <v>4350000</v>
      </c>
      <c r="H463" s="16"/>
      <c r="I463" s="16"/>
      <c r="J463" s="16"/>
      <c r="K463" s="16"/>
      <c r="L463" s="16"/>
      <c r="M463" s="16"/>
      <c r="N463" s="16"/>
      <c r="O463" s="16"/>
      <c r="P463" s="16"/>
      <c r="Q463" s="16"/>
      <c r="R463" s="16"/>
      <c r="S463" s="16"/>
      <c r="T463" s="16"/>
      <c r="U463" s="16"/>
      <c r="V463" s="16"/>
      <c r="W463" s="16"/>
      <c r="X463" s="16"/>
      <c r="Y463" s="16"/>
      <c r="Z463" s="16"/>
    </row>
    <row r="464">
      <c r="A464" s="16" t="str">
        <f>IFERROR(__xludf.DUMMYFUNCTION("""COMPUTED_VALUE"""),"Heatmore Tribal Drums")</f>
        <v>Heatmore Tribal Drums</v>
      </c>
      <c r="B464" s="16"/>
      <c r="C464" s="16" t="str">
        <f>IFERROR(__xludf.DUMMYFUNCTION("""COMPUTED_VALUE"""),"Instrument")</f>
        <v>Instrument</v>
      </c>
      <c r="D464" s="16" t="str">
        <f>IFERROR(__xludf.DUMMYFUNCTION("""COMPUTED_VALUE"""),"Hand")</f>
        <v>Hand</v>
      </c>
      <c r="E464" s="16">
        <f>IFERROR(__xludf.DUMMYFUNCTION("""COMPUTED_VALUE"""),600.0)</f>
        <v>600</v>
      </c>
      <c r="F464" s="16" t="str">
        <f>IFERROR(__xludf.DUMMYFUNCTION("""COMPUTED_VALUE"""),"DMG: +10000, Fire DMG: +10000, Acoustic DMG: +10000 ++X2 Additional Fire damage while equipped. ++Tribal Chant 25% chance to call Master Sawoogo to aid you in battle. +-Cannot be duplicated. +-Only Bards can equip.")</f>
        <v>DMG: +10000, Fire DMG: +10000, Acoustic DMG: +10000 ++X2 Additional Fire damage while equipped. ++Tribal Chant 25% chance to call Master Sawoogo to aid you in battle. +-Cannot be duplicated. +-Only Bards can equip.</v>
      </c>
      <c r="G464" s="16">
        <f>IFERROR(__xludf.DUMMYFUNCTION("""COMPUTED_VALUE"""),1.77E7)</f>
        <v>17700000</v>
      </c>
      <c r="H464" s="16"/>
      <c r="I464" s="16"/>
      <c r="J464" s="16"/>
      <c r="K464" s="16"/>
      <c r="L464" s="16"/>
      <c r="M464" s="16"/>
      <c r="N464" s="16"/>
      <c r="O464" s="16"/>
      <c r="P464" s="16"/>
      <c r="Q464" s="16"/>
      <c r="R464" s="16"/>
      <c r="S464" s="16"/>
      <c r="T464" s="16"/>
      <c r="U464" s="16"/>
      <c r="V464" s="16"/>
      <c r="W464" s="16"/>
      <c r="X464" s="16"/>
      <c r="Y464" s="16"/>
      <c r="Z464" s="16"/>
    </row>
    <row r="465">
      <c r="A465" s="16" t="str">
        <f>IFERROR(__xludf.DUMMYFUNCTION("""COMPUTED_VALUE"""),"Heatmore Tribal Maracas")</f>
        <v>Heatmore Tribal Maracas</v>
      </c>
      <c r="B465" s="16"/>
      <c r="C465" s="16" t="str">
        <f>IFERROR(__xludf.DUMMYFUNCTION("""COMPUTED_VALUE"""),"Instrument")</f>
        <v>Instrument</v>
      </c>
      <c r="D465" s="16" t="str">
        <f>IFERROR(__xludf.DUMMYFUNCTION("""COMPUTED_VALUE"""),"Hand")</f>
        <v>Hand</v>
      </c>
      <c r="E465" s="16">
        <f>IFERROR(__xludf.DUMMYFUNCTION("""COMPUTED_VALUE"""),900.0)</f>
        <v>900</v>
      </c>
      <c r="F465" s="16" t="str">
        <f>IFERROR(__xludf.DUMMYFUNCTION("""COMPUTED_VALUE"""),"DMG: +15000, Fire DMG: +15000, Acoustic DMG: +15000 ++X4 additional Fire and Acoustic damage while equipped. +-Cannot be duplicated. +-Only Bards can equip.")</f>
        <v>DMG: +15000, Fire DMG: +15000, Acoustic DMG: +15000 ++X4 additional Fire and Acoustic damage while equipped. +-Cannot be duplicated. +-Only Bards can equip.</v>
      </c>
      <c r="G465" s="16">
        <f>IFERROR(__xludf.DUMMYFUNCTION("""COMPUTED_VALUE"""),4.005E7)</f>
        <v>40050000</v>
      </c>
      <c r="H465" s="16"/>
      <c r="I465" s="16"/>
      <c r="J465" s="16"/>
      <c r="K465" s="16"/>
      <c r="L465" s="16"/>
      <c r="M465" s="16"/>
      <c r="N465" s="16"/>
      <c r="O465" s="16"/>
      <c r="P465" s="16"/>
      <c r="Q465" s="16"/>
      <c r="R465" s="16"/>
      <c r="S465" s="16"/>
      <c r="T465" s="16"/>
      <c r="U465" s="16"/>
      <c r="V465" s="16"/>
      <c r="W465" s="16"/>
      <c r="X465" s="16"/>
      <c r="Y465" s="16"/>
      <c r="Z465" s="16"/>
    </row>
    <row r="466">
      <c r="A466" s="16" t="str">
        <f>IFERROR(__xludf.DUMMYFUNCTION("""COMPUTED_VALUE"""),"Mask of Creeping Darkness")</f>
        <v>Mask of Creeping Darkness</v>
      </c>
      <c r="B466" s="16" t="str">
        <f>IFERROR(__xludf.DUMMYFUNCTION("""COMPUTED_VALUE"""),"Quest Item")</f>
        <v>Quest Item</v>
      </c>
      <c r="C466" s="16"/>
      <c r="D466" s="16" t="str">
        <f>IFERROR(__xludf.DUMMYFUNCTION("""COMPUTED_VALUE"""),"Head")</f>
        <v>Head</v>
      </c>
      <c r="E466" s="16">
        <f>IFERROR(__xludf.DUMMYFUNCTION("""COMPUTED_VALUE"""),200.0)</f>
        <v>200</v>
      </c>
      <c r="F466" s="16" t="str">
        <f>IFERROR(__xludf.DUMMYFUNCTION("""COMPUTED_VALUE"""),"DEF: +25000, Light DEF: +25000, Order DEF: +25000, Celestial DEF: +20000 ++X2 Damage whilst invulnerable breaking invulnerability upon being used. +-Cannot be Duplicated. +-Ninja Only")</f>
        <v>DEF: +25000, Light DEF: +25000, Order DEF: +25000, Celestial DEF: +20000 ++X2 Damage whilst invulnerable breaking invulnerability upon being used. +-Cannot be Duplicated. +-Ninja Only</v>
      </c>
      <c r="G466" s="16">
        <f>IFERROR(__xludf.DUMMYFUNCTION("""COMPUTED_VALUE"""),1.7955E8)</f>
        <v>179550000</v>
      </c>
      <c r="H466" s="16"/>
      <c r="I466" s="16"/>
      <c r="J466" s="16"/>
      <c r="K466" s="16"/>
      <c r="L466" s="16"/>
      <c r="M466" s="16"/>
      <c r="N466" s="16"/>
      <c r="O466" s="16"/>
      <c r="P466" s="16"/>
      <c r="Q466" s="16"/>
      <c r="R466" s="16"/>
      <c r="S466" s="16"/>
      <c r="T466" s="16"/>
      <c r="U466" s="16"/>
      <c r="V466" s="16"/>
      <c r="W466" s="16"/>
      <c r="X466" s="16"/>
      <c r="Y466" s="16"/>
      <c r="Z466" s="16"/>
    </row>
    <row r="467">
      <c r="A467" s="16" t="str">
        <f>IFERROR(__xludf.DUMMYFUNCTION("""COMPUTED_VALUE"""),"Chest of Evershifting Darkness")</f>
        <v>Chest of Evershifting Darkness</v>
      </c>
      <c r="B467" s="16" t="str">
        <f>IFERROR(__xludf.DUMMYFUNCTION("""COMPUTED_VALUE"""),"Quest Item")</f>
        <v>Quest Item</v>
      </c>
      <c r="C467" s="16"/>
      <c r="D467" s="16" t="str">
        <f>IFERROR(__xludf.DUMMYFUNCTION("""COMPUTED_VALUE"""),"Torso")</f>
        <v>Torso</v>
      </c>
      <c r="E467" s="16">
        <f>IFERROR(__xludf.DUMMYFUNCTION("""COMPUTED_VALUE"""),200.0)</f>
        <v>200</v>
      </c>
      <c r="F467" s="16" t="str">
        <f>IFERROR(__xludf.DUMMYFUNCTION("""COMPUTED_VALUE"""),"DEF: +25000, Light DEF: +25000, Order DEF: +25000, Celestial DEF: +30000 (Shuttering Shadows Set) ++X4 Damage whilst invulnerable breaking invulnerability upon being used. +-Cannot be Duplicated. +-Ninja Only")</f>
        <v>DEF: +25000, Light DEF: +25000, Order DEF: +25000, Celestial DEF: +30000 (Shuttering Shadows Set) ++X4 Damage whilst invulnerable breaking invulnerability upon being used. +-Cannot be Duplicated. +-Ninja Only</v>
      </c>
      <c r="G467" s="16">
        <f>IFERROR(__xludf.DUMMYFUNCTION("""COMPUTED_VALUE"""),2.1945E8)</f>
        <v>219450000</v>
      </c>
      <c r="H467" s="16"/>
      <c r="I467" s="16"/>
      <c r="J467" s="16"/>
      <c r="K467" s="16"/>
      <c r="L467" s="16"/>
      <c r="M467" s="16"/>
      <c r="N467" s="16"/>
      <c r="O467" s="16"/>
      <c r="P467" s="16"/>
      <c r="Q467" s="16"/>
      <c r="R467" s="16"/>
      <c r="S467" s="16"/>
      <c r="T467" s="16"/>
      <c r="U467" s="16"/>
      <c r="V467" s="16"/>
      <c r="W467" s="16"/>
      <c r="X467" s="16"/>
      <c r="Y467" s="16"/>
      <c r="Z467" s="16"/>
    </row>
    <row r="468">
      <c r="A468" s="16" t="str">
        <f>IFERROR(__xludf.DUMMYFUNCTION("""COMPUTED_VALUE"""),"Leather Boots of EDGINESS")</f>
        <v>Leather Boots of EDGINESS</v>
      </c>
      <c r="B468" s="16" t="str">
        <f>IFERROR(__xludf.DUMMYFUNCTION("""COMPUTED_VALUE"""),"Quest Item")</f>
        <v>Quest Item</v>
      </c>
      <c r="C468" s="16"/>
      <c r="D468" s="16" t="str">
        <f>IFERROR(__xludf.DUMMYFUNCTION("""COMPUTED_VALUE"""),"Feet")</f>
        <v>Feet</v>
      </c>
      <c r="E468" s="16">
        <f>IFERROR(__xludf.DUMMYFUNCTION("""COMPUTED_VALUE"""),200.0)</f>
        <v>200</v>
      </c>
      <c r="F468" s="16" t="str">
        <f>IFERROR(__xludf.DUMMYFUNCTION("""COMPUTED_VALUE"""),"DEF: +25000, Light DEF: +25000, Order DEF: +25000, Celestial DEF: +20000 (Shuttering Shadows Set) ++X2 Damage whilst invulnerable breaking invulnerability upon being used. +-Cannot be Duplicated. +-Ninja Only")</f>
        <v>DEF: +25000, Light DEF: +25000, Order DEF: +25000, Celestial DEF: +20000 (Shuttering Shadows Set) ++X2 Damage whilst invulnerable breaking invulnerability upon being used. +-Cannot be Duplicated. +-Ninja Only</v>
      </c>
      <c r="G468" s="16">
        <f>IFERROR(__xludf.DUMMYFUNCTION("""COMPUTED_VALUE"""),1.7955E8)</f>
        <v>179550000</v>
      </c>
      <c r="H468" s="16"/>
      <c r="I468" s="16"/>
      <c r="J468" s="16"/>
      <c r="K468" s="16"/>
      <c r="L468" s="16"/>
      <c r="M468" s="16"/>
      <c r="N468" s="16"/>
      <c r="O468" s="16"/>
      <c r="P468" s="16"/>
      <c r="Q468" s="16"/>
      <c r="R468" s="16"/>
      <c r="S468" s="16"/>
      <c r="T468" s="16"/>
      <c r="U468" s="16"/>
      <c r="V468" s="16"/>
      <c r="W468" s="16"/>
      <c r="X468" s="16"/>
      <c r="Y468" s="16"/>
      <c r="Z468" s="16"/>
    </row>
    <row r="469">
      <c r="A469" s="16" t="str">
        <f>IFERROR(__xludf.DUMMYFUNCTION("""COMPUTED_VALUE"""),"Silken Gloves of Dexterity")</f>
        <v>Silken Gloves of Dexterity</v>
      </c>
      <c r="B469" s="16" t="str">
        <f>IFERROR(__xludf.DUMMYFUNCTION("""COMPUTED_VALUE"""),"Quest Item")</f>
        <v>Quest Item</v>
      </c>
      <c r="C469" s="16"/>
      <c r="D469" s="16" t="str">
        <f>IFERROR(__xludf.DUMMYFUNCTION("""COMPUTED_VALUE"""),"Arms")</f>
        <v>Arms</v>
      </c>
      <c r="E469" s="16">
        <f>IFERROR(__xludf.DUMMYFUNCTION("""COMPUTED_VALUE"""),200.0)</f>
        <v>200</v>
      </c>
      <c r="F469" s="16" t="str">
        <f>IFERROR(__xludf.DUMMYFUNCTION("""COMPUTED_VALUE"""),"DEF: +25000, Light DEF: +25000, Order DEF: +25000, Celestial DEF: +20000 (Shuttering Shadows Set) ++gain +5 to attack rolls whilst invulnerable. ++the Knife attribute is 3X as likely to activate. +-Cannot be forged +-Cannot be duplicated +-Ninja Only")</f>
        <v>DEF: +25000, Light DEF: +25000, Order DEF: +25000, Celestial DEF: +20000 (Shuttering Shadows Set) ++gain +5 to attack rolls whilst invulnerable. ++the Knife attribute is 3X as likely to activate. +-Cannot be forged +-Cannot be duplicated +-Ninja Only</v>
      </c>
      <c r="G469" s="16">
        <f>IFERROR(__xludf.DUMMYFUNCTION("""COMPUTED_VALUE"""),1.7955E8)</f>
        <v>179550000</v>
      </c>
      <c r="H469" s="16"/>
      <c r="I469" s="16"/>
      <c r="J469" s="16"/>
      <c r="K469" s="16"/>
      <c r="L469" s="16"/>
      <c r="M469" s="16"/>
      <c r="N469" s="16"/>
      <c r="O469" s="16"/>
      <c r="P469" s="16"/>
      <c r="Q469" s="16"/>
      <c r="R469" s="16"/>
      <c r="S469" s="16"/>
      <c r="T469" s="16"/>
      <c r="U469" s="16"/>
      <c r="V469" s="16"/>
      <c r="W469" s="16"/>
      <c r="X469" s="16"/>
      <c r="Y469" s="16"/>
      <c r="Z469" s="16"/>
    </row>
    <row r="470">
      <c r="A470" s="16" t="str">
        <f>IFERROR(__xludf.DUMMYFUNCTION("""COMPUTED_VALUE"""),"Leggings of Swift Death")</f>
        <v>Leggings of Swift Death</v>
      </c>
      <c r="B470" s="16" t="str">
        <f>IFERROR(__xludf.DUMMYFUNCTION("""COMPUTED_VALUE"""),"Quest Item")</f>
        <v>Quest Item</v>
      </c>
      <c r="C470" s="16"/>
      <c r="D470" s="16" t="str">
        <f>IFERROR(__xludf.DUMMYFUNCTION("""COMPUTED_VALUE"""),"Legs")</f>
        <v>Legs</v>
      </c>
      <c r="E470" s="16">
        <f>IFERROR(__xludf.DUMMYFUNCTION("""COMPUTED_VALUE"""),200.0)</f>
        <v>200</v>
      </c>
      <c r="F470" s="16" t="str">
        <f>IFERROR(__xludf.DUMMYFUNCTION("""COMPUTED_VALUE"""),"DEF: +25000, Light DEF: +25000, Order DEF: +25000, Celestial DEF: +20000 (Shuttering Shadows Set) ++X2 Damage whilst invulnerable breaking invulnerability upon being used, +-Cannot be Duplicated, +-Ninja Only")</f>
        <v>DEF: +25000, Light DEF: +25000, Order DEF: +25000, Celestial DEF: +20000 (Shuttering Shadows Set) ++X2 Damage whilst invulnerable breaking invulnerability upon being used, +-Cannot be Duplicated, +-Ninja Only</v>
      </c>
      <c r="G470" s="16">
        <f>IFERROR(__xludf.DUMMYFUNCTION("""COMPUTED_VALUE"""),1.7955E8)</f>
        <v>179550000</v>
      </c>
      <c r="H470" s="16"/>
      <c r="I470" s="16"/>
      <c r="J470" s="16"/>
      <c r="K470" s="16"/>
      <c r="L470" s="16"/>
      <c r="M470" s="16"/>
      <c r="N470" s="16"/>
      <c r="O470" s="16"/>
      <c r="P470" s="16"/>
      <c r="Q470" s="16"/>
      <c r="R470" s="16"/>
      <c r="S470" s="16"/>
      <c r="T470" s="16"/>
      <c r="U470" s="16"/>
      <c r="V470" s="16"/>
      <c r="W470" s="16"/>
      <c r="X470" s="16"/>
      <c r="Y470" s="16"/>
      <c r="Z470" s="16"/>
    </row>
    <row r="471">
      <c r="A471" s="16" t="str">
        <f>IFERROR(__xludf.DUMMYFUNCTION("""COMPUTED_VALUE"""),"Cape of Illusion")</f>
        <v>Cape of Illusion</v>
      </c>
      <c r="B471" s="16" t="str">
        <f>IFERROR(__xludf.DUMMYFUNCTION("""COMPUTED_VALUE"""),"Quest Item")</f>
        <v>Quest Item</v>
      </c>
      <c r="C471" s="16"/>
      <c r="D471" s="16" t="str">
        <f>IFERROR(__xludf.DUMMYFUNCTION("""COMPUTED_VALUE"""),"Shoulders")</f>
        <v>Shoulders</v>
      </c>
      <c r="E471" s="16">
        <f>IFERROR(__xludf.DUMMYFUNCTION("""COMPUTED_VALUE"""),200.0)</f>
        <v>200</v>
      </c>
      <c r="F471" s="16" t="str">
        <f>IFERROR(__xludf.DUMMYFUNCTION("""COMPUTED_VALUE"""),"DEF: +25000, Light DEF: +25000, Order DEF: +25000, Celestial DEF: +20000 (Shuttering Shadows Set) ++X2 Damage whilst invulnerable breaking invulnerability upon being used, 50% chance to become unaffected by an Instant death effect. ++Conceal: upon enterin"&amp;"g combat you are invulnerable for 1 round or until you attack +-Cannot be forged +-Cannot be duplicated +-Ninja Only")</f>
        <v>DEF: +25000, Light DEF: +25000, Order DEF: +25000, Celestial DEF: +20000 (Shuttering Shadows Set) ++X2 Damage whilst invulnerable breaking invulnerability upon being used, 50% chance to become unaffected by an Instant death effect. ++Conceal: upon entering combat you are invulnerable for 1 round or until you attack +-Cannot be forged +-Cannot be duplicated +-Ninja Only</v>
      </c>
      <c r="G471" s="16">
        <f>IFERROR(__xludf.DUMMYFUNCTION("""COMPUTED_VALUE"""),1.7955E8)</f>
        <v>179550000</v>
      </c>
      <c r="H471" s="16"/>
      <c r="I471" s="16"/>
      <c r="J471" s="16"/>
      <c r="K471" s="16"/>
      <c r="L471" s="16"/>
      <c r="M471" s="16"/>
      <c r="N471" s="16"/>
      <c r="O471" s="16"/>
      <c r="P471" s="16"/>
      <c r="Q471" s="16"/>
      <c r="R471" s="16"/>
      <c r="S471" s="16"/>
      <c r="T471" s="16"/>
      <c r="U471" s="16"/>
      <c r="V471" s="16"/>
      <c r="W471" s="16"/>
      <c r="X471" s="16"/>
      <c r="Y471" s="16"/>
      <c r="Z471" s="16"/>
    </row>
    <row r="472">
      <c r="A472" s="16" t="str">
        <f>IFERROR(__xludf.DUMMYFUNCTION("""COMPUTED_VALUE"""),"Assassin's Kiss")</f>
        <v>Assassin's Kiss</v>
      </c>
      <c r="B472" s="16" t="str">
        <f>IFERROR(__xludf.DUMMYFUNCTION("""COMPUTED_VALUE"""),"Quest Item")</f>
        <v>Quest Item</v>
      </c>
      <c r="C472" s="16" t="str">
        <f>IFERROR(__xludf.DUMMYFUNCTION("""COMPUTED_VALUE"""),"Knife")</f>
        <v>Knife</v>
      </c>
      <c r="D472" s="16" t="str">
        <f>IFERROR(__xludf.DUMMYFUNCTION("""COMPUTED_VALUE"""),"Hand")</f>
        <v>Hand</v>
      </c>
      <c r="E472" s="16">
        <f>IFERROR(__xludf.DUMMYFUNCTION("""COMPUTED_VALUE"""),200.0)</f>
        <v>200</v>
      </c>
      <c r="F472" s="16" t="str">
        <f>IFERROR(__xludf.DUMMYFUNCTION("""COMPUTED_VALUE"""),"DMG: +50000, Dark DMG: +25000, Chaos DMG: +25000, Celestial DMG: +10000 (Shuttering Shadows Set) ++X4 Damage whilst invulnerable breaking invulnerability upon being used. ++When equipped with the Night's Edge attack with both weapons at the same time. +-C"&amp;"annot be Duplicated Must be used in conjunction with the Night's Edge or any weapon the Night's Edge is forged into, +-Ninja Only")</f>
        <v>DMG: +50000, Dark DMG: +25000, Chaos DMG: +25000, Celestial DMG: +10000 (Shuttering Shadows Set) ++X4 Damage whilst invulnerable breaking invulnerability upon being used. ++When equipped with the Night's Edge attack with both weapons at the same time. +-Cannot be Duplicated Must be used in conjunction with the Night's Edge or any weapon the Night's Edge is forged into, +-Ninja Only</v>
      </c>
      <c r="G472" s="16">
        <f>IFERROR(__xludf.DUMMYFUNCTION("""COMPUTED_VALUE"""),2.409E8)</f>
        <v>240900000</v>
      </c>
      <c r="H472" s="16"/>
      <c r="I472" s="16"/>
      <c r="J472" s="16"/>
      <c r="K472" s="16"/>
      <c r="L472" s="16"/>
      <c r="M472" s="16"/>
      <c r="N472" s="16"/>
      <c r="O472" s="16"/>
      <c r="P472" s="16"/>
      <c r="Q472" s="16"/>
      <c r="R472" s="16"/>
      <c r="S472" s="16"/>
      <c r="T472" s="16"/>
      <c r="U472" s="16"/>
      <c r="V472" s="16"/>
      <c r="W472" s="16"/>
      <c r="X472" s="16"/>
      <c r="Y472" s="16"/>
      <c r="Z472" s="16"/>
    </row>
    <row r="473">
      <c r="A473" s="16" t="str">
        <f>IFERROR(__xludf.DUMMYFUNCTION("""COMPUTED_VALUE"""),"Night's Edge")</f>
        <v>Night's Edge</v>
      </c>
      <c r="B473" s="16" t="str">
        <f>IFERROR(__xludf.DUMMYFUNCTION("""COMPUTED_VALUE"""),"Quest Item")</f>
        <v>Quest Item</v>
      </c>
      <c r="C473" s="16" t="str">
        <f>IFERROR(__xludf.DUMMYFUNCTION("""COMPUTED_VALUE"""),"Knife")</f>
        <v>Knife</v>
      </c>
      <c r="D473" s="16" t="str">
        <f>IFERROR(__xludf.DUMMYFUNCTION("""COMPUTED_VALUE"""),"Hand")</f>
        <v>Hand</v>
      </c>
      <c r="E473" s="16">
        <f>IFERROR(__xludf.DUMMYFUNCTION("""COMPUTED_VALUE"""),200.0)</f>
        <v>200</v>
      </c>
      <c r="F473" s="16" t="str">
        <f>IFERROR(__xludf.DUMMYFUNCTION("""COMPUTED_VALUE"""),"DMG: +50000, Dark DMG: +25000, Chaos DMG: +25000, Celestial DMG: +10000 (Shuttering Shadows Set) ++X4 Damage whilst invulnerable breaking invulnerability upon being used, When equipped with the Assassin's Kiss, attack with both weapons at the same time. +"&amp;"-Cannot be Duplicated, +-Must be Equipped with the Assassin's Kiss +-Ninja Only")</f>
        <v>DMG: +50000, Dark DMG: +25000, Chaos DMG: +25000, Celestial DMG: +10000 (Shuttering Shadows Set) ++X4 Damage whilst invulnerable breaking invulnerability upon being used, When equipped with the Assassin's Kiss, attack with both weapons at the same time. +-Cannot be Duplicated, +-Must be Equipped with the Assassin's Kiss +-Ninja Only</v>
      </c>
      <c r="G473" s="16">
        <f>IFERROR(__xludf.DUMMYFUNCTION("""COMPUTED_VALUE"""),2.409E8)</f>
        <v>240900000</v>
      </c>
      <c r="H473" s="16"/>
      <c r="I473" s="16"/>
      <c r="J473" s="16"/>
      <c r="K473" s="16"/>
      <c r="L473" s="16"/>
      <c r="M473" s="16"/>
      <c r="N473" s="16"/>
      <c r="O473" s="16"/>
      <c r="P473" s="16"/>
      <c r="Q473" s="16"/>
      <c r="R473" s="16"/>
      <c r="S473" s="16"/>
      <c r="T473" s="16"/>
      <c r="U473" s="16"/>
      <c r="V473" s="16"/>
      <c r="W473" s="16"/>
      <c r="X473" s="16"/>
      <c r="Y473" s="16"/>
      <c r="Z473" s="16"/>
    </row>
    <row r="474">
      <c r="A474" s="16" t="str">
        <f>IFERROR(__xludf.DUMMYFUNCTION("""COMPUTED_VALUE"""),"Ancient Draconian Deity Necklace")</f>
        <v>Ancient Draconian Deity Necklace</v>
      </c>
      <c r="B474" s="16"/>
      <c r="C474" s="16"/>
      <c r="D474" s="16" t="str">
        <f>IFERROR(__xludf.DUMMYFUNCTION("""COMPUTED_VALUE"""),"Neck")</f>
        <v>Neck</v>
      </c>
      <c r="E474" s="16">
        <f>IFERROR(__xludf.DUMMYFUNCTION("""COMPUTED_VALUE"""),1.0)</f>
        <v>1</v>
      </c>
      <c r="F474" s="16" t="str">
        <f>IFERROR(__xludf.DUMMYFUNCTION("""COMPUTED_VALUE""")," ++5 to all d20 rolls, +-Cannot be duplicated.")</f>
        <v> ++5 to all d20 rolls, +-Cannot be duplicated.</v>
      </c>
      <c r="G474" s="16">
        <f>IFERROR(__xludf.DUMMYFUNCTION("""COMPUTED_VALUE"""),0.0)</f>
        <v>0</v>
      </c>
      <c r="H474" s="16"/>
      <c r="I474" s="16"/>
      <c r="J474" s="16"/>
      <c r="K474" s="16"/>
      <c r="L474" s="16"/>
      <c r="M474" s="16"/>
      <c r="N474" s="16"/>
      <c r="O474" s="16"/>
      <c r="P474" s="16"/>
      <c r="Q474" s="16"/>
      <c r="R474" s="16"/>
      <c r="S474" s="16"/>
      <c r="T474" s="16"/>
      <c r="U474" s="16"/>
      <c r="V474" s="16"/>
      <c r="W474" s="16"/>
      <c r="X474" s="16"/>
      <c r="Y474" s="16"/>
      <c r="Z474" s="16"/>
    </row>
    <row r="475">
      <c r="A475" s="16" t="str">
        <f>IFERROR(__xludf.DUMMYFUNCTION("""COMPUTED_VALUE"""),"Gungnir")</f>
        <v>Gungnir</v>
      </c>
      <c r="B475" s="16"/>
      <c r="C475" s="16" t="str">
        <f>IFERROR(__xludf.DUMMYFUNCTION("""COMPUTED_VALUE"""),"Spear")</f>
        <v>Spear</v>
      </c>
      <c r="D475" s="16" t="str">
        <f>IFERROR(__xludf.DUMMYFUNCTION("""COMPUTED_VALUE"""),"Hand")</f>
        <v>Hand</v>
      </c>
      <c r="E475" s="16">
        <f>IFERROR(__xludf.DUMMYFUNCTION("""COMPUTED_VALUE"""),1.0)</f>
        <v>1</v>
      </c>
      <c r="F475" s="16"/>
      <c r="G475" s="16">
        <f>IFERROR(__xludf.DUMMYFUNCTION("""COMPUTED_VALUE"""),0.0)</f>
        <v>0</v>
      </c>
      <c r="H475" s="16"/>
      <c r="I475" s="16"/>
      <c r="J475" s="16"/>
      <c r="K475" s="16"/>
      <c r="L475" s="16"/>
      <c r="M475" s="16"/>
      <c r="N475" s="16"/>
      <c r="O475" s="16"/>
      <c r="P475" s="16"/>
      <c r="Q475" s="16"/>
      <c r="R475" s="16"/>
      <c r="S475" s="16"/>
      <c r="T475" s="16"/>
      <c r="U475" s="16"/>
      <c r="V475" s="16"/>
      <c r="W475" s="16"/>
      <c r="X475" s="16"/>
      <c r="Y475" s="16"/>
      <c r="Z475" s="16"/>
    </row>
    <row r="476">
      <c r="A476" s="16" t="str">
        <f>IFERROR(__xludf.DUMMYFUNCTION("""COMPUTED_VALUE"""),"Gaia's Rock Hammer")</f>
        <v>Gaia's Rock Hammer</v>
      </c>
      <c r="B476" s="16" t="str">
        <f>IFERROR(__xludf.DUMMYFUNCTION("""COMPUTED_VALUE"""),"Quest Item")</f>
        <v>Quest Item</v>
      </c>
      <c r="C476" s="16" t="str">
        <f>IFERROR(__xludf.DUMMYFUNCTION("""COMPUTED_VALUE"""),"Club")</f>
        <v>Club</v>
      </c>
      <c r="D476" s="16" t="str">
        <f>IFERROR(__xludf.DUMMYFUNCTION("""COMPUTED_VALUE"""),"Hand")</f>
        <v>Hand</v>
      </c>
      <c r="E476" s="16">
        <f>IFERROR(__xludf.DUMMYFUNCTION("""COMPUTED_VALUE"""),200.0)</f>
        <v>200</v>
      </c>
      <c r="F476" s="16" t="str">
        <f>IFERROR(__xludf.DUMMYFUNCTION("""COMPUTED_VALUE"""),"DMG: +25000, Earth DMG: +100000, Nature DMG: +15000, Celestial DMG: +25000 ++X4 Earth damage. Gaia's Slumber: ++50% chance to put target to sleep. +-Cannot be duplicated, +-You can only acquire one of these")</f>
        <v>DMG: +25000, Earth DMG: +100000, Nature DMG: +15000, Celestial DMG: +25000 ++X4 Earth damage. Gaia's Slumber: ++50% chance to put target to sleep. +-Cannot be duplicated, +-You can only acquire one of these</v>
      </c>
      <c r="G476" s="16">
        <f>IFERROR(__xludf.DUMMYFUNCTION("""COMPUTED_VALUE"""),5.4285E8)</f>
        <v>542850000</v>
      </c>
      <c r="H476" s="16"/>
      <c r="I476" s="16"/>
      <c r="J476" s="16"/>
      <c r="K476" s="16"/>
      <c r="L476" s="16"/>
      <c r="M476" s="16"/>
      <c r="N476" s="16"/>
      <c r="O476" s="16"/>
      <c r="P476" s="16"/>
      <c r="Q476" s="16"/>
      <c r="R476" s="16"/>
      <c r="S476" s="16"/>
      <c r="T476" s="16"/>
      <c r="U476" s="16"/>
      <c r="V476" s="16"/>
      <c r="W476" s="16"/>
      <c r="X476" s="16"/>
      <c r="Y476" s="16"/>
      <c r="Z476" s="16"/>
    </row>
    <row r="477">
      <c r="A477" s="16" t="str">
        <f>IFERROR(__xludf.DUMMYFUNCTION("""COMPUTED_VALUE"""),"Bahamut's Claw")</f>
        <v>Bahamut's Claw</v>
      </c>
      <c r="B477" s="16" t="str">
        <f>IFERROR(__xludf.DUMMYFUNCTION("""COMPUTED_VALUE"""),"Mob Exclusive")</f>
        <v>Mob Exclusive</v>
      </c>
      <c r="C477" s="16" t="str">
        <f>IFERROR(__xludf.DUMMYFUNCTION("""COMPUTED_VALUE"""),"Claw")</f>
        <v>Claw</v>
      </c>
      <c r="D477" s="16" t="str">
        <f>IFERROR(__xludf.DUMMYFUNCTION("""COMPUTED_VALUE"""),"Hand")</f>
        <v>Hand</v>
      </c>
      <c r="E477" s="16">
        <f>IFERROR(__xludf.DUMMYFUNCTION("""COMPUTED_VALUE"""),200.0)</f>
        <v>200</v>
      </c>
      <c r="F477" s="16" t="str">
        <f>IFERROR(__xludf.DUMMYFUNCTION("""COMPUTED_VALUE"""),"DMG: +250000, Delta DMG: +250000, Celestial DMG: +250000 +-Cannot resist or be immune to this attack. ++Bahamut's Bloodlust: Heals Bahamut by 2X damage dealt with this weapon. 50% chance to remove any hit enemy from battle")</f>
        <v>DMG: +250000, Delta DMG: +250000, Celestial DMG: +250000 +-Cannot resist or be immune to this attack. ++Bahamut's Bloodlust: Heals Bahamut by 2X damage dealt with this weapon. 50% chance to remove any hit enemy from battle</v>
      </c>
      <c r="G477" s="16">
        <f>IFERROR(__xludf.DUMMYFUNCTION("""COMPUTED_VALUE"""),1.12425E10)</f>
        <v>11242500000</v>
      </c>
      <c r="H477" s="16"/>
      <c r="I477" s="16"/>
      <c r="J477" s="16"/>
      <c r="K477" s="16"/>
      <c r="L477" s="16"/>
      <c r="M477" s="16"/>
      <c r="N477" s="16"/>
      <c r="O477" s="16"/>
      <c r="P477" s="16"/>
      <c r="Q477" s="16"/>
      <c r="R477" s="16"/>
      <c r="S477" s="16"/>
      <c r="T477" s="16"/>
      <c r="U477" s="16"/>
      <c r="V477" s="16"/>
      <c r="W477" s="16"/>
      <c r="X477" s="16"/>
      <c r="Y477" s="16"/>
      <c r="Z477" s="16"/>
    </row>
    <row r="478">
      <c r="A478" s="16" t="str">
        <f>IFERROR(__xludf.DUMMYFUNCTION("""COMPUTED_VALUE"""),"Chronos' Staff of Time")</f>
        <v>Chronos' Staff of Time</v>
      </c>
      <c r="B478" s="16"/>
      <c r="C478" s="16" t="str">
        <f>IFERROR(__xludf.DUMMYFUNCTION("""COMPUTED_VALUE"""),"Staff")</f>
        <v>Staff</v>
      </c>
      <c r="D478" s="16" t="str">
        <f>IFERROR(__xludf.DUMMYFUNCTION("""COMPUTED_VALUE"""),"Hand")</f>
        <v>Hand</v>
      </c>
      <c r="E478" s="16">
        <f>IFERROR(__xludf.DUMMYFUNCTION("""COMPUTED_VALUE"""),1.0)</f>
        <v>1</v>
      </c>
      <c r="F478" s="16"/>
      <c r="G478" s="16">
        <f>IFERROR(__xludf.DUMMYFUNCTION("""COMPUTED_VALUE"""),0.0)</f>
        <v>0</v>
      </c>
      <c r="H478" s="16"/>
      <c r="I478" s="16"/>
      <c r="J478" s="16"/>
      <c r="K478" s="16"/>
      <c r="L478" s="16"/>
      <c r="M478" s="16"/>
      <c r="N478" s="16"/>
      <c r="O478" s="16"/>
      <c r="P478" s="16"/>
      <c r="Q478" s="16"/>
      <c r="R478" s="16"/>
      <c r="S478" s="16"/>
      <c r="T478" s="16"/>
      <c r="U478" s="16"/>
      <c r="V478" s="16"/>
      <c r="W478" s="16"/>
      <c r="X478" s="16"/>
      <c r="Y478" s="16"/>
      <c r="Z478" s="16"/>
    </row>
    <row r="479">
      <c r="A479" s="16" t="str">
        <f>IFERROR(__xludf.DUMMYFUNCTION("""COMPUTED_VALUE"""),"Scimitar")</f>
        <v>Scimitar</v>
      </c>
      <c r="B479" s="16"/>
      <c r="C479" s="16" t="str">
        <f>IFERROR(__xludf.DUMMYFUNCTION("""COMPUTED_VALUE"""),"Sword")</f>
        <v>Sword</v>
      </c>
      <c r="D479" s="16" t="str">
        <f>IFERROR(__xludf.DUMMYFUNCTION("""COMPUTED_VALUE"""),"Hand")</f>
        <v>Hand</v>
      </c>
      <c r="E479" s="16">
        <f>IFERROR(__xludf.DUMMYFUNCTION("""COMPUTED_VALUE"""),300.0)</f>
        <v>300</v>
      </c>
      <c r="F479" s="16" t="str">
        <f>IFERROR(__xludf.DUMMYFUNCTION("""COMPUTED_VALUE"""),"DMG: +10000, Fire DMG: +5000")</f>
        <v>DMG: +10000, Fire DMG: +5000</v>
      </c>
      <c r="G479" s="16">
        <f>IFERROR(__xludf.DUMMYFUNCTION("""COMPUTED_VALUE"""),4350000.0)</f>
        <v>4350000</v>
      </c>
      <c r="H479" s="16"/>
      <c r="I479" s="16"/>
      <c r="J479" s="16"/>
      <c r="K479" s="16"/>
      <c r="L479" s="16"/>
      <c r="M479" s="16"/>
      <c r="N479" s="16"/>
      <c r="O479" s="16"/>
      <c r="P479" s="16"/>
      <c r="Q479" s="16"/>
      <c r="R479" s="16"/>
      <c r="S479" s="16"/>
      <c r="T479" s="16"/>
      <c r="U479" s="16"/>
      <c r="V479" s="16"/>
      <c r="W479" s="16"/>
      <c r="X479" s="16"/>
      <c r="Y479" s="16"/>
      <c r="Z479" s="16"/>
    </row>
    <row r="480">
      <c r="A480" s="16" t="str">
        <f>IFERROR(__xludf.DUMMYFUNCTION("""COMPUTED_VALUE"""),"Gaia's Helmet of Earthen Fortitude")</f>
        <v>Gaia's Helmet of Earthen Fortitude</v>
      </c>
      <c r="B480" s="16" t="str">
        <f>IFERROR(__xludf.DUMMYFUNCTION("""COMPUTED_VALUE"""),"Mob Exclusive")</f>
        <v>Mob Exclusive</v>
      </c>
      <c r="C480" s="16"/>
      <c r="D480" s="16" t="str">
        <f>IFERROR(__xludf.DUMMYFUNCTION("""COMPUTED_VALUE"""),"Head")</f>
        <v>Head</v>
      </c>
      <c r="E480" s="16">
        <f>IFERROR(__xludf.DUMMYFUNCTION("""COMPUTED_VALUE"""),200.0)</f>
        <v>200</v>
      </c>
      <c r="F480" s="16" t="str">
        <f>IFERROR(__xludf.DUMMYFUNCTION("""COMPUTED_VALUE"""),"DEF: +50000, Fire DEF: +35000, Celestial DEF: +50000 ++X2 Earth Damage for self. ++X2 Defense for self. ++Godly Authority: 50% chance to possess one enemy once per battle.")</f>
        <v>DEF: +50000, Fire DEF: +35000, Celestial DEF: +50000 ++X2 Earth Damage for self. ++X2 Defense for self. ++Godly Authority: 50% chance to possess one enemy once per battle.</v>
      </c>
      <c r="G480" s="16">
        <f>IFERROR(__xludf.DUMMYFUNCTION("""COMPUTED_VALUE"""),3.6315E8)</f>
        <v>363150000</v>
      </c>
      <c r="H480" s="16"/>
      <c r="I480" s="16"/>
      <c r="J480" s="16"/>
      <c r="K480" s="16"/>
      <c r="L480" s="16"/>
      <c r="M480" s="16"/>
      <c r="N480" s="16"/>
      <c r="O480" s="16"/>
      <c r="P480" s="16"/>
      <c r="Q480" s="16"/>
      <c r="R480" s="16"/>
      <c r="S480" s="16"/>
      <c r="T480" s="16"/>
      <c r="U480" s="16"/>
      <c r="V480" s="16"/>
      <c r="W480" s="16"/>
      <c r="X480" s="16"/>
      <c r="Y480" s="16"/>
      <c r="Z480" s="16"/>
    </row>
    <row r="481">
      <c r="A481" s="16" t="str">
        <f>IFERROR(__xludf.DUMMYFUNCTION("""COMPUTED_VALUE"""),"Gaia's Pendant")</f>
        <v>Gaia's Pendant</v>
      </c>
      <c r="B481" s="16" t="str">
        <f>IFERROR(__xludf.DUMMYFUNCTION("""COMPUTED_VALUE"""),"Mob Exclusive")</f>
        <v>Mob Exclusive</v>
      </c>
      <c r="C481" s="16"/>
      <c r="D481" s="16" t="str">
        <f>IFERROR(__xludf.DUMMYFUNCTION("""COMPUTED_VALUE"""),"Neck")</f>
        <v>Neck</v>
      </c>
      <c r="E481" s="16">
        <f>IFERROR(__xludf.DUMMYFUNCTION("""COMPUTED_VALUE"""),1.0)</f>
        <v>1</v>
      </c>
      <c r="F481" s="16" t="str">
        <f>IFERROR(__xludf.DUMMYFUNCTION("""COMPUTED_VALUE""")," ++Revives entire party upon death of the wearer. +-one use per battle")</f>
        <v> ++Revives entire party upon death of the wearer. +-one use per battle</v>
      </c>
      <c r="G481" s="16">
        <f>IFERROR(__xludf.DUMMYFUNCTION("""COMPUTED_VALUE"""),0.0)</f>
        <v>0</v>
      </c>
      <c r="H481" s="16"/>
      <c r="I481" s="16"/>
      <c r="J481" s="16"/>
      <c r="K481" s="16"/>
      <c r="L481" s="16"/>
      <c r="M481" s="16"/>
      <c r="N481" s="16"/>
      <c r="O481" s="16"/>
      <c r="P481" s="16"/>
      <c r="Q481" s="16"/>
      <c r="R481" s="16"/>
      <c r="S481" s="16"/>
      <c r="T481" s="16"/>
      <c r="U481" s="16"/>
      <c r="V481" s="16"/>
      <c r="W481" s="16"/>
      <c r="X481" s="16"/>
      <c r="Y481" s="16"/>
      <c r="Z481" s="16"/>
    </row>
    <row r="482">
      <c r="A482" s="16" t="str">
        <f>IFERROR(__xludf.DUMMYFUNCTION("""COMPUTED_VALUE"""),"Gaia's Sandals of Earthen Fortitude")</f>
        <v>Gaia's Sandals of Earthen Fortitude</v>
      </c>
      <c r="B482" s="16" t="str">
        <f>IFERROR(__xludf.DUMMYFUNCTION("""COMPUTED_VALUE"""),"Mob Exclusive")</f>
        <v>Mob Exclusive</v>
      </c>
      <c r="C482" s="16"/>
      <c r="D482" s="16" t="str">
        <f>IFERROR(__xludf.DUMMYFUNCTION("""COMPUTED_VALUE"""),"Feet")</f>
        <v>Feet</v>
      </c>
      <c r="E482" s="16">
        <f>IFERROR(__xludf.DUMMYFUNCTION("""COMPUTED_VALUE"""),200.0)</f>
        <v>200</v>
      </c>
      <c r="F482" s="16" t="str">
        <f>IFERROR(__xludf.DUMMYFUNCTION("""COMPUTED_VALUE"""),"DEF: +50000, Fire DEF: +35000, Celestial DEF: +50000 ++X2 Earth Damage for self. ++X2 Defense for self")</f>
        <v>DEF: +50000, Fire DEF: +35000, Celestial DEF: +50000 ++X2 Earth Damage for self. ++X2 Defense for self</v>
      </c>
      <c r="G482" s="16">
        <f>IFERROR(__xludf.DUMMYFUNCTION("""COMPUTED_VALUE"""),3.6315E8)</f>
        <v>363150000</v>
      </c>
      <c r="H482" s="16"/>
      <c r="I482" s="16"/>
      <c r="J482" s="16"/>
      <c r="K482" s="16"/>
      <c r="L482" s="16"/>
      <c r="M482" s="16"/>
      <c r="N482" s="16"/>
      <c r="O482" s="16"/>
      <c r="P482" s="16"/>
      <c r="Q482" s="16"/>
      <c r="R482" s="16"/>
      <c r="S482" s="16"/>
      <c r="T482" s="16"/>
      <c r="U482" s="16"/>
      <c r="V482" s="16"/>
      <c r="W482" s="16"/>
      <c r="X482" s="16"/>
      <c r="Y482" s="16"/>
      <c r="Z482" s="16"/>
    </row>
    <row r="483">
      <c r="A483" s="16" t="str">
        <f>IFERROR(__xludf.DUMMYFUNCTION("""COMPUTED_VALUE"""),"Gaia's Gloves")</f>
        <v>Gaia's Gloves</v>
      </c>
      <c r="B483" s="16" t="str">
        <f>IFERROR(__xludf.DUMMYFUNCTION("""COMPUTED_VALUE"""),"Mob Exclusive")</f>
        <v>Mob Exclusive</v>
      </c>
      <c r="C483" s="16"/>
      <c r="D483" s="16" t="str">
        <f>IFERROR(__xludf.DUMMYFUNCTION("""COMPUTED_VALUE"""),"Arms")</f>
        <v>Arms</v>
      </c>
      <c r="E483" s="16">
        <f>IFERROR(__xludf.DUMMYFUNCTION("""COMPUTED_VALUE"""),200.0)</f>
        <v>200</v>
      </c>
      <c r="F483" s="16" t="str">
        <f>IFERROR(__xludf.DUMMYFUNCTION("""COMPUTED_VALUE"""),"DEF: +50000, Fire DEF: +35000, Celestial DEF: +50000 ++X2 Earth Damage for self. ++X2 Defense for self")</f>
        <v>DEF: +50000, Fire DEF: +35000, Celestial DEF: +50000 ++X2 Earth Damage for self. ++X2 Defense for self</v>
      </c>
      <c r="G483" s="16">
        <f>IFERROR(__xludf.DUMMYFUNCTION("""COMPUTED_VALUE"""),3.6315E8)</f>
        <v>363150000</v>
      </c>
      <c r="H483" s="16"/>
      <c r="I483" s="16"/>
      <c r="J483" s="16"/>
      <c r="K483" s="16"/>
      <c r="L483" s="16"/>
      <c r="M483" s="16"/>
      <c r="N483" s="16"/>
      <c r="O483" s="16"/>
      <c r="P483" s="16"/>
      <c r="Q483" s="16"/>
      <c r="R483" s="16"/>
      <c r="S483" s="16"/>
      <c r="T483" s="16"/>
      <c r="U483" s="16"/>
      <c r="V483" s="16"/>
      <c r="W483" s="16"/>
      <c r="X483" s="16"/>
      <c r="Y483" s="16"/>
      <c r="Z483" s="16"/>
    </row>
    <row r="484">
      <c r="A484" s="16" t="str">
        <f>IFERROR(__xludf.DUMMYFUNCTION("""COMPUTED_VALUE"""),"Gaia's Gaiters")</f>
        <v>Gaia's Gaiters</v>
      </c>
      <c r="B484" s="16" t="str">
        <f>IFERROR(__xludf.DUMMYFUNCTION("""COMPUTED_VALUE"""),"Mob Exclusive")</f>
        <v>Mob Exclusive</v>
      </c>
      <c r="C484" s="16"/>
      <c r="D484" s="16" t="str">
        <f>IFERROR(__xludf.DUMMYFUNCTION("""COMPUTED_VALUE"""),"Legs")</f>
        <v>Legs</v>
      </c>
      <c r="E484" s="16">
        <f>IFERROR(__xludf.DUMMYFUNCTION("""COMPUTED_VALUE"""),200.0)</f>
        <v>200</v>
      </c>
      <c r="F484" s="16" t="str">
        <f>IFERROR(__xludf.DUMMYFUNCTION("""COMPUTED_VALUE"""),"DEF: +50000, Fire DEF: +35000, Celestial DEF: +50000 ++X2 Earth Damage for self. ++X2 Defense for self")</f>
        <v>DEF: +50000, Fire DEF: +35000, Celestial DEF: +50000 ++X2 Earth Damage for self. ++X2 Defense for self</v>
      </c>
      <c r="G484" s="16">
        <f>IFERROR(__xludf.DUMMYFUNCTION("""COMPUTED_VALUE"""),3.6315E8)</f>
        <v>363150000</v>
      </c>
      <c r="H484" s="16"/>
      <c r="I484" s="16"/>
      <c r="J484" s="16"/>
      <c r="K484" s="16"/>
      <c r="L484" s="16"/>
      <c r="M484" s="16"/>
      <c r="N484" s="16"/>
      <c r="O484" s="16"/>
      <c r="P484" s="16"/>
      <c r="Q484" s="16"/>
      <c r="R484" s="16"/>
      <c r="S484" s="16"/>
      <c r="T484" s="16"/>
      <c r="U484" s="16"/>
      <c r="V484" s="16"/>
      <c r="W484" s="16"/>
      <c r="X484" s="16"/>
      <c r="Y484" s="16"/>
      <c r="Z484" s="16"/>
    </row>
    <row r="485">
      <c r="A485" s="16" t="str">
        <f>IFERROR(__xludf.DUMMYFUNCTION("""COMPUTED_VALUE"""),"Gaia's Pauldrons")</f>
        <v>Gaia's Pauldrons</v>
      </c>
      <c r="B485" s="16" t="str">
        <f>IFERROR(__xludf.DUMMYFUNCTION("""COMPUTED_VALUE"""),"Mob Exclusive")</f>
        <v>Mob Exclusive</v>
      </c>
      <c r="C485" s="16"/>
      <c r="D485" s="16" t="str">
        <f>IFERROR(__xludf.DUMMYFUNCTION("""COMPUTED_VALUE"""),"Shoulders")</f>
        <v>Shoulders</v>
      </c>
      <c r="E485" s="16">
        <f>IFERROR(__xludf.DUMMYFUNCTION("""COMPUTED_VALUE"""),200.0)</f>
        <v>200</v>
      </c>
      <c r="F485" s="16" t="str">
        <f>IFERROR(__xludf.DUMMYFUNCTION("""COMPUTED_VALUE"""),"DEF: +50000, Fire DEF: +35000, Celestial DEF: +50000 ++X2 Earth Damage for self. ++X2 Defense for self")</f>
        <v>DEF: +50000, Fire DEF: +35000, Celestial DEF: +50000 ++X2 Earth Damage for self. ++X2 Defense for self</v>
      </c>
      <c r="G485" s="16">
        <f>IFERROR(__xludf.DUMMYFUNCTION("""COMPUTED_VALUE"""),3.6315E8)</f>
        <v>363150000</v>
      </c>
      <c r="H485" s="16"/>
      <c r="I485" s="16"/>
      <c r="J485" s="16"/>
      <c r="K485" s="16"/>
      <c r="L485" s="16"/>
      <c r="M485" s="16"/>
      <c r="N485" s="16"/>
      <c r="O485" s="16"/>
      <c r="P485" s="16"/>
      <c r="Q485" s="16"/>
      <c r="R485" s="16"/>
      <c r="S485" s="16"/>
      <c r="T485" s="16"/>
      <c r="U485" s="16"/>
      <c r="V485" s="16"/>
      <c r="W485" s="16"/>
      <c r="X485" s="16"/>
      <c r="Y485" s="16"/>
      <c r="Z485" s="16"/>
    </row>
    <row r="486">
      <c r="A486" s="16" t="str">
        <f>IFERROR(__xludf.DUMMYFUNCTION("""COMPUTED_VALUE"""),"Gaia's Chestpiece")</f>
        <v>Gaia's Chestpiece</v>
      </c>
      <c r="B486" s="16" t="str">
        <f>IFERROR(__xludf.DUMMYFUNCTION("""COMPUTED_VALUE"""),"Mob Exclusive")</f>
        <v>Mob Exclusive</v>
      </c>
      <c r="C486" s="16"/>
      <c r="D486" s="16" t="str">
        <f>IFERROR(__xludf.DUMMYFUNCTION("""COMPUTED_VALUE"""),"Torso")</f>
        <v>Torso</v>
      </c>
      <c r="E486" s="16">
        <f>IFERROR(__xludf.DUMMYFUNCTION("""COMPUTED_VALUE"""),200.0)</f>
        <v>200</v>
      </c>
      <c r="F486" s="16" t="str">
        <f>IFERROR(__xludf.DUMMYFUNCTION("""COMPUTED_VALUE"""),"DEF: +100000, Fire DEF: +70000, Celestial DEF: +100000 ++X2 Earth Damage for self. ++X2 Defense for self")</f>
        <v>DEF: +100000, Fire DEF: +70000, Celestial DEF: +100000 ++X2 Earth Damage for self. ++X2 Defense for self</v>
      </c>
      <c r="G486" s="16">
        <f>IFERROR(__xludf.DUMMYFUNCTION("""COMPUTED_VALUE"""),1.4553E9)</f>
        <v>1455300000</v>
      </c>
      <c r="H486" s="16"/>
      <c r="I486" s="16"/>
      <c r="J486" s="16"/>
      <c r="K486" s="16"/>
      <c r="L486" s="16"/>
      <c r="M486" s="16"/>
      <c r="N486" s="16"/>
      <c r="O486" s="16"/>
      <c r="P486" s="16"/>
      <c r="Q486" s="16"/>
      <c r="R486" s="16"/>
      <c r="S486" s="16"/>
      <c r="T486" s="16"/>
      <c r="U486" s="16"/>
      <c r="V486" s="16"/>
      <c r="W486" s="16"/>
      <c r="X486" s="16"/>
      <c r="Y486" s="16"/>
      <c r="Z486" s="16"/>
    </row>
    <row r="487">
      <c r="A487" s="16" t="str">
        <f>IFERROR(__xludf.DUMMYFUNCTION("""COMPUTED_VALUE"""),"Gaia's Ring")</f>
        <v>Gaia's Ring</v>
      </c>
      <c r="B487" s="16" t="str">
        <f>IFERROR(__xludf.DUMMYFUNCTION("""COMPUTED_VALUE"""),"Mob Exclusive")</f>
        <v>Mob Exclusive</v>
      </c>
      <c r="C487" s="16"/>
      <c r="D487" s="16" t="str">
        <f>IFERROR(__xludf.DUMMYFUNCTION("""COMPUTED_VALUE"""),"Ring")</f>
        <v>Ring</v>
      </c>
      <c r="E487" s="16">
        <f>IFERROR(__xludf.DUMMYFUNCTION("""COMPUTED_VALUE"""),1.0)</f>
        <v>1</v>
      </c>
      <c r="F487" s="16" t="str">
        <f>IFERROR(__xludf.DUMMYFUNCTION("""COMPUTED_VALUE""")," ++X4 defense for self and allies, 50 sp")</f>
        <v> ++X4 defense for self and allies, 50 sp</v>
      </c>
      <c r="G487" s="16">
        <f>IFERROR(__xludf.DUMMYFUNCTION("""COMPUTED_VALUE"""),0.0)</f>
        <v>0</v>
      </c>
      <c r="H487" s="16"/>
      <c r="I487" s="16"/>
      <c r="J487" s="16"/>
      <c r="K487" s="16"/>
      <c r="L487" s="16"/>
      <c r="M487" s="16"/>
      <c r="N487" s="16"/>
      <c r="O487" s="16"/>
      <c r="P487" s="16"/>
      <c r="Q487" s="16"/>
      <c r="R487" s="16"/>
      <c r="S487" s="16"/>
      <c r="T487" s="16"/>
      <c r="U487" s="16"/>
      <c r="V487" s="16"/>
      <c r="W487" s="16"/>
      <c r="X487" s="16"/>
      <c r="Y487" s="16"/>
      <c r="Z487" s="16"/>
    </row>
    <row r="488">
      <c r="A488" s="16" t="str">
        <f>IFERROR(__xludf.DUMMYFUNCTION("""COMPUTED_VALUE"""),"Paladin of Gaia's Bucket helm of Tenacity")</f>
        <v>Paladin of Gaia's Bucket helm of Tenacity</v>
      </c>
      <c r="B488" s="16" t="str">
        <f>IFERROR(__xludf.DUMMYFUNCTION("""COMPUTED_VALUE"""),"Quest Item")</f>
        <v>Quest Item</v>
      </c>
      <c r="C488" s="16"/>
      <c r="D488" s="16" t="str">
        <f>IFERROR(__xludf.DUMMYFUNCTION("""COMPUTED_VALUE"""),"Head")</f>
        <v>Head</v>
      </c>
      <c r="E488" s="16">
        <f>IFERROR(__xludf.DUMMYFUNCTION("""COMPUTED_VALUE"""),200.0)</f>
        <v>200</v>
      </c>
      <c r="F488" s="16" t="str">
        <f>IFERROR(__xludf.DUMMYFUNCTION("""COMPUTED_VALUE"""),"DEF: +20000, Fire DEF: +5000, Earth DEF: +35000, Celestial DEF: +20000 ++Gaia's Tenacity II: 10% Chance to revive after death +-Cannot be forged +-Cannot be duplicated +-(Paladin or Knight Class Only)")</f>
        <v>DEF: +20000, Fire DEF: +5000, Earth DEF: +35000, Celestial DEF: +20000 ++Gaia's Tenacity II: 10% Chance to revive after death +-Cannot be forged +-Cannot be duplicated +-(Paladin or Knight Class Only)</v>
      </c>
      <c r="G488" s="16">
        <f>IFERROR(__xludf.DUMMYFUNCTION("""COMPUTED_VALUE"""),1.272E8)</f>
        <v>127200000</v>
      </c>
      <c r="H488" s="16"/>
      <c r="I488" s="16"/>
      <c r="J488" s="16"/>
      <c r="K488" s="16"/>
      <c r="L488" s="16"/>
      <c r="M488" s="16"/>
      <c r="N488" s="16"/>
      <c r="O488" s="16"/>
      <c r="P488" s="16"/>
      <c r="Q488" s="16"/>
      <c r="R488" s="16"/>
      <c r="S488" s="16"/>
      <c r="T488" s="16"/>
      <c r="U488" s="16"/>
      <c r="V488" s="16"/>
      <c r="W488" s="16"/>
      <c r="X488" s="16"/>
      <c r="Y488" s="16"/>
      <c r="Z488" s="16"/>
    </row>
    <row r="489">
      <c r="A489" s="16" t="str">
        <f>IFERROR(__xludf.DUMMYFUNCTION("""COMPUTED_VALUE"""),"Paladin of Gaia's Stone Pauldrons")</f>
        <v>Paladin of Gaia's Stone Pauldrons</v>
      </c>
      <c r="B489" s="16" t="str">
        <f>IFERROR(__xludf.DUMMYFUNCTION("""COMPUTED_VALUE"""),"Quest Item")</f>
        <v>Quest Item</v>
      </c>
      <c r="C489" s="16"/>
      <c r="D489" s="16" t="str">
        <f>IFERROR(__xludf.DUMMYFUNCTION("""COMPUTED_VALUE"""),"Shoulders")</f>
        <v>Shoulders</v>
      </c>
      <c r="E489" s="16">
        <f>IFERROR(__xludf.DUMMYFUNCTION("""COMPUTED_VALUE"""),200.0)</f>
        <v>200</v>
      </c>
      <c r="F489" s="16" t="str">
        <f>IFERROR(__xludf.DUMMYFUNCTION("""COMPUTED_VALUE"""),"DEF: +20000, Fire DEF: +5000, Earth DEF: +35000, Celestial DEF: +20000 ++Blessing of Stone I: 2X Earth Damage +-(Paladin or Knight Class Only)")</f>
        <v>DEF: +20000, Fire DEF: +5000, Earth DEF: +35000, Celestial DEF: +20000 ++Blessing of Stone I: 2X Earth Damage +-(Paladin or Knight Class Only)</v>
      </c>
      <c r="G489" s="16">
        <f>IFERROR(__xludf.DUMMYFUNCTION("""COMPUTED_VALUE"""),1.272E8)</f>
        <v>127200000</v>
      </c>
      <c r="H489" s="16"/>
      <c r="I489" s="16"/>
      <c r="J489" s="16"/>
      <c r="K489" s="16"/>
      <c r="L489" s="16"/>
      <c r="M489" s="16"/>
      <c r="N489" s="16"/>
      <c r="O489" s="16"/>
      <c r="P489" s="16"/>
      <c r="Q489" s="16"/>
      <c r="R489" s="16"/>
      <c r="S489" s="16"/>
      <c r="T489" s="16"/>
      <c r="U489" s="16"/>
      <c r="V489" s="16"/>
      <c r="W489" s="16"/>
      <c r="X489" s="16"/>
      <c r="Y489" s="16"/>
      <c r="Z489" s="16"/>
    </row>
    <row r="490">
      <c r="A490" s="16" t="str">
        <f>IFERROR(__xludf.DUMMYFUNCTION("""COMPUTED_VALUE"""),"Paladin of Gaia's Emblazoned Chestpiece")</f>
        <v>Paladin of Gaia's Emblazoned Chestpiece</v>
      </c>
      <c r="B490" s="16" t="str">
        <f>IFERROR(__xludf.DUMMYFUNCTION("""COMPUTED_VALUE"""),"Quest Item")</f>
        <v>Quest Item</v>
      </c>
      <c r="C490" s="16"/>
      <c r="D490" s="16" t="str">
        <f>IFERROR(__xludf.DUMMYFUNCTION("""COMPUTED_VALUE"""),"Torso")</f>
        <v>Torso</v>
      </c>
      <c r="E490" s="16">
        <f>IFERROR(__xludf.DUMMYFUNCTION("""COMPUTED_VALUE"""),200.0)</f>
        <v>200</v>
      </c>
      <c r="F490" s="16" t="str">
        <f>IFERROR(__xludf.DUMMYFUNCTION("""COMPUTED_VALUE"""),"DEF: +50000, Fire DEF: +20000, Earth DEF: +70000, Celestial DEF: +50000 ++X2 defense for self and allies +-Paladin or Knight Class Only +-Can only equip one")</f>
        <v>DEF: +50000, Fire DEF: +20000, Earth DEF: +70000, Celestial DEF: +50000 ++X2 defense for self and allies +-Paladin or Knight Class Only +-Can only equip one</v>
      </c>
      <c r="G490" s="16">
        <f>IFERROR(__xludf.DUMMYFUNCTION("""COMPUTED_VALUE"""),7.201E8)</f>
        <v>720100000</v>
      </c>
      <c r="H490" s="16"/>
      <c r="I490" s="16"/>
      <c r="J490" s="16"/>
      <c r="K490" s="16"/>
      <c r="L490" s="16"/>
      <c r="M490" s="16"/>
      <c r="N490" s="16"/>
      <c r="O490" s="16"/>
      <c r="P490" s="16"/>
      <c r="Q490" s="16"/>
      <c r="R490" s="16"/>
      <c r="S490" s="16"/>
      <c r="T490" s="16"/>
      <c r="U490" s="16"/>
      <c r="V490" s="16"/>
      <c r="W490" s="16"/>
      <c r="X490" s="16"/>
      <c r="Y490" s="16"/>
      <c r="Z490" s="16"/>
    </row>
    <row r="491">
      <c r="A491" s="16" t="str">
        <f>IFERROR(__xludf.DUMMYFUNCTION("""COMPUTED_VALUE"""),"Paladin of Gaia's Vambraces")</f>
        <v>Paladin of Gaia's Vambraces</v>
      </c>
      <c r="B491" s="16" t="str">
        <f>IFERROR(__xludf.DUMMYFUNCTION("""COMPUTED_VALUE"""),"Quest Item")</f>
        <v>Quest Item</v>
      </c>
      <c r="C491" s="16"/>
      <c r="D491" s="16" t="str">
        <f>IFERROR(__xludf.DUMMYFUNCTION("""COMPUTED_VALUE"""),"Arms")</f>
        <v>Arms</v>
      </c>
      <c r="E491" s="16">
        <f>IFERROR(__xludf.DUMMYFUNCTION("""COMPUTED_VALUE"""),200.0)</f>
        <v>200</v>
      </c>
      <c r="F491" s="16" t="str">
        <f>IFERROR(__xludf.DUMMYFUNCTION("""COMPUTED_VALUE"""),"DEF: +20000, Fire DEF: +5000, Earth DEF: +35000, Celestial DEF: +20000 ++X2 defense for self and allies +-Paladin or Knight Class Only +-Can only equip one")</f>
        <v>DEF: +20000, Fire DEF: +5000, Earth DEF: +35000, Celestial DEF: +20000 ++X2 defense for self and allies +-Paladin or Knight Class Only +-Can only equip one</v>
      </c>
      <c r="G491" s="16">
        <f>IFERROR(__xludf.DUMMYFUNCTION("""COMPUTED_VALUE"""),1.272E8)</f>
        <v>127200000</v>
      </c>
      <c r="H491" s="16"/>
      <c r="I491" s="16"/>
      <c r="J491" s="16"/>
      <c r="K491" s="16"/>
      <c r="L491" s="16"/>
      <c r="M491" s="16"/>
      <c r="N491" s="16"/>
      <c r="O491" s="16"/>
      <c r="P491" s="16"/>
      <c r="Q491" s="16"/>
      <c r="R491" s="16"/>
      <c r="S491" s="16"/>
      <c r="T491" s="16"/>
      <c r="U491" s="16"/>
      <c r="V491" s="16"/>
      <c r="W491" s="16"/>
      <c r="X491" s="16"/>
      <c r="Y491" s="16"/>
      <c r="Z491" s="16"/>
    </row>
    <row r="492">
      <c r="A492" s="16" t="str">
        <f>IFERROR(__xludf.DUMMYFUNCTION("""COMPUTED_VALUE"""),"Paladin of Gaia's Plate Chausses")</f>
        <v>Paladin of Gaia's Plate Chausses</v>
      </c>
      <c r="B492" s="16" t="str">
        <f>IFERROR(__xludf.DUMMYFUNCTION("""COMPUTED_VALUE"""),"Quest Item")</f>
        <v>Quest Item</v>
      </c>
      <c r="C492" s="16"/>
      <c r="D492" s="16" t="str">
        <f>IFERROR(__xludf.DUMMYFUNCTION("""COMPUTED_VALUE"""),"Legs")</f>
        <v>Legs</v>
      </c>
      <c r="E492" s="16">
        <f>IFERROR(__xludf.DUMMYFUNCTION("""COMPUTED_VALUE"""),200.0)</f>
        <v>200</v>
      </c>
      <c r="F492" s="16" t="str">
        <f>IFERROR(__xludf.DUMMYFUNCTION("""COMPUTED_VALUE"""),"DEF: +20000, Fire DEF: +5000, Earth DEF: +35000, Celestial DEF: +20000 ++Blessing of Stone I: 2X Earth Damage +-Paladin or Knight Class Only +-Can only equip one")</f>
        <v>DEF: +20000, Fire DEF: +5000, Earth DEF: +35000, Celestial DEF: +20000 ++Blessing of Stone I: 2X Earth Damage +-Paladin or Knight Class Only +-Can only equip one</v>
      </c>
      <c r="G492" s="16">
        <f>IFERROR(__xludf.DUMMYFUNCTION("""COMPUTED_VALUE"""),1.272E8)</f>
        <v>127200000</v>
      </c>
      <c r="H492" s="16"/>
      <c r="I492" s="16"/>
      <c r="J492" s="16"/>
      <c r="K492" s="16"/>
      <c r="L492" s="16"/>
      <c r="M492" s="16"/>
      <c r="N492" s="16"/>
      <c r="O492" s="16"/>
      <c r="P492" s="16"/>
      <c r="Q492" s="16"/>
      <c r="R492" s="16"/>
      <c r="S492" s="16"/>
      <c r="T492" s="16"/>
      <c r="U492" s="16"/>
      <c r="V492" s="16"/>
      <c r="W492" s="16"/>
      <c r="X492" s="16"/>
      <c r="Y492" s="16"/>
      <c r="Z492" s="16"/>
    </row>
    <row r="493">
      <c r="A493" s="16" t="str">
        <f>IFERROR(__xludf.DUMMYFUNCTION("""COMPUTED_VALUE"""),"Paladin of Gaia's Sabatons")</f>
        <v>Paladin of Gaia's Sabatons</v>
      </c>
      <c r="B493" s="16" t="str">
        <f>IFERROR(__xludf.DUMMYFUNCTION("""COMPUTED_VALUE"""),"Quest Item")</f>
        <v>Quest Item</v>
      </c>
      <c r="C493" s="16"/>
      <c r="D493" s="16" t="str">
        <f>IFERROR(__xludf.DUMMYFUNCTION("""COMPUTED_VALUE"""),"Feet")</f>
        <v>Feet</v>
      </c>
      <c r="E493" s="16">
        <f>IFERROR(__xludf.DUMMYFUNCTION("""COMPUTED_VALUE"""),200.0)</f>
        <v>200</v>
      </c>
      <c r="F493" s="16" t="str">
        <f>IFERROR(__xludf.DUMMYFUNCTION("""COMPUTED_VALUE"""),"DEF: +20000, Fire DEF: +5000, Earth DEF: +35000, Celestial DEF: +20000 ++Blessing of Stone I: 2X Earth Damage +-Paladin or Knight Class Only +-Can only equip one")</f>
        <v>DEF: +20000, Fire DEF: +5000, Earth DEF: +35000, Celestial DEF: +20000 ++Blessing of Stone I: 2X Earth Damage +-Paladin or Knight Class Only +-Can only equip one</v>
      </c>
      <c r="G493" s="16">
        <f>IFERROR(__xludf.DUMMYFUNCTION("""COMPUTED_VALUE"""),1.272E8)</f>
        <v>127200000</v>
      </c>
      <c r="H493" s="16"/>
      <c r="I493" s="16"/>
      <c r="J493" s="16"/>
      <c r="K493" s="16"/>
      <c r="L493" s="16"/>
      <c r="M493" s="16"/>
      <c r="N493" s="16"/>
      <c r="O493" s="16"/>
      <c r="P493" s="16"/>
      <c r="Q493" s="16"/>
      <c r="R493" s="16"/>
      <c r="S493" s="16"/>
      <c r="T493" s="16"/>
      <c r="U493" s="16"/>
      <c r="V493" s="16"/>
      <c r="W493" s="16"/>
      <c r="X493" s="16"/>
      <c r="Y493" s="16"/>
      <c r="Z493" s="16"/>
    </row>
    <row r="494">
      <c r="A494" s="16" t="str">
        <f>IFERROR(__xludf.DUMMYFUNCTION("""COMPUTED_VALUE"""),"Paladin of Gaia's Ruby Ring")</f>
        <v>Paladin of Gaia's Ruby Ring</v>
      </c>
      <c r="B494" s="16" t="str">
        <f>IFERROR(__xludf.DUMMYFUNCTION("""COMPUTED_VALUE"""),"Quest Item")</f>
        <v>Quest Item</v>
      </c>
      <c r="C494" s="16"/>
      <c r="D494" s="16" t="str">
        <f>IFERROR(__xludf.DUMMYFUNCTION("""COMPUTED_VALUE"""),"Ring")</f>
        <v>Ring</v>
      </c>
      <c r="E494" s="16">
        <f>IFERROR(__xludf.DUMMYFUNCTION("""COMPUTED_VALUE"""),1.0)</f>
        <v>1</v>
      </c>
      <c r="F494" s="16" t="str">
        <f>IFERROR(__xludf.DUMMYFUNCTION("""COMPUTED_VALUE""")," ++Blessing of Stone II: 4X Earth Damage 
++Gaia's Tenacity I: 5% chance to revive after death +-Paladin or Knight Class Only +-Cannot be forged +-Cannot be duplicated +-Can only equip one")</f>
        <v> ++Blessing of Stone II: 4X Earth Damage 
++Gaia's Tenacity I: 5% chance to revive after death +-Paladin or Knight Class Only +-Cannot be forged +-Cannot be duplicated +-Can only equip one</v>
      </c>
      <c r="G494" s="16">
        <f>IFERROR(__xludf.DUMMYFUNCTION("""COMPUTED_VALUE"""),0.0)</f>
        <v>0</v>
      </c>
      <c r="H494" s="16"/>
      <c r="I494" s="16"/>
      <c r="J494" s="16"/>
      <c r="K494" s="16"/>
      <c r="L494" s="16"/>
      <c r="M494" s="16"/>
      <c r="N494" s="16"/>
      <c r="O494" s="16"/>
      <c r="P494" s="16"/>
      <c r="Q494" s="16"/>
      <c r="R494" s="16"/>
      <c r="S494" s="16"/>
      <c r="T494" s="16"/>
      <c r="U494" s="16"/>
      <c r="V494" s="16"/>
      <c r="W494" s="16"/>
      <c r="X494" s="16"/>
      <c r="Y494" s="16"/>
      <c r="Z494" s="16"/>
    </row>
    <row r="495">
      <c r="A495" s="16" t="str">
        <f>IFERROR(__xludf.DUMMYFUNCTION("""COMPUTED_VALUE"""),"Paladin of Gaia's Emerald Pendant")</f>
        <v>Paladin of Gaia's Emerald Pendant</v>
      </c>
      <c r="B495" s="16" t="str">
        <f>IFERROR(__xludf.DUMMYFUNCTION("""COMPUTED_VALUE"""),"Quest Item")</f>
        <v>Quest Item</v>
      </c>
      <c r="C495" s="16"/>
      <c r="D495" s="16" t="str">
        <f>IFERROR(__xludf.DUMMYFUNCTION("""COMPUTED_VALUE"""),"Neck")</f>
        <v>Neck</v>
      </c>
      <c r="E495" s="16">
        <f>IFERROR(__xludf.DUMMYFUNCTION("""COMPUTED_VALUE"""),1.0)</f>
        <v>1</v>
      </c>
      <c r="F495" s="16" t="str">
        <f>IFERROR(__xludf.DUMMYFUNCTION("""COMPUTED_VALUE""")," ++Blessing of Stone II: 4X Earth Damage 
++Gaia's Blessing I: 4X defense for self and allies 100 sp (Once per battle) +-(Paladin or Knight Class Only)")</f>
        <v> ++Blessing of Stone II: 4X Earth Damage 
++Gaia's Blessing I: 4X defense for self and allies 100 sp (Once per battle) +-(Paladin or Knight Class Only)</v>
      </c>
      <c r="G495" s="16">
        <f>IFERROR(__xludf.DUMMYFUNCTION("""COMPUTED_VALUE"""),0.0)</f>
        <v>0</v>
      </c>
      <c r="H495" s="16"/>
      <c r="I495" s="16"/>
      <c r="J495" s="16"/>
      <c r="K495" s="16"/>
      <c r="L495" s="16"/>
      <c r="M495" s="16"/>
      <c r="N495" s="16"/>
      <c r="O495" s="16"/>
      <c r="P495" s="16"/>
      <c r="Q495" s="16"/>
      <c r="R495" s="16"/>
      <c r="S495" s="16"/>
      <c r="T495" s="16"/>
      <c r="U495" s="16"/>
      <c r="V495" s="16"/>
      <c r="W495" s="16"/>
      <c r="X495" s="16"/>
      <c r="Y495" s="16"/>
      <c r="Z495" s="16"/>
    </row>
    <row r="496">
      <c r="A496" s="16" t="str">
        <f>IFERROR(__xludf.DUMMYFUNCTION("""COMPUTED_VALUE"""),"The Blacksmith's Forged Battleaxe ")</f>
        <v>The Blacksmith's Forged Battleaxe </v>
      </c>
      <c r="B496" s="16" t="str">
        <f>IFERROR(__xludf.DUMMYFUNCTION("""COMPUTED_VALUE"""),"Mob Exclusive")</f>
        <v>Mob Exclusive</v>
      </c>
      <c r="C496" s="16" t="str">
        <f>IFERROR(__xludf.DUMMYFUNCTION("""COMPUTED_VALUE"""),"Axe")</f>
        <v>Axe</v>
      </c>
      <c r="D496" s="16" t="str">
        <f>IFERROR(__xludf.DUMMYFUNCTION("""COMPUTED_VALUE"""),"Hand")</f>
        <v>Hand</v>
      </c>
      <c r="E496" s="16">
        <f>IFERROR(__xludf.DUMMYFUNCTION("""COMPUTED_VALUE"""),200.0)</f>
        <v>200</v>
      </c>
      <c r="F496" s="16" t="str">
        <f>IFERROR(__xludf.DUMMYFUNCTION("""COMPUTED_VALUE"""),"DMG: +100000, Fire DMG: +100000, Celestial DMG: +50000 (Hephaestus' Set) ++Forged Fury: Attacks with this weapon hit all enemies (all enemies can roll to evade). ++X2 Weapon damage")</f>
        <v>DMG: +100000, Fire DMG: +100000, Celestial DMG: +50000 (Hephaestus' Set) ++Forged Fury: Attacks with this weapon hit all enemies (all enemies can roll to evade). ++X2 Weapon damage</v>
      </c>
      <c r="G496" s="16">
        <f>IFERROR(__xludf.DUMMYFUNCTION("""COMPUTED_VALUE"""),1.2475E9)</f>
        <v>1247500000</v>
      </c>
      <c r="H496" s="16"/>
      <c r="I496" s="16"/>
      <c r="J496" s="16"/>
      <c r="K496" s="16"/>
      <c r="L496" s="16"/>
      <c r="M496" s="16"/>
      <c r="N496" s="16"/>
      <c r="O496" s="16"/>
      <c r="P496" s="16"/>
      <c r="Q496" s="16"/>
      <c r="R496" s="16"/>
      <c r="S496" s="16"/>
      <c r="T496" s="16"/>
      <c r="U496" s="16"/>
      <c r="V496" s="16"/>
      <c r="W496" s="16"/>
      <c r="X496" s="16"/>
      <c r="Y496" s="16"/>
      <c r="Z496" s="16"/>
    </row>
    <row r="497">
      <c r="A497" s="16" t="str">
        <f>IFERROR(__xludf.DUMMYFUNCTION("""COMPUTED_VALUE"""),"The Blacksmith's Forged Sword")</f>
        <v>The Blacksmith's Forged Sword</v>
      </c>
      <c r="B497" s="16" t="str">
        <f>IFERROR(__xludf.DUMMYFUNCTION("""COMPUTED_VALUE"""),"Mob Exclusive")</f>
        <v>Mob Exclusive</v>
      </c>
      <c r="C497" s="16" t="str">
        <f>IFERROR(__xludf.DUMMYFUNCTION("""COMPUTED_VALUE"""),"Sword")</f>
        <v>Sword</v>
      </c>
      <c r="D497" s="16" t="str">
        <f>IFERROR(__xludf.DUMMYFUNCTION("""COMPUTED_VALUE"""),"Hand")</f>
        <v>Hand</v>
      </c>
      <c r="E497" s="16">
        <f>IFERROR(__xludf.DUMMYFUNCTION("""COMPUTED_VALUE"""),200.0)</f>
        <v>200</v>
      </c>
      <c r="F497" s="16" t="str">
        <f>IFERROR(__xludf.DUMMYFUNCTION("""COMPUTED_VALUE"""),"DMG: +100000, Fire DMG: +100000, Celestial DMG: +50000 (Hephaestus' Set) ++Elemental Gem Slash: This weapon will have a 25% chance each to cast the following powers when attacking with this weapon; Molten Ruby Spikes, Searing Sapphire Strike, Energizing E"&amp;"merald Pulse.")</f>
        <v>DMG: +100000, Fire DMG: +100000, Celestial DMG: +50000 (Hephaestus' Set) ++Elemental Gem Slash: This weapon will have a 25% chance each to cast the following powers when attacking with this weapon; Molten Ruby Spikes, Searing Sapphire Strike, Energizing Emerald Pulse.</v>
      </c>
      <c r="G497" s="16">
        <f>IFERROR(__xludf.DUMMYFUNCTION("""COMPUTED_VALUE"""),1.2475E9)</f>
        <v>1247500000</v>
      </c>
      <c r="H497" s="16"/>
      <c r="I497" s="16"/>
      <c r="J497" s="16"/>
      <c r="K497" s="16"/>
      <c r="L497" s="16"/>
      <c r="M497" s="16"/>
      <c r="N497" s="16"/>
      <c r="O497" s="16"/>
      <c r="P497" s="16"/>
      <c r="Q497" s="16"/>
      <c r="R497" s="16"/>
      <c r="S497" s="16"/>
      <c r="T497" s="16"/>
      <c r="U497" s="16"/>
      <c r="V497" s="16"/>
      <c r="W497" s="16"/>
      <c r="X497" s="16"/>
      <c r="Y497" s="16"/>
      <c r="Z497" s="16"/>
    </row>
    <row r="498">
      <c r="A498" s="16" t="str">
        <f>IFERROR(__xludf.DUMMYFUNCTION("""COMPUTED_VALUE"""),"The Blacksmith's Forged Helmet")</f>
        <v>The Blacksmith's Forged Helmet</v>
      </c>
      <c r="B498" s="16" t="str">
        <f>IFERROR(__xludf.DUMMYFUNCTION("""COMPUTED_VALUE"""),"Mob Exclusive")</f>
        <v>Mob Exclusive</v>
      </c>
      <c r="C498" s="16"/>
      <c r="D498" s="16" t="str">
        <f>IFERROR(__xludf.DUMMYFUNCTION("""COMPUTED_VALUE"""),"Head")</f>
        <v>Head</v>
      </c>
      <c r="E498" s="16">
        <f>IFERROR(__xludf.DUMMYFUNCTION("""COMPUTED_VALUE"""),4000.0)</f>
        <v>4000</v>
      </c>
      <c r="F498" s="16" t="str">
        <f>IFERROR(__xludf.DUMMYFUNCTION("""COMPUTED_VALUE"""),"DEF: +200000 (Hephaestus' Set) ++Immune to freezing. ++Hephaestus' Fury: shoot an eye ray causing 10,000 damage (you cannot dodge this). ++X2 defense for self")</f>
        <v>DEF: +200000 (Hephaestus' Set) ++Immune to freezing. ++Hephaestus' Fury: shoot an eye ray causing 10,000 damage (you cannot dodge this). ++X2 defense for self</v>
      </c>
      <c r="G498" s="16">
        <f>IFERROR(__xludf.DUMMYFUNCTION("""COMPUTED_VALUE"""),7.98E8)</f>
        <v>798000000</v>
      </c>
      <c r="H498" s="16"/>
      <c r="I498" s="16"/>
      <c r="J498" s="16"/>
      <c r="K498" s="16"/>
      <c r="L498" s="16"/>
      <c r="M498" s="16"/>
      <c r="N498" s="16"/>
      <c r="O498" s="16"/>
      <c r="P498" s="16"/>
      <c r="Q498" s="16"/>
      <c r="R498" s="16"/>
      <c r="S498" s="16"/>
      <c r="T498" s="16"/>
      <c r="U498" s="16"/>
      <c r="V498" s="16"/>
      <c r="W498" s="16"/>
      <c r="X498" s="16"/>
      <c r="Y498" s="16"/>
      <c r="Z498" s="16"/>
    </row>
    <row r="499">
      <c r="A499" s="16" t="str">
        <f>IFERROR(__xludf.DUMMYFUNCTION("""COMPUTED_VALUE"""),"The Blacksmith's Forged Pauldrons")</f>
        <v>The Blacksmith's Forged Pauldrons</v>
      </c>
      <c r="B499" s="16" t="str">
        <f>IFERROR(__xludf.DUMMYFUNCTION("""COMPUTED_VALUE"""),"Mob Exclusive")</f>
        <v>Mob Exclusive</v>
      </c>
      <c r="C499" s="16"/>
      <c r="D499" s="16" t="str">
        <f>IFERROR(__xludf.DUMMYFUNCTION("""COMPUTED_VALUE"""),"Shoulders")</f>
        <v>Shoulders</v>
      </c>
      <c r="E499" s="16">
        <f>IFERROR(__xludf.DUMMYFUNCTION("""COMPUTED_VALUE"""),4000.0)</f>
        <v>4000</v>
      </c>
      <c r="F499" s="16" t="str">
        <f>IFERROR(__xludf.DUMMYFUNCTION("""COMPUTED_VALUE"""),"DEF: +200000 (Hephaestus' Set) ++Immune to Celestial. ++When Equipped you are invulnerable to damage unless you attack. ++When you battle with any undead you can deal X2 damage")</f>
        <v>DEF: +200000 (Hephaestus' Set) ++Immune to Celestial. ++When Equipped you are invulnerable to damage unless you attack. ++When you battle with any undead you can deal X2 damage</v>
      </c>
      <c r="G499" s="16">
        <f>IFERROR(__xludf.DUMMYFUNCTION("""COMPUTED_VALUE"""),7.98E8)</f>
        <v>798000000</v>
      </c>
      <c r="H499" s="16"/>
      <c r="I499" s="16"/>
      <c r="J499" s="16"/>
      <c r="K499" s="16"/>
      <c r="L499" s="16"/>
      <c r="M499" s="16"/>
      <c r="N499" s="16"/>
      <c r="O499" s="16"/>
      <c r="P499" s="16"/>
      <c r="Q499" s="16"/>
      <c r="R499" s="16"/>
      <c r="S499" s="16"/>
      <c r="T499" s="16"/>
      <c r="U499" s="16"/>
      <c r="V499" s="16"/>
      <c r="W499" s="16"/>
      <c r="X499" s="16"/>
      <c r="Y499" s="16"/>
      <c r="Z499" s="16"/>
    </row>
    <row r="500">
      <c r="A500" s="16" t="str">
        <f>IFERROR(__xludf.DUMMYFUNCTION("""COMPUTED_VALUE"""),"The Blacksmith's Forged Vambraces")</f>
        <v>The Blacksmith's Forged Vambraces</v>
      </c>
      <c r="B500" s="16" t="str">
        <f>IFERROR(__xludf.DUMMYFUNCTION("""COMPUTED_VALUE"""),"Mob Exclusive")</f>
        <v>Mob Exclusive</v>
      </c>
      <c r="C500" s="16"/>
      <c r="D500" s="16" t="str">
        <f>IFERROR(__xludf.DUMMYFUNCTION("""COMPUTED_VALUE"""),"Arms")</f>
        <v>Arms</v>
      </c>
      <c r="E500" s="16">
        <f>IFERROR(__xludf.DUMMYFUNCTION("""COMPUTED_VALUE"""),4000.0)</f>
        <v>4000</v>
      </c>
      <c r="F500" s="16" t="str">
        <f>IFERROR(__xludf.DUMMYFUNCTION("""COMPUTED_VALUE"""),"DEF: +200000 (Hephaestus' Set) ++Immune to Chaos and Dark. ++Upon taking fire damage instead heal by 5X that fire damage. ++Take 2X water Damage")</f>
        <v>DEF: +200000 (Hephaestus' Set) ++Immune to Chaos and Dark. ++Upon taking fire damage instead heal by 5X that fire damage. ++Take 2X water Damage</v>
      </c>
      <c r="G500" s="16">
        <f>IFERROR(__xludf.DUMMYFUNCTION("""COMPUTED_VALUE"""),7.98E8)</f>
        <v>798000000</v>
      </c>
      <c r="H500" s="16"/>
      <c r="I500" s="16"/>
      <c r="J500" s="16"/>
      <c r="K500" s="16"/>
      <c r="L500" s="16"/>
      <c r="M500" s="16"/>
      <c r="N500" s="16"/>
      <c r="O500" s="16"/>
      <c r="P500" s="16"/>
      <c r="Q500" s="16"/>
      <c r="R500" s="16"/>
      <c r="S500" s="16"/>
      <c r="T500" s="16"/>
      <c r="U500" s="16"/>
      <c r="V500" s="16"/>
      <c r="W500" s="16"/>
      <c r="X500" s="16"/>
      <c r="Y500" s="16"/>
      <c r="Z500" s="16"/>
    </row>
    <row r="501">
      <c r="A501" s="16" t="str">
        <f>IFERROR(__xludf.DUMMYFUNCTION("""COMPUTED_VALUE"""),"The Blacksmith's Forged Greaves")</f>
        <v>The Blacksmith's Forged Greaves</v>
      </c>
      <c r="B501" s="16" t="str">
        <f>IFERROR(__xludf.DUMMYFUNCTION("""COMPUTED_VALUE"""),"Mob Exclusive")</f>
        <v>Mob Exclusive</v>
      </c>
      <c r="C501" s="16"/>
      <c r="D501" s="16" t="str">
        <f>IFERROR(__xludf.DUMMYFUNCTION("""COMPUTED_VALUE"""),"Legs")</f>
        <v>Legs</v>
      </c>
      <c r="E501" s="16">
        <f>IFERROR(__xludf.DUMMYFUNCTION("""COMPUTED_VALUE"""),4000.0)</f>
        <v>4000</v>
      </c>
      <c r="F501" s="16" t="str">
        <f>IFERROR(__xludf.DUMMYFUNCTION("""COMPUTED_VALUE"""),"DEF: +200000 (Hephaestus' Set) ++When attacking with a weapon you have a 25% chance of attacking again with the same weapon. ++Increases all types of Damage by X2. ++Hephaetus's Undying Rage: Upon being killed or removed from battle revive with full healt"&amp;"h (once per battle)")</f>
        <v>DEF: +200000 (Hephaestus' Set) ++When attacking with a weapon you have a 25% chance of attacking again with the same weapon. ++Increases all types of Damage by X2. ++Hephaetus's Undying Rage: Upon being killed or removed from battle revive with full health (once per battle)</v>
      </c>
      <c r="G501" s="16">
        <f>IFERROR(__xludf.DUMMYFUNCTION("""COMPUTED_VALUE"""),7.98E8)</f>
        <v>798000000</v>
      </c>
      <c r="H501" s="16"/>
      <c r="I501" s="16"/>
      <c r="J501" s="16"/>
      <c r="K501" s="16"/>
      <c r="L501" s="16"/>
      <c r="M501" s="16"/>
      <c r="N501" s="16"/>
      <c r="O501" s="16"/>
      <c r="P501" s="16"/>
      <c r="Q501" s="16"/>
      <c r="R501" s="16"/>
      <c r="S501" s="16"/>
      <c r="T501" s="16"/>
      <c r="U501" s="16"/>
      <c r="V501" s="16"/>
      <c r="W501" s="16"/>
      <c r="X501" s="16"/>
      <c r="Y501" s="16"/>
      <c r="Z501" s="16"/>
    </row>
    <row r="502">
      <c r="A502" s="16" t="str">
        <f>IFERROR(__xludf.DUMMYFUNCTION("""COMPUTED_VALUE"""),"The Blacksmith's Forged Sabatons")</f>
        <v>The Blacksmith's Forged Sabatons</v>
      </c>
      <c r="B502" s="16" t="str">
        <f>IFERROR(__xludf.DUMMYFUNCTION("""COMPUTED_VALUE"""),"Mob Exclusive")</f>
        <v>Mob Exclusive</v>
      </c>
      <c r="C502" s="16"/>
      <c r="D502" s="16" t="str">
        <f>IFERROR(__xludf.DUMMYFUNCTION("""COMPUTED_VALUE"""),"Feet")</f>
        <v>Feet</v>
      </c>
      <c r="E502" s="16">
        <f>IFERROR(__xludf.DUMMYFUNCTION("""COMPUTED_VALUE"""),4000.0)</f>
        <v>4000</v>
      </c>
      <c r="F502" s="16" t="str">
        <f>IFERROR(__xludf.DUMMYFUNCTION("""COMPUTED_VALUE"""),"DEF: +200000 (Hephaestus' Set) ++At the start of your turn roll a d20 unaffected by roll bonuses 1-10 no effect 11-20 you act twice on your turn (does not stack with chaincast). ++Heavy Stomp: Causes enemies to be stunned for 1 round with a fail/succeed r"&amp;"oll (cooldown: 3 rounds). ++all weapons deal X2 Damage")</f>
        <v>DEF: +200000 (Hephaestus' Set) ++At the start of your turn roll a d20 unaffected by roll bonuses 1-10 no effect 11-20 you act twice on your turn (does not stack with chaincast). ++Heavy Stomp: Causes enemies to be stunned for 1 round with a fail/succeed roll (cooldown: 3 rounds). ++all weapons deal X2 Damage</v>
      </c>
      <c r="G502" s="16">
        <f>IFERROR(__xludf.DUMMYFUNCTION("""COMPUTED_VALUE"""),7.98E8)</f>
        <v>798000000</v>
      </c>
      <c r="H502" s="16"/>
      <c r="I502" s="16"/>
      <c r="J502" s="16"/>
      <c r="K502" s="16"/>
      <c r="L502" s="16"/>
      <c r="M502" s="16"/>
      <c r="N502" s="16"/>
      <c r="O502" s="16"/>
      <c r="P502" s="16"/>
      <c r="Q502" s="16"/>
      <c r="R502" s="16"/>
      <c r="S502" s="16"/>
      <c r="T502" s="16"/>
      <c r="U502" s="16"/>
      <c r="V502" s="16"/>
      <c r="W502" s="16"/>
      <c r="X502" s="16"/>
      <c r="Y502" s="16"/>
      <c r="Z502" s="16"/>
    </row>
    <row r="503">
      <c r="A503" s="16" t="str">
        <f>IFERROR(__xludf.DUMMYFUNCTION("""COMPUTED_VALUE"""),"The Blacksmith's Forged Cuirasses")</f>
        <v>The Blacksmith's Forged Cuirasses</v>
      </c>
      <c r="B503" s="16" t="str">
        <f>IFERROR(__xludf.DUMMYFUNCTION("""COMPUTED_VALUE"""),"Mob Exclusive")</f>
        <v>Mob Exclusive</v>
      </c>
      <c r="C503" s="16"/>
      <c r="D503" s="16" t="str">
        <f>IFERROR(__xludf.DUMMYFUNCTION("""COMPUTED_VALUE"""),"Torso")</f>
        <v>Torso</v>
      </c>
      <c r="E503" s="16">
        <f>IFERROR(__xludf.DUMMYFUNCTION("""COMPUTED_VALUE"""),4000.0)</f>
        <v>4000</v>
      </c>
      <c r="F503" s="16" t="str">
        <f>IFERROR(__xludf.DUMMYFUNCTION("""COMPUTED_VALUE"""),"DEF: +200000 (Hephaestus' Set) ++10 to all d20 rolls. ++50% to all percentage based abilities. ++Upon taking damage 25% chance to blind the one that hits you giving them blindness 3")</f>
        <v>DEF: +200000 (Hephaestus' Set) ++10 to all d20 rolls. ++50% to all percentage based abilities. ++Upon taking damage 25% chance to blind the one that hits you giving them blindness 3</v>
      </c>
      <c r="G503" s="16">
        <f>IFERROR(__xludf.DUMMYFUNCTION("""COMPUTED_VALUE"""),7.98E8)</f>
        <v>798000000</v>
      </c>
      <c r="H503" s="16"/>
      <c r="I503" s="16"/>
      <c r="J503" s="16"/>
      <c r="K503" s="16"/>
      <c r="L503" s="16"/>
      <c r="M503" s="16"/>
      <c r="N503" s="16"/>
      <c r="O503" s="16"/>
      <c r="P503" s="16"/>
      <c r="Q503" s="16"/>
      <c r="R503" s="16"/>
      <c r="S503" s="16"/>
      <c r="T503" s="16"/>
      <c r="U503" s="16"/>
      <c r="V503" s="16"/>
      <c r="W503" s="16"/>
      <c r="X503" s="16"/>
      <c r="Y503" s="16"/>
      <c r="Z503" s="16"/>
    </row>
    <row r="504">
      <c r="A504" s="16" t="str">
        <f>IFERROR(__xludf.DUMMYFUNCTION("""COMPUTED_VALUE"""),"The Blacksmith's Forged Ring")</f>
        <v>The Blacksmith's Forged Ring</v>
      </c>
      <c r="B504" s="16" t="str">
        <f>IFERROR(__xludf.DUMMYFUNCTION("""COMPUTED_VALUE"""),"Mob Exclusive")</f>
        <v>Mob Exclusive</v>
      </c>
      <c r="C504" s="16"/>
      <c r="D504" s="16" t="str">
        <f>IFERROR(__xludf.DUMMYFUNCTION("""COMPUTED_VALUE"""),"Ring")</f>
        <v>Ring</v>
      </c>
      <c r="E504" s="16">
        <f>IFERROR(__xludf.DUMMYFUNCTION("""COMPUTED_VALUE"""),1.0)</f>
        <v>1</v>
      </c>
      <c r="F504" s="16" t="str">
        <f>IFERROR(__xludf.DUMMYFUNCTION("""COMPUTED_VALUE""")," (Hephaestus' Set) ++Increase all types of damage by X2. ++Causes instant death with a fail/succeed roll. ++Inflict half the damage you take back to the enemy that dealt it for the first 3 rounds of battle.")</f>
        <v> (Hephaestus' Set) ++Increase all types of damage by X2. ++Causes instant death with a fail/succeed roll. ++Inflict half the damage you take back to the enemy that dealt it for the first 3 rounds of battle.</v>
      </c>
      <c r="G504" s="16">
        <f>IFERROR(__xludf.DUMMYFUNCTION("""COMPUTED_VALUE"""),0.0)</f>
        <v>0</v>
      </c>
      <c r="H504" s="16"/>
      <c r="I504" s="16"/>
      <c r="J504" s="16"/>
      <c r="K504" s="16"/>
      <c r="L504" s="16"/>
      <c r="M504" s="16"/>
      <c r="N504" s="16"/>
      <c r="O504" s="16"/>
      <c r="P504" s="16"/>
      <c r="Q504" s="16"/>
      <c r="R504" s="16"/>
      <c r="S504" s="16"/>
      <c r="T504" s="16"/>
      <c r="U504" s="16"/>
      <c r="V504" s="16"/>
      <c r="W504" s="16"/>
      <c r="X504" s="16"/>
      <c r="Y504" s="16"/>
      <c r="Z504" s="16"/>
    </row>
    <row r="505">
      <c r="A505" s="16" t="str">
        <f>IFERROR(__xludf.DUMMYFUNCTION("""COMPUTED_VALUE"""),"The Blacksmith's Forged Pendant")</f>
        <v>The Blacksmith's Forged Pendant</v>
      </c>
      <c r="B505" s="16" t="str">
        <f>IFERROR(__xludf.DUMMYFUNCTION("""COMPUTED_VALUE"""),"Mob Exclusive")</f>
        <v>Mob Exclusive</v>
      </c>
      <c r="C505" s="16"/>
      <c r="D505" s="16" t="str">
        <f>IFERROR(__xludf.DUMMYFUNCTION("""COMPUTED_VALUE"""),"Neck")</f>
        <v>Neck</v>
      </c>
      <c r="E505" s="16">
        <f>IFERROR(__xludf.DUMMYFUNCTION("""COMPUTED_VALUE"""),1.0)</f>
        <v>1</v>
      </c>
      <c r="F505" s="16" t="str">
        <f>IFERROR(__xludf.DUMMYFUNCTION("""COMPUTED_VALUE""")," (Hephaestus' Set) ++Forged items now deal double in damage for the wearer. ++If you kill an enemy with a weapon your HP and SP will fully be restored. ++Enemies deduct 2 from their rolls when targeting you")</f>
        <v> (Hephaestus' Set) ++Forged items now deal double in damage for the wearer. ++If you kill an enemy with a weapon your HP and SP will fully be restored. ++Enemies deduct 2 from their rolls when targeting you</v>
      </c>
      <c r="G505" s="16">
        <f>IFERROR(__xludf.DUMMYFUNCTION("""COMPUTED_VALUE"""),0.0)</f>
        <v>0</v>
      </c>
      <c r="H505" s="16"/>
      <c r="I505" s="16"/>
      <c r="J505" s="16"/>
      <c r="K505" s="16"/>
      <c r="L505" s="16"/>
      <c r="M505" s="16"/>
      <c r="N505" s="16"/>
      <c r="O505" s="16"/>
      <c r="P505" s="16"/>
      <c r="Q505" s="16"/>
      <c r="R505" s="16"/>
      <c r="S505" s="16"/>
      <c r="T505" s="16"/>
      <c r="U505" s="16"/>
      <c r="V505" s="16"/>
      <c r="W505" s="16"/>
      <c r="X505" s="16"/>
      <c r="Y505" s="16"/>
      <c r="Z505" s="16"/>
    </row>
    <row r="506">
      <c r="A506" s="16" t="str">
        <f>IFERROR(__xludf.DUMMYFUNCTION("""COMPUTED_VALUE"""),"The Blacksmith's Ring of Green Hatred")</f>
        <v>The Blacksmith's Ring of Green Hatred</v>
      </c>
      <c r="B506" s="16" t="str">
        <f>IFERROR(__xludf.DUMMYFUNCTION("""COMPUTED_VALUE"""),"Mob Exclusive")</f>
        <v>Mob Exclusive</v>
      </c>
      <c r="C506" s="16"/>
      <c r="D506" s="16" t="str">
        <f>IFERROR(__xludf.DUMMYFUNCTION("""COMPUTED_VALUE"""),"Ring")</f>
        <v>Ring</v>
      </c>
      <c r="E506" s="16">
        <f>IFERROR(__xludf.DUMMYFUNCTION("""COMPUTED_VALUE"""),1.0)</f>
        <v>1</v>
      </c>
      <c r="F506" s="16" t="str">
        <f>IFERROR(__xludf.DUMMYFUNCTION("""COMPUTED_VALUE""")," (Hephaestus' Set) ++All attacks deal X10 damage against any enemies with the starting town of Forest View.")</f>
        <v> (Hephaestus' Set) ++All attacks deal X10 damage against any enemies with the starting town of Forest View.</v>
      </c>
      <c r="G506" s="16">
        <f>IFERROR(__xludf.DUMMYFUNCTION("""COMPUTED_VALUE"""),0.0)</f>
        <v>0</v>
      </c>
      <c r="H506" s="16"/>
      <c r="I506" s="16"/>
      <c r="J506" s="16"/>
      <c r="K506" s="16"/>
      <c r="L506" s="16"/>
      <c r="M506" s="16"/>
      <c r="N506" s="16"/>
      <c r="O506" s="16"/>
      <c r="P506" s="16"/>
      <c r="Q506" s="16"/>
      <c r="R506" s="16"/>
      <c r="S506" s="16"/>
      <c r="T506" s="16"/>
      <c r="U506" s="16"/>
      <c r="V506" s="16"/>
      <c r="W506" s="16"/>
      <c r="X506" s="16"/>
      <c r="Y506" s="16"/>
      <c r="Z506" s="16"/>
    </row>
    <row r="507">
      <c r="A507" s="16" t="str">
        <f>IFERROR(__xludf.DUMMYFUNCTION("""COMPUTED_VALUE"""),"Ring o' Strength and Fire")</f>
        <v>Ring o' Strength and Fire</v>
      </c>
      <c r="B507" s="16"/>
      <c r="C507" s="16"/>
      <c r="D507" s="16" t="str">
        <f>IFERROR(__xludf.DUMMYFUNCTION("""COMPUTED_VALUE"""),"Ring")</f>
        <v>Ring</v>
      </c>
      <c r="E507" s="16">
        <f>IFERROR(__xludf.DUMMYFUNCTION("""COMPUTED_VALUE"""),1.0)</f>
        <v>1</v>
      </c>
      <c r="F507" s="16" t="str">
        <f>IFERROR(__xludf.DUMMYFUNCTION("""COMPUTED_VALUE""")," ++Grants immunity to fire. ++Grants X2 damage. +-Can only equip one +-Cannot be duplicated")</f>
        <v> ++Grants immunity to fire. ++Grants X2 damage. +-Can only equip one +-Cannot be duplicated</v>
      </c>
      <c r="G507" s="16">
        <f>IFERROR(__xludf.DUMMYFUNCTION("""COMPUTED_VALUE"""),0.0)</f>
        <v>0</v>
      </c>
      <c r="H507" s="16"/>
      <c r="I507" s="16"/>
      <c r="J507" s="16"/>
      <c r="K507" s="16"/>
      <c r="L507" s="16"/>
      <c r="M507" s="16"/>
      <c r="N507" s="16"/>
      <c r="O507" s="16"/>
      <c r="P507" s="16"/>
      <c r="Q507" s="16"/>
      <c r="R507" s="16"/>
      <c r="S507" s="16"/>
      <c r="T507" s="16"/>
      <c r="U507" s="16"/>
      <c r="V507" s="16"/>
      <c r="W507" s="16"/>
      <c r="X507" s="16"/>
      <c r="Y507" s="16"/>
      <c r="Z507" s="16"/>
    </row>
    <row r="508">
      <c r="A508" s="16" t="str">
        <f>IFERROR(__xludf.DUMMYFUNCTION("""COMPUTED_VALUE"""),"Ring o' Fortitude and Earth")</f>
        <v>Ring o' Fortitude and Earth</v>
      </c>
      <c r="B508" s="16"/>
      <c r="C508" s="16"/>
      <c r="D508" s="16" t="str">
        <f>IFERROR(__xludf.DUMMYFUNCTION("""COMPUTED_VALUE"""),"Ring")</f>
        <v>Ring</v>
      </c>
      <c r="E508" s="16">
        <f>IFERROR(__xludf.DUMMYFUNCTION("""COMPUTED_VALUE"""),1.0)</f>
        <v>1</v>
      </c>
      <c r="F508" s="16" t="str">
        <f>IFERROR(__xludf.DUMMYFUNCTION("""COMPUTED_VALUE""")," ++Grants immunity to Earth. ++Grants X2 Defense. +-Can only equip one +-Cannot be duplicated")</f>
        <v> ++Grants immunity to Earth. ++Grants X2 Defense. +-Can only equip one +-Cannot be duplicated</v>
      </c>
      <c r="G508" s="16">
        <f>IFERROR(__xludf.DUMMYFUNCTION("""COMPUTED_VALUE"""),0.0)</f>
        <v>0</v>
      </c>
      <c r="H508" s="16"/>
      <c r="I508" s="16"/>
      <c r="J508" s="16"/>
      <c r="K508" s="16"/>
      <c r="L508" s="16"/>
      <c r="M508" s="16"/>
      <c r="N508" s="16"/>
      <c r="O508" s="16"/>
      <c r="P508" s="16"/>
      <c r="Q508" s="16"/>
      <c r="R508" s="16"/>
      <c r="S508" s="16"/>
      <c r="T508" s="16"/>
      <c r="U508" s="16"/>
      <c r="V508" s="16"/>
      <c r="W508" s="16"/>
      <c r="X508" s="16"/>
      <c r="Y508" s="16"/>
      <c r="Z508" s="16"/>
    </row>
    <row r="509">
      <c r="A509" s="16" t="str">
        <f>IFERROR(__xludf.DUMMYFUNCTION("""COMPUTED_VALUE"""),"Ring o' Agility and Water")</f>
        <v>Ring o' Agility and Water</v>
      </c>
      <c r="B509" s="16"/>
      <c r="C509" s="16"/>
      <c r="D509" s="16" t="str">
        <f>IFERROR(__xludf.DUMMYFUNCTION("""COMPUTED_VALUE"""),"Ring")</f>
        <v>Ring</v>
      </c>
      <c r="E509" s="16">
        <f>IFERROR(__xludf.DUMMYFUNCTION("""COMPUTED_VALUE"""),1.0)</f>
        <v>1</v>
      </c>
      <c r="F509" s="16" t="str">
        <f>IFERROR(__xludf.DUMMYFUNCTION("""COMPUTED_VALUE""")," ++Grants Immunity to Water. ++Grants +5 to evasion. +-Can only equip one +-Cannot be duplicated")</f>
        <v> ++Grants Immunity to Water. ++Grants +5 to evasion. +-Can only equip one +-Cannot be duplicated</v>
      </c>
      <c r="G509" s="16">
        <f>IFERROR(__xludf.DUMMYFUNCTION("""COMPUTED_VALUE"""),0.0)</f>
        <v>0</v>
      </c>
      <c r="H509" s="16"/>
      <c r="I509" s="16"/>
      <c r="J509" s="16"/>
      <c r="K509" s="16"/>
      <c r="L509" s="16"/>
      <c r="M509" s="16"/>
      <c r="N509" s="16"/>
      <c r="O509" s="16"/>
      <c r="P509" s="16"/>
      <c r="Q509" s="16"/>
      <c r="R509" s="16"/>
      <c r="S509" s="16"/>
      <c r="T509" s="16"/>
      <c r="U509" s="16"/>
      <c r="V509" s="16"/>
      <c r="W509" s="16"/>
      <c r="X509" s="16"/>
      <c r="Y509" s="16"/>
      <c r="Z509" s="16"/>
    </row>
    <row r="510">
      <c r="A510" s="16" t="str">
        <f>IFERROR(__xludf.DUMMYFUNCTION("""COMPUTED_VALUE"""),"Ring o' Power and Delta")</f>
        <v>Ring o' Power and Delta</v>
      </c>
      <c r="B510" s="16"/>
      <c r="C510" s="16"/>
      <c r="D510" s="16" t="str">
        <f>IFERROR(__xludf.DUMMYFUNCTION("""COMPUTED_VALUE"""),"Ring")</f>
        <v>Ring</v>
      </c>
      <c r="E510" s="16">
        <f>IFERROR(__xludf.DUMMYFUNCTION("""COMPUTED_VALUE"""),1.0)</f>
        <v>1</v>
      </c>
      <c r="F510" s="16" t="str">
        <f>IFERROR(__xludf.DUMMYFUNCTION("""COMPUTED_VALUE""")," ++Grants X4 Delta damage. ++Take Half delta damage. +-Can only equip one +-Cannot be duplicated")</f>
        <v> ++Grants X4 Delta damage. ++Take Half delta damage. +-Can only equip one +-Cannot be duplicated</v>
      </c>
      <c r="G510" s="16">
        <f>IFERROR(__xludf.DUMMYFUNCTION("""COMPUTED_VALUE"""),0.0)</f>
        <v>0</v>
      </c>
      <c r="H510" s="16"/>
      <c r="I510" s="16"/>
      <c r="J510" s="16"/>
      <c r="K510" s="16"/>
      <c r="L510" s="16"/>
      <c r="M510" s="16"/>
      <c r="N510" s="16"/>
      <c r="O510" s="16"/>
      <c r="P510" s="16"/>
      <c r="Q510" s="16"/>
      <c r="R510" s="16"/>
      <c r="S510" s="16"/>
      <c r="T510" s="16"/>
      <c r="U510" s="16"/>
      <c r="V510" s="16"/>
      <c r="W510" s="16"/>
      <c r="X510" s="16"/>
      <c r="Y510" s="16"/>
      <c r="Z510" s="16"/>
    </row>
    <row r="511">
      <c r="A511" s="16" t="str">
        <f>IFERROR(__xludf.DUMMYFUNCTION("""COMPUTED_VALUE"""),"Ring o' Courage and Order")</f>
        <v>Ring o' Courage and Order</v>
      </c>
      <c r="B511" s="16"/>
      <c r="C511" s="16"/>
      <c r="D511" s="16" t="str">
        <f>IFERROR(__xludf.DUMMYFUNCTION("""COMPUTED_VALUE"""),"Ring")</f>
        <v>Ring</v>
      </c>
      <c r="E511" s="16">
        <f>IFERROR(__xludf.DUMMYFUNCTION("""COMPUTED_VALUE"""),1.0)</f>
        <v>1</v>
      </c>
      <c r="F511" s="16" t="str">
        <f>IFERROR(__xludf.DUMMYFUNCTION("""COMPUTED_VALUE""")," ++Grants Immunity to Order. ++Enemies halve their rolls when fleeing. +-Can only equip one +-Cannot be duplicated")</f>
        <v> ++Grants Immunity to Order. ++Enemies halve their rolls when fleeing. +-Can only equip one +-Cannot be duplicated</v>
      </c>
      <c r="G511" s="16">
        <f>IFERROR(__xludf.DUMMYFUNCTION("""COMPUTED_VALUE"""),0.0)</f>
        <v>0</v>
      </c>
      <c r="H511" s="16"/>
      <c r="I511" s="16"/>
      <c r="J511" s="16"/>
      <c r="K511" s="16"/>
      <c r="L511" s="16"/>
      <c r="M511" s="16"/>
      <c r="N511" s="16"/>
      <c r="O511" s="16"/>
      <c r="P511" s="16"/>
      <c r="Q511" s="16"/>
      <c r="R511" s="16"/>
      <c r="S511" s="16"/>
      <c r="T511" s="16"/>
      <c r="U511" s="16"/>
      <c r="V511" s="16"/>
      <c r="W511" s="16"/>
      <c r="X511" s="16"/>
      <c r="Y511" s="16"/>
      <c r="Z511" s="16"/>
    </row>
    <row r="512">
      <c r="A512" s="16" t="str">
        <f>IFERROR(__xludf.DUMMYFUNCTION("""COMPUTED_VALUE"""),"Ring o' Resilience and Physicality")</f>
        <v>Ring o' Resilience and Physicality</v>
      </c>
      <c r="B512" s="16"/>
      <c r="C512" s="16"/>
      <c r="D512" s="16" t="str">
        <f>IFERROR(__xludf.DUMMYFUNCTION("""COMPUTED_VALUE"""),"Ring")</f>
        <v>Ring</v>
      </c>
      <c r="E512" s="16">
        <f>IFERROR(__xludf.DUMMYFUNCTION("""COMPUTED_VALUE"""),1.0)</f>
        <v>1</v>
      </c>
      <c r="F512" s="16" t="str">
        <f>IFERROR(__xludf.DUMMYFUNCTION("""COMPUTED_VALUE""")," ++Grants Immunity to Natural attacks. ++Grants +5 Mobility. +-Can only equip one +-Cannot be duplicated")</f>
        <v> ++Grants Immunity to Natural attacks. ++Grants +5 Mobility. +-Can only equip one +-Cannot be duplicated</v>
      </c>
      <c r="G512" s="16">
        <f>IFERROR(__xludf.DUMMYFUNCTION("""COMPUTED_VALUE"""),0.0)</f>
        <v>0</v>
      </c>
      <c r="H512" s="16"/>
      <c r="I512" s="16"/>
      <c r="J512" s="16"/>
      <c r="K512" s="16"/>
      <c r="L512" s="16"/>
      <c r="M512" s="16"/>
      <c r="N512" s="16"/>
      <c r="O512" s="16"/>
      <c r="P512" s="16"/>
      <c r="Q512" s="16"/>
      <c r="R512" s="16"/>
      <c r="S512" s="16"/>
      <c r="T512" s="16"/>
      <c r="U512" s="16"/>
      <c r="V512" s="16"/>
      <c r="W512" s="16"/>
      <c r="X512" s="16"/>
      <c r="Y512" s="16"/>
      <c r="Z512" s="16"/>
    </row>
    <row r="513">
      <c r="A513" s="16" t="str">
        <f>IFERROR(__xludf.DUMMYFUNCTION("""COMPUTED_VALUE"""),"Ring o' Insanity and Chaos")</f>
        <v>Ring o' Insanity and Chaos</v>
      </c>
      <c r="B513" s="16"/>
      <c r="C513" s="16"/>
      <c r="D513" s="16" t="str">
        <f>IFERROR(__xludf.DUMMYFUNCTION("""COMPUTED_VALUE"""),"Ring")</f>
        <v>Ring</v>
      </c>
      <c r="E513" s="16">
        <f>IFERROR(__xludf.DUMMYFUNCTION("""COMPUTED_VALUE"""),1.0)</f>
        <v>1</v>
      </c>
      <c r="F513" s="16" t="str">
        <f>IFERROR(__xludf.DUMMYFUNCTION("""COMPUTED_VALUE""")," ++Grants Immunity to Chaos. +5 to Intimidation. +-Can only equip one +-Cannot be duplicated")</f>
        <v> ++Grants Immunity to Chaos. +5 to Intimidation. +-Can only equip one +-Cannot be duplicated</v>
      </c>
      <c r="G513" s="16">
        <f>IFERROR(__xludf.DUMMYFUNCTION("""COMPUTED_VALUE"""),0.0)</f>
        <v>0</v>
      </c>
      <c r="H513" s="16"/>
      <c r="I513" s="16"/>
      <c r="J513" s="16"/>
      <c r="K513" s="16"/>
      <c r="L513" s="16"/>
      <c r="M513" s="16"/>
      <c r="N513" s="16"/>
      <c r="O513" s="16"/>
      <c r="P513" s="16"/>
      <c r="Q513" s="16"/>
      <c r="R513" s="16"/>
      <c r="S513" s="16"/>
      <c r="T513" s="16"/>
      <c r="U513" s="16"/>
      <c r="V513" s="16"/>
      <c r="W513" s="16"/>
      <c r="X513" s="16"/>
      <c r="Y513" s="16"/>
      <c r="Z513" s="16"/>
    </row>
    <row r="514">
      <c r="A514" s="16" t="str">
        <f>IFERROR(__xludf.DUMMYFUNCTION("""COMPUTED_VALUE"""),"Ring o' Debonair and Light")</f>
        <v>Ring o' Debonair and Light</v>
      </c>
      <c r="B514" s="16"/>
      <c r="C514" s="16"/>
      <c r="D514" s="16" t="str">
        <f>IFERROR(__xludf.DUMMYFUNCTION("""COMPUTED_VALUE"""),"Ring")</f>
        <v>Ring</v>
      </c>
      <c r="E514" s="16">
        <f>IFERROR(__xludf.DUMMYFUNCTION("""COMPUTED_VALUE"""),1.0)</f>
        <v>1</v>
      </c>
      <c r="F514" s="16" t="str">
        <f>IFERROR(__xludf.DUMMYFUNCTION("""COMPUTED_VALUE""")," ++Grants Immunity to Light. +5 to Charisma. +-Can only equip one +-Cannot be duplicated")</f>
        <v> ++Grants Immunity to Light. +5 to Charisma. +-Can only equip one +-Cannot be duplicated</v>
      </c>
      <c r="G514" s="16">
        <f>IFERROR(__xludf.DUMMYFUNCTION("""COMPUTED_VALUE"""),0.0)</f>
        <v>0</v>
      </c>
      <c r="H514" s="16"/>
      <c r="I514" s="16"/>
      <c r="J514" s="16"/>
      <c r="K514" s="16"/>
      <c r="L514" s="16"/>
      <c r="M514" s="16"/>
      <c r="N514" s="16"/>
      <c r="O514" s="16"/>
      <c r="P514" s="16"/>
      <c r="Q514" s="16"/>
      <c r="R514" s="16"/>
      <c r="S514" s="16"/>
      <c r="T514" s="16"/>
      <c r="U514" s="16"/>
      <c r="V514" s="16"/>
      <c r="W514" s="16"/>
      <c r="X514" s="16"/>
      <c r="Y514" s="16"/>
      <c r="Z514" s="16"/>
    </row>
    <row r="515">
      <c r="A515" s="16" t="str">
        <f>IFERROR(__xludf.DUMMYFUNCTION("""COMPUTED_VALUE"""),"Ring o' Spite and Blood")</f>
        <v>Ring o' Spite and Blood</v>
      </c>
      <c r="B515" s="16"/>
      <c r="C515" s="16"/>
      <c r="D515" s="16" t="str">
        <f>IFERROR(__xludf.DUMMYFUNCTION("""COMPUTED_VALUE"""),"Ring")</f>
        <v>Ring</v>
      </c>
      <c r="E515" s="16">
        <f>IFERROR(__xludf.DUMMYFUNCTION("""COMPUTED_VALUE"""),1.0)</f>
        <v>1</v>
      </c>
      <c r="F515" s="16" t="str">
        <f>IFERROR(__xludf.DUMMYFUNCTION("""COMPUTED_VALUE""")," ++Grants Immunity to Blood. ++X4 Blood damage, ++Deal X4 damage to any enemy who attempted to attack you. +-Can only equip one +-Cannot be duplicated")</f>
        <v> ++Grants Immunity to Blood. ++X4 Blood damage, ++Deal X4 damage to any enemy who attempted to attack you. +-Can only equip one +-Cannot be duplicated</v>
      </c>
      <c r="G515" s="16">
        <f>IFERROR(__xludf.DUMMYFUNCTION("""COMPUTED_VALUE"""),0.0)</f>
        <v>0</v>
      </c>
      <c r="H515" s="16"/>
      <c r="I515" s="16"/>
      <c r="J515" s="16"/>
      <c r="K515" s="16"/>
      <c r="L515" s="16"/>
      <c r="M515" s="16"/>
      <c r="N515" s="16"/>
      <c r="O515" s="16"/>
      <c r="P515" s="16"/>
      <c r="Q515" s="16"/>
      <c r="R515" s="16"/>
      <c r="S515" s="16"/>
      <c r="T515" s="16"/>
      <c r="U515" s="16"/>
      <c r="V515" s="16"/>
      <c r="W515" s="16"/>
      <c r="X515" s="16"/>
      <c r="Y515" s="16"/>
      <c r="Z515" s="16"/>
    </row>
    <row r="516">
      <c r="A516" s="16" t="str">
        <f>IFERROR(__xludf.DUMMYFUNCTION("""COMPUTED_VALUE"""),"Ring o' Neurodivergence and Spirit")</f>
        <v>Ring o' Neurodivergence and Spirit</v>
      </c>
      <c r="B516" s="16"/>
      <c r="C516" s="16"/>
      <c r="D516" s="16" t="str">
        <f>IFERROR(__xludf.DUMMYFUNCTION("""COMPUTED_VALUE"""),"Ring")</f>
        <v>Ring</v>
      </c>
      <c r="E516" s="16">
        <f>IFERROR(__xludf.DUMMYFUNCTION("""COMPUTED_VALUE"""),1.0)</f>
        <v>1</v>
      </c>
      <c r="F516" s="16" t="str">
        <f>IFERROR(__xludf.DUMMYFUNCTION("""COMPUTED_VALUE""")," ++Grants Immunity to Spirit. ++As an action you can Create a clone of yourself who has the same stats as yourself once per battle, 200 sp. +-Can only equip one +-Cannot be duplicated")</f>
        <v> ++Grants Immunity to Spirit. ++As an action you can Create a clone of yourself who has the same stats as yourself once per battle, 200 sp. +-Can only equip one +-Cannot be duplicated</v>
      </c>
      <c r="G516" s="16">
        <f>IFERROR(__xludf.DUMMYFUNCTION("""COMPUTED_VALUE"""),0.0)</f>
        <v>0</v>
      </c>
      <c r="H516" s="16"/>
      <c r="I516" s="16"/>
      <c r="J516" s="16"/>
      <c r="K516" s="16"/>
      <c r="L516" s="16"/>
      <c r="M516" s="16"/>
      <c r="N516" s="16"/>
      <c r="O516" s="16"/>
      <c r="P516" s="16"/>
      <c r="Q516" s="16"/>
      <c r="R516" s="16"/>
      <c r="S516" s="16"/>
      <c r="T516" s="16"/>
      <c r="U516" s="16"/>
      <c r="V516" s="16"/>
      <c r="W516" s="16"/>
      <c r="X516" s="16"/>
      <c r="Y516" s="16"/>
      <c r="Z516" s="16"/>
    </row>
    <row r="517">
      <c r="A517" s="16" t="str">
        <f>IFERROR(__xludf.DUMMYFUNCTION("""COMPUTED_VALUE"""),"Ring o' Impassivity and Storm")</f>
        <v>Ring o' Impassivity and Storm</v>
      </c>
      <c r="B517" s="16"/>
      <c r="C517" s="16"/>
      <c r="D517" s="16" t="str">
        <f>IFERROR(__xludf.DUMMYFUNCTION("""COMPUTED_VALUE"""),"Ring")</f>
        <v>Ring</v>
      </c>
      <c r="E517" s="16">
        <f>IFERROR(__xludf.DUMMYFUNCTION("""COMPUTED_VALUE"""),1.0)</f>
        <v>1</v>
      </c>
      <c r="F517" s="16" t="str">
        <f>IFERROR(__xludf.DUMMYFUNCTION("""COMPUTED_VALUE""")," ++Grants Immunity to Storm. ++20% chance to be unaffected by magic that affects you including your own. +-Can only equip one +-Cannot be duplicated")</f>
        <v> ++Grants Immunity to Storm. ++20% chance to be unaffected by magic that affects you including your own. +-Can only equip one +-Cannot be duplicated</v>
      </c>
      <c r="G517" s="16">
        <f>IFERROR(__xludf.DUMMYFUNCTION("""COMPUTED_VALUE"""),0.0)</f>
        <v>0</v>
      </c>
      <c r="H517" s="16"/>
      <c r="I517" s="16"/>
      <c r="J517" s="16"/>
      <c r="K517" s="16"/>
      <c r="L517" s="16"/>
      <c r="M517" s="16"/>
      <c r="N517" s="16"/>
      <c r="O517" s="16"/>
      <c r="P517" s="16"/>
      <c r="Q517" s="16"/>
      <c r="R517" s="16"/>
      <c r="S517" s="16"/>
      <c r="T517" s="16"/>
      <c r="U517" s="16"/>
      <c r="V517" s="16"/>
      <c r="W517" s="16"/>
      <c r="X517" s="16"/>
      <c r="Y517" s="16"/>
      <c r="Z517" s="16"/>
    </row>
    <row r="518">
      <c r="A518" s="16" t="str">
        <f>IFERROR(__xludf.DUMMYFUNCTION("""COMPUTED_VALUE"""),"Ring o' Rigidity and Stasis")</f>
        <v>Ring o' Rigidity and Stasis</v>
      </c>
      <c r="B518" s="16"/>
      <c r="C518" s="16"/>
      <c r="D518" s="16" t="str">
        <f>IFERROR(__xludf.DUMMYFUNCTION("""COMPUTED_VALUE"""),"Ring")</f>
        <v>Ring</v>
      </c>
      <c r="E518" s="16">
        <f>IFERROR(__xludf.DUMMYFUNCTION("""COMPUTED_VALUE"""),1.0)</f>
        <v>1</v>
      </c>
      <c r="F518" s="16" t="str">
        <f>IFERROR(__xludf.DUMMYFUNCTION("""COMPUTED_VALUE""")," ++You take half Damage from both Chaos and Light. ++Grants a 30% chance to be unaffected by status affects. +-Can only equip one +-Cannot be duplicated")</f>
        <v> ++You take half Damage from both Chaos and Light. ++Grants a 30% chance to be unaffected by status affects. +-Can only equip one +-Cannot be duplicated</v>
      </c>
      <c r="G518" s="16">
        <f>IFERROR(__xludf.DUMMYFUNCTION("""COMPUTED_VALUE"""),0.0)</f>
        <v>0</v>
      </c>
      <c r="H518" s="16"/>
      <c r="I518" s="16"/>
      <c r="J518" s="16"/>
      <c r="K518" s="16"/>
      <c r="L518" s="16"/>
      <c r="M518" s="16"/>
      <c r="N518" s="16"/>
      <c r="O518" s="16"/>
      <c r="P518" s="16"/>
      <c r="Q518" s="16"/>
      <c r="R518" s="16"/>
      <c r="S518" s="16"/>
      <c r="T518" s="16"/>
      <c r="U518" s="16"/>
      <c r="V518" s="16"/>
      <c r="W518" s="16"/>
      <c r="X518" s="16"/>
      <c r="Y518" s="16"/>
      <c r="Z518" s="16"/>
    </row>
    <row r="519">
      <c r="A519" s="16" t="str">
        <f>IFERROR(__xludf.DUMMYFUNCTION("""COMPUTED_VALUE"""),"Ring o' Loyalty and Celestial")</f>
        <v>Ring o' Loyalty and Celestial</v>
      </c>
      <c r="B519" s="16"/>
      <c r="C519" s="16"/>
      <c r="D519" s="16" t="str">
        <f>IFERROR(__xludf.DUMMYFUNCTION("""COMPUTED_VALUE"""),"Ring")</f>
        <v>Ring</v>
      </c>
      <c r="E519" s="16">
        <f>IFERROR(__xludf.DUMMYFUNCTION("""COMPUTED_VALUE"""),1.0)</f>
        <v>1</v>
      </c>
      <c r="F519" s="16" t="str">
        <f>IFERROR(__xludf.DUMMYFUNCTION("""COMPUTED_VALUE""")," ++Grants X6 Celestial damage. Take half damage from celestial. +-Can only equip one +-Cannot be duplicated")</f>
        <v> ++Grants X6 Celestial damage. Take half damage from celestial. +-Can only equip one +-Cannot be duplicated</v>
      </c>
      <c r="G519" s="16">
        <f>IFERROR(__xludf.DUMMYFUNCTION("""COMPUTED_VALUE"""),0.0)</f>
        <v>0</v>
      </c>
      <c r="H519" s="16"/>
      <c r="I519" s="16"/>
      <c r="J519" s="16"/>
      <c r="K519" s="16"/>
      <c r="L519" s="16"/>
      <c r="M519" s="16"/>
      <c r="N519" s="16"/>
      <c r="O519" s="16"/>
      <c r="P519" s="16"/>
      <c r="Q519" s="16"/>
      <c r="R519" s="16"/>
      <c r="S519" s="16"/>
      <c r="T519" s="16"/>
      <c r="U519" s="16"/>
      <c r="V519" s="16"/>
      <c r="W519" s="16"/>
      <c r="X519" s="16"/>
      <c r="Y519" s="16"/>
      <c r="Z519" s="16"/>
    </row>
    <row r="520">
      <c r="A520" s="16" t="str">
        <f>IFERROR(__xludf.DUMMYFUNCTION("""COMPUTED_VALUE"""),"Ring o' Arrogance and Twilight")</f>
        <v>Ring o' Arrogance and Twilight</v>
      </c>
      <c r="B520" s="16"/>
      <c r="C520" s="16"/>
      <c r="D520" s="16" t="str">
        <f>IFERROR(__xludf.DUMMYFUNCTION("""COMPUTED_VALUE"""),"Ring")</f>
        <v>Ring</v>
      </c>
      <c r="E520" s="16">
        <f>IFERROR(__xludf.DUMMYFUNCTION("""COMPUTED_VALUE"""),1.0)</f>
        <v>1</v>
      </c>
      <c r="F520" s="16" t="str">
        <f>IFERROR(__xludf.DUMMYFUNCTION("""COMPUTED_VALUE""")," ++You take Half Damage from both Light and Dark. Grants immunity to Instant Death. +-Can only equip one +-Cannot be duplicated")</f>
        <v> ++You take Half Damage from both Light and Dark. Grants immunity to Instant Death. +-Can only equip one +-Cannot be duplicated</v>
      </c>
      <c r="G520" s="16">
        <f>IFERROR(__xludf.DUMMYFUNCTION("""COMPUTED_VALUE"""),0.0)</f>
        <v>0</v>
      </c>
      <c r="H520" s="16"/>
      <c r="I520" s="16"/>
      <c r="J520" s="16"/>
      <c r="K520" s="16"/>
      <c r="L520" s="16"/>
      <c r="M520" s="16"/>
      <c r="N520" s="16"/>
      <c r="O520" s="16"/>
      <c r="P520" s="16"/>
      <c r="Q520" s="16"/>
      <c r="R520" s="16"/>
      <c r="S520" s="16"/>
      <c r="T520" s="16"/>
      <c r="U520" s="16"/>
      <c r="V520" s="16"/>
      <c r="W520" s="16"/>
      <c r="X520" s="16"/>
      <c r="Y520" s="16"/>
      <c r="Z520" s="16"/>
    </row>
    <row r="521">
      <c r="A521" s="16" t="str">
        <f>IFERROR(__xludf.DUMMYFUNCTION("""COMPUTED_VALUE"""),"Ring o' Grace and Astral")</f>
        <v>Ring o' Grace and Astral</v>
      </c>
      <c r="B521" s="16"/>
      <c r="C521" s="16"/>
      <c r="D521" s="16" t="str">
        <f>IFERROR(__xludf.DUMMYFUNCTION("""COMPUTED_VALUE"""),"Ring")</f>
        <v>Ring</v>
      </c>
      <c r="E521" s="16">
        <f>IFERROR(__xludf.DUMMYFUNCTION("""COMPUTED_VALUE"""),1.0)</f>
        <v>1</v>
      </c>
      <c r="F521" s="16" t="str">
        <f>IFERROR(__xludf.DUMMYFUNCTION("""COMPUTED_VALUE""")," ++Grants Immunity to Astral. ++You roll twice when rolling to evade and take the higher result. +-Can only equip one +-Cannot be duplicated")</f>
        <v> ++Grants Immunity to Astral. ++You roll twice when rolling to evade and take the higher result. +-Can only equip one +-Cannot be duplicated</v>
      </c>
      <c r="G521" s="16">
        <f>IFERROR(__xludf.DUMMYFUNCTION("""COMPUTED_VALUE"""),0.0)</f>
        <v>0</v>
      </c>
      <c r="H521" s="16"/>
      <c r="I521" s="16"/>
      <c r="J521" s="16"/>
      <c r="K521" s="16"/>
      <c r="L521" s="16"/>
      <c r="M521" s="16"/>
      <c r="N521" s="16"/>
      <c r="O521" s="16"/>
      <c r="P521" s="16"/>
      <c r="Q521" s="16"/>
      <c r="R521" s="16"/>
      <c r="S521" s="16"/>
      <c r="T521" s="16"/>
      <c r="U521" s="16"/>
      <c r="V521" s="16"/>
      <c r="W521" s="16"/>
      <c r="X521" s="16"/>
      <c r="Y521" s="16"/>
      <c r="Z521" s="16"/>
    </row>
    <row r="522">
      <c r="A522" s="16" t="str">
        <f>IFERROR(__xludf.DUMMYFUNCTION("""COMPUTED_VALUE"""),"Ring o' Villainy and Voodoo")</f>
        <v>Ring o' Villainy and Voodoo</v>
      </c>
      <c r="B522" s="16"/>
      <c r="C522" s="16"/>
      <c r="D522" s="16" t="str">
        <f>IFERROR(__xludf.DUMMYFUNCTION("""COMPUTED_VALUE"""),"Ring")</f>
        <v>Ring</v>
      </c>
      <c r="E522" s="16">
        <f>IFERROR(__xludf.DUMMYFUNCTION("""COMPUTED_VALUE"""),1.0)</f>
        <v>1</v>
      </c>
      <c r="F522" s="16" t="str">
        <f>IFERROR(__xludf.DUMMYFUNCTION("""COMPUTED_VALUE""")," ++Grants Immunity to Voodoo. ++You automatically succeed at using confiscate and get a ++2 to any roll related to committing a crime. X4 Voodoo damage. +-Can only equip one +-Cannot be duplicated. +-Cannot become a Spira guard if you wear this.")</f>
        <v> ++Grants Immunity to Voodoo. ++You automatically succeed at using confiscate and get a ++2 to any roll related to committing a crime. X4 Voodoo damage. +-Can only equip one +-Cannot be duplicated. +-Cannot become a Spira guard if you wear this.</v>
      </c>
      <c r="G522" s="16">
        <f>IFERROR(__xludf.DUMMYFUNCTION("""COMPUTED_VALUE"""),0.0)</f>
        <v>0</v>
      </c>
      <c r="H522" s="16"/>
      <c r="I522" s="16"/>
      <c r="J522" s="16"/>
      <c r="K522" s="16"/>
      <c r="L522" s="16"/>
      <c r="M522" s="16"/>
      <c r="N522" s="16"/>
      <c r="O522" s="16"/>
      <c r="P522" s="16"/>
      <c r="Q522" s="16"/>
      <c r="R522" s="16"/>
      <c r="S522" s="16"/>
      <c r="T522" s="16"/>
      <c r="U522" s="16"/>
      <c r="V522" s="16"/>
      <c r="W522" s="16"/>
      <c r="X522" s="16"/>
      <c r="Y522" s="16"/>
      <c r="Z522" s="16"/>
    </row>
    <row r="523">
      <c r="A523" s="16" t="str">
        <f>IFERROR(__xludf.DUMMYFUNCTION("""COMPUTED_VALUE"""),"The Bow of The Verdant Forest")</f>
        <v>The Bow of The Verdant Forest</v>
      </c>
      <c r="B523" s="16" t="str">
        <f>IFERROR(__xludf.DUMMYFUNCTION("""COMPUTED_VALUE"""),"Quest Item")</f>
        <v>Quest Item</v>
      </c>
      <c r="C523" s="16"/>
      <c r="D523" s="16" t="str">
        <f>IFERROR(__xludf.DUMMYFUNCTION("""COMPUTED_VALUE"""),"Hand")</f>
        <v>Hand</v>
      </c>
      <c r="E523" s="16">
        <f>IFERROR(__xludf.DUMMYFUNCTION("""COMPUTED_VALUE"""),200.0)</f>
        <v>200</v>
      </c>
      <c r="F523" s="16" t="str">
        <f>IFERROR(__xludf.DUMMYFUNCTION("""COMPUTED_VALUE"""),"DMG: +20000, Chaos DMG: +20000, Nature DMG: +20000, Celestial DMG: +5000 (Forest Paladin Set) ++X2 Nature damage. ++Verdant Shot: Fire a shot dealing your total defense as Nature damage 1000sp. +-Archer, Hunter, and Paladin of The Forest Class only.")</f>
        <v>DMG: +20000, Chaos DMG: +20000, Nature DMG: +20000, Celestial DMG: +5000 (Forest Paladin Set) ++X2 Nature damage. ++Verdant Shot: Fire a shot dealing your total defense as Nature damage 1000sp. +-Archer, Hunter, and Paladin of The Forest Class only.</v>
      </c>
      <c r="G523" s="16">
        <f>IFERROR(__xludf.DUMMYFUNCTION("""COMPUTED_VALUE"""),8.385E7)</f>
        <v>83850000</v>
      </c>
      <c r="H523" s="16"/>
      <c r="I523" s="16"/>
      <c r="J523" s="16"/>
      <c r="K523" s="16"/>
      <c r="L523" s="16"/>
      <c r="M523" s="16"/>
      <c r="N523" s="16"/>
      <c r="O523" s="16"/>
      <c r="P523" s="16"/>
      <c r="Q523" s="16"/>
      <c r="R523" s="16"/>
      <c r="S523" s="16"/>
      <c r="T523" s="16"/>
      <c r="U523" s="16"/>
      <c r="V523" s="16"/>
      <c r="W523" s="16"/>
      <c r="X523" s="16"/>
      <c r="Y523" s="16"/>
      <c r="Z523" s="16"/>
    </row>
    <row r="524">
      <c r="A524" s="16" t="str">
        <f>IFERROR(__xludf.DUMMYFUNCTION("""COMPUTED_VALUE"""),"Enchanted Wooden Buckler of The Verdant Forest")</f>
        <v>Enchanted Wooden Buckler of The Verdant Forest</v>
      </c>
      <c r="B524" s="16" t="str">
        <f>IFERROR(__xludf.DUMMYFUNCTION("""COMPUTED_VALUE"""),"Quest Item")</f>
        <v>Quest Item</v>
      </c>
      <c r="C524" s="16"/>
      <c r="D524" s="16" t="str">
        <f>IFERROR(__xludf.DUMMYFUNCTION("""COMPUTED_VALUE"""),"Hand")</f>
        <v>Hand</v>
      </c>
      <c r="E524" s="16">
        <f>IFERROR(__xludf.DUMMYFUNCTION("""COMPUTED_VALUE"""),200.0)</f>
        <v>200</v>
      </c>
      <c r="F524" s="16" t="str">
        <f>IFERROR(__xludf.DUMMYFUNCTION("""COMPUTED_VALUE"""),"DEF: +50000, Water DEF: +25000, Order DEF: +25000, Celestial DEF: +25000 (Forest Paladin Set) ++Counted as a weapon for the purpose of the parry ability. ++Nature's Law: When Fighting in a Natural Environment your total defense is doubled. +-Archer, Hunte"&amp;"r, and Paladin of The Forest Class only.")</f>
        <v>DEF: +50000, Water DEF: +25000, Order DEF: +25000, Celestial DEF: +25000 (Forest Paladin Set) ++Counted as a weapon for the purpose of the parry ability. ++Nature's Law: When Fighting in a Natural Environment your total defense is doubled. +-Archer, Hunter, and Paladin of The Forest Class only.</v>
      </c>
      <c r="G524" s="16">
        <f>IFERROR(__xludf.DUMMYFUNCTION("""COMPUTED_VALUE"""),3.1125E8)</f>
        <v>311250000</v>
      </c>
      <c r="H524" s="16"/>
      <c r="I524" s="16"/>
      <c r="J524" s="16"/>
      <c r="K524" s="16"/>
      <c r="L524" s="16"/>
      <c r="M524" s="16"/>
      <c r="N524" s="16"/>
      <c r="O524" s="16"/>
      <c r="P524" s="16"/>
      <c r="Q524" s="16"/>
      <c r="R524" s="16"/>
      <c r="S524" s="16"/>
      <c r="T524" s="16"/>
      <c r="U524" s="16"/>
      <c r="V524" s="16"/>
      <c r="W524" s="16"/>
      <c r="X524" s="16"/>
      <c r="Y524" s="16"/>
      <c r="Z524" s="16"/>
    </row>
    <row r="525">
      <c r="A525" s="16" t="str">
        <f>IFERROR(__xludf.DUMMYFUNCTION("""COMPUTED_VALUE"""),"Cowl of the Eagle's Sight")</f>
        <v>Cowl of the Eagle's Sight</v>
      </c>
      <c r="B525" s="16" t="str">
        <f>IFERROR(__xludf.DUMMYFUNCTION("""COMPUTED_VALUE"""),"Quest Item")</f>
        <v>Quest Item</v>
      </c>
      <c r="C525" s="16"/>
      <c r="D525" s="16" t="str">
        <f>IFERROR(__xludf.DUMMYFUNCTION("""COMPUTED_VALUE"""),"Head")</f>
        <v>Head</v>
      </c>
      <c r="E525" s="16">
        <f>IFERROR(__xludf.DUMMYFUNCTION("""COMPUTED_VALUE"""),200.0)</f>
        <v>200</v>
      </c>
      <c r="F525" s="16" t="str">
        <f>IFERROR(__xludf.DUMMYFUNCTION("""COMPUTED_VALUE"""),"DEF: +20000, Water DEF: +10000, Order DEF: +10000, Celestial DEF: +10000 (Forest Paladin Set) ++Blessing of The Greens I: X2 Nature damage. ++Eagle Eyed: When in a forest you gain Truesight for the first round of battle. +-Archer, Hunter, and Paladin of T"&amp;"he Forest Class only.")</f>
        <v>DEF: +20000, Water DEF: +10000, Order DEF: +10000, Celestial DEF: +10000 (Forest Paladin Set) ++Blessing of The Greens I: X2 Nature damage. ++Eagle Eyed: When in a forest you gain Truesight for the first round of battle. +-Archer, Hunter, and Paladin of The Forest Class only.</v>
      </c>
      <c r="G525" s="16">
        <f>IFERROR(__xludf.DUMMYFUNCTION("""COMPUTED_VALUE"""),4.95E7)</f>
        <v>49500000</v>
      </c>
      <c r="H525" s="16"/>
      <c r="I525" s="16"/>
      <c r="J525" s="16"/>
      <c r="K525" s="16"/>
      <c r="L525" s="16"/>
      <c r="M525" s="16"/>
      <c r="N525" s="16"/>
      <c r="O525" s="16"/>
      <c r="P525" s="16"/>
      <c r="Q525" s="16"/>
      <c r="R525" s="16"/>
      <c r="S525" s="16"/>
      <c r="T525" s="16"/>
      <c r="U525" s="16"/>
      <c r="V525" s="16"/>
      <c r="W525" s="16"/>
      <c r="X525" s="16"/>
      <c r="Y525" s="16"/>
      <c r="Z525" s="16"/>
    </row>
    <row r="526">
      <c r="A526" s="16" t="str">
        <f>IFERROR(__xludf.DUMMYFUNCTION("""COMPUTED_VALUE"""),"Ailettes of the Forest's Splendor")</f>
        <v>Ailettes of the Forest's Splendor</v>
      </c>
      <c r="B526" s="16" t="str">
        <f>IFERROR(__xludf.DUMMYFUNCTION("""COMPUTED_VALUE"""),"Quest Item")</f>
        <v>Quest Item</v>
      </c>
      <c r="C526" s="16"/>
      <c r="D526" s="16" t="str">
        <f>IFERROR(__xludf.DUMMYFUNCTION("""COMPUTED_VALUE"""),"Shoulders")</f>
        <v>Shoulders</v>
      </c>
      <c r="E526" s="16">
        <f>IFERROR(__xludf.DUMMYFUNCTION("""COMPUTED_VALUE"""),200.0)</f>
        <v>200</v>
      </c>
      <c r="F526" s="16" t="str">
        <f>IFERROR(__xludf.DUMMYFUNCTION("""COMPUTED_VALUE"""),"DEF: +20000, Water DEF: +10000, Order DEF: +10000, Celestial DEF: +10000 (Forest Paladin Set) ++Blessing of The Quiver I: X2 Bow damage. +-Archer, Hunter, and Paladin of The Forest Class only.")</f>
        <v>DEF: +20000, Water DEF: +10000, Order DEF: +10000, Celestial DEF: +10000 (Forest Paladin Set) ++Blessing of The Quiver I: X2 Bow damage. +-Archer, Hunter, and Paladin of The Forest Class only.</v>
      </c>
      <c r="G526" s="16">
        <f>IFERROR(__xludf.DUMMYFUNCTION("""COMPUTED_VALUE"""),4.95E7)</f>
        <v>49500000</v>
      </c>
      <c r="H526" s="16"/>
      <c r="I526" s="16"/>
      <c r="J526" s="16"/>
      <c r="K526" s="16"/>
      <c r="L526" s="16"/>
      <c r="M526" s="16"/>
      <c r="N526" s="16"/>
      <c r="O526" s="16"/>
      <c r="P526" s="16"/>
      <c r="Q526" s="16"/>
      <c r="R526" s="16"/>
      <c r="S526" s="16"/>
      <c r="T526" s="16"/>
      <c r="U526" s="16"/>
      <c r="V526" s="16"/>
      <c r="W526" s="16"/>
      <c r="X526" s="16"/>
      <c r="Y526" s="16"/>
      <c r="Z526" s="16"/>
    </row>
    <row r="527">
      <c r="A527" s="16" t="str">
        <f>IFERROR(__xludf.DUMMYFUNCTION("""COMPUTED_VALUE"""),"Bracer of Trueshot")</f>
        <v>Bracer of Trueshot</v>
      </c>
      <c r="B527" s="16" t="str">
        <f>IFERROR(__xludf.DUMMYFUNCTION("""COMPUTED_VALUE"""),"Quest Item")</f>
        <v>Quest Item</v>
      </c>
      <c r="C527" s="16"/>
      <c r="D527" s="16" t="str">
        <f>IFERROR(__xludf.DUMMYFUNCTION("""COMPUTED_VALUE"""),"Arms")</f>
        <v>Arms</v>
      </c>
      <c r="E527" s="16">
        <f>IFERROR(__xludf.DUMMYFUNCTION("""COMPUTED_VALUE"""),200.0)</f>
        <v>200</v>
      </c>
      <c r="F527" s="16" t="str">
        <f>IFERROR(__xludf.DUMMYFUNCTION("""COMPUTED_VALUE"""),"DEF: +20000, Water DEF: +10000, Order DEF: +10000, Celestial DEF: +10000 (Forest Paladin Set) ++Blessing of The Forest's Quiver: X2 Nature and Bow damage. ++Deadly Aim: Upon killing an enemy with a bow you double your next attack roll with a bow. +-Archer"&amp;", Hunter, and Paladin of The Forest Class only.")</f>
        <v>DEF: +20000, Water DEF: +10000, Order DEF: +10000, Celestial DEF: +10000 (Forest Paladin Set) ++Blessing of The Forest's Quiver: X2 Nature and Bow damage. ++Deadly Aim: Upon killing an enemy with a bow you double your next attack roll with a bow. +-Archer, Hunter, and Paladin of The Forest Class only.</v>
      </c>
      <c r="G527" s="16">
        <f>IFERROR(__xludf.DUMMYFUNCTION("""COMPUTED_VALUE"""),4.95E7)</f>
        <v>49500000</v>
      </c>
      <c r="H527" s="16"/>
      <c r="I527" s="16"/>
      <c r="J527" s="16"/>
      <c r="K527" s="16"/>
      <c r="L527" s="16"/>
      <c r="M527" s="16"/>
      <c r="N527" s="16"/>
      <c r="O527" s="16"/>
      <c r="P527" s="16"/>
      <c r="Q527" s="16"/>
      <c r="R527" s="16"/>
      <c r="S527" s="16"/>
      <c r="T527" s="16"/>
      <c r="U527" s="16"/>
      <c r="V527" s="16"/>
      <c r="W527" s="16"/>
      <c r="X527" s="16"/>
      <c r="Y527" s="16"/>
      <c r="Z527" s="16"/>
    </row>
    <row r="528">
      <c r="A528" s="16" t="str">
        <f>IFERROR(__xludf.DUMMYFUNCTION("""COMPUTED_VALUE"""),"Leather Cuirass of Barkskin")</f>
        <v>Leather Cuirass of Barkskin</v>
      </c>
      <c r="B528" s="16" t="str">
        <f>IFERROR(__xludf.DUMMYFUNCTION("""COMPUTED_VALUE"""),"Quest Item")</f>
        <v>Quest Item</v>
      </c>
      <c r="C528" s="16"/>
      <c r="D528" s="16" t="str">
        <f>IFERROR(__xludf.DUMMYFUNCTION("""COMPUTED_VALUE"""),"Torso")</f>
        <v>Torso</v>
      </c>
      <c r="E528" s="16">
        <f>IFERROR(__xludf.DUMMYFUNCTION("""COMPUTED_VALUE"""),200.0)</f>
        <v>200</v>
      </c>
      <c r="F528" s="16" t="str">
        <f>IFERROR(__xludf.DUMMYFUNCTION("""COMPUTED_VALUE"""),"DEF: +30000, Water DEF: +15000, Order DEF: +15000, Celestial DEF: +15000 (Forest Paladin Set) ++Blessing of The Greens I: X2 Nature damage. ++Barkskin: X2 defense for self. 50 sp. +-Archer, Hunter, and Paladin of The Forest Class only.")</f>
        <v>DEF: +30000, Water DEF: +15000, Order DEF: +15000, Celestial DEF: +15000 (Forest Paladin Set) ++Blessing of The Greens I: X2 Nature damage. ++Barkskin: X2 defense for self. 50 sp. +-Archer, Hunter, and Paladin of The Forest Class only.</v>
      </c>
      <c r="G528" s="16">
        <f>IFERROR(__xludf.DUMMYFUNCTION("""COMPUTED_VALUE"""),1.1175E8)</f>
        <v>111750000</v>
      </c>
      <c r="H528" s="16"/>
      <c r="I528" s="16"/>
      <c r="J528" s="16"/>
      <c r="K528" s="16"/>
      <c r="L528" s="16"/>
      <c r="M528" s="16"/>
      <c r="N528" s="16"/>
      <c r="O528" s="16"/>
      <c r="P528" s="16"/>
      <c r="Q528" s="16"/>
      <c r="R528" s="16"/>
      <c r="S528" s="16"/>
      <c r="T528" s="16"/>
      <c r="U528" s="16"/>
      <c r="V528" s="16"/>
      <c r="W528" s="16"/>
      <c r="X528" s="16"/>
      <c r="Y528" s="16"/>
      <c r="Z528" s="16"/>
    </row>
    <row r="529">
      <c r="A529" s="16" t="str">
        <f>IFERROR(__xludf.DUMMYFUNCTION("""COMPUTED_VALUE"""),"Greaves of The Verdant Forest")</f>
        <v>Greaves of The Verdant Forest</v>
      </c>
      <c r="B529" s="16" t="str">
        <f>IFERROR(__xludf.DUMMYFUNCTION("""COMPUTED_VALUE"""),"Quest Item")</f>
        <v>Quest Item</v>
      </c>
      <c r="C529" s="16"/>
      <c r="D529" s="16" t="str">
        <f>IFERROR(__xludf.DUMMYFUNCTION("""COMPUTED_VALUE"""),"Legs")</f>
        <v>Legs</v>
      </c>
      <c r="E529" s="16">
        <f>IFERROR(__xludf.DUMMYFUNCTION("""COMPUTED_VALUE"""),200.0)</f>
        <v>200</v>
      </c>
      <c r="F529" s="16" t="str">
        <f>IFERROR(__xludf.DUMMYFUNCTION("""COMPUTED_VALUE"""),"DEF: +20000, Water DEF: +10000, Order DEF: +10000, Celestial DEF: +10000 (Forest Paladin Set) ++Blessing of The Quiver I: X2 Bow damage. +-Archer, Hunter, and Paladin of The Forest Class only.")</f>
        <v>DEF: +20000, Water DEF: +10000, Order DEF: +10000, Celestial DEF: +10000 (Forest Paladin Set) ++Blessing of The Quiver I: X2 Bow damage. +-Archer, Hunter, and Paladin of The Forest Class only.</v>
      </c>
      <c r="G529" s="16">
        <f>IFERROR(__xludf.DUMMYFUNCTION("""COMPUTED_VALUE"""),4.95E7)</f>
        <v>49500000</v>
      </c>
      <c r="H529" s="16"/>
      <c r="I529" s="16"/>
      <c r="J529" s="16"/>
      <c r="K529" s="16"/>
      <c r="L529" s="16"/>
      <c r="M529" s="16"/>
      <c r="N529" s="16"/>
      <c r="O529" s="16"/>
      <c r="P529" s="16"/>
      <c r="Q529" s="16"/>
      <c r="R529" s="16"/>
      <c r="S529" s="16"/>
      <c r="T529" s="16"/>
      <c r="U529" s="16"/>
      <c r="V529" s="16"/>
      <c r="W529" s="16"/>
      <c r="X529" s="16"/>
      <c r="Y529" s="16"/>
      <c r="Z529" s="16"/>
    </row>
    <row r="530">
      <c r="A530" s="16" t="str">
        <f>IFERROR(__xludf.DUMMYFUNCTION("""COMPUTED_VALUE"""),"Boots of The Verdant Forest")</f>
        <v>Boots of The Verdant Forest</v>
      </c>
      <c r="B530" s="16" t="str">
        <f>IFERROR(__xludf.DUMMYFUNCTION("""COMPUTED_VALUE"""),"Quest Item")</f>
        <v>Quest Item</v>
      </c>
      <c r="C530" s="16"/>
      <c r="D530" s="16" t="str">
        <f>IFERROR(__xludf.DUMMYFUNCTION("""COMPUTED_VALUE"""),"Feet")</f>
        <v>Feet</v>
      </c>
      <c r="E530" s="16">
        <f>IFERROR(__xludf.DUMMYFUNCTION("""COMPUTED_VALUE"""),200.0)</f>
        <v>200</v>
      </c>
      <c r="F530" s="16" t="str">
        <f>IFERROR(__xludf.DUMMYFUNCTION("""COMPUTED_VALUE"""),"DEF: +20000, Water DEF: +10000, Order DEF: +10000, Celestial DEF: +10000 (Forest Paladin Set) Blessing of The Greens I: X2 Nature damage. Deal X4 Nature damage for the first bow attack you make under the effect of haste +-Archer, Hunter, and Paladin of Th"&amp;"e Forest Class only.")</f>
        <v>DEF: +20000, Water DEF: +10000, Order DEF: +10000, Celestial DEF: +10000 (Forest Paladin Set) Blessing of The Greens I: X2 Nature damage. Deal X4 Nature damage for the first bow attack you make under the effect of haste +-Archer, Hunter, and Paladin of The Forest Class only.</v>
      </c>
      <c r="G530" s="16">
        <f>IFERROR(__xludf.DUMMYFUNCTION("""COMPUTED_VALUE"""),4.95E7)</f>
        <v>49500000</v>
      </c>
      <c r="H530" s="16"/>
      <c r="I530" s="16"/>
      <c r="J530" s="16"/>
      <c r="K530" s="16"/>
      <c r="L530" s="16"/>
      <c r="M530" s="16"/>
      <c r="N530" s="16"/>
      <c r="O530" s="16"/>
      <c r="P530" s="16"/>
      <c r="Q530" s="16"/>
      <c r="R530" s="16"/>
      <c r="S530" s="16"/>
      <c r="T530" s="16"/>
      <c r="U530" s="16"/>
      <c r="V530" s="16"/>
      <c r="W530" s="16"/>
      <c r="X530" s="16"/>
      <c r="Y530" s="16"/>
      <c r="Z530" s="16"/>
    </row>
    <row r="531">
      <c r="A531" s="16" t="str">
        <f>IFERROR(__xludf.DUMMYFUNCTION("""COMPUTED_VALUE"""),"Emerald Ring of The Forest")</f>
        <v>Emerald Ring of The Forest</v>
      </c>
      <c r="B531" s="16" t="str">
        <f>IFERROR(__xludf.DUMMYFUNCTION("""COMPUTED_VALUE"""),"Quest Item")</f>
        <v>Quest Item</v>
      </c>
      <c r="C531" s="16"/>
      <c r="D531" s="16" t="str">
        <f>IFERROR(__xludf.DUMMYFUNCTION("""COMPUTED_VALUE"""),"Ring")</f>
        <v>Ring</v>
      </c>
      <c r="E531" s="16">
        <f>IFERROR(__xludf.DUMMYFUNCTION("""COMPUTED_VALUE"""),1.0)</f>
        <v>1</v>
      </c>
      <c r="F531" s="16" t="str">
        <f>IFERROR(__xludf.DUMMYFUNCTION("""COMPUTED_VALUE""")," (Forest Paladin Set) ++Regrowth: Heals target by 5000 and grants them Invigorated 5, 75sp. ++X4 outgoing healing +-Archer, Hunter, and Paladin of The Forest Class only.")</f>
        <v> (Forest Paladin Set) ++Regrowth: Heals target by 5000 and grants them Invigorated 5, 75sp. ++X4 outgoing healing +-Archer, Hunter, and Paladin of The Forest Class only.</v>
      </c>
      <c r="G531" s="16">
        <f>IFERROR(__xludf.DUMMYFUNCTION("""COMPUTED_VALUE"""),0.0)</f>
        <v>0</v>
      </c>
      <c r="H531" s="16"/>
      <c r="I531" s="16"/>
      <c r="J531" s="16"/>
      <c r="K531" s="16"/>
      <c r="L531" s="16"/>
      <c r="M531" s="16"/>
      <c r="N531" s="16"/>
      <c r="O531" s="16"/>
      <c r="P531" s="16"/>
      <c r="Q531" s="16"/>
      <c r="R531" s="16"/>
      <c r="S531" s="16"/>
      <c r="T531" s="16"/>
      <c r="U531" s="16"/>
      <c r="V531" s="16"/>
      <c r="W531" s="16"/>
      <c r="X531" s="16"/>
      <c r="Y531" s="16"/>
      <c r="Z531" s="16"/>
    </row>
    <row r="532">
      <c r="A532" s="16" t="str">
        <f>IFERROR(__xludf.DUMMYFUNCTION("""COMPUTED_VALUE"""),"Emerald Amulet of The Forest")</f>
        <v>Emerald Amulet of The Forest</v>
      </c>
      <c r="B532" s="16" t="str">
        <f>IFERROR(__xludf.DUMMYFUNCTION("""COMPUTED_VALUE"""),"Quest Item")</f>
        <v>Quest Item</v>
      </c>
      <c r="C532" s="16"/>
      <c r="D532" s="16" t="str">
        <f>IFERROR(__xludf.DUMMYFUNCTION("""COMPUTED_VALUE"""),"Neck")</f>
        <v>Neck</v>
      </c>
      <c r="E532" s="16">
        <f>IFERROR(__xludf.DUMMYFUNCTION("""COMPUTED_VALUE"""),1.0)</f>
        <v>1</v>
      </c>
      <c r="F532" s="16" t="str">
        <f>IFERROR(__xludf.DUMMYFUNCTION("""COMPUTED_VALUE""")," (Forest Paladin Set) ++Artemis' Godly Grace: Grants all allies Invigorated 5, Haste 3, Truesight 3, and 4X defense and Nature Damage, can only be casted once per battle, 500 sp +-Archer, Hunter, and Paladin of The Forest Class only.")</f>
        <v> (Forest Paladin Set) ++Artemis' Godly Grace: Grants all allies Invigorated 5, Haste 3, Truesight 3, and 4X defense and Nature Damage, can only be casted once per battle, 500 sp +-Archer, Hunter, and Paladin of The Forest Class only.</v>
      </c>
      <c r="G532" s="16">
        <f>IFERROR(__xludf.DUMMYFUNCTION("""COMPUTED_VALUE"""),0.0)</f>
        <v>0</v>
      </c>
      <c r="H532" s="16"/>
      <c r="I532" s="16"/>
      <c r="J532" s="16"/>
      <c r="K532" s="16"/>
      <c r="L532" s="16"/>
      <c r="M532" s="16"/>
      <c r="N532" s="16"/>
      <c r="O532" s="16"/>
      <c r="P532" s="16"/>
      <c r="Q532" s="16"/>
      <c r="R532" s="16"/>
      <c r="S532" s="16"/>
      <c r="T532" s="16"/>
      <c r="U532" s="16"/>
      <c r="V532" s="16"/>
      <c r="W532" s="16"/>
      <c r="X532" s="16"/>
      <c r="Y532" s="16"/>
      <c r="Z532" s="16"/>
    </row>
    <row r="533">
      <c r="A533" s="16" t="str">
        <f>IFERROR(__xludf.DUMMYFUNCTION("""COMPUTED_VALUE"""),"Artemis' Crown of The Forest")</f>
        <v>Artemis' Crown of The Forest</v>
      </c>
      <c r="B533" s="16" t="str">
        <f>IFERROR(__xludf.DUMMYFUNCTION("""COMPUTED_VALUE"""),"Mob Exclusive. The crown that was gifted to Aranyani upon her ascension to godhood")</f>
        <v>Mob Exclusive. The crown that was gifted to Aranyani upon her ascension to godhood</v>
      </c>
      <c r="C533" s="16"/>
      <c r="D533" s="16" t="str">
        <f>IFERROR(__xludf.DUMMYFUNCTION("""COMPUTED_VALUE"""),"Head")</f>
        <v>Head</v>
      </c>
      <c r="E533" s="16">
        <f>IFERROR(__xludf.DUMMYFUNCTION("""COMPUTED_VALUE"""),2000.0)</f>
        <v>2000</v>
      </c>
      <c r="F533" s="16" t="str">
        <f>IFERROR(__xludf.DUMMYFUNCTION("""COMPUTED_VALUE"""),"DEF: +50000, Water DEF: +25000, Order DEF: +25000 ++Blessing of the Forest's Quiver II: X4 Nature and Bow damage. ++Eagle Eyed: When in a forest you gain Truesight for the first round of battle. ++Goddess's Cold Stare: 15% chance to Freeze all enemies (no"&amp;"t affected by modifiers) 1000SP. +-can only be equipped by Artemis.")</f>
        <v>DEF: +50000, Water DEF: +25000, Order DEF: +25000 ++Blessing of the Forest's Quiver II: X4 Nature and Bow damage. ++Eagle Eyed: When in a forest you gain Truesight for the first round of battle. ++Goddess's Cold Stare: 15% chance to Freeze all enemies (not affected by modifiers) 1000SP. +-can only be equipped by Artemis.</v>
      </c>
      <c r="G533" s="16">
        <f>IFERROR(__xludf.DUMMYFUNCTION("""COMPUTED_VALUE"""),1.99E8)</f>
        <v>199000000</v>
      </c>
      <c r="H533" s="16"/>
      <c r="I533" s="16"/>
      <c r="J533" s="16"/>
      <c r="K533" s="16"/>
      <c r="L533" s="16"/>
      <c r="M533" s="16"/>
      <c r="N533" s="16"/>
      <c r="O533" s="16"/>
      <c r="P533" s="16"/>
      <c r="Q533" s="16"/>
      <c r="R533" s="16"/>
      <c r="S533" s="16"/>
      <c r="T533" s="16"/>
      <c r="U533" s="16"/>
      <c r="V533" s="16"/>
      <c r="W533" s="16"/>
      <c r="X533" s="16"/>
      <c r="Y533" s="16"/>
      <c r="Z533" s="16"/>
    </row>
    <row r="534">
      <c r="A534" s="16" t="str">
        <f>IFERROR(__xludf.DUMMYFUNCTION("""COMPUTED_VALUE"""),"Artemis' Bow of Divine Wrath")</f>
        <v>Artemis' Bow of Divine Wrath</v>
      </c>
      <c r="B534" s="16" t="str">
        <f>IFERROR(__xludf.DUMMYFUNCTION("""COMPUTED_VALUE"""),"Mob Exclusive.")</f>
        <v>Mob Exclusive.</v>
      </c>
      <c r="C534" s="16" t="str">
        <f>IFERROR(__xludf.DUMMYFUNCTION("""COMPUTED_VALUE"""),"Bow")</f>
        <v>Bow</v>
      </c>
      <c r="D534" s="16" t="str">
        <f>IFERROR(__xludf.DUMMYFUNCTION("""COMPUTED_VALUE"""),"Hand")</f>
        <v>Hand</v>
      </c>
      <c r="E534" s="16">
        <f>IFERROR(__xludf.DUMMYFUNCTION("""COMPUTED_VALUE"""),12000.0)</f>
        <v>12000</v>
      </c>
      <c r="F534" s="16" t="str">
        <f>IFERROR(__xludf.DUMMYFUNCTION("""COMPUTED_VALUE"""),"DMG: +200000, Chaos DMG: +200000, Nature DMG: +200000 ++Marked: When affected by Truesight you can mark a single target as per the effect ""Marked"" for 1 round. 20 sp. ++The target cannot resist or be immune to this weapon attack  +-can only be equipped "&amp;"by Artemis")</f>
        <v>DMG: +200000, Chaos DMG: +200000, Nature DMG: +200000 ++Marked: When affected by Truesight you can mark a single target as per the effect "Marked" for 1 round. 20 sp. ++The target cannot resist or be immune to this weapon attack  +-can only be equipped by Artemis</v>
      </c>
      <c r="G534" s="16">
        <f>IFERROR(__xludf.DUMMYFUNCTION("""COMPUTED_VALUE"""),7.194E9)</f>
        <v>7194000000</v>
      </c>
      <c r="H534" s="16"/>
      <c r="I534" s="16"/>
      <c r="J534" s="16"/>
      <c r="K534" s="16"/>
      <c r="L534" s="16"/>
      <c r="M534" s="16"/>
      <c r="N534" s="16"/>
      <c r="O534" s="16"/>
      <c r="P534" s="16"/>
      <c r="Q534" s="16"/>
      <c r="R534" s="16"/>
      <c r="S534" s="16"/>
      <c r="T534" s="16"/>
      <c r="U534" s="16"/>
      <c r="V534" s="16"/>
      <c r="W534" s="16"/>
      <c r="X534" s="16"/>
      <c r="Y534" s="16"/>
      <c r="Z534" s="16"/>
    </row>
    <row r="535">
      <c r="A535" s="16" t="str">
        <f>IFERROR(__xludf.DUMMYFUNCTION("""COMPUTED_VALUE"""),"Artemis' Shield of Divine Grace")</f>
        <v>Artemis' Shield of Divine Grace</v>
      </c>
      <c r="B535" s="16" t="str">
        <f>IFERROR(__xludf.DUMMYFUNCTION("""COMPUTED_VALUE"""),"Mob Exclusive")</f>
        <v>Mob Exclusive</v>
      </c>
      <c r="C535" s="16" t="str">
        <f>IFERROR(__xludf.DUMMYFUNCTION("""COMPUTED_VALUE"""),"Buckler")</f>
        <v>Buckler</v>
      </c>
      <c r="D535" s="16" t="str">
        <f>IFERROR(__xludf.DUMMYFUNCTION("""COMPUTED_VALUE"""),"Hand")</f>
        <v>Hand</v>
      </c>
      <c r="E535" s="16">
        <f>IFERROR(__xludf.DUMMYFUNCTION("""COMPUTED_VALUE"""),6000.0)</f>
        <v>6000</v>
      </c>
      <c r="F535" s="16" t="str">
        <f>IFERROR(__xludf.DUMMYFUNCTION("""COMPUTED_VALUE"""),"DEF: +150000, Water DEF: +75000, Order DEF: +75000 ++Living Shield: When hit by a weapon attack 50% chance to inflict slowness 3 and disarm 3, +-can only be equipped by Artemis.")</f>
        <v>DEF: +150000, Water DEF: +75000, Order DEF: +75000 ++Living Shield: When hit by a weapon attack 50% chance to inflict slowness 3 and disarm 3, +-can only be equipped by Artemis.</v>
      </c>
      <c r="G535" s="16">
        <f>IFERROR(__xludf.DUMMYFUNCTION("""COMPUTED_VALUE"""),1.797E9)</f>
        <v>1797000000</v>
      </c>
      <c r="H535" s="16"/>
      <c r="I535" s="16"/>
      <c r="J535" s="16"/>
      <c r="K535" s="16"/>
      <c r="L535" s="16"/>
      <c r="M535" s="16"/>
      <c r="N535" s="16"/>
      <c r="O535" s="16"/>
      <c r="P535" s="16"/>
      <c r="Q535" s="16"/>
      <c r="R535" s="16"/>
      <c r="S535" s="16"/>
      <c r="T535" s="16"/>
      <c r="U535" s="16"/>
      <c r="V535" s="16"/>
      <c r="W535" s="16"/>
      <c r="X535" s="16"/>
      <c r="Y535" s="16"/>
      <c r="Z535" s="16"/>
    </row>
    <row r="536">
      <c r="A536" s="16" t="str">
        <f>IFERROR(__xludf.DUMMYFUNCTION("""COMPUTED_VALUE"""),"Artemis' Divine Quiver")</f>
        <v>Artemis' Divine Quiver</v>
      </c>
      <c r="B536" s="16" t="str">
        <f>IFERROR(__xludf.DUMMYFUNCTION("""COMPUTED_VALUE"""),"Mob Exclusive")</f>
        <v>Mob Exclusive</v>
      </c>
      <c r="C536" s="16"/>
      <c r="D536" s="16" t="str">
        <f>IFERROR(__xludf.DUMMYFUNCTION("""COMPUTED_VALUE"""),"Shoulders")</f>
        <v>Shoulders</v>
      </c>
      <c r="E536" s="16">
        <f>IFERROR(__xludf.DUMMYFUNCTION("""COMPUTED_VALUE"""),1.0)</f>
        <v>1</v>
      </c>
      <c r="F536" s="16" t="str">
        <f>IFERROR(__xludf.DUMMYFUNCTION("""COMPUTED_VALUE""")," ++Blessing of the Forest's Quiver II: X4 Nature and Bow damage. ++Godspeed: Wearer Gets 2 actions every round. ++Quick Shot: Attack twice with your bow 10000 sp. +-can only be equipped by Artemis.")</f>
        <v> ++Blessing of the Forest's Quiver II: X4 Nature and Bow damage. ++Godspeed: Wearer Gets 2 actions every round. ++Quick Shot: Attack twice with your bow 10000 sp. +-can only be equipped by Artemis.</v>
      </c>
      <c r="G536" s="16">
        <f>IFERROR(__xludf.DUMMYFUNCTION("""COMPUTED_VALUE"""),0.0)</f>
        <v>0</v>
      </c>
      <c r="H536" s="16"/>
      <c r="I536" s="16"/>
      <c r="J536" s="16"/>
      <c r="K536" s="16"/>
      <c r="L536" s="16"/>
      <c r="M536" s="16"/>
      <c r="N536" s="16"/>
      <c r="O536" s="16"/>
      <c r="P536" s="16"/>
      <c r="Q536" s="16"/>
      <c r="R536" s="16"/>
      <c r="S536" s="16"/>
      <c r="T536" s="16"/>
      <c r="U536" s="16"/>
      <c r="V536" s="16"/>
      <c r="W536" s="16"/>
      <c r="X536" s="16"/>
      <c r="Y536" s="16"/>
      <c r="Z536" s="16"/>
    </row>
    <row r="537">
      <c r="A537" s="16" t="str">
        <f>IFERROR(__xludf.DUMMYFUNCTION("""COMPUTED_VALUE"""),"Artemis' Toga of Divine Beauty")</f>
        <v>Artemis' Toga of Divine Beauty</v>
      </c>
      <c r="B537" s="16" t="str">
        <f>IFERROR(__xludf.DUMMYFUNCTION("""COMPUTED_VALUE"""),"Mob Exclusive")</f>
        <v>Mob Exclusive</v>
      </c>
      <c r="C537" s="16"/>
      <c r="D537" s="16" t="str">
        <f>IFERROR(__xludf.DUMMYFUNCTION("""COMPUTED_VALUE"""),"Torso")</f>
        <v>Torso</v>
      </c>
      <c r="E537" s="16">
        <f>IFERROR(__xludf.DUMMYFUNCTION("""COMPUTED_VALUE"""),4000.0)</f>
        <v>4000</v>
      </c>
      <c r="F537" s="16" t="str">
        <f>IFERROR(__xludf.DUMMYFUNCTION("""COMPUTED_VALUE"""),"DEF: +100000, Water DEF: +50000, Order DEF: +50000 ++Blessing of the Forest's Quiver II: X4 Nature and Bow damage. ++Godly Charm: 10% chance at the start of battle to force an enemy to fight for you +-can only be equipped by Artemis.")</f>
        <v>DEF: +100000, Water DEF: +50000, Order DEF: +50000 ++Blessing of the Forest's Quiver II: X4 Nature and Bow damage. ++Godly Charm: 10% chance at the start of battle to force an enemy to fight for you +-can only be equipped by Artemis.</v>
      </c>
      <c r="G537" s="16">
        <f>IFERROR(__xludf.DUMMYFUNCTION("""COMPUTED_VALUE"""),7.98E8)</f>
        <v>798000000</v>
      </c>
      <c r="H537" s="16"/>
      <c r="I537" s="16"/>
      <c r="J537" s="16"/>
      <c r="K537" s="16"/>
      <c r="L537" s="16"/>
      <c r="M537" s="16"/>
      <c r="N537" s="16"/>
      <c r="O537" s="16"/>
      <c r="P537" s="16"/>
      <c r="Q537" s="16"/>
      <c r="R537" s="16"/>
      <c r="S537" s="16"/>
      <c r="T537" s="16"/>
      <c r="U537" s="16"/>
      <c r="V537" s="16"/>
      <c r="W537" s="16"/>
      <c r="X537" s="16"/>
      <c r="Y537" s="16"/>
      <c r="Z537" s="16"/>
    </row>
    <row r="538">
      <c r="A538" s="16" t="str">
        <f>IFERROR(__xludf.DUMMYFUNCTION("""COMPUTED_VALUE"""),"Artemis' Bracer of The Archer Goddess")</f>
        <v>Artemis' Bracer of The Archer Goddess</v>
      </c>
      <c r="B538" s="16" t="str">
        <f>IFERROR(__xludf.DUMMYFUNCTION("""COMPUTED_VALUE"""),"Mob Exclusive")</f>
        <v>Mob Exclusive</v>
      </c>
      <c r="C538" s="16"/>
      <c r="D538" s="16" t="str">
        <f>IFERROR(__xludf.DUMMYFUNCTION("""COMPUTED_VALUE"""),"Arms")</f>
        <v>Arms</v>
      </c>
      <c r="E538" s="16">
        <f>IFERROR(__xludf.DUMMYFUNCTION("""COMPUTED_VALUE"""),2000.0)</f>
        <v>2000</v>
      </c>
      <c r="F538" s="16" t="str">
        <f>IFERROR(__xludf.DUMMYFUNCTION("""COMPUTED_VALUE"""),"DEF: +50000, Water DEF: +25000, Order DEF: +25000 ++Blessing of the Forest's Quiver II: X4 Nature and Bow damage. ++Godly Archery: When you hit an enemy with your bow you gain the effects of Haste +-can only be equipped by Artemis.")</f>
        <v>DEF: +50000, Water DEF: +25000, Order DEF: +25000 ++Blessing of the Forest's Quiver II: X4 Nature and Bow damage. ++Godly Archery: When you hit an enemy with your bow you gain the effects of Haste +-can only be equipped by Artemis.</v>
      </c>
      <c r="G538" s="16">
        <f>IFERROR(__xludf.DUMMYFUNCTION("""COMPUTED_VALUE"""),1.99E8)</f>
        <v>199000000</v>
      </c>
      <c r="H538" s="16"/>
      <c r="I538" s="16"/>
      <c r="J538" s="16"/>
      <c r="K538" s="16"/>
      <c r="L538" s="16"/>
      <c r="M538" s="16"/>
      <c r="N538" s="16"/>
      <c r="O538" s="16"/>
      <c r="P538" s="16"/>
      <c r="Q538" s="16"/>
      <c r="R538" s="16"/>
      <c r="S538" s="16"/>
      <c r="T538" s="16"/>
      <c r="U538" s="16"/>
      <c r="V538" s="16"/>
      <c r="W538" s="16"/>
      <c r="X538" s="16"/>
      <c r="Y538" s="16"/>
      <c r="Z538" s="16"/>
    </row>
    <row r="539">
      <c r="A539" s="16" t="str">
        <f>IFERROR(__xludf.DUMMYFUNCTION("""COMPUTED_VALUE"""),"Artemis' Leggings of Divine Agility")</f>
        <v>Artemis' Leggings of Divine Agility</v>
      </c>
      <c r="B539" s="16" t="str">
        <f>IFERROR(__xludf.DUMMYFUNCTION("""COMPUTED_VALUE"""),"Mob Exclusive")</f>
        <v>Mob Exclusive</v>
      </c>
      <c r="C539" s="16"/>
      <c r="D539" s="16" t="str">
        <f>IFERROR(__xludf.DUMMYFUNCTION("""COMPUTED_VALUE"""),"Legs")</f>
        <v>Legs</v>
      </c>
      <c r="E539" s="16">
        <f>IFERROR(__xludf.DUMMYFUNCTION("""COMPUTED_VALUE"""),2000.0)</f>
        <v>2000</v>
      </c>
      <c r="F539" s="16" t="str">
        <f>IFERROR(__xludf.DUMMYFUNCTION("""COMPUTED_VALUE"""),"DEF: +50000, Water DEF: +25000, Order DEF: +25000 ++Blessing of The Greens II: X4 Nature Damage +-can only be equipped by Artemis")</f>
        <v>DEF: +50000, Water DEF: +25000, Order DEF: +25000 ++Blessing of The Greens II: X4 Nature Damage +-can only be equipped by Artemis</v>
      </c>
      <c r="G539" s="16">
        <f>IFERROR(__xludf.DUMMYFUNCTION("""COMPUTED_VALUE"""),1.99E8)</f>
        <v>199000000</v>
      </c>
      <c r="H539" s="16"/>
      <c r="I539" s="16"/>
      <c r="J539" s="16"/>
      <c r="K539" s="16"/>
      <c r="L539" s="16"/>
      <c r="M539" s="16"/>
      <c r="N539" s="16"/>
      <c r="O539" s="16"/>
      <c r="P539" s="16"/>
      <c r="Q539" s="16"/>
      <c r="R539" s="16"/>
      <c r="S539" s="16"/>
      <c r="T539" s="16"/>
      <c r="U539" s="16"/>
      <c r="V539" s="16"/>
      <c r="W539" s="16"/>
      <c r="X539" s="16"/>
      <c r="Y539" s="16"/>
      <c r="Z539" s="16"/>
    </row>
    <row r="540">
      <c r="A540" s="16" t="str">
        <f>IFERROR(__xludf.DUMMYFUNCTION("""COMPUTED_VALUE"""),"Artemis' Sandals of Divine Speed")</f>
        <v>Artemis' Sandals of Divine Speed</v>
      </c>
      <c r="B540" s="16" t="str">
        <f>IFERROR(__xludf.DUMMYFUNCTION("""COMPUTED_VALUE"""),"Mob Exclusive")</f>
        <v>Mob Exclusive</v>
      </c>
      <c r="C540" s="16"/>
      <c r="D540" s="16" t="str">
        <f>IFERROR(__xludf.DUMMYFUNCTION("""COMPUTED_VALUE"""),"Feet")</f>
        <v>Feet</v>
      </c>
      <c r="E540" s="16">
        <f>IFERROR(__xludf.DUMMYFUNCTION("""COMPUTED_VALUE"""),2000.0)</f>
        <v>2000</v>
      </c>
      <c r="F540" s="16" t="str">
        <f>IFERROR(__xludf.DUMMYFUNCTION("""COMPUTED_VALUE"""),"DEF: +50000, Water DEF: +25000, Order DEF: +25000 ++Blessing of Speed: when affected by haste you gain an extra action. +-can only be equipped by Artemis.")</f>
        <v>DEF: +50000, Water DEF: +25000, Order DEF: +25000 ++Blessing of Speed: when affected by haste you gain an extra action. +-can only be equipped by Artemis.</v>
      </c>
      <c r="G540" s="16">
        <f>IFERROR(__xludf.DUMMYFUNCTION("""COMPUTED_VALUE"""),1.99E8)</f>
        <v>199000000</v>
      </c>
      <c r="H540" s="16"/>
      <c r="I540" s="16"/>
      <c r="J540" s="16"/>
      <c r="K540" s="16"/>
      <c r="L540" s="16"/>
      <c r="M540" s="16"/>
      <c r="N540" s="16"/>
      <c r="O540" s="16"/>
      <c r="P540" s="16"/>
      <c r="Q540" s="16"/>
      <c r="R540" s="16"/>
      <c r="S540" s="16"/>
      <c r="T540" s="16"/>
      <c r="U540" s="16"/>
      <c r="V540" s="16"/>
      <c r="W540" s="16"/>
      <c r="X540" s="16"/>
      <c r="Y540" s="16"/>
      <c r="Z540" s="16"/>
    </row>
    <row r="541">
      <c r="A541" s="16" t="str">
        <f>IFERROR(__xludf.DUMMYFUNCTION("""COMPUTED_VALUE"""),"Artemis' Ring")</f>
        <v>Artemis' Ring</v>
      </c>
      <c r="B541" s="16" t="str">
        <f>IFERROR(__xludf.DUMMYFUNCTION("""COMPUTED_VALUE"""),"Mob Exclusive")</f>
        <v>Mob Exclusive</v>
      </c>
      <c r="C541" s="16"/>
      <c r="D541" s="16" t="str">
        <f>IFERROR(__xludf.DUMMYFUNCTION("""COMPUTED_VALUE"""),"Ring")</f>
        <v>Ring</v>
      </c>
      <c r="E541" s="16">
        <f>IFERROR(__xludf.DUMMYFUNCTION("""COMPUTED_VALUE"""),1.0)</f>
        <v>1</v>
      </c>
      <c r="F541" s="16" t="str">
        <f>IFERROR(__xludf.DUMMYFUNCTION("""COMPUTED_VALUE""")," ++10% chance to revive after dying once. +-can only be equipped by Artemis.")</f>
        <v> ++10% chance to revive after dying once. +-can only be equipped by Artemis.</v>
      </c>
      <c r="G541" s="16">
        <f>IFERROR(__xludf.DUMMYFUNCTION("""COMPUTED_VALUE"""),0.0)</f>
        <v>0</v>
      </c>
      <c r="H541" s="16"/>
      <c r="I541" s="16"/>
      <c r="J541" s="16"/>
      <c r="K541" s="16"/>
      <c r="L541" s="16"/>
      <c r="M541" s="16"/>
      <c r="N541" s="16"/>
      <c r="O541" s="16"/>
      <c r="P541" s="16"/>
      <c r="Q541" s="16"/>
      <c r="R541" s="16"/>
      <c r="S541" s="16"/>
      <c r="T541" s="16"/>
      <c r="U541" s="16"/>
      <c r="V541" s="16"/>
      <c r="W541" s="16"/>
      <c r="X541" s="16"/>
      <c r="Y541" s="16"/>
      <c r="Z541" s="16"/>
    </row>
    <row r="542">
      <c r="A542" s="16" t="str">
        <f>IFERROR(__xludf.DUMMYFUNCTION("""COMPUTED_VALUE"""),"Artemis' Fang Necklace")</f>
        <v>Artemis' Fang Necklace</v>
      </c>
      <c r="B542" s="16" t="str">
        <f>IFERROR(__xludf.DUMMYFUNCTION("""COMPUTED_VALUE"""),"Mob Exclusive")</f>
        <v>Mob Exclusive</v>
      </c>
      <c r="C542" s="16"/>
      <c r="D542" s="16" t="str">
        <f>IFERROR(__xludf.DUMMYFUNCTION("""COMPUTED_VALUE"""),"Neck")</f>
        <v>Neck</v>
      </c>
      <c r="E542" s="16">
        <f>IFERROR(__xludf.DUMMYFUNCTION("""COMPUTED_VALUE"""),1.0)</f>
        <v>1</v>
      </c>
      <c r="F542" s="16" t="str">
        <f>IFERROR(__xludf.DUMMYFUNCTION("""COMPUTED_VALUE""")," Upon killing an enemy you emit a sharp aura with a 10% chance of instant death to all enemies. +-can only be equipped by Artemis.")</f>
        <v> Upon killing an enemy you emit a sharp aura with a 10% chance of instant death to all enemies. +-can only be equipped by Artemis.</v>
      </c>
      <c r="G542" s="16">
        <f>IFERROR(__xludf.DUMMYFUNCTION("""COMPUTED_VALUE"""),0.0)</f>
        <v>0</v>
      </c>
      <c r="H542" s="16"/>
      <c r="I542" s="16"/>
      <c r="J542" s="16"/>
      <c r="K542" s="16"/>
      <c r="L542" s="16"/>
      <c r="M542" s="16"/>
      <c r="N542" s="16"/>
      <c r="O542" s="16"/>
      <c r="P542" s="16"/>
      <c r="Q542" s="16"/>
      <c r="R542" s="16"/>
      <c r="S542" s="16"/>
      <c r="T542" s="16"/>
      <c r="U542" s="16"/>
      <c r="V542" s="16"/>
      <c r="W542" s="16"/>
      <c r="X542" s="16"/>
      <c r="Y542" s="16"/>
      <c r="Z542" s="16"/>
    </row>
    <row r="543">
      <c r="A543" s="16" t="str">
        <f>IFERROR(__xludf.DUMMYFUNCTION("""COMPUTED_VALUE"""),"Forged Paladin's Helm")</f>
        <v>Forged Paladin's Helm</v>
      </c>
      <c r="B543" s="16" t="str">
        <f>IFERROR(__xludf.DUMMYFUNCTION("""COMPUTED_VALUE"""),"Quest Item")</f>
        <v>Quest Item</v>
      </c>
      <c r="C543" s="16"/>
      <c r="D543" s="16" t="str">
        <f>IFERROR(__xludf.DUMMYFUNCTION("""COMPUTED_VALUE"""),"Head")</f>
        <v>Head</v>
      </c>
      <c r="E543" s="16">
        <f>IFERROR(__xludf.DUMMYFUNCTION("""COMPUTED_VALUE"""),200.0)</f>
        <v>200</v>
      </c>
      <c r="F543" s="16" t="str">
        <f>IFERROR(__xludf.DUMMYFUNCTION("""COMPUTED_VALUE"""),"DEF: +25000, Fire DEF: +10000, Water DEF: +5000, Nature DEF: +25000, Celestial DEF: +10000 ++X2 Firearm damage. ++Weakness Detection: When attacking an enemy with fire vulnerability roll twice and take the higher roll for all attacks against that enemy. +"&amp;"-Forged Paladin Class Only.")</f>
        <v>DEF: +25000, Fire DEF: +10000, Water DEF: +5000, Nature DEF: +25000, Celestial DEF: +10000 ++X2 Firearm damage. ++Weakness Detection: When attacking an enemy with fire vulnerability roll twice and take the higher roll for all attacks against that enemy. +-Forged Paladin Class Only.</v>
      </c>
      <c r="G543" s="16">
        <f>IFERROR(__xludf.DUMMYFUNCTION("""COMPUTED_VALUE"""),1.1175E8)</f>
        <v>111750000</v>
      </c>
      <c r="H543" s="16"/>
      <c r="I543" s="16"/>
      <c r="J543" s="16"/>
      <c r="K543" s="16"/>
      <c r="L543" s="16"/>
      <c r="M543" s="16"/>
      <c r="N543" s="16"/>
      <c r="O543" s="16"/>
      <c r="P543" s="16"/>
      <c r="Q543" s="16"/>
      <c r="R543" s="16"/>
      <c r="S543" s="16"/>
      <c r="T543" s="16"/>
      <c r="U543" s="16"/>
      <c r="V543" s="16"/>
      <c r="W543" s="16"/>
      <c r="X543" s="16"/>
      <c r="Y543" s="16"/>
      <c r="Z543" s="16"/>
    </row>
    <row r="544">
      <c r="A544" s="16" t="str">
        <f>IFERROR(__xludf.DUMMYFUNCTION("""COMPUTED_VALUE"""),"Forged Paladin's Pauldrons")</f>
        <v>Forged Paladin's Pauldrons</v>
      </c>
      <c r="B544" s="16" t="str">
        <f>IFERROR(__xludf.DUMMYFUNCTION("""COMPUTED_VALUE"""),"Quest Item")</f>
        <v>Quest Item</v>
      </c>
      <c r="C544" s="16"/>
      <c r="D544" s="16" t="str">
        <f>IFERROR(__xludf.DUMMYFUNCTION("""COMPUTED_VALUE"""),"Shoulders")</f>
        <v>Shoulders</v>
      </c>
      <c r="E544" s="16">
        <f>IFERROR(__xludf.DUMMYFUNCTION("""COMPUTED_VALUE"""),200.0)</f>
        <v>200</v>
      </c>
      <c r="F544" s="16" t="str">
        <f>IFERROR(__xludf.DUMMYFUNCTION("""COMPUTED_VALUE"""),"DEF: +25000, Fire DEF: +10000, Water DEF: +5000, Nature DEF: +25000, Celestial DEF: +10000 ++When hit with a non-natural attack inflict the attacker with Burn 1000 for 3 rounds +-Forged Paladin Class Only.")</f>
        <v>DEF: +25000, Fire DEF: +10000, Water DEF: +5000, Nature DEF: +25000, Celestial DEF: +10000 ++When hit with a non-natural attack inflict the attacker with Burn 1000 for 3 rounds +-Forged Paladin Class Only.</v>
      </c>
      <c r="G544" s="16">
        <f>IFERROR(__xludf.DUMMYFUNCTION("""COMPUTED_VALUE"""),1.1175E8)</f>
        <v>111750000</v>
      </c>
      <c r="H544" s="16"/>
      <c r="I544" s="16"/>
      <c r="J544" s="16"/>
      <c r="K544" s="16"/>
      <c r="L544" s="16"/>
      <c r="M544" s="16"/>
      <c r="N544" s="16"/>
      <c r="O544" s="16"/>
      <c r="P544" s="16"/>
      <c r="Q544" s="16"/>
      <c r="R544" s="16"/>
      <c r="S544" s="16"/>
      <c r="T544" s="16"/>
      <c r="U544" s="16"/>
      <c r="V544" s="16"/>
      <c r="W544" s="16"/>
      <c r="X544" s="16"/>
      <c r="Y544" s="16"/>
      <c r="Z544" s="16"/>
    </row>
    <row r="545">
      <c r="A545" s="16" t="str">
        <f>IFERROR(__xludf.DUMMYFUNCTION("""COMPUTED_VALUE"""),"Forged Paladin's Plate")</f>
        <v>Forged Paladin's Plate</v>
      </c>
      <c r="B545" s="16" t="str">
        <f>IFERROR(__xludf.DUMMYFUNCTION("""COMPUTED_VALUE"""),"Quest Item")</f>
        <v>Quest Item</v>
      </c>
      <c r="C545" s="16"/>
      <c r="D545" s="16" t="str">
        <f>IFERROR(__xludf.DUMMYFUNCTION("""COMPUTED_VALUE"""),"Torso")</f>
        <v>Torso</v>
      </c>
      <c r="E545" s="16">
        <f>IFERROR(__xludf.DUMMYFUNCTION("""COMPUTED_VALUE"""),200.0)</f>
        <v>200</v>
      </c>
      <c r="F545" s="16" t="str">
        <f>IFERROR(__xludf.DUMMYFUNCTION("""COMPUTED_VALUE"""),"DEF: +35000, Fire DEF: +15000, Water DEF: +5000, Nature DEF: +30000, Celestial DEF: +15000 ++X4 Fire damage. ++fire immunity +-Forged Paladin Class Only.")</f>
        <v>DEF: +35000, Fire DEF: +15000, Water DEF: +5000, Nature DEF: +30000, Celestial DEF: +15000 ++X4 Fire damage. ++fire immunity +-Forged Paladin Class Only.</v>
      </c>
      <c r="G545" s="16">
        <f>IFERROR(__xludf.DUMMYFUNCTION("""COMPUTED_VALUE"""),1.99E8)</f>
        <v>199000000</v>
      </c>
      <c r="H545" s="16"/>
      <c r="I545" s="16"/>
      <c r="J545" s="16"/>
      <c r="K545" s="16"/>
      <c r="L545" s="16"/>
      <c r="M545" s="16"/>
      <c r="N545" s="16"/>
      <c r="O545" s="16"/>
      <c r="P545" s="16"/>
      <c r="Q545" s="16"/>
      <c r="R545" s="16"/>
      <c r="S545" s="16"/>
      <c r="T545" s="16"/>
      <c r="U545" s="16"/>
      <c r="V545" s="16"/>
      <c r="W545" s="16"/>
      <c r="X545" s="16"/>
      <c r="Y545" s="16"/>
      <c r="Z545" s="16"/>
    </row>
    <row r="546">
      <c r="A546" s="16" t="str">
        <f>IFERROR(__xludf.DUMMYFUNCTION("""COMPUTED_VALUE"""),"Forged Paladin's Vambraces")</f>
        <v>Forged Paladin's Vambraces</v>
      </c>
      <c r="B546" s="16" t="str">
        <f>IFERROR(__xludf.DUMMYFUNCTION("""COMPUTED_VALUE"""),"Quest Item")</f>
        <v>Quest Item</v>
      </c>
      <c r="C546" s="16"/>
      <c r="D546" s="16" t="str">
        <f>IFERROR(__xludf.DUMMYFUNCTION("""COMPUTED_VALUE"""),"Arms")</f>
        <v>Arms</v>
      </c>
      <c r="E546" s="16">
        <f>IFERROR(__xludf.DUMMYFUNCTION("""COMPUTED_VALUE"""),200.0)</f>
        <v>200</v>
      </c>
      <c r="F546" s="16" t="str">
        <f>IFERROR(__xludf.DUMMYFUNCTION("""COMPUTED_VALUE"""),"DEF: +25000, Fire DEF: +10000, Water DEF: +5000, Nature DEF: +25000, Celestial DEF: +10000 ++When attacking with a firearm deal X4 damage. ++The target cannot resist or be immune to fire damage dealt by firearms. +-Forged Paladin Class Only.")</f>
        <v>DEF: +25000, Fire DEF: +10000, Water DEF: +5000, Nature DEF: +25000, Celestial DEF: +10000 ++When attacking with a firearm deal X4 damage. ++The target cannot resist or be immune to fire damage dealt by firearms. +-Forged Paladin Class Only.</v>
      </c>
      <c r="G546" s="16">
        <f>IFERROR(__xludf.DUMMYFUNCTION("""COMPUTED_VALUE"""),1.1175E8)</f>
        <v>111750000</v>
      </c>
      <c r="H546" s="16"/>
      <c r="I546" s="16"/>
      <c r="J546" s="16"/>
      <c r="K546" s="16"/>
      <c r="L546" s="16"/>
      <c r="M546" s="16"/>
      <c r="N546" s="16"/>
      <c r="O546" s="16"/>
      <c r="P546" s="16"/>
      <c r="Q546" s="16"/>
      <c r="R546" s="16"/>
      <c r="S546" s="16"/>
      <c r="T546" s="16"/>
      <c r="U546" s="16"/>
      <c r="V546" s="16"/>
      <c r="W546" s="16"/>
      <c r="X546" s="16"/>
      <c r="Y546" s="16"/>
      <c r="Z546" s="16"/>
    </row>
    <row r="547">
      <c r="A547" s="16" t="str">
        <f>IFERROR(__xludf.DUMMYFUNCTION("""COMPUTED_VALUE"""),"Forged Firearm")</f>
        <v>Forged Firearm</v>
      </c>
      <c r="B547" s="16" t="str">
        <f>IFERROR(__xludf.DUMMYFUNCTION("""COMPUTED_VALUE"""),"Quest Item")</f>
        <v>Quest Item</v>
      </c>
      <c r="C547" s="16" t="str">
        <f>IFERROR(__xludf.DUMMYFUNCTION("""COMPUTED_VALUE"""),"Firearm")</f>
        <v>Firearm</v>
      </c>
      <c r="D547" s="16" t="str">
        <f>IFERROR(__xludf.DUMMYFUNCTION("""COMPUTED_VALUE"""),"Hand")</f>
        <v>Hand</v>
      </c>
      <c r="E547" s="16">
        <f>IFERROR(__xludf.DUMMYFUNCTION("""COMPUTED_VALUE"""),200.0)</f>
        <v>200</v>
      </c>
      <c r="F547" s="16" t="str">
        <f>IFERROR(__xludf.DUMMYFUNCTION("""COMPUTED_VALUE"""),"DMG: +50000, Fire DMG: +25000, Celestial DMG: +25000 ++X2 Firearm Damage. ++When equipped with the rest of the Forged Paladin gear deal X6 damage with this weapon. +-Forged Paladin Class Only.")</f>
        <v>DMG: +50000, Fire DMG: +25000, Celestial DMG: +25000 ++X2 Firearm Damage. ++When equipped with the rest of the Forged Paladin gear deal X6 damage with this weapon. +-Forged Paladin Class Only.</v>
      </c>
      <c r="G547" s="16">
        <f>IFERROR(__xludf.DUMMYFUNCTION("""COMPUTED_VALUE"""),1.99E8)</f>
        <v>199000000</v>
      </c>
      <c r="H547" s="16"/>
      <c r="I547" s="16"/>
      <c r="J547" s="16"/>
      <c r="K547" s="16"/>
      <c r="L547" s="16"/>
      <c r="M547" s="16"/>
      <c r="N547" s="16"/>
      <c r="O547" s="16"/>
      <c r="P547" s="16"/>
      <c r="Q547" s="16"/>
      <c r="R547" s="16"/>
      <c r="S547" s="16"/>
      <c r="T547" s="16"/>
      <c r="U547" s="16"/>
      <c r="V547" s="16"/>
      <c r="W547" s="16"/>
      <c r="X547" s="16"/>
      <c r="Y547" s="16"/>
      <c r="Z547" s="16"/>
    </row>
    <row r="548">
      <c r="A548" s="16" t="str">
        <f>IFERROR(__xludf.DUMMYFUNCTION("""COMPUTED_VALUE"""),"Forged Towershield")</f>
        <v>Forged Towershield</v>
      </c>
      <c r="B548" s="16" t="str">
        <f>IFERROR(__xludf.DUMMYFUNCTION("""COMPUTED_VALUE"""),"Quest Item")</f>
        <v>Quest Item</v>
      </c>
      <c r="C548" s="16" t="str">
        <f>IFERROR(__xludf.DUMMYFUNCTION("""COMPUTED_VALUE"""),"Towershield")</f>
        <v>Towershield</v>
      </c>
      <c r="D548" s="16" t="str">
        <f>IFERROR(__xludf.DUMMYFUNCTION("""COMPUTED_VALUE"""),"Hand")</f>
        <v>Hand</v>
      </c>
      <c r="E548" s="16">
        <f>IFERROR(__xludf.DUMMYFUNCTION("""COMPUTED_VALUE"""),200.0)</f>
        <v>200</v>
      </c>
      <c r="F548" s="16" t="str">
        <f>IFERROR(__xludf.DUMMYFUNCTION("""COMPUTED_VALUE"""),"DEF: +50000, Fire DEF: +25000, Water DEF: +15000, Nature DEF: +50000, Celestial DEF: +25000 ++X2 defense. ++When equipped with the rest of the Forged Paladin gear gain X6 defense. +-Forged Paladin Class Only.")</f>
        <v>DEF: +50000, Fire DEF: +25000, Water DEF: +15000, Nature DEF: +50000, Celestial DEF: +25000 ++X2 defense. ++When equipped with the rest of the Forged Paladin gear gain X6 defense. +-Forged Paladin Class Only.</v>
      </c>
      <c r="G548" s="16">
        <f>IFERROR(__xludf.DUMMYFUNCTION("""COMPUTED_VALUE"""),5.4285E8)</f>
        <v>542850000</v>
      </c>
      <c r="H548" s="16"/>
      <c r="I548" s="16"/>
      <c r="J548" s="16"/>
      <c r="K548" s="16"/>
      <c r="L548" s="16"/>
      <c r="M548" s="16"/>
      <c r="N548" s="16"/>
      <c r="O548" s="16"/>
      <c r="P548" s="16"/>
      <c r="Q548" s="16"/>
      <c r="R548" s="16"/>
      <c r="S548" s="16"/>
      <c r="T548" s="16"/>
      <c r="U548" s="16"/>
      <c r="V548" s="16"/>
      <c r="W548" s="16"/>
      <c r="X548" s="16"/>
      <c r="Y548" s="16"/>
      <c r="Z548" s="16"/>
    </row>
    <row r="549">
      <c r="A549" s="16" t="str">
        <f>IFERROR(__xludf.DUMMYFUNCTION("""COMPUTED_VALUE"""),"Forged Leg guard")</f>
        <v>Forged Leg guard</v>
      </c>
      <c r="B549" s="16" t="str">
        <f>IFERROR(__xludf.DUMMYFUNCTION("""COMPUTED_VALUE"""),"Quest Item")</f>
        <v>Quest Item</v>
      </c>
      <c r="C549" s="16"/>
      <c r="D549" s="16" t="str">
        <f>IFERROR(__xludf.DUMMYFUNCTION("""COMPUTED_VALUE"""),"Legs")</f>
        <v>Legs</v>
      </c>
      <c r="E549" s="16">
        <f>IFERROR(__xludf.DUMMYFUNCTION("""COMPUTED_VALUE"""),200.0)</f>
        <v>200</v>
      </c>
      <c r="F549" s="16" t="str">
        <f>IFERROR(__xludf.DUMMYFUNCTION("""COMPUTED_VALUE"""),"DEF: +25000, Fire DEF: +10000, Water DEF: +5000, Nature DEF: +25000, Celestial DEF: +10000 ++When affected by Burn, Heal by the damage instead. +-Forged Paladin Class Only.")</f>
        <v>DEF: +25000, Fire DEF: +10000, Water DEF: +5000, Nature DEF: +25000, Celestial DEF: +10000 ++When affected by Burn, Heal by the damage instead. +-Forged Paladin Class Only.</v>
      </c>
      <c r="G549" s="16">
        <f>IFERROR(__xludf.DUMMYFUNCTION("""COMPUTED_VALUE"""),1.1175E8)</f>
        <v>111750000</v>
      </c>
      <c r="H549" s="16"/>
      <c r="I549" s="16"/>
      <c r="J549" s="16"/>
      <c r="K549" s="16"/>
      <c r="L549" s="16"/>
      <c r="M549" s="16"/>
      <c r="N549" s="16"/>
      <c r="O549" s="16"/>
      <c r="P549" s="16"/>
      <c r="Q549" s="16"/>
      <c r="R549" s="16"/>
      <c r="S549" s="16"/>
      <c r="T549" s="16"/>
      <c r="U549" s="16"/>
      <c r="V549" s="16"/>
      <c r="W549" s="16"/>
      <c r="X549" s="16"/>
      <c r="Y549" s="16"/>
      <c r="Z549" s="16"/>
    </row>
    <row r="550">
      <c r="A550" s="16" t="str">
        <f>IFERROR(__xludf.DUMMYFUNCTION("""COMPUTED_VALUE"""),"Forged Sabatons")</f>
        <v>Forged Sabatons</v>
      </c>
      <c r="B550" s="16" t="str">
        <f>IFERROR(__xludf.DUMMYFUNCTION("""COMPUTED_VALUE"""),"Quest Item")</f>
        <v>Quest Item</v>
      </c>
      <c r="C550" s="16"/>
      <c r="D550" s="16" t="str">
        <f>IFERROR(__xludf.DUMMYFUNCTION("""COMPUTED_VALUE"""),"Feet")</f>
        <v>Feet</v>
      </c>
      <c r="E550" s="16">
        <f>IFERROR(__xludf.DUMMYFUNCTION("""COMPUTED_VALUE"""),200.0)</f>
        <v>200</v>
      </c>
      <c r="F550" s="16" t="str">
        <f>IFERROR(__xludf.DUMMYFUNCTION("""COMPUTED_VALUE"""),"DEF: +25000, Fire DEF: +10000, Water DEF: +5000, Nature DEF: +25000, Celestial DEF: +10000 ++When attacking with a fire spell add ++5 to roll. +-Forged Paladin Class Only.")</f>
        <v>DEF: +25000, Fire DEF: +10000, Water DEF: +5000, Nature DEF: +25000, Celestial DEF: +10000 ++When attacking with a fire spell add ++5 to roll. +-Forged Paladin Class Only.</v>
      </c>
      <c r="G550" s="16">
        <f>IFERROR(__xludf.DUMMYFUNCTION("""COMPUTED_VALUE"""),1.1175E8)</f>
        <v>111750000</v>
      </c>
      <c r="H550" s="16"/>
      <c r="I550" s="16"/>
      <c r="J550" s="16"/>
      <c r="K550" s="16"/>
      <c r="L550" s="16"/>
      <c r="M550" s="16"/>
      <c r="N550" s="16"/>
      <c r="O550" s="16"/>
      <c r="P550" s="16"/>
      <c r="Q550" s="16"/>
      <c r="R550" s="16"/>
      <c r="S550" s="16"/>
      <c r="T550" s="16"/>
      <c r="U550" s="16"/>
      <c r="V550" s="16"/>
      <c r="W550" s="16"/>
      <c r="X550" s="16"/>
      <c r="Y550" s="16"/>
      <c r="Z550" s="16"/>
    </row>
    <row r="551">
      <c r="A551" s="16" t="str">
        <f>IFERROR(__xludf.DUMMYFUNCTION("""COMPUTED_VALUE"""),"Scrap Ring")</f>
        <v>Scrap Ring</v>
      </c>
      <c r="B551" s="16" t="str">
        <f>IFERROR(__xludf.DUMMYFUNCTION("""COMPUTED_VALUE"""),"Quest Item")</f>
        <v>Quest Item</v>
      </c>
      <c r="C551" s="16"/>
      <c r="D551" s="16" t="str">
        <f>IFERROR(__xludf.DUMMYFUNCTION("""COMPUTED_VALUE"""),"Ring")</f>
        <v>Ring</v>
      </c>
      <c r="E551" s="16">
        <f>IFERROR(__xludf.DUMMYFUNCTION("""COMPUTED_VALUE"""),1.0)</f>
        <v>1</v>
      </c>
      <c r="F551" s="16" t="str">
        <f>IFERROR(__xludf.DUMMYFUNCTION("""COMPUTED_VALUE""")," ++When you attack an enemy with a firearm, inflict Marked 3. +-Forged Paladin Class Only.")</f>
        <v> ++When you attack an enemy with a firearm, inflict Marked 3. +-Forged Paladin Class Only.</v>
      </c>
      <c r="G551" s="16">
        <f>IFERROR(__xludf.DUMMYFUNCTION("""COMPUTED_VALUE"""),0.0)</f>
        <v>0</v>
      </c>
      <c r="H551" s="16"/>
      <c r="I551" s="16"/>
      <c r="J551" s="16"/>
      <c r="K551" s="16"/>
      <c r="L551" s="16"/>
      <c r="M551" s="16"/>
      <c r="N551" s="16"/>
      <c r="O551" s="16"/>
      <c r="P551" s="16"/>
      <c r="Q551" s="16"/>
      <c r="R551" s="16"/>
      <c r="S551" s="16"/>
      <c r="T551" s="16"/>
      <c r="U551" s="16"/>
      <c r="V551" s="16"/>
      <c r="W551" s="16"/>
      <c r="X551" s="16"/>
      <c r="Y551" s="16"/>
      <c r="Z551" s="16"/>
    </row>
    <row r="552">
      <c r="A552" s="16" t="str">
        <f>IFERROR(__xludf.DUMMYFUNCTION("""COMPUTED_VALUE"""),"Scrap Gorget")</f>
        <v>Scrap Gorget</v>
      </c>
      <c r="B552" s="16" t="str">
        <f>IFERROR(__xludf.DUMMYFUNCTION("""COMPUTED_VALUE"""),"Quest Item")</f>
        <v>Quest Item</v>
      </c>
      <c r="C552" s="16"/>
      <c r="D552" s="16" t="str">
        <f>IFERROR(__xludf.DUMMYFUNCTION("""COMPUTED_VALUE"""),"Neck")</f>
        <v>Neck</v>
      </c>
      <c r="E552" s="16">
        <f>IFERROR(__xludf.DUMMYFUNCTION("""COMPUTED_VALUE"""),1.0)</f>
        <v>1</v>
      </c>
      <c r="F552" s="16" t="str">
        <f>IFERROR(__xludf.DUMMYFUNCTION("""COMPUTED_VALUE""")," ++When being attacked with any form of firearm deal half damage back to the enemy that attacked you. +-Forged Paladin Class Only.")</f>
        <v> ++When being attacked with any form of firearm deal half damage back to the enemy that attacked you. +-Forged Paladin Class Only.</v>
      </c>
      <c r="G552" s="16">
        <f>IFERROR(__xludf.DUMMYFUNCTION("""COMPUTED_VALUE"""),0.0)</f>
        <v>0</v>
      </c>
      <c r="H552" s="16"/>
      <c r="I552" s="16"/>
      <c r="J552" s="16"/>
      <c r="K552" s="16"/>
      <c r="L552" s="16"/>
      <c r="M552" s="16"/>
      <c r="N552" s="16"/>
      <c r="O552" s="16"/>
      <c r="P552" s="16"/>
      <c r="Q552" s="16"/>
      <c r="R552" s="16"/>
      <c r="S552" s="16"/>
      <c r="T552" s="16"/>
      <c r="U552" s="16"/>
      <c r="V552" s="16"/>
      <c r="W552" s="16"/>
      <c r="X552" s="16"/>
      <c r="Y552" s="16"/>
      <c r="Z552" s="16"/>
    </row>
    <row r="553">
      <c r="A553" s="16" t="str">
        <f>IFERROR(__xludf.DUMMYFUNCTION("""COMPUTED_VALUE"""),"Minstrel's Cap")</f>
        <v>Minstrel's Cap</v>
      </c>
      <c r="B553" s="16" t="str">
        <f>IFERROR(__xludf.DUMMYFUNCTION("""COMPUTED_VALUE"""),"Quest Item")</f>
        <v>Quest Item</v>
      </c>
      <c r="C553" s="16"/>
      <c r="D553" s="16" t="str">
        <f>IFERROR(__xludf.DUMMYFUNCTION("""COMPUTED_VALUE"""),"Head")</f>
        <v>Head</v>
      </c>
      <c r="E553" s="16">
        <f>IFERROR(__xludf.DUMMYFUNCTION("""COMPUTED_VALUE"""),400.0)</f>
        <v>400</v>
      </c>
      <c r="F553" s="16" t="str">
        <f>IFERROR(__xludf.DUMMYFUNCTION("""COMPUTED_VALUE"""),"DEF: +20000 ++20,000 ACC and ATK. ++Upon reaching 5 stacks of Disoriented inflict Marked 3 on all enemies. +-Paladin of The Party and Bard Class only.")</f>
        <v>DEF: +20000 ++20,000 ACC and ATK. ++Upon reaching 5 stacks of Disoriented inflict Marked 3 on all enemies. +-Paladin of The Party and Bard Class only.</v>
      </c>
      <c r="G553" s="16">
        <f>IFERROR(__xludf.DUMMYFUNCTION("""COMPUTED_VALUE"""),7800000.0)</f>
        <v>7800000</v>
      </c>
      <c r="H553" s="16"/>
      <c r="I553" s="16"/>
      <c r="J553" s="16"/>
      <c r="K553" s="16"/>
      <c r="L553" s="16"/>
      <c r="M553" s="16"/>
      <c r="N553" s="16"/>
      <c r="O553" s="16"/>
      <c r="P553" s="16"/>
      <c r="Q553" s="16"/>
      <c r="R553" s="16"/>
      <c r="S553" s="16"/>
      <c r="T553" s="16"/>
      <c r="U553" s="16"/>
      <c r="V553" s="16"/>
      <c r="W553" s="16"/>
      <c r="X553" s="16"/>
      <c r="Y553" s="16"/>
      <c r="Z553" s="16"/>
    </row>
    <row r="554">
      <c r="A554" s="16" t="str">
        <f>IFERROR(__xludf.DUMMYFUNCTION("""COMPUTED_VALUE"""),"Minstrel's Cape")</f>
        <v>Minstrel's Cape</v>
      </c>
      <c r="B554" s="16" t="str">
        <f>IFERROR(__xludf.DUMMYFUNCTION("""COMPUTED_VALUE"""),"Quest Item")</f>
        <v>Quest Item</v>
      </c>
      <c r="C554" s="16"/>
      <c r="D554" s="16" t="str">
        <f>IFERROR(__xludf.DUMMYFUNCTION("""COMPUTED_VALUE"""),"Shoulders")</f>
        <v>Shoulders</v>
      </c>
      <c r="E554" s="16">
        <f>IFERROR(__xludf.DUMMYFUNCTION("""COMPUTED_VALUE"""),400.0)</f>
        <v>400</v>
      </c>
      <c r="F554" s="16" t="str">
        <f>IFERROR(__xludf.DUMMYFUNCTION("""COMPUTED_VALUE"""),"DEF: +20000 ++ 20,000 ACC and ATK. ++When casting any form of buffing spell, double the effects for the rest of the round. +-Paladin of The Party and Bard Class only.")</f>
        <v>DEF: +20000 ++ 20,000 ACC and ATK. ++When casting any form of buffing spell, double the effects for the rest of the round. +-Paladin of The Party and Bard Class only.</v>
      </c>
      <c r="G554" s="16">
        <f>IFERROR(__xludf.DUMMYFUNCTION("""COMPUTED_VALUE"""),7800000.0)</f>
        <v>7800000</v>
      </c>
      <c r="H554" s="16"/>
      <c r="I554" s="16"/>
      <c r="J554" s="16"/>
      <c r="K554" s="16"/>
      <c r="L554" s="16"/>
      <c r="M554" s="16"/>
      <c r="N554" s="16"/>
      <c r="O554" s="16"/>
      <c r="P554" s="16"/>
      <c r="Q554" s="16"/>
      <c r="R554" s="16"/>
      <c r="S554" s="16"/>
      <c r="T554" s="16"/>
      <c r="U554" s="16"/>
      <c r="V554" s="16"/>
      <c r="W554" s="16"/>
      <c r="X554" s="16"/>
      <c r="Y554" s="16"/>
      <c r="Z554" s="16"/>
    </row>
    <row r="555">
      <c r="A555" s="16" t="str">
        <f>IFERROR(__xludf.DUMMYFUNCTION("""COMPUTED_VALUE"""),"Minstrel's Doublet")</f>
        <v>Minstrel's Doublet</v>
      </c>
      <c r="B555" s="16" t="str">
        <f>IFERROR(__xludf.DUMMYFUNCTION("""COMPUTED_VALUE"""),"Quest Item")</f>
        <v>Quest Item</v>
      </c>
      <c r="C555" s="16"/>
      <c r="D555" s="16" t="str">
        <f>IFERROR(__xludf.DUMMYFUNCTION("""COMPUTED_VALUE"""),"Torso")</f>
        <v>Torso</v>
      </c>
      <c r="E555" s="16">
        <f>IFERROR(__xludf.DUMMYFUNCTION("""COMPUTED_VALUE"""),800.0)</f>
        <v>800</v>
      </c>
      <c r="F555" s="16" t="str">
        <f>IFERROR(__xludf.DUMMYFUNCTION("""COMPUTED_VALUE"""),"DEF: +40000 ++20,000 ACC and ATK. ++Upon surpassing 3 stacks of Disoriented you gain Invigorated until you drop below 3 stacks of Disoriented. +-Paladin of The Party and Bard Class only.")</f>
        <v>DEF: +40000 ++20,000 ACC and ATK. ++Upon surpassing 3 stacks of Disoriented you gain Invigorated until you drop below 3 stacks of Disoriented. +-Paladin of The Party and Bard Class only.</v>
      </c>
      <c r="G555" s="16">
        <f>IFERROR(__xludf.DUMMYFUNCTION("""COMPUTED_VALUE"""),3.16E7)</f>
        <v>31600000</v>
      </c>
      <c r="H555" s="16"/>
      <c r="I555" s="16"/>
      <c r="J555" s="16"/>
      <c r="K555" s="16"/>
      <c r="L555" s="16"/>
      <c r="M555" s="16"/>
      <c r="N555" s="16"/>
      <c r="O555" s="16"/>
      <c r="P555" s="16"/>
      <c r="Q555" s="16"/>
      <c r="R555" s="16"/>
      <c r="S555" s="16"/>
      <c r="T555" s="16"/>
      <c r="U555" s="16"/>
      <c r="V555" s="16"/>
      <c r="W555" s="16"/>
      <c r="X555" s="16"/>
      <c r="Y555" s="16"/>
      <c r="Z555" s="16"/>
    </row>
    <row r="556">
      <c r="A556" s="16" t="str">
        <f>IFERROR(__xludf.DUMMYFUNCTION("""COMPUTED_VALUE"""),"Minstrel's Cuffs")</f>
        <v>Minstrel's Cuffs</v>
      </c>
      <c r="B556" s="16" t="str">
        <f>IFERROR(__xludf.DUMMYFUNCTION("""COMPUTED_VALUE"""),"Quest Item")</f>
        <v>Quest Item</v>
      </c>
      <c r="C556" s="16"/>
      <c r="D556" s="16" t="str">
        <f>IFERROR(__xludf.DUMMYFUNCTION("""COMPUTED_VALUE"""),"Arms")</f>
        <v>Arms</v>
      </c>
      <c r="E556" s="16">
        <f>IFERROR(__xludf.DUMMYFUNCTION("""COMPUTED_VALUE"""),400.0)</f>
        <v>400</v>
      </c>
      <c r="F556" s="16" t="str">
        <f>IFERROR(__xludf.DUMMYFUNCTION("""COMPUTED_VALUE"""),"DEF: +20000 ++20,000 ACC and ATK. ++When using the entire Minstrel set you Double the DEF, ACC, and ATK of all allies. +-Paladin of The Party and Bard Class only.")</f>
        <v>DEF: +20000 ++20,000 ACC and ATK. ++When using the entire Minstrel set you Double the DEF, ACC, and ATK of all allies. +-Paladin of The Party and Bard Class only.</v>
      </c>
      <c r="G556" s="16">
        <f>IFERROR(__xludf.DUMMYFUNCTION("""COMPUTED_VALUE"""),7800000.0)</f>
        <v>7800000</v>
      </c>
      <c r="H556" s="16"/>
      <c r="I556" s="16"/>
      <c r="J556" s="16"/>
      <c r="K556" s="16"/>
      <c r="L556" s="16"/>
      <c r="M556" s="16"/>
      <c r="N556" s="16"/>
      <c r="O556" s="16"/>
      <c r="P556" s="16"/>
      <c r="Q556" s="16"/>
      <c r="R556" s="16"/>
      <c r="S556" s="16"/>
      <c r="T556" s="16"/>
      <c r="U556" s="16"/>
      <c r="V556" s="16"/>
      <c r="W556" s="16"/>
      <c r="X556" s="16"/>
      <c r="Y556" s="16"/>
      <c r="Z556" s="16"/>
    </row>
    <row r="557">
      <c r="A557" s="16" t="str">
        <f>IFERROR(__xludf.DUMMYFUNCTION("""COMPUTED_VALUE"""),"Heavenly Lute")</f>
        <v>Heavenly Lute</v>
      </c>
      <c r="B557" s="16" t="str">
        <f>IFERROR(__xludf.DUMMYFUNCTION("""COMPUTED_VALUE"""),"Quest Item")</f>
        <v>Quest Item</v>
      </c>
      <c r="C557" s="16" t="str">
        <f>IFERROR(__xludf.DUMMYFUNCTION("""COMPUTED_VALUE"""),"Instrument")</f>
        <v>Instrument</v>
      </c>
      <c r="D557" s="16" t="str">
        <f>IFERROR(__xludf.DUMMYFUNCTION("""COMPUTED_VALUE"""),"Hand")</f>
        <v>Hand</v>
      </c>
      <c r="E557" s="16">
        <f>IFERROR(__xludf.DUMMYFUNCTION("""COMPUTED_VALUE"""),900.0)</f>
        <v>900</v>
      </c>
      <c r="F557" s="16" t="str">
        <f>IFERROR(__xludf.DUMMYFUNCTION("""COMPUTED_VALUE"""),"DMG: +20000, Acoustic DMG: +25000 ++When attacking an enemy with this weapon gain 1 stack of Disoriented. ++May The Show Go On!: Expend all stacks of Disoriented dealing X*15000 Acoustic Damage for every stack of Disoriented expended,100 sp. +-Paladin of "&amp;"The Party and Bard Class only.")</f>
        <v>DMG: +20000, Acoustic DMG: +25000 ++When attacking an enemy with this weapon gain 1 stack of Disoriented. ++May The Show Go On!: Expend all stacks of Disoriented dealing X*15000 Acoustic Damage for every stack of Disoriented expended,100 sp. +-Paladin of The Party and Bard Class only.</v>
      </c>
      <c r="G557" s="16">
        <f>IFERROR(__xludf.DUMMYFUNCTION("""COMPUTED_VALUE"""),4.005E7)</f>
        <v>40050000</v>
      </c>
      <c r="H557" s="16"/>
      <c r="I557" s="16"/>
      <c r="J557" s="16"/>
      <c r="K557" s="16"/>
      <c r="L557" s="16"/>
      <c r="M557" s="16"/>
      <c r="N557" s="16"/>
      <c r="O557" s="16"/>
      <c r="P557" s="16"/>
      <c r="Q557" s="16"/>
      <c r="R557" s="16"/>
      <c r="S557" s="16"/>
      <c r="T557" s="16"/>
      <c r="U557" s="16"/>
      <c r="V557" s="16"/>
      <c r="W557" s="16"/>
      <c r="X557" s="16"/>
      <c r="Y557" s="16"/>
      <c r="Z557" s="16"/>
    </row>
    <row r="558">
      <c r="A558" s="16" t="str">
        <f>IFERROR(__xludf.DUMMYFUNCTION("""COMPUTED_VALUE"""),"Wine Stained Buckler With Portable Alcoholism")</f>
        <v>Wine Stained Buckler With Portable Alcoholism</v>
      </c>
      <c r="B558" s="16" t="str">
        <f>IFERROR(__xludf.DUMMYFUNCTION("""COMPUTED_VALUE"""),"Quest Item")</f>
        <v>Quest Item</v>
      </c>
      <c r="C558" s="16" t="str">
        <f>IFERROR(__xludf.DUMMYFUNCTION("""COMPUTED_VALUE"""),"Buckler")</f>
        <v>Buckler</v>
      </c>
      <c r="D558" s="16" t="str">
        <f>IFERROR(__xludf.DUMMYFUNCTION("""COMPUTED_VALUE"""),"Hand")</f>
        <v>Hand</v>
      </c>
      <c r="E558" s="16">
        <f>IFERROR(__xludf.DUMMYFUNCTION("""COMPUTED_VALUE"""),1500.0)</f>
        <v>1500</v>
      </c>
      <c r="F558" s="16" t="str">
        <f>IFERROR(__xludf.DUMMYFUNCTION("""COMPUTED_VALUE"""),"DEF: +50000, Acoustic DEF: +25000 ++Free Wine for All!: When hitting an enemy with this Buckler inflict 3 stacks of Disoriented on that enemy. +-That all you got?: When hit by any attack take 2 stacks of Disoriented. +-Paladin of The Party and Bard Class "&amp;"only.")</f>
        <v>DEF: +50000, Acoustic DEF: +25000 ++Free Wine for All!: When hitting an enemy with this Buckler inflict 3 stacks of Disoriented on that enemy. +-That all you got?: When hit by any attack take 2 stacks of Disoriented. +-Paladin of The Party and Bard Class only.</v>
      </c>
      <c r="G558" s="16">
        <f>IFERROR(__xludf.DUMMYFUNCTION("""COMPUTED_VALUE"""),1.1175E8)</f>
        <v>111750000</v>
      </c>
      <c r="H558" s="16"/>
      <c r="I558" s="16"/>
      <c r="J558" s="16"/>
      <c r="K558" s="16"/>
      <c r="L558" s="16"/>
      <c r="M558" s="16"/>
      <c r="N558" s="16"/>
      <c r="O558" s="16"/>
      <c r="P558" s="16"/>
      <c r="Q558" s="16"/>
      <c r="R558" s="16"/>
      <c r="S558" s="16"/>
      <c r="T558" s="16"/>
      <c r="U558" s="16"/>
      <c r="V558" s="16"/>
      <c r="W558" s="16"/>
      <c r="X558" s="16"/>
      <c r="Y558" s="16"/>
      <c r="Z558" s="16"/>
    </row>
    <row r="559">
      <c r="A559" s="16" t="str">
        <f>IFERROR(__xludf.DUMMYFUNCTION("""COMPUTED_VALUE"""),"Minstrel's Tights")</f>
        <v>Minstrel's Tights</v>
      </c>
      <c r="B559" s="16" t="str">
        <f>IFERROR(__xludf.DUMMYFUNCTION("""COMPUTED_VALUE"""),"Quest Item")</f>
        <v>Quest Item</v>
      </c>
      <c r="C559" s="16"/>
      <c r="D559" s="16" t="str">
        <f>IFERROR(__xludf.DUMMYFUNCTION("""COMPUTED_VALUE"""),"Legs")</f>
        <v>Legs</v>
      </c>
      <c r="E559" s="16">
        <f>IFERROR(__xludf.DUMMYFUNCTION("""COMPUTED_VALUE"""),400.0)</f>
        <v>400</v>
      </c>
      <c r="F559" s="16" t="str">
        <f>IFERROR(__xludf.DUMMYFUNCTION("""COMPUTED_VALUE"""),"DEF: +20000 ++20,000 ACC and ATK. ++X2 Acoustic Damage +-Paladin of The Party and Bard Class only.")</f>
        <v>DEF: +20000 ++20,000 ACC and ATK. ++X2 Acoustic Damage +-Paladin of The Party and Bard Class only.</v>
      </c>
      <c r="G559" s="16">
        <f>IFERROR(__xludf.DUMMYFUNCTION("""COMPUTED_VALUE"""),7800000.0)</f>
        <v>7800000</v>
      </c>
      <c r="H559" s="16"/>
      <c r="I559" s="16"/>
      <c r="J559" s="16"/>
      <c r="K559" s="16"/>
      <c r="L559" s="16"/>
      <c r="M559" s="16"/>
      <c r="N559" s="16"/>
      <c r="O559" s="16"/>
      <c r="P559" s="16"/>
      <c r="Q559" s="16"/>
      <c r="R559" s="16"/>
      <c r="S559" s="16"/>
      <c r="T559" s="16"/>
      <c r="U559" s="16"/>
      <c r="V559" s="16"/>
      <c r="W559" s="16"/>
      <c r="X559" s="16"/>
      <c r="Y559" s="16"/>
      <c r="Z559" s="16"/>
    </row>
    <row r="560">
      <c r="A560" s="16" t="str">
        <f>IFERROR(__xludf.DUMMYFUNCTION("""COMPUTED_VALUE"""),"Minstrel's Boots")</f>
        <v>Minstrel's Boots</v>
      </c>
      <c r="B560" s="16" t="str">
        <f>IFERROR(__xludf.DUMMYFUNCTION("""COMPUTED_VALUE"""),"Quest Item")</f>
        <v>Quest Item</v>
      </c>
      <c r="C560" s="16"/>
      <c r="D560" s="16" t="str">
        <f>IFERROR(__xludf.DUMMYFUNCTION("""COMPUTED_VALUE"""),"Feet")</f>
        <v>Feet</v>
      </c>
      <c r="E560" s="16">
        <f>IFERROR(__xludf.DUMMYFUNCTION("""COMPUTED_VALUE"""),400.0)</f>
        <v>400</v>
      </c>
      <c r="F560" s="16" t="str">
        <f>IFERROR(__xludf.DUMMYFUNCTION("""COMPUTED_VALUE"""),"DEF: +20000 ++20,000 ACC and ATK. ++Never Ending Dance of The Divine: Upon reaching 5 stacks of Disoriented inflict Haste 3 to all allies +-Paladin of The Party and Bard Class only.")</f>
        <v>DEF: +20000 ++20,000 ACC and ATK. ++Never Ending Dance of The Divine: Upon reaching 5 stacks of Disoriented inflict Haste 3 to all allies +-Paladin of The Party and Bard Class only.</v>
      </c>
      <c r="G560" s="16">
        <f>IFERROR(__xludf.DUMMYFUNCTION("""COMPUTED_VALUE"""),7800000.0)</f>
        <v>7800000</v>
      </c>
      <c r="H560" s="16"/>
      <c r="I560" s="16"/>
      <c r="J560" s="16"/>
      <c r="K560" s="16"/>
      <c r="L560" s="16"/>
      <c r="M560" s="16"/>
      <c r="N560" s="16"/>
      <c r="O560" s="16"/>
      <c r="P560" s="16"/>
      <c r="Q560" s="16"/>
      <c r="R560" s="16"/>
      <c r="S560" s="16"/>
      <c r="T560" s="16"/>
      <c r="U560" s="16"/>
      <c r="V560" s="16"/>
      <c r="W560" s="16"/>
      <c r="X560" s="16"/>
      <c r="Y560" s="16"/>
      <c r="Z560" s="16"/>
    </row>
    <row r="561">
      <c r="A561" s="16" t="str">
        <f>IFERROR(__xludf.DUMMYFUNCTION("""COMPUTED_VALUE"""),"Brass Ring of Blackout Drunkenness")</f>
        <v>Brass Ring of Blackout Drunkenness</v>
      </c>
      <c r="B561" s="16" t="str">
        <f>IFERROR(__xludf.DUMMYFUNCTION("""COMPUTED_VALUE"""),"Quest Item")</f>
        <v>Quest Item</v>
      </c>
      <c r="C561" s="16"/>
      <c r="D561" s="16" t="str">
        <f>IFERROR(__xludf.DUMMYFUNCTION("""COMPUTED_VALUE"""),"Ring")</f>
        <v>Ring</v>
      </c>
      <c r="E561" s="16">
        <f>IFERROR(__xludf.DUMMYFUNCTION("""COMPUTED_VALUE"""),1.0)</f>
        <v>1</v>
      </c>
      <c r="F561" s="16" t="str">
        <f>IFERROR(__xludf.DUMMYFUNCTION("""COMPUTED_VALUE""")," ++Upon Reaching 10 stacks of Disoriented remove a random enemy from battle whilst also being removed from battle yourself. +-Paladin of The Party and Bard Class only.")</f>
        <v> ++Upon Reaching 10 stacks of Disoriented remove a random enemy from battle whilst also being removed from battle yourself. +-Paladin of The Party and Bard Class only.</v>
      </c>
      <c r="G561" s="16">
        <f>IFERROR(__xludf.DUMMYFUNCTION("""COMPUTED_VALUE"""),0.0)</f>
        <v>0</v>
      </c>
      <c r="H561" s="16"/>
      <c r="I561" s="16"/>
      <c r="J561" s="16"/>
      <c r="K561" s="16"/>
      <c r="L561" s="16"/>
      <c r="M561" s="16"/>
      <c r="N561" s="16"/>
      <c r="O561" s="16"/>
      <c r="P561" s="16"/>
      <c r="Q561" s="16"/>
      <c r="R561" s="16"/>
      <c r="S561" s="16"/>
      <c r="T561" s="16"/>
      <c r="U561" s="16"/>
      <c r="V561" s="16"/>
      <c r="W561" s="16"/>
      <c r="X561" s="16"/>
      <c r="Y561" s="16"/>
      <c r="Z561" s="16"/>
    </row>
    <row r="562">
      <c r="A562" s="16" t="str">
        <f>IFERROR(__xludf.DUMMYFUNCTION("""COMPUTED_VALUE"""),"Wreath of The Party's Fervor")</f>
        <v>Wreath of The Party's Fervor</v>
      </c>
      <c r="B562" s="16" t="str">
        <f>IFERROR(__xludf.DUMMYFUNCTION("""COMPUTED_VALUE"""),"Quest Item")</f>
        <v>Quest Item</v>
      </c>
      <c r="C562" s="16"/>
      <c r="D562" s="16" t="str">
        <f>IFERROR(__xludf.DUMMYFUNCTION("""COMPUTED_VALUE"""),"Neck")</f>
        <v>Neck</v>
      </c>
      <c r="E562" s="16">
        <f>IFERROR(__xludf.DUMMYFUNCTION("""COMPUTED_VALUE"""),1.0)</f>
        <v>1</v>
      </c>
      <c r="F562" s="16" t="str">
        <f>IFERROR(__xludf.DUMMYFUNCTION("""COMPUTED_VALUE""")," ++When dealing Acoustic damage to any enemy there is a 5% chance for that enemy to be pacified for 3 rounds +-Paladin of The Party and Bard Class only.")</f>
        <v> ++When dealing Acoustic damage to any enemy there is a 5% chance for that enemy to be pacified for 3 rounds +-Paladin of The Party and Bard Class only.</v>
      </c>
      <c r="G562" s="16">
        <f>IFERROR(__xludf.DUMMYFUNCTION("""COMPUTED_VALUE"""),0.0)</f>
        <v>0</v>
      </c>
      <c r="H562" s="16"/>
      <c r="I562" s="16"/>
      <c r="J562" s="16"/>
      <c r="K562" s="16"/>
      <c r="L562" s="16"/>
      <c r="M562" s="16"/>
      <c r="N562" s="16"/>
      <c r="O562" s="16"/>
      <c r="P562" s="16"/>
      <c r="Q562" s="16"/>
      <c r="R562" s="16"/>
      <c r="S562" s="16"/>
      <c r="T562" s="16"/>
      <c r="U562" s="16"/>
      <c r="V562" s="16"/>
      <c r="W562" s="16"/>
      <c r="X562" s="16"/>
      <c r="Y562" s="16"/>
      <c r="Z562" s="16"/>
    </row>
    <row r="563">
      <c r="A563" s="16" t="str">
        <f>IFERROR(__xludf.DUMMYFUNCTION("""COMPUTED_VALUE"""),"Pauldrons of Tritonoch")</f>
        <v>Pauldrons of Tritonoch</v>
      </c>
      <c r="B563" s="16"/>
      <c r="C563" s="16"/>
      <c r="D563" s="16" t="str">
        <f>IFERROR(__xludf.DUMMYFUNCTION("""COMPUTED_VALUE"""),"Shoulders")</f>
        <v>Shoulders</v>
      </c>
      <c r="E563" s="16">
        <f>IFERROR(__xludf.DUMMYFUNCTION("""COMPUTED_VALUE"""),800.0)</f>
        <v>800</v>
      </c>
      <c r="F563" s="16" t="str">
        <f>IFERROR(__xludf.DUMMYFUNCTION("""COMPUTED_VALUE"""),"DEF: +20000, Water DEF: +20000 ++Waves of Entitlement - x5 additional Water damage")</f>
        <v>DEF: +20000, Water DEF: +20000 ++Waves of Entitlement - x5 additional Water damage</v>
      </c>
      <c r="G563" s="16">
        <f>IFERROR(__xludf.DUMMYFUNCTION("""COMPUTED_VALUE"""),3.16E7)</f>
        <v>31600000</v>
      </c>
      <c r="H563" s="16"/>
      <c r="I563" s="16"/>
      <c r="J563" s="16"/>
      <c r="K563" s="16"/>
      <c r="L563" s="16"/>
      <c r="M563" s="16"/>
      <c r="N563" s="16"/>
      <c r="O563" s="16"/>
      <c r="P563" s="16"/>
      <c r="Q563" s="16"/>
      <c r="R563" s="16"/>
      <c r="S563" s="16"/>
      <c r="T563" s="16"/>
      <c r="U563" s="16"/>
      <c r="V563" s="16"/>
      <c r="W563" s="16"/>
      <c r="X563" s="16"/>
      <c r="Y563" s="16"/>
      <c r="Z563" s="16"/>
    </row>
    <row r="564">
      <c r="A564" s="16" t="str">
        <f>IFERROR(__xludf.DUMMYFUNCTION("""COMPUTED_VALUE"""),"Chestplate of Tritonoch")</f>
        <v>Chestplate of Tritonoch</v>
      </c>
      <c r="B564" s="16"/>
      <c r="C564" s="16"/>
      <c r="D564" s="16" t="str">
        <f>IFERROR(__xludf.DUMMYFUNCTION("""COMPUTED_VALUE"""),"Torso")</f>
        <v>Torso</v>
      </c>
      <c r="E564" s="16">
        <f>IFERROR(__xludf.DUMMYFUNCTION("""COMPUTED_VALUE"""),800.0)</f>
        <v>800</v>
      </c>
      <c r="F564" s="16" t="str">
        <f>IFERROR(__xludf.DUMMYFUNCTION("""COMPUTED_VALUE"""),"DEF: +20000, Water DEF: +20000 ++Waves of Entitlement - x5 additional Water damage")</f>
        <v>DEF: +20000, Water DEF: +20000 ++Waves of Entitlement - x5 additional Water damage</v>
      </c>
      <c r="G564" s="16">
        <f>IFERROR(__xludf.DUMMYFUNCTION("""COMPUTED_VALUE"""),3.16E7)</f>
        <v>31600000</v>
      </c>
      <c r="H564" s="16"/>
      <c r="I564" s="16"/>
      <c r="J564" s="16"/>
      <c r="K564" s="16"/>
      <c r="L564" s="16"/>
      <c r="M564" s="16"/>
      <c r="N564" s="16"/>
      <c r="O564" s="16"/>
      <c r="P564" s="16"/>
      <c r="Q564" s="16"/>
      <c r="R564" s="16"/>
      <c r="S564" s="16"/>
      <c r="T564" s="16"/>
      <c r="U564" s="16"/>
      <c r="V564" s="16"/>
      <c r="W564" s="16"/>
      <c r="X564" s="16"/>
      <c r="Y564" s="16"/>
      <c r="Z564" s="16"/>
    </row>
    <row r="565">
      <c r="A565" s="16" t="str">
        <f>IFERROR(__xludf.DUMMYFUNCTION("""COMPUTED_VALUE"""),"Vambraces of Tritonoch")</f>
        <v>Vambraces of Tritonoch</v>
      </c>
      <c r="B565" s="16"/>
      <c r="C565" s="16"/>
      <c r="D565" s="16" t="str">
        <f>IFERROR(__xludf.DUMMYFUNCTION("""COMPUTED_VALUE"""),"Arms")</f>
        <v>Arms</v>
      </c>
      <c r="E565" s="16">
        <f>IFERROR(__xludf.DUMMYFUNCTION("""COMPUTED_VALUE"""),800.0)</f>
        <v>800</v>
      </c>
      <c r="F565" s="16" t="str">
        <f>IFERROR(__xludf.DUMMYFUNCTION("""COMPUTED_VALUE"""),"DEF: +20000, Water DEF: +20000 ++Waves of Entitlement - x5 additional Water damage")</f>
        <v>DEF: +20000, Water DEF: +20000 ++Waves of Entitlement - x5 additional Water damage</v>
      </c>
      <c r="G565" s="16">
        <f>IFERROR(__xludf.DUMMYFUNCTION("""COMPUTED_VALUE"""),3.16E7)</f>
        <v>31600000</v>
      </c>
      <c r="H565" s="16"/>
      <c r="I565" s="16"/>
      <c r="J565" s="16"/>
      <c r="K565" s="16"/>
      <c r="L565" s="16"/>
      <c r="M565" s="16"/>
      <c r="N565" s="16"/>
      <c r="O565" s="16"/>
      <c r="P565" s="16"/>
      <c r="Q565" s="16"/>
      <c r="R565" s="16"/>
      <c r="S565" s="16"/>
      <c r="T565" s="16"/>
      <c r="U565" s="16"/>
      <c r="V565" s="16"/>
      <c r="W565" s="16"/>
      <c r="X565" s="16"/>
      <c r="Y565" s="16"/>
      <c r="Z565" s="16"/>
    </row>
    <row r="566">
      <c r="A566" s="16" t="str">
        <f>IFERROR(__xludf.DUMMYFUNCTION("""COMPUTED_VALUE"""),"Trident of Tritonoch")</f>
        <v>Trident of Tritonoch</v>
      </c>
      <c r="B566" s="16"/>
      <c r="C566" s="16" t="str">
        <f>IFERROR(__xludf.DUMMYFUNCTION("""COMPUTED_VALUE"""),"Spear")</f>
        <v>Spear</v>
      </c>
      <c r="D566" s="16" t="str">
        <f>IFERROR(__xludf.DUMMYFUNCTION("""COMPUTED_VALUE"""),"Hand")</f>
        <v>Hand</v>
      </c>
      <c r="E566" s="16">
        <f>IFERROR(__xludf.DUMMYFUNCTION("""COMPUTED_VALUE"""),200.0)</f>
        <v>200</v>
      </c>
      <c r="F566" s="16" t="str">
        <f>IFERROR(__xludf.DUMMYFUNCTION("""COMPUTED_VALUE"""),"DMG: +20000, Water DMG: +20000, Celestial DMG: +20000 ++Waves of Entitlement II - x10 additional Water damage. 20% chance of Slowness 3 to the target. +-Cannot be duplicated")</f>
        <v>DMG: +20000, Water DMG: +20000, Celestial DMG: +20000 ++Waves of Entitlement II - x10 additional Water damage. 20% chance of Slowness 3 to the target. +-Cannot be duplicated</v>
      </c>
      <c r="G566" s="16">
        <f>IFERROR(__xludf.DUMMYFUNCTION("""COMPUTED_VALUE"""),7.14E7)</f>
        <v>71400000</v>
      </c>
      <c r="H566" s="16"/>
      <c r="I566" s="16"/>
      <c r="J566" s="16"/>
      <c r="K566" s="16"/>
      <c r="L566" s="16"/>
      <c r="M566" s="16"/>
      <c r="N566" s="16"/>
      <c r="O566" s="16"/>
      <c r="P566" s="16"/>
      <c r="Q566" s="16"/>
      <c r="R566" s="16"/>
      <c r="S566" s="16"/>
      <c r="T566" s="16"/>
      <c r="U566" s="16"/>
      <c r="V566" s="16"/>
      <c r="W566" s="16"/>
      <c r="X566" s="16"/>
      <c r="Y566" s="16"/>
      <c r="Z566" s="16"/>
    </row>
    <row r="567">
      <c r="A567" s="16" t="str">
        <f>IFERROR(__xludf.DUMMYFUNCTION("""COMPUTED_VALUE"""),"Boots of Tritonoch")</f>
        <v>Boots of Tritonoch</v>
      </c>
      <c r="B567" s="16"/>
      <c r="C567" s="16"/>
      <c r="D567" s="16" t="str">
        <f>IFERROR(__xludf.DUMMYFUNCTION("""COMPUTED_VALUE"""),"Feet")</f>
        <v>Feet</v>
      </c>
      <c r="E567" s="16">
        <f>IFERROR(__xludf.DUMMYFUNCTION("""COMPUTED_VALUE"""),800.0)</f>
        <v>800</v>
      </c>
      <c r="F567" s="16" t="str">
        <f>IFERROR(__xludf.DUMMYFUNCTION("""COMPUTED_VALUE"""),"DEF: +20000, Water DEF: +20000 ++Waves of Entitlement - x5 additional Water damage")</f>
        <v>DEF: +20000, Water DEF: +20000 ++Waves of Entitlement - x5 additional Water damage</v>
      </c>
      <c r="G567" s="16">
        <f>IFERROR(__xludf.DUMMYFUNCTION("""COMPUTED_VALUE"""),3.16E7)</f>
        <v>31600000</v>
      </c>
      <c r="H567" s="16"/>
      <c r="I567" s="16"/>
      <c r="J567" s="16"/>
      <c r="K567" s="16"/>
      <c r="L567" s="16"/>
      <c r="M567" s="16"/>
      <c r="N567" s="16"/>
      <c r="O567" s="16"/>
      <c r="P567" s="16"/>
      <c r="Q567" s="16"/>
      <c r="R567" s="16"/>
      <c r="S567" s="16"/>
      <c r="T567" s="16"/>
      <c r="U567" s="16"/>
      <c r="V567" s="16"/>
      <c r="W567" s="16"/>
      <c r="X567" s="16"/>
      <c r="Y567" s="16"/>
      <c r="Z567" s="16"/>
    </row>
    <row r="568">
      <c r="A568" s="16" t="str">
        <f>IFERROR(__xludf.DUMMYFUNCTION("""COMPUTED_VALUE"""),"Steel Bandit Dagger")</f>
        <v>Steel Bandit Dagger</v>
      </c>
      <c r="B568" s="16"/>
      <c r="C568" s="16" t="str">
        <f>IFERROR(__xludf.DUMMYFUNCTION("""COMPUTED_VALUE"""),"Knife")</f>
        <v>Knife</v>
      </c>
      <c r="D568" s="16" t="str">
        <f>IFERROR(__xludf.DUMMYFUNCTION("""COMPUTED_VALUE"""),"Hand")</f>
        <v>Hand</v>
      </c>
      <c r="E568" s="16">
        <f>IFERROR(__xludf.DUMMYFUNCTION("""COMPUTED_VALUE"""),1000.0)</f>
        <v>1000</v>
      </c>
      <c r="F568" s="16" t="str">
        <f>IFERROR(__xludf.DUMMYFUNCTION("""COMPUTED_VALUE"""),"DMG: +50000 ++10% chance to steal gilders upon hitting an enemy guilders stolen are equivalent to 1,000*d20")</f>
        <v>DMG: +50000 ++10% chance to steal gilders upon hitting an enemy guilders stolen are equivalent to 1,000*d20</v>
      </c>
      <c r="G568" s="16">
        <f>IFERROR(__xludf.DUMMYFUNCTION("""COMPUTED_VALUE"""),4.95E7)</f>
        <v>49500000</v>
      </c>
      <c r="H568" s="16"/>
      <c r="I568" s="16"/>
      <c r="J568" s="16"/>
      <c r="K568" s="16"/>
      <c r="L568" s="16"/>
      <c r="M568" s="16"/>
      <c r="N568" s="16"/>
      <c r="O568" s="16"/>
      <c r="P568" s="16"/>
      <c r="Q568" s="16"/>
      <c r="R568" s="16"/>
      <c r="S568" s="16"/>
      <c r="T568" s="16"/>
      <c r="U568" s="16"/>
      <c r="V568" s="16"/>
      <c r="W568" s="16"/>
      <c r="X568" s="16"/>
      <c r="Y568" s="16"/>
      <c r="Z568" s="16"/>
    </row>
    <row r="569">
      <c r="A569" s="16" t="str">
        <f>IFERROR(__xludf.DUMMYFUNCTION("""COMPUTED_VALUE"""),"Bandit Hide Helm")</f>
        <v>Bandit Hide Helm</v>
      </c>
      <c r="B569" s="16"/>
      <c r="C569" s="16"/>
      <c r="D569" s="16" t="str">
        <f>IFERROR(__xludf.DUMMYFUNCTION("""COMPUTED_VALUE"""),"Head")</f>
        <v>Head</v>
      </c>
      <c r="E569" s="16">
        <f>IFERROR(__xludf.DUMMYFUNCTION("""COMPUTED_VALUE"""),1000.0)</f>
        <v>1000</v>
      </c>
      <c r="F569" s="16" t="str">
        <f>IFERROR(__xludf.DUMMYFUNCTION("""COMPUTED_VALUE"""),"DEF: +50000")</f>
        <v>DEF: +50000</v>
      </c>
      <c r="G569" s="16">
        <f>IFERROR(__xludf.DUMMYFUNCTION("""COMPUTED_VALUE"""),4.95E7)</f>
        <v>49500000</v>
      </c>
      <c r="H569" s="16"/>
      <c r="I569" s="16"/>
      <c r="J569" s="16"/>
      <c r="K569" s="16"/>
      <c r="L569" s="16"/>
      <c r="M569" s="16"/>
      <c r="N569" s="16"/>
      <c r="O569" s="16"/>
      <c r="P569" s="16"/>
      <c r="Q569" s="16"/>
      <c r="R569" s="16"/>
      <c r="S569" s="16"/>
      <c r="T569" s="16"/>
      <c r="U569" s="16"/>
      <c r="V569" s="16"/>
      <c r="W569" s="16"/>
      <c r="X569" s="16"/>
      <c r="Y569" s="16"/>
      <c r="Z569" s="16"/>
    </row>
    <row r="570">
      <c r="A570" s="16" t="str">
        <f>IFERROR(__xludf.DUMMYFUNCTION("""COMPUTED_VALUE"""),"Bandit Hide Padding")</f>
        <v>Bandit Hide Padding</v>
      </c>
      <c r="B570" s="16"/>
      <c r="C570" s="16"/>
      <c r="D570" s="16" t="str">
        <f>IFERROR(__xludf.DUMMYFUNCTION("""COMPUTED_VALUE"""),"Shoulders")</f>
        <v>Shoulders</v>
      </c>
      <c r="E570" s="16">
        <f>IFERROR(__xludf.DUMMYFUNCTION("""COMPUTED_VALUE"""),1000.0)</f>
        <v>1000</v>
      </c>
      <c r="F570" s="16" t="str">
        <f>IFERROR(__xludf.DUMMYFUNCTION("""COMPUTED_VALUE"""),"DEF: +50000")</f>
        <v>DEF: +50000</v>
      </c>
      <c r="G570" s="16">
        <f>IFERROR(__xludf.DUMMYFUNCTION("""COMPUTED_VALUE"""),4.95E7)</f>
        <v>49500000</v>
      </c>
      <c r="H570" s="16"/>
      <c r="I570" s="16"/>
      <c r="J570" s="16"/>
      <c r="K570" s="16"/>
      <c r="L570" s="16"/>
      <c r="M570" s="16"/>
      <c r="N570" s="16"/>
      <c r="O570" s="16"/>
      <c r="P570" s="16"/>
      <c r="Q570" s="16"/>
      <c r="R570" s="16"/>
      <c r="S570" s="16"/>
      <c r="T570" s="16"/>
      <c r="U570" s="16"/>
      <c r="V570" s="16"/>
      <c r="W570" s="16"/>
      <c r="X570" s="16"/>
      <c r="Y570" s="16"/>
      <c r="Z570" s="16"/>
    </row>
    <row r="571">
      <c r="A571" s="16" t="str">
        <f>IFERROR(__xludf.DUMMYFUNCTION("""COMPUTED_VALUE"""),"Bandit Hide Chestplate")</f>
        <v>Bandit Hide Chestplate</v>
      </c>
      <c r="B571" s="16"/>
      <c r="C571" s="16"/>
      <c r="D571" s="16" t="str">
        <f>IFERROR(__xludf.DUMMYFUNCTION("""COMPUTED_VALUE"""),"Torso")</f>
        <v>Torso</v>
      </c>
      <c r="E571" s="16">
        <f>IFERROR(__xludf.DUMMYFUNCTION("""COMPUTED_VALUE"""),1000.0)</f>
        <v>1000</v>
      </c>
      <c r="F571" s="16" t="str">
        <f>IFERROR(__xludf.DUMMYFUNCTION("""COMPUTED_VALUE"""),"DEF: +50000 ++X2 damage with Knives")</f>
        <v>DEF: +50000 ++X2 damage with Knives</v>
      </c>
      <c r="G571" s="16">
        <f>IFERROR(__xludf.DUMMYFUNCTION("""COMPUTED_VALUE"""),4.95E7)</f>
        <v>49500000</v>
      </c>
      <c r="H571" s="16"/>
      <c r="I571" s="16"/>
      <c r="J571" s="16"/>
      <c r="K571" s="16"/>
      <c r="L571" s="16"/>
      <c r="M571" s="16"/>
      <c r="N571" s="16"/>
      <c r="O571" s="16"/>
      <c r="P571" s="16"/>
      <c r="Q571" s="16"/>
      <c r="R571" s="16"/>
      <c r="S571" s="16"/>
      <c r="T571" s="16"/>
      <c r="U571" s="16"/>
      <c r="V571" s="16"/>
      <c r="W571" s="16"/>
      <c r="X571" s="16"/>
      <c r="Y571" s="16"/>
      <c r="Z571" s="16"/>
    </row>
    <row r="572">
      <c r="A572" s="16" t="str">
        <f>IFERROR(__xludf.DUMMYFUNCTION("""COMPUTED_VALUE"""),"Bandit Hide Vambraces")</f>
        <v>Bandit Hide Vambraces</v>
      </c>
      <c r="B572" s="16"/>
      <c r="C572" s="16"/>
      <c r="D572" s="16" t="str">
        <f>IFERROR(__xludf.DUMMYFUNCTION("""COMPUTED_VALUE"""),"Arms")</f>
        <v>Arms</v>
      </c>
      <c r="E572" s="16">
        <f>IFERROR(__xludf.DUMMYFUNCTION("""COMPUTED_VALUE"""),1000.0)</f>
        <v>1000</v>
      </c>
      <c r="F572" s="16" t="str">
        <f>IFERROR(__xludf.DUMMYFUNCTION("""COMPUTED_VALUE"""),"DEF: +50000")</f>
        <v>DEF: +50000</v>
      </c>
      <c r="G572" s="16">
        <f>IFERROR(__xludf.DUMMYFUNCTION("""COMPUTED_VALUE"""),4.95E7)</f>
        <v>49500000</v>
      </c>
      <c r="H572" s="16"/>
      <c r="I572" s="16"/>
      <c r="J572" s="16"/>
      <c r="K572" s="16"/>
      <c r="L572" s="16"/>
      <c r="M572" s="16"/>
      <c r="N572" s="16"/>
      <c r="O572" s="16"/>
      <c r="P572" s="16"/>
      <c r="Q572" s="16"/>
      <c r="R572" s="16"/>
      <c r="S572" s="16"/>
      <c r="T572" s="16"/>
      <c r="U572" s="16"/>
      <c r="V572" s="16"/>
      <c r="W572" s="16"/>
      <c r="X572" s="16"/>
      <c r="Y572" s="16"/>
      <c r="Z572" s="16"/>
    </row>
    <row r="573">
      <c r="A573" s="16" t="str">
        <f>IFERROR(__xludf.DUMMYFUNCTION("""COMPUTED_VALUE"""),"Bandit Hide Greaves")</f>
        <v>Bandit Hide Greaves</v>
      </c>
      <c r="B573" s="16"/>
      <c r="C573" s="16"/>
      <c r="D573" s="16" t="str">
        <f>IFERROR(__xludf.DUMMYFUNCTION("""COMPUTED_VALUE"""),"Legs")</f>
        <v>Legs</v>
      </c>
      <c r="E573" s="16">
        <f>IFERROR(__xludf.DUMMYFUNCTION("""COMPUTED_VALUE"""),1000.0)</f>
        <v>1000</v>
      </c>
      <c r="F573" s="16" t="str">
        <f>IFERROR(__xludf.DUMMYFUNCTION("""COMPUTED_VALUE"""),"DEF: +50000")</f>
        <v>DEF: +50000</v>
      </c>
      <c r="G573" s="16">
        <f>IFERROR(__xludf.DUMMYFUNCTION("""COMPUTED_VALUE"""),4.95E7)</f>
        <v>49500000</v>
      </c>
      <c r="H573" s="16"/>
      <c r="I573" s="16"/>
      <c r="J573" s="16"/>
      <c r="K573" s="16"/>
      <c r="L573" s="16"/>
      <c r="M573" s="16"/>
      <c r="N573" s="16"/>
      <c r="O573" s="16"/>
      <c r="P573" s="16"/>
      <c r="Q573" s="16"/>
      <c r="R573" s="16"/>
      <c r="S573" s="16"/>
      <c r="T573" s="16"/>
      <c r="U573" s="16"/>
      <c r="V573" s="16"/>
      <c r="W573" s="16"/>
      <c r="X573" s="16"/>
      <c r="Y573" s="16"/>
      <c r="Z573" s="16"/>
    </row>
    <row r="574">
      <c r="A574" s="16" t="str">
        <f>IFERROR(__xludf.DUMMYFUNCTION("""COMPUTED_VALUE"""),"Bandit Hide Boots")</f>
        <v>Bandit Hide Boots</v>
      </c>
      <c r="B574" s="16"/>
      <c r="C574" s="16"/>
      <c r="D574" s="16" t="str">
        <f>IFERROR(__xludf.DUMMYFUNCTION("""COMPUTED_VALUE"""),"Feet")</f>
        <v>Feet</v>
      </c>
      <c r="E574" s="16">
        <f>IFERROR(__xludf.DUMMYFUNCTION("""COMPUTED_VALUE"""),1000.0)</f>
        <v>1000</v>
      </c>
      <c r="F574" s="16" t="str">
        <f>IFERROR(__xludf.DUMMYFUNCTION("""COMPUTED_VALUE"""),"DEF: +50000  ++5 to all confiscate, pickpocket, or take rolls")</f>
        <v>DEF: +50000  ++5 to all confiscate, pickpocket, or take rolls</v>
      </c>
      <c r="G574" s="16">
        <f>IFERROR(__xludf.DUMMYFUNCTION("""COMPUTED_VALUE"""),4.95E7)</f>
        <v>49500000</v>
      </c>
      <c r="H574" s="16"/>
      <c r="I574" s="16"/>
      <c r="J574" s="16"/>
      <c r="K574" s="16"/>
      <c r="L574" s="16"/>
      <c r="M574" s="16"/>
      <c r="N574" s="16"/>
      <c r="O574" s="16"/>
      <c r="P574" s="16"/>
      <c r="Q574" s="16"/>
      <c r="R574" s="16"/>
      <c r="S574" s="16"/>
      <c r="T574" s="16"/>
      <c r="U574" s="16"/>
      <c r="V574" s="16"/>
      <c r="W574" s="16"/>
      <c r="X574" s="16"/>
      <c r="Y574" s="16"/>
      <c r="Z574" s="16"/>
    </row>
    <row r="575">
      <c r="A575" s="16" t="str">
        <f>IFERROR(__xludf.DUMMYFUNCTION("""COMPUTED_VALUE"""),"Nunchucks")</f>
        <v>Nunchucks</v>
      </c>
      <c r="B575" s="16"/>
      <c r="C575" s="16" t="str">
        <f>IFERROR(__xludf.DUMMYFUNCTION("""COMPUTED_VALUE"""),"Club")</f>
        <v>Club</v>
      </c>
      <c r="D575" s="16" t="str">
        <f>IFERROR(__xludf.DUMMYFUNCTION("""COMPUTED_VALUE"""),"Hand")</f>
        <v>Hand</v>
      </c>
      <c r="E575" s="16">
        <f>IFERROR(__xludf.DUMMYFUNCTION("""COMPUTED_VALUE"""),3000.0)</f>
        <v>3000</v>
      </c>
      <c r="F575" s="16" t="str">
        <f>IFERROR(__xludf.DUMMYFUNCTION("""COMPUTED_VALUE"""),"DMG: +150000 ++10% chance to disarm your enemy when hitting them")</f>
        <v>DMG: +150000 ++10% chance to disarm your enemy when hitting them</v>
      </c>
      <c r="G575" s="16">
        <f>IFERROR(__xludf.DUMMYFUNCTION("""COMPUTED_VALUE"""),4.485E8)</f>
        <v>448500000</v>
      </c>
      <c r="H575" s="16"/>
      <c r="I575" s="16"/>
      <c r="J575" s="16"/>
      <c r="K575" s="16"/>
      <c r="L575" s="16"/>
      <c r="M575" s="16"/>
      <c r="N575" s="16"/>
      <c r="O575" s="16"/>
      <c r="P575" s="16"/>
      <c r="Q575" s="16"/>
      <c r="R575" s="16"/>
      <c r="S575" s="16"/>
      <c r="T575" s="16"/>
      <c r="U575" s="16"/>
      <c r="V575" s="16"/>
      <c r="W575" s="16"/>
      <c r="X575" s="16"/>
      <c r="Y575" s="16"/>
      <c r="Z575" s="16"/>
    </row>
    <row r="576">
      <c r="A576" s="16" t="str">
        <f>IFERROR(__xludf.DUMMYFUNCTION("""COMPUTED_VALUE"""),"Shuriken (Enhanced)")</f>
        <v>Shuriken (Enhanced)</v>
      </c>
      <c r="B576" s="16" t="str">
        <f>IFERROR(__xludf.DUMMYFUNCTION("""COMPUTED_VALUE"""),"the tantamount Ninja weapon, requires a level of dexterity you probably don't possess")</f>
        <v>the tantamount Ninja weapon, requires a level of dexterity you probably don't possess</v>
      </c>
      <c r="C576" s="16" t="str">
        <f>IFERROR(__xludf.DUMMYFUNCTION("""COMPUTED_VALUE"""),"Boomerang")</f>
        <v>Boomerang</v>
      </c>
      <c r="D576" s="16" t="str">
        <f>IFERROR(__xludf.DUMMYFUNCTION("""COMPUTED_VALUE"""),"Hand")</f>
        <v>Hand</v>
      </c>
      <c r="E576" s="16">
        <f>IFERROR(__xludf.DUMMYFUNCTION("""COMPUTED_VALUE"""),1500.0)</f>
        <v>1500</v>
      </c>
      <c r="F576" s="16" t="str">
        <f>IFERROR(__xludf.DUMMYFUNCTION("""COMPUTED_VALUE"""),"DMG: +50000, Blood DMG: +25000 ++Returns when thrown, can throw up to 4 in one attack (roll 1d4 to determine)")</f>
        <v>DMG: +50000, Blood DMG: +25000 ++Returns when thrown, can throw up to 4 in one attack (roll 1d4 to determine)</v>
      </c>
      <c r="G576" s="16">
        <f>IFERROR(__xludf.DUMMYFUNCTION("""COMPUTED_VALUE"""),1.1175E8)</f>
        <v>111750000</v>
      </c>
      <c r="H576" s="16"/>
      <c r="I576" s="16"/>
      <c r="J576" s="16"/>
      <c r="K576" s="16"/>
      <c r="L576" s="16"/>
      <c r="M576" s="16"/>
      <c r="N576" s="16"/>
      <c r="O576" s="16"/>
      <c r="P576" s="16"/>
      <c r="Q576" s="16"/>
      <c r="R576" s="16"/>
      <c r="S576" s="16"/>
      <c r="T576" s="16"/>
      <c r="U576" s="16"/>
      <c r="V576" s="16"/>
      <c r="W576" s="16"/>
      <c r="X576" s="16"/>
      <c r="Y576" s="16"/>
      <c r="Z576" s="16"/>
    </row>
    <row r="577">
      <c r="A577" s="16" t="str">
        <f>IFERROR(__xludf.DUMMYFUNCTION("""COMPUTED_VALUE"""),"Poison Dart Gun")</f>
        <v>Poison Dart Gun</v>
      </c>
      <c r="B577" s="16" t="str">
        <f>IFERROR(__xludf.DUMMYFUNCTION("""COMPUTED_VALUE"""),"Poisoners first, and most trusty weapon. Nearly as old as the poison masters themselves these weapons have been part of the ")</f>
        <v>Poisoners first, and most trusty weapon. Nearly as old as the poison masters themselves these weapons have been part of the </v>
      </c>
      <c r="C577" s="16" t="str">
        <f>IFERROR(__xludf.DUMMYFUNCTION("""COMPUTED_VALUE"""),"Firearm")</f>
        <v>Firearm</v>
      </c>
      <c r="D577" s="16" t="str">
        <f>IFERROR(__xludf.DUMMYFUNCTION("""COMPUTED_VALUE"""),"Hand")</f>
        <v>Hand</v>
      </c>
      <c r="E577" s="16">
        <f>IFERROR(__xludf.DUMMYFUNCTION("""COMPUTED_VALUE"""),2000.0)</f>
        <v>2000</v>
      </c>
      <c r="F577" s="16" t="str">
        <f>IFERROR(__xludf.DUMMYFUNCTION("""COMPUTED_VALUE"""),"DMG: +75000, Voodoo DMG: +25000 ++Inflicts Poison 2500 for 2 rounds. ++Uses darts as ammo")</f>
        <v>DMG: +75000, Voodoo DMG: +25000 ++Inflicts Poison 2500 for 2 rounds. ++Uses darts as ammo</v>
      </c>
      <c r="G577" s="16">
        <f>IFERROR(__xludf.DUMMYFUNCTION("""COMPUTED_VALUE"""),1.99E8)</f>
        <v>199000000</v>
      </c>
      <c r="H577" s="16"/>
      <c r="I577" s="16"/>
      <c r="J577" s="16"/>
      <c r="K577" s="16"/>
      <c r="L577" s="16"/>
      <c r="M577" s="16"/>
      <c r="N577" s="16"/>
      <c r="O577" s="16"/>
      <c r="P577" s="16"/>
      <c r="Q577" s="16"/>
      <c r="R577" s="16"/>
      <c r="S577" s="16"/>
      <c r="T577" s="16"/>
      <c r="U577" s="16"/>
      <c r="V577" s="16"/>
      <c r="W577" s="16"/>
      <c r="X577" s="16"/>
      <c r="Y577" s="16"/>
      <c r="Z577" s="16"/>
    </row>
    <row r="578">
      <c r="A578" s="16" t="str">
        <f>IFERROR(__xludf.DUMMYFUNCTION("""COMPUTED_VALUE"""),"Poison Tipped Needle")</f>
        <v>Poison Tipped Needle</v>
      </c>
      <c r="B578" s="16" t="str">
        <f>IFERROR(__xludf.DUMMYFUNCTION("""COMPUTED_VALUE"""),"A needle dipped in master Wushang's thousand poisons or some other Wuxia novel esque bullshit")</f>
        <v>A needle dipped in master Wushang's thousand poisons or some other Wuxia novel esque bullshit</v>
      </c>
      <c r="C578" s="16" t="str">
        <f>IFERROR(__xludf.DUMMYFUNCTION("""COMPUTED_VALUE"""),"Knife")</f>
        <v>Knife</v>
      </c>
      <c r="D578" s="16" t="str">
        <f>IFERROR(__xludf.DUMMYFUNCTION("""COMPUTED_VALUE"""),"Hand")</f>
        <v>Hand</v>
      </c>
      <c r="E578" s="16">
        <f>IFERROR(__xludf.DUMMYFUNCTION("""COMPUTED_VALUE"""),2000.0)</f>
        <v>2000</v>
      </c>
      <c r="F578" s="16" t="str">
        <f>IFERROR(__xludf.DUMMYFUNCTION("""COMPUTED_VALUE"""),"DMG: +75000, Voodoo DMG: +25000 ++When rolling a Natural 19 or 20 deals X3 Damage. ++Inflicts Poison 100")</f>
        <v>DMG: +75000, Voodoo DMG: +25000 ++When rolling a Natural 19 or 20 deals X3 Damage. ++Inflicts Poison 100</v>
      </c>
      <c r="G578" s="16">
        <f>IFERROR(__xludf.DUMMYFUNCTION("""COMPUTED_VALUE"""),1.99E8)</f>
        <v>199000000</v>
      </c>
      <c r="H578" s="16"/>
      <c r="I578" s="16"/>
      <c r="J578" s="16"/>
      <c r="K578" s="16"/>
      <c r="L578" s="16"/>
      <c r="M578" s="16"/>
      <c r="N578" s="16"/>
      <c r="O578" s="16"/>
      <c r="P578" s="16"/>
      <c r="Q578" s="16"/>
      <c r="R578" s="16"/>
      <c r="S578" s="16"/>
      <c r="T578" s="16"/>
      <c r="U578" s="16"/>
      <c r="V578" s="16"/>
      <c r="W578" s="16"/>
      <c r="X578" s="16"/>
      <c r="Y578" s="16"/>
      <c r="Z578" s="16"/>
    </row>
    <row r="579">
      <c r="A579" s="16" t="str">
        <f>IFERROR(__xludf.DUMMYFUNCTION("""COMPUTED_VALUE"""),"Katana (Enhanced)")</f>
        <v>Katana (Enhanced)</v>
      </c>
      <c r="B579" s="16" t="str">
        <f>IFERROR(__xludf.DUMMYFUNCTION("""COMPUTED_VALUE"""),"The sword of weebs and actual samurai alike, surprisingly yes, weebs do exist in Spira")</f>
        <v>The sword of weebs and actual samurai alike, surprisingly yes, weebs do exist in Spira</v>
      </c>
      <c r="C579" s="16" t="str">
        <f>IFERROR(__xludf.DUMMYFUNCTION("""COMPUTED_VALUE"""),"Sword")</f>
        <v>Sword</v>
      </c>
      <c r="D579" s="16" t="str">
        <f>IFERROR(__xludf.DUMMYFUNCTION("""COMPUTED_VALUE"""),"Hand")</f>
        <v>Hand</v>
      </c>
      <c r="E579" s="16">
        <f>IFERROR(__xludf.DUMMYFUNCTION("""COMPUTED_VALUE"""),2500.0)</f>
        <v>2500</v>
      </c>
      <c r="F579" s="16" t="str">
        <f>IFERROR(__xludf.DUMMYFUNCTION("""COMPUTED_VALUE"""),"DMG: +125000 ++Triples the chance for the sword ability to activate, +-Cannot be Forged")</f>
        <v>DMG: +125000 ++Triples the chance for the sword ability to activate, +-Cannot be Forged</v>
      </c>
      <c r="G579" s="16">
        <f>IFERROR(__xludf.DUMMYFUNCTION("""COMPUTED_VALUE"""),3.1125E8)</f>
        <v>311250000</v>
      </c>
      <c r="H579" s="16"/>
      <c r="I579" s="16"/>
      <c r="J579" s="16"/>
      <c r="K579" s="16"/>
      <c r="L579" s="16"/>
      <c r="M579" s="16"/>
      <c r="N579" s="16"/>
      <c r="O579" s="16"/>
      <c r="P579" s="16"/>
      <c r="Q579" s="16"/>
      <c r="R579" s="16"/>
      <c r="S579" s="16"/>
      <c r="T579" s="16"/>
      <c r="U579" s="16"/>
      <c r="V579" s="16"/>
      <c r="W579" s="16"/>
      <c r="X579" s="16"/>
      <c r="Y579" s="16"/>
      <c r="Z579" s="16"/>
    </row>
    <row r="580">
      <c r="A580" s="16" t="str">
        <f>IFERROR(__xludf.DUMMYFUNCTION("""COMPUTED_VALUE"""),"Ninja Initiate's Cowl")</f>
        <v>Ninja Initiate's Cowl</v>
      </c>
      <c r="B580" s="16" t="str">
        <f>IFERROR(__xludf.DUMMYFUNCTION("""COMPUTED_VALUE"""),"Armor given to newbie Ninja's who have yet to choose a master")</f>
        <v>Armor given to newbie Ninja's who have yet to choose a master</v>
      </c>
      <c r="C580" s="16"/>
      <c r="D580" s="16" t="str">
        <f>IFERROR(__xludf.DUMMYFUNCTION("""COMPUTED_VALUE"""),"Head")</f>
        <v>Head</v>
      </c>
      <c r="E580" s="16">
        <f>IFERROR(__xludf.DUMMYFUNCTION("""COMPUTED_VALUE"""),2500.0)</f>
        <v>2500</v>
      </c>
      <c r="F580" s="16" t="str">
        <f>IFERROR(__xludf.DUMMYFUNCTION("""COMPUTED_VALUE"""),"DEF: +125000 ++X2 damage with Knives")</f>
        <v>DEF: +125000 ++X2 damage with Knives</v>
      </c>
      <c r="G580" s="16">
        <f>IFERROR(__xludf.DUMMYFUNCTION("""COMPUTED_VALUE"""),3.1125E8)</f>
        <v>311250000</v>
      </c>
      <c r="H580" s="16"/>
      <c r="I580" s="16"/>
      <c r="J580" s="16"/>
      <c r="K580" s="16"/>
      <c r="L580" s="16"/>
      <c r="M580" s="16"/>
      <c r="N580" s="16"/>
      <c r="O580" s="16"/>
      <c r="P580" s="16"/>
      <c r="Q580" s="16"/>
      <c r="R580" s="16"/>
      <c r="S580" s="16"/>
      <c r="T580" s="16"/>
      <c r="U580" s="16"/>
      <c r="V580" s="16"/>
      <c r="W580" s="16"/>
      <c r="X580" s="16"/>
      <c r="Y580" s="16"/>
      <c r="Z580" s="16"/>
    </row>
    <row r="581">
      <c r="A581" s="16" t="str">
        <f>IFERROR(__xludf.DUMMYFUNCTION("""COMPUTED_VALUE"""),"Ninja Initiate's Cape")</f>
        <v>Ninja Initiate's Cape</v>
      </c>
      <c r="B581" s="16" t="str">
        <f>IFERROR(__xludf.DUMMYFUNCTION("""COMPUTED_VALUE"""),"Armor given to newbie Ninja's who have yet to choose a master")</f>
        <v>Armor given to newbie Ninja's who have yet to choose a master</v>
      </c>
      <c r="C581" s="16"/>
      <c r="D581" s="16" t="str">
        <f>IFERROR(__xludf.DUMMYFUNCTION("""COMPUTED_VALUE"""),"Shoulders")</f>
        <v>Shoulders</v>
      </c>
      <c r="E581" s="16">
        <f>IFERROR(__xludf.DUMMYFUNCTION("""COMPUTED_VALUE"""),2500.0)</f>
        <v>2500</v>
      </c>
      <c r="F581" s="16" t="str">
        <f>IFERROR(__xludf.DUMMYFUNCTION("""COMPUTED_VALUE"""),"DEF: +125000 ++X2 damage with Knives")</f>
        <v>DEF: +125000 ++X2 damage with Knives</v>
      </c>
      <c r="G581" s="16">
        <f>IFERROR(__xludf.DUMMYFUNCTION("""COMPUTED_VALUE"""),3.1125E8)</f>
        <v>311250000</v>
      </c>
      <c r="H581" s="16"/>
      <c r="I581" s="16"/>
      <c r="J581" s="16"/>
      <c r="K581" s="16"/>
      <c r="L581" s="16"/>
      <c r="M581" s="16"/>
      <c r="N581" s="16"/>
      <c r="O581" s="16"/>
      <c r="P581" s="16"/>
      <c r="Q581" s="16"/>
      <c r="R581" s="16"/>
      <c r="S581" s="16"/>
      <c r="T581" s="16"/>
      <c r="U581" s="16"/>
      <c r="V581" s="16"/>
      <c r="W581" s="16"/>
      <c r="X581" s="16"/>
      <c r="Y581" s="16"/>
      <c r="Z581" s="16"/>
    </row>
    <row r="582">
      <c r="A582" s="16" t="str">
        <f>IFERROR(__xludf.DUMMYFUNCTION("""COMPUTED_VALUE"""),"Ninja Initiate's Vest")</f>
        <v>Ninja Initiate's Vest</v>
      </c>
      <c r="B582" s="16" t="str">
        <f>IFERROR(__xludf.DUMMYFUNCTION("""COMPUTED_VALUE"""),"Armor given to newbie Ninja's who have yet to choose a master")</f>
        <v>Armor given to newbie Ninja's who have yet to choose a master</v>
      </c>
      <c r="C582" s="16"/>
      <c r="D582" s="16" t="str">
        <f>IFERROR(__xludf.DUMMYFUNCTION("""COMPUTED_VALUE"""),"Torso")</f>
        <v>Torso</v>
      </c>
      <c r="E582" s="16">
        <f>IFERROR(__xludf.DUMMYFUNCTION("""COMPUTED_VALUE"""),2500.0)</f>
        <v>2500</v>
      </c>
      <c r="F582" s="16" t="str">
        <f>IFERROR(__xludf.DUMMYFUNCTION("""COMPUTED_VALUE"""),"DEF: +125000 ++X2 damage with Knives")</f>
        <v>DEF: +125000 ++X2 damage with Knives</v>
      </c>
      <c r="G582" s="16">
        <f>IFERROR(__xludf.DUMMYFUNCTION("""COMPUTED_VALUE"""),3.1125E8)</f>
        <v>311250000</v>
      </c>
      <c r="H582" s="16"/>
      <c r="I582" s="16"/>
      <c r="J582" s="16"/>
      <c r="K582" s="16"/>
      <c r="L582" s="16"/>
      <c r="M582" s="16"/>
      <c r="N582" s="16"/>
      <c r="O582" s="16"/>
      <c r="P582" s="16"/>
      <c r="Q582" s="16"/>
      <c r="R582" s="16"/>
      <c r="S582" s="16"/>
      <c r="T582" s="16"/>
      <c r="U582" s="16"/>
      <c r="V582" s="16"/>
      <c r="W582" s="16"/>
      <c r="X582" s="16"/>
      <c r="Y582" s="16"/>
      <c r="Z582" s="16"/>
    </row>
    <row r="583">
      <c r="A583" s="16" t="str">
        <f>IFERROR(__xludf.DUMMYFUNCTION("""COMPUTED_VALUE"""),"Ninja Initiate's Gloves")</f>
        <v>Ninja Initiate's Gloves</v>
      </c>
      <c r="B583" s="16" t="str">
        <f>IFERROR(__xludf.DUMMYFUNCTION("""COMPUTED_VALUE"""),"Armor given to newbie Ninja's who have yet to choose a master")</f>
        <v>Armor given to newbie Ninja's who have yet to choose a master</v>
      </c>
      <c r="C583" s="16"/>
      <c r="D583" s="16" t="str">
        <f>IFERROR(__xludf.DUMMYFUNCTION("""COMPUTED_VALUE"""),"Arms")</f>
        <v>Arms</v>
      </c>
      <c r="E583" s="16">
        <f>IFERROR(__xludf.DUMMYFUNCTION("""COMPUTED_VALUE"""),2500.0)</f>
        <v>2500</v>
      </c>
      <c r="F583" s="16" t="str">
        <f>IFERROR(__xludf.DUMMYFUNCTION("""COMPUTED_VALUE"""),"DEF: +125000 ++X2 damage with Knives")</f>
        <v>DEF: +125000 ++X2 damage with Knives</v>
      </c>
      <c r="G583" s="16">
        <f>IFERROR(__xludf.DUMMYFUNCTION("""COMPUTED_VALUE"""),3.1125E8)</f>
        <v>311250000</v>
      </c>
      <c r="H583" s="16"/>
      <c r="I583" s="16"/>
      <c r="J583" s="16"/>
      <c r="K583" s="16"/>
      <c r="L583" s="16"/>
      <c r="M583" s="16"/>
      <c r="N583" s="16"/>
      <c r="O583" s="16"/>
      <c r="P583" s="16"/>
      <c r="Q583" s="16"/>
      <c r="R583" s="16"/>
      <c r="S583" s="16"/>
      <c r="T583" s="16"/>
      <c r="U583" s="16"/>
      <c r="V583" s="16"/>
      <c r="W583" s="16"/>
      <c r="X583" s="16"/>
      <c r="Y583" s="16"/>
      <c r="Z583" s="16"/>
    </row>
    <row r="584">
      <c r="A584" s="16" t="str">
        <f>IFERROR(__xludf.DUMMYFUNCTION("""COMPUTED_VALUE"""),"Ninja Initiate's Sarouel")</f>
        <v>Ninja Initiate's Sarouel</v>
      </c>
      <c r="B584" s="16" t="str">
        <f>IFERROR(__xludf.DUMMYFUNCTION("""COMPUTED_VALUE"""),"Armor given to newbie Ninja's who have yet to choose a master")</f>
        <v>Armor given to newbie Ninja's who have yet to choose a master</v>
      </c>
      <c r="C584" s="16"/>
      <c r="D584" s="16" t="str">
        <f>IFERROR(__xludf.DUMMYFUNCTION("""COMPUTED_VALUE"""),"Legs")</f>
        <v>Legs</v>
      </c>
      <c r="E584" s="16">
        <f>IFERROR(__xludf.DUMMYFUNCTION("""COMPUTED_VALUE"""),2500.0)</f>
        <v>2500</v>
      </c>
      <c r="F584" s="16" t="str">
        <f>IFERROR(__xludf.DUMMYFUNCTION("""COMPUTED_VALUE"""),"DEF: +125000 ++X2 damage with Knives")</f>
        <v>DEF: +125000 ++X2 damage with Knives</v>
      </c>
      <c r="G584" s="16">
        <f>IFERROR(__xludf.DUMMYFUNCTION("""COMPUTED_VALUE"""),3.1125E8)</f>
        <v>311250000</v>
      </c>
      <c r="H584" s="16"/>
      <c r="I584" s="16"/>
      <c r="J584" s="16"/>
      <c r="K584" s="16"/>
      <c r="L584" s="16"/>
      <c r="M584" s="16"/>
      <c r="N584" s="16"/>
      <c r="O584" s="16"/>
      <c r="P584" s="16"/>
      <c r="Q584" s="16"/>
      <c r="R584" s="16"/>
      <c r="S584" s="16"/>
      <c r="T584" s="16"/>
      <c r="U584" s="16"/>
      <c r="V584" s="16"/>
      <c r="W584" s="16"/>
      <c r="X584" s="16"/>
      <c r="Y584" s="16"/>
      <c r="Z584" s="16"/>
    </row>
    <row r="585">
      <c r="A585" s="16" t="str">
        <f>IFERROR(__xludf.DUMMYFUNCTION("""COMPUTED_VALUE"""),"Ninja Initiate's Sandals")</f>
        <v>Ninja Initiate's Sandals</v>
      </c>
      <c r="B585" s="16" t="str">
        <f>IFERROR(__xludf.DUMMYFUNCTION("""COMPUTED_VALUE"""),"Armor given to newbie Ninja's who have yet to choose a master")</f>
        <v>Armor given to newbie Ninja's who have yet to choose a master</v>
      </c>
      <c r="C585" s="16"/>
      <c r="D585" s="16" t="str">
        <f>IFERROR(__xludf.DUMMYFUNCTION("""COMPUTED_VALUE"""),"Feet")</f>
        <v>Feet</v>
      </c>
      <c r="E585" s="16">
        <f>IFERROR(__xludf.DUMMYFUNCTION("""COMPUTED_VALUE"""),2500.0)</f>
        <v>2500</v>
      </c>
      <c r="F585" s="16" t="str">
        <f>IFERROR(__xludf.DUMMYFUNCTION("""COMPUTED_VALUE"""),"DEF: +125000 ++X2 damage with Knives")</f>
        <v>DEF: +125000 ++X2 damage with Knives</v>
      </c>
      <c r="G585" s="16">
        <f>IFERROR(__xludf.DUMMYFUNCTION("""COMPUTED_VALUE"""),3.1125E8)</f>
        <v>311250000</v>
      </c>
      <c r="H585" s="16"/>
      <c r="I585" s="16"/>
      <c r="J585" s="16"/>
      <c r="K585" s="16"/>
      <c r="L585" s="16"/>
      <c r="M585" s="16"/>
      <c r="N585" s="16"/>
      <c r="O585" s="16"/>
      <c r="P585" s="16"/>
      <c r="Q585" s="16"/>
      <c r="R585" s="16"/>
      <c r="S585" s="16"/>
      <c r="T585" s="16"/>
      <c r="U585" s="16"/>
      <c r="V585" s="16"/>
      <c r="W585" s="16"/>
      <c r="X585" s="16"/>
      <c r="Y585" s="16"/>
      <c r="Z585" s="16"/>
    </row>
    <row r="586">
      <c r="A586" s="16" t="str">
        <f>IFERROR(__xludf.DUMMYFUNCTION("""COMPUTED_VALUE"""),"Sai")</f>
        <v>Sai</v>
      </c>
      <c r="B586" s="16" t="str">
        <f>IFERROR(__xludf.DUMMYFUNCTION("""COMPUTED_VALUE"""),"A weapon designed for redirecting an enemies blade and then striking for their vitals")</f>
        <v>A weapon designed for redirecting an enemies blade and then striking for their vitals</v>
      </c>
      <c r="C586" s="16" t="str">
        <f>IFERROR(__xludf.DUMMYFUNCTION("""COMPUTED_VALUE"""),"Knife")</f>
        <v>Knife</v>
      </c>
      <c r="D586" s="16" t="str">
        <f>IFERROR(__xludf.DUMMYFUNCTION("""COMPUTED_VALUE"""),"Hand")</f>
        <v>Hand</v>
      </c>
      <c r="E586" s="16">
        <f>IFERROR(__xludf.DUMMYFUNCTION("""COMPUTED_VALUE"""),2500.0)</f>
        <v>2500</v>
      </c>
      <c r="F586" s="16" t="str">
        <f>IFERROR(__xludf.DUMMYFUNCTION("""COMPUTED_VALUE"""),"DEF: +125000 ++Defensive Fighting: This weapon uses it's DEF as damage for attacks made with the weapon. ++Dastardly Deflection: 25% chance to parry any weapon attacks targeting the user.")</f>
        <v>DEF: +125000 ++Defensive Fighting: This weapon uses it's DEF as damage for attacks made with the weapon. ++Dastardly Deflection: 25% chance to parry any weapon attacks targeting the user.</v>
      </c>
      <c r="G586" s="16">
        <f>IFERROR(__xludf.DUMMYFUNCTION("""COMPUTED_VALUE"""),3.1125E8)</f>
        <v>311250000</v>
      </c>
      <c r="H586" s="16"/>
      <c r="I586" s="16"/>
      <c r="J586" s="16"/>
      <c r="K586" s="16"/>
      <c r="L586" s="16"/>
      <c r="M586" s="16"/>
      <c r="N586" s="16"/>
      <c r="O586" s="16"/>
      <c r="P586" s="16"/>
      <c r="Q586" s="16"/>
      <c r="R586" s="16"/>
      <c r="S586" s="16"/>
      <c r="T586" s="16"/>
      <c r="U586" s="16"/>
      <c r="V586" s="16"/>
      <c r="W586" s="16"/>
      <c r="X586" s="16"/>
      <c r="Y586" s="16"/>
      <c r="Z586" s="16"/>
    </row>
    <row r="587">
      <c r="A587" s="16" t="str">
        <f>IFERROR(__xludf.DUMMYFUNCTION("""COMPUTED_VALUE"""),"Poison Master's Mask")</f>
        <v>Poison Master's Mask</v>
      </c>
      <c r="B587"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7" s="16"/>
      <c r="D587" s="16" t="str">
        <f>IFERROR(__xludf.DUMMYFUNCTION("""COMPUTED_VALUE"""),"Head")</f>
        <v>Head</v>
      </c>
      <c r="E587" s="16">
        <f>IFERROR(__xludf.DUMMYFUNCTION("""COMPUTED_VALUE"""),2500.0)</f>
        <v>2500</v>
      </c>
      <c r="F587" s="16" t="str">
        <f>IFERROR(__xludf.DUMMYFUNCTION("""COMPUTED_VALUE"""),"DEF: +125000 ++X2 Poison damage")</f>
        <v>DEF: +125000 ++X2 Poison damage</v>
      </c>
      <c r="G587" s="16">
        <f>IFERROR(__xludf.DUMMYFUNCTION("""COMPUTED_VALUE"""),3.1125E8)</f>
        <v>311250000</v>
      </c>
      <c r="H587" s="16"/>
      <c r="I587" s="16"/>
      <c r="J587" s="16"/>
      <c r="K587" s="16"/>
      <c r="L587" s="16"/>
      <c r="M587" s="16"/>
      <c r="N587" s="16"/>
      <c r="O587" s="16"/>
      <c r="P587" s="16"/>
      <c r="Q587" s="16"/>
      <c r="R587" s="16"/>
      <c r="S587" s="16"/>
      <c r="T587" s="16"/>
      <c r="U587" s="16"/>
      <c r="V587" s="16"/>
      <c r="W587" s="16"/>
      <c r="X587" s="16"/>
      <c r="Y587" s="16"/>
      <c r="Z587" s="16"/>
    </row>
    <row r="588">
      <c r="A588" s="16" t="str">
        <f>IFERROR(__xludf.DUMMYFUNCTION("""COMPUTED_VALUE"""),"Poison Master's Cape")</f>
        <v>Poison Master's Cape</v>
      </c>
      <c r="B588"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8" s="16"/>
      <c r="D588" s="16" t="str">
        <f>IFERROR(__xludf.DUMMYFUNCTION("""COMPUTED_VALUE"""),"Shoulders")</f>
        <v>Shoulders</v>
      </c>
      <c r="E588" s="16">
        <f>IFERROR(__xludf.DUMMYFUNCTION("""COMPUTED_VALUE"""),2500.0)</f>
        <v>2500</v>
      </c>
      <c r="F588" s="16" t="str">
        <f>IFERROR(__xludf.DUMMYFUNCTION("""COMPUTED_VALUE"""),"DEF: +125000 ++X2 Poison damage")</f>
        <v>DEF: +125000 ++X2 Poison damage</v>
      </c>
      <c r="G588" s="16">
        <f>IFERROR(__xludf.DUMMYFUNCTION("""COMPUTED_VALUE"""),3.1125E8)</f>
        <v>311250000</v>
      </c>
      <c r="H588" s="16"/>
      <c r="I588" s="16"/>
      <c r="J588" s="16"/>
      <c r="K588" s="16"/>
      <c r="L588" s="16"/>
      <c r="M588" s="16"/>
      <c r="N588" s="16"/>
      <c r="O588" s="16"/>
      <c r="P588" s="16"/>
      <c r="Q588" s="16"/>
      <c r="R588" s="16"/>
      <c r="S588" s="16"/>
      <c r="T588" s="16"/>
      <c r="U588" s="16"/>
      <c r="V588" s="16"/>
      <c r="W588" s="16"/>
      <c r="X588" s="16"/>
      <c r="Y588" s="16"/>
      <c r="Z588" s="16"/>
    </row>
    <row r="589">
      <c r="A589" s="16" t="str">
        <f>IFERROR(__xludf.DUMMYFUNCTION("""COMPUTED_VALUE"""),"Poison Master's Robe")</f>
        <v>Poison Master's Robe</v>
      </c>
      <c r="B589"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89" s="16"/>
      <c r="D589" s="16" t="str">
        <f>IFERROR(__xludf.DUMMYFUNCTION("""COMPUTED_VALUE"""),"Torso")</f>
        <v>Torso</v>
      </c>
      <c r="E589" s="16">
        <f>IFERROR(__xludf.DUMMYFUNCTION("""COMPUTED_VALUE"""),2500.0)</f>
        <v>2500</v>
      </c>
      <c r="F589" s="16" t="str">
        <f>IFERROR(__xludf.DUMMYFUNCTION("""COMPUTED_VALUE"""),"DEF: +125000")</f>
        <v>DEF: +125000</v>
      </c>
      <c r="G589" s="16">
        <f>IFERROR(__xludf.DUMMYFUNCTION("""COMPUTED_VALUE"""),3.1125E8)</f>
        <v>311250000</v>
      </c>
      <c r="H589" s="16"/>
      <c r="I589" s="16"/>
      <c r="J589" s="16"/>
      <c r="K589" s="16"/>
      <c r="L589" s="16"/>
      <c r="M589" s="16"/>
      <c r="N589" s="16"/>
      <c r="O589" s="16"/>
      <c r="P589" s="16"/>
      <c r="Q589" s="16"/>
      <c r="R589" s="16"/>
      <c r="S589" s="16"/>
      <c r="T589" s="16"/>
      <c r="U589" s="16"/>
      <c r="V589" s="16"/>
      <c r="W589" s="16"/>
      <c r="X589" s="16"/>
      <c r="Y589" s="16"/>
      <c r="Z589" s="16"/>
    </row>
    <row r="590">
      <c r="A590" s="16" t="str">
        <f>IFERROR(__xludf.DUMMYFUNCTION("""COMPUTED_VALUE"""),"Poison Master's Heavy Duty Gloves")</f>
        <v>Poison Master's Heavy Duty Gloves</v>
      </c>
      <c r="B590"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0" s="16"/>
      <c r="D590" s="16" t="str">
        <f>IFERROR(__xludf.DUMMYFUNCTION("""COMPUTED_VALUE"""),"Arms")</f>
        <v>Arms</v>
      </c>
      <c r="E590" s="16">
        <f>IFERROR(__xludf.DUMMYFUNCTION("""COMPUTED_VALUE"""),2500.0)</f>
        <v>2500</v>
      </c>
      <c r="F590" s="16" t="str">
        <f>IFERROR(__xludf.DUMMYFUNCTION("""COMPUTED_VALUE"""),"DEF: +125000 ++Poison Immunity")</f>
        <v>DEF: +125000 ++Poison Immunity</v>
      </c>
      <c r="G590" s="16">
        <f>IFERROR(__xludf.DUMMYFUNCTION("""COMPUTED_VALUE"""),3.1125E8)</f>
        <v>311250000</v>
      </c>
      <c r="H590" s="16"/>
      <c r="I590" s="16"/>
      <c r="J590" s="16"/>
      <c r="K590" s="16"/>
      <c r="L590" s="16"/>
      <c r="M590" s="16"/>
      <c r="N590" s="16"/>
      <c r="O590" s="16"/>
      <c r="P590" s="16"/>
      <c r="Q590" s="16"/>
      <c r="R590" s="16"/>
      <c r="S590" s="16"/>
      <c r="T590" s="16"/>
      <c r="U590" s="16"/>
      <c r="V590" s="16"/>
      <c r="W590" s="16"/>
      <c r="X590" s="16"/>
      <c r="Y590" s="16"/>
      <c r="Z590" s="16"/>
    </row>
    <row r="591">
      <c r="A591" s="16" t="str">
        <f>IFERROR(__xludf.DUMMYFUNCTION("""COMPUTED_VALUE"""),"Poison Master's Sarouel")</f>
        <v>Poison Master's Sarouel</v>
      </c>
      <c r="B591"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1" s="16"/>
      <c r="D591" s="16" t="str">
        <f>IFERROR(__xludf.DUMMYFUNCTION("""COMPUTED_VALUE"""),"Legs")</f>
        <v>Legs</v>
      </c>
      <c r="E591" s="16">
        <f>IFERROR(__xludf.DUMMYFUNCTION("""COMPUTED_VALUE"""),2500.0)</f>
        <v>2500</v>
      </c>
      <c r="F591" s="16" t="str">
        <f>IFERROR(__xludf.DUMMYFUNCTION("""COMPUTED_VALUE"""),"DEF: +125000")</f>
        <v>DEF: +125000</v>
      </c>
      <c r="G591" s="16">
        <f>IFERROR(__xludf.DUMMYFUNCTION("""COMPUTED_VALUE"""),3.1125E8)</f>
        <v>311250000</v>
      </c>
      <c r="H591" s="16"/>
      <c r="I591" s="16"/>
      <c r="J591" s="16"/>
      <c r="K591" s="16"/>
      <c r="L591" s="16"/>
      <c r="M591" s="16"/>
      <c r="N591" s="16"/>
      <c r="O591" s="16"/>
      <c r="P591" s="16"/>
      <c r="Q591" s="16"/>
      <c r="R591" s="16"/>
      <c r="S591" s="16"/>
      <c r="T591" s="16"/>
      <c r="U591" s="16"/>
      <c r="V591" s="16"/>
      <c r="W591" s="16"/>
      <c r="X591" s="16"/>
      <c r="Y591" s="16"/>
      <c r="Z591" s="16"/>
    </row>
    <row r="592">
      <c r="A592" s="16" t="str">
        <f>IFERROR(__xludf.DUMMYFUNCTION("""COMPUTED_VALUE"""),"Poison Master's Boots")</f>
        <v>Poison Master's Boots</v>
      </c>
      <c r="B592" s="16" t="str">
        <f>IFERROR(__xludf.DUMMYFUNCTION("""COMPUTED_VALUE"""),"The Armor of the Poison masters. Completely covers the bodies of the Poison master which has decayed beyond recognition from their continued usage of poison.")</f>
        <v>The Armor of the Poison masters. Completely covers the bodies of the Poison master which has decayed beyond recognition from their continued usage of poison.</v>
      </c>
      <c r="C592" s="16"/>
      <c r="D592" s="16" t="str">
        <f>IFERROR(__xludf.DUMMYFUNCTION("""COMPUTED_VALUE"""),"Feet")</f>
        <v>Feet</v>
      </c>
      <c r="E592" s="16">
        <f>IFERROR(__xludf.DUMMYFUNCTION("""COMPUTED_VALUE"""),2500.0)</f>
        <v>2500</v>
      </c>
      <c r="F592" s="16" t="str">
        <f>IFERROR(__xludf.DUMMYFUNCTION("""COMPUTED_VALUE"""),"DEF: +125000 ++When an enemy is Poisoned gain Haste 3")</f>
        <v>DEF: +125000 ++When an enemy is Poisoned gain Haste 3</v>
      </c>
      <c r="G592" s="16">
        <f>IFERROR(__xludf.DUMMYFUNCTION("""COMPUTED_VALUE"""),3.1125E8)</f>
        <v>311250000</v>
      </c>
      <c r="H592" s="16"/>
      <c r="I592" s="16"/>
      <c r="J592" s="16"/>
      <c r="K592" s="16"/>
      <c r="L592" s="16"/>
      <c r="M592" s="16"/>
      <c r="N592" s="16"/>
      <c r="O592" s="16"/>
      <c r="P592" s="16"/>
      <c r="Q592" s="16"/>
      <c r="R592" s="16"/>
      <c r="S592" s="16"/>
      <c r="T592" s="16"/>
      <c r="U592" s="16"/>
      <c r="V592" s="16"/>
      <c r="W592" s="16"/>
      <c r="X592" s="16"/>
      <c r="Y592" s="16"/>
      <c r="Z592" s="16"/>
    </row>
    <row r="593">
      <c r="A593" s="16" t="str">
        <f>IFERROR(__xludf.DUMMYFUNCTION("""COMPUTED_VALUE"""),"Ambusher's Cowl")</f>
        <v>Ambusher's Cowl</v>
      </c>
      <c r="B593" s="16" t="str">
        <f>IFERROR(__xludf.DUMMYFUNCTION("""COMPUTED_VALUE"""),"The armor of intermediate ninja's who have decided to pursue the art of the ambush to the extreme")</f>
        <v>The armor of intermediate ninja's who have decided to pursue the art of the ambush to the extreme</v>
      </c>
      <c r="C593" s="16"/>
      <c r="D593" s="16" t="str">
        <f>IFERROR(__xludf.DUMMYFUNCTION("""COMPUTED_VALUE"""),"Head")</f>
        <v>Head</v>
      </c>
      <c r="E593" s="16">
        <f>IFERROR(__xludf.DUMMYFUNCTION("""COMPUTED_VALUE"""),2500.0)</f>
        <v>2500</v>
      </c>
      <c r="F593" s="16" t="str">
        <f>IFERROR(__xludf.DUMMYFUNCTION("""COMPUTED_VALUE"""),"DEF: +125000 ++Conceal is Guaranteed to cast if the last action you took was a weapon attack")</f>
        <v>DEF: +125000 ++Conceal is Guaranteed to cast if the last action you took was a weapon attack</v>
      </c>
      <c r="G593" s="16">
        <f>IFERROR(__xludf.DUMMYFUNCTION("""COMPUTED_VALUE"""),3.1125E8)</f>
        <v>311250000</v>
      </c>
      <c r="H593" s="16"/>
      <c r="I593" s="16"/>
      <c r="J593" s="16"/>
      <c r="K593" s="16"/>
      <c r="L593" s="16"/>
      <c r="M593" s="16"/>
      <c r="N593" s="16"/>
      <c r="O593" s="16"/>
      <c r="P593" s="16"/>
      <c r="Q593" s="16"/>
      <c r="R593" s="16"/>
      <c r="S593" s="16"/>
      <c r="T593" s="16"/>
      <c r="U593" s="16"/>
      <c r="V593" s="16"/>
      <c r="W593" s="16"/>
      <c r="X593" s="16"/>
      <c r="Y593" s="16"/>
      <c r="Z593" s="16"/>
    </row>
    <row r="594">
      <c r="A594" s="16" t="str">
        <f>IFERROR(__xludf.DUMMYFUNCTION("""COMPUTED_VALUE"""),"Ambusher's Cape")</f>
        <v>Ambusher's Cape</v>
      </c>
      <c r="B594" s="16" t="str">
        <f>IFERROR(__xludf.DUMMYFUNCTION("""COMPUTED_VALUE"""),"The armor of intermediate ninja's who have decided to pursue the art of the ambush to the extreme")</f>
        <v>The armor of intermediate ninja's who have decided to pursue the art of the ambush to the extreme</v>
      </c>
      <c r="C594" s="16"/>
      <c r="D594" s="16" t="str">
        <f>IFERROR(__xludf.DUMMYFUNCTION("""COMPUTED_VALUE"""),"Shoulders")</f>
        <v>Shoulders</v>
      </c>
      <c r="E594" s="16">
        <f>IFERROR(__xludf.DUMMYFUNCTION("""COMPUTED_VALUE"""),2500.0)</f>
        <v>2500</v>
      </c>
      <c r="F594" s="16" t="str">
        <f>IFERROR(__xludf.DUMMYFUNCTION("""COMPUTED_VALUE"""),"DEF: +125000 ++Conceal: upon entering combat you are invulnerable for 1 round or until you attack")</f>
        <v>DEF: +125000 ++Conceal: upon entering combat you are invulnerable for 1 round or until you attack</v>
      </c>
      <c r="G594" s="16">
        <f>IFERROR(__xludf.DUMMYFUNCTION("""COMPUTED_VALUE"""),3.1125E8)</f>
        <v>311250000</v>
      </c>
      <c r="H594" s="16"/>
      <c r="I594" s="16"/>
      <c r="J594" s="16"/>
      <c r="K594" s="16"/>
      <c r="L594" s="16"/>
      <c r="M594" s="16"/>
      <c r="N594" s="16"/>
      <c r="O594" s="16"/>
      <c r="P594" s="16"/>
      <c r="Q594" s="16"/>
      <c r="R594" s="16"/>
      <c r="S594" s="16"/>
      <c r="T594" s="16"/>
      <c r="U594" s="16"/>
      <c r="V594" s="16"/>
      <c r="W594" s="16"/>
      <c r="X594" s="16"/>
      <c r="Y594" s="16"/>
      <c r="Z594" s="16"/>
    </row>
    <row r="595">
      <c r="A595" s="16" t="str">
        <f>IFERROR(__xludf.DUMMYFUNCTION("""COMPUTED_VALUE"""),"Ambusher's Vest")</f>
        <v>Ambusher's Vest</v>
      </c>
      <c r="B595" s="16" t="str">
        <f>IFERROR(__xludf.DUMMYFUNCTION("""COMPUTED_VALUE"""),"The armor of intermediate ninja's who have decided to pursue the art of the ambush to the extreme")</f>
        <v>The armor of intermediate ninja's who have decided to pursue the art of the ambush to the extreme</v>
      </c>
      <c r="C595" s="16"/>
      <c r="D595" s="16" t="str">
        <f>IFERROR(__xludf.DUMMYFUNCTION("""COMPUTED_VALUE"""),"Torso")</f>
        <v>Torso</v>
      </c>
      <c r="E595" s="16">
        <f>IFERROR(__xludf.DUMMYFUNCTION("""COMPUTED_VALUE"""),2500.0)</f>
        <v>2500</v>
      </c>
      <c r="F595" s="16" t="str">
        <f>IFERROR(__xludf.DUMMYFUNCTION("""COMPUTED_VALUE"""),"DEF: +125000 ++When breaking concealment deal X2 damage")</f>
        <v>DEF: +125000 ++When breaking concealment deal X2 damage</v>
      </c>
      <c r="G595" s="16">
        <f>IFERROR(__xludf.DUMMYFUNCTION("""COMPUTED_VALUE"""),3.1125E8)</f>
        <v>311250000</v>
      </c>
      <c r="H595" s="16"/>
      <c r="I595" s="16"/>
      <c r="J595" s="16"/>
      <c r="K595" s="16"/>
      <c r="L595" s="16"/>
      <c r="M595" s="16"/>
      <c r="N595" s="16"/>
      <c r="O595" s="16"/>
      <c r="P595" s="16"/>
      <c r="Q595" s="16"/>
      <c r="R595" s="16"/>
      <c r="S595" s="16"/>
      <c r="T595" s="16"/>
      <c r="U595" s="16"/>
      <c r="V595" s="16"/>
      <c r="W595" s="16"/>
      <c r="X595" s="16"/>
      <c r="Y595" s="16"/>
      <c r="Z595" s="16"/>
    </row>
    <row r="596">
      <c r="A596" s="16" t="str">
        <f>IFERROR(__xludf.DUMMYFUNCTION("""COMPUTED_VALUE"""),"Ambusher's Gloves")</f>
        <v>Ambusher's Gloves</v>
      </c>
      <c r="B596" s="16" t="str">
        <f>IFERROR(__xludf.DUMMYFUNCTION("""COMPUTED_VALUE"""),"The armor of intermediate ninja's who have decided to pursue the art of the ambush to the extreme")</f>
        <v>The armor of intermediate ninja's who have decided to pursue the art of the ambush to the extreme</v>
      </c>
      <c r="C596" s="16"/>
      <c r="D596" s="16" t="str">
        <f>IFERROR(__xludf.DUMMYFUNCTION("""COMPUTED_VALUE"""),"Arms")</f>
        <v>Arms</v>
      </c>
      <c r="E596" s="16">
        <f>IFERROR(__xludf.DUMMYFUNCTION("""COMPUTED_VALUE"""),2500.0)</f>
        <v>2500</v>
      </c>
      <c r="F596" s="16" t="str">
        <f>IFERROR(__xludf.DUMMYFUNCTION("""COMPUTED_VALUE"""),"DEF: +125000 ++X2 damage with knives, ++Knife ability is 3 times as likely to activate. +-Cannot be forged +-Cannot be duplicated")</f>
        <v>DEF: +125000 ++X2 damage with knives, ++Knife ability is 3 times as likely to activate. +-Cannot be forged +-Cannot be duplicated</v>
      </c>
      <c r="G596" s="16">
        <f>IFERROR(__xludf.DUMMYFUNCTION("""COMPUTED_VALUE"""),3.1125E8)</f>
        <v>311250000</v>
      </c>
      <c r="H596" s="16"/>
      <c r="I596" s="16"/>
      <c r="J596" s="16"/>
      <c r="K596" s="16"/>
      <c r="L596" s="16"/>
      <c r="M596" s="16"/>
      <c r="N596" s="16"/>
      <c r="O596" s="16"/>
      <c r="P596" s="16"/>
      <c r="Q596" s="16"/>
      <c r="R596" s="16"/>
      <c r="S596" s="16"/>
      <c r="T596" s="16"/>
      <c r="U596" s="16"/>
      <c r="V596" s="16"/>
      <c r="W596" s="16"/>
      <c r="X596" s="16"/>
      <c r="Y596" s="16"/>
      <c r="Z596" s="16"/>
    </row>
    <row r="597">
      <c r="A597" s="16" t="str">
        <f>IFERROR(__xludf.DUMMYFUNCTION("""COMPUTED_VALUE"""),"Ambusher's Sarouel")</f>
        <v>Ambusher's Sarouel</v>
      </c>
      <c r="B597" s="16" t="str">
        <f>IFERROR(__xludf.DUMMYFUNCTION("""COMPUTED_VALUE"""),"The armor of intermediate ninja's who have decided to pursue the art of the ambush to the extreme")</f>
        <v>The armor of intermediate ninja's who have decided to pursue the art of the ambush to the extreme</v>
      </c>
      <c r="C597" s="16"/>
      <c r="D597" s="16" t="str">
        <f>IFERROR(__xludf.DUMMYFUNCTION("""COMPUTED_VALUE"""),"Legs")</f>
        <v>Legs</v>
      </c>
      <c r="E597" s="16">
        <f>IFERROR(__xludf.DUMMYFUNCTION("""COMPUTED_VALUE"""),2500.0)</f>
        <v>2500</v>
      </c>
      <c r="F597" s="16" t="str">
        <f>IFERROR(__xludf.DUMMYFUNCTION("""COMPUTED_VALUE"""),"DEF: +125000 ++X2 damage with knives")</f>
        <v>DEF: +125000 ++X2 damage with knives</v>
      </c>
      <c r="G597" s="16">
        <f>IFERROR(__xludf.DUMMYFUNCTION("""COMPUTED_VALUE"""),3.1125E8)</f>
        <v>311250000</v>
      </c>
      <c r="H597" s="16"/>
      <c r="I597" s="16"/>
      <c r="J597" s="16"/>
      <c r="K597" s="16"/>
      <c r="L597" s="16"/>
      <c r="M597" s="16"/>
      <c r="N597" s="16"/>
      <c r="O597" s="16"/>
      <c r="P597" s="16"/>
      <c r="Q597" s="16"/>
      <c r="R597" s="16"/>
      <c r="S597" s="16"/>
      <c r="T597" s="16"/>
      <c r="U597" s="16"/>
      <c r="V597" s="16"/>
      <c r="W597" s="16"/>
      <c r="X597" s="16"/>
      <c r="Y597" s="16"/>
      <c r="Z597" s="16"/>
    </row>
    <row r="598">
      <c r="A598" s="16" t="str">
        <f>IFERROR(__xludf.DUMMYFUNCTION("""COMPUTED_VALUE"""),"Ambusher's Sandals")</f>
        <v>Ambusher's Sandals</v>
      </c>
      <c r="B598" s="16" t="str">
        <f>IFERROR(__xludf.DUMMYFUNCTION("""COMPUTED_VALUE"""),"The armor of intermediate ninja's who have decided to pursue the art of the ambush to the extreme")</f>
        <v>The armor of intermediate ninja's who have decided to pursue the art of the ambush to the extreme</v>
      </c>
      <c r="C598" s="16"/>
      <c r="D598" s="16" t="str">
        <f>IFERROR(__xludf.DUMMYFUNCTION("""COMPUTED_VALUE"""),"Feet")</f>
        <v>Feet</v>
      </c>
      <c r="E598" s="16">
        <f>IFERROR(__xludf.DUMMYFUNCTION("""COMPUTED_VALUE"""),2500.0)</f>
        <v>2500</v>
      </c>
      <c r="F598" s="16" t="str">
        <f>IFERROR(__xludf.DUMMYFUNCTION("""COMPUTED_VALUE"""),"DEF: +125000 ++When breaking concealment gain invigorate 5")</f>
        <v>DEF: +125000 ++When breaking concealment gain invigorate 5</v>
      </c>
      <c r="G598" s="16">
        <f>IFERROR(__xludf.DUMMYFUNCTION("""COMPUTED_VALUE"""),3.1125E8)</f>
        <v>311250000</v>
      </c>
      <c r="H598" s="16"/>
      <c r="I598" s="16"/>
      <c r="J598" s="16"/>
      <c r="K598" s="16"/>
      <c r="L598" s="16"/>
      <c r="M598" s="16"/>
      <c r="N598" s="16"/>
      <c r="O598" s="16"/>
      <c r="P598" s="16"/>
      <c r="Q598" s="16"/>
      <c r="R598" s="16"/>
      <c r="S598" s="16"/>
      <c r="T598" s="16"/>
      <c r="U598" s="16"/>
      <c r="V598" s="16"/>
      <c r="W598" s="16"/>
      <c r="X598" s="16"/>
      <c r="Y598" s="16"/>
      <c r="Z598" s="16"/>
    </row>
    <row r="599">
      <c r="A599" s="16" t="str">
        <f>IFERROR(__xludf.DUMMYFUNCTION("""COMPUTED_VALUE"""),"Blade of Ancestral Blood")</f>
        <v>Blade of Ancestral Blood</v>
      </c>
      <c r="B599" s="16" t="str">
        <f>IFERROR(__xludf.DUMMYFUNCTION("""COMPUTED_VALUE"""),"(Quest Item) This knife holds all the grief of Inugima, the man who turned his back on his clan and lived in grief for his decision until the day he died. The blade is stained red with the blood of Inugima's family and now is stained with his as well. It "&amp;"still seems to hold some special power and you guess it's story probably isn't over yet.")</f>
        <v>(Quest Item) This knife holds all the grief of Inugima, the man who turned his back on his clan and lived in grief for his decision until the day he died. The blade is stained red with the blood of Inugima's family and now is stained with his as well. It still seems to hold some special power and you guess it's story probably isn't over yet.</v>
      </c>
      <c r="C599" s="16" t="str">
        <f>IFERROR(__xludf.DUMMYFUNCTION("""COMPUTED_VALUE"""),"Knife")</f>
        <v>Knife</v>
      </c>
      <c r="D599" s="16" t="str">
        <f>IFERROR(__xludf.DUMMYFUNCTION("""COMPUTED_VALUE"""),"Hand")</f>
        <v>Hand</v>
      </c>
      <c r="E599" s="16">
        <f>IFERROR(__xludf.DUMMYFUNCTION("""COMPUTED_VALUE"""),200.0)</f>
        <v>200</v>
      </c>
      <c r="F599" s="16" t="str">
        <f>IFERROR(__xludf.DUMMYFUNCTION("""COMPUTED_VALUE"""),"DMG: +50000, Chaos DMG: +50000, Voodoo DMG: +50000, Blood DMG: +100000, Celestial DMG: +50000 (Knife) ++The Cursed Knife Forged in Blood: X4 blood damage. ++The Blood of the Backstabbed: When hitting an enemy from concealment you gain a further X4 blood d"&amp;"amage for the rest of battle and Invigorated 3. ++Repentance: Stab yourself and use your blood to attack you enemy dealing 100000 blood damage and 1000 bleed on hit 5000 hp +-Cannot be Duplicated")</f>
        <v>DMG: +50000, Chaos DMG: +50000, Voodoo DMG: +50000, Blood DMG: +100000, Celestial DMG: +50000 (Knife) ++The Cursed Knife Forged in Blood: X4 blood damage. ++The Blood of the Backstabbed: When hitting an enemy from concealment you gain a further X4 blood damage for the rest of battle and Invigorated 3. ++Repentance: Stab yourself and use your blood to attack you enemy dealing 100000 blood damage and 1000 bleed on hit 5000 hp +-Cannot be Duplicated</v>
      </c>
      <c r="G599" s="16">
        <f>IFERROR(__xludf.DUMMYFUNCTION("""COMPUTED_VALUE"""),1.797E9)</f>
        <v>1797000000</v>
      </c>
      <c r="H599" s="16"/>
      <c r="I599" s="16"/>
      <c r="J599" s="16"/>
      <c r="K599" s="16"/>
      <c r="L599" s="16"/>
      <c r="M599" s="16"/>
      <c r="N599" s="16"/>
      <c r="O599" s="16"/>
      <c r="P599" s="16"/>
      <c r="Q599" s="16"/>
      <c r="R599" s="16"/>
      <c r="S599" s="16"/>
      <c r="T599" s="16"/>
      <c r="U599" s="16"/>
      <c r="V599" s="16"/>
      <c r="W599" s="16"/>
      <c r="X599" s="16"/>
      <c r="Y599" s="16"/>
      <c r="Z599" s="16"/>
    </row>
    <row r="600">
      <c r="A600" s="16" t="str">
        <f>IFERROR(__xludf.DUMMYFUNCTION("""COMPUTED_VALUE"""),"Lunaris, Sword of The Moon")</f>
        <v>Lunaris, Sword of The Moon</v>
      </c>
      <c r="B600" s="16" t="str">
        <f>IFERROR(__xludf.DUMMYFUNCTION("""COMPUTED_VALUE"""),"(Quest Item) This blade, Bathed in the light of the fallen moon Goddess holds the power of the moon itself within, it was brought into being when a blade forged in the blood of those betrayed and broken by one they loved was brought to the once beautiful "&amp;"shrine of the betrayed Goddess where it was reformed with the power of the goddess's will and holds within it her wish to protect those around her.")</f>
        <v>(Quest Item) This blade, Bathed in the light of the fallen moon Goddess holds the power of the moon itself within, it was brought into being when a blade forged in the blood of those betrayed and broken by one they loved was brought to the once beautiful shrine of the betrayed Goddess where it was reformed with the power of the goddess's will and holds within it her wish to protect those around her.</v>
      </c>
      <c r="C600" s="16" t="str">
        <f>IFERROR(__xludf.DUMMYFUNCTION("""COMPUTED_VALUE"""),"Sword")</f>
        <v>Sword</v>
      </c>
      <c r="D600" s="16" t="str">
        <f>IFERROR(__xludf.DUMMYFUNCTION("""COMPUTED_VALUE"""),"Hand")</f>
        <v>Hand</v>
      </c>
      <c r="E600" s="16">
        <f>IFERROR(__xludf.DUMMYFUNCTION("""COMPUTED_VALUE"""),200.0)</f>
        <v>200</v>
      </c>
      <c r="F600" s="16" t="str">
        <f>IFERROR(__xludf.DUMMYFUNCTION("""COMPUTED_VALUE"""),"DEF: +200000, Light DEF: +100000, Astral DEF: +200000, Celestial DEF: +100000 (Sword) ++The Blade Blessed By The Stars Above: X6 Astral Damage and this blade uses it's defense as damage. ++To Protect Those You Love: When fighting with at least 2 allies de"&amp;"al X6 further damage with this weapon. ++Forgiveness: Raise your sword into the sky drowning the battlefield in the light of the moon no matter what time it is or where you are. This moonlight protects you and your allies granting you all X2 Defense and N"&amp;"ullifies all Dark and Chaos spells cast on the battlefield regardless of who casts them. +-Cannot be Duplicated")</f>
        <v>DEF: +200000, Light DEF: +100000, Astral DEF: +200000, Celestial DEF: +100000 (Sword) ++The Blade Blessed By The Stars Above: X6 Astral Damage and this blade uses it's defense as damage. ++To Protect Those You Love: When fighting with at least 2 allies deal X6 further damage with this weapon. ++Forgiveness: Raise your sword into the sky drowning the battlefield in the light of the moon no matter what time it is or where you are. This moonlight protects you and your allies granting you all X2 Defense and Nullifies all Dark and Chaos spells cast on the battlefield regardless of who casts them. +-Cannot be Duplicated</v>
      </c>
      <c r="G600" s="16">
        <f>IFERROR(__xludf.DUMMYFUNCTION("""COMPUTED_VALUE"""),7.194E9)</f>
        <v>7194000000</v>
      </c>
      <c r="H600" s="16"/>
      <c r="I600" s="16"/>
      <c r="J600" s="16"/>
      <c r="K600" s="16"/>
      <c r="L600" s="16"/>
      <c r="M600" s="16"/>
      <c r="N600" s="16"/>
      <c r="O600" s="16"/>
      <c r="P600" s="16"/>
      <c r="Q600" s="16"/>
      <c r="R600" s="16"/>
      <c r="S600" s="16"/>
      <c r="T600" s="16"/>
      <c r="U600" s="16"/>
      <c r="V600" s="16"/>
      <c r="W600" s="16"/>
      <c r="X600" s="16"/>
      <c r="Y600" s="16"/>
      <c r="Z600" s="16"/>
    </row>
    <row r="601">
      <c r="A601" s="16" t="str">
        <f>IFERROR(__xludf.DUMMYFUNCTION("""COMPUTED_VALUE"""),"Master Inugima's Cowl")</f>
        <v>Master Inugima's Cowl</v>
      </c>
      <c r="B601" s="16" t="str">
        <f>IFERROR(__xludf.DUMMYFUNCTION("""COMPUTED_VALUE"""),"Mob Exclusive")</f>
        <v>Mob Exclusive</v>
      </c>
      <c r="C601" s="16"/>
      <c r="D601" s="16" t="str">
        <f>IFERROR(__xludf.DUMMYFUNCTION("""COMPUTED_VALUE"""),"Head")</f>
        <v>Head</v>
      </c>
      <c r="E601" s="16">
        <f>IFERROR(__xludf.DUMMYFUNCTION("""COMPUTED_VALUE"""),1.0)</f>
        <v>1</v>
      </c>
      <c r="F601" s="16"/>
      <c r="G601" s="16">
        <f>IFERROR(__xludf.DUMMYFUNCTION("""COMPUTED_VALUE"""),0.0)</f>
        <v>0</v>
      </c>
      <c r="H601" s="16"/>
      <c r="I601" s="16"/>
      <c r="J601" s="16"/>
      <c r="K601" s="16"/>
      <c r="L601" s="16"/>
      <c r="M601" s="16"/>
      <c r="N601" s="16"/>
      <c r="O601" s="16"/>
      <c r="P601" s="16"/>
      <c r="Q601" s="16"/>
      <c r="R601" s="16"/>
      <c r="S601" s="16"/>
      <c r="T601" s="16"/>
      <c r="U601" s="16"/>
      <c r="V601" s="16"/>
      <c r="W601" s="16"/>
      <c r="X601" s="16"/>
      <c r="Y601" s="16"/>
      <c r="Z601" s="16"/>
    </row>
    <row r="602">
      <c r="A602" s="16" t="str">
        <f>IFERROR(__xludf.DUMMYFUNCTION("""COMPUTED_VALUE"""),"Master Inugima's Cape")</f>
        <v>Master Inugima's Cape</v>
      </c>
      <c r="B602" s="16" t="str">
        <f>IFERROR(__xludf.DUMMYFUNCTION("""COMPUTED_VALUE"""),"Mob Exclusive")</f>
        <v>Mob Exclusive</v>
      </c>
      <c r="C602" s="16"/>
      <c r="D602" s="16" t="str">
        <f>IFERROR(__xludf.DUMMYFUNCTION("""COMPUTED_VALUE"""),"Shoulders")</f>
        <v>Shoulders</v>
      </c>
      <c r="E602" s="16">
        <f>IFERROR(__xludf.DUMMYFUNCTION("""COMPUTED_VALUE"""),1.0)</f>
        <v>1</v>
      </c>
      <c r="F602" s="16"/>
      <c r="G602" s="16">
        <f>IFERROR(__xludf.DUMMYFUNCTION("""COMPUTED_VALUE"""),0.0)</f>
        <v>0</v>
      </c>
      <c r="H602" s="16"/>
      <c r="I602" s="16"/>
      <c r="J602" s="16"/>
      <c r="K602" s="16"/>
      <c r="L602" s="16"/>
      <c r="M602" s="16"/>
      <c r="N602" s="16"/>
      <c r="O602" s="16"/>
      <c r="P602" s="16"/>
      <c r="Q602" s="16"/>
      <c r="R602" s="16"/>
      <c r="S602" s="16"/>
      <c r="T602" s="16"/>
      <c r="U602" s="16"/>
      <c r="V602" s="16"/>
      <c r="W602" s="16"/>
      <c r="X602" s="16"/>
      <c r="Y602" s="16"/>
      <c r="Z602" s="16"/>
    </row>
    <row r="603">
      <c r="A603" s="16" t="str">
        <f>IFERROR(__xludf.DUMMYFUNCTION("""COMPUTED_VALUE"""),"Master Inugima's Cloak")</f>
        <v>Master Inugima's Cloak</v>
      </c>
      <c r="B603" s="16" t="str">
        <f>IFERROR(__xludf.DUMMYFUNCTION("""COMPUTED_VALUE"""),"Mob Exclusive")</f>
        <v>Mob Exclusive</v>
      </c>
      <c r="C603" s="16"/>
      <c r="D603" s="16" t="str">
        <f>IFERROR(__xludf.DUMMYFUNCTION("""COMPUTED_VALUE"""),"Torso")</f>
        <v>Torso</v>
      </c>
      <c r="E603" s="16">
        <f>IFERROR(__xludf.DUMMYFUNCTION("""COMPUTED_VALUE"""),1.0)</f>
        <v>1</v>
      </c>
      <c r="F603" s="16"/>
      <c r="G603" s="16">
        <f>IFERROR(__xludf.DUMMYFUNCTION("""COMPUTED_VALUE"""),0.0)</f>
        <v>0</v>
      </c>
      <c r="H603" s="16"/>
      <c r="I603" s="16"/>
      <c r="J603" s="16"/>
      <c r="K603" s="16"/>
      <c r="L603" s="16"/>
      <c r="M603" s="16"/>
      <c r="N603" s="16"/>
      <c r="O603" s="16"/>
      <c r="P603" s="16"/>
      <c r="Q603" s="16"/>
      <c r="R603" s="16"/>
      <c r="S603" s="16"/>
      <c r="T603" s="16"/>
      <c r="U603" s="16"/>
      <c r="V603" s="16"/>
      <c r="W603" s="16"/>
      <c r="X603" s="16"/>
      <c r="Y603" s="16"/>
      <c r="Z603" s="16"/>
    </row>
    <row r="604">
      <c r="A604" s="16" t="str">
        <f>IFERROR(__xludf.DUMMYFUNCTION("""COMPUTED_VALUE"""),"Master Inugima's Gloves")</f>
        <v>Master Inugima's Gloves</v>
      </c>
      <c r="B604" s="16" t="str">
        <f>IFERROR(__xludf.DUMMYFUNCTION("""COMPUTED_VALUE"""),"Mob Exclusive")</f>
        <v>Mob Exclusive</v>
      </c>
      <c r="C604" s="16"/>
      <c r="D604" s="16" t="str">
        <f>IFERROR(__xludf.DUMMYFUNCTION("""COMPUTED_VALUE"""),"Arms")</f>
        <v>Arms</v>
      </c>
      <c r="E604" s="16">
        <f>IFERROR(__xludf.DUMMYFUNCTION("""COMPUTED_VALUE"""),1.0)</f>
        <v>1</v>
      </c>
      <c r="F604" s="16"/>
      <c r="G604" s="16">
        <f>IFERROR(__xludf.DUMMYFUNCTION("""COMPUTED_VALUE"""),0.0)</f>
        <v>0</v>
      </c>
      <c r="H604" s="16"/>
      <c r="I604" s="16"/>
      <c r="J604" s="16"/>
      <c r="K604" s="16"/>
      <c r="L604" s="16"/>
      <c r="M604" s="16"/>
      <c r="N604" s="16"/>
      <c r="O604" s="16"/>
      <c r="P604" s="16"/>
      <c r="Q604" s="16"/>
      <c r="R604" s="16"/>
      <c r="S604" s="16"/>
      <c r="T604" s="16"/>
      <c r="U604" s="16"/>
      <c r="V604" s="16"/>
      <c r="W604" s="16"/>
      <c r="X604" s="16"/>
      <c r="Y604" s="16"/>
      <c r="Z604" s="16"/>
    </row>
    <row r="605">
      <c r="A605" s="16" t="str">
        <f>IFERROR(__xludf.DUMMYFUNCTION("""COMPUTED_VALUE"""),"Master Inugima's Sarouel")</f>
        <v>Master Inugima's Sarouel</v>
      </c>
      <c r="B605" s="16" t="str">
        <f>IFERROR(__xludf.DUMMYFUNCTION("""COMPUTED_VALUE"""),"Mob Exclusive")</f>
        <v>Mob Exclusive</v>
      </c>
      <c r="C605" s="16"/>
      <c r="D605" s="16" t="str">
        <f>IFERROR(__xludf.DUMMYFUNCTION("""COMPUTED_VALUE"""),"Legs")</f>
        <v>Legs</v>
      </c>
      <c r="E605" s="16">
        <f>IFERROR(__xludf.DUMMYFUNCTION("""COMPUTED_VALUE"""),1.0)</f>
        <v>1</v>
      </c>
      <c r="F605" s="16"/>
      <c r="G605" s="16">
        <f>IFERROR(__xludf.DUMMYFUNCTION("""COMPUTED_VALUE"""),0.0)</f>
        <v>0</v>
      </c>
      <c r="H605" s="16"/>
      <c r="I605" s="16"/>
      <c r="J605" s="16"/>
      <c r="K605" s="16"/>
      <c r="L605" s="16"/>
      <c r="M605" s="16"/>
      <c r="N605" s="16"/>
      <c r="O605" s="16"/>
      <c r="P605" s="16"/>
      <c r="Q605" s="16"/>
      <c r="R605" s="16"/>
      <c r="S605" s="16"/>
      <c r="T605" s="16"/>
      <c r="U605" s="16"/>
      <c r="V605" s="16"/>
      <c r="W605" s="16"/>
      <c r="X605" s="16"/>
      <c r="Y605" s="16"/>
      <c r="Z605" s="16"/>
    </row>
    <row r="606">
      <c r="A606" s="16" t="str">
        <f>IFERROR(__xludf.DUMMYFUNCTION("""COMPUTED_VALUE"""),"Master Inugima's Boots")</f>
        <v>Master Inugima's Boots</v>
      </c>
      <c r="B606" s="16" t="str">
        <f>IFERROR(__xludf.DUMMYFUNCTION("""COMPUTED_VALUE"""),"Mob Exclusive")</f>
        <v>Mob Exclusive</v>
      </c>
      <c r="C606" s="16"/>
      <c r="D606" s="16" t="str">
        <f>IFERROR(__xludf.DUMMYFUNCTION("""COMPUTED_VALUE"""),"Feet")</f>
        <v>Feet</v>
      </c>
      <c r="E606" s="16">
        <f>IFERROR(__xludf.DUMMYFUNCTION("""COMPUTED_VALUE"""),1.0)</f>
        <v>1</v>
      </c>
      <c r="F606" s="16"/>
      <c r="G606" s="16">
        <f>IFERROR(__xludf.DUMMYFUNCTION("""COMPUTED_VALUE"""),0.0)</f>
        <v>0</v>
      </c>
      <c r="H606" s="16"/>
      <c r="I606" s="16"/>
      <c r="J606" s="16"/>
      <c r="K606" s="16"/>
      <c r="L606" s="16"/>
      <c r="M606" s="16"/>
      <c r="N606" s="16"/>
      <c r="O606" s="16"/>
      <c r="P606" s="16"/>
      <c r="Q606" s="16"/>
      <c r="R606" s="16"/>
      <c r="S606" s="16"/>
      <c r="T606" s="16"/>
      <c r="U606" s="16"/>
      <c r="V606" s="16"/>
      <c r="W606" s="16"/>
      <c r="X606" s="16"/>
      <c r="Y606" s="16"/>
      <c r="Z606" s="16"/>
    </row>
    <row r="607">
      <c r="A607" s="16" t="str">
        <f>IFERROR(__xludf.DUMMYFUNCTION("""COMPUTED_VALUE"""),"Master Inugima's Ring")</f>
        <v>Master Inugima's Ring</v>
      </c>
      <c r="B607" s="16" t="str">
        <f>IFERROR(__xludf.DUMMYFUNCTION("""COMPUTED_VALUE"""),"Mob Exclusive")</f>
        <v>Mob Exclusive</v>
      </c>
      <c r="C607" s="16"/>
      <c r="D607" s="16" t="str">
        <f>IFERROR(__xludf.DUMMYFUNCTION("""COMPUTED_VALUE"""),"Finger")</f>
        <v>Finger</v>
      </c>
      <c r="E607" s="16">
        <f>IFERROR(__xludf.DUMMYFUNCTION("""COMPUTED_VALUE"""),1.0)</f>
        <v>1</v>
      </c>
      <c r="F607" s="16" t="str">
        <f>IFERROR(__xludf.DUMMYFUNCTION("""COMPUTED_VALUE""")," ++Grants Immunity being unable to act from any sources including sleep, stun, frozen, etc. +-Can only be equipped by Master Inugima Equipping this ring will devour the soul of he who equips it killing them permanently")</f>
        <v> ++Grants Immunity being unable to act from any sources including sleep, stun, frozen, etc. +-Can only be equipped by Master Inugima Equipping this ring will devour the soul of he who equips it killing them permanently</v>
      </c>
      <c r="G607" s="16">
        <f>IFERROR(__xludf.DUMMYFUNCTION("""COMPUTED_VALUE"""),0.0)</f>
        <v>0</v>
      </c>
      <c r="H607" s="16"/>
      <c r="I607" s="16"/>
      <c r="J607" s="16"/>
      <c r="K607" s="16"/>
      <c r="L607" s="16"/>
      <c r="M607" s="16"/>
      <c r="N607" s="16"/>
      <c r="O607" s="16"/>
      <c r="P607" s="16"/>
      <c r="Q607" s="16"/>
      <c r="R607" s="16"/>
      <c r="S607" s="16"/>
      <c r="T607" s="16"/>
      <c r="U607" s="16"/>
      <c r="V607" s="16"/>
      <c r="W607" s="16"/>
      <c r="X607" s="16"/>
      <c r="Y607" s="16"/>
      <c r="Z607" s="16"/>
    </row>
    <row r="608">
      <c r="A608" s="16" t="str">
        <f>IFERROR(__xludf.DUMMYFUNCTION("""COMPUTED_VALUE"""),"Master Inugima's Pendant")</f>
        <v>Master Inugima's Pendant</v>
      </c>
      <c r="B608" s="16" t="str">
        <f>IFERROR(__xludf.DUMMYFUNCTION("""COMPUTED_VALUE"""),"Mob Exclusive")</f>
        <v>Mob Exclusive</v>
      </c>
      <c r="C608" s="16"/>
      <c r="D608" s="16" t="str">
        <f>IFERROR(__xludf.DUMMYFUNCTION("""COMPUTED_VALUE"""),"Neck")</f>
        <v>Neck</v>
      </c>
      <c r="E608" s="16">
        <f>IFERROR(__xludf.DUMMYFUNCTION("""COMPUTED_VALUE"""),1.0)</f>
        <v>1</v>
      </c>
      <c r="F608" s="16"/>
      <c r="G608" s="16">
        <f>IFERROR(__xludf.DUMMYFUNCTION("""COMPUTED_VALUE"""),0.0)</f>
        <v>0</v>
      </c>
      <c r="H608" s="16"/>
      <c r="I608" s="16"/>
      <c r="J608" s="16"/>
      <c r="K608" s="16"/>
      <c r="L608" s="16"/>
      <c r="M608" s="16"/>
      <c r="N608" s="16"/>
      <c r="O608" s="16"/>
      <c r="P608" s="16"/>
      <c r="Q608" s="16"/>
      <c r="R608" s="16"/>
      <c r="S608" s="16"/>
      <c r="T608" s="16"/>
      <c r="U608" s="16"/>
      <c r="V608" s="16"/>
      <c r="W608" s="16"/>
      <c r="X608" s="16"/>
      <c r="Y608" s="16"/>
      <c r="Z608" s="16"/>
    </row>
    <row r="609">
      <c r="A609" s="16" t="str">
        <f>IFERROR(__xludf.DUMMYFUNCTION("""COMPUTED_VALUE"""),"Amulet of Giving")</f>
        <v>Amulet of Giving</v>
      </c>
      <c r="B609" s="16" t="str">
        <f>IFERROR(__xludf.DUMMYFUNCTION("""COMPUTED_VALUE"""),"Thanksgiving Event Item")</f>
        <v>Thanksgiving Event Item</v>
      </c>
      <c r="C609" s="16"/>
      <c r="D609" s="16" t="str">
        <f>IFERROR(__xludf.DUMMYFUNCTION("""COMPUTED_VALUE"""),"Neck")</f>
        <v>Neck</v>
      </c>
      <c r="E609" s="16">
        <f>IFERROR(__xludf.DUMMYFUNCTION("""COMPUTED_VALUE"""),1.0)</f>
        <v>1</v>
      </c>
      <c r="F609" s="16" t="str">
        <f>IFERROR(__xludf.DUMMYFUNCTION("""COMPUTED_VALUE""")," ++Allows you to give up your next turn turn to give a party member a second turn. +-one use per battle +-Cannot be duplicated.")</f>
        <v> ++Allows you to give up your next turn turn to give a party member a second turn. +-one use per battle +-Cannot be duplicated.</v>
      </c>
      <c r="G609" s="16">
        <f>IFERROR(__xludf.DUMMYFUNCTION("""COMPUTED_VALUE"""),0.0)</f>
        <v>0</v>
      </c>
      <c r="H609" s="16"/>
      <c r="I609" s="16"/>
      <c r="J609" s="16"/>
      <c r="K609" s="16"/>
      <c r="L609" s="16"/>
      <c r="M609" s="16"/>
      <c r="N609" s="16"/>
      <c r="O609" s="16"/>
      <c r="P609" s="16"/>
      <c r="Q609" s="16"/>
      <c r="R609" s="16"/>
      <c r="S609" s="16"/>
      <c r="T609" s="16"/>
      <c r="U609" s="16"/>
      <c r="V609" s="16"/>
      <c r="W609" s="16"/>
      <c r="X609" s="16"/>
      <c r="Y609" s="16"/>
      <c r="Z609" s="16"/>
    </row>
    <row r="610">
      <c r="A610" s="16" t="str">
        <f>IFERROR(__xludf.DUMMYFUNCTION("""COMPUTED_VALUE"""),"Pilgrim's Hat")</f>
        <v>Pilgrim's Hat</v>
      </c>
      <c r="B610" s="16" t="str">
        <f>IFERROR(__xludf.DUMMYFUNCTION("""COMPUTED_VALUE"""),"Thanksgiving Event Item")</f>
        <v>Thanksgiving Event Item</v>
      </c>
      <c r="C610" s="16"/>
      <c r="D610" s="16" t="str">
        <f>IFERROR(__xludf.DUMMYFUNCTION("""COMPUTED_VALUE"""),"Head")</f>
        <v>Head</v>
      </c>
      <c r="E610" s="16">
        <f>IFERROR(__xludf.DUMMYFUNCTION("""COMPUTED_VALUE"""),1.0)</f>
        <v>1</v>
      </c>
      <c r="F610" s="16" t="str">
        <f>IFERROR(__xludf.DUMMYFUNCTION("""COMPUTED_VALUE""")," ++Double the hunger, thirst, and energy you receive when consuming a consumable. +-Cannot be duplicated.")</f>
        <v> ++Double the hunger, thirst, and energy you receive when consuming a consumable. +-Cannot be duplicated.</v>
      </c>
      <c r="G610" s="16">
        <f>IFERROR(__xludf.DUMMYFUNCTION("""COMPUTED_VALUE"""),0.0)</f>
        <v>0</v>
      </c>
      <c r="H610" s="16"/>
      <c r="I610" s="16"/>
      <c r="J610" s="16"/>
      <c r="K610" s="16"/>
      <c r="L610" s="16"/>
      <c r="M610" s="16"/>
      <c r="N610" s="16"/>
      <c r="O610" s="16"/>
      <c r="P610" s="16"/>
      <c r="Q610" s="16"/>
      <c r="R610" s="16"/>
      <c r="S610" s="16"/>
      <c r="T610" s="16"/>
      <c r="U610" s="16"/>
      <c r="V610" s="16"/>
      <c r="W610" s="16"/>
      <c r="X610" s="16"/>
      <c r="Y610" s="16"/>
      <c r="Z610" s="16"/>
    </row>
    <row r="611">
      <c r="A611" s="16" t="str">
        <f>IFERROR(__xludf.DUMMYFUNCTION("""COMPUTED_VALUE"""),"Dragon Flute")</f>
        <v>Dragon Flute</v>
      </c>
      <c r="B611" s="16" t="str">
        <f>IFERROR(__xludf.DUMMYFUNCTION("""COMPUTED_VALUE"""),"A flute carved from dragon bone that exudes an enchanting aura when played. It is said that this flute was given as a gift to the dragonoids to signal peace between them and the dragons.")</f>
        <v>A flute carved from dragon bone that exudes an enchanting aura when played. It is said that this flute was given as a gift to the dragonoids to signal peace between them and the dragons.</v>
      </c>
      <c r="C611" s="16" t="str">
        <f>IFERROR(__xludf.DUMMYFUNCTION("""COMPUTED_VALUE"""),"Instrument")</f>
        <v>Instrument</v>
      </c>
      <c r="D611" s="16" t="str">
        <f>IFERROR(__xludf.DUMMYFUNCTION("""COMPUTED_VALUE"""),"Hand")</f>
        <v>Hand</v>
      </c>
      <c r="E611" s="16">
        <f>IFERROR(__xludf.DUMMYFUNCTION("""COMPUTED_VALUE"""),100.0)</f>
        <v>100</v>
      </c>
      <c r="F611" s="16" t="str">
        <f>IFERROR(__xludf.DUMMYFUNCTION("""COMPUTED_VALUE"""),", Acoustic DMG: +5000 ++Summons 1 of the following dragons with a d4 roll: Fire Dragon, Poison Dragon, Storm Dragon, Ancient Water Dragon, Level determined by dm/gm. +-one use per battle")</f>
        <v>, Acoustic DMG: +5000 ++Summons 1 of the following dragons with a d4 roll: Fire Dragon, Poison Dragon, Storm Dragon, Ancient Water Dragon, Level determined by dm/gm. +-one use per battle</v>
      </c>
      <c r="G611" s="16">
        <f>IFERROR(__xludf.DUMMYFUNCTION("""COMPUTED_VALUE"""),450000.0)</f>
        <v>450000</v>
      </c>
      <c r="H611" s="16"/>
      <c r="I611" s="16"/>
      <c r="J611" s="16"/>
      <c r="K611" s="16"/>
      <c r="L611" s="16"/>
      <c r="M611" s="16"/>
      <c r="N611" s="16"/>
      <c r="O611" s="16"/>
      <c r="P611" s="16"/>
      <c r="Q611" s="16"/>
      <c r="R611" s="16"/>
      <c r="S611" s="16"/>
      <c r="T611" s="16"/>
      <c r="U611" s="16"/>
      <c r="V611" s="16"/>
      <c r="W611" s="16"/>
      <c r="X611" s="16"/>
      <c r="Y611" s="16"/>
      <c r="Z611" s="16"/>
    </row>
    <row r="612">
      <c r="A612" s="16" t="str">
        <f>IFERROR(__xludf.DUMMYFUNCTION("""COMPUTED_VALUE"""),"Harbingers' Helm of the Unrestrained (Spira)")</f>
        <v>Harbingers' Helm of the Unrestrained (Spira)</v>
      </c>
      <c r="B612" s="16" t="str">
        <f>IFERROR(__xludf.DUMMYFUNCTION("""COMPUTED_VALUE"""),"The helmet is made of a dark steel which invades the weares mind, originally takes the appearance of a hood but becomes covers more of the wearers face and becomes more bestial looking as the wearer gives in to their insanity more and more.")</f>
        <v>The helmet is made of a dark steel which invades the weares mind, originally takes the appearance of a hood but becomes covers more of the wearers face and becomes more bestial looking as the wearer gives in to their insanity more and more.</v>
      </c>
      <c r="C612" s="16"/>
      <c r="D612" s="16" t="str">
        <f>IFERROR(__xludf.DUMMYFUNCTION("""COMPUTED_VALUE"""),"Head")</f>
        <v>Head</v>
      </c>
      <c r="E612" s="16">
        <f>IFERROR(__xludf.DUMMYFUNCTION("""COMPUTED_VALUE"""),200.0)</f>
        <v>200</v>
      </c>
      <c r="F612"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++Unbroken will - You become immune to all effects that would prevent you from taking your turn.")</f>
        <v>DEF: +50000, Fire DEF: +10000, Water DEF: +10000, Storm DEF: +10000, Earth DEF: +10000, Light DEF: +10000, Dark DEF: +10000, Spirit DEF: +10000, Order DEF: +10000, Chaos DEF: +10000, Nature DEF: +10000, Voodoo DEF: +10000, Blood DEF: +10000, Zen DEF: +10000, Astral DEF: +10000, Celestial DEF: +10000 ++Unbroken will - You become immune to all effects that would prevent you from taking your turn.</v>
      </c>
      <c r="G612" s="16">
        <f>IFERROR(__xludf.DUMMYFUNCTION("""COMPUTED_VALUE"""),7.98E8)</f>
        <v>798000000</v>
      </c>
      <c r="H612" s="16"/>
      <c r="I612" s="16"/>
      <c r="J612" s="16"/>
      <c r="K612" s="16"/>
      <c r="L612" s="16"/>
      <c r="M612" s="16"/>
      <c r="N612" s="16"/>
      <c r="O612" s="16"/>
      <c r="P612" s="16"/>
      <c r="Q612" s="16"/>
      <c r="R612" s="16"/>
      <c r="S612" s="16"/>
      <c r="T612" s="16"/>
      <c r="U612" s="16"/>
      <c r="V612" s="16"/>
      <c r="W612" s="16"/>
      <c r="X612" s="16"/>
      <c r="Y612" s="16"/>
      <c r="Z612" s="16"/>
    </row>
    <row r="613">
      <c r="A613" s="16" t="str">
        <f>IFERROR(__xludf.DUMMYFUNCTION("""COMPUTED_VALUE"""),"Harbingers' Shifting Pauldrons (Spira)")</f>
        <v>Harbingers' Shifting Pauldrons (Spira)</v>
      </c>
      <c r="B613" s="16" t="str">
        <f>IFERROR(__xludf.DUMMYFUNCTION("""COMPUTED_VALUE"""),"(Quest Item) This knife holds all the grief of Inugima, the man who turned his back on his clan and lived in grief for his descision until the day he died. The blade is stained red with the blood of Inugima's family and now is stained with his as well. It"&amp;" still seems to hold some special power and you guess it's story probably isn't over yet.")</f>
        <v>(Quest Item) This knife holds all the grief of Inugima, the man who turned his back on his clan and lived in grief for his descision until the day he died. The blade is stained red with the blood of Inugima's family and now is stained with his as well. It still seems to hold some special power and you guess it's story probably isn't over yet.</v>
      </c>
      <c r="C613" s="16"/>
      <c r="D613" s="16" t="str">
        <f>IFERROR(__xludf.DUMMYFUNCTION("""COMPUTED_VALUE"""),"Shoulders")</f>
        <v>Shoulders</v>
      </c>
      <c r="E613" s="16">
        <f>IFERROR(__xludf.DUMMYFUNCTION("""COMPUTED_VALUE"""),200.0)</f>
        <v>200</v>
      </c>
      <c r="F613"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++Adrenaline - Upon being hit with any attack gain 1 stack of Insanity.")</f>
        <v>DEF: +50000, Fire DEF: +10000, Water DEF: +10000, Storm DEF: +10000, Earth DEF: +10000, Light DEF: +10000, Dark DEF: +10000, Spirit DEF: +10000, Order DEF: +10000, Chaos DEF: +10000, Nature DEF: +10000, Voodoo DEF: +10000, Blood DEF: +10000, Zen DEF: +10000, Astral DEF: +10000, Celestial DEF: +10000 ++Adrenaline - Upon being hit with any attack gain 1 stack of Insanity.</v>
      </c>
      <c r="G613" s="16">
        <f>IFERROR(__xludf.DUMMYFUNCTION("""COMPUTED_VALUE"""),7.98E8)</f>
        <v>798000000</v>
      </c>
      <c r="H613" s="16"/>
      <c r="I613" s="16"/>
      <c r="J613" s="16"/>
      <c r="K613" s="16"/>
      <c r="L613" s="16"/>
      <c r="M613" s="16"/>
      <c r="N613" s="16"/>
      <c r="O613" s="16"/>
      <c r="P613" s="16"/>
      <c r="Q613" s="16"/>
      <c r="R613" s="16"/>
      <c r="S613" s="16"/>
      <c r="T613" s="16"/>
      <c r="U613" s="16"/>
      <c r="V613" s="16"/>
      <c r="W613" s="16"/>
      <c r="X613" s="16"/>
      <c r="Y613" s="16"/>
      <c r="Z613" s="16"/>
    </row>
    <row r="614">
      <c r="A614" s="16" t="str">
        <f>IFERROR(__xludf.DUMMYFUNCTION("""COMPUTED_VALUE"""),"Harbingers' Emblazoned Chest of The Encroaching Void (Spira)")</f>
        <v>Harbingers' Emblazoned Chest of The Encroaching Void (Spira)</v>
      </c>
      <c r="B614" s="16" t="str">
        <f>IFERROR(__xludf.DUMMYFUNCTION("""COMPUTED_VALUE"""),"The Harbinger's armor is made of a dark steel which drives its wearer progressively further whilst in combat. The armor takes the rage of its wearer and multiplies it tenfold whilst breaking off the subconscious limiters on a wearers strength.")</f>
        <v>The Harbinger's armor is made of a dark steel which drives its wearer progressively further whilst in combat. The armor takes the rage of its wearer and multiplies it tenfold whilst breaking off the subconscious limiters on a wearers strength.</v>
      </c>
      <c r="C614" s="16"/>
      <c r="D614" s="16" t="str">
        <f>IFERROR(__xludf.DUMMYFUNCTION("""COMPUTED_VALUE"""),"Torso")</f>
        <v>Torso</v>
      </c>
      <c r="E614" s="16">
        <f>IFERROR(__xludf.DUMMYFUNCTION("""COMPUTED_VALUE"""),200.0)</f>
        <v>200</v>
      </c>
      <c r="F614"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++Bloodlust - Upon targeting any enemy with an attack gain 2 stacks of insanity")</f>
        <v>DEF: +50000, Fire DEF: +10000, Water DEF: +10000, Storm DEF: +10000, Earth DEF: +10000, Light DEF: +10000, Dark DEF: +10000, Spirit DEF: +10000, Order DEF: +10000, Chaos DEF: +10000, Nature DEF: +10000, Voodoo DEF: +10000, Blood DEF: +10000, Zen DEF: +10000, Astral DEF: +10000, Celestial DEF: +10000 ++Bloodlust - Upon targeting any enemy with an attack gain 2 stacks of insanity</v>
      </c>
      <c r="G614" s="16">
        <f>IFERROR(__xludf.DUMMYFUNCTION("""COMPUTED_VALUE"""),7.98E8)</f>
        <v>798000000</v>
      </c>
      <c r="H614" s="16"/>
      <c r="I614" s="16"/>
      <c r="J614" s="16"/>
      <c r="K614" s="16"/>
      <c r="L614" s="16"/>
      <c r="M614" s="16"/>
      <c r="N614" s="16"/>
      <c r="O614" s="16"/>
      <c r="P614" s="16"/>
      <c r="Q614" s="16"/>
      <c r="R614" s="16"/>
      <c r="S614" s="16"/>
      <c r="T614" s="16"/>
      <c r="U614" s="16"/>
      <c r="V614" s="16"/>
      <c r="W614" s="16"/>
      <c r="X614" s="16"/>
      <c r="Y614" s="16"/>
      <c r="Z614" s="16"/>
    </row>
    <row r="615">
      <c r="A615" s="16" t="str">
        <f>IFERROR(__xludf.DUMMYFUNCTION("""COMPUTED_VALUE"""),"Harbingers' Broken Fettering (Spira)")</f>
        <v>Harbingers' Broken Fettering (Spira)</v>
      </c>
      <c r="B615" s="16" t="str">
        <f>IFERROR(__xludf.DUMMYFUNCTION("""COMPUTED_VALUE"""),"Some have witnessed how the wearers of this mythical armor seem completely unreactive to the pain and it is speculated that the armor itself temporarily cuts off all feelings of pain to keep the wearer fighting.")</f>
        <v>Some have witnessed how the wearers of this mythical armor seem completely unreactive to the pain and it is speculated that the armor itself temporarily cuts off all feelings of pain to keep the wearer fighting.</v>
      </c>
      <c r="C615" s="16"/>
      <c r="D615" s="16" t="str">
        <f>IFERROR(__xludf.DUMMYFUNCTION("""COMPUTED_VALUE"""),"Arms")</f>
        <v>Arms</v>
      </c>
      <c r="E615" s="16">
        <f>IFERROR(__xludf.DUMMYFUNCTION("""COMPUTED_VALUE"""),200.0)</f>
        <v>200</v>
      </c>
      <c r="F615"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++To Break From Your Shackles - You lash out cleaving your way through reality creating a small distortion dealing 500,000 delta damage to all enemies and allies and inflict Shuttering 5, requiring everyone to"&amp;" roll a fail or succeed roll to bind themselves to this plane or have a party member who succeeded use an action to help them, or if they fail 5 times they will be lost to the void forever, consumes 10 stacks of insanity to cast (Permadeath)(considered an"&amp;" instant death effect for purposes of immunity)")</f>
        <v>DEF: +50000, Fire DEF: +10000, Water DEF: +10000, Storm DEF: +10000, Earth DEF: +10000, Light DEF: +10000, Dark DEF: +10000, Spirit DEF: +10000, Order DEF: +10000, Chaos DEF: +10000, Nature DEF: +10000, Voodoo DEF: +10000, Blood DEF: +10000, Zen DEF: +10000, Astral DEF: +10000, Celestial DEF: +10000 ++To Break From Your Shackles - You lash out cleaving your way through reality creating a small distortion dealing 500,000 delta damage to all enemies and allies and inflict Shuttering 5, requiring everyone to roll a fail or succeed roll to bind themselves to this plane or have a party member who succeeded use an action to help them, or if they fail 5 times they will be lost to the void forever, consumes 10 stacks of insanity to cast (Permadeath)(considered an instant death effect for purposes of immunity)</v>
      </c>
      <c r="G615" s="16">
        <f>IFERROR(__xludf.DUMMYFUNCTION("""COMPUTED_VALUE"""),7.98E8)</f>
        <v>798000000</v>
      </c>
      <c r="H615" s="16"/>
      <c r="I615" s="16"/>
      <c r="J615" s="16"/>
      <c r="K615" s="16"/>
      <c r="L615" s="16"/>
      <c r="M615" s="16"/>
      <c r="N615" s="16"/>
      <c r="O615" s="16"/>
      <c r="P615" s="16"/>
      <c r="Q615" s="16"/>
      <c r="R615" s="16"/>
      <c r="S615" s="16"/>
      <c r="T615" s="16"/>
      <c r="U615" s="16"/>
      <c r="V615" s="16"/>
      <c r="W615" s="16"/>
      <c r="X615" s="16"/>
      <c r="Y615" s="16"/>
      <c r="Z615" s="16"/>
    </row>
    <row r="616">
      <c r="A616" s="16" t="str">
        <f>IFERROR(__xludf.DUMMYFUNCTION("""COMPUTED_VALUE"""),"Harbingers' Ethereal Chausses (Spira)")</f>
        <v>Harbingers' Ethereal Chausses (Spira)</v>
      </c>
      <c r="B616" s="16" t="str">
        <f>IFERROR(__xludf.DUMMYFUNCTION("""COMPUTED_VALUE"""),"Even with broken bones the armor will not allow the wearer to stop fighting, spikes will form from the armor piercing into the damaged limbs and letting the wearer continue controller these destroyed limbs via the armor itself.")</f>
        <v>Even with broken bones the armor will not allow the wearer to stop fighting, spikes will form from the armor piercing into the damaged limbs and letting the wearer continue controller these destroyed limbs via the armor itself.</v>
      </c>
      <c r="C616" s="16"/>
      <c r="D616" s="16" t="str">
        <f>IFERROR(__xludf.DUMMYFUNCTION("""COMPUTED_VALUE"""),"Legs")</f>
        <v>Legs</v>
      </c>
      <c r="E616" s="16">
        <f>IFERROR(__xludf.DUMMYFUNCTION("""COMPUTED_VALUE"""),200.0)</f>
        <v>200</v>
      </c>
      <c r="F616"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++Voidal Instinct - 50% chance to avoid all delta attacks and instant death effects
++To the Last Drop of Blood - Grants immunity to slowness.")</f>
        <v>DEF: +50000, Fire DEF: +10000, Water DEF: +10000, Storm DEF: +10000, Earth DEF: +10000, Light DEF: +10000, Dark DEF: +10000, Spirit DEF: +10000, Order DEF: +10000, Chaos DEF: +10000, Nature DEF: +10000, Voodoo DEF: +10000, Blood DEF: +10000, Zen DEF: +10000, Astral DEF: +10000, Celestial DEF: +10000 ++Voidal Instinct - 50% chance to avoid all delta attacks and instant death effects
++To the Last Drop of Blood - Grants immunity to slowness.</v>
      </c>
      <c r="G616" s="16">
        <f>IFERROR(__xludf.DUMMYFUNCTION("""COMPUTED_VALUE"""),7.98E8)</f>
        <v>798000000</v>
      </c>
      <c r="H616" s="16"/>
      <c r="I616" s="16"/>
      <c r="J616" s="16"/>
      <c r="K616" s="16"/>
      <c r="L616" s="16"/>
      <c r="M616" s="16"/>
      <c r="N616" s="16"/>
      <c r="O616" s="16"/>
      <c r="P616" s="16"/>
      <c r="Q616" s="16"/>
      <c r="R616" s="16"/>
      <c r="S616" s="16"/>
      <c r="T616" s="16"/>
      <c r="U616" s="16"/>
      <c r="V616" s="16"/>
      <c r="W616" s="16"/>
      <c r="X616" s="16"/>
      <c r="Y616" s="16"/>
      <c r="Z616" s="16"/>
    </row>
    <row r="617">
      <c r="A617" s="16" t="str">
        <f>IFERROR(__xludf.DUMMYFUNCTION("""COMPUTED_VALUE"""),"Harbingers' Spiked Sabatons (Spira)")</f>
        <v>Harbingers' Spiked Sabatons (Spira)</v>
      </c>
      <c r="B617" s="16"/>
      <c r="C617" s="16"/>
      <c r="D617" s="16" t="str">
        <f>IFERROR(__xludf.DUMMYFUNCTION("""COMPUTED_VALUE"""),"Feet")</f>
        <v>Feet</v>
      </c>
      <c r="E617" s="16">
        <f>IFERROR(__xludf.DUMMYFUNCTION("""COMPUTED_VALUE"""),200.0)</f>
        <v>200</v>
      </c>
      <c r="F617" s="16" t="str">
        <f>IFERROR(__xludf.DUMMYFUNCTION("""COMPUTED_VALUE"""),"DEF: +50000, Fire DEF: +10000, Water DEF: +10000, Storm DEF: +10000, Earth DEF: +10000, Light DEF: +10000, Dark DEF: +10000, Spirit DEF: +10000, Order DEF: +10000, Chaos DEF: +10000, Nature DEF: +10000, Voodoo DEF: +10000, Blood DEF: +10000, Zen DEF: +100"&amp;"00, Astral DEF: +10000, Celestial DEF: +10000 ++Leg Sweep - Strike at an opponent's legs making a hit or miss attack (adding mobility) on hit you knock the opponent to the ground inflicting them with slowness 3")</f>
        <v>DEF: +50000, Fire DEF: +10000, Water DEF: +10000, Storm DEF: +10000, Earth DEF: +10000, Light DEF: +10000, Dark DEF: +10000, Spirit DEF: +10000, Order DEF: +10000, Chaos DEF: +10000, Nature DEF: +10000, Voodoo DEF: +10000, Blood DEF: +10000, Zen DEF: +10000, Astral DEF: +10000, Celestial DEF: +10000 ++Leg Sweep - Strike at an opponent's legs making a hit or miss attack (adding mobility) on hit you knock the opponent to the ground inflicting them with slowness 3</v>
      </c>
      <c r="G617" s="16">
        <f>IFERROR(__xludf.DUMMYFUNCTION("""COMPUTED_VALUE"""),7.98E8)</f>
        <v>798000000</v>
      </c>
      <c r="H617" s="16"/>
      <c r="I617" s="16"/>
      <c r="J617" s="16"/>
      <c r="K617" s="16"/>
      <c r="L617" s="16"/>
      <c r="M617" s="16"/>
      <c r="N617" s="16"/>
      <c r="O617" s="16"/>
      <c r="P617" s="16"/>
      <c r="Q617" s="16"/>
      <c r="R617" s="16"/>
      <c r="S617" s="16"/>
      <c r="T617" s="16"/>
      <c r="U617" s="16"/>
      <c r="V617" s="16"/>
      <c r="W617" s="16"/>
      <c r="X617" s="16"/>
      <c r="Y617" s="16"/>
      <c r="Z617" s="16"/>
    </row>
    <row r="618">
      <c r="A618" s="16" t="str">
        <f>IFERROR(__xludf.DUMMYFUNCTION("""COMPUTED_VALUE"""),"Harbingers' Vow (Spira)")</f>
        <v>Harbingers' Vow (Spira)</v>
      </c>
      <c r="B618" s="16"/>
      <c r="C618" s="16"/>
      <c r="D618" s="16" t="str">
        <f>IFERROR(__xludf.DUMMYFUNCTION("""COMPUTED_VALUE"""),"Finger")</f>
        <v>Finger</v>
      </c>
      <c r="E618" s="16">
        <f>IFERROR(__xludf.DUMMYFUNCTION("""COMPUTED_VALUE"""),1.0)</f>
        <v>1</v>
      </c>
      <c r="F618" s="16" t="str">
        <f>IFERROR(__xludf.DUMMYFUNCTION("""COMPUTED_VALUE""")," ++Pervading Madness - at the start of each of your turns flip a coin with heads being 1 and tails being 2 or roll a d2, gain that many stacks of insanity")</f>
        <v> ++Pervading Madness - at the start of each of your turns flip a coin with heads being 1 and tails being 2 or roll a d2, gain that many stacks of insanity</v>
      </c>
      <c r="G618" s="16">
        <f>IFERROR(__xludf.DUMMYFUNCTION("""COMPUTED_VALUE"""),0.0)</f>
        <v>0</v>
      </c>
      <c r="H618" s="16"/>
      <c r="I618" s="16"/>
      <c r="J618" s="16"/>
      <c r="K618" s="16"/>
      <c r="L618" s="16"/>
      <c r="M618" s="16"/>
      <c r="N618" s="16"/>
      <c r="O618" s="16"/>
      <c r="P618" s="16"/>
      <c r="Q618" s="16"/>
      <c r="R618" s="16"/>
      <c r="S618" s="16"/>
      <c r="T618" s="16"/>
      <c r="U618" s="16"/>
      <c r="V618" s="16"/>
      <c r="W618" s="16"/>
      <c r="X618" s="16"/>
      <c r="Y618" s="16"/>
      <c r="Z618" s="16"/>
    </row>
    <row r="619">
      <c r="A619" s="16" t="str">
        <f>IFERROR(__xludf.DUMMYFUNCTION("""COMPUTED_VALUE"""),"Harbingers' Resolve (Spira)")</f>
        <v>Harbingers' Resolve (Spira)</v>
      </c>
      <c r="B619" s="16"/>
      <c r="C619" s="16"/>
      <c r="D619" s="16" t="str">
        <f>IFERROR(__xludf.DUMMYFUNCTION("""COMPUTED_VALUE"""),"Neck")</f>
        <v>Neck</v>
      </c>
      <c r="E619" s="16">
        <f>IFERROR(__xludf.DUMMYFUNCTION("""COMPUTED_VALUE"""),1.0)</f>
        <v>1</v>
      </c>
      <c r="F619" s="16" t="str">
        <f>IFERROR(__xludf.DUMMYFUNCTION("""COMPUTED_VALUE""")," ++To the Death! - Upon taking lethal damage resist it with 1 hp and gain 10 stacks of insanity (once per battle)")</f>
        <v> ++To the Death! - Upon taking lethal damage resist it with 1 hp and gain 10 stacks of insanity (once per battle)</v>
      </c>
      <c r="G619" s="16">
        <f>IFERROR(__xludf.DUMMYFUNCTION("""COMPUTED_VALUE"""),0.0)</f>
        <v>0</v>
      </c>
      <c r="H619" s="16"/>
      <c r="I619" s="16"/>
      <c r="J619" s="16"/>
      <c r="K619" s="16"/>
      <c r="L619" s="16"/>
      <c r="M619" s="16"/>
      <c r="N619" s="16"/>
      <c r="O619" s="16"/>
      <c r="P619" s="16"/>
      <c r="Q619" s="16"/>
      <c r="R619" s="16"/>
      <c r="S619" s="16"/>
      <c r="T619" s="16"/>
      <c r="U619" s="16"/>
      <c r="V619" s="16"/>
      <c r="W619" s="16"/>
      <c r="X619" s="16"/>
      <c r="Y619" s="16"/>
      <c r="Z619" s="16"/>
    </row>
    <row r="620">
      <c r="A620" s="16" t="str">
        <f>IFERROR(__xludf.DUMMYFUNCTION("""COMPUTED_VALUE"""),"Harbingers' Fist of Iron (Spira)")</f>
        <v>Harbingers' Fist of Iron (Spira)</v>
      </c>
      <c r="B620" s="16"/>
      <c r="C620" s="16" t="str">
        <f>IFERROR(__xludf.DUMMYFUNCTION("""COMPUTED_VALUE"""),"Gauntlet")</f>
        <v>Gauntlet</v>
      </c>
      <c r="D620" s="16" t="str">
        <f>IFERROR(__xludf.DUMMYFUNCTION("""COMPUTED_VALUE"""),"Hand")</f>
        <v>Hand</v>
      </c>
      <c r="E620" s="16">
        <f>IFERROR(__xludf.DUMMYFUNCTION("""COMPUTED_VALUE"""),200.0)</f>
        <v>200</v>
      </c>
      <c r="F620" s="16" t="str">
        <f>IFERROR(__xludf.DUMMYFUNCTION("""COMPUTED_VALUE"""),"DEF: +50000, Celestial DEF: +50000 ++One fist of Iron -  When attacking with this weapon you can choose to attack with the Harbingers' Claw of Steel in the same action. ++Throat Grab - make a hit or miss attack to prevent an enemy from acting on their tur"&amp;"n as long as they remain grappled. To break free from the grapple the enemy must roll evasion to attempt to break free from your grasp at the end of each of your turns. ++20% chance to remove enemy from battle")</f>
        <v>DEF: +50000, Celestial DEF: +50000 ++One fist of Iron -  When attacking with this weapon you can choose to attack with the Harbingers' Claw of Steel in the same action. ++Throat Grab - make a hit or miss attack to prevent an enemy from acting on their turn as long as they remain grappled. To break free from the grapple the enemy must roll evasion to attempt to break free from your grasp at the end of each of your turns. ++20% chance to remove enemy from battle</v>
      </c>
      <c r="G620" s="16">
        <f>IFERROR(__xludf.DUMMYFUNCTION("""COMPUTED_VALUE"""),1.99E8)</f>
        <v>199000000</v>
      </c>
      <c r="H620" s="16"/>
      <c r="I620" s="16"/>
      <c r="J620" s="16"/>
      <c r="K620" s="16"/>
      <c r="L620" s="16"/>
      <c r="M620" s="16"/>
      <c r="N620" s="16"/>
      <c r="O620" s="16"/>
      <c r="P620" s="16"/>
      <c r="Q620" s="16"/>
      <c r="R620" s="16"/>
      <c r="S620" s="16"/>
      <c r="T620" s="16"/>
      <c r="U620" s="16"/>
      <c r="V620" s="16"/>
      <c r="W620" s="16"/>
      <c r="X620" s="16"/>
      <c r="Y620" s="16"/>
      <c r="Z620" s="16"/>
    </row>
    <row r="621">
      <c r="A621" s="16" t="str">
        <f>IFERROR(__xludf.DUMMYFUNCTION("""COMPUTED_VALUE"""),"Harbingers' Claw of Steel (Spira)")</f>
        <v>Harbingers' Claw of Steel (Spira)</v>
      </c>
      <c r="B621" s="16"/>
      <c r="C621" s="16" t="str">
        <f>IFERROR(__xludf.DUMMYFUNCTION("""COMPUTED_VALUE"""),"Claw")</f>
        <v>Claw</v>
      </c>
      <c r="D621" s="16" t="str">
        <f>IFERROR(__xludf.DUMMYFUNCTION("""COMPUTED_VALUE"""),"Hand")</f>
        <v>Hand</v>
      </c>
      <c r="E621" s="16">
        <f>IFERROR(__xludf.DUMMYFUNCTION("""COMPUTED_VALUE"""),200.0)</f>
        <v>200</v>
      </c>
      <c r="F621" s="16" t="str">
        <f>IFERROR(__xludf.DUMMYFUNCTION("""COMPUTED_VALUE"""),"DMG: +50000, Delta DMG: +25000, Celestial DMG: +25000 ++And Another of Steel - When attacking with this weapon you can choose to attack with the Harbingers' Fist of Iron in the same action. ++Elemental Rend - inflicts 1000 damage per round of each element"&amp;" (Excluding Acoustic, Zen, Time, Physical, Melee, and Ranged) when attacking an enemy ++Maddening Blows - targeting an enemy with this weapon inflicts you with 1 stack of insanity")</f>
        <v>DMG: +50000, Delta DMG: +25000, Celestial DMG: +25000 ++And Another of Steel - When attacking with this weapon you can choose to attack with the Harbingers' Fist of Iron in the same action. ++Elemental Rend - inflicts 1000 damage per round of each element (Excluding Acoustic, Zen, Time, Physical, Melee, and Ranged) when attacking an enemy ++Maddening Blows - targeting an enemy with this weapon inflicts you with 1 stack of insanity</v>
      </c>
      <c r="G621" s="16">
        <f>IFERROR(__xludf.DUMMYFUNCTION("""COMPUTED_VALUE"""),1.99E8)</f>
        <v>199000000</v>
      </c>
      <c r="H621" s="16"/>
      <c r="I621" s="16"/>
      <c r="J621" s="16"/>
      <c r="K621" s="16"/>
      <c r="L621" s="16"/>
      <c r="M621" s="16"/>
      <c r="N621" s="16"/>
      <c r="O621" s="16"/>
      <c r="P621" s="16"/>
      <c r="Q621" s="16"/>
      <c r="R621" s="16"/>
      <c r="S621" s="16"/>
      <c r="T621" s="16"/>
      <c r="U621" s="16"/>
      <c r="V621" s="16"/>
      <c r="W621" s="16"/>
      <c r="X621" s="16"/>
      <c r="Y621" s="16"/>
      <c r="Z621" s="16"/>
    </row>
    <row r="622">
      <c r="A622" s="16" t="str">
        <f>IFERROR(__xludf.DUMMYFUNCTION("""COMPUTED_VALUE"""),"Eagles Claw")</f>
        <v>Eagles Claw</v>
      </c>
      <c r="B622" s="16"/>
      <c r="C622" s="16" t="str">
        <f>IFERROR(__xludf.DUMMYFUNCTION("""COMPUTED_VALUE"""),"Claw")</f>
        <v>Claw</v>
      </c>
      <c r="D622" s="16" t="str">
        <f>IFERROR(__xludf.DUMMYFUNCTION("""COMPUTED_VALUE"""),"Hand")</f>
        <v>Hand</v>
      </c>
      <c r="E622" s="16">
        <f>IFERROR(__xludf.DUMMYFUNCTION("""COMPUTED_VALUE"""),200.0)</f>
        <v>200</v>
      </c>
      <c r="F622" s="16" t="str">
        <f>IFERROR(__xludf.DUMMYFUNCTION("""COMPUTED_VALUE"""),"DMG: +10000 ++Eagles Removal - 20% Chance to remove the target from battle. ")</f>
        <v>DMG: +10000 ++Eagles Removal - 20% Chance to remove the target from battle. </v>
      </c>
      <c r="G622" s="16">
        <f>IFERROR(__xludf.DUMMYFUNCTION("""COMPUTED_VALUE"""),1900000.0)</f>
        <v>1900000</v>
      </c>
      <c r="H622" s="16"/>
      <c r="I622" s="16"/>
      <c r="J622" s="16"/>
      <c r="K622" s="16"/>
      <c r="L622" s="16"/>
      <c r="M622" s="16"/>
      <c r="N622" s="16"/>
      <c r="O622" s="16"/>
      <c r="P622" s="16"/>
      <c r="Q622" s="16"/>
      <c r="R622" s="16"/>
      <c r="S622" s="16"/>
      <c r="T622" s="16"/>
      <c r="U622" s="16"/>
      <c r="V622" s="16"/>
      <c r="W622" s="16"/>
      <c r="X622" s="16"/>
      <c r="Y622" s="16"/>
      <c r="Z622" s="16"/>
    </row>
    <row r="623">
      <c r="A623" s="16" t="str">
        <f>IFERROR(__xludf.DUMMYFUNCTION("""COMPUTED_VALUE"""),"Golden Gauntlet")</f>
        <v>Golden Gauntlet</v>
      </c>
      <c r="B623" s="16"/>
      <c r="C623" s="16" t="str">
        <f>IFERROR(__xludf.DUMMYFUNCTION("""COMPUTED_VALUE"""),"Gauntlet")</f>
        <v>Gauntlet</v>
      </c>
      <c r="D623" s="16" t="str">
        <f>IFERROR(__xludf.DUMMYFUNCTION("""COMPUTED_VALUE"""),"Hand")</f>
        <v>Hand</v>
      </c>
      <c r="E623" s="16">
        <f>IFERROR(__xludf.DUMMYFUNCTION("""COMPUTED_VALUE"""),200.0)</f>
        <v>200</v>
      </c>
      <c r="F623" s="16" t="str">
        <f>IFERROR(__xludf.DUMMYFUNCTION("""COMPUTED_VALUE"""),"DMG: +5000, Light DMG: +2500, Order DMG: +2500")</f>
        <v>DMG: +5000, Light DMG: +2500, Order DMG: +2500</v>
      </c>
      <c r="G623" s="16">
        <f>IFERROR(__xludf.DUMMYFUNCTION("""COMPUTED_VALUE"""),1900000.0)</f>
        <v>1900000</v>
      </c>
      <c r="H623" s="16"/>
      <c r="I623" s="16"/>
      <c r="J623" s="16"/>
      <c r="K623" s="16"/>
      <c r="L623" s="16"/>
      <c r="M623" s="16"/>
      <c r="N623" s="16"/>
      <c r="O623" s="16"/>
      <c r="P623" s="16"/>
      <c r="Q623" s="16"/>
      <c r="R623" s="16"/>
      <c r="S623" s="16"/>
      <c r="T623" s="16"/>
      <c r="U623" s="16"/>
      <c r="V623" s="16"/>
      <c r="W623" s="16"/>
      <c r="X623" s="16"/>
      <c r="Y623" s="16"/>
      <c r="Z623" s="16"/>
    </row>
    <row r="624">
      <c r="A624" s="16" t="str">
        <f>IFERROR(__xludf.DUMMYFUNCTION("""COMPUTED_VALUE"""),"Hand Crossbow")</f>
        <v>Hand Crossbow</v>
      </c>
      <c r="B624" s="16"/>
      <c r="C624" s="16" t="str">
        <f>IFERROR(__xludf.DUMMYFUNCTION("""COMPUTED_VALUE"""),"Bow")</f>
        <v>Bow</v>
      </c>
      <c r="D624" s="16" t="str">
        <f>IFERROR(__xludf.DUMMYFUNCTION("""COMPUTED_VALUE"""),"Hand")</f>
        <v>Hand</v>
      </c>
      <c r="E624" s="16">
        <f>IFERROR(__xludf.DUMMYFUNCTION("""COMPUTED_VALUE"""),200.0)</f>
        <v>200</v>
      </c>
      <c r="F624" s="16" t="str">
        <f>IFERROR(__xludf.DUMMYFUNCTION("""COMPUTED_VALUE"""),"DMG: +10000")</f>
        <v>DMG: +10000</v>
      </c>
      <c r="G624" s="16">
        <f>IFERROR(__xludf.DUMMYFUNCTION("""COMPUTED_VALUE"""),1900000.0)</f>
        <v>1900000</v>
      </c>
      <c r="H624" s="16"/>
      <c r="I624" s="16"/>
      <c r="J624" s="16"/>
      <c r="K624" s="16"/>
      <c r="L624" s="16"/>
      <c r="M624" s="16"/>
      <c r="N624" s="16"/>
      <c r="O624" s="16"/>
      <c r="P624" s="16"/>
      <c r="Q624" s="16"/>
      <c r="R624" s="16"/>
      <c r="S624" s="16"/>
      <c r="T624" s="16"/>
      <c r="U624" s="16"/>
      <c r="V624" s="16"/>
      <c r="W624" s="16"/>
      <c r="X624" s="16"/>
      <c r="Y624" s="16"/>
      <c r="Z624" s="16"/>
    </row>
    <row r="625">
      <c r="A625" s="16" t="str">
        <f>IFERROR(__xludf.DUMMYFUNCTION("""COMPUTED_VALUE"""),"Flintlock Pistol")</f>
        <v>Flintlock Pistol</v>
      </c>
      <c r="B625" s="16"/>
      <c r="C625" s="16" t="str">
        <f>IFERROR(__xludf.DUMMYFUNCTION("""COMPUTED_VALUE"""),"Firearm")</f>
        <v>Firearm</v>
      </c>
      <c r="D625" s="16" t="str">
        <f>IFERROR(__xludf.DUMMYFUNCTION("""COMPUTED_VALUE"""),"Hand")</f>
        <v>Hand</v>
      </c>
      <c r="E625" s="16">
        <f>IFERROR(__xludf.DUMMYFUNCTION("""COMPUTED_VALUE"""),200.0)</f>
        <v>200</v>
      </c>
      <c r="F625" s="16" t="str">
        <f>IFERROR(__xludf.DUMMYFUNCTION("""COMPUTED_VALUE"""),"DMG: +10000")</f>
        <v>DMG: +10000</v>
      </c>
      <c r="G625" s="16">
        <f>IFERROR(__xludf.DUMMYFUNCTION("""COMPUTED_VALUE"""),1900000.0)</f>
        <v>1900000</v>
      </c>
      <c r="H625" s="16"/>
      <c r="I625" s="16"/>
      <c r="J625" s="16"/>
      <c r="K625" s="16"/>
      <c r="L625" s="16"/>
      <c r="M625" s="16"/>
      <c r="N625" s="16"/>
      <c r="O625" s="16"/>
      <c r="P625" s="16"/>
      <c r="Q625" s="16"/>
      <c r="R625" s="16"/>
      <c r="S625" s="16"/>
      <c r="T625" s="16"/>
      <c r="U625" s="16"/>
      <c r="V625" s="16"/>
      <c r="W625" s="16"/>
      <c r="X625" s="16"/>
      <c r="Y625" s="16"/>
      <c r="Z625" s="16"/>
    </row>
    <row r="626">
      <c r="A626" s="16" t="str">
        <f>IFERROR(__xludf.DUMMYFUNCTION("""COMPUTED_VALUE"""),"Head of Gévaudan")</f>
        <v>Head of Gévaudan</v>
      </c>
      <c r="B626" s="16"/>
      <c r="C626" s="16"/>
      <c r="D626" s="16" t="str">
        <f>IFERROR(__xludf.DUMMYFUNCTION("""COMPUTED_VALUE"""),"Head")</f>
        <v>Head</v>
      </c>
      <c r="E626" s="16">
        <f>IFERROR(__xludf.DUMMYFUNCTION("""COMPUTED_VALUE"""),200.0)</f>
        <v>200</v>
      </c>
      <c r="F626" s="16" t="str">
        <f>IFERROR(__xludf.DUMMYFUNCTION("""COMPUTED_VALUE"""),"DEF: +10000 ++ +5 to intimidation, ++Soul Shake: Allows to cast ""Shaken Soul""")</f>
        <v>DEF: +10000 ++ +5 to intimidation, ++Soul Shake: Allows to cast "Shaken Soul"</v>
      </c>
      <c r="G626" s="16">
        <f>IFERROR(__xludf.DUMMYFUNCTION("""COMPUTED_VALUE"""),1900000.0)</f>
        <v>1900000</v>
      </c>
      <c r="H626" s="16"/>
      <c r="I626" s="16"/>
      <c r="J626" s="16"/>
      <c r="K626" s="16"/>
      <c r="L626" s="16"/>
      <c r="M626" s="16"/>
      <c r="N626" s="16"/>
      <c r="O626" s="16"/>
      <c r="P626" s="16"/>
      <c r="Q626" s="16"/>
      <c r="R626" s="16"/>
      <c r="S626" s="16"/>
      <c r="T626" s="16"/>
      <c r="U626" s="16"/>
      <c r="V626" s="16"/>
      <c r="W626" s="16"/>
      <c r="X626" s="16"/>
      <c r="Y626" s="16"/>
      <c r="Z626" s="16"/>
    </row>
    <row r="627">
      <c r="A627" s="16" t="str">
        <f>IFERROR(__xludf.DUMMYFUNCTION("""COMPUTED_VALUE"""),"Phantasmal Scythe")</f>
        <v>Phantasmal Scythe</v>
      </c>
      <c r="B627" s="16"/>
      <c r="C627" s="16" t="str">
        <f>IFERROR(__xludf.DUMMYFUNCTION("""COMPUTED_VALUE"""),"Scythe")</f>
        <v>Scythe</v>
      </c>
      <c r="D627" s="16" t="str">
        <f>IFERROR(__xludf.DUMMYFUNCTION("""COMPUTED_VALUE"""),"Hand")</f>
        <v>Hand</v>
      </c>
      <c r="E627" s="16">
        <f>IFERROR(__xludf.DUMMYFUNCTION("""COMPUTED_VALUE"""),1000.0)</f>
        <v>1000</v>
      </c>
      <c r="F627" s="16" t="str">
        <f>IFERROR(__xludf.DUMMYFUNCTION("""COMPUTED_VALUE"""),", Spirit DMG: +50000")</f>
        <v>, Spirit DMG: +50000</v>
      </c>
      <c r="G627" s="16">
        <f>IFERROR(__xludf.DUMMYFUNCTION("""COMPUTED_VALUE"""),4.95E7)</f>
        <v>49500000</v>
      </c>
      <c r="H627" s="16"/>
      <c r="I627" s="16"/>
      <c r="J627" s="16"/>
      <c r="K627" s="16"/>
      <c r="L627" s="16"/>
      <c r="M627" s="16"/>
      <c r="N627" s="16"/>
      <c r="O627" s="16"/>
      <c r="P627" s="16"/>
      <c r="Q627" s="16"/>
      <c r="R627" s="16"/>
      <c r="S627" s="16"/>
      <c r="T627" s="16"/>
      <c r="U627" s="16"/>
      <c r="V627" s="16"/>
      <c r="W627" s="16"/>
      <c r="X627" s="16"/>
      <c r="Y627" s="16"/>
      <c r="Z627" s="16"/>
    </row>
    <row r="628">
      <c r="A628" s="16" t="str">
        <f>IFERROR(__xludf.DUMMYFUNCTION("""COMPUTED_VALUE"""),"Piranha Tooth Dagger")</f>
        <v>Piranha Tooth Dagger</v>
      </c>
      <c r="B628" s="16"/>
      <c r="C628" s="16" t="str">
        <f>IFERROR(__xludf.DUMMYFUNCTION("""COMPUTED_VALUE"""),"Knife")</f>
        <v>Knife</v>
      </c>
      <c r="D628" s="16" t="str">
        <f>IFERROR(__xludf.DUMMYFUNCTION("""COMPUTED_VALUE"""),"Hand")</f>
        <v>Hand</v>
      </c>
      <c r="E628" s="16">
        <f>IFERROR(__xludf.DUMMYFUNCTION("""COMPUTED_VALUE"""),10.0)</f>
        <v>10</v>
      </c>
      <c r="F628" s="16" t="str">
        <f>IFERROR(__xludf.DUMMYFUNCTION("""COMPUTED_VALUE"""),"DMG: +500 ++Increases damage by X2 for every time you hit an enemy with this weapon during a single battle (Goes back to normal damage after battle)")</f>
        <v>DMG: +500 ++Increases damage by X2 for every time you hit an enemy with this weapon during a single battle (Goes back to normal damage after battle)</v>
      </c>
      <c r="G628" s="16">
        <f>IFERROR(__xludf.DUMMYFUNCTION("""COMPUTED_VALUE"""),1000.0)</f>
        <v>1000</v>
      </c>
      <c r="H628" s="16"/>
      <c r="I628" s="16"/>
      <c r="J628" s="16"/>
      <c r="K628" s="16"/>
      <c r="L628" s="16"/>
      <c r="M628" s="16"/>
      <c r="N628" s="16"/>
      <c r="O628" s="16"/>
      <c r="P628" s="16"/>
      <c r="Q628" s="16"/>
      <c r="R628" s="16"/>
      <c r="S628" s="16"/>
      <c r="T628" s="16"/>
      <c r="U628" s="16"/>
      <c r="V628" s="16"/>
      <c r="W628" s="16"/>
      <c r="X628" s="16"/>
      <c r="Y628" s="16"/>
      <c r="Z628" s="16"/>
    </row>
    <row r="629">
      <c r="A629" s="16" t="str">
        <f>IFERROR(__xludf.DUMMYFUNCTION("""COMPUTED_VALUE"""),"Rhino Horn Spear")</f>
        <v>Rhino Horn Spear</v>
      </c>
      <c r="B629" s="16"/>
      <c r="C629" s="16" t="str">
        <f>IFERROR(__xludf.DUMMYFUNCTION("""COMPUTED_VALUE"""),"Spear")</f>
        <v>Spear</v>
      </c>
      <c r="D629" s="16" t="str">
        <f>IFERROR(__xludf.DUMMYFUNCTION("""COMPUTED_VALUE"""),"Hand")</f>
        <v>Hand</v>
      </c>
      <c r="E629" s="16">
        <f>IFERROR(__xludf.DUMMYFUNCTION("""COMPUTED_VALUE"""),200.0)</f>
        <v>200</v>
      </c>
      <c r="F629" s="16" t="str">
        <f>IFERROR(__xludf.DUMMYFUNCTION("""COMPUTED_VALUE"""),"DMG: +10000 ++Charge - The first attack made with this weapon deals X2 damage")</f>
        <v>DMG: +10000 ++Charge - The first attack made with this weapon deals X2 damage</v>
      </c>
      <c r="G629" s="16">
        <f>IFERROR(__xludf.DUMMYFUNCTION("""COMPUTED_VALUE"""),1900000.0)</f>
        <v>1900000</v>
      </c>
      <c r="H629" s="16"/>
      <c r="I629" s="16"/>
      <c r="J629" s="16"/>
      <c r="K629" s="16"/>
      <c r="L629" s="16"/>
      <c r="M629" s="16"/>
      <c r="N629" s="16"/>
      <c r="O629" s="16"/>
      <c r="P629" s="16"/>
      <c r="Q629" s="16"/>
      <c r="R629" s="16"/>
      <c r="S629" s="16"/>
      <c r="T629" s="16"/>
      <c r="U629" s="16"/>
      <c r="V629" s="16"/>
      <c r="W629" s="16"/>
      <c r="X629" s="16"/>
      <c r="Y629" s="16"/>
      <c r="Z629" s="16"/>
    </row>
    <row r="630">
      <c r="A630" s="16" t="str">
        <f>IFERROR(__xludf.DUMMYFUNCTION("""COMPUTED_VALUE"""),"Rock Axe")</f>
        <v>Rock Axe</v>
      </c>
      <c r="B630" s="16"/>
      <c r="C630" s="16" t="str">
        <f>IFERROR(__xludf.DUMMYFUNCTION("""COMPUTED_VALUE"""),"Axe")</f>
        <v>Axe</v>
      </c>
      <c r="D630" s="16" t="str">
        <f>IFERROR(__xludf.DUMMYFUNCTION("""COMPUTED_VALUE"""),"Hand")</f>
        <v>Hand</v>
      </c>
      <c r="E630" s="16">
        <f>IFERROR(__xludf.DUMMYFUNCTION("""COMPUTED_VALUE"""),40.0)</f>
        <v>40</v>
      </c>
      <c r="F630" s="16" t="str">
        <f>IFERROR(__xludf.DUMMYFUNCTION("""COMPUTED_VALUE"""),"DMG: +1000, Earth DMG: +1000")</f>
        <v>DMG: +1000, Earth DMG: +1000</v>
      </c>
      <c r="G630" s="16">
        <f>IFERROR(__xludf.DUMMYFUNCTION("""COMPUTED_VALUE"""),60000.0)</f>
        <v>60000</v>
      </c>
      <c r="H630" s="16"/>
      <c r="I630" s="16"/>
      <c r="J630" s="16"/>
      <c r="K630" s="16"/>
      <c r="L630" s="16"/>
      <c r="M630" s="16"/>
      <c r="N630" s="16"/>
      <c r="O630" s="16"/>
      <c r="P630" s="16"/>
      <c r="Q630" s="16"/>
      <c r="R630" s="16"/>
      <c r="S630" s="16"/>
      <c r="T630" s="16"/>
      <c r="U630" s="16"/>
      <c r="V630" s="16"/>
      <c r="W630" s="16"/>
      <c r="X630" s="16"/>
      <c r="Y630" s="16"/>
      <c r="Z630" s="16"/>
    </row>
    <row r="631">
      <c r="A631" s="16" t="str">
        <f>IFERROR(__xludf.DUMMYFUNCTION("""COMPUTED_VALUE"""),"Saber Tooth")</f>
        <v>Saber Tooth</v>
      </c>
      <c r="B631" s="16"/>
      <c r="C631" s="16" t="str">
        <f>IFERROR(__xludf.DUMMYFUNCTION("""COMPUTED_VALUE"""),"Knife")</f>
        <v>Knife</v>
      </c>
      <c r="D631" s="16" t="str">
        <f>IFERROR(__xludf.DUMMYFUNCTION("""COMPUTED_VALUE"""),"Hand")</f>
        <v>Hand</v>
      </c>
      <c r="E631" s="16">
        <f>IFERROR(__xludf.DUMMYFUNCTION("""COMPUTED_VALUE"""),200.0)</f>
        <v>200</v>
      </c>
      <c r="F631" s="16" t="str">
        <f>IFERROR(__xludf.DUMMYFUNCTION("""COMPUTED_VALUE"""),"DMG: +10000")</f>
        <v>DMG: +10000</v>
      </c>
      <c r="G631" s="16">
        <f>IFERROR(__xludf.DUMMYFUNCTION("""COMPUTED_VALUE"""),1900000.0)</f>
        <v>1900000</v>
      </c>
      <c r="H631" s="16"/>
      <c r="I631" s="16"/>
      <c r="J631" s="16"/>
      <c r="K631" s="16"/>
      <c r="L631" s="16"/>
      <c r="M631" s="16"/>
      <c r="N631" s="16"/>
      <c r="O631" s="16"/>
      <c r="P631" s="16"/>
      <c r="Q631" s="16"/>
      <c r="R631" s="16"/>
      <c r="S631" s="16"/>
      <c r="T631" s="16"/>
      <c r="U631" s="16"/>
      <c r="V631" s="16"/>
      <c r="W631" s="16"/>
      <c r="X631" s="16"/>
      <c r="Y631" s="16"/>
      <c r="Z631" s="16"/>
    </row>
    <row r="632">
      <c r="A632" s="16" t="str">
        <f>IFERROR(__xludf.DUMMYFUNCTION("""COMPUTED_VALUE"""),"Worm Tooth Chainsaw")</f>
        <v>Worm Tooth Chainsaw</v>
      </c>
      <c r="B632" s="16"/>
      <c r="C632" s="16" t="str">
        <f>IFERROR(__xludf.DUMMYFUNCTION("""COMPUTED_VALUE"""),"Axe")</f>
        <v>Axe</v>
      </c>
      <c r="D632" s="16" t="str">
        <f>IFERROR(__xludf.DUMMYFUNCTION("""COMPUTED_VALUE"""),"Hand")</f>
        <v>Hand</v>
      </c>
      <c r="E632" s="16">
        <f>IFERROR(__xludf.DUMMYFUNCTION("""COMPUTED_VALUE"""),1200.0)</f>
        <v>1200</v>
      </c>
      <c r="F632" s="16" t="str">
        <f>IFERROR(__xludf.DUMMYFUNCTION("""COMPUTED_VALUE"""),"DMG: +50000, Blood DMG: +10000 ++Spinning Chain - Make a hit or miss attack (Adding Mobility) on hit set an enemies defense to 0 for 1 round 500 sp")</f>
        <v>DMG: +50000, Blood DMG: +10000 ++Spinning Chain - Make a hit or miss attack (Adding Mobility) on hit set an enemies defense to 0 for 1 round 500 sp</v>
      </c>
      <c r="G632" s="16">
        <f>IFERROR(__xludf.DUMMYFUNCTION("""COMPUTED_VALUE"""),7.14E7)</f>
        <v>71400000</v>
      </c>
      <c r="H632" s="16"/>
      <c r="I632" s="16"/>
      <c r="J632" s="16"/>
      <c r="K632" s="16"/>
      <c r="L632" s="16"/>
      <c r="M632" s="16"/>
      <c r="N632" s="16"/>
      <c r="O632" s="16"/>
      <c r="P632" s="16"/>
      <c r="Q632" s="16"/>
      <c r="R632" s="16"/>
      <c r="S632" s="16"/>
      <c r="T632" s="16"/>
      <c r="U632" s="16"/>
      <c r="V632" s="16"/>
      <c r="W632" s="16"/>
      <c r="X632" s="16"/>
      <c r="Y632" s="16"/>
      <c r="Z632" s="16"/>
    </row>
    <row r="633">
      <c r="A633" s="16" t="str">
        <f>IFERROR(__xludf.DUMMYFUNCTION("""COMPUTED_VALUE"""),"Shark Tooth Greatclub")</f>
        <v>Shark Tooth Greatclub</v>
      </c>
      <c r="B633" s="16"/>
      <c r="C633" s="16" t="str">
        <f>IFERROR(__xludf.DUMMYFUNCTION("""COMPUTED_VALUE"""),"Club")</f>
        <v>Club</v>
      </c>
      <c r="D633" s="16" t="str">
        <f>IFERROR(__xludf.DUMMYFUNCTION("""COMPUTED_VALUE"""),"Hand")</f>
        <v>Hand</v>
      </c>
      <c r="E633" s="16">
        <f>IFERROR(__xludf.DUMMYFUNCTION("""COMPUTED_VALUE"""),500.0)</f>
        <v>500</v>
      </c>
      <c r="F633" s="16" t="str">
        <f>IFERROR(__xludf.DUMMYFUNCTION("""COMPUTED_VALUE"""),"DMG: +25000 ++Abrasive Blow - hitting an enemy with this weapon causes them to be Injured graveky inflicting them with slowness until healed by any means.")</f>
        <v>DMG: +25000 ++Abrasive Blow - hitting an enemy with this weapon causes them to be Injured graveky inflicting them with slowness until healed by any means.</v>
      </c>
      <c r="G633" s="16">
        <f>IFERROR(__xludf.DUMMYFUNCTION("""COMPUTED_VALUE"""),1.225E7)</f>
        <v>12250000</v>
      </c>
      <c r="H633" s="16"/>
      <c r="I633" s="16"/>
      <c r="J633" s="16"/>
      <c r="K633" s="16"/>
      <c r="L633" s="16"/>
      <c r="M633" s="16"/>
      <c r="N633" s="16"/>
      <c r="O633" s="16"/>
      <c r="P633" s="16"/>
      <c r="Q633" s="16"/>
      <c r="R633" s="16"/>
      <c r="S633" s="16"/>
      <c r="T633" s="16"/>
      <c r="U633" s="16"/>
      <c r="V633" s="16"/>
      <c r="W633" s="16"/>
      <c r="X633" s="16"/>
      <c r="Y633" s="16"/>
      <c r="Z633" s="16"/>
    </row>
    <row r="634">
      <c r="A634" s="16" t="str">
        <f>IFERROR(__xludf.DUMMYFUNCTION("""COMPUTED_VALUE"""),"Sticky Slime Guantlets")</f>
        <v>Sticky Slime Guantlets</v>
      </c>
      <c r="B634" s="16"/>
      <c r="C634" s="16" t="str">
        <f>IFERROR(__xludf.DUMMYFUNCTION("""COMPUTED_VALUE"""),"Gauntlet")</f>
        <v>Gauntlet</v>
      </c>
      <c r="D634" s="16" t="str">
        <f>IFERROR(__xludf.DUMMYFUNCTION("""COMPUTED_VALUE"""),"Hand")</f>
        <v>Hand</v>
      </c>
      <c r="E634" s="16">
        <f>IFERROR(__xludf.DUMMYFUNCTION("""COMPUTED_VALUE"""),400.0)</f>
        <v>400</v>
      </c>
      <c r="F634" s="16" t="str">
        <f>IFERROR(__xludf.DUMMYFUNCTION("""COMPUTED_VALUE"""),"DEF: +20000 ++Slimey Grasp - When these gloves are equipped the natural power ""take"" Is guaranteed to succeed.")</f>
        <v>DEF: +20000 ++Slimey Grasp - When these gloves are equipped the natural power "take" Is guaranteed to succeed.</v>
      </c>
      <c r="G634" s="16">
        <f>IFERROR(__xludf.DUMMYFUNCTION("""COMPUTED_VALUE"""),7800000.0)</f>
        <v>7800000</v>
      </c>
      <c r="H634" s="16"/>
      <c r="I634" s="16"/>
      <c r="J634" s="16"/>
      <c r="K634" s="16"/>
      <c r="L634" s="16"/>
      <c r="M634" s="16"/>
      <c r="N634" s="16"/>
      <c r="O634" s="16"/>
      <c r="P634" s="16"/>
      <c r="Q634" s="16"/>
      <c r="R634" s="16"/>
      <c r="S634" s="16"/>
      <c r="T634" s="16"/>
      <c r="U634" s="16"/>
      <c r="V634" s="16"/>
      <c r="W634" s="16"/>
      <c r="X634" s="16"/>
      <c r="Y634" s="16"/>
      <c r="Z634" s="16"/>
    </row>
    <row r="635">
      <c r="A635" s="16" t="str">
        <f>IFERROR(__xludf.DUMMYFUNCTION("""COMPUTED_VALUE"""),"Draconic Scythe")</f>
        <v>Draconic Scythe</v>
      </c>
      <c r="B635" s="16"/>
      <c r="C635" s="16" t="str">
        <f>IFERROR(__xludf.DUMMYFUNCTION("""COMPUTED_VALUE"""),"Scythe")</f>
        <v>Scythe</v>
      </c>
      <c r="D635" s="16" t="str">
        <f>IFERROR(__xludf.DUMMYFUNCTION("""COMPUTED_VALUE"""),"Hand")</f>
        <v>Hand</v>
      </c>
      <c r="E635" s="16">
        <f>IFERROR(__xludf.DUMMYFUNCTION("""COMPUTED_VALUE"""),2000.0)</f>
        <v>2000</v>
      </c>
      <c r="F635" s="16" t="str">
        <f>IFERROR(__xludf.DUMMYFUNCTION("""COMPUTED_VALUE"""),", Spirit DMG: +100000 ++Draconic Soul - When Fighting alongside any draconic allies (including Dragon companions or Dragonians) or if the wielder itself is draconic this weapon deals an additional X5 damage")</f>
        <v>, Spirit DMG: +100000 ++Draconic Soul - When Fighting alongside any draconic allies (including Dragon companions or Dragonians) or if the wielder itself is draconic this weapon deals an additional X5 damage</v>
      </c>
      <c r="G635" s="16">
        <f>IFERROR(__xludf.DUMMYFUNCTION("""COMPUTED_VALUE"""),1.99E8)</f>
        <v>199000000</v>
      </c>
      <c r="H635" s="16"/>
      <c r="I635" s="16"/>
      <c r="J635" s="16"/>
      <c r="K635" s="16"/>
      <c r="L635" s="16"/>
      <c r="M635" s="16"/>
      <c r="N635" s="16"/>
      <c r="O635" s="16"/>
      <c r="P635" s="16"/>
      <c r="Q635" s="16"/>
      <c r="R635" s="16"/>
      <c r="S635" s="16"/>
      <c r="T635" s="16"/>
      <c r="U635" s="16"/>
      <c r="V635" s="16"/>
      <c r="W635" s="16"/>
      <c r="X635" s="16"/>
      <c r="Y635" s="16"/>
      <c r="Z635" s="16"/>
    </row>
    <row r="636">
      <c r="A636" s="16" t="str">
        <f>IFERROR(__xludf.DUMMYFUNCTION("""COMPUTED_VALUE"""),"Elemental Scythe")</f>
        <v>Elemental Scythe</v>
      </c>
      <c r="B636" s="16"/>
      <c r="C636" s="16" t="str">
        <f>IFERROR(__xludf.DUMMYFUNCTION("""COMPUTED_VALUE"""),"Scythe")</f>
        <v>Scythe</v>
      </c>
      <c r="D636" s="16" t="str">
        <f>IFERROR(__xludf.DUMMYFUNCTION("""COMPUTED_VALUE"""),"Hand")</f>
        <v>Hand</v>
      </c>
      <c r="E636" s="16">
        <f>IFERROR(__xludf.DUMMYFUNCTION("""COMPUTED_VALUE"""),2000.0)</f>
        <v>2000</v>
      </c>
      <c r="F636" s="16" t="str">
        <f>IFERROR(__xludf.DUMMYFUNCTION("""COMPUTED_VALUE"""),", Fire DMG: +20000, Physical DMG: +20000, Water DMG: +20000, Storm DMG: +20000, Earth DMG: +20000 ++This scythe is unnaffected by Immunities to fire, earth, nature, water, or storm.")</f>
        <v>, Fire DMG: +20000, Physical DMG: +20000, Water DMG: +20000, Storm DMG: +20000, Earth DMG: +20000 ++This scythe is unnaffected by Immunities to fire, earth, nature, water, or storm.</v>
      </c>
      <c r="G636" s="16">
        <f>IFERROR(__xludf.DUMMYFUNCTION("""COMPUTED_VALUE"""),1.99E8)</f>
        <v>199000000</v>
      </c>
      <c r="H636" s="16"/>
      <c r="I636" s="16"/>
      <c r="J636" s="16"/>
      <c r="K636" s="16"/>
      <c r="L636" s="16"/>
      <c r="M636" s="16"/>
      <c r="N636" s="16"/>
      <c r="O636" s="16"/>
      <c r="P636" s="16"/>
      <c r="Q636" s="16"/>
      <c r="R636" s="16"/>
      <c r="S636" s="16"/>
      <c r="T636" s="16"/>
      <c r="U636" s="16"/>
      <c r="V636" s="16"/>
      <c r="W636" s="16"/>
      <c r="X636" s="16"/>
      <c r="Y636" s="16"/>
      <c r="Z636" s="16"/>
    </row>
    <row r="637">
      <c r="A637" s="16" t="str">
        <f>IFERROR(__xludf.DUMMYFUNCTION("""COMPUTED_VALUE"""),"Staff of the Elemental King of Water")</f>
        <v>Staff of the Elemental King of Water</v>
      </c>
      <c r="B637" s="16"/>
      <c r="C637" s="16" t="str">
        <f>IFERROR(__xludf.DUMMYFUNCTION("""COMPUTED_VALUE"""),"Staff")</f>
        <v>Staff</v>
      </c>
      <c r="D637" s="16" t="str">
        <f>IFERROR(__xludf.DUMMYFUNCTION("""COMPUTED_VALUE"""),"Hand")</f>
        <v>Hand</v>
      </c>
      <c r="E637" s="16">
        <f>IFERROR(__xludf.DUMMYFUNCTION("""COMPUTED_VALUE"""),1000.0)</f>
        <v>1000</v>
      </c>
      <c r="F637" s="16" t="str">
        <f>IFERROR(__xludf.DUMMYFUNCTION("""COMPUTED_VALUE"""),", Water DMG: +50000 ++Summoned Water Elementals deal 5X water damage")</f>
        <v>, Water DMG: +50000 ++Summoned Water Elementals deal 5X water damage</v>
      </c>
      <c r="G637" s="16">
        <f>IFERROR(__xludf.DUMMYFUNCTION("""COMPUTED_VALUE"""),4.95E7)</f>
        <v>49500000</v>
      </c>
      <c r="H637" s="16"/>
      <c r="I637" s="16"/>
      <c r="J637" s="16"/>
      <c r="K637" s="16"/>
      <c r="L637" s="16"/>
      <c r="M637" s="16"/>
      <c r="N637" s="16"/>
      <c r="O637" s="16"/>
      <c r="P637" s="16"/>
      <c r="Q637" s="16"/>
      <c r="R637" s="16"/>
      <c r="S637" s="16"/>
      <c r="T637" s="16"/>
      <c r="U637" s="16"/>
      <c r="V637" s="16"/>
      <c r="W637" s="16"/>
      <c r="X637" s="16"/>
      <c r="Y637" s="16"/>
      <c r="Z637" s="16"/>
    </row>
    <row r="638">
      <c r="A638" s="16" t="str">
        <f>IFERROR(__xludf.DUMMYFUNCTION("""COMPUTED_VALUE"""),"Bashe's Tail")</f>
        <v>Bashe's Tail</v>
      </c>
      <c r="B638" s="16"/>
      <c r="C638" s="16"/>
      <c r="D638" s="16" t="str">
        <f>IFERROR(__xludf.DUMMYFUNCTION("""COMPUTED_VALUE"""),"Legs")</f>
        <v>Legs</v>
      </c>
      <c r="E638" s="16">
        <f>IFERROR(__xludf.DUMMYFUNCTION("""COMPUTED_VALUE"""),800.0)</f>
        <v>800</v>
      </c>
      <c r="F638" s="16" t="str">
        <f>IFERROR(__xludf.DUMMYFUNCTION("""COMPUTED_VALUE"""),"DEF: +40000 ++Smash - Allows you to attack with the tail as if it were a club weapon")</f>
        <v>DEF: +40000 ++Smash - Allows you to attack with the tail as if it were a club weapon</v>
      </c>
      <c r="G638" s="16">
        <f>IFERROR(__xludf.DUMMYFUNCTION("""COMPUTED_VALUE"""),3.16E7)</f>
        <v>31600000</v>
      </c>
      <c r="H638" s="16"/>
      <c r="I638" s="16"/>
      <c r="J638" s="16"/>
      <c r="K638" s="16"/>
      <c r="L638" s="16"/>
      <c r="M638" s="16"/>
      <c r="N638" s="16"/>
      <c r="O638" s="16"/>
      <c r="P638" s="16"/>
      <c r="Q638" s="16"/>
      <c r="R638" s="16"/>
      <c r="S638" s="16"/>
      <c r="T638" s="16"/>
      <c r="U638" s="16"/>
      <c r="V638" s="16"/>
      <c r="W638" s="16"/>
      <c r="X638" s="16"/>
      <c r="Y638" s="16"/>
      <c r="Z638" s="16"/>
    </row>
    <row r="639">
      <c r="A639" s="16" t="str">
        <f>IFERROR(__xludf.DUMMYFUNCTION("""COMPUTED_VALUE"""),"Bashe's Flute")</f>
        <v>Bashe's Flute</v>
      </c>
      <c r="B639" s="16"/>
      <c r="C639" s="16" t="str">
        <f>IFERROR(__xludf.DUMMYFUNCTION("""COMPUTED_VALUE"""),"Instrument")</f>
        <v>Instrument</v>
      </c>
      <c r="D639" s="16" t="str">
        <f>IFERROR(__xludf.DUMMYFUNCTION("""COMPUTED_VALUE"""),"Hand")</f>
        <v>Hand</v>
      </c>
      <c r="E639" s="16">
        <f>IFERROR(__xludf.DUMMYFUNCTION("""COMPUTED_VALUE"""),1000.0)</f>
        <v>1000</v>
      </c>
      <c r="F639" s="16" t="str">
        <f>IFERROR(__xludf.DUMMYFUNCTION("""COMPUTED_VALUE"""),", Acoustic DMG: +50000 ++When Equipped with Bashe's Tail Deal 5X damage and cast 2 acoustic powers in an action instead of one for your first turn")</f>
        <v>, Acoustic DMG: +50000 ++When Equipped with Bashe's Tail Deal 5X damage and cast 2 acoustic powers in an action instead of one for your first turn</v>
      </c>
      <c r="G639" s="16">
        <f>IFERROR(__xludf.DUMMYFUNCTION("""COMPUTED_VALUE"""),4.95E7)</f>
        <v>49500000</v>
      </c>
      <c r="H639" s="16"/>
      <c r="I639" s="16"/>
      <c r="J639" s="16"/>
      <c r="K639" s="16"/>
      <c r="L639" s="16"/>
      <c r="M639" s="16"/>
      <c r="N639" s="16"/>
      <c r="O639" s="16"/>
      <c r="P639" s="16"/>
      <c r="Q639" s="16"/>
      <c r="R639" s="16"/>
      <c r="S639" s="16"/>
      <c r="T639" s="16"/>
      <c r="U639" s="16"/>
      <c r="V639" s="16"/>
      <c r="W639" s="16"/>
      <c r="X639" s="16"/>
      <c r="Y639" s="16"/>
      <c r="Z639" s="16"/>
    </row>
    <row r="640">
      <c r="A640" s="16" t="str">
        <f>IFERROR(__xludf.DUMMYFUNCTION("""COMPUTED_VALUE"""),"Grash's Favorite Length Of Iron")</f>
        <v>Grash's Favorite Length Of Iron</v>
      </c>
      <c r="B640" s="16"/>
      <c r="C640" s="16" t="str">
        <f>IFERROR(__xludf.DUMMYFUNCTION("""COMPUTED_VALUE"""),"Club")</f>
        <v>Club</v>
      </c>
      <c r="D640" s="16" t="str">
        <f>IFERROR(__xludf.DUMMYFUNCTION("""COMPUTED_VALUE"""),"Hand")</f>
        <v>Hand</v>
      </c>
      <c r="E640" s="16">
        <f>IFERROR(__xludf.DUMMYFUNCTION("""COMPUTED_VALUE"""),2000.0)</f>
        <v>2000</v>
      </c>
      <c r="F640" s="16" t="str">
        <f>IFERROR(__xludf.DUMMYFUNCTION("""COMPUTED_VALUE"""),"DMG: +100000 ++When a Samurai Wields this weapon they get access to the ""Grash's Smashing Success"" Natural Power")</f>
        <v>DMG: +100000 ++When a Samurai Wields this weapon they get access to the "Grash's Smashing Success" Natural Power</v>
      </c>
      <c r="G640" s="16">
        <f>IFERROR(__xludf.DUMMYFUNCTION("""COMPUTED_VALUE"""),1.99E8)</f>
        <v>199000000</v>
      </c>
      <c r="H640" s="16"/>
      <c r="I640" s="16"/>
      <c r="J640" s="16"/>
      <c r="K640" s="16"/>
      <c r="L640" s="16"/>
      <c r="M640" s="16"/>
      <c r="N640" s="16"/>
      <c r="O640" s="16"/>
      <c r="P640" s="16"/>
      <c r="Q640" s="16"/>
      <c r="R640" s="16"/>
      <c r="S640" s="16"/>
      <c r="T640" s="16"/>
      <c r="U640" s="16"/>
      <c r="V640" s="16"/>
      <c r="W640" s="16"/>
      <c r="X640" s="16"/>
      <c r="Y640" s="16"/>
      <c r="Z640" s="16"/>
    </row>
    <row r="641">
      <c r="A641" s="16" t="str">
        <f>IFERROR(__xludf.DUMMYFUNCTION("""COMPUTED_VALUE"""),"Wolf Tooth Neclace")</f>
        <v>Wolf Tooth Neclace</v>
      </c>
      <c r="B641" s="16"/>
      <c r="C641" s="16"/>
      <c r="D641" s="16" t="str">
        <f>IFERROR(__xludf.DUMMYFUNCTION("""COMPUTED_VALUE"""),"Neck")</f>
        <v>Neck</v>
      </c>
      <c r="E641" s="16">
        <f>IFERROR(__xludf.DUMMYFUNCTION("""COMPUTED_VALUE"""),1.0)</f>
        <v>1</v>
      </c>
      <c r="F641" s="16" t="str">
        <f>IFERROR(__xludf.DUMMYFUNCTION("""COMPUTED_VALUE""")," ++When fighting alongside a Beast Companion you get +5 to all weapon attacks (Wearing multiple does not cause this effect to stack)")</f>
        <v> ++When fighting alongside a Beast Companion you get +5 to all weapon attacks (Wearing multiple does not cause this effect to stack)</v>
      </c>
      <c r="G641" s="16">
        <f>IFERROR(__xludf.DUMMYFUNCTION("""COMPUTED_VALUE"""),0.0)</f>
        <v>0</v>
      </c>
      <c r="H641" s="16"/>
      <c r="I641" s="16"/>
      <c r="J641" s="16"/>
      <c r="K641" s="16"/>
      <c r="L641" s="16"/>
      <c r="M641" s="16"/>
      <c r="N641" s="16"/>
      <c r="O641" s="16"/>
      <c r="P641" s="16"/>
      <c r="Q641" s="16"/>
      <c r="R641" s="16"/>
      <c r="S641" s="16"/>
      <c r="T641" s="16"/>
      <c r="U641" s="16"/>
      <c r="V641" s="16"/>
      <c r="W641" s="16"/>
      <c r="X641" s="16"/>
      <c r="Y641" s="16"/>
      <c r="Z641" s="16"/>
    </row>
    <row r="642">
      <c r="A642" s="16" t="str">
        <f>IFERROR(__xludf.DUMMYFUNCTION("""COMPUTED_VALUE"""),"Dragon Scale Necklace")</f>
        <v>Dragon Scale Necklace</v>
      </c>
      <c r="B642" s="16"/>
      <c r="C642" s="16"/>
      <c r="D642" s="16" t="str">
        <f>IFERROR(__xludf.DUMMYFUNCTION("""COMPUTED_VALUE"""),"Neck")</f>
        <v>Neck</v>
      </c>
      <c r="E642" s="16">
        <f>IFERROR(__xludf.DUMMYFUNCTION("""COMPUTED_VALUE"""),1.0)</f>
        <v>1</v>
      </c>
      <c r="F642" s="16" t="str">
        <f>IFERROR(__xludf.DUMMYFUNCTION("""COMPUTED_VALUE""")," ++When fighting alongside a Draconic Companion you get +5 to all weapon attacks (Wearing multiple does not cause this effect to stack)")</f>
        <v> ++When fighting alongside a Draconic Companion you get +5 to all weapon attacks (Wearing multiple does not cause this effect to stack)</v>
      </c>
      <c r="G642" s="16">
        <f>IFERROR(__xludf.DUMMYFUNCTION("""COMPUTED_VALUE"""),0.0)</f>
        <v>0</v>
      </c>
      <c r="H642" s="16"/>
      <c r="I642" s="16"/>
      <c r="J642" s="16"/>
      <c r="K642" s="16"/>
      <c r="L642" s="16"/>
      <c r="M642" s="16"/>
      <c r="N642" s="16"/>
      <c r="O642" s="16"/>
      <c r="P642" s="16"/>
      <c r="Q642" s="16"/>
      <c r="R642" s="16"/>
      <c r="S642" s="16"/>
      <c r="T642" s="16"/>
      <c r="U642" s="16"/>
      <c r="V642" s="16"/>
      <c r="W642" s="16"/>
      <c r="X642" s="16"/>
      <c r="Y642" s="16"/>
      <c r="Z642" s="16"/>
    </row>
    <row r="643">
      <c r="A643" s="16" t="str">
        <f>IFERROR(__xludf.DUMMYFUNCTION("""COMPUTED_VALUE"""),"Heavenly Necklace")</f>
        <v>Heavenly Necklace</v>
      </c>
      <c r="B643" s="16"/>
      <c r="C643" s="16"/>
      <c r="D643" s="16" t="str">
        <f>IFERROR(__xludf.DUMMYFUNCTION("""COMPUTED_VALUE"""),"Neck")</f>
        <v>Neck</v>
      </c>
      <c r="E643" s="16">
        <f>IFERROR(__xludf.DUMMYFUNCTION("""COMPUTED_VALUE"""),1.0)</f>
        <v>1</v>
      </c>
      <c r="F643" s="16" t="str">
        <f>IFERROR(__xludf.DUMMYFUNCTION("""COMPUTED_VALUE""")," ++When fighting alongside a Heavenly Companion you get +5 to all weapon attacks (Wearing multiple does not cause this effect to stack)")</f>
        <v> ++When fighting alongside a Heavenly Companion you get +5 to all weapon attacks (Wearing multiple does not cause this effect to stack)</v>
      </c>
      <c r="G643" s="16">
        <f>IFERROR(__xludf.DUMMYFUNCTION("""COMPUTED_VALUE"""),0.0)</f>
        <v>0</v>
      </c>
      <c r="H643" s="16"/>
      <c r="I643" s="16"/>
      <c r="J643" s="16"/>
      <c r="K643" s="16"/>
      <c r="L643" s="16"/>
      <c r="M643" s="16"/>
      <c r="N643" s="16"/>
      <c r="O643" s="16"/>
      <c r="P643" s="16"/>
      <c r="Q643" s="16"/>
      <c r="R643" s="16"/>
      <c r="S643" s="16"/>
      <c r="T643" s="16"/>
      <c r="U643" s="16"/>
      <c r="V643" s="16"/>
      <c r="W643" s="16"/>
      <c r="X643" s="16"/>
      <c r="Y643" s="16"/>
      <c r="Z643" s="16"/>
    </row>
    <row r="644">
      <c r="A644" s="16" t="str">
        <f>IFERROR(__xludf.DUMMYFUNCTION("""COMPUTED_VALUE"""),"Demonic Necklace")</f>
        <v>Demonic Necklace</v>
      </c>
      <c r="B644" s="16"/>
      <c r="C644" s="16"/>
      <c r="D644" s="16" t="str">
        <f>IFERROR(__xludf.DUMMYFUNCTION("""COMPUTED_VALUE"""),"Neck")</f>
        <v>Neck</v>
      </c>
      <c r="E644" s="16">
        <f>IFERROR(__xludf.DUMMYFUNCTION("""COMPUTED_VALUE"""),1.0)</f>
        <v>1</v>
      </c>
      <c r="F644" s="16" t="str">
        <f>IFERROR(__xludf.DUMMYFUNCTION("""COMPUTED_VALUE""")," ++When fighting alongside a Demonic Companion you get +5 to all weapon attacks (Wearing multiple does not cause this effect to stack)")</f>
        <v> ++When fighting alongside a Demonic Companion you get +5 to all weapon attacks (Wearing multiple does not cause this effect to stack)</v>
      </c>
      <c r="G644" s="16">
        <f>IFERROR(__xludf.DUMMYFUNCTION("""COMPUTED_VALUE"""),0.0)</f>
        <v>0</v>
      </c>
      <c r="H644" s="16"/>
      <c r="I644" s="16"/>
      <c r="J644" s="16"/>
      <c r="K644" s="16"/>
      <c r="L644" s="16"/>
      <c r="M644" s="16"/>
      <c r="N644" s="16"/>
      <c r="O644" s="16"/>
      <c r="P644" s="16"/>
      <c r="Q644" s="16"/>
      <c r="R644" s="16"/>
      <c r="S644" s="16"/>
      <c r="T644" s="16"/>
      <c r="U644" s="16"/>
      <c r="V644" s="16"/>
      <c r="W644" s="16"/>
      <c r="X644" s="16"/>
      <c r="Y644" s="16"/>
      <c r="Z644" s="16"/>
    </row>
    <row r="645">
      <c r="A645" s="16" t="str">
        <f>IFERROR(__xludf.DUMMYFUNCTION("""COMPUTED_VALUE"""),"The Cloak of Gévaudan")</f>
        <v>The Cloak of Gévaudan</v>
      </c>
      <c r="B645" s="16"/>
      <c r="C645" s="16"/>
      <c r="D645" s="16" t="str">
        <f>IFERROR(__xludf.DUMMYFUNCTION("""COMPUTED_VALUE"""),"Shoulders")</f>
        <v>Shoulders</v>
      </c>
      <c r="E645" s="16">
        <f>IFERROR(__xludf.DUMMYFUNCTION("""COMPUTED_VALUE"""),800.0)</f>
        <v>800</v>
      </c>
      <c r="F645" s="16" t="str">
        <f>IFERROR(__xludf.DUMMYFUNCTION("""COMPUTED_VALUE"""),"DEF: +25000, Fire DEF: +15000 ++The warm coat grants you immunity to freezing.")</f>
        <v>DEF: +25000, Fire DEF: +15000 ++The warm coat grants you immunity to freezing.</v>
      </c>
      <c r="G645" s="16">
        <f>IFERROR(__xludf.DUMMYFUNCTION("""COMPUTED_VALUE"""),3.16E7)</f>
        <v>31600000</v>
      </c>
      <c r="H645" s="16"/>
      <c r="I645" s="16"/>
      <c r="J645" s="16"/>
      <c r="K645" s="16"/>
      <c r="L645" s="16"/>
      <c r="M645" s="16"/>
      <c r="N645" s="16"/>
      <c r="O645" s="16"/>
      <c r="P645" s="16"/>
      <c r="Q645" s="16"/>
      <c r="R645" s="16"/>
      <c r="S645" s="16"/>
      <c r="T645" s="16"/>
      <c r="U645" s="16"/>
      <c r="V645" s="16"/>
      <c r="W645" s="16"/>
      <c r="X645" s="16"/>
      <c r="Y645" s="16"/>
      <c r="Z645" s="16"/>
    </row>
    <row r="646">
      <c r="A646" s="16" t="str">
        <f>IFERROR(__xludf.DUMMYFUNCTION("""COMPUTED_VALUE"""),"Spirit Glyph")</f>
        <v>Spirit Glyph</v>
      </c>
      <c r="B646" s="16"/>
      <c r="C646" s="16"/>
      <c r="D646" s="16" t="str">
        <f>IFERROR(__xludf.DUMMYFUNCTION("""COMPUTED_VALUE"""),"Ring")</f>
        <v>Ring</v>
      </c>
      <c r="E646" s="16">
        <f>IFERROR(__xludf.DUMMYFUNCTION("""COMPUTED_VALUE"""),1.0)</f>
        <v>1</v>
      </c>
      <c r="F646" s="16" t="str">
        <f>IFERROR(__xludf.DUMMYFUNCTION("""COMPUTED_VALUE""")," ++When Fighting alongside a spirit companion you get ++5 to all weapon attacks. ++You get access to the ""Spiritual Meld"" Spell (Wearing multiple does not cause this effect to stack)")</f>
        <v> ++When Fighting alongside a spirit companion you get ++5 to all weapon attacks. ++You get access to the "Spiritual Meld" Spell (Wearing multiple does not cause this effect to stack)</v>
      </c>
      <c r="G646" s="16">
        <f>IFERROR(__xludf.DUMMYFUNCTION("""COMPUTED_VALUE"""),0.0)</f>
        <v>0</v>
      </c>
      <c r="H646" s="16"/>
      <c r="I646" s="16"/>
      <c r="J646" s="16"/>
      <c r="K646" s="16"/>
      <c r="L646" s="16"/>
      <c r="M646" s="16"/>
      <c r="N646" s="16"/>
      <c r="O646" s="16"/>
      <c r="P646" s="16"/>
      <c r="Q646" s="16"/>
      <c r="R646" s="16"/>
      <c r="S646" s="16"/>
      <c r="T646" s="16"/>
      <c r="U646" s="16"/>
      <c r="V646" s="16"/>
      <c r="W646" s="16"/>
      <c r="X646" s="16"/>
      <c r="Y646" s="16"/>
      <c r="Z646" s="16"/>
    </row>
    <row r="647">
      <c r="A647" s="16" t="str">
        <f>IFERROR(__xludf.DUMMYFUNCTION("""COMPUTED_VALUE"""),"Necromantic Sigil")</f>
        <v>Necromantic Sigil</v>
      </c>
      <c r="B647" s="16"/>
      <c r="C647" s="16"/>
      <c r="D647" s="16" t="str">
        <f>IFERROR(__xludf.DUMMYFUNCTION("""COMPUTED_VALUE"""),"Ring")</f>
        <v>Ring</v>
      </c>
      <c r="E647" s="16">
        <f>IFERROR(__xludf.DUMMYFUNCTION("""COMPUTED_VALUE"""),1.0)</f>
        <v>1</v>
      </c>
      <c r="F647" s="16" t="str">
        <f>IFERROR(__xludf.DUMMYFUNCTION("""COMPUTED_VALUE""")," ++When Fighting alongside an undead companion you get +5 to all weapon attacks (Wearing multiple does not cause this effect to stack)")</f>
        <v> ++When Fighting alongside an undead companion you get +5 to all weapon attacks (Wearing multiple does not cause this effect to stack)</v>
      </c>
      <c r="G647" s="16">
        <f>IFERROR(__xludf.DUMMYFUNCTION("""COMPUTED_VALUE"""),0.0)</f>
        <v>0</v>
      </c>
      <c r="H647" s="16"/>
      <c r="I647" s="16"/>
      <c r="J647" s="16"/>
      <c r="K647" s="16"/>
      <c r="L647" s="16"/>
      <c r="M647" s="16"/>
      <c r="N647" s="16"/>
      <c r="O647" s="16"/>
      <c r="P647" s="16"/>
      <c r="Q647" s="16"/>
      <c r="R647" s="16"/>
      <c r="S647" s="16"/>
      <c r="T647" s="16"/>
      <c r="U647" s="16"/>
      <c r="V647" s="16"/>
      <c r="W647" s="16"/>
      <c r="X647" s="16"/>
      <c r="Y647" s="16"/>
      <c r="Z647" s="16"/>
    </row>
    <row r="648">
      <c r="A648" s="16" t="str">
        <f>IFERROR(__xludf.DUMMYFUNCTION("""COMPUTED_VALUE"""),"Dragonslayer")</f>
        <v>Dragonslayer</v>
      </c>
      <c r="B648" s="16" t="str">
        <f>IFERROR(__xludf.DUMMYFUNCTION("""COMPUTED_VALUE"""),"It was too big to be called a sword. Massive, thick, heavy, and far too rough. Indeed, it was a heap of raw iron.")</f>
        <v>It was too big to be called a sword. Massive, thick, heavy, and far too rough. Indeed, it was a heap of raw iron.</v>
      </c>
      <c r="C648" s="16" t="str">
        <f>IFERROR(__xludf.DUMMYFUNCTION("""COMPUTED_VALUE"""),"Sword")</f>
        <v>Sword</v>
      </c>
      <c r="D648" s="16" t="str">
        <f>IFERROR(__xludf.DUMMYFUNCTION("""COMPUTED_VALUE"""),"Hand")</f>
        <v>Hand</v>
      </c>
      <c r="E648" s="16">
        <f>IFERROR(__xludf.DUMMYFUNCTION("""COMPUTED_VALUE"""),2000.0)</f>
        <v>2000</v>
      </c>
      <c r="F648" s="16" t="str">
        <f>IFERROR(__xludf.DUMMYFUNCTION("""COMPUTED_VALUE"""),"DMG: +100000 ++Deals X10 damage when fighting a Dragon or Monstrosity")</f>
        <v>DMG: +100000 ++Deals X10 damage when fighting a Dragon or Monstrosity</v>
      </c>
      <c r="G648" s="16">
        <f>IFERROR(__xludf.DUMMYFUNCTION("""COMPUTED_VALUE"""),1.99E8)</f>
        <v>199000000</v>
      </c>
      <c r="H648" s="16"/>
      <c r="I648" s="16"/>
      <c r="J648" s="16"/>
      <c r="K648" s="16"/>
      <c r="L648" s="16"/>
      <c r="M648" s="16"/>
      <c r="N648" s="16"/>
      <c r="O648" s="16"/>
      <c r="P648" s="16"/>
      <c r="Q648" s="16"/>
      <c r="R648" s="16"/>
      <c r="S648" s="16"/>
      <c r="T648" s="16"/>
      <c r="U648" s="16"/>
      <c r="V648" s="16"/>
      <c r="W648" s="16"/>
      <c r="X648" s="16"/>
      <c r="Y648" s="16"/>
      <c r="Z648" s="16"/>
    </row>
    <row r="649">
      <c r="A649" s="16" t="str">
        <f>IFERROR(__xludf.DUMMYFUNCTION("""COMPUTED_VALUE"""),"Rusted Halberd")</f>
        <v>Rusted Halberd</v>
      </c>
      <c r="B649" s="16"/>
      <c r="C649" s="16" t="str">
        <f>IFERROR(__xludf.DUMMYFUNCTION("""COMPUTED_VALUE"""),"Spear")</f>
        <v>Spear</v>
      </c>
      <c r="D649" s="16" t="str">
        <f>IFERROR(__xludf.DUMMYFUNCTION("""COMPUTED_VALUE"""),"Hand")</f>
        <v>Hand</v>
      </c>
      <c r="E649" s="16">
        <f>IFERROR(__xludf.DUMMYFUNCTION("""COMPUTED_VALUE"""),100.0)</f>
        <v>100</v>
      </c>
      <c r="F649" s="16" t="str">
        <f>IFERROR(__xludf.DUMMYFUNCTION("""COMPUTED_VALUE"""),"DMG: +5000")</f>
        <v>DMG: +5000</v>
      </c>
      <c r="G649" s="16">
        <f>IFERROR(__xludf.DUMMYFUNCTION("""COMPUTED_VALUE"""),450000.0)</f>
        <v>450000</v>
      </c>
      <c r="H649" s="16"/>
      <c r="I649" s="16"/>
      <c r="J649" s="16"/>
      <c r="K649" s="16"/>
      <c r="L649" s="16"/>
      <c r="M649" s="16"/>
      <c r="N649" s="16"/>
      <c r="O649" s="16"/>
      <c r="P649" s="16"/>
      <c r="Q649" s="16"/>
      <c r="R649" s="16"/>
      <c r="S649" s="16"/>
      <c r="T649" s="16"/>
      <c r="U649" s="16"/>
      <c r="V649" s="16"/>
      <c r="W649" s="16"/>
      <c r="X649" s="16"/>
      <c r="Y649" s="16"/>
      <c r="Z649" s="16"/>
    </row>
    <row r="650">
      <c r="A650" s="16" t="str">
        <f>IFERROR(__xludf.DUMMYFUNCTION("""COMPUTED_VALUE"""),"Diseased Rapier")</f>
        <v>Diseased Rapier</v>
      </c>
      <c r="B650" s="16"/>
      <c r="C650" s="16" t="str">
        <f>IFERROR(__xludf.DUMMYFUNCTION("""COMPUTED_VALUE"""),"Sword")</f>
        <v>Sword</v>
      </c>
      <c r="D650" s="16" t="str">
        <f>IFERROR(__xludf.DUMMYFUNCTION("""COMPUTED_VALUE"""),"Hand")</f>
        <v>Hand</v>
      </c>
      <c r="E650" s="16">
        <f>IFERROR(__xludf.DUMMYFUNCTION("""COMPUTED_VALUE"""),50.0)</f>
        <v>50</v>
      </c>
      <c r="F650" s="16" t="str">
        <f>IFERROR(__xludf.DUMMYFUNCTION("""COMPUTED_VALUE"""),"DMG: +2500 ++15% chance to inflict the target with a random non-pemanent disease")</f>
        <v>DMG: +2500 ++15% chance to inflict the target with a random non-pemanent disease</v>
      </c>
      <c r="G650" s="16">
        <f>IFERROR(__xludf.DUMMYFUNCTION("""COMPUTED_VALUE"""),100000.0)</f>
        <v>100000</v>
      </c>
      <c r="H650" s="16"/>
      <c r="I650" s="16"/>
      <c r="J650" s="16"/>
      <c r="K650" s="16"/>
      <c r="L650" s="16"/>
      <c r="M650" s="16"/>
      <c r="N650" s="16"/>
      <c r="O650" s="16"/>
      <c r="P650" s="16"/>
      <c r="Q650" s="16"/>
      <c r="R650" s="16"/>
      <c r="S650" s="16"/>
      <c r="T650" s="16"/>
      <c r="U650" s="16"/>
      <c r="V650" s="16"/>
      <c r="W650" s="16"/>
      <c r="X650" s="16"/>
      <c r="Y650" s="16"/>
      <c r="Z650" s="16"/>
    </row>
    <row r="651">
      <c r="A651" s="16" t="str">
        <f>IFERROR(__xludf.DUMMYFUNCTION("""COMPUTED_VALUE"""),"Symbol of Greed")</f>
        <v>Symbol of Greed</v>
      </c>
      <c r="B651" s="16"/>
      <c r="C651" s="16"/>
      <c r="D651" s="16" t="str">
        <f>IFERROR(__xludf.DUMMYFUNCTION("""COMPUTED_VALUE"""),"Finger")</f>
        <v>Finger</v>
      </c>
      <c r="E651" s="16">
        <f>IFERROR(__xludf.DUMMYFUNCTION("""COMPUTED_VALUE"""),1.0)</f>
        <v>1</v>
      </c>
      <c r="F651" s="16" t="str">
        <f>IFERROR(__xludf.DUMMYFUNCTION("""COMPUTED_VALUE""")," ++Great Deal - When determining the difficulty to haggle with a shopkeeper, the shopkeeper rolls the difficulty twice and takes the lower number +-(merchant class only)")</f>
        <v> ++Great Deal - When determining the difficulty to haggle with a shopkeeper, the shopkeeper rolls the difficulty twice and takes the lower number +-(merchant class only)</v>
      </c>
      <c r="G651" s="16">
        <f>IFERROR(__xludf.DUMMYFUNCTION("""COMPUTED_VALUE"""),0.0)</f>
        <v>0</v>
      </c>
      <c r="H651" s="16"/>
      <c r="I651" s="16"/>
      <c r="J651" s="16"/>
      <c r="K651" s="16"/>
      <c r="L651" s="16"/>
      <c r="M651" s="16"/>
      <c r="N651" s="16"/>
      <c r="O651" s="16"/>
      <c r="P651" s="16"/>
      <c r="Q651" s="16"/>
      <c r="R651" s="16"/>
      <c r="S651" s="16"/>
      <c r="T651" s="16"/>
      <c r="U651" s="16"/>
      <c r="V651" s="16"/>
      <c r="W651" s="16"/>
      <c r="X651" s="16"/>
      <c r="Y651" s="16"/>
      <c r="Z651" s="16"/>
    </row>
    <row r="652">
      <c r="A652" s="16" t="str">
        <f>IFERROR(__xludf.DUMMYFUNCTION("""COMPUTED_VALUE"""),"Enchanted Quiver")</f>
        <v>Enchanted Quiver</v>
      </c>
      <c r="B652" s="16"/>
      <c r="C652" s="16"/>
      <c r="D652" s="16" t="str">
        <f>IFERROR(__xludf.DUMMYFUNCTION("""COMPUTED_VALUE"""),"Shoulders")</f>
        <v>Shoulders</v>
      </c>
      <c r="E652" s="16">
        <f>IFERROR(__xludf.DUMMYFUNCTION("""COMPUTED_VALUE"""),1.0)</f>
        <v>1</v>
      </c>
      <c r="F652" s="16" t="str">
        <f>IFERROR(__xludf.DUMMYFUNCTION("""COMPUTED_VALUE""")," ++Magic Arrow - ++5 to all attack rolls with a bow +-(Archer Class Only)")</f>
        <v> ++Magic Arrow - ++5 to all attack rolls with a bow +-(Archer Class Only)</v>
      </c>
      <c r="G652" s="16">
        <f>IFERROR(__xludf.DUMMYFUNCTION("""COMPUTED_VALUE"""),0.0)</f>
        <v>0</v>
      </c>
      <c r="H652" s="16"/>
      <c r="I652" s="16"/>
      <c r="J652" s="16"/>
      <c r="K652" s="16"/>
      <c r="L652" s="16"/>
      <c r="M652" s="16"/>
      <c r="N652" s="16"/>
      <c r="O652" s="16"/>
      <c r="P652" s="16"/>
      <c r="Q652" s="16"/>
      <c r="R652" s="16"/>
      <c r="S652" s="16"/>
      <c r="T652" s="16"/>
      <c r="U652" s="16"/>
      <c r="V652" s="16"/>
      <c r="W652" s="16"/>
      <c r="X652" s="16"/>
      <c r="Y652" s="16"/>
      <c r="Z652" s="16"/>
    </row>
    <row r="653">
      <c r="A653" s="16" t="str">
        <f>IFERROR(__xludf.DUMMYFUNCTION("""COMPUTED_VALUE"""),"Ring of the Siren")</f>
        <v>Ring of the Siren</v>
      </c>
      <c r="B653" s="16"/>
      <c r="C653" s="16"/>
      <c r="D653" s="16" t="str">
        <f>IFERROR(__xludf.DUMMYFUNCTION("""COMPUTED_VALUE"""),"Finger")</f>
        <v>Finger</v>
      </c>
      <c r="E653" s="16">
        <f>IFERROR(__xludf.DUMMYFUNCTION("""COMPUTED_VALUE"""),1.0)</f>
        <v>1</v>
      </c>
      <c r="F653" s="16" t="str">
        <f>IFERROR(__xludf.DUMMYFUNCTION("""COMPUTED_VALUE""")," ++X2 acoustic damage ++Song of the Siren - At the start of battle you may roll a fail or Succeed roll to enchant an enemy, causing them to join your side, (for the sake of immunities this counts as possession) +-(Bard Class Only)")</f>
        <v> ++X2 acoustic damage ++Song of the Siren - At the start of battle you may roll a fail or Succeed roll to enchant an enemy, causing them to join your side, (for the sake of immunities this counts as possession) +-(Bard Class Only)</v>
      </c>
      <c r="G653" s="16">
        <f>IFERROR(__xludf.DUMMYFUNCTION("""COMPUTED_VALUE"""),0.0)</f>
        <v>0</v>
      </c>
      <c r="H653" s="16"/>
      <c r="I653" s="16"/>
      <c r="J653" s="16"/>
      <c r="K653" s="16"/>
      <c r="L653" s="16"/>
      <c r="M653" s="16"/>
      <c r="N653" s="16"/>
      <c r="O653" s="16"/>
      <c r="P653" s="16"/>
      <c r="Q653" s="16"/>
      <c r="R653" s="16"/>
      <c r="S653" s="16"/>
      <c r="T653" s="16"/>
      <c r="U653" s="16"/>
      <c r="V653" s="16"/>
      <c r="W653" s="16"/>
      <c r="X653" s="16"/>
      <c r="Y653" s="16"/>
      <c r="Z653" s="16"/>
    </row>
    <row r="654">
      <c r="A654" s="16" t="str">
        <f>IFERROR(__xludf.DUMMYFUNCTION("""COMPUTED_VALUE"""),"Amulet of The Berserker")</f>
        <v>Amulet of The Berserker</v>
      </c>
      <c r="B654" s="16"/>
      <c r="C654" s="16"/>
      <c r="D654" s="16" t="str">
        <f>IFERROR(__xludf.DUMMYFUNCTION("""COMPUTED_VALUE"""),"Neck")</f>
        <v>Neck</v>
      </c>
      <c r="E654" s="16">
        <f>IFERROR(__xludf.DUMMYFUNCTION("""COMPUTED_VALUE"""),1.0)</f>
        <v>1</v>
      </c>
      <c r="F654" s="16" t="str">
        <f>IFERROR(__xludf.DUMMYFUNCTION("""COMPUTED_VALUE""")," ++Berserk - When attacking or being attacked gain 1 stack of Insanity +-(Brawler Class Only)")</f>
        <v> ++Berserk - When attacking or being attacked gain 1 stack of Insanity +-(Brawler Class Only)</v>
      </c>
      <c r="G654" s="16">
        <f>IFERROR(__xludf.DUMMYFUNCTION("""COMPUTED_VALUE"""),0.0)</f>
        <v>0</v>
      </c>
      <c r="H654" s="16"/>
      <c r="I654" s="16"/>
      <c r="J654" s="16"/>
      <c r="K654" s="16"/>
      <c r="L654" s="16"/>
      <c r="M654" s="16"/>
      <c r="N654" s="16"/>
      <c r="O654" s="16"/>
      <c r="P654" s="16"/>
      <c r="Q654" s="16"/>
      <c r="R654" s="16"/>
      <c r="S654" s="16"/>
      <c r="T654" s="16"/>
      <c r="U654" s="16"/>
      <c r="V654" s="16"/>
      <c r="W654" s="16"/>
      <c r="X654" s="16"/>
      <c r="Y654" s="16"/>
      <c r="Z654" s="16"/>
    </row>
    <row r="655">
      <c r="A655" s="16" t="str">
        <f>IFERROR(__xludf.DUMMYFUNCTION("""COMPUTED_VALUE"""),"Mask of the Cultist")</f>
        <v>Mask of the Cultist</v>
      </c>
      <c r="B655" s="16"/>
      <c r="C655" s="16"/>
      <c r="D655" s="16" t="str">
        <f>IFERROR(__xludf.DUMMYFUNCTION("""COMPUTED_VALUE"""),"Head")</f>
        <v>Head</v>
      </c>
      <c r="E655" s="16">
        <f>IFERROR(__xludf.DUMMYFUNCTION("""COMPUTED_VALUE"""),1.0)</f>
        <v>1</v>
      </c>
      <c r="F655" s="16" t="str">
        <f>IFERROR(__xludf.DUMMYFUNCTION("""COMPUTED_VALUE""")," ++One of Us - when fighting alongside another party member with an evil alignment you gain +5 to your attack rolls. +-(Cultist Class Only)")</f>
        <v> ++One of Us - when fighting alongside another party member with an evil alignment you gain +5 to your attack rolls. +-(Cultist Class Only)</v>
      </c>
      <c r="G655" s="16">
        <f>IFERROR(__xludf.DUMMYFUNCTION("""COMPUTED_VALUE"""),0.0)</f>
        <v>0</v>
      </c>
      <c r="H655" s="16"/>
      <c r="I655" s="16"/>
      <c r="J655" s="16"/>
      <c r="K655" s="16"/>
      <c r="L655" s="16"/>
      <c r="M655" s="16"/>
      <c r="N655" s="16"/>
      <c r="O655" s="16"/>
      <c r="P655" s="16"/>
      <c r="Q655" s="16"/>
      <c r="R655" s="16"/>
      <c r="S655" s="16"/>
      <c r="T655" s="16"/>
      <c r="U655" s="16"/>
      <c r="V655" s="16"/>
      <c r="W655" s="16"/>
      <c r="X655" s="16"/>
      <c r="Y655" s="16"/>
      <c r="Z655" s="16"/>
    </row>
    <row r="656">
      <c r="A656" s="16" t="str">
        <f>IFERROR(__xludf.DUMMYFUNCTION("""COMPUTED_VALUE"""),"""Natural"" Cologne")</f>
        <v>"Natural" Cologne</v>
      </c>
      <c r="B656" s="16"/>
      <c r="C656" s="16"/>
      <c r="D656" s="16" t="str">
        <f>IFERROR(__xludf.DUMMYFUNCTION("""COMPUTED_VALUE"""),"Neck")</f>
        <v>Neck</v>
      </c>
      <c r="E656" s="16">
        <f>IFERROR(__xludf.DUMMYFUNCTION("""COMPUTED_VALUE"""),1.0)</f>
        <v>1</v>
      </c>
      <c r="F656" s="16" t="str">
        <f>IFERROR(__xludf.DUMMYFUNCTION("""COMPUTED_VALUE""")," ++Animal Friend - When trying to tame a creature you only have to succeed on a charisma roll twice instead of thrice +-(Druid Class Only)")</f>
        <v> ++Animal Friend - When trying to tame a creature you only have to succeed on a charisma roll twice instead of thrice +-(Druid Class Only)</v>
      </c>
      <c r="G656" s="16">
        <f>IFERROR(__xludf.DUMMYFUNCTION("""COMPUTED_VALUE"""),0.0)</f>
        <v>0</v>
      </c>
      <c r="H656" s="16"/>
      <c r="I656" s="16"/>
      <c r="J656" s="16"/>
      <c r="K656" s="16"/>
      <c r="L656" s="16"/>
      <c r="M656" s="16"/>
      <c r="N656" s="16"/>
      <c r="O656" s="16"/>
      <c r="P656" s="16"/>
      <c r="Q656" s="16"/>
      <c r="R656" s="16"/>
      <c r="S656" s="16"/>
      <c r="T656" s="16"/>
      <c r="U656" s="16"/>
      <c r="V656" s="16"/>
      <c r="W656" s="16"/>
      <c r="X656" s="16"/>
      <c r="Y656" s="16"/>
      <c r="Z656" s="16"/>
    </row>
    <row r="657">
      <c r="A657" s="16" t="str">
        <f>IFERROR(__xludf.DUMMYFUNCTION("""COMPUTED_VALUE"""),"Bonded Ring")</f>
        <v>Bonded Ring</v>
      </c>
      <c r="B657" s="16"/>
      <c r="C657" s="16"/>
      <c r="D657" s="16" t="str">
        <f>IFERROR(__xludf.DUMMYFUNCTION("""COMPUTED_VALUE"""),"Finger")</f>
        <v>Finger</v>
      </c>
      <c r="E657" s="16">
        <f>IFERROR(__xludf.DUMMYFUNCTION("""COMPUTED_VALUE"""),1.0)</f>
        <v>1</v>
      </c>
      <c r="F657" s="16" t="str">
        <f>IFERROR(__xludf.DUMMYFUNCTION("""COMPUTED_VALUE""")," ++A Bond Stronger Than Iron - When with a hatched companion you gain a 10% chance to be unnaffected by an attack +-one use per battle +-(Cavalier Class Only)")</f>
        <v> ++A Bond Stronger Than Iron - When with a hatched companion you gain a 10% chance to be unnaffected by an attack +-one use per battle +-(Cavalier Class Only)</v>
      </c>
      <c r="G657" s="16">
        <f>IFERROR(__xludf.DUMMYFUNCTION("""COMPUTED_VALUE"""),0.0)</f>
        <v>0</v>
      </c>
      <c r="H657" s="16"/>
      <c r="I657" s="16"/>
      <c r="J657" s="16"/>
      <c r="K657" s="16"/>
      <c r="L657" s="16"/>
      <c r="M657" s="16"/>
      <c r="N657" s="16"/>
      <c r="O657" s="16"/>
      <c r="P657" s="16"/>
      <c r="Q657" s="16"/>
      <c r="R657" s="16"/>
      <c r="S657" s="16"/>
      <c r="T657" s="16"/>
      <c r="U657" s="16"/>
      <c r="V657" s="16"/>
      <c r="W657" s="16"/>
      <c r="X657" s="16"/>
      <c r="Y657" s="16"/>
      <c r="Z657" s="16"/>
    </row>
    <row r="658">
      <c r="A658" s="16" t="str">
        <f>IFERROR(__xludf.DUMMYFUNCTION("""COMPUTED_VALUE"""),"Deadeye Brooch")</f>
        <v>Deadeye Brooch</v>
      </c>
      <c r="B658" s="16"/>
      <c r="C658" s="16"/>
      <c r="D658" s="16" t="str">
        <f>IFERROR(__xludf.DUMMYFUNCTION("""COMPUTED_VALUE"""),"Neck")</f>
        <v>Neck</v>
      </c>
      <c r="E658" s="16">
        <f>IFERROR(__xludf.DUMMYFUNCTION("""COMPUTED_VALUE"""),1.0)</f>
        <v>1</v>
      </c>
      <c r="F658" s="16" t="str">
        <f>IFERROR(__xludf.DUMMYFUNCTION("""COMPUTED_VALUE""")," ++One Shot, One Kill - If you kill an enemy with one shot using a firearm you can attack again with the firearm +-(Gunslinger Class Only)")</f>
        <v> ++One Shot, One Kill - If you kill an enemy with one shot using a firearm you can attack again with the firearm +-(Gunslinger Class Only)</v>
      </c>
      <c r="G658" s="16">
        <f>IFERROR(__xludf.DUMMYFUNCTION("""COMPUTED_VALUE"""),0.0)</f>
        <v>0</v>
      </c>
      <c r="H658" s="16"/>
      <c r="I658" s="16"/>
      <c r="J658" s="16"/>
      <c r="K658" s="16"/>
      <c r="L658" s="16"/>
      <c r="M658" s="16"/>
      <c r="N658" s="16"/>
      <c r="O658" s="16"/>
      <c r="P658" s="16"/>
      <c r="Q658" s="16"/>
      <c r="R658" s="16"/>
      <c r="S658" s="16"/>
      <c r="T658" s="16"/>
      <c r="U658" s="16"/>
      <c r="V658" s="16"/>
      <c r="W658" s="16"/>
      <c r="X658" s="16"/>
      <c r="Y658" s="16"/>
      <c r="Z658" s="16"/>
    </row>
    <row r="659">
      <c r="A659" s="16" t="str">
        <f>IFERROR(__xludf.DUMMYFUNCTION("""COMPUTED_VALUE"""),"Tool Kit")</f>
        <v>Tool Kit</v>
      </c>
      <c r="B659" s="16"/>
      <c r="C659" s="16"/>
      <c r="D659" s="16" t="str">
        <f>IFERROR(__xludf.DUMMYFUNCTION("""COMPUTED_VALUE"""),"Ring")</f>
        <v>Ring</v>
      </c>
      <c r="E659" s="16">
        <f>IFERROR(__xludf.DUMMYFUNCTION("""COMPUTED_VALUE"""),1.0)</f>
        <v>1</v>
      </c>
      <c r="F659" s="16" t="str">
        <f>IFERROR(__xludf.DUMMYFUNCTION("""COMPUTED_VALUE""")," ++The Right Tool For The Job - once per dungeon you are guaranteed to disable a trap +-(Hunter Class Only)")</f>
        <v> ++The Right Tool For The Job - once per dungeon you are guaranteed to disable a trap +-(Hunter Class Only)</v>
      </c>
      <c r="G659" s="16">
        <f>IFERROR(__xludf.DUMMYFUNCTION("""COMPUTED_VALUE"""),0.0)</f>
        <v>0</v>
      </c>
      <c r="H659" s="16"/>
      <c r="I659" s="16"/>
      <c r="J659" s="16"/>
      <c r="K659" s="16"/>
      <c r="L659" s="16"/>
      <c r="M659" s="16"/>
      <c r="N659" s="16"/>
      <c r="O659" s="16"/>
      <c r="P659" s="16"/>
      <c r="Q659" s="16"/>
      <c r="R659" s="16"/>
      <c r="S659" s="16"/>
      <c r="T659" s="16"/>
      <c r="U659" s="16"/>
      <c r="V659" s="16"/>
      <c r="W659" s="16"/>
      <c r="X659" s="16"/>
      <c r="Y659" s="16"/>
      <c r="Z659" s="16"/>
    </row>
    <row r="660">
      <c r="A660" s="16" t="str">
        <f>IFERROR(__xludf.DUMMYFUNCTION("""COMPUTED_VALUE"""),"Basic Bitch Award")</f>
        <v>Basic Bitch Award</v>
      </c>
      <c r="B660" s="16"/>
      <c r="C660" s="16"/>
      <c r="D660" s="16" t="str">
        <f>IFERROR(__xludf.DUMMYFUNCTION("""COMPUTED_VALUE"""),"Ring")</f>
        <v>Ring</v>
      </c>
      <c r="E660" s="16">
        <f>IFERROR(__xludf.DUMMYFUNCTION("""COMPUTED_VALUE"""),1.0)</f>
        <v>1</v>
      </c>
      <c r="F660" s="16" t="str">
        <f>IFERROR(__xludf.DUMMYFUNCTION("""COMPUTED_VALUE""")," ++Joe Schmoe - +5 Charisma +-(Knight Class Only)")</f>
        <v> ++Joe Schmoe - +5 Charisma +-(Knight Class Only)</v>
      </c>
      <c r="G660" s="16">
        <f>IFERROR(__xludf.DUMMYFUNCTION("""COMPUTED_VALUE"""),0.0)</f>
        <v>0</v>
      </c>
      <c r="H660" s="16"/>
      <c r="I660" s="16"/>
      <c r="J660" s="16"/>
      <c r="K660" s="16"/>
      <c r="L660" s="16"/>
      <c r="M660" s="16"/>
      <c r="N660" s="16"/>
      <c r="O660" s="16"/>
      <c r="P660" s="16"/>
      <c r="Q660" s="16"/>
      <c r="R660" s="16"/>
      <c r="S660" s="16"/>
      <c r="T660" s="16"/>
      <c r="U660" s="16"/>
      <c r="V660" s="16"/>
      <c r="W660" s="16"/>
      <c r="X660" s="16"/>
      <c r="Y660" s="16"/>
      <c r="Z660" s="16"/>
    </row>
    <row r="661">
      <c r="A661" s="16" t="str">
        <f>IFERROR(__xludf.DUMMYFUNCTION("""COMPUTED_VALUE"""),"Ring of The Frail Scholar")</f>
        <v>Ring of The Frail Scholar</v>
      </c>
      <c r="B661" s="16"/>
      <c r="C661" s="16"/>
      <c r="D661" s="16" t="str">
        <f>IFERROR(__xludf.DUMMYFUNCTION("""COMPUTED_VALUE"""),"Ring")</f>
        <v>Ring</v>
      </c>
      <c r="E661" s="16">
        <f>IFERROR(__xludf.DUMMYFUNCTION("""COMPUTED_VALUE"""),1.0)</f>
        <v>1</v>
      </c>
      <c r="F661" s="16" t="str">
        <f>IFERROR(__xludf.DUMMYFUNCTION("""COMPUTED_VALUE""")," ++Frail Scholar - Lowers HP by half but doubles SP +-(Mage, Wizard, and Sorcerer Class Only)")</f>
        <v> ++Frail Scholar - Lowers HP by half but doubles SP +-(Mage, Wizard, and Sorcerer Class Only)</v>
      </c>
      <c r="G661" s="16">
        <f>IFERROR(__xludf.DUMMYFUNCTION("""COMPUTED_VALUE"""),0.0)</f>
        <v>0</v>
      </c>
      <c r="H661" s="16"/>
      <c r="I661" s="16"/>
      <c r="J661" s="16"/>
      <c r="K661" s="16"/>
      <c r="L661" s="16"/>
      <c r="M661" s="16"/>
      <c r="N661" s="16"/>
      <c r="O661" s="16"/>
      <c r="P661" s="16"/>
      <c r="Q661" s="16"/>
      <c r="R661" s="16"/>
      <c r="S661" s="16"/>
      <c r="T661" s="16"/>
      <c r="U661" s="16"/>
      <c r="V661" s="16"/>
      <c r="W661" s="16"/>
      <c r="X661" s="16"/>
      <c r="Y661" s="16"/>
      <c r="Z661" s="16"/>
    </row>
    <row r="662">
      <c r="A662" s="16" t="str">
        <f>IFERROR(__xludf.DUMMYFUNCTION("""COMPUTED_VALUE"""),"Ring of Sticky FIngers")</f>
        <v>Ring of Sticky FIngers</v>
      </c>
      <c r="B662" s="16"/>
      <c r="C662" s="16"/>
      <c r="D662" s="16" t="str">
        <f>IFERROR(__xludf.DUMMYFUNCTION("""COMPUTED_VALUE"""),"Ring")</f>
        <v>Ring</v>
      </c>
      <c r="E662" s="16">
        <f>IFERROR(__xludf.DUMMYFUNCTION("""COMPUTED_VALUE"""),1.0)</f>
        <v>1</v>
      </c>
      <c r="F662" s="16" t="str">
        <f>IFERROR(__xludf.DUMMYFUNCTION("""COMPUTED_VALUE""")," ++Sticky FIngers - Allows you to use confiscate, take, and pickpocket skills twice +-(Marauder Class Only)")</f>
        <v> ++Sticky FIngers - Allows you to use confiscate, take, and pickpocket skills twice +-(Marauder Class Only)</v>
      </c>
      <c r="G662" s="16">
        <f>IFERROR(__xludf.DUMMYFUNCTION("""COMPUTED_VALUE"""),0.0)</f>
        <v>0</v>
      </c>
      <c r="H662" s="16"/>
      <c r="I662" s="16"/>
      <c r="J662" s="16"/>
      <c r="K662" s="16"/>
      <c r="L662" s="16"/>
      <c r="M662" s="16"/>
      <c r="N662" s="16"/>
      <c r="O662" s="16"/>
      <c r="P662" s="16"/>
      <c r="Q662" s="16"/>
      <c r="R662" s="16"/>
      <c r="S662" s="16"/>
      <c r="T662" s="16"/>
      <c r="U662" s="16"/>
      <c r="V662" s="16"/>
      <c r="W662" s="16"/>
      <c r="X662" s="16"/>
      <c r="Y662" s="16"/>
      <c r="Z662" s="16"/>
    </row>
    <row r="663">
      <c r="A663" s="16" t="str">
        <f>IFERROR(__xludf.DUMMYFUNCTION("""COMPUTED_VALUE"""),"Spirit Furnace")</f>
        <v>Spirit Furnace</v>
      </c>
      <c r="B663" s="16"/>
      <c r="C663" s="16"/>
      <c r="D663" s="16" t="str">
        <f>IFERROR(__xludf.DUMMYFUNCTION("""COMPUTED_VALUE"""),"Neck")</f>
        <v>Neck</v>
      </c>
      <c r="E663" s="16">
        <f>IFERROR(__xludf.DUMMYFUNCTION("""COMPUTED_VALUE"""),1.0)</f>
        <v>1</v>
      </c>
      <c r="F663" s="16" t="str">
        <f>IFERROR(__xludf.DUMMYFUNCTION("""COMPUTED_VALUE""")," ++Cultivation - If you have not yet attacked during the current battle you deal X4 additional damage during your next attack.. +-(Monk Class Only)")</f>
        <v> ++Cultivation - If you have not yet attacked during the current battle you deal X4 additional damage during your next attack.. +-(Monk Class Only)</v>
      </c>
      <c r="G663" s="16">
        <f>IFERROR(__xludf.DUMMYFUNCTION("""COMPUTED_VALUE"""),0.0)</f>
        <v>0</v>
      </c>
      <c r="H663" s="16"/>
      <c r="I663" s="16"/>
      <c r="J663" s="16"/>
      <c r="K663" s="16"/>
      <c r="L663" s="16"/>
      <c r="M663" s="16"/>
      <c r="N663" s="16"/>
      <c r="O663" s="16"/>
      <c r="P663" s="16"/>
      <c r="Q663" s="16"/>
      <c r="R663" s="16"/>
      <c r="S663" s="16"/>
      <c r="T663" s="16"/>
      <c r="U663" s="16"/>
      <c r="V663" s="16"/>
      <c r="W663" s="16"/>
      <c r="X663" s="16"/>
      <c r="Y663" s="16"/>
      <c r="Z663" s="16"/>
    </row>
    <row r="664">
      <c r="A664" s="16" t="str">
        <f>IFERROR(__xludf.DUMMYFUNCTION("""COMPUTED_VALUE"""),"Smokebomb Pouch")</f>
        <v>Smokebomb Pouch</v>
      </c>
      <c r="B664" s="16"/>
      <c r="C664" s="16"/>
      <c r="D664" s="16" t="str">
        <f>IFERROR(__xludf.DUMMYFUNCTION("""COMPUTED_VALUE"""),"Legs")</f>
        <v>Legs</v>
      </c>
      <c r="E664" s="16">
        <f>IFERROR(__xludf.DUMMYFUNCTION("""COMPUTED_VALUE"""),1.0)</f>
        <v>1</v>
      </c>
      <c r="F664" s="16" t="str">
        <f>IFERROR(__xludf.DUMMYFUNCTION("""COMPUTED_VALUE""")," ++Smoke Bomb - Conceal abilities are guaranteed to succeed +-(Ninja Class Only)")</f>
        <v> ++Smoke Bomb - Conceal abilities are guaranteed to succeed +-(Ninja Class Only)</v>
      </c>
      <c r="G664" s="16">
        <f>IFERROR(__xludf.DUMMYFUNCTION("""COMPUTED_VALUE"""),0.0)</f>
        <v>0</v>
      </c>
      <c r="H664" s="16"/>
      <c r="I664" s="16"/>
      <c r="J664" s="16"/>
      <c r="K664" s="16"/>
      <c r="L664" s="16"/>
      <c r="M664" s="16"/>
      <c r="N664" s="16"/>
      <c r="O664" s="16"/>
      <c r="P664" s="16"/>
      <c r="Q664" s="16"/>
      <c r="R664" s="16"/>
      <c r="S664" s="16"/>
      <c r="T664" s="16"/>
      <c r="U664" s="16"/>
      <c r="V664" s="16"/>
      <c r="W664" s="16"/>
      <c r="X664" s="16"/>
      <c r="Y664" s="16"/>
      <c r="Z664" s="16"/>
    </row>
    <row r="665">
      <c r="A665" s="16" t="str">
        <f>IFERROR(__xludf.DUMMYFUNCTION("""COMPUTED_VALUE"""),"Certificate of Shield Bashing School")</f>
        <v>Certificate of Shield Bashing School</v>
      </c>
      <c r="B665" s="16"/>
      <c r="C665" s="16"/>
      <c r="D665" s="16" t="str">
        <f>IFERROR(__xludf.DUMMYFUNCTION("""COMPUTED_VALUE"""),"Neck")</f>
        <v>Neck</v>
      </c>
      <c r="E665" s="16">
        <f>IFERROR(__xludf.DUMMYFUNCTION("""COMPUTED_VALUE"""),1.0)</f>
        <v>1</v>
      </c>
      <c r="F665" s="16" t="str">
        <f>IFERROR(__xludf.DUMMYFUNCTION("""COMPUTED_VALUE""")," ++Shield Bash Extraordinaire - When attacking with a shield you may add your mobility bonus to the attack roll +-(Paladin Class Only)")</f>
        <v> ++Shield Bash Extraordinaire - When attacking with a shield you may add your mobility bonus to the attack roll +-(Paladin Class Only)</v>
      </c>
      <c r="G665" s="16">
        <f>IFERROR(__xludf.DUMMYFUNCTION("""COMPUTED_VALUE"""),0.0)</f>
        <v>0</v>
      </c>
      <c r="H665" s="16"/>
      <c r="I665" s="16"/>
      <c r="J665" s="16"/>
      <c r="K665" s="16"/>
      <c r="L665" s="16"/>
      <c r="M665" s="16"/>
      <c r="N665" s="16"/>
      <c r="O665" s="16"/>
      <c r="P665" s="16"/>
      <c r="Q665" s="16"/>
      <c r="R665" s="16"/>
      <c r="S665" s="16"/>
      <c r="T665" s="16"/>
      <c r="U665" s="16"/>
      <c r="V665" s="16"/>
      <c r="W665" s="16"/>
      <c r="X665" s="16"/>
      <c r="Y665" s="16"/>
      <c r="Z665" s="16"/>
    </row>
    <row r="666">
      <c r="A666" s="16" t="str">
        <f>IFERROR(__xludf.DUMMYFUNCTION("""COMPUTED_VALUE"""),"Goblet of Greed")</f>
        <v>Goblet of Greed</v>
      </c>
      <c r="B666" s="16"/>
      <c r="C666" s="16"/>
      <c r="D666" s="16" t="str">
        <f>IFERROR(__xludf.DUMMYFUNCTION("""COMPUTED_VALUE"""),"Neck")</f>
        <v>Neck</v>
      </c>
      <c r="E666" s="16">
        <f>IFERROR(__xludf.DUMMYFUNCTION("""COMPUTED_VALUE"""),1.0)</f>
        <v>1</v>
      </c>
      <c r="F666" s="16" t="str">
        <f>IFERROR(__xludf.DUMMYFUNCTION("""COMPUTED_VALUE""")," ++MORE!!! MOOOORE!!!!! - multiply your damage by X*2 until the end of battle where X is equal to the amount of times you stole from someone during battle. +-(Pirate Class Only)")</f>
        <v> ++MORE!!! MOOOORE!!!!! - multiply your damage by X*2 until the end of battle where X is equal to the amount of times you stole from someone during battle. +-(Pirate Class Only)</v>
      </c>
      <c r="G666" s="16">
        <f>IFERROR(__xludf.DUMMYFUNCTION("""COMPUTED_VALUE"""),0.0)</f>
        <v>0</v>
      </c>
      <c r="H666" s="16"/>
      <c r="I666" s="16"/>
      <c r="J666" s="16"/>
      <c r="K666" s="16"/>
      <c r="L666" s="16"/>
      <c r="M666" s="16"/>
      <c r="N666" s="16"/>
      <c r="O666" s="16"/>
      <c r="P666" s="16"/>
      <c r="Q666" s="16"/>
      <c r="R666" s="16"/>
      <c r="S666" s="16"/>
      <c r="T666" s="16"/>
      <c r="U666" s="16"/>
      <c r="V666" s="16"/>
      <c r="W666" s="16"/>
      <c r="X666" s="16"/>
      <c r="Y666" s="16"/>
      <c r="Z666" s="16"/>
    </row>
    <row r="667">
      <c r="A667" s="16" t="str">
        <f>IFERROR(__xludf.DUMMYFUNCTION("""COMPUTED_VALUE"""),"Holy Symbol")</f>
        <v>Holy Symbol</v>
      </c>
      <c r="B667" s="16"/>
      <c r="C667" s="16"/>
      <c r="D667" s="16" t="str">
        <f>IFERROR(__xludf.DUMMYFUNCTION("""COMPUTED_VALUE"""),"Neck")</f>
        <v>Neck</v>
      </c>
      <c r="E667" s="16">
        <f>IFERROR(__xludf.DUMMYFUNCTION("""COMPUTED_VALUE"""),1.0)</f>
        <v>1</v>
      </c>
      <c r="F667" s="16" t="str">
        <f>IFERROR(__xludf.DUMMYFUNCTION("""COMPUTED_VALUE""")," ++Holy Prescence - You can prevent 1 curse, disease, or possesion from affecting a party member once per battle/journey. +-(Priest Class Only)")</f>
        <v> ++Holy Prescence - You can prevent 1 curse, disease, or possesion from affecting a party member once per battle/journey. +-(Priest Class Only)</v>
      </c>
      <c r="G667" s="16">
        <f>IFERROR(__xludf.DUMMYFUNCTION("""COMPUTED_VALUE"""),0.0)</f>
        <v>0</v>
      </c>
      <c r="H667" s="16"/>
      <c r="I667" s="16"/>
      <c r="J667" s="16"/>
      <c r="K667" s="16"/>
      <c r="L667" s="16"/>
      <c r="M667" s="16"/>
      <c r="N667" s="16"/>
      <c r="O667" s="16"/>
      <c r="P667" s="16"/>
      <c r="Q667" s="16"/>
      <c r="R667" s="16"/>
      <c r="S667" s="16"/>
      <c r="T667" s="16"/>
      <c r="U667" s="16"/>
      <c r="V667" s="16"/>
      <c r="W667" s="16"/>
      <c r="X667" s="16"/>
      <c r="Y667" s="16"/>
      <c r="Z667" s="16"/>
    </row>
    <row r="668">
      <c r="A668" s="16" t="str">
        <f>IFERROR(__xludf.DUMMYFUNCTION("""COMPUTED_VALUE"""),"Mysterious Merchant's Scythe")</f>
        <v>Mysterious Merchant's Scythe</v>
      </c>
      <c r="B668" s="16" t="str">
        <f>IFERROR(__xludf.DUMMYFUNCTION("""COMPUTED_VALUE"""),"The scythe of the mysterious merchant himself imbued with a great power")</f>
        <v>The scythe of the mysterious merchant himself imbued with a great power</v>
      </c>
      <c r="C668" s="16" t="str">
        <f>IFERROR(__xludf.DUMMYFUNCTION("""COMPUTED_VALUE"""),"Scythe")</f>
        <v>Scythe</v>
      </c>
      <c r="D668" s="16" t="str">
        <f>IFERROR(__xludf.DUMMYFUNCTION("""COMPUTED_VALUE"""),"Hand")</f>
        <v>Hand</v>
      </c>
      <c r="E668" s="16">
        <f>IFERROR(__xludf.DUMMYFUNCTION("""COMPUTED_VALUE"""),1000.0)</f>
        <v>1000</v>
      </c>
      <c r="F668" s="16" t="str">
        <f>IFERROR(__xludf.DUMMYFUNCTION("""COMPUTED_VALUE"""),", Spirit DMG: +50000 ++Burning Souls - This weapon can devour up to 100 souls to increase it's damage by X*1000 with X representing the souls imbued. When at maximum souls Imbued you can unleash an attack dealing 500,000 Spirit damage to all enemies but s"&amp;"tunning you until the end of battle. +-(Reaper Class Only). ++(0/100 Souls imbued)")</f>
        <v>, Spirit DMG: +50000 ++Burning Souls - This weapon can devour up to 100 souls to increase it's damage by X*1000 with X representing the souls imbued. When at maximum souls Imbued you can unleash an attack dealing 500,000 Spirit damage to all enemies but stunning you until the end of battle. +-(Reaper Class Only). ++(0/100 Souls imbued)</v>
      </c>
      <c r="G668" s="16">
        <f>IFERROR(__xludf.DUMMYFUNCTION("""COMPUTED_VALUE"""),4.95E7)</f>
        <v>49500000</v>
      </c>
      <c r="H668" s="16"/>
      <c r="I668" s="16"/>
      <c r="J668" s="16"/>
      <c r="K668" s="16"/>
      <c r="L668" s="16"/>
      <c r="M668" s="16"/>
      <c r="N668" s="16"/>
      <c r="O668" s="16"/>
      <c r="P668" s="16"/>
      <c r="Q668" s="16"/>
      <c r="R668" s="16"/>
      <c r="S668" s="16"/>
      <c r="T668" s="16"/>
      <c r="U668" s="16"/>
      <c r="V668" s="16"/>
      <c r="W668" s="16"/>
      <c r="X668" s="16"/>
      <c r="Y668" s="16"/>
      <c r="Z668" s="16"/>
    </row>
    <row r="669">
      <c r="A669" s="16" t="str">
        <f>IFERROR(__xludf.DUMMYFUNCTION("""COMPUTED_VALUE"""),"Cursed Saya")</f>
        <v>Cursed Saya</v>
      </c>
      <c r="B669" s="16" t="str">
        <f>IFERROR(__xludf.DUMMYFUNCTION("""COMPUTED_VALUE"""),"A saya unearthed in an ancient temple, those wearing this saya feel an unbeleivable surge of joy and power seeing their opponents in a weakend state.")</f>
        <v>A saya unearthed in an ancient temple, those wearing this saya feel an unbeleivable surge of joy and power seeing their opponents in a weakend state.</v>
      </c>
      <c r="C669" s="16"/>
      <c r="D669" s="16" t="str">
        <f>IFERROR(__xludf.DUMMYFUNCTION("""COMPUTED_VALUE"""),"Legs")</f>
        <v>Legs</v>
      </c>
      <c r="E669" s="16">
        <f>IFERROR(__xludf.DUMMYFUNCTION("""COMPUTED_VALUE"""),1.0)</f>
        <v>1</v>
      </c>
      <c r="F669" s="16" t="str">
        <f>IFERROR(__xludf.DUMMYFUNCTION("""COMPUTED_VALUE""")," ++Debilitating Strike - When attacking an enemy with your weapon deal X2 damage for every negative effect inflicted on that enemy +-(Samurai Class Only)")</f>
        <v> ++Debilitating Strike - When attacking an enemy with your weapon deal X2 damage for every negative effect inflicted on that enemy +-(Samurai Class Only)</v>
      </c>
      <c r="G669" s="16">
        <f>IFERROR(__xludf.DUMMYFUNCTION("""COMPUTED_VALUE"""),0.0)</f>
        <v>0</v>
      </c>
      <c r="H669" s="16"/>
      <c r="I669" s="16"/>
      <c r="J669" s="16"/>
      <c r="K669" s="16"/>
      <c r="L669" s="16"/>
      <c r="M669" s="16"/>
      <c r="N669" s="16"/>
      <c r="O669" s="16"/>
      <c r="P669" s="16"/>
      <c r="Q669" s="16"/>
      <c r="R669" s="16"/>
      <c r="S669" s="16"/>
      <c r="T669" s="16"/>
      <c r="U669" s="16"/>
      <c r="V669" s="16"/>
      <c r="W669" s="16"/>
      <c r="X669" s="16"/>
      <c r="Y669" s="16"/>
      <c r="Z669" s="16"/>
    </row>
    <row r="670">
      <c r="A670" s="16" t="str">
        <f>IFERROR(__xludf.DUMMYFUNCTION("""COMPUTED_VALUE"""),"Shamanic Staff")</f>
        <v>Shamanic Staff</v>
      </c>
      <c r="B670" s="16" t="str">
        <f>IFERROR(__xludf.DUMMYFUNCTION("""COMPUTED_VALUE"""),"A long staff made with elder wood, the magic focus of this weapon is a piece of Hanged Man's Jasper, a rare gemstone with a high affinity for spirit magic.")</f>
        <v>A long staff made with elder wood, the magic focus of this weapon is a piece of Hanged Man's Jasper, a rare gemstone with a high affinity for spirit magic.</v>
      </c>
      <c r="C670" s="16" t="str">
        <f>IFERROR(__xludf.DUMMYFUNCTION("""COMPUTED_VALUE"""),"Staff")</f>
        <v>Staff</v>
      </c>
      <c r="D670" s="16" t="str">
        <f>IFERROR(__xludf.DUMMYFUNCTION("""COMPUTED_VALUE"""),"Hand")</f>
        <v>Hand</v>
      </c>
      <c r="E670" s="16">
        <f>IFERROR(__xludf.DUMMYFUNCTION("""COMPUTED_VALUE"""),1500.0)</f>
        <v>1500</v>
      </c>
      <c r="F670" s="16" t="str">
        <f>IFERROR(__xludf.DUMMYFUNCTION("""COMPUTED_VALUE"""),", Fire DMG: +25000, Spirit DMG: +25000, Voodoo DMG: +25000 ++In Tandem - When attacking any enemy that your spirit has previously targetted you gain a +5 to attack rolls against that enemy. Cost: 500 sp")</f>
        <v>, Fire DMG: +25000, Spirit DMG: +25000, Voodoo DMG: +25000 ++In Tandem - When attacking any enemy that your spirit has previously targetted you gain a +5 to attack rolls against that enemy. Cost: 500 sp</v>
      </c>
      <c r="G670" s="16">
        <f>IFERROR(__xludf.DUMMYFUNCTION("""COMPUTED_VALUE"""),1.1175E8)</f>
        <v>111750000</v>
      </c>
      <c r="H670" s="16"/>
      <c r="I670" s="16"/>
      <c r="J670" s="16"/>
      <c r="K670" s="16"/>
      <c r="L670" s="16"/>
      <c r="M670" s="16"/>
      <c r="N670" s="16"/>
      <c r="O670" s="16"/>
      <c r="P670" s="16"/>
      <c r="Q670" s="16"/>
      <c r="R670" s="16"/>
      <c r="S670" s="16"/>
      <c r="T670" s="16"/>
      <c r="U670" s="16"/>
      <c r="V670" s="16"/>
      <c r="W670" s="16"/>
      <c r="X670" s="16"/>
      <c r="Y670" s="16"/>
      <c r="Z670" s="16"/>
    </row>
    <row r="671">
      <c r="A671" s="16" t="str">
        <f>IFERROR(__xludf.DUMMYFUNCTION("""COMPUTED_VALUE"""),"Rune Necklace")</f>
        <v>Rune Necklace</v>
      </c>
      <c r="B671" s="16" t="str">
        <f>IFERROR(__xludf.DUMMYFUNCTION("""COMPUTED_VALUE"""),"A necklace given to Shaman's upon completeing their rite, to be a High shaman, the spirits recognize this as a sign of power and bow to those wearing this necklace.")</f>
        <v>A necklace given to Shaman's upon completeing their rite, to be a High shaman, the spirits recognize this as a sign of power and bow to those wearing this necklace.</v>
      </c>
      <c r="C671" s="16"/>
      <c r="D671" s="16" t="str">
        <f>IFERROR(__xludf.DUMMYFUNCTION("""COMPUTED_VALUE"""),"Neck")</f>
        <v>Neck</v>
      </c>
      <c r="E671" s="16">
        <f>IFERROR(__xludf.DUMMYFUNCTION("""COMPUTED_VALUE"""),1.0)</f>
        <v>1</v>
      </c>
      <c r="F671" s="16" t="str">
        <f>IFERROR(__xludf.DUMMYFUNCTION("""COMPUTED_VALUE""")," ++Spirit's Friend - Any summoned Spirit gains +5 to all perks and X2 base stats +-(Shaman Class Only)")</f>
        <v> ++Spirit's Friend - Any summoned Spirit gains +5 to all perks and X2 base stats +-(Shaman Class Only)</v>
      </c>
      <c r="G671" s="16">
        <f>IFERROR(__xludf.DUMMYFUNCTION("""COMPUTED_VALUE"""),0.0)</f>
        <v>0</v>
      </c>
      <c r="H671" s="16"/>
      <c r="I671" s="16"/>
      <c r="J671" s="16"/>
      <c r="K671" s="16"/>
      <c r="L671" s="16"/>
      <c r="M671" s="16"/>
      <c r="N671" s="16"/>
      <c r="O671" s="16"/>
      <c r="P671" s="16"/>
      <c r="Q671" s="16"/>
      <c r="R671" s="16"/>
      <c r="S671" s="16"/>
      <c r="T671" s="16"/>
      <c r="U671" s="16"/>
      <c r="V671" s="16"/>
      <c r="W671" s="16"/>
      <c r="X671" s="16"/>
      <c r="Y671" s="16"/>
      <c r="Z671" s="16"/>
    </row>
    <row r="672">
      <c r="A672" s="16" t="str">
        <f>IFERROR(__xludf.DUMMYFUNCTION("""COMPUTED_VALUE"""),"Spell Sponge")</f>
        <v>Spell Sponge</v>
      </c>
      <c r="B672" s="16" t="str">
        <f>IFERROR(__xludf.DUMMYFUNCTION("""COMPUTED_VALUE"""),"A mushroom found rarely in an unknown cave within Spira it has high magic absorption powers and those with magical bloodlines can weild these to great effect to reverse their enemies back upon them.")</f>
        <v>A mushroom found rarely in an unknown cave within Spira it has high magic absorption powers and those with magical bloodlines can weild these to great effect to reverse their enemies back upon them.</v>
      </c>
      <c r="C672" s="16"/>
      <c r="D672" s="16" t="str">
        <f>IFERROR(__xludf.DUMMYFUNCTION("""COMPUTED_VALUE"""),"Neck")</f>
        <v>Neck</v>
      </c>
      <c r="E672" s="16">
        <f>IFERROR(__xludf.DUMMYFUNCTION("""COMPUTED_VALUE"""),1.0)</f>
        <v>1</v>
      </c>
      <c r="F672" s="16" t="str">
        <f>IFERROR(__xludf.DUMMYFUNCTION("""COMPUTED_VALUE""")," ++Spell Sponge - If you are unaffected by a spell casted by an enemy you can choose to immediately cast the same spell back at them even if you don't have the spell equipped or don't know the spell +-(Mage, Wizard, and Sorcerer Class Only)")</f>
        <v> ++Spell Sponge - If you are unaffected by a spell casted by an enemy you can choose to immediately cast the same spell back at them even if you don't have the spell equipped or don't know the spell +-(Mage, Wizard, and Sorcerer Class Only)</v>
      </c>
      <c r="G672" s="16">
        <f>IFERROR(__xludf.DUMMYFUNCTION("""COMPUTED_VALUE"""),0.0)</f>
        <v>0</v>
      </c>
      <c r="H672" s="16"/>
      <c r="I672" s="16"/>
      <c r="J672" s="16"/>
      <c r="K672" s="16"/>
      <c r="L672" s="16"/>
      <c r="M672" s="16"/>
      <c r="N672" s="16"/>
      <c r="O672" s="16"/>
      <c r="P672" s="16"/>
      <c r="Q672" s="16"/>
      <c r="R672" s="16"/>
      <c r="S672" s="16"/>
      <c r="T672" s="16"/>
      <c r="U672" s="16"/>
      <c r="V672" s="16"/>
      <c r="W672" s="16"/>
      <c r="X672" s="16"/>
      <c r="Y672" s="16"/>
      <c r="Z672" s="16"/>
    </row>
    <row r="673">
      <c r="A673" s="16" t="str">
        <f>IFERROR(__xludf.DUMMYFUNCTION("""COMPUTED_VALUE"""),"Viking's Warpaint")</f>
        <v>Viking's Warpaint</v>
      </c>
      <c r="B673" s="16" t="str">
        <f>IFERROR(__xludf.DUMMYFUNCTION("""COMPUTED_VALUE"""),"A set of primitive paint imported from Knappadalr, for some reason these paints fill you with rage.")</f>
        <v>A set of primitive paint imported from Knappadalr, for some reason these paints fill you with rage.</v>
      </c>
      <c r="C673" s="16"/>
      <c r="D673" s="16" t="str">
        <f>IFERROR(__xludf.DUMMYFUNCTION("""COMPUTED_VALUE"""),"Head")</f>
        <v>Head</v>
      </c>
      <c r="E673" s="16">
        <f>IFERROR(__xludf.DUMMYFUNCTION("""COMPUTED_VALUE"""),1.0)</f>
        <v>1</v>
      </c>
      <c r="F673" s="16" t="str">
        <f>IFERROR(__xludf.DUMMYFUNCTION("""COMPUTED_VALUE""")," ++Rage - When you either parry or are unaffected by a weapon attack your next attack deals X4 damage +-(Viking Class Only)")</f>
        <v> ++Rage - When you either parry or are unaffected by a weapon attack your next attack deals X4 damage +-(Viking Class Only)</v>
      </c>
      <c r="G673" s="16">
        <f>IFERROR(__xludf.DUMMYFUNCTION("""COMPUTED_VALUE"""),0.0)</f>
        <v>0</v>
      </c>
      <c r="H673" s="16"/>
      <c r="I673" s="16"/>
      <c r="J673" s="16"/>
      <c r="K673" s="16"/>
      <c r="L673" s="16"/>
      <c r="M673" s="16"/>
      <c r="N673" s="16"/>
      <c r="O673" s="16"/>
      <c r="P673" s="16"/>
      <c r="Q673" s="16"/>
      <c r="R673" s="16"/>
      <c r="S673" s="16"/>
      <c r="T673" s="16"/>
      <c r="U673" s="16"/>
      <c r="V673" s="16"/>
      <c r="W673" s="16"/>
      <c r="X673" s="16"/>
      <c r="Y673" s="16"/>
      <c r="Z673" s="16"/>
    </row>
    <row r="674">
      <c r="A674" s="16" t="str">
        <f>IFERROR(__xludf.DUMMYFUNCTION("""COMPUTED_VALUE"""),"Speed Shoes")</f>
        <v>Speed Shoes</v>
      </c>
      <c r="B674" s="16" t="str">
        <f>IFERROR(__xludf.DUMMYFUNCTION("""COMPUTED_VALUE"""),"A pair of red shoes that make you feel like dancing.")</f>
        <v>A pair of red shoes that make you feel like dancing.</v>
      </c>
      <c r="C674" s="16"/>
      <c r="D674" s="16" t="str">
        <f>IFERROR(__xludf.DUMMYFUNCTION("""COMPUTED_VALUE"""),"Feet")</f>
        <v>Feet</v>
      </c>
      <c r="E674" s="16">
        <f>IFERROR(__xludf.DUMMYFUNCTION("""COMPUTED_VALUE"""),1.0)</f>
        <v>1</v>
      </c>
      <c r="F674" s="16" t="str">
        <f>IFERROR(__xludf.DUMMYFUNCTION("""COMPUTED_VALUE""")," ++Can't Touch This - When you successfully dodge an attack you can immediate attack with a weapon attack +-(Warrior Class Only)")</f>
        <v> ++Can't Touch This - When you successfully dodge an attack you can immediate attack with a weapon attack +-(Warrior Class Only)</v>
      </c>
      <c r="G674" s="16">
        <f>IFERROR(__xludf.DUMMYFUNCTION("""COMPUTED_VALUE"""),0.0)</f>
        <v>0</v>
      </c>
      <c r="H674" s="16"/>
      <c r="I674" s="16"/>
      <c r="J674" s="16"/>
      <c r="K674" s="16"/>
      <c r="L674" s="16"/>
      <c r="M674" s="16"/>
      <c r="N674" s="16"/>
      <c r="O674" s="16"/>
      <c r="P674" s="16"/>
      <c r="Q674" s="16"/>
      <c r="R674" s="16"/>
      <c r="S674" s="16"/>
      <c r="T674" s="16"/>
      <c r="U674" s="16"/>
      <c r="V674" s="16"/>
      <c r="W674" s="16"/>
      <c r="X674" s="16"/>
      <c r="Y674" s="16"/>
      <c r="Z674" s="16"/>
    </row>
    <row r="675">
      <c r="A675" s="16" t="str">
        <f>IFERROR(__xludf.DUMMYFUNCTION("""COMPUTED_VALUE"""),"Book of Hexes")</f>
        <v>Book of Hexes</v>
      </c>
      <c r="B675" s="16" t="str">
        <f>IFERROR(__xludf.DUMMYFUNCTION("""COMPUTED_VALUE"""),"The staple item for a witch.")</f>
        <v>The staple item for a witch.</v>
      </c>
      <c r="C675" s="16"/>
      <c r="D675" s="16" t="str">
        <f>IFERROR(__xludf.DUMMYFUNCTION("""COMPUTED_VALUE"""),"Legs")</f>
        <v>Legs</v>
      </c>
      <c r="E675" s="16">
        <f>IFERROR(__xludf.DUMMYFUNCTION("""COMPUTED_VALUE"""),1.0)</f>
        <v>1</v>
      </c>
      <c r="F675" s="16" t="str">
        <f>IFERROR(__xludf.DUMMYFUNCTION("""COMPUTED_VALUE""")," ++Hex - Any enemy you inflict with a debuff takes X2 additional damage from the self and all allies. +-(Witch Class Only)")</f>
        <v> ++Hex - Any enemy you inflict with a debuff takes X2 additional damage from the self and all allies. +-(Witch Class Only)</v>
      </c>
      <c r="G675" s="16">
        <f>IFERROR(__xludf.DUMMYFUNCTION("""COMPUTED_VALUE"""),0.0)</f>
        <v>0</v>
      </c>
      <c r="H675" s="16"/>
      <c r="I675" s="16"/>
      <c r="J675" s="16"/>
      <c r="K675" s="16"/>
      <c r="L675" s="16"/>
      <c r="M675" s="16"/>
      <c r="N675" s="16"/>
      <c r="O675" s="16"/>
      <c r="P675" s="16"/>
      <c r="Q675" s="16"/>
      <c r="R675" s="16"/>
      <c r="S675" s="16"/>
      <c r="T675" s="16"/>
      <c r="U675" s="16"/>
      <c r="V675" s="16"/>
      <c r="W675" s="16"/>
      <c r="X675" s="16"/>
      <c r="Y675" s="16"/>
      <c r="Z675" s="16"/>
    </row>
    <row r="676">
      <c r="A676" s="16" t="str">
        <f>IFERROR(__xludf.DUMMYFUNCTION("""COMPUTED_VALUE"""),"Ring of Boring")</f>
        <v>Ring of Boring</v>
      </c>
      <c r="B676" s="16" t="str">
        <f>IFERROR(__xludf.DUMMYFUNCTION("""COMPUTED_VALUE"""),"The item for people who made a character but decided they were ""too good"" for it's abilities.")</f>
        <v>The item for people who made a character but decided they were "too good" for it's abilities.</v>
      </c>
      <c r="C676" s="16"/>
      <c r="D676" s="16" t="str">
        <f>IFERROR(__xludf.DUMMYFUNCTION("""COMPUTED_VALUE"""),"Finger")</f>
        <v>Finger</v>
      </c>
      <c r="E676" s="16">
        <f>IFERROR(__xludf.DUMMYFUNCTION("""COMPUTED_VALUE"""),1.0)</f>
        <v>1</v>
      </c>
      <c r="F676" s="16" t="str">
        <f>IFERROR(__xludf.DUMMYFUNCTION("""COMPUTED_VALUE""")," ++Why are you so boring? - X2 additional damage.")</f>
        <v> ++Why are you so boring? - X2 additional damage.</v>
      </c>
      <c r="G676" s="16">
        <f>IFERROR(__xludf.DUMMYFUNCTION("""COMPUTED_VALUE"""),0.0)</f>
        <v>0</v>
      </c>
      <c r="H676" s="16"/>
      <c r="I676" s="16"/>
      <c r="J676" s="16"/>
      <c r="K676" s="16"/>
      <c r="L676" s="16"/>
      <c r="M676" s="16"/>
      <c r="N676" s="16"/>
      <c r="O676" s="16"/>
      <c r="P676" s="16"/>
      <c r="Q676" s="16"/>
      <c r="R676" s="16"/>
      <c r="S676" s="16"/>
      <c r="T676" s="16"/>
      <c r="U676" s="16"/>
      <c r="V676" s="16"/>
      <c r="W676" s="16"/>
      <c r="X676" s="16"/>
      <c r="Y676" s="16"/>
      <c r="Z676" s="16"/>
    </row>
    <row r="677">
      <c r="A677" s="16" t="str">
        <f>IFERROR(__xludf.DUMMYFUNCTION("""COMPUTED_VALUE"""),"Frozen Spearman's High-Low Dress")</f>
        <v>Frozen Spearman's High-Low Dress</v>
      </c>
      <c r="B677" s="16"/>
      <c r="C677" s="16"/>
      <c r="D677" s="16" t="str">
        <f>IFERROR(__xludf.DUMMYFUNCTION("""COMPUTED_VALUE"""),"Torso")</f>
        <v>Torso</v>
      </c>
      <c r="E677" s="16">
        <f>IFERROR(__xludf.DUMMYFUNCTION("""COMPUTED_VALUE"""),200.0)</f>
        <v>200</v>
      </c>
      <c r="F677" s="16" t="str">
        <f>IFERROR(__xludf.DUMMYFUNCTION("""COMPUTED_VALUE"""),"DEF: +25000, Earth DEF: +25000, Nature DEF: +25000, Celestial DEF: +25000 ++Regal Authority - At the start of battle there's a 25% chance of recruiting one enemy to join you (100% if they are a player with a starting town in any tundra region) This counts"&amp;" as possession for the purposes of immunity")</f>
        <v>DEF: +25000, Earth DEF: +25000, Nature DEF: +25000, Celestial DEF: +25000 ++Regal Authority - At the start of battle there's a 25% chance of recruiting one enemy to join you (100% if they are a player with a starting town in any tundra region) This counts as possession for the purposes of immunity</v>
      </c>
      <c r="G677" s="16">
        <f>IFERROR(__xludf.DUMMYFUNCTION("""COMPUTED_VALUE"""),1.99E8)</f>
        <v>199000000</v>
      </c>
      <c r="H677" s="16"/>
      <c r="I677" s="16"/>
      <c r="J677" s="16"/>
      <c r="K677" s="16"/>
      <c r="L677" s="16"/>
      <c r="M677" s="16"/>
      <c r="N677" s="16"/>
      <c r="O677" s="16"/>
      <c r="P677" s="16"/>
      <c r="Q677" s="16"/>
      <c r="R677" s="16"/>
      <c r="S677" s="16"/>
      <c r="T677" s="16"/>
      <c r="U677" s="16"/>
      <c r="V677" s="16"/>
      <c r="W677" s="16"/>
      <c r="X677" s="16"/>
      <c r="Y677" s="16"/>
      <c r="Z677" s="16"/>
    </row>
    <row r="678">
      <c r="A678" s="16" t="str">
        <f>IFERROR(__xludf.DUMMYFUNCTION("""COMPUTED_VALUE"""),"Frozen Spearman's Jhodpur's")</f>
        <v>Frozen Spearman's Jhodpur's</v>
      </c>
      <c r="B678" s="16"/>
      <c r="C678" s="16"/>
      <c r="D678" s="16" t="str">
        <f>IFERROR(__xludf.DUMMYFUNCTION("""COMPUTED_VALUE"""),"Legs")</f>
        <v>Legs</v>
      </c>
      <c r="E678" s="16">
        <f>IFERROR(__xludf.DUMMYFUNCTION("""COMPUTED_VALUE"""),200.0)</f>
        <v>200</v>
      </c>
      <c r="F678" s="16" t="str">
        <f>IFERROR(__xludf.DUMMYFUNCTION("""COMPUTED_VALUE"""),"DEF: +25000, Earth DEF: +25000, Nature DEF: +25000, Celestial DEF: +25000 ++Cavalry Charge - Summon a frosty steed to run down your enemies dealing 50,000 unavoidable Storm damage with a 15% chance of freeing all enemies - 500 sp")</f>
        <v>DEF: +25000, Earth DEF: +25000, Nature DEF: +25000, Celestial DEF: +25000 ++Cavalry Charge - Summon a frosty steed to run down your enemies dealing 50,000 unavoidable Storm damage with a 15% chance of freeing all enemies - 500 sp</v>
      </c>
      <c r="G678" s="16">
        <f>IFERROR(__xludf.DUMMYFUNCTION("""COMPUTED_VALUE"""),1.99E8)</f>
        <v>199000000</v>
      </c>
      <c r="H678" s="16"/>
      <c r="I678" s="16"/>
      <c r="J678" s="16"/>
      <c r="K678" s="16"/>
      <c r="L678" s="16"/>
      <c r="M678" s="16"/>
      <c r="N678" s="16"/>
      <c r="O678" s="16"/>
      <c r="P678" s="16"/>
      <c r="Q678" s="16"/>
      <c r="R678" s="16"/>
      <c r="S678" s="16"/>
      <c r="T678" s="16"/>
      <c r="U678" s="16"/>
      <c r="V678" s="16"/>
      <c r="W678" s="16"/>
      <c r="X678" s="16"/>
      <c r="Y678" s="16"/>
      <c r="Z678" s="16"/>
    </row>
    <row r="679">
      <c r="A679" s="16" t="str">
        <f>IFERROR(__xludf.DUMMYFUNCTION("""COMPUTED_VALUE"""),"Frozen Spearman's Fur Boots")</f>
        <v>Frozen Spearman's Fur Boots</v>
      </c>
      <c r="B679" s="16"/>
      <c r="C679" s="16"/>
      <c r="D679" s="16" t="str">
        <f>IFERROR(__xludf.DUMMYFUNCTION("""COMPUTED_VALUE"""),"Feet")</f>
        <v>Feet</v>
      </c>
      <c r="E679" s="16">
        <f>IFERROR(__xludf.DUMMYFUNCTION("""COMPUTED_VALUE"""),200.0)</f>
        <v>200</v>
      </c>
      <c r="F679" s="16" t="str">
        <f>IFERROR(__xludf.DUMMYFUNCTION("""COMPUTED_VALUE"""),"DEF: +25000, Earth DEF: +25000, Nature DEF: +25000, Celestial DEF: +25000 ++Frosty Footwork - Upon successfully hitting an enemy you can make a second attack")</f>
        <v>DEF: +25000, Earth DEF: +25000, Nature DEF: +25000, Celestial DEF: +25000 ++Frosty Footwork - Upon successfully hitting an enemy you can make a second attack</v>
      </c>
      <c r="G679" s="16">
        <f>IFERROR(__xludf.DUMMYFUNCTION("""COMPUTED_VALUE"""),1.99E8)</f>
        <v>199000000</v>
      </c>
      <c r="H679" s="16"/>
      <c r="I679" s="16"/>
      <c r="J679" s="16"/>
      <c r="K679" s="16"/>
      <c r="L679" s="16"/>
      <c r="M679" s="16"/>
      <c r="N679" s="16"/>
      <c r="O679" s="16"/>
      <c r="P679" s="16"/>
      <c r="Q679" s="16"/>
      <c r="R679" s="16"/>
      <c r="S679" s="16"/>
      <c r="T679" s="16"/>
      <c r="U679" s="16"/>
      <c r="V679" s="16"/>
      <c r="W679" s="16"/>
      <c r="X679" s="16"/>
      <c r="Y679" s="16"/>
      <c r="Z679" s="16"/>
    </row>
    <row r="680">
      <c r="A680" s="16" t="str">
        <f>IFERROR(__xludf.DUMMYFUNCTION("""COMPUTED_VALUE"""),"Frozen Spearman's Bracers")</f>
        <v>Frozen Spearman's Bracers</v>
      </c>
      <c r="B680" s="16"/>
      <c r="C680" s="16"/>
      <c r="D680" s="16" t="str">
        <f>IFERROR(__xludf.DUMMYFUNCTION("""COMPUTED_VALUE"""),"Arms")</f>
        <v>Arms</v>
      </c>
      <c r="E680" s="16">
        <f>IFERROR(__xludf.DUMMYFUNCTION("""COMPUTED_VALUE"""),200.0)</f>
        <v>200</v>
      </c>
      <c r="F680" s="16" t="str">
        <f>IFERROR(__xludf.DUMMYFUNCTION("""COMPUTED_VALUE"""),"DEF: +25000, Earth DEF: +25000, Nature DEF: +25000, Celestial DEF: +25000 ++Queen's Counter - Upon successfully evading an attack you can Immediately attack the person who attacked you.")</f>
        <v>DEF: +25000, Earth DEF: +25000, Nature DEF: +25000, Celestial DEF: +25000 ++Queen's Counter - Upon successfully evading an attack you can Immediately attack the person who attacked you.</v>
      </c>
      <c r="G680" s="16">
        <f>IFERROR(__xludf.DUMMYFUNCTION("""COMPUTED_VALUE"""),1.99E8)</f>
        <v>199000000</v>
      </c>
      <c r="H680" s="16"/>
      <c r="I680" s="16"/>
      <c r="J680" s="16"/>
      <c r="K680" s="16"/>
      <c r="L680" s="16"/>
      <c r="M680" s="16"/>
      <c r="N680" s="16"/>
      <c r="O680" s="16"/>
      <c r="P680" s="16"/>
      <c r="Q680" s="16"/>
      <c r="R680" s="16"/>
      <c r="S680" s="16"/>
      <c r="T680" s="16"/>
      <c r="U680" s="16"/>
      <c r="V680" s="16"/>
      <c r="W680" s="16"/>
      <c r="X680" s="16"/>
      <c r="Y680" s="16"/>
      <c r="Z680" s="16"/>
    </row>
    <row r="681">
      <c r="A681" s="16" t="str">
        <f>IFERROR(__xludf.DUMMYFUNCTION("""COMPUTED_VALUE"""),"Frozen Spearman's Fur Cloak")</f>
        <v>Frozen Spearman's Fur Cloak</v>
      </c>
      <c r="B681" s="16"/>
      <c r="C681" s="16"/>
      <c r="D681" s="16" t="str">
        <f>IFERROR(__xludf.DUMMYFUNCTION("""COMPUTED_VALUE"""),"Pauldrons")</f>
        <v>Pauldrons</v>
      </c>
      <c r="E681" s="16">
        <f>IFERROR(__xludf.DUMMYFUNCTION("""COMPUTED_VALUE"""),200.0)</f>
        <v>200</v>
      </c>
      <c r="F681" s="16" t="str">
        <f>IFERROR(__xludf.DUMMYFUNCTION("""COMPUTED_VALUE"""),"DEF: +25000, Earth DEF: +25000, Nature DEF: +25000, Celestial DEF: +25000 ++A Land of Ice and Snow - X4 Storm and Water damage")</f>
        <v>DEF: +25000, Earth DEF: +25000, Nature DEF: +25000, Celestial DEF: +25000 ++A Land of Ice and Snow - X4 Storm and Water damage</v>
      </c>
      <c r="G681" s="16">
        <f>IFERROR(__xludf.DUMMYFUNCTION("""COMPUTED_VALUE"""),1.99E8)</f>
        <v>199000000</v>
      </c>
      <c r="H681" s="16"/>
      <c r="I681" s="16"/>
      <c r="J681" s="16"/>
      <c r="K681" s="16"/>
      <c r="L681" s="16"/>
      <c r="M681" s="16"/>
      <c r="N681" s="16"/>
      <c r="O681" s="16"/>
      <c r="P681" s="16"/>
      <c r="Q681" s="16"/>
      <c r="R681" s="16"/>
      <c r="S681" s="16"/>
      <c r="T681" s="16"/>
      <c r="U681" s="16"/>
      <c r="V681" s="16"/>
      <c r="W681" s="16"/>
      <c r="X681" s="16"/>
      <c r="Y681" s="16"/>
      <c r="Z681" s="16"/>
    </row>
    <row r="682">
      <c r="A682" s="16" t="str">
        <f>IFERROR(__xludf.DUMMYFUNCTION("""COMPUTED_VALUE"""),"Frost Mage's Cloak")</f>
        <v>Frost Mage's Cloak</v>
      </c>
      <c r="B682" s="16"/>
      <c r="C682" s="16"/>
      <c r="D682" s="16" t="str">
        <f>IFERROR(__xludf.DUMMYFUNCTION("""COMPUTED_VALUE"""),"Torso")</f>
        <v>Torso</v>
      </c>
      <c r="E682" s="16">
        <f>IFERROR(__xludf.DUMMYFUNCTION("""COMPUTED_VALUE"""),200.0)</f>
        <v>200</v>
      </c>
      <c r="F682"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2" s="16">
        <f>IFERROR(__xludf.DUMMYFUNCTION("""COMPUTED_VALUE"""),4350000.0)</f>
        <v>4350000</v>
      </c>
      <c r="H682" s="16"/>
      <c r="I682" s="16"/>
      <c r="J682" s="16"/>
      <c r="K682" s="16"/>
      <c r="L682" s="16"/>
      <c r="M682" s="16"/>
      <c r="N682" s="16"/>
      <c r="O682" s="16"/>
      <c r="P682" s="16"/>
      <c r="Q682" s="16"/>
      <c r="R682" s="16"/>
      <c r="S682" s="16"/>
      <c r="T682" s="16"/>
      <c r="U682" s="16"/>
      <c r="V682" s="16"/>
      <c r="W682" s="16"/>
      <c r="X682" s="16"/>
      <c r="Y682" s="16"/>
      <c r="Z682" s="16"/>
    </row>
    <row r="683">
      <c r="A683" s="16" t="str">
        <f>IFERROR(__xludf.DUMMYFUNCTION("""COMPUTED_VALUE"""),"Frost Mage's Boots")</f>
        <v>Frost Mage's Boots</v>
      </c>
      <c r="B683" s="16"/>
      <c r="C683" s="16"/>
      <c r="D683" s="16" t="str">
        <f>IFERROR(__xludf.DUMMYFUNCTION("""COMPUTED_VALUE"""),"Feet")</f>
        <v>Feet</v>
      </c>
      <c r="E683" s="16">
        <f>IFERROR(__xludf.DUMMYFUNCTION("""COMPUTED_VALUE"""),200.0)</f>
        <v>200</v>
      </c>
      <c r="F683"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3" s="16">
        <f>IFERROR(__xludf.DUMMYFUNCTION("""COMPUTED_VALUE"""),4350000.0)</f>
        <v>4350000</v>
      </c>
      <c r="H683" s="16"/>
      <c r="I683" s="16"/>
      <c r="J683" s="16"/>
      <c r="K683" s="16"/>
      <c r="L683" s="16"/>
      <c r="M683" s="16"/>
      <c r="N683" s="16"/>
      <c r="O683" s="16"/>
      <c r="P683" s="16"/>
      <c r="Q683" s="16"/>
      <c r="R683" s="16"/>
      <c r="S683" s="16"/>
      <c r="T683" s="16"/>
      <c r="U683" s="16"/>
      <c r="V683" s="16"/>
      <c r="W683" s="16"/>
      <c r="X683" s="16"/>
      <c r="Y683" s="16"/>
      <c r="Z683" s="16"/>
    </row>
    <row r="684">
      <c r="A684" s="16" t="str">
        <f>IFERROR(__xludf.DUMMYFUNCTION("""COMPUTED_VALUE"""),"Frost Mage's Hood")</f>
        <v>Frost Mage's Hood</v>
      </c>
      <c r="B684" s="16"/>
      <c r="C684" s="16"/>
      <c r="D684" s="16" t="str">
        <f>IFERROR(__xludf.DUMMYFUNCTION("""COMPUTED_VALUE"""),"Head")</f>
        <v>Head</v>
      </c>
      <c r="E684" s="16">
        <f>IFERROR(__xludf.DUMMYFUNCTION("""COMPUTED_VALUE"""),200.0)</f>
        <v>200</v>
      </c>
      <c r="F684" s="16" t="str">
        <f>IFERROR(__xludf.DUMMYFUNCTION("""COMPUTED_VALUE"""),", Water DEF: +5000, Storm DEF: +5000, Celestial DEF: +5000 ++500HP, ++500SP, ++X4 Water and Storm Damage, ++Immunity to Freezing, +-Cannot be Duplicated.")</f>
        <v>, Water DEF: +5000, Storm DEF: +5000, Celestial DEF: +5000 ++500HP, ++500SP, ++X4 Water and Storm Damage, ++Immunity to Freezing, +-Cannot be Duplicated.</v>
      </c>
      <c r="G684" s="16">
        <f>IFERROR(__xludf.DUMMYFUNCTION("""COMPUTED_VALUE"""),4350000.0)</f>
        <v>4350000</v>
      </c>
      <c r="H684" s="16"/>
      <c r="I684" s="16"/>
      <c r="J684" s="16"/>
      <c r="K684" s="16"/>
      <c r="L684" s="16"/>
      <c r="M684" s="16"/>
      <c r="N684" s="16"/>
      <c r="O684" s="16"/>
      <c r="P684" s="16"/>
      <c r="Q684" s="16"/>
      <c r="R684" s="16"/>
      <c r="S684" s="16"/>
      <c r="T684" s="16"/>
      <c r="U684" s="16"/>
      <c r="V684" s="16"/>
      <c r="W684" s="16"/>
      <c r="X684" s="16"/>
      <c r="Y684" s="16"/>
      <c r="Z684" s="16"/>
    </row>
    <row r="685">
      <c r="A685" s="16" t="str">
        <f>IFERROR(__xludf.DUMMYFUNCTION("""COMPUTED_VALUE"""),"Crown of Frozen Swords")</f>
        <v>Crown of Frozen Swords</v>
      </c>
      <c r="B685" s="16"/>
      <c r="C685" s="16"/>
      <c r="D685" s="16" t="str">
        <f>IFERROR(__xludf.DUMMYFUNCTION("""COMPUTED_VALUE"""),"Head")</f>
        <v>Head</v>
      </c>
      <c r="E685" s="16">
        <f>IFERROR(__xludf.DUMMYFUNCTION("""COMPUTED_VALUE"""),200.0)</f>
        <v>200</v>
      </c>
      <c r="F685" s="16" t="str">
        <f>IFERROR(__xludf.DUMMYFUNCTION("""COMPUTED_VALUE"""),"DEF: +50000, Earth DEF: +50000, Nature DEF: +50000, Celestial DEF: +50000 ++King of The Frozen Wastes - X2 Storm damage ++15% chance to hit all enemies with a weapon attack")</f>
        <v>DEF: +50000, Earth DEF: +50000, Nature DEF: +50000, Celestial DEF: +50000 ++King of The Frozen Wastes - X2 Storm damage ++15% chance to hit all enemies with a weapon attack</v>
      </c>
      <c r="G685" s="16">
        <f>IFERROR(__xludf.DUMMYFUNCTION("""COMPUTED_VALUE"""),7.98E8)</f>
        <v>798000000</v>
      </c>
      <c r="H685" s="16"/>
      <c r="I685" s="16"/>
      <c r="J685" s="16"/>
      <c r="K685" s="16"/>
      <c r="L685" s="16"/>
      <c r="M685" s="16"/>
      <c r="N685" s="16"/>
      <c r="O685" s="16"/>
      <c r="P685" s="16"/>
      <c r="Q685" s="16"/>
      <c r="R685" s="16"/>
      <c r="S685" s="16"/>
      <c r="T685" s="16"/>
      <c r="U685" s="16"/>
      <c r="V685" s="16"/>
      <c r="W685" s="16"/>
      <c r="X685" s="16"/>
      <c r="Y685" s="16"/>
      <c r="Z685" s="16"/>
    </row>
    <row r="686">
      <c r="A686" s="16" t="str">
        <f>IFERROR(__xludf.DUMMYFUNCTION("""COMPUTED_VALUE"""),"Frost-bitten Cape")</f>
        <v>Frost-bitten Cape</v>
      </c>
      <c r="B686" s="16"/>
      <c r="C686" s="16"/>
      <c r="D686" s="16" t="str">
        <f>IFERROR(__xludf.DUMMYFUNCTION("""COMPUTED_VALUE"""),"Shoulders")</f>
        <v>Shoulders</v>
      </c>
      <c r="E686" s="16">
        <f>IFERROR(__xludf.DUMMYFUNCTION("""COMPUTED_VALUE"""),200.0)</f>
        <v>200</v>
      </c>
      <c r="F686" s="16" t="str">
        <f>IFERROR(__xludf.DUMMYFUNCTION("""COMPUTED_VALUE"""),"DEF: +50000, Earth DEF: +50000, Nature DEF: +50000, Celestial DEF: +50000 ++Frostbite - Enemies hit with a weapon attack take 5000 Storm damage per round for 3 rounds")</f>
        <v>DEF: +50000, Earth DEF: +50000, Nature DEF: +50000, Celestial DEF: +50000 ++Frostbite - Enemies hit with a weapon attack take 5000 Storm damage per round for 3 rounds</v>
      </c>
      <c r="G686" s="16">
        <f>IFERROR(__xludf.DUMMYFUNCTION("""COMPUTED_VALUE"""),7.98E8)</f>
        <v>798000000</v>
      </c>
      <c r="H686" s="16"/>
      <c r="I686" s="16"/>
      <c r="J686" s="16"/>
      <c r="K686" s="16"/>
      <c r="L686" s="16"/>
      <c r="M686" s="16"/>
      <c r="N686" s="16"/>
      <c r="O686" s="16"/>
      <c r="P686" s="16"/>
      <c r="Q686" s="16"/>
      <c r="R686" s="16"/>
      <c r="S686" s="16"/>
      <c r="T686" s="16"/>
      <c r="U686" s="16"/>
      <c r="V686" s="16"/>
      <c r="W686" s="16"/>
      <c r="X686" s="16"/>
      <c r="Y686" s="16"/>
      <c r="Z686" s="16"/>
    </row>
    <row r="687">
      <c r="A687" s="16" t="str">
        <f>IFERROR(__xludf.DUMMYFUNCTION("""COMPUTED_VALUE"""),"Ice-steel Pauldrons")</f>
        <v>Ice-steel Pauldrons</v>
      </c>
      <c r="B687" s="16"/>
      <c r="C687" s="16"/>
      <c r="D687" s="16" t="str">
        <f>IFERROR(__xludf.DUMMYFUNCTION("""COMPUTED_VALUE"""),"Shoulders")</f>
        <v>Shoulders</v>
      </c>
      <c r="E687" s="16">
        <f>IFERROR(__xludf.DUMMYFUNCTION("""COMPUTED_VALUE"""),200.0)</f>
        <v>200</v>
      </c>
      <c r="F687" s="16" t="str">
        <f>IFERROR(__xludf.DUMMYFUNCTION("""COMPUTED_VALUE"""),"DEF: +50000, Earth DEF: +50000, Nature DEF: +50000, Celestial DEF: +50000 ++Cold Shoulder - Immunity to freeze")</f>
        <v>DEF: +50000, Earth DEF: +50000, Nature DEF: +50000, Celestial DEF: +50000 ++Cold Shoulder - Immunity to freeze</v>
      </c>
      <c r="G687" s="16">
        <f>IFERROR(__xludf.DUMMYFUNCTION("""COMPUTED_VALUE"""),7.98E8)</f>
        <v>798000000</v>
      </c>
      <c r="H687" s="16"/>
      <c r="I687" s="16"/>
      <c r="J687" s="16"/>
      <c r="K687" s="16"/>
      <c r="L687" s="16"/>
      <c r="M687" s="16"/>
      <c r="N687" s="16"/>
      <c r="O687" s="16"/>
      <c r="P687" s="16"/>
      <c r="Q687" s="16"/>
      <c r="R687" s="16"/>
      <c r="S687" s="16"/>
      <c r="T687" s="16"/>
      <c r="U687" s="16"/>
      <c r="V687" s="16"/>
      <c r="W687" s="16"/>
      <c r="X687" s="16"/>
      <c r="Y687" s="16"/>
      <c r="Z687" s="16"/>
    </row>
    <row r="688">
      <c r="A688" s="16" t="str">
        <f>IFERROR(__xludf.DUMMYFUNCTION("""COMPUTED_VALUE"""),"Ice-steel Bracers")</f>
        <v>Ice-steel Bracers</v>
      </c>
      <c r="B688" s="16"/>
      <c r="C688" s="16"/>
      <c r="D688" s="16" t="str">
        <f>IFERROR(__xludf.DUMMYFUNCTION("""COMPUTED_VALUE"""),"Arms")</f>
        <v>Arms</v>
      </c>
      <c r="E688" s="16">
        <f>IFERROR(__xludf.DUMMYFUNCTION("""COMPUTED_VALUE"""),200.0)</f>
        <v>200</v>
      </c>
      <c r="F688" s="16" t="str">
        <f>IFERROR(__xludf.DUMMYFUNCTION("""COMPUTED_VALUE"""),"DEF: +50000, Earth DEF: +50000, Nature DEF: +50000, Celestial DEF: +50000 ++A Moment of Weakness - (Can only target frozen enemies) Strike the enemy with your weapon dealing X3 Weapon damage and Giving the enemy disoriented 3 - 500 sp")</f>
        <v>DEF: +50000, Earth DEF: +50000, Nature DEF: +50000, Celestial DEF: +50000 ++A Moment of Weakness - (Can only target frozen enemies) Strike the enemy with your weapon dealing X3 Weapon damage and Giving the enemy disoriented 3 - 500 sp</v>
      </c>
      <c r="G688" s="16">
        <f>IFERROR(__xludf.DUMMYFUNCTION("""COMPUTED_VALUE"""),7.98E8)</f>
        <v>798000000</v>
      </c>
      <c r="H688" s="16"/>
      <c r="I688" s="16"/>
      <c r="J688" s="16"/>
      <c r="K688" s="16"/>
      <c r="L688" s="16"/>
      <c r="M688" s="16"/>
      <c r="N688" s="16"/>
      <c r="O688" s="16"/>
      <c r="P688" s="16"/>
      <c r="Q688" s="16"/>
      <c r="R688" s="16"/>
      <c r="S688" s="16"/>
      <c r="T688" s="16"/>
      <c r="U688" s="16"/>
      <c r="V688" s="16"/>
      <c r="W688" s="16"/>
      <c r="X688" s="16"/>
      <c r="Y688" s="16"/>
      <c r="Z688" s="16"/>
    </row>
    <row r="689">
      <c r="A689" s="16" t="str">
        <f>IFERROR(__xludf.DUMMYFUNCTION("""COMPUTED_VALUE"""),"Ice-steel Chausses")</f>
        <v>Ice-steel Chausses</v>
      </c>
      <c r="B689" s="16" t="str">
        <f>IFERROR(__xludf.DUMMYFUNCTION("""COMPUTED_VALUE"""),"The chinks in the armor suggest a lack of care over the past years.")</f>
        <v>The chinks in the armor suggest a lack of care over the past years.</v>
      </c>
      <c r="C689" s="16"/>
      <c r="D689" s="16" t="str">
        <f>IFERROR(__xludf.DUMMYFUNCTION("""COMPUTED_VALUE"""),"Legs")</f>
        <v>Legs</v>
      </c>
      <c r="E689" s="16">
        <f>IFERROR(__xludf.DUMMYFUNCTION("""COMPUTED_VALUE"""),200.0)</f>
        <v>200</v>
      </c>
      <c r="F689" s="16" t="str">
        <f>IFERROR(__xludf.DUMMYFUNCTION("""COMPUTED_VALUE"""),"DEF: +50000, Earth DEF: +50000, Nature DEF: +50000, Celestial DEF: +50000 ++X2 Weapon Damage")</f>
        <v>DEF: +50000, Earth DEF: +50000, Nature DEF: +50000, Celestial DEF: +50000 ++X2 Weapon Damage</v>
      </c>
      <c r="G689" s="16">
        <f>IFERROR(__xludf.DUMMYFUNCTION("""COMPUTED_VALUE"""),7.98E8)</f>
        <v>798000000</v>
      </c>
      <c r="H689" s="16"/>
      <c r="I689" s="16"/>
      <c r="J689" s="16"/>
      <c r="K689" s="16"/>
      <c r="L689" s="16"/>
      <c r="M689" s="16"/>
      <c r="N689" s="16"/>
      <c r="O689" s="16"/>
      <c r="P689" s="16"/>
      <c r="Q689" s="16"/>
      <c r="R689" s="16"/>
      <c r="S689" s="16"/>
      <c r="T689" s="16"/>
      <c r="U689" s="16"/>
      <c r="V689" s="16"/>
      <c r="W689" s="16"/>
      <c r="X689" s="16"/>
      <c r="Y689" s="16"/>
      <c r="Z689" s="16"/>
    </row>
    <row r="690">
      <c r="A690" s="16" t="str">
        <f>IFERROR(__xludf.DUMMYFUNCTION("""COMPUTED_VALUE"""),"Frost Stompers")</f>
        <v>Frost Stompers</v>
      </c>
      <c r="B690" s="16" t="str">
        <f>IFERROR(__xludf.DUMMYFUNCTION("""COMPUTED_VALUE"""),"These frozen iron boots are covered in a layer of permafrost, it seems as though they'll never thaw.")</f>
        <v>These frozen iron boots are covered in a layer of permafrost, it seems as though they'll never thaw.</v>
      </c>
      <c r="C690" s="16"/>
      <c r="D690" s="16" t="str">
        <f>IFERROR(__xludf.DUMMYFUNCTION("""COMPUTED_VALUE"""),"Feet")</f>
        <v>Feet</v>
      </c>
      <c r="E690" s="16">
        <f>IFERROR(__xludf.DUMMYFUNCTION("""COMPUTED_VALUE"""),200.0)</f>
        <v>200</v>
      </c>
      <c r="F690" s="16" t="str">
        <f>IFERROR(__xludf.DUMMYFUNCTION("""COMPUTED_VALUE"""),"DEF: +50000, Earth DEF: +50000, Nature DEF: +50000, Celestial DEF: +50000 ++X2 Storm Damage")</f>
        <v>DEF: +50000, Earth DEF: +50000, Nature DEF: +50000, Celestial DEF: +50000 ++X2 Storm Damage</v>
      </c>
      <c r="G690" s="16">
        <f>IFERROR(__xludf.DUMMYFUNCTION("""COMPUTED_VALUE"""),7.98E8)</f>
        <v>798000000</v>
      </c>
      <c r="H690" s="16"/>
      <c r="I690" s="16"/>
      <c r="J690" s="16"/>
      <c r="K690" s="16"/>
      <c r="L690" s="16"/>
      <c r="M690" s="16"/>
      <c r="N690" s="16"/>
      <c r="O690" s="16"/>
      <c r="P690" s="16"/>
      <c r="Q690" s="16"/>
      <c r="R690" s="16"/>
      <c r="S690" s="16"/>
      <c r="T690" s="16"/>
      <c r="U690" s="16"/>
      <c r="V690" s="16"/>
      <c r="W690" s="16"/>
      <c r="X690" s="16"/>
      <c r="Y690" s="16"/>
      <c r="Z690" s="16"/>
    </row>
    <row r="691">
      <c r="A691" s="16" t="str">
        <f>IFERROR(__xludf.DUMMYFUNCTION("""COMPUTED_VALUE"""),"Plate of the Frozen Sun")</f>
        <v>Plate of the Frozen Sun</v>
      </c>
      <c r="B691" s="16" t="str">
        <f>IFERROR(__xludf.DUMMYFUNCTION("""COMPUTED_VALUE"""),"""The king was not always as he is now, but the yearly curse of the ice mage has him colder than usual"" ~old man")</f>
        <v>"The king was not always as he is now, but the yearly curse of the ice mage has him colder than usual" ~old man</v>
      </c>
      <c r="C691" s="16"/>
      <c r="D691" s="16" t="str">
        <f>IFERROR(__xludf.DUMMYFUNCTION("""COMPUTED_VALUE"""),"Torso")</f>
        <v>Torso</v>
      </c>
      <c r="E691" s="16">
        <f>IFERROR(__xludf.DUMMYFUNCTION("""COMPUTED_VALUE"""),200.0)</f>
        <v>200</v>
      </c>
      <c r="F691" s="16" t="str">
        <f>IFERROR(__xludf.DUMMYFUNCTION("""COMPUTED_VALUE"""),"DEF: +50000, Earth DEF: +50000, Nature DEF: +50000, Celestial DEF: +50000 ++Freezing Absorption - Can absorb one summoned creature adding their stats on top of your for 3 rounds but giving you a 50% chance of attacking a random ally instead of an enemy - "&amp;"500 sp")</f>
        <v>DEF: +50000, Earth DEF: +50000, Nature DEF: +50000, Celestial DEF: +50000 ++Freezing Absorption - Can absorb one summoned creature adding their stats on top of your for 3 rounds but giving you a 50% chance of attacking a random ally instead of an enemy - 500 sp</v>
      </c>
      <c r="G691" s="16">
        <f>IFERROR(__xludf.DUMMYFUNCTION("""COMPUTED_VALUE"""),7.98E8)</f>
        <v>798000000</v>
      </c>
      <c r="H691" s="16"/>
      <c r="I691" s="16"/>
      <c r="J691" s="16"/>
      <c r="K691" s="16"/>
      <c r="L691" s="16"/>
      <c r="M691" s="16"/>
      <c r="N691" s="16"/>
      <c r="O691" s="16"/>
      <c r="P691" s="16"/>
      <c r="Q691" s="16"/>
      <c r="R691" s="16"/>
      <c r="S691" s="16"/>
      <c r="T691" s="16"/>
      <c r="U691" s="16"/>
      <c r="V691" s="16"/>
      <c r="W691" s="16"/>
      <c r="X691" s="16"/>
      <c r="Y691" s="16"/>
      <c r="Z691" s="16"/>
    </row>
    <row r="692">
      <c r="A692" s="16" t="str">
        <f>IFERROR(__xludf.DUMMYFUNCTION("""COMPUTED_VALUE"""),"Frost Mage's Staff")</f>
        <v>Frost Mage's Staff</v>
      </c>
      <c r="B692" s="16" t="str">
        <f>IFERROR(__xludf.DUMMYFUNCTION("""COMPUTED_VALUE"""),"""FREEZE"" ~Frost mage")</f>
        <v>"FREEZE" ~Frost mage</v>
      </c>
      <c r="C692" s="16" t="str">
        <f>IFERROR(__xludf.DUMMYFUNCTION("""COMPUTED_VALUE"""),"Staff")</f>
        <v>Staff</v>
      </c>
      <c r="D692" s="16" t="str">
        <f>IFERROR(__xludf.DUMMYFUNCTION("""COMPUTED_VALUE"""),"Hand")</f>
        <v>Hand</v>
      </c>
      <c r="E692" s="16">
        <f>IFERROR(__xludf.DUMMYFUNCTION("""COMPUTED_VALUE"""),200.0)</f>
        <v>200</v>
      </c>
      <c r="F692" s="16" t="str">
        <f>IFERROR(__xludf.DUMMYFUNCTION("""COMPUTED_VALUE"""),", Water DMG: +50000, Storm DMG: +50000, Celestial DMG: +50000 ++Damages all enemies, ++Cannot Avoid ++ +500SP ++X4 Water and Storm Damage ++25% chance to freeze the enemies +-Cannot be forged +-Cannot be duplicated")</f>
        <v>, Water DMG: +50000, Storm DMG: +50000, Celestial DMG: +50000 ++Damages all enemies, ++Cannot Avoid ++ +500SP ++X4 Water and Storm Damage ++25% chance to freeze the enemies +-Cannot be forged +-Cannot be duplicated</v>
      </c>
      <c r="G692" s="16">
        <f>IFERROR(__xludf.DUMMYFUNCTION("""COMPUTED_VALUE"""),4.485E8)</f>
        <v>448500000</v>
      </c>
      <c r="H692" s="16"/>
      <c r="I692" s="16"/>
      <c r="J692" s="16"/>
      <c r="K692" s="16"/>
      <c r="L692" s="16"/>
      <c r="M692" s="16"/>
      <c r="N692" s="16"/>
      <c r="O692" s="16"/>
      <c r="P692" s="16"/>
      <c r="Q692" s="16"/>
      <c r="R692" s="16"/>
      <c r="S692" s="16"/>
      <c r="T692" s="16"/>
      <c r="U692" s="16"/>
      <c r="V692" s="16"/>
      <c r="W692" s="16"/>
      <c r="X692" s="16"/>
      <c r="Y692" s="16"/>
      <c r="Z692" s="16"/>
    </row>
    <row r="693">
      <c r="A693" s="16" t="str">
        <f>IFERROR(__xludf.DUMMYFUNCTION("""COMPUTED_VALUE"""),"Snowball")</f>
        <v>Snowball</v>
      </c>
      <c r="B693" s="16" t="str">
        <f>IFERROR(__xludf.DUMMYFUNCTION("""COMPUTED_VALUE"""),"""If you even think about hitting me with that I'll fill one with lead and bash your skull with it"" ~Gwennivir")</f>
        <v>"If you even think about hitting me with that I'll fill one with lead and bash your skull with it" ~Gwennivir</v>
      </c>
      <c r="C693" s="16" t="str">
        <f>IFERROR(__xludf.DUMMYFUNCTION("""COMPUTED_VALUE"""),"Boomerang")</f>
        <v>Boomerang</v>
      </c>
      <c r="D693" s="16" t="str">
        <f>IFERROR(__xludf.DUMMYFUNCTION("""COMPUTED_VALUE"""),"Hand")</f>
        <v>Hand</v>
      </c>
      <c r="E693" s="16">
        <f>IFERROR(__xludf.DUMMYFUNCTION("""COMPUTED_VALUE"""),200.0)</f>
        <v>200</v>
      </c>
      <c r="F693" s="16" t="str">
        <f>IFERROR(__xludf.DUMMYFUNCTION("""COMPUTED_VALUE"""),", Water DMG: +10000 ++25% Chance to freeze the target, ++25% chance to turn the target into a Demon Snowman and recruit them to the users side for 2 rounds (this counts as a possession).")</f>
        <v>, Water DMG: +10000 ++25% Chance to freeze the target, ++25% chance to turn the target into a Demon Snowman and recruit them to the users side for 2 rounds (this counts as a possession).</v>
      </c>
      <c r="G693" s="16">
        <f>IFERROR(__xludf.DUMMYFUNCTION("""COMPUTED_VALUE"""),1900000.0)</f>
        <v>1900000</v>
      </c>
      <c r="H693" s="16"/>
      <c r="I693" s="16"/>
      <c r="J693" s="16"/>
      <c r="K693" s="16"/>
      <c r="L693" s="16"/>
      <c r="M693" s="16"/>
      <c r="N693" s="16"/>
      <c r="O693" s="16"/>
      <c r="P693" s="16"/>
      <c r="Q693" s="16"/>
      <c r="R693" s="16"/>
      <c r="S693" s="16"/>
      <c r="T693" s="16"/>
      <c r="U693" s="16"/>
      <c r="V693" s="16"/>
      <c r="W693" s="16"/>
      <c r="X693" s="16"/>
      <c r="Y693" s="16"/>
      <c r="Z693" s="16"/>
    </row>
    <row r="694">
      <c r="A694" s="16" t="str">
        <f>IFERROR(__xludf.DUMMYFUNCTION("""COMPUTED_VALUE"""),"Corvid Cloak")</f>
        <v>Corvid Cloak</v>
      </c>
      <c r="B694" s="16" t="str">
        <f>IFERROR(__xludf.DUMMYFUNCTION("""COMPUTED_VALUE"""),"Formed from the feathers of many crows and ravens, this cloak has an imposing presence.")</f>
        <v>Formed from the feathers of many crows and ravens, this cloak has an imposing presence.</v>
      </c>
      <c r="C694" s="16"/>
      <c r="D694" s="16" t="str">
        <f>IFERROR(__xludf.DUMMYFUNCTION("""COMPUTED_VALUE"""),"Shoulders")</f>
        <v>Shoulders</v>
      </c>
      <c r="E694" s="16">
        <f>IFERROR(__xludf.DUMMYFUNCTION("""COMPUTED_VALUE"""),1.0)</f>
        <v>1</v>
      </c>
      <c r="F694" s="16" t="str">
        <f>IFERROR(__xludf.DUMMYFUNCTION("""COMPUTED_VALUE""")," ++On WIngs of Death: When an enemy or ally dies of poison all Base stats are doubled for 3 rounds and +5 to all perks +-Cannot be Duplicated")</f>
        <v> ++On WIngs of Death: When an enemy or ally dies of poison all Base stats are doubled for 3 rounds and +5 to all perks +-Cannot be Duplicated</v>
      </c>
      <c r="G694" s="16">
        <f>IFERROR(__xludf.DUMMYFUNCTION("""COMPUTED_VALUE"""),0.0)</f>
        <v>0</v>
      </c>
      <c r="H694" s="16"/>
      <c r="I694" s="16"/>
      <c r="J694" s="16"/>
      <c r="K694" s="16"/>
      <c r="L694" s="16"/>
      <c r="M694" s="16"/>
      <c r="N694" s="16"/>
      <c r="O694" s="16"/>
      <c r="P694" s="16"/>
      <c r="Q694" s="16"/>
      <c r="R694" s="16"/>
      <c r="S694" s="16"/>
      <c r="T694" s="16"/>
      <c r="U694" s="16"/>
      <c r="V694" s="16"/>
      <c r="W694" s="16"/>
      <c r="X694" s="16"/>
      <c r="Y694" s="16"/>
      <c r="Z694" s="16"/>
    </row>
    <row r="695">
      <c r="A695" s="16" t="str">
        <f>IFERROR(__xludf.DUMMYFUNCTION("""COMPUTED_VALUE"""),"Plague Doctor's Mask")</f>
        <v>Plague Doctor's Mask</v>
      </c>
      <c r="B695" s="16" t="str">
        <f>IFERROR(__xludf.DUMMYFUNCTION("""COMPUTED_VALUE"""),"""The eyes of the plague doctors can see all the impurities of not just one's body, but one's soul, it is our goal- nay, our purpose, to cure these impurities"" ~Kaillon, The Last WItch Doctor")</f>
        <v>"The eyes of the plague doctors can see all the impurities of not just one's body, but one's soul, it is our goal- nay, our purpose, to cure these impurities" ~Kaillon, The Last WItch Doctor</v>
      </c>
      <c r="C695" s="16"/>
      <c r="D695" s="16" t="str">
        <f>IFERROR(__xludf.DUMMYFUNCTION("""COMPUTED_VALUE"""),"Head")</f>
        <v>Head</v>
      </c>
      <c r="E695" s="16">
        <f>IFERROR(__xludf.DUMMYFUNCTION("""COMPUTED_VALUE"""),1.0)</f>
        <v>1</v>
      </c>
      <c r="F695" s="16" t="str">
        <f>IFERROR(__xludf.DUMMYFUNCTION("""COMPUTED_VALUE""")," ++Plague Doctor: 25% chance to be unaffected by a disease +-Cannot be Duplicated")</f>
        <v> ++Plague Doctor: 25% chance to be unaffected by a disease +-Cannot be Duplicated</v>
      </c>
      <c r="G695" s="16">
        <f>IFERROR(__xludf.DUMMYFUNCTION("""COMPUTED_VALUE"""),0.0)</f>
        <v>0</v>
      </c>
      <c r="H695" s="16"/>
      <c r="I695" s="16"/>
      <c r="J695" s="16"/>
      <c r="K695" s="16"/>
      <c r="L695" s="16"/>
      <c r="M695" s="16"/>
      <c r="N695" s="16"/>
      <c r="O695" s="16"/>
      <c r="P695" s="16"/>
      <c r="Q695" s="16"/>
      <c r="R695" s="16"/>
      <c r="S695" s="16"/>
      <c r="T695" s="16"/>
      <c r="U695" s="16"/>
      <c r="V695" s="16"/>
      <c r="W695" s="16"/>
      <c r="X695" s="16"/>
      <c r="Y695" s="16"/>
      <c r="Z695" s="16"/>
    </row>
    <row r="696">
      <c r="A696" s="16" t="str">
        <f>IFERROR(__xludf.DUMMYFUNCTION("""COMPUTED_VALUE"""),"""The Only Cure""")</f>
        <v>"The Only Cure"</v>
      </c>
      <c r="B696" s="16" t="str">
        <f>IFERROR(__xludf.DUMMYFUNCTION("""COMPUTED_VALUE"""),"""Sometimes, there is no cure for one's disease,
in those times it is our job to be merciful,
Truly, the only cure is death"" ~Kaillon, The Last Witch Doctor")</f>
        <v>"Sometimes, there is no cure for one's disease,
in those times it is our job to be merciful,
Truly, the only cure is death" ~Kaillon, The Last Witch Doctor</v>
      </c>
      <c r="C696" s="16"/>
      <c r="D696" s="16" t="str">
        <f>IFERROR(__xludf.DUMMYFUNCTION("""COMPUTED_VALUE"""),"Neck")</f>
        <v>Neck</v>
      </c>
      <c r="E696" s="16">
        <f>IFERROR(__xludf.DUMMYFUNCTION("""COMPUTED_VALUE"""),1.0)</f>
        <v>1</v>
      </c>
      <c r="F696" s="16" t="str">
        <f>IFERROR(__xludf.DUMMYFUNCTION("""COMPUTED_VALUE""")," ++""Is Death"": The first time a single ally dies in a battle they survive on 1 hp with halved defense, atack, and accuracy for 3 rounds. +-Cannot be Duplicated")</f>
        <v> ++"Is Death": The first time a single ally dies in a battle they survive on 1 hp with halved defense, atack, and accuracy for 3 rounds. +-Cannot be Duplicated</v>
      </c>
      <c r="G696" s="16">
        <f>IFERROR(__xludf.DUMMYFUNCTION("""COMPUTED_VALUE"""),0.0)</f>
        <v>0</v>
      </c>
      <c r="H696" s="16"/>
      <c r="I696" s="16"/>
      <c r="J696" s="16"/>
      <c r="K696" s="16"/>
      <c r="L696" s="16"/>
      <c r="M696" s="16"/>
      <c r="N696" s="16"/>
      <c r="O696" s="16"/>
      <c r="P696" s="16"/>
      <c r="Q696" s="16"/>
      <c r="R696" s="16"/>
      <c r="S696" s="16"/>
      <c r="T696" s="16"/>
      <c r="U696" s="16"/>
      <c r="V696" s="16"/>
      <c r="W696" s="16"/>
      <c r="X696" s="16"/>
      <c r="Y696" s="16"/>
      <c r="Z696" s="16"/>
    </row>
    <row r="697">
      <c r="A697" s="16" t="str">
        <f>IFERROR(__xludf.DUMMYFUNCTION("""COMPUTED_VALUE"""),"Plague Doctor's Gloves")</f>
        <v>Plague Doctor's Gloves</v>
      </c>
      <c r="B697" s="16" t="str">
        <f>IFERROR(__xludf.DUMMYFUNCTION("""COMPUTED_VALUE"""),"These gloves have been stained with blood and potions over the years.")</f>
        <v>These gloves have been stained with blood and potions over the years.</v>
      </c>
      <c r="C697" s="16"/>
      <c r="D697" s="16" t="str">
        <f>IFERROR(__xludf.DUMMYFUNCTION("""COMPUTED_VALUE"""),"Arms")</f>
        <v>Arms</v>
      </c>
      <c r="E697" s="16">
        <f>IFERROR(__xludf.DUMMYFUNCTION("""COMPUTED_VALUE"""),1.0)</f>
        <v>1</v>
      </c>
      <c r="F697" s="16" t="str">
        <f>IFERROR(__xludf.DUMMYFUNCTION("""COMPUTED_VALUE""")," ++Poisoner I:X2 damage +-Cannot be Duplicated")</f>
        <v> ++Poisoner I:X2 damage +-Cannot be Duplicated</v>
      </c>
      <c r="G697" s="16">
        <f>IFERROR(__xludf.DUMMYFUNCTION("""COMPUTED_VALUE"""),0.0)</f>
        <v>0</v>
      </c>
      <c r="H697" s="16"/>
      <c r="I697" s="16"/>
      <c r="J697" s="16"/>
      <c r="K697" s="16"/>
      <c r="L697" s="16"/>
      <c r="M697" s="16"/>
      <c r="N697" s="16"/>
      <c r="O697" s="16"/>
      <c r="P697" s="16"/>
      <c r="Q697" s="16"/>
      <c r="R697" s="16"/>
      <c r="S697" s="16"/>
      <c r="T697" s="16"/>
      <c r="U697" s="16"/>
      <c r="V697" s="16"/>
      <c r="W697" s="16"/>
      <c r="X697" s="16"/>
      <c r="Y697" s="16"/>
      <c r="Z697" s="16"/>
    </row>
    <row r="698">
      <c r="A698" s="16" t="str">
        <f>IFERROR(__xludf.DUMMYFUNCTION("""COMPUTED_VALUE"""),"Plague Doctor's Sarouel")</f>
        <v>Plague Doctor's Sarouel</v>
      </c>
      <c r="B698" s="16" t="str">
        <f>IFERROR(__xludf.DUMMYFUNCTION("""COMPUTED_VALUE"""),"These pants serve no real purpose within the foul night swamp, but they are the traditional wear of the plague doctors.")</f>
        <v>These pants serve no real purpose within the foul night swamp, but they are the traditional wear of the plague doctors.</v>
      </c>
      <c r="C698" s="16"/>
      <c r="D698" s="16" t="str">
        <f>IFERROR(__xludf.DUMMYFUNCTION("""COMPUTED_VALUE"""),"Legs")</f>
        <v>Legs</v>
      </c>
      <c r="E698" s="16">
        <f>IFERROR(__xludf.DUMMYFUNCTION("""COMPUTED_VALUE"""),1.0)</f>
        <v>1</v>
      </c>
      <c r="F698" s="16" t="str">
        <f>IFERROR(__xludf.DUMMYFUNCTION("""COMPUTED_VALUE""")," ++Poisoner I:X2 damage +-Cannot be Duplicated")</f>
        <v> ++Poisoner I:X2 damage +-Cannot be Duplicated</v>
      </c>
      <c r="G698" s="16">
        <f>IFERROR(__xludf.DUMMYFUNCTION("""COMPUTED_VALUE"""),0.0)</f>
        <v>0</v>
      </c>
      <c r="H698" s="16"/>
      <c r="I698" s="16"/>
      <c r="J698" s="16"/>
      <c r="K698" s="16"/>
      <c r="L698" s="16"/>
      <c r="M698" s="16"/>
      <c r="N698" s="16"/>
      <c r="O698" s="16"/>
      <c r="P698" s="16"/>
      <c r="Q698" s="16"/>
      <c r="R698" s="16"/>
      <c r="S698" s="16"/>
      <c r="T698" s="16"/>
      <c r="U698" s="16"/>
      <c r="V698" s="16"/>
      <c r="W698" s="16"/>
      <c r="X698" s="16"/>
      <c r="Y698" s="16"/>
      <c r="Z698" s="16"/>
    </row>
    <row r="699">
      <c r="A699" s="16" t="str">
        <f>IFERROR(__xludf.DUMMYFUNCTION("""COMPUTED_VALUE"""),"Plague Doctor's Boots")</f>
        <v>Plague Doctor's Boots</v>
      </c>
      <c r="B699" s="16" t="str">
        <f>IFERROR(__xludf.DUMMYFUNCTION("""COMPUTED_VALUE"""),"These boots have been designed for optimal movement through all kinds of hazards.")</f>
        <v>These boots have been designed for optimal movement through all kinds of hazards.</v>
      </c>
      <c r="C699" s="16"/>
      <c r="D699" s="16" t="str">
        <f>IFERROR(__xludf.DUMMYFUNCTION("""COMPUTED_VALUE"""),"Feet")</f>
        <v>Feet</v>
      </c>
      <c r="E699" s="16">
        <f>IFERROR(__xludf.DUMMYFUNCTION("""COMPUTED_VALUE"""),1.0)</f>
        <v>1</v>
      </c>
      <c r="F699" s="16" t="str">
        <f>IFERROR(__xludf.DUMMYFUNCTION("""COMPUTED_VALUE""")," ++Swamp Stompers: You take only half the effect of environmental hazards +-Cannot be Duplicated")</f>
        <v> ++Swamp Stompers: You take only half the effect of environmental hazards +-Cannot be Duplicated</v>
      </c>
      <c r="G699" s="16">
        <f>IFERROR(__xludf.DUMMYFUNCTION("""COMPUTED_VALUE"""),0.0)</f>
        <v>0</v>
      </c>
      <c r="H699" s="16"/>
      <c r="I699" s="16"/>
      <c r="J699" s="16"/>
      <c r="K699" s="16"/>
      <c r="L699" s="16"/>
      <c r="M699" s="16"/>
      <c r="N699" s="16"/>
      <c r="O699" s="16"/>
      <c r="P699" s="16"/>
      <c r="Q699" s="16"/>
      <c r="R699" s="16"/>
      <c r="S699" s="16"/>
      <c r="T699" s="16"/>
      <c r="U699" s="16"/>
      <c r="V699" s="16"/>
      <c r="W699" s="16"/>
      <c r="X699" s="16"/>
      <c r="Y699" s="16"/>
      <c r="Z699" s="16"/>
    </row>
    <row r="700">
      <c r="A700" s="16" t="str">
        <f>IFERROR(__xludf.DUMMYFUNCTION("""COMPUTED_VALUE"""),"Plague Doctor's Apron")</f>
        <v>Plague Doctor's Apron</v>
      </c>
      <c r="B700" s="16" t="str">
        <f>IFERROR(__xludf.DUMMYFUNCTION("""COMPUTED_VALUE"""),"The thick leather of this apron ensures that accidents with poison are minimalized.")</f>
        <v>The thick leather of this apron ensures that accidents with poison are minimalized.</v>
      </c>
      <c r="C700" s="16"/>
      <c r="D700" s="16" t="str">
        <f>IFERROR(__xludf.DUMMYFUNCTION("""COMPUTED_VALUE"""),"Torso")</f>
        <v>Torso</v>
      </c>
      <c r="E700" s="16">
        <f>IFERROR(__xludf.DUMMYFUNCTION("""COMPUTED_VALUE"""),1.0)</f>
        <v>1</v>
      </c>
      <c r="F700" s="16" t="str">
        <f>IFERROR(__xludf.DUMMYFUNCTION("""COMPUTED_VALUE""")," ++Spllatter Proof: Immune to poison +-Cannot be Duplicated")</f>
        <v> ++Spllatter Proof: Immune to poison +-Cannot be Duplicated</v>
      </c>
      <c r="G700" s="16">
        <f>IFERROR(__xludf.DUMMYFUNCTION("""COMPUTED_VALUE"""),0.0)</f>
        <v>0</v>
      </c>
      <c r="H700" s="16"/>
      <c r="I700" s="16"/>
      <c r="J700" s="16"/>
      <c r="K700" s="16"/>
      <c r="L700" s="16"/>
      <c r="M700" s="16"/>
      <c r="N700" s="16"/>
      <c r="O700" s="16"/>
      <c r="P700" s="16"/>
      <c r="Q700" s="16"/>
      <c r="R700" s="16"/>
      <c r="S700" s="16"/>
      <c r="T700" s="16"/>
      <c r="U700" s="16"/>
      <c r="V700" s="16"/>
      <c r="W700" s="16"/>
      <c r="X700" s="16"/>
      <c r="Y700" s="16"/>
      <c r="Z700" s="16"/>
    </row>
    <row r="701">
      <c r="A701" s="16" t="str">
        <f>IFERROR(__xludf.DUMMYFUNCTION("""COMPUTED_VALUE"""),"Poisonous Hand Crossbow")</f>
        <v>Poisonous Hand Crossbow</v>
      </c>
      <c r="B701" s="16" t="str">
        <f>IFERROR(__xludf.DUMMYFUNCTION("""COMPUTED_VALUE"""),"""Because sometimes the only viable tactic, is a dirty one"" ~Gwennivir")</f>
        <v>"Because sometimes the only viable tactic, is a dirty one" ~Gwennivir</v>
      </c>
      <c r="C701" s="16" t="str">
        <f>IFERROR(__xludf.DUMMYFUNCTION("""COMPUTED_VALUE"""),"Bow")</f>
        <v>Bow</v>
      </c>
      <c r="D701" s="16" t="str">
        <f>IFERROR(__xludf.DUMMYFUNCTION("""COMPUTED_VALUE"""),"Hand")</f>
        <v>Hand</v>
      </c>
      <c r="E701" s="16">
        <f>IFERROR(__xludf.DUMMYFUNCTION("""COMPUTED_VALUE"""),1000.0)</f>
        <v>1000</v>
      </c>
      <c r="F701" s="16" t="str">
        <f>IFERROR(__xludf.DUMMYFUNCTION("""COMPUTED_VALUE"""),"DMG: +50000 ++Poisoned I: Hitting an enemy with this weapon inflicts 500 poison")</f>
        <v>DMG: +50000 ++Poisoned I: Hitting an enemy with this weapon inflicts 500 poison</v>
      </c>
      <c r="G701" s="16">
        <f>IFERROR(__xludf.DUMMYFUNCTION("""COMPUTED_VALUE"""),4.95E7)</f>
        <v>49500000</v>
      </c>
      <c r="H701" s="16"/>
      <c r="I701" s="16"/>
      <c r="J701" s="16"/>
      <c r="K701" s="16"/>
      <c r="L701" s="16"/>
      <c r="M701" s="16"/>
      <c r="N701" s="16"/>
      <c r="O701" s="16"/>
      <c r="P701" s="16"/>
      <c r="Q701" s="16"/>
      <c r="R701" s="16"/>
      <c r="S701" s="16"/>
      <c r="T701" s="16"/>
      <c r="U701" s="16"/>
      <c r="V701" s="16"/>
      <c r="W701" s="16"/>
      <c r="X701" s="16"/>
      <c r="Y701" s="16"/>
      <c r="Z701" s="16"/>
    </row>
    <row r="702">
      <c r="A702" s="16" t="str">
        <f>IFERROR(__xludf.DUMMYFUNCTION("""COMPUTED_VALUE"""),"Poison Tipped Knife")</f>
        <v>Poison Tipped Knife</v>
      </c>
      <c r="B702" s="16" t="str">
        <f>IFERROR(__xludf.DUMMYFUNCTION("""COMPUTED_VALUE"""),"""It isn't the most graceful end, and it isn't quick by any means... What, you thought I'd defend it?"" ~Gwennivir")</f>
        <v>"It isn't the most graceful end, and it isn't quick by any means... What, you thought I'd defend it?" ~Gwennivir</v>
      </c>
      <c r="C702" s="16" t="str">
        <f>IFERROR(__xludf.DUMMYFUNCTION("""COMPUTED_VALUE"""),"Knife")</f>
        <v>Knife</v>
      </c>
      <c r="D702" s="16" t="str">
        <f>IFERROR(__xludf.DUMMYFUNCTION("""COMPUTED_VALUE"""),"Hand")</f>
        <v>Hand</v>
      </c>
      <c r="E702" s="16">
        <f>IFERROR(__xludf.DUMMYFUNCTION("""COMPUTED_VALUE"""),1000.0)</f>
        <v>1000</v>
      </c>
      <c r="F702" s="16" t="str">
        <f>IFERROR(__xludf.DUMMYFUNCTION("""COMPUTED_VALUE"""),"DMG: +50000 ++Poisoned I: Hitting an enemy with this weapon inflicts 500 poison")</f>
        <v>DMG: +50000 ++Poisoned I: Hitting an enemy with this weapon inflicts 500 poison</v>
      </c>
      <c r="G702" s="16">
        <f>IFERROR(__xludf.DUMMYFUNCTION("""COMPUTED_VALUE"""),4.95E7)</f>
        <v>49500000</v>
      </c>
      <c r="H702" s="16"/>
      <c r="I702" s="16"/>
      <c r="J702" s="16"/>
      <c r="K702" s="16"/>
      <c r="L702" s="16"/>
      <c r="M702" s="16"/>
      <c r="N702" s="16"/>
      <c r="O702" s="16"/>
      <c r="P702" s="16"/>
      <c r="Q702" s="16"/>
      <c r="R702" s="16"/>
      <c r="S702" s="16"/>
      <c r="T702" s="16"/>
      <c r="U702" s="16"/>
      <c r="V702" s="16"/>
      <c r="W702" s="16"/>
      <c r="X702" s="16"/>
      <c r="Y702" s="16"/>
      <c r="Z702" s="16"/>
    </row>
    <row r="703">
      <c r="A703" s="16" t="str">
        <f>IFERROR(__xludf.DUMMYFUNCTION("""COMPUTED_VALUE"""),"Frozen Head-Splitter")</f>
        <v>Frozen Head-Splitter</v>
      </c>
      <c r="B703" s="16" t="str">
        <f>IFERROR(__xludf.DUMMYFUNCTION("""COMPUTED_VALUE"""),"""Those trolls in the northern territories, who do you think taught them how to use those clubs they always carry around? It's as if they simply learned it overnight one day."" ~Mysterious Merchant")</f>
        <v>"Those trolls in the northern territories, who do you think taught them how to use those clubs they always carry around? It's as if they simply learned it overnight one day." ~Mysterious Merchant</v>
      </c>
      <c r="C703" s="16" t="str">
        <f>IFERROR(__xludf.DUMMYFUNCTION("""COMPUTED_VALUE"""),"Club")</f>
        <v>Club</v>
      </c>
      <c r="D703" s="16" t="str">
        <f>IFERROR(__xludf.DUMMYFUNCTION("""COMPUTED_VALUE"""),"Hand")</f>
        <v>Hand</v>
      </c>
      <c r="E703" s="16">
        <f>IFERROR(__xludf.DUMMYFUNCTION("""COMPUTED_VALUE"""),1200.0)</f>
        <v>1200</v>
      </c>
      <c r="F703" s="16" t="str">
        <f>IFERROR(__xludf.DUMMYFUNCTION("""COMPUTED_VALUE"""),"DMG: +50000, Storm DMG: +10000 ++Big Bashin' Stick - 25% chance to stun an enemy upon hitting them for 2 rounds(percent stacks with weapon ability), ++Big Freezin' Stick - 15% chance to freeze an enemy upon hitting them")</f>
        <v>DMG: +50000, Storm DMG: +10000 ++Big Bashin' Stick - 25% chance to stun an enemy upon hitting them for 2 rounds(percent stacks with weapon ability), ++Big Freezin' Stick - 15% chance to freeze an enemy upon hitting them</v>
      </c>
      <c r="G703" s="16">
        <f>IFERROR(__xludf.DUMMYFUNCTION("""COMPUTED_VALUE"""),7.14E7)</f>
        <v>71400000</v>
      </c>
      <c r="H703" s="16"/>
      <c r="I703" s="16"/>
      <c r="J703" s="16"/>
      <c r="K703" s="16"/>
      <c r="L703" s="16"/>
      <c r="M703" s="16"/>
      <c r="N703" s="16"/>
      <c r="O703" s="16"/>
      <c r="P703" s="16"/>
      <c r="Q703" s="16"/>
      <c r="R703" s="16"/>
      <c r="S703" s="16"/>
      <c r="T703" s="16"/>
      <c r="U703" s="16"/>
      <c r="V703" s="16"/>
      <c r="W703" s="16"/>
      <c r="X703" s="16"/>
      <c r="Y703" s="16"/>
      <c r="Z703" s="16"/>
    </row>
    <row r="704">
      <c r="A704" s="16" t="str">
        <f>IFERROR(__xludf.DUMMYFUNCTION("""COMPUTED_VALUE"""),"Fireball Cannon")</f>
        <v>Fireball Cannon</v>
      </c>
      <c r="B704" s="16" t="str">
        <f>IFERROR(__xludf.DUMMYFUNCTION("""COMPUTED_VALUE"""),"""Sometimes fire is the only answer to the question,"" ~Gwennivir")</f>
        <v>"Sometimes fire is the only answer to the question," ~Gwennivir</v>
      </c>
      <c r="C704" s="16" t="str">
        <f>IFERROR(__xludf.DUMMYFUNCTION("""COMPUTED_VALUE"""),"Firearm")</f>
        <v>Firearm</v>
      </c>
      <c r="D704" s="16" t="str">
        <f>IFERROR(__xludf.DUMMYFUNCTION("""COMPUTED_VALUE"""),"BoatGun")</f>
        <v>BoatGun</v>
      </c>
      <c r="E704" s="16">
        <f>IFERROR(__xludf.DUMMYFUNCTION("""COMPUTED_VALUE"""),1000.0)</f>
        <v>1000</v>
      </c>
      <c r="F704" s="16" t="str">
        <f>IFERROR(__xludf.DUMMYFUNCTION("""COMPUTED_VALUE"""),"DMG: +30000, Fire DMG: +20000 ++Burn 10,000. ++Requires Fire Cannon Balls")</f>
        <v>DMG: +30000, Fire DMG: +20000 ++Burn 10,000. ++Requires Fire Cannon Balls</v>
      </c>
      <c r="G704" s="16">
        <f>IFERROR(__xludf.DUMMYFUNCTION("""COMPUTED_VALUE"""),4.95E7)</f>
        <v>49500000</v>
      </c>
      <c r="H704" s="16"/>
      <c r="I704" s="16"/>
      <c r="J704" s="16"/>
      <c r="K704" s="16"/>
      <c r="L704" s="16"/>
      <c r="M704" s="16"/>
      <c r="N704" s="16"/>
      <c r="O704" s="16"/>
      <c r="P704" s="16"/>
      <c r="Q704" s="16"/>
      <c r="R704" s="16"/>
      <c r="S704" s="16"/>
      <c r="T704" s="16"/>
      <c r="U704" s="16"/>
      <c r="V704" s="16"/>
      <c r="W704" s="16"/>
      <c r="X704" s="16"/>
      <c r="Y704" s="16"/>
      <c r="Z704" s="16"/>
    </row>
    <row r="705">
      <c r="A705" s="16" t="str">
        <f>IFERROR(__xludf.DUMMYFUNCTION("""COMPUTED_VALUE"""),"Harpoon Gun")</f>
        <v>Harpoon Gun</v>
      </c>
      <c r="B705" s="16" t="str">
        <f>IFERROR(__xludf.DUMMYFUNCTION("""COMPUTED_VALUE"""),"""You could use this for whaling and shark hunting, or you could use it to catch a few pirates, I don't judge,"" ~Gwennivir")</f>
        <v>"You could use this for whaling and shark hunting, or you could use it to catch a few pirates, I don't judge," ~Gwennivir</v>
      </c>
      <c r="C705" s="16" t="str">
        <f>IFERROR(__xludf.DUMMYFUNCTION("""COMPUTED_VALUE"""),"Spear")</f>
        <v>Spear</v>
      </c>
      <c r="D705" s="16" t="str">
        <f>IFERROR(__xludf.DUMMYFUNCTION("""COMPUTED_VALUE"""),"BoatGun")</f>
        <v>BoatGun</v>
      </c>
      <c r="E705" s="16">
        <f>IFERROR(__xludf.DUMMYFUNCTION("""COMPUTED_VALUE"""),400.0)</f>
        <v>400</v>
      </c>
      <c r="F705" s="16" t="str">
        <f>IFERROR(__xludf.DUMMYFUNCTION("""COMPUTED_VALUE"""),"DMG: +10000, Blood DMG: +10000 ++Bleed 10,000. ")</f>
        <v>DMG: +10000, Blood DMG: +10000 ++Bleed 10,000. </v>
      </c>
      <c r="G705" s="16">
        <f>IFERROR(__xludf.DUMMYFUNCTION("""COMPUTED_VALUE"""),7800000.0)</f>
        <v>7800000</v>
      </c>
      <c r="H705" s="16"/>
      <c r="I705" s="16"/>
      <c r="J705" s="16"/>
      <c r="K705" s="16"/>
      <c r="L705" s="16"/>
      <c r="M705" s="16"/>
      <c r="N705" s="16"/>
      <c r="O705" s="16"/>
      <c r="P705" s="16"/>
      <c r="Q705" s="16"/>
      <c r="R705" s="16"/>
      <c r="S705" s="16"/>
      <c r="T705" s="16"/>
      <c r="U705" s="16"/>
      <c r="V705" s="16"/>
      <c r="W705" s="16"/>
      <c r="X705" s="16"/>
      <c r="Y705" s="16"/>
      <c r="Z705" s="16"/>
    </row>
    <row r="706">
      <c r="A706" s="16" t="str">
        <f>IFERROR(__xludf.DUMMYFUNCTION("""COMPUTED_VALUE"""),"Torpedo Launcher")</f>
        <v>Torpedo Launcher</v>
      </c>
      <c r="B706" s="16" t="str">
        <f>IFERROR(__xludf.DUMMYFUNCTION("""COMPUTED_VALUE"""),"""Sometimes you need a little more bang for your buck, in those times you need a torpedo,"" ~Gwennivir")</f>
        <v>"Sometimes you need a little more bang for your buck, in those times you need a torpedo," ~Gwennivir</v>
      </c>
      <c r="C706" s="16" t="str">
        <f>IFERROR(__xludf.DUMMYFUNCTION("""COMPUTED_VALUE"""),"Firearm")</f>
        <v>Firearm</v>
      </c>
      <c r="D706" s="16" t="str">
        <f>IFERROR(__xludf.DUMMYFUNCTION("""COMPUTED_VALUE"""),"BoatGun")</f>
        <v>BoatGun</v>
      </c>
      <c r="E706" s="16">
        <f>IFERROR(__xludf.DUMMYFUNCTION("""COMPUTED_VALUE"""),1000.0)</f>
        <v>1000</v>
      </c>
      <c r="F706" s="16" t="str">
        <f>IFERROR(__xludf.DUMMYFUNCTION("""COMPUTED_VALUE"""),"DMG: +50000 ++ Requires Torpedos")</f>
        <v>DMG: +50000 ++ Requires Torpedos</v>
      </c>
      <c r="G706" s="16">
        <f>IFERROR(__xludf.DUMMYFUNCTION("""COMPUTED_VALUE"""),4.95E7)</f>
        <v>49500000</v>
      </c>
      <c r="H706" s="16"/>
      <c r="I706" s="16"/>
      <c r="J706" s="16"/>
      <c r="K706" s="16"/>
      <c r="L706" s="16"/>
      <c r="M706" s="16"/>
      <c r="N706" s="16"/>
      <c r="O706" s="16"/>
      <c r="P706" s="16"/>
      <c r="Q706" s="16"/>
      <c r="R706" s="16"/>
      <c r="S706" s="16"/>
      <c r="T706" s="16"/>
      <c r="U706" s="16"/>
      <c r="V706" s="16"/>
      <c r="W706" s="16"/>
      <c r="X706" s="16"/>
      <c r="Y706" s="16"/>
      <c r="Z706" s="16"/>
    </row>
    <row r="707">
      <c r="A707" s="16" t="str">
        <f>IFERROR(__xludf.DUMMYFUNCTION("""COMPUTED_VALUE"""),"Double Barrel Shotgun")</f>
        <v>Double Barrel Shotgun</v>
      </c>
      <c r="B707" s="16" t="str">
        <f>IFERROR(__xludf.DUMMYFUNCTION("""COMPUTED_VALUE"""),"""Because what's better than one barrel? Two,"" ~Gwennivir")</f>
        <v>"Because what's better than one barrel? Two," ~Gwennivir</v>
      </c>
      <c r="C707" s="16" t="str">
        <f>IFERROR(__xludf.DUMMYFUNCTION("""COMPUTED_VALUE"""),"Firearm")</f>
        <v>Firearm</v>
      </c>
      <c r="D707" s="16" t="str">
        <f>IFERROR(__xludf.DUMMYFUNCTION("""COMPUTED_VALUE"""),"Hand")</f>
        <v>Hand</v>
      </c>
      <c r="E707" s="16">
        <f>IFERROR(__xludf.DUMMYFUNCTION("""COMPUTED_VALUE"""),800.0)</f>
        <v>800</v>
      </c>
      <c r="F707" s="16" t="str">
        <f>IFERROR(__xludf.DUMMYFUNCTION("""COMPUTED_VALUE"""),"DMG: +20000, Blood DMG: +20000 ++You can use this Firearm twice on your turn during battle if you attack with it +-Cannot be forged +-Cannot be duplicated")</f>
        <v>DMG: +20000, Blood DMG: +20000 ++You can use this Firearm twice on your turn during battle if you attack with it +-Cannot be forged +-Cannot be duplicated</v>
      </c>
      <c r="G707" s="16">
        <f>IFERROR(__xludf.DUMMYFUNCTION("""COMPUTED_VALUE"""),3.16E7)</f>
        <v>31600000</v>
      </c>
      <c r="H707" s="16"/>
      <c r="I707" s="16"/>
      <c r="J707" s="16"/>
      <c r="K707" s="16"/>
      <c r="L707" s="16"/>
      <c r="M707" s="16"/>
      <c r="N707" s="16"/>
      <c r="O707" s="16"/>
      <c r="P707" s="16"/>
      <c r="Q707" s="16"/>
      <c r="R707" s="16"/>
      <c r="S707" s="16"/>
      <c r="T707" s="16"/>
      <c r="U707" s="16"/>
      <c r="V707" s="16"/>
      <c r="W707" s="16"/>
      <c r="X707" s="16"/>
      <c r="Y707" s="16"/>
      <c r="Z707" s="16"/>
    </row>
    <row r="708">
      <c r="A708" s="16" t="str">
        <f>IFERROR(__xludf.DUMMYFUNCTION("""COMPUTED_VALUE"""),"Single Barrel Shotgun")</f>
        <v>Single Barrel Shotgun</v>
      </c>
      <c r="B708" s="16" t="str">
        <f>IFERROR(__xludf.DUMMYFUNCTION("""COMPUTED_VALUE"""),"""For when you want to put more than one hole in your enemies at a time"" ~Gwennivir")</f>
        <v>"For when you want to put more than one hole in your enemies at a time" ~Gwennivir</v>
      </c>
      <c r="C708" s="16" t="str">
        <f>IFERROR(__xludf.DUMMYFUNCTION("""COMPUTED_VALUE"""),"Firearm")</f>
        <v>Firearm</v>
      </c>
      <c r="D708" s="16" t="str">
        <f>IFERROR(__xludf.DUMMYFUNCTION("""COMPUTED_VALUE"""),"Hand")</f>
        <v>Hand</v>
      </c>
      <c r="E708" s="16">
        <f>IFERROR(__xludf.DUMMYFUNCTION("""COMPUTED_VALUE"""),400.0)</f>
        <v>400</v>
      </c>
      <c r="F708" s="16" t="str">
        <f>IFERROR(__xludf.DUMMYFUNCTION("""COMPUTED_VALUE"""),"DMG: +10000, Blood DMG: +10000")</f>
        <v>DMG: +10000, Blood DMG: +10000</v>
      </c>
      <c r="G708" s="16">
        <f>IFERROR(__xludf.DUMMYFUNCTION("""COMPUTED_VALUE"""),7800000.0)</f>
        <v>7800000</v>
      </c>
      <c r="H708" s="16"/>
      <c r="I708" s="16"/>
      <c r="J708" s="16"/>
      <c r="K708" s="16"/>
      <c r="L708" s="16"/>
      <c r="M708" s="16"/>
      <c r="N708" s="16"/>
      <c r="O708" s="16"/>
      <c r="P708" s="16"/>
      <c r="Q708" s="16"/>
      <c r="R708" s="16"/>
      <c r="S708" s="16"/>
      <c r="T708" s="16"/>
      <c r="U708" s="16"/>
      <c r="V708" s="16"/>
      <c r="W708" s="16"/>
      <c r="X708" s="16"/>
      <c r="Y708" s="16"/>
      <c r="Z708" s="16"/>
    </row>
    <row r="709">
      <c r="A709" s="16" t="str">
        <f>IFERROR(__xludf.DUMMYFUNCTION("""COMPUTED_VALUE"""),"Poison Staff")</f>
        <v>Poison Staff</v>
      </c>
      <c r="B709" s="16" t="str">
        <f>IFERROR(__xludf.DUMMYFUNCTION("""COMPUTED_VALUE"""),"""Poison is generally looked down upon as a cowardly tactic by all but the poison master, but you must admit to it's efficieny"" ~Poison Master Hun")</f>
        <v>"Poison is generally looked down upon as a cowardly tactic by all but the poison master, but you must admit to it's efficieny" ~Poison Master Hun</v>
      </c>
      <c r="C709" s="16" t="str">
        <f>IFERROR(__xludf.DUMMYFUNCTION("""COMPUTED_VALUE"""),"Staff")</f>
        <v>Staff</v>
      </c>
      <c r="D709" s="16" t="str">
        <f>IFERROR(__xludf.DUMMYFUNCTION("""COMPUTED_VALUE"""),"Hand")</f>
        <v>Hand</v>
      </c>
      <c r="E709" s="16">
        <f>IFERROR(__xludf.DUMMYFUNCTION("""COMPUTED_VALUE"""),2000.0)</f>
        <v>2000</v>
      </c>
      <c r="F709" s="16" t="str">
        <f>IFERROR(__xludf.DUMMYFUNCTION("""COMPUTED_VALUE"""),", Nature DMG: +100000 ++ Poison 20,000")</f>
        <v>, Nature DMG: +100000 ++ Poison 20,000</v>
      </c>
      <c r="G709" s="16">
        <f>IFERROR(__xludf.DUMMYFUNCTION("""COMPUTED_VALUE"""),1.99E8)</f>
        <v>199000000</v>
      </c>
      <c r="H709" s="16"/>
      <c r="I709" s="16"/>
      <c r="J709" s="16"/>
      <c r="K709" s="16"/>
      <c r="L709" s="16"/>
      <c r="M709" s="16"/>
      <c r="N709" s="16"/>
      <c r="O709" s="16"/>
      <c r="P709" s="16"/>
      <c r="Q709" s="16"/>
      <c r="R709" s="16"/>
      <c r="S709" s="16"/>
      <c r="T709" s="16"/>
      <c r="U709" s="16"/>
      <c r="V709" s="16"/>
      <c r="W709" s="16"/>
      <c r="X709" s="16"/>
      <c r="Y709" s="16"/>
      <c r="Z709" s="16"/>
    </row>
    <row r="710">
      <c r="A710" s="16" t="str">
        <f>IFERROR(__xludf.DUMMYFUNCTION("""COMPUTED_VALUE"""),"Chameldrians Staff of Thriving Blossoms")</f>
        <v>Chameldrians Staff of Thriving Blossoms</v>
      </c>
      <c r="B710" s="16" t="str">
        <f>IFERROR(__xludf.DUMMYFUNCTION("""COMPUTED_VALUE"""),"""Truly a beatiful show of Chameldrian craftsmanship, too bad it's more often than not going to be pointed at you"" ~Poison Master Hun")</f>
        <v>"Truly a beatiful show of Chameldrian craftsmanship, too bad it's more often than not going to be pointed at you" ~Poison Master Hun</v>
      </c>
      <c r="C710" s="16" t="str">
        <f>IFERROR(__xludf.DUMMYFUNCTION("""COMPUTED_VALUE"""),"Staff")</f>
        <v>Staff</v>
      </c>
      <c r="D710" s="16" t="str">
        <f>IFERROR(__xludf.DUMMYFUNCTION("""COMPUTED_VALUE"""),"Hand")</f>
        <v>Hand</v>
      </c>
      <c r="E710" s="16">
        <f>IFERROR(__xludf.DUMMYFUNCTION("""COMPUTED_VALUE"""),2000.0)</f>
        <v>2000</v>
      </c>
      <c r="F710" s="16" t="str">
        <f>IFERROR(__xludf.DUMMYFUNCTION("""COMPUTED_VALUE"""),", Nature : +100000 ++Natures Shield - If you take damage that would kill you, you will live at 1hp once per battle. +-Cannot be forged. +-Cannot be duplicated.")</f>
        <v>, Nature : +100000 ++Natures Shield - If you take damage that would kill you, you will live at 1hp once per battle. +-Cannot be forged. +-Cannot be duplicated.</v>
      </c>
      <c r="G710" s="16">
        <f>IFERROR(__xludf.DUMMYFUNCTION("""COMPUTED_VALUE"""),1.99E8)</f>
        <v>199000000</v>
      </c>
      <c r="H710" s="16"/>
      <c r="I710" s="16"/>
      <c r="J710" s="16"/>
      <c r="K710" s="16"/>
      <c r="L710" s="16"/>
      <c r="M710" s="16"/>
      <c r="N710" s="16"/>
      <c r="O710" s="16"/>
      <c r="P710" s="16"/>
      <c r="Q710" s="16"/>
      <c r="R710" s="16"/>
      <c r="S710" s="16"/>
      <c r="T710" s="16"/>
      <c r="U710" s="16"/>
      <c r="V710" s="16"/>
      <c r="W710" s="16"/>
      <c r="X710" s="16"/>
      <c r="Y710" s="16"/>
      <c r="Z710" s="16"/>
    </row>
    <row r="711">
      <c r="A711" s="16" t="str">
        <f>IFERROR(__xludf.DUMMYFUNCTION("""COMPUTED_VALUE"""),"Cooper's Memento")</f>
        <v>Cooper's Memento</v>
      </c>
      <c r="B711" s="16" t="str">
        <f>IFERROR(__xludf.DUMMYFUNCTION("""COMPUTED_VALUE"""),"A small stopwatch, the ticking has stopped.")</f>
        <v>A small stopwatch, the ticking has stopped.</v>
      </c>
      <c r="C711" s="16" t="str">
        <f>IFERROR(__xludf.DUMMYFUNCTION("""COMPUTED_VALUE"""),"Item")</f>
        <v>Item</v>
      </c>
      <c r="D711" s="16" t="str">
        <f>IFERROR(__xludf.DUMMYFUNCTION("""COMPUTED_VALUE"""),"Arms")</f>
        <v>Arms</v>
      </c>
      <c r="E711" s="16">
        <f>IFERROR(__xludf.DUMMYFUNCTION("""COMPUTED_VALUE"""),1.0)</f>
        <v>1</v>
      </c>
      <c r="F711" s="16" t="str">
        <f>IFERROR(__xludf.DUMMYFUNCTION("""COMPUTED_VALUE""")," ++15% chance to be unaffected by a curse")</f>
        <v> ++15% chance to be unaffected by a curse</v>
      </c>
      <c r="G711" s="16">
        <f>IFERROR(__xludf.DUMMYFUNCTION("""COMPUTED_VALUE"""),0.0)</f>
        <v>0</v>
      </c>
      <c r="H711" s="16"/>
      <c r="I711" s="16"/>
      <c r="J711" s="16"/>
      <c r="K711" s="16"/>
      <c r="L711" s="16"/>
      <c r="M711" s="16"/>
      <c r="N711" s="16"/>
      <c r="O711" s="16"/>
      <c r="P711" s="16"/>
      <c r="Q711" s="16"/>
      <c r="R711" s="16"/>
      <c r="S711" s="16"/>
      <c r="T711" s="16"/>
      <c r="U711" s="16"/>
      <c r="V711" s="16"/>
      <c r="W711" s="16"/>
      <c r="X711" s="16"/>
      <c r="Y711" s="16"/>
      <c r="Z711" s="16"/>
    </row>
    <row r="712">
      <c r="A712" s="16" t="str">
        <f>IFERROR(__xludf.DUMMYFUNCTION("""COMPUTED_VALUE"""),"Gaian Champion's Shield")</f>
        <v>Gaian Champion's Shield</v>
      </c>
      <c r="B712" s="16" t="str">
        <f>IFERROR(__xludf.DUMMYFUNCTION("""COMPUTED_VALUE"""),"""We are born to be the shield of the people, too many paladins forget this simple fact"" ~Grisaia")</f>
        <v>"We are born to be the shield of the people, too many paladins forget this simple fact" ~Grisaia</v>
      </c>
      <c r="C712" s="16" t="str">
        <f>IFERROR(__xludf.DUMMYFUNCTION("""COMPUTED_VALUE"""),"Towershield")</f>
        <v>Towershield</v>
      </c>
      <c r="D712" s="16" t="str">
        <f>IFERROR(__xludf.DUMMYFUNCTION("""COMPUTED_VALUE"""),"Hand")</f>
        <v>Hand</v>
      </c>
      <c r="E712" s="16">
        <f>IFERROR(__xludf.DUMMYFUNCTION("""COMPUTED_VALUE"""),200.0)</f>
        <v>200</v>
      </c>
      <c r="F712" s="16" t="str">
        <f>IFERROR(__xludf.DUMMYFUNCTION("""COMPUTED_VALUE"""),"DEF: +50000, Fire DEF: +50000, Storm DEF: +50000, Earth DEF: +50000, Celestial DEF: +50000 ++15% chance to prevent an ally from taking damage when hit by an attack. ++X6 Earth Damage +-Cannot be Duplicated")</f>
        <v>DEF: +50000, Fire DEF: +50000, Storm DEF: +50000, Earth DEF: +50000, Celestial DEF: +50000 ++15% chance to prevent an ally from taking damage when hit by an attack. ++X6 Earth Damage +-Cannot be Duplicated</v>
      </c>
      <c r="G712" s="16">
        <f>IFERROR(__xludf.DUMMYFUNCTION("""COMPUTED_VALUE"""),1.2475E9)</f>
        <v>1247500000</v>
      </c>
      <c r="H712" s="16"/>
      <c r="I712" s="16"/>
      <c r="J712" s="16"/>
      <c r="K712" s="16"/>
      <c r="L712" s="16"/>
      <c r="M712" s="16"/>
      <c r="N712" s="16"/>
      <c r="O712" s="16"/>
      <c r="P712" s="16"/>
      <c r="Q712" s="16"/>
      <c r="R712" s="16"/>
      <c r="S712" s="16"/>
      <c r="T712" s="16"/>
      <c r="U712" s="16"/>
      <c r="V712" s="16"/>
      <c r="W712" s="16"/>
      <c r="X712" s="16"/>
      <c r="Y712" s="16"/>
      <c r="Z712" s="16"/>
    </row>
    <row r="713">
      <c r="A713" s="16" t="str">
        <f>IFERROR(__xludf.DUMMYFUNCTION("""COMPUTED_VALUE"""),"The Billowing Bludgeon")</f>
        <v>The Billowing Bludgeon</v>
      </c>
      <c r="B713" s="16" t="str">
        <f>IFERROR(__xludf.DUMMYFUNCTION("""COMPUTED_VALUE"""),"""Sure, you could use this as how a staff is supposed to be used, but hitting your enemy on the head with it is more fun"" ~Fire Tiki Mountain Shaman")</f>
        <v>"Sure, you could use this as how a staff is supposed to be used, but hitting your enemy on the head with it is more fun" ~Fire Tiki Mountain Shaman</v>
      </c>
      <c r="C713" s="16" t="str">
        <f>IFERROR(__xludf.DUMMYFUNCTION("""COMPUTED_VALUE"""),"Staff")</f>
        <v>Staff</v>
      </c>
      <c r="D713" s="16" t="str">
        <f>IFERROR(__xludf.DUMMYFUNCTION("""COMPUTED_VALUE"""),"Hand")</f>
        <v>Hand</v>
      </c>
      <c r="E713" s="16">
        <f>IFERROR(__xludf.DUMMYFUNCTION("""COMPUTED_VALUE"""),200.0)</f>
        <v>200</v>
      </c>
      <c r="F713" s="16" t="str">
        <f>IFERROR(__xludf.DUMMYFUNCTION("""COMPUTED_VALUE"""),"DMG: +75000, Fire DMG: +75000, Earth DMG: +75000, Celestial DMG: +75000 ++X6 Earth and Fire damage. ++Additional X6 Earth and Fire damage if the enemy is Vulerable to either damage type. ++Billowing Smoke - Cover the field in smoke and flames giving enemi"&amp;"es Blindness 3 and Burn 5000 for 3 rounds. 1000 sp")</f>
        <v>DMG: +75000, Fire DMG: +75000, Earth DMG: +75000, Celestial DMG: +75000 ++X6 Earth and Fire damage. ++Additional X6 Earth and Fire damage if the enemy is Vulerable to either damage type. ++Billowing Smoke - Cover the field in smoke and flames giving enemies Blindness 3 and Burn 5000 for 3 rounds. 1000 sp</v>
      </c>
      <c r="G713" s="16">
        <f>IFERROR(__xludf.DUMMYFUNCTION("""COMPUTED_VALUE"""),1.797E9)</f>
        <v>1797000000</v>
      </c>
      <c r="H713" s="16"/>
      <c r="I713" s="16"/>
      <c r="J713" s="16"/>
      <c r="K713" s="16"/>
      <c r="L713" s="16"/>
      <c r="M713" s="16"/>
      <c r="N713" s="16"/>
      <c r="O713" s="16"/>
      <c r="P713" s="16"/>
      <c r="Q713" s="16"/>
      <c r="R713" s="16"/>
      <c r="S713" s="16"/>
      <c r="T713" s="16"/>
      <c r="U713" s="16"/>
      <c r="V713" s="16"/>
      <c r="W713" s="16"/>
      <c r="X713" s="16"/>
      <c r="Y713" s="16"/>
      <c r="Z713" s="16"/>
    </row>
    <row r="714">
      <c r="A714" s="16" t="str">
        <f>IFERROR(__xludf.DUMMYFUNCTION("""COMPUTED_VALUE"""),"Home Run Bat")</f>
        <v>Home Run Bat</v>
      </c>
      <c r="B714" s="16"/>
      <c r="C714" s="16" t="str">
        <f>IFERROR(__xludf.DUMMYFUNCTION("""COMPUTED_VALUE"""),"Club")</f>
        <v>Club</v>
      </c>
      <c r="D714" s="16" t="str">
        <f>IFERROR(__xludf.DUMMYFUNCTION("""COMPUTED_VALUE"""),"Hand")</f>
        <v>Hand</v>
      </c>
      <c r="E714" s="16">
        <f>IFERROR(__xludf.DUMMYFUNCTION("""COMPUTED_VALUE"""),200.0)</f>
        <v>200</v>
      </c>
      <c r="F714" s="16" t="str">
        <f>IFERROR(__xludf.DUMMYFUNCTION("""COMPUTED_VALUE"""),"DMG: +100000, Celestial DMG: +100000 ++Batter Up! - Plus 2 to turn order roll. ++Home Run - If you roll a 20 or higher while attacking with this weapon the attack roll becomes double. +-Cannot be forged. +-Cannot be duplicated.")</f>
        <v>DMG: +100000, Celestial DMG: +100000 ++Batter Up! - Plus 2 to turn order roll. ++Home Run - If you roll a 20 or higher while attacking with this weapon the attack roll becomes double. +-Cannot be forged. +-Cannot be duplicated.</v>
      </c>
      <c r="G714" s="16">
        <f>IFERROR(__xludf.DUMMYFUNCTION("""COMPUTED_VALUE"""),7.98E8)</f>
        <v>798000000</v>
      </c>
      <c r="H714" s="16"/>
      <c r="I714" s="16"/>
      <c r="J714" s="16"/>
      <c r="K714" s="16"/>
      <c r="L714" s="16"/>
      <c r="M714" s="16"/>
      <c r="N714" s="16"/>
      <c r="O714" s="16"/>
      <c r="P714" s="16"/>
      <c r="Q714" s="16"/>
      <c r="R714" s="16"/>
      <c r="S714" s="16"/>
      <c r="T714" s="16"/>
      <c r="U714" s="16"/>
      <c r="V714" s="16"/>
      <c r="W714" s="16"/>
      <c r="X714" s="16"/>
      <c r="Y714" s="16"/>
      <c r="Z714" s="16"/>
    </row>
    <row r="715">
      <c r="A715" s="16" t="str">
        <f>IFERROR(__xludf.DUMMYFUNCTION("""COMPUTED_VALUE"""),"Lunar New Year Dragon Head")</f>
        <v>Lunar New Year Dragon Head</v>
      </c>
      <c r="B715" s="16"/>
      <c r="C715" s="16" t="str">
        <f>IFERROR(__xludf.DUMMYFUNCTION("""COMPUTED_VALUE"""),"Item")</f>
        <v>Item</v>
      </c>
      <c r="D715" s="16" t="str">
        <f>IFERROR(__xludf.DUMMYFUNCTION("""COMPUTED_VALUE"""),"Head")</f>
        <v>Head</v>
      </c>
      <c r="E715" s="16">
        <f>IFERROR(__xludf.DUMMYFUNCTION("""COMPUTED_VALUE"""),200.0)</f>
        <v>200</v>
      </c>
      <c r="F715" s="16" t="str">
        <f>IFERROR(__xludf.DUMMYFUNCTION("""COMPUTED_VALUE"""),"DEF: +25000, Fire DEF: +25000, Celestial DEF: +25000 ++Gain ""Greater Dragon's Breath"" Power. ++X2 additional Fire Damage.")</f>
        <v>DEF: +25000, Fire DEF: +25000, Celestial DEF: +25000 ++Gain "Greater Dragon's Breath" Power. ++X2 additional Fire Damage.</v>
      </c>
      <c r="G715" s="16">
        <f>IFERROR(__xludf.DUMMYFUNCTION("""COMPUTED_VALUE"""),1.1175E8)</f>
        <v>111750000</v>
      </c>
      <c r="H715" s="16"/>
      <c r="I715" s="16"/>
      <c r="J715" s="16"/>
      <c r="K715" s="16"/>
      <c r="L715" s="16"/>
      <c r="M715" s="16"/>
      <c r="N715" s="16"/>
      <c r="O715" s="16"/>
      <c r="P715" s="16"/>
      <c r="Q715" s="16"/>
      <c r="R715" s="16"/>
      <c r="S715" s="16"/>
      <c r="T715" s="16"/>
      <c r="U715" s="16"/>
      <c r="V715" s="16"/>
      <c r="W715" s="16"/>
      <c r="X715" s="16"/>
      <c r="Y715" s="16"/>
      <c r="Z715" s="16"/>
    </row>
    <row r="716">
      <c r="A716" s="16" t="str">
        <f>IFERROR(__xludf.DUMMYFUNCTION("""COMPUTED_VALUE"""),"Lunar New Year Dragon Shoulders")</f>
        <v>Lunar New Year Dragon Shoulders</v>
      </c>
      <c r="B716" s="16"/>
      <c r="C716" s="16" t="str">
        <f>IFERROR(__xludf.DUMMYFUNCTION("""COMPUTED_VALUE"""),"Item")</f>
        <v>Item</v>
      </c>
      <c r="D716" s="16" t="str">
        <f>IFERROR(__xludf.DUMMYFUNCTION("""COMPUTED_VALUE"""),"Shoulders")</f>
        <v>Shoulders</v>
      </c>
      <c r="E716" s="16">
        <f>IFERROR(__xludf.DUMMYFUNCTION("""COMPUTED_VALUE"""),200.0)</f>
        <v>200</v>
      </c>
      <c r="F716" s="16" t="str">
        <f>IFERROR(__xludf.DUMMYFUNCTION("""COMPUTED_VALUE"""),"DEF: +25000, Fire DEF: +25000, Celestial DEF: +25000 ++X2 additional Fire Damage.")</f>
        <v>DEF: +25000, Fire DEF: +25000, Celestial DEF: +25000 ++X2 additional Fire Damage.</v>
      </c>
      <c r="G716" s="16">
        <f>IFERROR(__xludf.DUMMYFUNCTION("""COMPUTED_VALUE"""),1.1175E8)</f>
        <v>111750000</v>
      </c>
      <c r="H716" s="16"/>
      <c r="I716" s="16"/>
      <c r="J716" s="16"/>
      <c r="K716" s="16"/>
      <c r="L716" s="16"/>
      <c r="M716" s="16"/>
      <c r="N716" s="16"/>
      <c r="O716" s="16"/>
      <c r="P716" s="16"/>
      <c r="Q716" s="16"/>
      <c r="R716" s="16"/>
      <c r="S716" s="16"/>
      <c r="T716" s="16"/>
      <c r="U716" s="16"/>
      <c r="V716" s="16"/>
      <c r="W716" s="16"/>
      <c r="X716" s="16"/>
      <c r="Y716" s="16"/>
      <c r="Z716" s="16"/>
    </row>
    <row r="717">
      <c r="A717" s="16" t="str">
        <f>IFERROR(__xludf.DUMMYFUNCTION("""COMPUTED_VALUE"""),"Lunar New Year Dragon Arms")</f>
        <v>Lunar New Year Dragon Arms</v>
      </c>
      <c r="B717" s="16"/>
      <c r="C717" s="16" t="str">
        <f>IFERROR(__xludf.DUMMYFUNCTION("""COMPUTED_VALUE"""),"Item")</f>
        <v>Item</v>
      </c>
      <c r="D717" s="16" t="str">
        <f>IFERROR(__xludf.DUMMYFUNCTION("""COMPUTED_VALUE"""),"Arms")</f>
        <v>Arms</v>
      </c>
      <c r="E717" s="16">
        <f>IFERROR(__xludf.DUMMYFUNCTION("""COMPUTED_VALUE"""),200.0)</f>
        <v>200</v>
      </c>
      <c r="F717" s="16" t="str">
        <f>IFERROR(__xludf.DUMMYFUNCTION("""COMPUTED_VALUE"""),"DEF: +25000, Fire DEF: +25000, Celestial DEF: +25000 ++X2 additional Fire Damage.")</f>
        <v>DEF: +25000, Fire DEF: +25000, Celestial DEF: +25000 ++X2 additional Fire Damage.</v>
      </c>
      <c r="G717" s="16">
        <f>IFERROR(__xludf.DUMMYFUNCTION("""COMPUTED_VALUE"""),1.1175E8)</f>
        <v>111750000</v>
      </c>
      <c r="H717" s="16"/>
      <c r="I717" s="16"/>
      <c r="J717" s="16"/>
      <c r="K717" s="16"/>
      <c r="L717" s="16"/>
      <c r="M717" s="16"/>
      <c r="N717" s="16"/>
      <c r="O717" s="16"/>
      <c r="P717" s="16"/>
      <c r="Q717" s="16"/>
      <c r="R717" s="16"/>
      <c r="S717" s="16"/>
      <c r="T717" s="16"/>
      <c r="U717" s="16"/>
      <c r="V717" s="16"/>
      <c r="W717" s="16"/>
      <c r="X717" s="16"/>
      <c r="Y717" s="16"/>
      <c r="Z717" s="16"/>
    </row>
    <row r="718">
      <c r="A718" s="16" t="str">
        <f>IFERROR(__xludf.DUMMYFUNCTION("""COMPUTED_VALUE"""),"Lunar New Year Dragon Torso")</f>
        <v>Lunar New Year Dragon Torso</v>
      </c>
      <c r="B718" s="16"/>
      <c r="C718" s="16" t="str">
        <f>IFERROR(__xludf.DUMMYFUNCTION("""COMPUTED_VALUE"""),"Item")</f>
        <v>Item</v>
      </c>
      <c r="D718" s="16" t="str">
        <f>IFERROR(__xludf.DUMMYFUNCTION("""COMPUTED_VALUE"""),"Torso")</f>
        <v>Torso</v>
      </c>
      <c r="E718" s="16">
        <f>IFERROR(__xludf.DUMMYFUNCTION("""COMPUTED_VALUE"""),200.0)</f>
        <v>200</v>
      </c>
      <c r="F718" s="16" t="str">
        <f>IFERROR(__xludf.DUMMYFUNCTION("""COMPUTED_VALUE"""),"DEF: +25000, Fire DEF: +25000, Celestial DEF: +25000 ++X2 additional Fire Damage.")</f>
        <v>DEF: +25000, Fire DEF: +25000, Celestial DEF: +25000 ++X2 additional Fire Damage.</v>
      </c>
      <c r="G718" s="16">
        <f>IFERROR(__xludf.DUMMYFUNCTION("""COMPUTED_VALUE"""),1.1175E8)</f>
        <v>111750000</v>
      </c>
      <c r="H718" s="16"/>
      <c r="I718" s="16"/>
      <c r="J718" s="16"/>
      <c r="K718" s="16"/>
      <c r="L718" s="16"/>
      <c r="M718" s="16"/>
      <c r="N718" s="16"/>
      <c r="O718" s="16"/>
      <c r="P718" s="16"/>
      <c r="Q718" s="16"/>
      <c r="R718" s="16"/>
      <c r="S718" s="16"/>
      <c r="T718" s="16"/>
      <c r="U718" s="16"/>
      <c r="V718" s="16"/>
      <c r="W718" s="16"/>
      <c r="X718" s="16"/>
      <c r="Y718" s="16"/>
      <c r="Z718" s="16"/>
    </row>
    <row r="719">
      <c r="A719" s="16" t="str">
        <f>IFERROR(__xludf.DUMMYFUNCTION("""COMPUTED_VALUE"""),"Lunar New Year Dragon Legs")</f>
        <v>Lunar New Year Dragon Legs</v>
      </c>
      <c r="B719" s="16"/>
      <c r="C719" s="16" t="str">
        <f>IFERROR(__xludf.DUMMYFUNCTION("""COMPUTED_VALUE"""),"Item")</f>
        <v>Item</v>
      </c>
      <c r="D719" s="16" t="str">
        <f>IFERROR(__xludf.DUMMYFUNCTION("""COMPUTED_VALUE"""),"Legs")</f>
        <v>Legs</v>
      </c>
      <c r="E719" s="16">
        <f>IFERROR(__xludf.DUMMYFUNCTION("""COMPUTED_VALUE"""),200.0)</f>
        <v>200</v>
      </c>
      <c r="F719" s="16" t="str">
        <f>IFERROR(__xludf.DUMMYFUNCTION("""COMPUTED_VALUE"""),"DEF: +25000, Fire DEF: +25000, Celestial DEF: +25000 ++X2 additional Fire Damage.")</f>
        <v>DEF: +25000, Fire DEF: +25000, Celestial DEF: +25000 ++X2 additional Fire Damage.</v>
      </c>
      <c r="G719" s="16">
        <f>IFERROR(__xludf.DUMMYFUNCTION("""COMPUTED_VALUE"""),1.1175E8)</f>
        <v>111750000</v>
      </c>
      <c r="H719" s="16"/>
      <c r="I719" s="16"/>
      <c r="J719" s="16"/>
      <c r="K719" s="16"/>
      <c r="L719" s="16"/>
      <c r="M719" s="16"/>
      <c r="N719" s="16"/>
      <c r="O719" s="16"/>
      <c r="P719" s="16"/>
      <c r="Q719" s="16"/>
      <c r="R719" s="16"/>
      <c r="S719" s="16"/>
      <c r="T719" s="16"/>
      <c r="U719" s="16"/>
      <c r="V719" s="16"/>
      <c r="W719" s="16"/>
      <c r="X719" s="16"/>
      <c r="Y719" s="16"/>
      <c r="Z719" s="16"/>
    </row>
    <row r="720">
      <c r="A720" s="16" t="str">
        <f>IFERROR(__xludf.DUMMYFUNCTION("""COMPUTED_VALUE"""),"Lunar New Year Dragon Feet")</f>
        <v>Lunar New Year Dragon Feet</v>
      </c>
      <c r="B720" s="16"/>
      <c r="C720" s="16" t="str">
        <f>IFERROR(__xludf.DUMMYFUNCTION("""COMPUTED_VALUE"""),"Item")</f>
        <v>Item</v>
      </c>
      <c r="D720" s="16" t="str">
        <f>IFERROR(__xludf.DUMMYFUNCTION("""COMPUTED_VALUE"""),"Feet")</f>
        <v>Feet</v>
      </c>
      <c r="E720" s="16">
        <f>IFERROR(__xludf.DUMMYFUNCTION("""COMPUTED_VALUE"""),200.0)</f>
        <v>200</v>
      </c>
      <c r="F720" s="16" t="str">
        <f>IFERROR(__xludf.DUMMYFUNCTION("""COMPUTED_VALUE"""),"DEF: +25000, Fire DEF: +25000, Celestial DEF: +25000 ++X2 additional Fire Damage.")</f>
        <v>DEF: +25000, Fire DEF: +25000, Celestial DEF: +25000 ++X2 additional Fire Damage.</v>
      </c>
      <c r="G720" s="16">
        <f>IFERROR(__xludf.DUMMYFUNCTION("""COMPUTED_VALUE"""),1.1175E8)</f>
        <v>111750000</v>
      </c>
      <c r="H720" s="16"/>
      <c r="I720" s="16"/>
      <c r="J720" s="16"/>
      <c r="K720" s="16"/>
      <c r="L720" s="16"/>
      <c r="M720" s="16"/>
      <c r="N720" s="16"/>
      <c r="O720" s="16"/>
      <c r="P720" s="16"/>
      <c r="Q720" s="16"/>
      <c r="R720" s="16"/>
      <c r="S720" s="16"/>
      <c r="T720" s="16"/>
      <c r="U720" s="16"/>
      <c r="V720" s="16"/>
      <c r="W720" s="16"/>
      <c r="X720" s="16"/>
      <c r="Y720" s="16"/>
      <c r="Z720" s="16"/>
    </row>
    <row r="721">
      <c r="A721" s="16" t="str">
        <f>IFERROR(__xludf.DUMMYFUNCTION("""COMPUTED_VALUE"""),"Spirit Blade")</f>
        <v>Spirit Blade</v>
      </c>
      <c r="B721" s="16"/>
      <c r="C721" s="16" t="str">
        <f>IFERROR(__xludf.DUMMYFUNCTION("""COMPUTED_VALUE"""),"Sword")</f>
        <v>Sword</v>
      </c>
      <c r="D721" s="16" t="str">
        <f>IFERROR(__xludf.DUMMYFUNCTION("""COMPUTED_VALUE"""),"Hand")</f>
        <v>Hand</v>
      </c>
      <c r="E721" s="16">
        <f>IFERROR(__xludf.DUMMYFUNCTION("""COMPUTED_VALUE"""),600.0)</f>
        <v>600</v>
      </c>
      <c r="F721" s="16" t="str">
        <f>IFERROR(__xludf.DUMMYFUNCTION("""COMPUTED_VALUE"""),"DMG: +20000, Light DMG: +10000")</f>
        <v>DMG: +20000, Light DMG: +10000</v>
      </c>
      <c r="G721" s="16">
        <f>IFERROR(__xludf.DUMMYFUNCTION("""COMPUTED_VALUE"""),1.77E7)</f>
        <v>17700000</v>
      </c>
      <c r="H721" s="16"/>
      <c r="I721" s="16"/>
      <c r="J721" s="16"/>
      <c r="K721" s="16"/>
      <c r="L721" s="16"/>
      <c r="M721" s="16"/>
      <c r="N721" s="16"/>
      <c r="O721" s="16"/>
      <c r="P721" s="16"/>
      <c r="Q721" s="16"/>
      <c r="R721" s="16"/>
      <c r="S721" s="16"/>
      <c r="T721" s="16"/>
      <c r="U721" s="16"/>
      <c r="V721" s="16"/>
      <c r="W721" s="16"/>
      <c r="X721" s="16"/>
      <c r="Y721" s="16"/>
      <c r="Z721" s="16"/>
    </row>
    <row r="722">
      <c r="A722" s="16" t="str">
        <f>IFERROR(__xludf.DUMMYFUNCTION("""COMPUTED_VALUE"""),"Spirit Shield")</f>
        <v>Spirit Shield</v>
      </c>
      <c r="B722" s="16"/>
      <c r="C722" s="16" t="str">
        <f>IFERROR(__xludf.DUMMYFUNCTION("""COMPUTED_VALUE"""),"Buckler")</f>
        <v>Buckler</v>
      </c>
      <c r="D722" s="16" t="str">
        <f>IFERROR(__xludf.DUMMYFUNCTION("""COMPUTED_VALUE"""),"Hand")</f>
        <v>Hand</v>
      </c>
      <c r="E722" s="16">
        <f>IFERROR(__xludf.DUMMYFUNCTION("""COMPUTED_VALUE"""),600.0)</f>
        <v>600</v>
      </c>
      <c r="F722" s="16" t="str">
        <f>IFERROR(__xludf.DUMMYFUNCTION("""COMPUTED_VALUE"""),"DEF: +20000, Light DEF: +10000")</f>
        <v>DEF: +20000, Light DEF: +10000</v>
      </c>
      <c r="G722" s="16">
        <f>IFERROR(__xludf.DUMMYFUNCTION("""COMPUTED_VALUE"""),1.77E7)</f>
        <v>17700000</v>
      </c>
      <c r="H722" s="16"/>
      <c r="I722" s="16"/>
      <c r="J722" s="16"/>
      <c r="K722" s="16"/>
      <c r="L722" s="16"/>
      <c r="M722" s="16"/>
      <c r="N722" s="16"/>
      <c r="O722" s="16"/>
      <c r="P722" s="16"/>
      <c r="Q722" s="16"/>
      <c r="R722" s="16"/>
      <c r="S722" s="16"/>
      <c r="T722" s="16"/>
      <c r="U722" s="16"/>
      <c r="V722" s="16"/>
      <c r="W722" s="16"/>
      <c r="X722" s="16"/>
      <c r="Y722" s="16"/>
      <c r="Z722" s="16"/>
    </row>
    <row r="723">
      <c r="A723" s="16" t="str">
        <f>IFERROR(__xludf.DUMMYFUNCTION("""COMPUTED_VALUE"""),"Mage's Hood")</f>
        <v>Mage's Hood</v>
      </c>
      <c r="B723" s="16"/>
      <c r="C723" s="16" t="str">
        <f>IFERROR(__xludf.DUMMYFUNCTION("""COMPUTED_VALUE"""),"Item")</f>
        <v>Item</v>
      </c>
      <c r="D723" s="16" t="str">
        <f>IFERROR(__xludf.DUMMYFUNCTION("""COMPUTED_VALUE"""),"Head")</f>
        <v>Head</v>
      </c>
      <c r="E723" s="16">
        <f>IFERROR(__xludf.DUMMYFUNCTION("""COMPUTED_VALUE"""),1.0)</f>
        <v>1</v>
      </c>
      <c r="F723" s="16" t="str">
        <f>IFERROR(__xludf.DUMMYFUNCTION("""COMPUTED_VALUE""")," ++5000 additional HP and SP. ++Plus 2 Wisdom. +-Cannot be forged. +-Cannot be duplicateed.")</f>
        <v> ++5000 additional HP and SP. ++Plus 2 Wisdom. +-Cannot be forged. +-Cannot be duplicateed.</v>
      </c>
      <c r="G723" s="16">
        <f>IFERROR(__xludf.DUMMYFUNCTION("""COMPUTED_VALUE"""),0.0)</f>
        <v>0</v>
      </c>
      <c r="H723" s="16"/>
      <c r="I723" s="16"/>
      <c r="J723" s="16"/>
      <c r="K723" s="16"/>
      <c r="L723" s="16"/>
      <c r="M723" s="16"/>
      <c r="N723" s="16"/>
      <c r="O723" s="16"/>
      <c r="P723" s="16"/>
      <c r="Q723" s="16"/>
      <c r="R723" s="16"/>
      <c r="S723" s="16"/>
      <c r="T723" s="16"/>
      <c r="U723" s="16"/>
      <c r="V723" s="16"/>
      <c r="W723" s="16"/>
      <c r="X723" s="16"/>
      <c r="Y723" s="16"/>
      <c r="Z723" s="16"/>
    </row>
    <row r="724">
      <c r="A724" s="16" t="str">
        <f>IFERROR(__xludf.DUMMYFUNCTION("""COMPUTED_VALUE"""),"Mage's Cloak")</f>
        <v>Mage's Cloak</v>
      </c>
      <c r="B724" s="16"/>
      <c r="C724" s="16" t="str">
        <f>IFERROR(__xludf.DUMMYFUNCTION("""COMPUTED_VALUE"""),"Item")</f>
        <v>Item</v>
      </c>
      <c r="D724" s="16" t="str">
        <f>IFERROR(__xludf.DUMMYFUNCTION("""COMPUTED_VALUE"""),"Torso")</f>
        <v>Torso</v>
      </c>
      <c r="E724" s="16">
        <f>IFERROR(__xludf.DUMMYFUNCTION("""COMPUTED_VALUE"""),1.0)</f>
        <v>1</v>
      </c>
      <c r="F724" s="16" t="str">
        <f>IFERROR(__xludf.DUMMYFUNCTION("""COMPUTED_VALUE""")," ++5000 additional HP and SP. ++Plus 2 Wisdom. +-Cannot be forged. +-Cannot be duplicateed.")</f>
        <v> ++5000 additional HP and SP. ++Plus 2 Wisdom. +-Cannot be forged. +-Cannot be duplicateed.</v>
      </c>
      <c r="G724" s="16">
        <f>IFERROR(__xludf.DUMMYFUNCTION("""COMPUTED_VALUE"""),0.0)</f>
        <v>0</v>
      </c>
      <c r="H724" s="16"/>
      <c r="I724" s="16"/>
      <c r="J724" s="16"/>
      <c r="K724" s="16"/>
      <c r="L724" s="16"/>
      <c r="M724" s="16"/>
      <c r="N724" s="16"/>
      <c r="O724" s="16"/>
      <c r="P724" s="16"/>
      <c r="Q724" s="16"/>
      <c r="R724" s="16"/>
      <c r="S724" s="16"/>
      <c r="T724" s="16"/>
      <c r="U724" s="16"/>
      <c r="V724" s="16"/>
      <c r="W724" s="16"/>
      <c r="X724" s="16"/>
      <c r="Y724" s="16"/>
      <c r="Z724" s="16"/>
    </row>
    <row r="725">
      <c r="A725" s="16" t="str">
        <f>IFERROR(__xludf.DUMMYFUNCTION("""COMPUTED_VALUE"""),"Mage's Shoes")</f>
        <v>Mage's Shoes</v>
      </c>
      <c r="B725" s="16"/>
      <c r="C725" s="16" t="str">
        <f>IFERROR(__xludf.DUMMYFUNCTION("""COMPUTED_VALUE"""),"Item")</f>
        <v>Item</v>
      </c>
      <c r="D725" s="16" t="str">
        <f>IFERROR(__xludf.DUMMYFUNCTION("""COMPUTED_VALUE"""),"Feet")</f>
        <v>Feet</v>
      </c>
      <c r="E725" s="16">
        <f>IFERROR(__xludf.DUMMYFUNCTION("""COMPUTED_VALUE"""),1.0)</f>
        <v>1</v>
      </c>
      <c r="F725" s="16" t="str">
        <f>IFERROR(__xludf.DUMMYFUNCTION("""COMPUTED_VALUE""")," ++5000 additional HP and SP. ++Plus 1 Wisdom. +-Cannot be forged. +-Cannot be duplicateed.")</f>
        <v> ++5000 additional HP and SP. ++Plus 1 Wisdom. +-Cannot be forged. +-Cannot be duplicateed.</v>
      </c>
      <c r="G725" s="16">
        <f>IFERROR(__xludf.DUMMYFUNCTION("""COMPUTED_VALUE"""),0.0)</f>
        <v>0</v>
      </c>
      <c r="H725" s="16"/>
      <c r="I725" s="16"/>
      <c r="J725" s="16"/>
      <c r="K725" s="16"/>
      <c r="L725" s="16"/>
      <c r="M725" s="16"/>
      <c r="N725" s="16"/>
      <c r="O725" s="16"/>
      <c r="P725" s="16"/>
      <c r="Q725" s="16"/>
      <c r="R725" s="16"/>
      <c r="S725" s="16"/>
      <c r="T725" s="16"/>
      <c r="U725" s="16"/>
      <c r="V725" s="16"/>
      <c r="W725" s="16"/>
      <c r="X725" s="16"/>
      <c r="Y725" s="16"/>
      <c r="Z725" s="16"/>
    </row>
    <row r="726">
      <c r="A726" s="16" t="str">
        <f>IFERROR(__xludf.DUMMYFUNCTION("""COMPUTED_VALUE"""),"Sorcerer's Hood")</f>
        <v>Sorcerer's Hood</v>
      </c>
      <c r="B726" s="16"/>
      <c r="C726" s="16" t="str">
        <f>IFERROR(__xludf.DUMMYFUNCTION("""COMPUTED_VALUE"""),"Item")</f>
        <v>Item</v>
      </c>
      <c r="D726" s="16" t="str">
        <f>IFERROR(__xludf.DUMMYFUNCTION("""COMPUTED_VALUE"""),"Head")</f>
        <v>Head</v>
      </c>
      <c r="E726" s="16">
        <f>IFERROR(__xludf.DUMMYFUNCTION("""COMPUTED_VALUE"""),1.0)</f>
        <v>1</v>
      </c>
      <c r="F726" s="16" t="str">
        <f>IFERROR(__xludf.DUMMYFUNCTION("""COMPUTED_VALUE""")," ++2500 additional HP and SP. ++Plus 2 Wisdom. +-Cannot be forged. +-Cannot be duplicateed.")</f>
        <v> ++2500 additional HP and SP. ++Plus 2 Wisdom. +-Cannot be forged. +-Cannot be duplicateed.</v>
      </c>
      <c r="G726" s="16">
        <f>IFERROR(__xludf.DUMMYFUNCTION("""COMPUTED_VALUE"""),0.0)</f>
        <v>0</v>
      </c>
      <c r="H726" s="16"/>
      <c r="I726" s="16"/>
      <c r="J726" s="16"/>
      <c r="K726" s="16"/>
      <c r="L726" s="16"/>
      <c r="M726" s="16"/>
      <c r="N726" s="16"/>
      <c r="O726" s="16"/>
      <c r="P726" s="16"/>
      <c r="Q726" s="16"/>
      <c r="R726" s="16"/>
      <c r="S726" s="16"/>
      <c r="T726" s="16"/>
      <c r="U726" s="16"/>
      <c r="V726" s="16"/>
      <c r="W726" s="16"/>
      <c r="X726" s="16"/>
      <c r="Y726" s="16"/>
      <c r="Z726" s="16"/>
    </row>
    <row r="727">
      <c r="A727" s="16" t="str">
        <f>IFERROR(__xludf.DUMMYFUNCTION("""COMPUTED_VALUE"""),"Sorcerer's Cloak")</f>
        <v>Sorcerer's Cloak</v>
      </c>
      <c r="B727" s="16"/>
      <c r="C727" s="16" t="str">
        <f>IFERROR(__xludf.DUMMYFUNCTION("""COMPUTED_VALUE"""),"Item")</f>
        <v>Item</v>
      </c>
      <c r="D727" s="16" t="str">
        <f>IFERROR(__xludf.DUMMYFUNCTION("""COMPUTED_VALUE"""),"Torso")</f>
        <v>Torso</v>
      </c>
      <c r="E727" s="16">
        <f>IFERROR(__xludf.DUMMYFUNCTION("""COMPUTED_VALUE"""),1.0)</f>
        <v>1</v>
      </c>
      <c r="F727" s="16" t="str">
        <f>IFERROR(__xludf.DUMMYFUNCTION("""COMPUTED_VALUE""")," ++2500 additional HP and SP. ++Plus 2 Wisdom. +-Cannot be forged. +-Cannot be duplicateed.")</f>
        <v> ++2500 additional HP and SP. ++Plus 2 Wisdom. +-Cannot be forged. +-Cannot be duplicateed.</v>
      </c>
      <c r="G727" s="16">
        <f>IFERROR(__xludf.DUMMYFUNCTION("""COMPUTED_VALUE"""),0.0)</f>
        <v>0</v>
      </c>
      <c r="H727" s="16"/>
      <c r="I727" s="16"/>
      <c r="J727" s="16"/>
      <c r="K727" s="16"/>
      <c r="L727" s="16"/>
      <c r="M727" s="16"/>
      <c r="N727" s="16"/>
      <c r="O727" s="16"/>
      <c r="P727" s="16"/>
      <c r="Q727" s="16"/>
      <c r="R727" s="16"/>
      <c r="S727" s="16"/>
      <c r="T727" s="16"/>
      <c r="U727" s="16"/>
      <c r="V727" s="16"/>
      <c r="W727" s="16"/>
      <c r="X727" s="16"/>
      <c r="Y727" s="16"/>
      <c r="Z727" s="16"/>
    </row>
    <row r="728">
      <c r="A728" s="16" t="str">
        <f>IFERROR(__xludf.DUMMYFUNCTION("""COMPUTED_VALUE"""),"Sorcerer's Shoes")</f>
        <v>Sorcerer's Shoes</v>
      </c>
      <c r="B728" s="16"/>
      <c r="C728" s="16" t="str">
        <f>IFERROR(__xludf.DUMMYFUNCTION("""COMPUTED_VALUE"""),"Item")</f>
        <v>Item</v>
      </c>
      <c r="D728" s="16" t="str">
        <f>IFERROR(__xludf.DUMMYFUNCTION("""COMPUTED_VALUE"""),"Feet")</f>
        <v>Feet</v>
      </c>
      <c r="E728" s="16">
        <f>IFERROR(__xludf.DUMMYFUNCTION("""COMPUTED_VALUE"""),1.0)</f>
        <v>1</v>
      </c>
      <c r="F728" s="16" t="str">
        <f>IFERROR(__xludf.DUMMYFUNCTION("""COMPUTED_VALUE""")," ++2500 additional HP and SP. ++Plus 1 Wisdom. +-Cannot be forged. +-Cannot be duplicateed.")</f>
        <v> ++2500 additional HP and SP. ++Plus 1 Wisdom. +-Cannot be forged. +-Cannot be duplicateed.</v>
      </c>
      <c r="G728" s="16">
        <f>IFERROR(__xludf.DUMMYFUNCTION("""COMPUTED_VALUE"""),0.0)</f>
        <v>0</v>
      </c>
      <c r="H728" s="16"/>
      <c r="I728" s="16"/>
      <c r="J728" s="16"/>
      <c r="K728" s="16"/>
      <c r="L728" s="16"/>
      <c r="M728" s="16"/>
      <c r="N728" s="16"/>
      <c r="O728" s="16"/>
      <c r="P728" s="16"/>
      <c r="Q728" s="16"/>
      <c r="R728" s="16"/>
      <c r="S728" s="16"/>
      <c r="T728" s="16"/>
      <c r="U728" s="16"/>
      <c r="V728" s="16"/>
      <c r="W728" s="16"/>
      <c r="X728" s="16"/>
      <c r="Y728" s="16"/>
      <c r="Z728" s="16"/>
    </row>
    <row r="729">
      <c r="A729" s="16" t="str">
        <f>IFERROR(__xludf.DUMMYFUNCTION("""COMPUTED_VALUE"""),"Wizard's Hood")</f>
        <v>Wizard's Hood</v>
      </c>
      <c r="B729" s="16"/>
      <c r="C729" s="16" t="str">
        <f>IFERROR(__xludf.DUMMYFUNCTION("""COMPUTED_VALUE"""),"Item")</f>
        <v>Item</v>
      </c>
      <c r="D729" s="16" t="str">
        <f>IFERROR(__xludf.DUMMYFUNCTION("""COMPUTED_VALUE"""),"Head")</f>
        <v>Head</v>
      </c>
      <c r="E729" s="16">
        <f>IFERROR(__xludf.DUMMYFUNCTION("""COMPUTED_VALUE"""),1.0)</f>
        <v>1</v>
      </c>
      <c r="F729" s="16" t="str">
        <f>IFERROR(__xludf.DUMMYFUNCTION("""COMPUTED_VALUE""")," ++1000 additional HP and SP. ++X2 Spell Damage. +-Cannot be forged. +-Cannot be duplicateed.")</f>
        <v> ++1000 additional HP and SP. ++X2 Spell Damage. +-Cannot be forged. +-Cannot be duplicateed.</v>
      </c>
      <c r="G729" s="16">
        <f>IFERROR(__xludf.DUMMYFUNCTION("""COMPUTED_VALUE"""),0.0)</f>
        <v>0</v>
      </c>
      <c r="H729" s="16"/>
      <c r="I729" s="16"/>
      <c r="J729" s="16"/>
      <c r="K729" s="16"/>
      <c r="L729" s="16"/>
      <c r="M729" s="16"/>
      <c r="N729" s="16"/>
      <c r="O729" s="16"/>
      <c r="P729" s="16"/>
      <c r="Q729" s="16"/>
      <c r="R729" s="16"/>
      <c r="S729" s="16"/>
      <c r="T729" s="16"/>
      <c r="U729" s="16"/>
      <c r="V729" s="16"/>
      <c r="W729" s="16"/>
      <c r="X729" s="16"/>
      <c r="Y729" s="16"/>
      <c r="Z729" s="16"/>
    </row>
    <row r="730">
      <c r="A730" s="16" t="str">
        <f>IFERROR(__xludf.DUMMYFUNCTION("""COMPUTED_VALUE"""),"Wizard's Cloak")</f>
        <v>Wizard's Cloak</v>
      </c>
      <c r="B730" s="16"/>
      <c r="C730" s="16" t="str">
        <f>IFERROR(__xludf.DUMMYFUNCTION("""COMPUTED_VALUE"""),"Item")</f>
        <v>Item</v>
      </c>
      <c r="D730" s="16" t="str">
        <f>IFERROR(__xludf.DUMMYFUNCTION("""COMPUTED_VALUE"""),"Torso")</f>
        <v>Torso</v>
      </c>
      <c r="E730" s="16">
        <f>IFERROR(__xludf.DUMMYFUNCTION("""COMPUTED_VALUE"""),1.0)</f>
        <v>1</v>
      </c>
      <c r="F730" s="16" t="str">
        <f>IFERROR(__xludf.DUMMYFUNCTION("""COMPUTED_VALUE""")," ++1000 additional HP and SP. ++X2 Spell Damage. +-Cannot be forged. +-Cannot be duplicateed.")</f>
        <v> ++1000 additional HP and SP. ++X2 Spell Damage. +-Cannot be forged. +-Cannot be duplicateed.</v>
      </c>
      <c r="G730" s="16">
        <f>IFERROR(__xludf.DUMMYFUNCTION("""COMPUTED_VALUE"""),0.0)</f>
        <v>0</v>
      </c>
      <c r="H730" s="16"/>
      <c r="I730" s="16"/>
      <c r="J730" s="16"/>
      <c r="K730" s="16"/>
      <c r="L730" s="16"/>
      <c r="M730" s="16"/>
      <c r="N730" s="16"/>
      <c r="O730" s="16"/>
      <c r="P730" s="16"/>
      <c r="Q730" s="16"/>
      <c r="R730" s="16"/>
      <c r="S730" s="16"/>
      <c r="T730" s="16"/>
      <c r="U730" s="16"/>
      <c r="V730" s="16"/>
      <c r="W730" s="16"/>
      <c r="X730" s="16"/>
      <c r="Y730" s="16"/>
      <c r="Z730" s="16"/>
    </row>
    <row r="731">
      <c r="A731" s="16" t="str">
        <f>IFERROR(__xludf.DUMMYFUNCTION("""COMPUTED_VALUE"""),"Wizard's Shoes")</f>
        <v>Wizard's Shoes</v>
      </c>
      <c r="B731" s="16"/>
      <c r="C731" s="16" t="str">
        <f>IFERROR(__xludf.DUMMYFUNCTION("""COMPUTED_VALUE"""),"Item")</f>
        <v>Item</v>
      </c>
      <c r="D731" s="16" t="str">
        <f>IFERROR(__xludf.DUMMYFUNCTION("""COMPUTED_VALUE"""),"Feet")</f>
        <v>Feet</v>
      </c>
      <c r="E731" s="16">
        <f>IFERROR(__xludf.DUMMYFUNCTION("""COMPUTED_VALUE"""),1.0)</f>
        <v>1</v>
      </c>
      <c r="F731" s="16" t="str">
        <f>IFERROR(__xludf.DUMMYFUNCTION("""COMPUTED_VALUE""")," ++1000 additional HP and SP. ++X2 Spell Damage. +-Cannot be forged. +-Cannot be duplicateed.")</f>
        <v> ++1000 additional HP and SP. ++X2 Spell Damage. +-Cannot be forged. +-Cannot be duplicateed.</v>
      </c>
      <c r="G731" s="16">
        <f>IFERROR(__xludf.DUMMYFUNCTION("""COMPUTED_VALUE"""),0.0)</f>
        <v>0</v>
      </c>
      <c r="H731" s="16"/>
      <c r="I731" s="16"/>
      <c r="J731" s="16"/>
      <c r="K731" s="16"/>
      <c r="L731" s="16"/>
      <c r="M731" s="16"/>
      <c r="N731" s="16"/>
      <c r="O731" s="16"/>
      <c r="P731" s="16"/>
      <c r="Q731" s="16"/>
      <c r="R731" s="16"/>
      <c r="S731" s="16"/>
      <c r="T731" s="16"/>
      <c r="U731" s="16"/>
      <c r="V731" s="16"/>
      <c r="W731" s="16"/>
      <c r="X731" s="16"/>
      <c r="Y731" s="16"/>
      <c r="Z731" s="16"/>
    </row>
    <row r="732">
      <c r="A732" s="16" t="str">
        <f>IFERROR(__xludf.DUMMYFUNCTION("""COMPUTED_VALUE"""),"Gunslinger's Cap")</f>
        <v>Gunslinger's Cap</v>
      </c>
      <c r="B732" s="16"/>
      <c r="C732" s="16" t="str">
        <f>IFERROR(__xludf.DUMMYFUNCTION("""COMPUTED_VALUE"""),"Item")</f>
        <v>Item</v>
      </c>
      <c r="D732" s="16" t="str">
        <f>IFERROR(__xludf.DUMMYFUNCTION("""COMPUTED_VALUE"""),"Head")</f>
        <v>Head</v>
      </c>
      <c r="E732" s="16">
        <f>IFERROR(__xludf.DUMMYFUNCTION("""COMPUTED_VALUE"""),1.0)</f>
        <v>1</v>
      </c>
      <c r="F732" s="16" t="str">
        <f>IFERROR(__xludf.DUMMYFUNCTION("""COMPUTED_VALUE""")," ++10,000 ACC and ATK. ++2 Mobility +-Cannot be forged or duplicated")</f>
        <v> ++10,000 ACC and ATK. ++2 Mobility +-Cannot be forged or duplicated</v>
      </c>
      <c r="G732" s="16">
        <f>IFERROR(__xludf.DUMMYFUNCTION("""COMPUTED_VALUE"""),0.0)</f>
        <v>0</v>
      </c>
      <c r="H732" s="16"/>
      <c r="I732" s="16"/>
      <c r="J732" s="16"/>
      <c r="K732" s="16"/>
      <c r="L732" s="16"/>
      <c r="M732" s="16"/>
      <c r="N732" s="16"/>
      <c r="O732" s="16"/>
      <c r="P732" s="16"/>
      <c r="Q732" s="16"/>
      <c r="R732" s="16"/>
      <c r="S732" s="16"/>
      <c r="T732" s="16"/>
      <c r="U732" s="16"/>
      <c r="V732" s="16"/>
      <c r="W732" s="16"/>
      <c r="X732" s="16"/>
      <c r="Y732" s="16"/>
      <c r="Z732" s="16"/>
    </row>
    <row r="733">
      <c r="A733" s="16" t="str">
        <f>IFERROR(__xludf.DUMMYFUNCTION("""COMPUTED_VALUE"""),"Gunslinger's Shirt")</f>
        <v>Gunslinger's Shirt</v>
      </c>
      <c r="B733" s="16"/>
      <c r="C733" s="16" t="str">
        <f>IFERROR(__xludf.DUMMYFUNCTION("""COMPUTED_VALUE"""),"Item")</f>
        <v>Item</v>
      </c>
      <c r="D733" s="16" t="str">
        <f>IFERROR(__xludf.DUMMYFUNCTION("""COMPUTED_VALUE"""),"Torso")</f>
        <v>Torso</v>
      </c>
      <c r="E733" s="16">
        <f>IFERROR(__xludf.DUMMYFUNCTION("""COMPUTED_VALUE"""),1.0)</f>
        <v>1</v>
      </c>
      <c r="F733" s="16" t="str">
        <f>IFERROR(__xludf.DUMMYFUNCTION("""COMPUTED_VALUE""")," ++10,000 ACC and ATK. ++2 Mobility +-Cannot be forged or duplicated")</f>
        <v> ++10,000 ACC and ATK. ++2 Mobility +-Cannot be forged or duplicated</v>
      </c>
      <c r="G733" s="16">
        <f>IFERROR(__xludf.DUMMYFUNCTION("""COMPUTED_VALUE"""),0.0)</f>
        <v>0</v>
      </c>
      <c r="H733" s="16"/>
      <c r="I733" s="16"/>
      <c r="J733" s="16"/>
      <c r="K733" s="16"/>
      <c r="L733" s="16"/>
      <c r="M733" s="16"/>
      <c r="N733" s="16"/>
      <c r="O733" s="16"/>
      <c r="P733" s="16"/>
      <c r="Q733" s="16"/>
      <c r="R733" s="16"/>
      <c r="S733" s="16"/>
      <c r="T733" s="16"/>
      <c r="U733" s="16"/>
      <c r="V733" s="16"/>
      <c r="W733" s="16"/>
      <c r="X733" s="16"/>
      <c r="Y733" s="16"/>
      <c r="Z733" s="16"/>
    </row>
    <row r="734">
      <c r="A734" s="16" t="str">
        <f>IFERROR(__xludf.DUMMYFUNCTION("""COMPUTED_VALUE"""),"Gunslinger's Boots")</f>
        <v>Gunslinger's Boots</v>
      </c>
      <c r="B734" s="16"/>
      <c r="C734" s="16" t="str">
        <f>IFERROR(__xludf.DUMMYFUNCTION("""COMPUTED_VALUE"""),"Item")</f>
        <v>Item</v>
      </c>
      <c r="D734" s="16" t="str">
        <f>IFERROR(__xludf.DUMMYFUNCTION("""COMPUTED_VALUE"""),"Feet")</f>
        <v>Feet</v>
      </c>
      <c r="E734" s="16">
        <f>IFERROR(__xludf.DUMMYFUNCTION("""COMPUTED_VALUE"""),1.0)</f>
        <v>1</v>
      </c>
      <c r="F734" s="16" t="str">
        <f>IFERROR(__xludf.DUMMYFUNCTION("""COMPUTED_VALUE""")," ++10,000 ACC and ATK. ++1 Mobility +-Cannot be forged or duplicated")</f>
        <v> ++10,000 ACC and ATK. ++1 Mobility +-Cannot be forged or duplicated</v>
      </c>
      <c r="G734" s="16">
        <f>IFERROR(__xludf.DUMMYFUNCTION("""COMPUTED_VALUE"""),0.0)</f>
        <v>0</v>
      </c>
      <c r="H734" s="16"/>
      <c r="I734" s="16"/>
      <c r="J734" s="16"/>
      <c r="K734" s="16"/>
      <c r="L734" s="16"/>
      <c r="M734" s="16"/>
      <c r="N734" s="16"/>
      <c r="O734" s="16"/>
      <c r="P734" s="16"/>
      <c r="Q734" s="16"/>
      <c r="R734" s="16"/>
      <c r="S734" s="16"/>
      <c r="T734" s="16"/>
      <c r="U734" s="16"/>
      <c r="V734" s="16"/>
      <c r="W734" s="16"/>
      <c r="X734" s="16"/>
      <c r="Y734" s="16"/>
      <c r="Z734" s="16"/>
    </row>
    <row r="735">
      <c r="A735" s="16" t="str">
        <f>IFERROR(__xludf.DUMMYFUNCTION("""COMPUTED_VALUE"""),"Bard's Coif")</f>
        <v>Bard's Coif</v>
      </c>
      <c r="B735" s="16"/>
      <c r="C735" s="16" t="str">
        <f>IFERROR(__xludf.DUMMYFUNCTION("""COMPUTED_VALUE"""),"Item")</f>
        <v>Item</v>
      </c>
      <c r="D735" s="16" t="str">
        <f>IFERROR(__xludf.DUMMYFUNCTION("""COMPUTED_VALUE"""),"Head")</f>
        <v>Head</v>
      </c>
      <c r="E735" s="16">
        <f>IFERROR(__xludf.DUMMYFUNCTION("""COMPUTED_VALUE"""),1.0)</f>
        <v>1</v>
      </c>
      <c r="F735" s="16" t="str">
        <f>IFERROR(__xludf.DUMMYFUNCTION("""COMPUTED_VALUE""")," ++10,000 ACC and ATK. ++2 Charisma +-Cannot be forged or duplicated")</f>
        <v> ++10,000 ACC and ATK. ++2 Charisma +-Cannot be forged or duplicated</v>
      </c>
      <c r="G735" s="16">
        <f>IFERROR(__xludf.DUMMYFUNCTION("""COMPUTED_VALUE"""),0.0)</f>
        <v>0</v>
      </c>
      <c r="H735" s="16"/>
      <c r="I735" s="16"/>
      <c r="J735" s="16"/>
      <c r="K735" s="16"/>
      <c r="L735" s="16"/>
      <c r="M735" s="16"/>
      <c r="N735" s="16"/>
      <c r="O735" s="16"/>
      <c r="P735" s="16"/>
      <c r="Q735" s="16"/>
      <c r="R735" s="16"/>
      <c r="S735" s="16"/>
      <c r="T735" s="16"/>
      <c r="U735" s="16"/>
      <c r="V735" s="16"/>
      <c r="W735" s="16"/>
      <c r="X735" s="16"/>
      <c r="Y735" s="16"/>
      <c r="Z735" s="16"/>
    </row>
    <row r="736">
      <c r="A736" s="16" t="str">
        <f>IFERROR(__xludf.DUMMYFUNCTION("""COMPUTED_VALUE"""),"Bard's Gambeson")</f>
        <v>Bard's Gambeson</v>
      </c>
      <c r="B736" s="16"/>
      <c r="C736" s="16" t="str">
        <f>IFERROR(__xludf.DUMMYFUNCTION("""COMPUTED_VALUE"""),"Item")</f>
        <v>Item</v>
      </c>
      <c r="D736" s="16" t="str">
        <f>IFERROR(__xludf.DUMMYFUNCTION("""COMPUTED_VALUE"""),"Torso")</f>
        <v>Torso</v>
      </c>
      <c r="E736" s="16">
        <f>IFERROR(__xludf.DUMMYFUNCTION("""COMPUTED_VALUE"""),1.0)</f>
        <v>1</v>
      </c>
      <c r="F736" s="16" t="str">
        <f>IFERROR(__xludf.DUMMYFUNCTION("""COMPUTED_VALUE""")," ++10,000 ACC and ATK. ++2 Charisma +-Cannot be forged or duplicated")</f>
        <v> ++10,000 ACC and ATK. ++2 Charisma +-Cannot be forged or duplicated</v>
      </c>
      <c r="G736" s="16">
        <f>IFERROR(__xludf.DUMMYFUNCTION("""COMPUTED_VALUE"""),0.0)</f>
        <v>0</v>
      </c>
      <c r="H736" s="16"/>
      <c r="I736" s="16"/>
      <c r="J736" s="16"/>
      <c r="K736" s="16"/>
      <c r="L736" s="16"/>
      <c r="M736" s="16"/>
      <c r="N736" s="16"/>
      <c r="O736" s="16"/>
      <c r="P736" s="16"/>
      <c r="Q736" s="16"/>
      <c r="R736" s="16"/>
      <c r="S736" s="16"/>
      <c r="T736" s="16"/>
      <c r="U736" s="16"/>
      <c r="V736" s="16"/>
      <c r="W736" s="16"/>
      <c r="X736" s="16"/>
      <c r="Y736" s="16"/>
      <c r="Z736" s="16"/>
    </row>
    <row r="737">
      <c r="A737" s="16" t="str">
        <f>IFERROR(__xludf.DUMMYFUNCTION("""COMPUTED_VALUE"""),"Bard's Shoes")</f>
        <v>Bard's Shoes</v>
      </c>
      <c r="B737" s="16"/>
      <c r="C737" s="16" t="str">
        <f>IFERROR(__xludf.DUMMYFUNCTION("""COMPUTED_VALUE"""),"Item")</f>
        <v>Item</v>
      </c>
      <c r="D737" s="16" t="str">
        <f>IFERROR(__xludf.DUMMYFUNCTION("""COMPUTED_VALUE"""),"Feet")</f>
        <v>Feet</v>
      </c>
      <c r="E737" s="16">
        <f>IFERROR(__xludf.DUMMYFUNCTION("""COMPUTED_VALUE"""),1.0)</f>
        <v>1</v>
      </c>
      <c r="F737" s="16" t="str">
        <f>IFERROR(__xludf.DUMMYFUNCTION("""COMPUTED_VALUE""")," ++10,000 ACC and ATK. ++1 Charisma +-Cannot be forged or duplicated")</f>
        <v> ++10,000 ACC and ATK. ++1 Charisma +-Cannot be forged or duplicated</v>
      </c>
      <c r="G737" s="16">
        <f>IFERROR(__xludf.DUMMYFUNCTION("""COMPUTED_VALUE"""),0.0)</f>
        <v>0</v>
      </c>
      <c r="H737" s="16"/>
      <c r="I737" s="16"/>
      <c r="J737" s="16"/>
      <c r="K737" s="16"/>
      <c r="L737" s="16"/>
      <c r="M737" s="16"/>
      <c r="N737" s="16"/>
      <c r="O737" s="16"/>
      <c r="P737" s="16"/>
      <c r="Q737" s="16"/>
      <c r="R737" s="16"/>
      <c r="S737" s="16"/>
      <c r="T737" s="16"/>
      <c r="U737" s="16"/>
      <c r="V737" s="16"/>
      <c r="W737" s="16"/>
      <c r="X737" s="16"/>
      <c r="Y737" s="16"/>
      <c r="Z737" s="16"/>
    </row>
    <row r="738">
      <c r="A738" s="16" t="str">
        <f>IFERROR(__xludf.DUMMYFUNCTION("""COMPUTED_VALUE"""),"Dragonscale Skirt")</f>
        <v>Dragonscale Skirt</v>
      </c>
      <c r="B738" s="16"/>
      <c r="C738" s="16" t="str">
        <f>IFERROR(__xludf.DUMMYFUNCTION("""COMPUTED_VALUE"""),"Item")</f>
        <v>Item</v>
      </c>
      <c r="D738" s="16" t="str">
        <f>IFERROR(__xludf.DUMMYFUNCTION("""COMPUTED_VALUE"""),"Legs")</f>
        <v>Legs</v>
      </c>
      <c r="E738" s="16">
        <f>IFERROR(__xludf.DUMMYFUNCTION("""COMPUTED_VALUE"""),1.0)</f>
        <v>1</v>
      </c>
      <c r="F738" s="16" t="str">
        <f>IFERROR(__xludf.DUMMYFUNCTION("""COMPUTED_VALUE""")," ++7,000 additional HP and SP, ++2 Mobility +-Cannot be forged or duplicated")</f>
        <v> ++7,000 additional HP and SP, ++2 Mobility +-Cannot be forged or duplicated</v>
      </c>
      <c r="G738" s="16">
        <f>IFERROR(__xludf.DUMMYFUNCTION("""COMPUTED_VALUE"""),0.0)</f>
        <v>0</v>
      </c>
      <c r="H738" s="16"/>
      <c r="I738" s="16"/>
      <c r="J738" s="16"/>
      <c r="K738" s="16"/>
      <c r="L738" s="16"/>
      <c r="M738" s="16"/>
      <c r="N738" s="16"/>
      <c r="O738" s="16"/>
      <c r="P738" s="16"/>
      <c r="Q738" s="16"/>
      <c r="R738" s="16"/>
      <c r="S738" s="16"/>
      <c r="T738" s="16"/>
      <c r="U738" s="16"/>
      <c r="V738" s="16"/>
      <c r="W738" s="16"/>
      <c r="X738" s="16"/>
      <c r="Y738" s="16"/>
      <c r="Z738" s="16"/>
    </row>
    <row r="739">
      <c r="A739" s="16" t="str">
        <f>IFERROR(__xludf.DUMMYFUNCTION("""COMPUTED_VALUE"""),"Dragonscale Cape")</f>
        <v>Dragonscale Cape</v>
      </c>
      <c r="B739" s="16"/>
      <c r="C739" s="16" t="str">
        <f>IFERROR(__xludf.DUMMYFUNCTION("""COMPUTED_VALUE"""),"Item")</f>
        <v>Item</v>
      </c>
      <c r="D739" s="16" t="str">
        <f>IFERROR(__xludf.DUMMYFUNCTION("""COMPUTED_VALUE"""),"Shoulders")</f>
        <v>Shoulders</v>
      </c>
      <c r="E739" s="16">
        <f>IFERROR(__xludf.DUMMYFUNCTION("""COMPUTED_VALUE"""),1.0)</f>
        <v>1</v>
      </c>
      <c r="F739" s="16" t="str">
        <f>IFERROR(__xludf.DUMMYFUNCTION("""COMPUTED_VALUE""")," ++8,300 additional HP and SP, +-Cannot be forged or duplicated")</f>
        <v> ++8,300 additional HP and SP, +-Cannot be forged or duplicated</v>
      </c>
      <c r="G739" s="16">
        <f>IFERROR(__xludf.DUMMYFUNCTION("""COMPUTED_VALUE"""),0.0)</f>
        <v>0</v>
      </c>
      <c r="H739" s="16"/>
      <c r="I739" s="16"/>
      <c r="J739" s="16"/>
      <c r="K739" s="16"/>
      <c r="L739" s="16"/>
      <c r="M739" s="16"/>
      <c r="N739" s="16"/>
      <c r="O739" s="16"/>
      <c r="P739" s="16"/>
      <c r="Q739" s="16"/>
      <c r="R739" s="16"/>
      <c r="S739" s="16"/>
      <c r="T739" s="16"/>
      <c r="U739" s="16"/>
      <c r="V739" s="16"/>
      <c r="W739" s="16"/>
      <c r="X739" s="16"/>
      <c r="Y739" s="16"/>
      <c r="Z739" s="16"/>
    </row>
    <row r="740">
      <c r="A740" s="16" t="str">
        <f>IFERROR(__xludf.DUMMYFUNCTION("""COMPUTED_VALUE"""),"Broken Dragonscale Mail")</f>
        <v>Broken Dragonscale Mail</v>
      </c>
      <c r="B740" s="16"/>
      <c r="C740" s="16" t="str">
        <f>IFERROR(__xludf.DUMMYFUNCTION("""COMPUTED_VALUE"""),"Item")</f>
        <v>Item</v>
      </c>
      <c r="D740" s="16" t="str">
        <f>IFERROR(__xludf.DUMMYFUNCTION("""COMPUTED_VALUE"""),"Torso")</f>
        <v>Torso</v>
      </c>
      <c r="E740" s="16">
        <f>IFERROR(__xludf.DUMMYFUNCTION("""COMPUTED_VALUE"""),980.0)</f>
        <v>980</v>
      </c>
      <c r="F740" s="16" t="str">
        <f>IFERROR(__xludf.DUMMYFUNCTION("""COMPUTED_VALUE"""),"DEF: +48900 +-5% chance of breaking when wearer is attacked")</f>
        <v>DEF: +48900 +-5% chance of breaking when wearer is attacked</v>
      </c>
      <c r="G740" s="16">
        <f>IFERROR(__xludf.DUMMYFUNCTION("""COMPUTED_VALUE"""),4.656E7)</f>
        <v>46560000</v>
      </c>
      <c r="H740" s="16"/>
      <c r="I740" s="16"/>
      <c r="J740" s="16"/>
      <c r="K740" s="16"/>
      <c r="L740" s="16"/>
      <c r="M740" s="16"/>
      <c r="N740" s="16"/>
      <c r="O740" s="16"/>
      <c r="P740" s="16"/>
      <c r="Q740" s="16"/>
      <c r="R740" s="16"/>
      <c r="S740" s="16"/>
      <c r="T740" s="16"/>
      <c r="U740" s="16"/>
      <c r="V740" s="16"/>
      <c r="W740" s="16"/>
      <c r="X740" s="16"/>
      <c r="Y740" s="16"/>
      <c r="Z740" s="16"/>
    </row>
    <row r="741">
      <c r="A741" s="16" t="str">
        <f>IFERROR(__xludf.DUMMYFUNCTION("""COMPUTED_VALUE"""),"Dragonscale Mail")</f>
        <v>Dragonscale Mail</v>
      </c>
      <c r="B741" s="16"/>
      <c r="C741" s="16" t="str">
        <f>IFERROR(__xludf.DUMMYFUNCTION("""COMPUTED_VALUE"""),"Item")</f>
        <v>Item</v>
      </c>
      <c r="D741" s="16" t="str">
        <f>IFERROR(__xludf.DUMMYFUNCTION("""COMPUTED_VALUE"""),"Torso")</f>
        <v>Torso</v>
      </c>
      <c r="E741" s="16">
        <f>IFERROR(__xludf.DUMMYFUNCTION("""COMPUTED_VALUE"""),3000.0)</f>
        <v>3000</v>
      </c>
      <c r="F741" s="16" t="str">
        <f>IFERROR(__xludf.DUMMYFUNCTION("""COMPUTED_VALUE"""),"DEF: +150000")</f>
        <v>DEF: +150000</v>
      </c>
      <c r="G741" s="16">
        <f>IFERROR(__xludf.DUMMYFUNCTION("""COMPUTED_VALUE"""),4.485E8)</f>
        <v>448500000</v>
      </c>
      <c r="H741" s="16"/>
      <c r="I741" s="16"/>
      <c r="J741" s="16"/>
      <c r="K741" s="16"/>
      <c r="L741" s="16"/>
      <c r="M741" s="16"/>
      <c r="N741" s="16"/>
      <c r="O741" s="16"/>
      <c r="P741" s="16"/>
      <c r="Q741" s="16"/>
      <c r="R741" s="16"/>
      <c r="S741" s="16"/>
      <c r="T741" s="16"/>
      <c r="U741" s="16"/>
      <c r="V741" s="16"/>
      <c r="W741" s="16"/>
      <c r="X741" s="16"/>
      <c r="Y741" s="16"/>
      <c r="Z741" s="16"/>
    </row>
    <row r="742">
      <c r="A742" s="16" t="str">
        <f>IFERROR(__xludf.DUMMYFUNCTION("""COMPUTED_VALUE"""),"Dragonscale Charm")</f>
        <v>Dragonscale Charm</v>
      </c>
      <c r="B742" s="16"/>
      <c r="C742" s="16" t="str">
        <f>IFERROR(__xludf.DUMMYFUNCTION("""COMPUTED_VALUE"""),"Item")</f>
        <v>Item</v>
      </c>
      <c r="D742" s="16" t="str">
        <f>IFERROR(__xludf.DUMMYFUNCTION("""COMPUTED_VALUE"""),"Neck")</f>
        <v>Neck</v>
      </c>
      <c r="E742" s="16">
        <f>IFERROR(__xludf.DUMMYFUNCTION("""COMPUTED_VALUE"""),1.0)</f>
        <v>1</v>
      </c>
      <c r="F742" s="16" t="str">
        <f>IFERROR(__xludf.DUMMYFUNCTION("""COMPUTED_VALUE""")," ++1000 additional HP and SP for every piece of Dragonscale equipment equipped +-Cannot be forged or duplicated")</f>
        <v> ++1000 additional HP and SP for every piece of Dragonscale equipment equipped +-Cannot be forged or duplicated</v>
      </c>
      <c r="G742" s="16">
        <f>IFERROR(__xludf.DUMMYFUNCTION("""COMPUTED_VALUE"""),0.0)</f>
        <v>0</v>
      </c>
      <c r="H742" s="16"/>
      <c r="I742" s="16"/>
      <c r="J742" s="16"/>
      <c r="K742" s="16"/>
      <c r="L742" s="16"/>
      <c r="M742" s="16"/>
      <c r="N742" s="16"/>
      <c r="O742" s="16"/>
      <c r="P742" s="16"/>
      <c r="Q742" s="16"/>
      <c r="R742" s="16"/>
      <c r="S742" s="16"/>
      <c r="T742" s="16"/>
      <c r="U742" s="16"/>
      <c r="V742" s="16"/>
      <c r="W742" s="16"/>
      <c r="X742" s="16"/>
      <c r="Y742" s="16"/>
      <c r="Z742" s="16"/>
    </row>
    <row r="743">
      <c r="A743" s="16" t="str">
        <f>IFERROR(__xludf.DUMMYFUNCTION("""COMPUTED_VALUE"""),"Dragonscale Sandals")</f>
        <v>Dragonscale Sandals</v>
      </c>
      <c r="B743" s="16"/>
      <c r="C743" s="16" t="str">
        <f>IFERROR(__xludf.DUMMYFUNCTION("""COMPUTED_VALUE"""),"Item")</f>
        <v>Item</v>
      </c>
      <c r="D743" s="16" t="str">
        <f>IFERROR(__xludf.DUMMYFUNCTION("""COMPUTED_VALUE"""),"Feet")</f>
        <v>Feet</v>
      </c>
      <c r="E743" s="16">
        <f>IFERROR(__xludf.DUMMYFUNCTION("""COMPUTED_VALUE"""),1.0)</f>
        <v>1</v>
      </c>
      <c r="F743" s="16" t="str">
        <f>IFERROR(__xludf.DUMMYFUNCTION("""COMPUTED_VALUE""")," ++2 Mobility +-Cannot be forged or duplicated")</f>
        <v> ++2 Mobility +-Cannot be forged or duplicated</v>
      </c>
      <c r="G743" s="16">
        <f>IFERROR(__xludf.DUMMYFUNCTION("""COMPUTED_VALUE"""),0.0)</f>
        <v>0</v>
      </c>
      <c r="H743" s="16"/>
      <c r="I743" s="16"/>
      <c r="J743" s="16"/>
      <c r="K743" s="16"/>
      <c r="L743" s="16"/>
      <c r="M743" s="16"/>
      <c r="N743" s="16"/>
      <c r="O743" s="16"/>
      <c r="P743" s="16"/>
      <c r="Q743" s="16"/>
      <c r="R743" s="16"/>
      <c r="S743" s="16"/>
      <c r="T743" s="16"/>
      <c r="U743" s="16"/>
      <c r="V743" s="16"/>
      <c r="W743" s="16"/>
      <c r="X743" s="16"/>
      <c r="Y743" s="16"/>
      <c r="Z743" s="16"/>
    </row>
    <row r="744">
      <c r="A744" s="16" t="str">
        <f>IFERROR(__xludf.DUMMYFUNCTION("""COMPUTED_VALUE"""),"Dragonscale Talisman")</f>
        <v>Dragonscale Talisman</v>
      </c>
      <c r="B744" s="16"/>
      <c r="C744" s="16" t="str">
        <f>IFERROR(__xludf.DUMMYFUNCTION("""COMPUTED_VALUE"""),"Item")</f>
        <v>Item</v>
      </c>
      <c r="D744" s="16" t="str">
        <f>IFERROR(__xludf.DUMMYFUNCTION("""COMPUTED_VALUE"""),"Neck")</f>
        <v>Neck</v>
      </c>
      <c r="E744" s="16">
        <f>IFERROR(__xludf.DUMMYFUNCTION("""COMPUTED_VALUE"""),1.0)</f>
        <v>1</v>
      </c>
      <c r="F744" s="16" t="str">
        <f>IFERROR(__xludf.DUMMYFUNCTION("""COMPUTED_VALUE""")," ++10000 additional HP and SP, +-Cannot be forged or duplicated")</f>
        <v> ++10000 additional HP and SP, +-Cannot be forged or duplicated</v>
      </c>
      <c r="G744" s="16">
        <f>IFERROR(__xludf.DUMMYFUNCTION("""COMPUTED_VALUE"""),0.0)</f>
        <v>0</v>
      </c>
      <c r="H744" s="16"/>
      <c r="I744" s="16"/>
      <c r="J744" s="16"/>
      <c r="K744" s="16"/>
      <c r="L744" s="16"/>
      <c r="M744" s="16"/>
      <c r="N744" s="16"/>
      <c r="O744" s="16"/>
      <c r="P744" s="16"/>
      <c r="Q744" s="16"/>
      <c r="R744" s="16"/>
      <c r="S744" s="16"/>
      <c r="T744" s="16"/>
      <c r="U744" s="16"/>
      <c r="V744" s="16"/>
      <c r="W744" s="16"/>
      <c r="X744" s="16"/>
      <c r="Y744" s="16"/>
      <c r="Z744" s="16"/>
    </row>
    <row r="745">
      <c r="A745" s="16" t="str">
        <f>IFERROR(__xludf.DUMMYFUNCTION("""COMPUTED_VALUE"""),"Dragonscale Water Ring")</f>
        <v>Dragonscale Water Ring</v>
      </c>
      <c r="B745" s="16"/>
      <c r="C745" s="16" t="str">
        <f>IFERROR(__xludf.DUMMYFUNCTION("""COMPUTED_VALUE"""),"Item")</f>
        <v>Item</v>
      </c>
      <c r="D745" s="16" t="str">
        <f>IFERROR(__xludf.DUMMYFUNCTION("""COMPUTED_VALUE"""),"Finger")</f>
        <v>Finger</v>
      </c>
      <c r="E745" s="16">
        <f>IFERROR(__xludf.DUMMYFUNCTION("""COMPUTED_VALUE"""),1.0)</f>
        <v>1</v>
      </c>
      <c r="F745" s="16" t="str">
        <f>IFERROR(__xludf.DUMMYFUNCTION("""COMPUTED_VALUE""")," ++Converts all Natural damage to Water damage +-Cannot be duplicated")</f>
        <v> ++Converts all Natural damage to Water damage +-Cannot be duplicated</v>
      </c>
      <c r="G745" s="16">
        <f>IFERROR(__xludf.DUMMYFUNCTION("""COMPUTED_VALUE"""),0.0)</f>
        <v>0</v>
      </c>
      <c r="H745" s="16"/>
      <c r="I745" s="16"/>
      <c r="J745" s="16"/>
      <c r="K745" s="16"/>
      <c r="L745" s="16"/>
      <c r="M745" s="16"/>
      <c r="N745" s="16"/>
      <c r="O745" s="16"/>
      <c r="P745" s="16"/>
      <c r="Q745" s="16"/>
      <c r="R745" s="16"/>
      <c r="S745" s="16"/>
      <c r="T745" s="16"/>
      <c r="U745" s="16"/>
      <c r="V745" s="16"/>
      <c r="W745" s="16"/>
      <c r="X745" s="16"/>
      <c r="Y745" s="16"/>
      <c r="Z745" s="16"/>
    </row>
    <row r="746">
      <c r="A746" s="16" t="str">
        <f>IFERROR(__xludf.DUMMYFUNCTION("""COMPUTED_VALUE"""),"Dragonscale Gauntlets")</f>
        <v>Dragonscale Gauntlets</v>
      </c>
      <c r="B746" s="16"/>
      <c r="C746" s="16" t="str">
        <f>IFERROR(__xludf.DUMMYFUNCTION("""COMPUTED_VALUE"""),"Gauntlet")</f>
        <v>Gauntlet</v>
      </c>
      <c r="D746" s="16" t="str">
        <f>IFERROR(__xludf.DUMMYFUNCTION("""COMPUTED_VALUE"""),"Hand")</f>
        <v>Hand</v>
      </c>
      <c r="E746" s="16">
        <f>IFERROR(__xludf.DUMMYFUNCTION("""COMPUTED_VALUE"""),2000.0)</f>
        <v>2000</v>
      </c>
      <c r="F746" s="16" t="str">
        <f>IFERROR(__xludf.DUMMYFUNCTION("""COMPUTED_VALUE"""),"DEF: +100000")</f>
        <v>DEF: +100000</v>
      </c>
      <c r="G746" s="16">
        <f>IFERROR(__xludf.DUMMYFUNCTION("""COMPUTED_VALUE"""),1.99E8)</f>
        <v>199000000</v>
      </c>
      <c r="H746" s="16"/>
      <c r="I746" s="16"/>
      <c r="J746" s="16"/>
      <c r="K746" s="16"/>
      <c r="L746" s="16"/>
      <c r="M746" s="16"/>
      <c r="N746" s="16"/>
      <c r="O746" s="16"/>
      <c r="P746" s="16"/>
      <c r="Q746" s="16"/>
      <c r="R746" s="16"/>
      <c r="S746" s="16"/>
      <c r="T746" s="16"/>
      <c r="U746" s="16"/>
      <c r="V746" s="16"/>
      <c r="W746" s="16"/>
      <c r="X746" s="16"/>
      <c r="Y746" s="16"/>
      <c r="Z746" s="16"/>
    </row>
    <row r="747">
      <c r="A747" s="16" t="str">
        <f>IFERROR(__xludf.DUMMYFUNCTION("""COMPUTED_VALUE"""),"Fire Dragonscale Bow")</f>
        <v>Fire Dragonscale Bow</v>
      </c>
      <c r="B747" s="16"/>
      <c r="C747" s="16" t="str">
        <f>IFERROR(__xludf.DUMMYFUNCTION("""COMPUTED_VALUE"""),"Bow")</f>
        <v>Bow</v>
      </c>
      <c r="D747" s="16" t="str">
        <f>IFERROR(__xludf.DUMMYFUNCTION("""COMPUTED_VALUE"""),"Hand")</f>
        <v>Hand</v>
      </c>
      <c r="E747" s="16">
        <f>IFERROR(__xludf.DUMMYFUNCTION("""COMPUTED_VALUE"""),3000.0)</f>
        <v>3000</v>
      </c>
      <c r="F747" s="16" t="str">
        <f>IFERROR(__xludf.DUMMYFUNCTION("""COMPUTED_VALUE"""),"DMG: +20000, Fire DMG: +130000")</f>
        <v>DMG: +20000, Fire DMG: +130000</v>
      </c>
      <c r="G747" s="16">
        <f>IFERROR(__xludf.DUMMYFUNCTION("""COMPUTED_VALUE"""),4.485E8)</f>
        <v>448500000</v>
      </c>
      <c r="H747" s="16"/>
      <c r="I747" s="16"/>
      <c r="J747" s="16"/>
      <c r="K747" s="16"/>
      <c r="L747" s="16"/>
      <c r="M747" s="16"/>
      <c r="N747" s="16"/>
      <c r="O747" s="16"/>
      <c r="P747" s="16"/>
      <c r="Q747" s="16"/>
      <c r="R747" s="16"/>
      <c r="S747" s="16"/>
      <c r="T747" s="16"/>
      <c r="U747" s="16"/>
      <c r="V747" s="16"/>
      <c r="W747" s="16"/>
      <c r="X747" s="16"/>
      <c r="Y747" s="16"/>
      <c r="Z747" s="16"/>
    </row>
    <row r="748">
      <c r="A748" s="16" t="str">
        <f>IFERROR(__xludf.DUMMYFUNCTION("""COMPUTED_VALUE"""),"Storm Dragonscale Flail")</f>
        <v>Storm Dragonscale Flail</v>
      </c>
      <c r="B748" s="16"/>
      <c r="C748" s="16" t="str">
        <f>IFERROR(__xludf.DUMMYFUNCTION("""COMPUTED_VALUE"""),"Club")</f>
        <v>Club</v>
      </c>
      <c r="D748" s="16" t="str">
        <f>IFERROR(__xludf.DUMMYFUNCTION("""COMPUTED_VALUE"""),"Hand")</f>
        <v>Hand</v>
      </c>
      <c r="E748" s="16">
        <f>IFERROR(__xludf.DUMMYFUNCTION("""COMPUTED_VALUE"""),2400.0)</f>
        <v>2400</v>
      </c>
      <c r="F748" s="16" t="str">
        <f>IFERROR(__xludf.DUMMYFUNCTION("""COMPUTED_VALUE"""),"DMG: +20000, Storm DMG: +100000 ++If multiple enemies of the same type are present, attacks hit all enemies of that type. +-Cannot be forged or duplicated")</f>
        <v>DMG: +20000, Storm DMG: +100000 ++If multiple enemies of the same type are present, attacks hit all enemies of that type. +-Cannot be forged or duplicated</v>
      </c>
      <c r="G748" s="16">
        <f>IFERROR(__xludf.DUMMYFUNCTION("""COMPUTED_VALUE"""),2.868E8)</f>
        <v>286800000</v>
      </c>
      <c r="H748" s="16"/>
      <c r="I748" s="16"/>
      <c r="J748" s="16"/>
      <c r="K748" s="16"/>
      <c r="L748" s="16"/>
      <c r="M748" s="16"/>
      <c r="N748" s="16"/>
      <c r="O748" s="16"/>
      <c r="P748" s="16"/>
      <c r="Q748" s="16"/>
      <c r="R748" s="16"/>
      <c r="S748" s="16"/>
      <c r="T748" s="16"/>
      <c r="U748" s="16"/>
      <c r="V748" s="16"/>
      <c r="W748" s="16"/>
      <c r="X748" s="16"/>
      <c r="Y748" s="16"/>
      <c r="Z748" s="16"/>
    </row>
    <row r="749">
      <c r="A749" s="16" t="str">
        <f>IFERROR(__xludf.DUMMYFUNCTION("""COMPUTED_VALUE"""),"Dragonscale Spear")</f>
        <v>Dragonscale Spear</v>
      </c>
      <c r="B749" s="16"/>
      <c r="C749" s="16" t="str">
        <f>IFERROR(__xludf.DUMMYFUNCTION("""COMPUTED_VALUE"""),"Spear")</f>
        <v>Spear</v>
      </c>
      <c r="D749" s="16" t="str">
        <f>IFERROR(__xludf.DUMMYFUNCTION("""COMPUTED_VALUE"""),"Hand")</f>
        <v>Hand</v>
      </c>
      <c r="E749" s="16">
        <f>IFERROR(__xludf.DUMMYFUNCTION("""COMPUTED_VALUE"""),2800.0)</f>
        <v>2800</v>
      </c>
      <c r="F749" s="16" t="str">
        <f>IFERROR(__xludf.DUMMYFUNCTION("""COMPUTED_VALUE"""),"DMG: +140000")</f>
        <v>DMG: +140000</v>
      </c>
      <c r="G749" s="16">
        <f>IFERROR(__xludf.DUMMYFUNCTION("""COMPUTED_VALUE"""),3.906E8)</f>
        <v>390600000</v>
      </c>
      <c r="H749" s="16"/>
      <c r="I749" s="16"/>
      <c r="J749" s="16"/>
      <c r="K749" s="16"/>
      <c r="L749" s="16"/>
      <c r="M749" s="16"/>
      <c r="N749" s="16"/>
      <c r="O749" s="16"/>
      <c r="P749" s="16"/>
      <c r="Q749" s="16"/>
      <c r="R749" s="16"/>
      <c r="S749" s="16"/>
      <c r="T749" s="16"/>
      <c r="U749" s="16"/>
      <c r="V749" s="16"/>
      <c r="W749" s="16"/>
      <c r="X749" s="16"/>
      <c r="Y749" s="16"/>
      <c r="Z749" s="16"/>
    </row>
    <row r="750">
      <c r="A750" s="16" t="str">
        <f>IFERROR(__xludf.DUMMYFUNCTION("""COMPUTED_VALUE"""),"Dragonscale Scythe")</f>
        <v>Dragonscale Scythe</v>
      </c>
      <c r="B750" s="16"/>
      <c r="C750" s="16" t="str">
        <f>IFERROR(__xludf.DUMMYFUNCTION("""COMPUTED_VALUE"""),"Scythe")</f>
        <v>Scythe</v>
      </c>
      <c r="D750" s="16" t="str">
        <f>IFERROR(__xludf.DUMMYFUNCTION("""COMPUTED_VALUE"""),"Hand")</f>
        <v>Hand</v>
      </c>
      <c r="E750" s="16">
        <f>IFERROR(__xludf.DUMMYFUNCTION("""COMPUTED_VALUE"""),2500.0)</f>
        <v>2500</v>
      </c>
      <c r="F750" s="16" t="str">
        <f>IFERROR(__xludf.DUMMYFUNCTION("""COMPUTED_VALUE"""),"DMG: +125000 ++If used to kill a dragon, 100% chance to get its soul. +-Cannot be forged or duplicated")</f>
        <v>DMG: +125000 ++If used to kill a dragon, 100% chance to get its soul. +-Cannot be forged or duplicated</v>
      </c>
      <c r="G750" s="16">
        <f>IFERROR(__xludf.DUMMYFUNCTION("""COMPUTED_VALUE"""),3.1125E8)</f>
        <v>311250000</v>
      </c>
      <c r="H750" s="16"/>
      <c r="I750" s="16"/>
      <c r="J750" s="16"/>
      <c r="K750" s="16"/>
      <c r="L750" s="16"/>
      <c r="M750" s="16"/>
      <c r="N750" s="16"/>
      <c r="O750" s="16"/>
      <c r="P750" s="16"/>
      <c r="Q750" s="16"/>
      <c r="R750" s="16"/>
      <c r="S750" s="16"/>
      <c r="T750" s="16"/>
      <c r="U750" s="16"/>
      <c r="V750" s="16"/>
      <c r="W750" s="16"/>
      <c r="X750" s="16"/>
      <c r="Y750" s="16"/>
      <c r="Z750" s="16"/>
    </row>
    <row r="751">
      <c r="A751" s="16" t="str">
        <f>IFERROR(__xludf.DUMMYFUNCTION("""COMPUTED_VALUE"""),"Dark Dragonscale Claws")</f>
        <v>Dark Dragonscale Claws</v>
      </c>
      <c r="B751" s="16"/>
      <c r="C751" s="16" t="str">
        <f>IFERROR(__xludf.DUMMYFUNCTION("""COMPUTED_VALUE"""),"Claw")</f>
        <v>Claw</v>
      </c>
      <c r="D751" s="16" t="str">
        <f>IFERROR(__xludf.DUMMYFUNCTION("""COMPUTED_VALUE"""),"Hand")</f>
        <v>Hand</v>
      </c>
      <c r="E751" s="16">
        <f>IFERROR(__xludf.DUMMYFUNCTION("""COMPUTED_VALUE"""),2900.0)</f>
        <v>2900</v>
      </c>
      <c r="F751" s="16" t="str">
        <f>IFERROR(__xludf.DUMMYFUNCTION("""COMPUTED_VALUE"""),", Dark DMG: +145000 ++ 30% chance to remove enemy from battle")</f>
        <v>, Dark DMG: +145000 ++ 30% chance to remove enemy from battle</v>
      </c>
      <c r="G751" s="16">
        <f>IFERROR(__xludf.DUMMYFUNCTION("""COMPUTED_VALUE"""),4.1905E8)</f>
        <v>419050000</v>
      </c>
      <c r="H751" s="16"/>
      <c r="I751" s="16"/>
      <c r="J751" s="16"/>
      <c r="K751" s="16"/>
      <c r="L751" s="16"/>
      <c r="M751" s="16"/>
      <c r="N751" s="16"/>
      <c r="O751" s="16"/>
      <c r="P751" s="16"/>
      <c r="Q751" s="16"/>
      <c r="R751" s="16"/>
      <c r="S751" s="16"/>
      <c r="T751" s="16"/>
      <c r="U751" s="16"/>
      <c r="V751" s="16"/>
      <c r="W751" s="16"/>
      <c r="X751" s="16"/>
      <c r="Y751" s="16"/>
      <c r="Z751" s="16"/>
    </row>
    <row r="752">
      <c r="A752" s="16" t="str">
        <f>IFERROR(__xludf.DUMMYFUNCTION("""COMPUTED_VALUE"""),"Chaotic Dragonscale Claw")</f>
        <v>Chaotic Dragonscale Claw</v>
      </c>
      <c r="B752" s="16"/>
      <c r="C752" s="16" t="str">
        <f>IFERROR(__xludf.DUMMYFUNCTION("""COMPUTED_VALUE"""),"Claw")</f>
        <v>Claw</v>
      </c>
      <c r="D752" s="16" t="str">
        <f>IFERROR(__xludf.DUMMYFUNCTION("""COMPUTED_VALUE"""),"Hand")</f>
        <v>Hand</v>
      </c>
      <c r="E752" s="16">
        <f>IFERROR(__xludf.DUMMYFUNCTION("""COMPUTED_VALUE"""),2350.0)</f>
        <v>2350</v>
      </c>
      <c r="F752" s="16" t="str">
        <f>IFERROR(__xludf.DUMMYFUNCTION("""COMPUTED_VALUE"""),"DMG: +1, Chaos DMG: +117000 +-5% chance of dealing 1 damage when attacking")</f>
        <v>DMG: +1, Chaos DMG: +117000 +-5% chance of dealing 1 damage when attacking</v>
      </c>
      <c r="G752" s="16">
        <f>IFERROR(__xludf.DUMMYFUNCTION("""COMPUTED_VALUE"""),2.7261E8)</f>
        <v>272610000</v>
      </c>
      <c r="H752" s="16"/>
      <c r="I752" s="16"/>
      <c r="J752" s="16"/>
      <c r="K752" s="16"/>
      <c r="L752" s="16"/>
      <c r="M752" s="16"/>
      <c r="N752" s="16"/>
      <c r="O752" s="16"/>
      <c r="P752" s="16"/>
      <c r="Q752" s="16"/>
      <c r="R752" s="16"/>
      <c r="S752" s="16"/>
      <c r="T752" s="16"/>
      <c r="U752" s="16"/>
      <c r="V752" s="16"/>
      <c r="W752" s="16"/>
      <c r="X752" s="16"/>
      <c r="Y752" s="16"/>
      <c r="Z752" s="16"/>
    </row>
    <row r="753">
      <c r="A753" s="16" t="str">
        <f>IFERROR(__xludf.DUMMYFUNCTION("""COMPUTED_VALUE"""),"Earthen Dragonscale Boots")</f>
        <v>Earthen Dragonscale Boots</v>
      </c>
      <c r="B753" s="16"/>
      <c r="C753" s="16" t="str">
        <f>IFERROR(__xludf.DUMMYFUNCTION("""COMPUTED_VALUE"""),"Item")</f>
        <v>Item</v>
      </c>
      <c r="D753" s="16" t="str">
        <f>IFERROR(__xludf.DUMMYFUNCTION("""COMPUTED_VALUE"""),"Feet")</f>
        <v>Feet</v>
      </c>
      <c r="E753" s="16">
        <f>IFERROR(__xludf.DUMMYFUNCTION("""COMPUTED_VALUE"""),3000.0)</f>
        <v>3000</v>
      </c>
      <c r="F753" s="16" t="str">
        <f>IFERROR(__xludf.DUMMYFUNCTION("""COMPUTED_VALUE"""),"DEF: +60000, Earth DEF: +90000 ++Immune to Earth spells")</f>
        <v>DEF: +60000, Earth DEF: +90000 ++Immune to Earth spells</v>
      </c>
      <c r="G753" s="16">
        <f>IFERROR(__xludf.DUMMYFUNCTION("""COMPUTED_VALUE"""),4.485E8)</f>
        <v>448500000</v>
      </c>
      <c r="H753" s="16"/>
      <c r="I753" s="16"/>
      <c r="J753" s="16"/>
      <c r="K753" s="16"/>
      <c r="L753" s="16"/>
      <c r="M753" s="16"/>
      <c r="N753" s="16"/>
      <c r="O753" s="16"/>
      <c r="P753" s="16"/>
      <c r="Q753" s="16"/>
      <c r="R753" s="16"/>
      <c r="S753" s="16"/>
      <c r="T753" s="16"/>
      <c r="U753" s="16"/>
      <c r="V753" s="16"/>
      <c r="W753" s="16"/>
      <c r="X753" s="16"/>
      <c r="Y753" s="16"/>
      <c r="Z753" s="16"/>
    </row>
    <row r="754">
      <c r="A754" s="16" t="str">
        <f>IFERROR(__xludf.DUMMYFUNCTION("""COMPUTED_VALUE"""),"Dragonscale Harp")</f>
        <v>Dragonscale Harp</v>
      </c>
      <c r="B754" s="16"/>
      <c r="C754" s="16" t="str">
        <f>IFERROR(__xludf.DUMMYFUNCTION("""COMPUTED_VALUE"""),"Instrument")</f>
        <v>Instrument</v>
      </c>
      <c r="D754" s="16" t="str">
        <f>IFERROR(__xludf.DUMMYFUNCTION("""COMPUTED_VALUE"""),"Hand")</f>
        <v>Hand</v>
      </c>
      <c r="E754" s="16">
        <f>IFERROR(__xludf.DUMMYFUNCTION("""COMPUTED_VALUE"""),2620.0)</f>
        <v>2620</v>
      </c>
      <c r="F754" s="16" t="str">
        <f>IFERROR(__xludf.DUMMYFUNCTION("""COMPUTED_VALUE"""),"DMG: +1000, Acoustic DMG: +130000 ++Causes any dragon enemies to skip its next turn when attacked.")</f>
        <v>DMG: +1000, Acoustic DMG: +130000 ++Causes any dragon enemies to skip its next turn when attacked.</v>
      </c>
      <c r="G754" s="16">
        <f>IFERROR(__xludf.DUMMYFUNCTION("""COMPUTED_VALUE"""),3.4191E8)</f>
        <v>341910000</v>
      </c>
      <c r="H754" s="16"/>
      <c r="I754" s="16"/>
      <c r="J754" s="16"/>
      <c r="K754" s="16"/>
      <c r="L754" s="16"/>
      <c r="M754" s="16"/>
      <c r="N754" s="16"/>
      <c r="O754" s="16"/>
      <c r="P754" s="16"/>
      <c r="Q754" s="16"/>
      <c r="R754" s="16"/>
      <c r="S754" s="16"/>
      <c r="T754" s="16"/>
      <c r="U754" s="16"/>
      <c r="V754" s="16"/>
      <c r="W754" s="16"/>
      <c r="X754" s="16"/>
      <c r="Y754" s="16"/>
      <c r="Z754" s="16"/>
    </row>
    <row r="755">
      <c r="A755" s="16" t="str">
        <f>IFERROR(__xludf.DUMMYFUNCTION("""COMPUTED_VALUE"""),"Dragonscale Bracers")</f>
        <v>Dragonscale Bracers</v>
      </c>
      <c r="B755" s="16"/>
      <c r="C755" s="16" t="str">
        <f>IFERROR(__xludf.DUMMYFUNCTION("""COMPUTED_VALUE"""),"Item")</f>
        <v>Item</v>
      </c>
      <c r="D755" s="16" t="str">
        <f>IFERROR(__xludf.DUMMYFUNCTION("""COMPUTED_VALUE"""),"Arms")</f>
        <v>Arms</v>
      </c>
      <c r="E755" s="16">
        <f>IFERROR(__xludf.DUMMYFUNCTION("""COMPUTED_VALUE"""),2000.0)</f>
        <v>2000</v>
      </c>
      <c r="F755" s="16" t="str">
        <f>IFERROR(__xludf.DUMMYFUNCTION("""COMPUTED_VALUE"""),"DEF: +100000 ++X2 DEF when fighting a dragon(s).")</f>
        <v>DEF: +100000 ++X2 DEF when fighting a dragon(s).</v>
      </c>
      <c r="G755" s="16">
        <f>IFERROR(__xludf.DUMMYFUNCTION("""COMPUTED_VALUE"""),1.99E8)</f>
        <v>199000000</v>
      </c>
      <c r="H755" s="16"/>
      <c r="I755" s="16"/>
      <c r="J755" s="16"/>
      <c r="K755" s="16"/>
      <c r="L755" s="16"/>
      <c r="M755" s="16"/>
      <c r="N755" s="16"/>
      <c r="O755" s="16"/>
      <c r="P755" s="16"/>
      <c r="Q755" s="16"/>
      <c r="R755" s="16"/>
      <c r="S755" s="16"/>
      <c r="T755" s="16"/>
      <c r="U755" s="16"/>
      <c r="V755" s="16"/>
      <c r="W755" s="16"/>
      <c r="X755" s="16"/>
      <c r="Y755" s="16"/>
      <c r="Z755" s="16"/>
    </row>
    <row r="756">
      <c r="A756" s="16" t="str">
        <f>IFERROR(__xludf.DUMMYFUNCTION("""COMPUTED_VALUE"""),"Dragonscale Crown")</f>
        <v>Dragonscale Crown</v>
      </c>
      <c r="B756" s="16"/>
      <c r="C756" s="16" t="str">
        <f>IFERROR(__xludf.DUMMYFUNCTION("""COMPUTED_VALUE"""),"Item")</f>
        <v>Item</v>
      </c>
      <c r="D756" s="16" t="str">
        <f>IFERROR(__xludf.DUMMYFUNCTION("""COMPUTED_VALUE"""),"Head")</f>
        <v>Head</v>
      </c>
      <c r="E756" s="16">
        <f>IFERROR(__xludf.DUMMYFUNCTION("""COMPUTED_VALUE"""),1.0)</f>
        <v>1</v>
      </c>
      <c r="F756" s="16" t="str">
        <f>IFERROR(__xludf.DUMMYFUNCTION("""COMPUTED_VALUE""")," ++7,500 additional HP and SP, +-Cannot be forged or duplicated")</f>
        <v> ++7,500 additional HP and SP, +-Cannot be forged or duplicated</v>
      </c>
      <c r="G756" s="16">
        <f>IFERROR(__xludf.DUMMYFUNCTION("""COMPUTED_VALUE"""),0.0)</f>
        <v>0</v>
      </c>
      <c r="H756" s="16"/>
      <c r="I756" s="16"/>
      <c r="J756" s="16"/>
      <c r="K756" s="16"/>
      <c r="L756" s="16"/>
      <c r="M756" s="16"/>
      <c r="N756" s="16"/>
      <c r="O756" s="16"/>
      <c r="P756" s="16"/>
      <c r="Q756" s="16"/>
      <c r="R756" s="16"/>
      <c r="S756" s="16"/>
      <c r="T756" s="16"/>
      <c r="U756" s="16"/>
      <c r="V756" s="16"/>
      <c r="W756" s="16"/>
      <c r="X756" s="16"/>
      <c r="Y756" s="16"/>
      <c r="Z756" s="16"/>
    </row>
    <row r="757">
      <c r="A757" s="16" t="str">
        <f>IFERROR(__xludf.DUMMYFUNCTION("""COMPUTED_VALUE"""),"Dragonscale Helm")</f>
        <v>Dragonscale Helm</v>
      </c>
      <c r="B757" s="16"/>
      <c r="C757" s="16" t="str">
        <f>IFERROR(__xludf.DUMMYFUNCTION("""COMPUTED_VALUE"""),"Item")</f>
        <v>Item</v>
      </c>
      <c r="D757" s="16" t="str">
        <f>IFERROR(__xludf.DUMMYFUNCTION("""COMPUTED_VALUE"""),"Head")</f>
        <v>Head</v>
      </c>
      <c r="E757" s="16">
        <f>IFERROR(__xludf.DUMMYFUNCTION("""COMPUTED_VALUE"""),2600.0)</f>
        <v>2600</v>
      </c>
      <c r="F757" s="16" t="str">
        <f>IFERROR(__xludf.DUMMYFUNCTION("""COMPUTED_VALUE"""),"DEF: +130000")</f>
        <v>DEF: +130000</v>
      </c>
      <c r="G757" s="16">
        <f>IFERROR(__xludf.DUMMYFUNCTION("""COMPUTED_VALUE"""),3.367E8)</f>
        <v>336700000</v>
      </c>
      <c r="H757" s="16"/>
      <c r="I757" s="16"/>
      <c r="J757" s="16"/>
      <c r="K757" s="16"/>
      <c r="L757" s="16"/>
      <c r="M757" s="16"/>
      <c r="N757" s="16"/>
      <c r="O757" s="16"/>
      <c r="P757" s="16"/>
      <c r="Q757" s="16"/>
      <c r="R757" s="16"/>
      <c r="S757" s="16"/>
      <c r="T757" s="16"/>
      <c r="U757" s="16"/>
      <c r="V757" s="16"/>
      <c r="W757" s="16"/>
      <c r="X757" s="16"/>
      <c r="Y757" s="16"/>
      <c r="Z757" s="16"/>
    </row>
    <row r="758">
      <c r="A758" s="16" t="str">
        <f>IFERROR(__xludf.DUMMYFUNCTION("""COMPUTED_VALUE"""),"Dragonscale Rifle")</f>
        <v>Dragonscale Rifle</v>
      </c>
      <c r="B758" s="16"/>
      <c r="C758" s="16" t="str">
        <f>IFERROR(__xludf.DUMMYFUNCTION("""COMPUTED_VALUE"""),"Firearm")</f>
        <v>Firearm</v>
      </c>
      <c r="D758" s="16" t="str">
        <f>IFERROR(__xludf.DUMMYFUNCTION("""COMPUTED_VALUE"""),"Hand")</f>
        <v>Hand</v>
      </c>
      <c r="E758" s="16">
        <f>IFERROR(__xludf.DUMMYFUNCTION("""COMPUTED_VALUE"""),3400.0)</f>
        <v>3400</v>
      </c>
      <c r="F758" s="16" t="str">
        <f>IFERROR(__xludf.DUMMYFUNCTION("""COMPUTED_VALUE"""),"DMG: +170000  +-Uses bullets")</f>
        <v>DMG: +170000  +-Uses bullets</v>
      </c>
      <c r="G758" s="16">
        <f>IFERROR(__xludf.DUMMYFUNCTION("""COMPUTED_VALUE"""),5.763E8)</f>
        <v>576300000</v>
      </c>
      <c r="H758" s="16"/>
      <c r="I758" s="16"/>
      <c r="J758" s="16"/>
      <c r="K758" s="16"/>
      <c r="L758" s="16"/>
      <c r="M758" s="16"/>
      <c r="N758" s="16"/>
      <c r="O758" s="16"/>
      <c r="P758" s="16"/>
      <c r="Q758" s="16"/>
      <c r="R758" s="16"/>
      <c r="S758" s="16"/>
      <c r="T758" s="16"/>
      <c r="U758" s="16"/>
      <c r="V758" s="16"/>
      <c r="W758" s="16"/>
      <c r="X758" s="16"/>
      <c r="Y758" s="16"/>
      <c r="Z758" s="16"/>
    </row>
    <row r="759">
      <c r="A759" s="16" t="str">
        <f>IFERROR(__xludf.DUMMYFUNCTION("""COMPUTED_VALUE"""),"Searing Dragonscale Staff")</f>
        <v>Searing Dragonscale Staff</v>
      </c>
      <c r="B759" s="16"/>
      <c r="C759" s="16" t="str">
        <f>IFERROR(__xludf.DUMMYFUNCTION("""COMPUTED_VALUE"""),"Staff")</f>
        <v>Staff</v>
      </c>
      <c r="D759" s="16" t="str">
        <f>IFERROR(__xludf.DUMMYFUNCTION("""COMPUTED_VALUE"""),"Hand")</f>
        <v>Hand</v>
      </c>
      <c r="E759" s="16">
        <f>IFERROR(__xludf.DUMMYFUNCTION("""COMPUTED_VALUE"""),3000.0)</f>
        <v>3000</v>
      </c>
      <c r="F759" s="16" t="str">
        <f>IFERROR(__xludf.DUMMYFUNCTION("""COMPUTED_VALUE"""),", Light DMG: +150000")</f>
        <v>, Light DMG: +150000</v>
      </c>
      <c r="G759" s="16">
        <f>IFERROR(__xludf.DUMMYFUNCTION("""COMPUTED_VALUE"""),4.485E8)</f>
        <v>448500000</v>
      </c>
      <c r="H759" s="16"/>
      <c r="I759" s="16"/>
      <c r="J759" s="16"/>
      <c r="K759" s="16"/>
      <c r="L759" s="16"/>
      <c r="M759" s="16"/>
      <c r="N759" s="16"/>
      <c r="O759" s="16"/>
      <c r="P759" s="16"/>
      <c r="Q759" s="16"/>
      <c r="R759" s="16"/>
      <c r="S759" s="16"/>
      <c r="T759" s="16"/>
      <c r="U759" s="16"/>
      <c r="V759" s="16"/>
      <c r="W759" s="16"/>
      <c r="X759" s="16"/>
      <c r="Y759" s="16"/>
      <c r="Z759" s="16"/>
    </row>
    <row r="760">
      <c r="A760" s="16" t="str">
        <f>IFERROR(__xludf.DUMMYFUNCTION("""COMPUTED_VALUE"""),"Forgotten Scythe")</f>
        <v>Forgotten Scythe</v>
      </c>
      <c r="B760" s="16"/>
      <c r="C760" s="16" t="str">
        <f>IFERROR(__xludf.DUMMYFUNCTION("""COMPUTED_VALUE"""),"Scythe")</f>
        <v>Scythe</v>
      </c>
      <c r="D760" s="16" t="str">
        <f>IFERROR(__xludf.DUMMYFUNCTION("""COMPUTED_VALUE"""),"Hand")</f>
        <v>Hand</v>
      </c>
      <c r="E760" s="16">
        <f>IFERROR(__xludf.DUMMYFUNCTION("""COMPUTED_VALUE"""),5800.0)</f>
        <v>5800</v>
      </c>
      <c r="F760" s="16" t="str">
        <f>IFERROR(__xludf.DUMMYFUNCTION("""COMPUTED_VALUE"""),", Chaos DMG: +290000")</f>
        <v>, Chaos DMG: +290000</v>
      </c>
      <c r="G760" s="16">
        <f>IFERROR(__xludf.DUMMYFUNCTION("""COMPUTED_VALUE"""),1.6791E9)</f>
        <v>1679100000</v>
      </c>
      <c r="H760" s="16"/>
      <c r="I760" s="16"/>
      <c r="J760" s="16"/>
      <c r="K760" s="16"/>
      <c r="L760" s="16"/>
      <c r="M760" s="16"/>
      <c r="N760" s="16"/>
      <c r="O760" s="16"/>
      <c r="P760" s="16"/>
      <c r="Q760" s="16"/>
      <c r="R760" s="16"/>
      <c r="S760" s="16"/>
      <c r="T760" s="16"/>
      <c r="U760" s="16"/>
      <c r="V760" s="16"/>
      <c r="W760" s="16"/>
      <c r="X760" s="16"/>
      <c r="Y760" s="16"/>
      <c r="Z760" s="16"/>
    </row>
    <row r="761">
      <c r="A761" s="16" t="str">
        <f>IFERROR(__xludf.DUMMYFUNCTION("""COMPUTED_VALUE"""),"Forsaken Club")</f>
        <v>Forsaken Club</v>
      </c>
      <c r="B761" s="16"/>
      <c r="C761" s="16" t="str">
        <f>IFERROR(__xludf.DUMMYFUNCTION("""COMPUTED_VALUE"""),"Club")</f>
        <v>Club</v>
      </c>
      <c r="D761" s="16" t="str">
        <f>IFERROR(__xludf.DUMMYFUNCTION("""COMPUTED_VALUE"""),"Hand")</f>
        <v>Hand</v>
      </c>
      <c r="E761" s="16">
        <f>IFERROR(__xludf.DUMMYFUNCTION("""COMPUTED_VALUE"""),5000.0)</f>
        <v>5000</v>
      </c>
      <c r="F761" s="16" t="str">
        <f>IFERROR(__xludf.DUMMYFUNCTION("""COMPUTED_VALUE"""),"DMG: +250000")</f>
        <v>DMG: +250000</v>
      </c>
      <c r="G761" s="16">
        <f>IFERROR(__xludf.DUMMYFUNCTION("""COMPUTED_VALUE"""),1.2475E9)</f>
        <v>1247500000</v>
      </c>
      <c r="H761" s="16"/>
      <c r="I761" s="16"/>
      <c r="J761" s="16"/>
      <c r="K761" s="16"/>
      <c r="L761" s="16"/>
      <c r="M761" s="16"/>
      <c r="N761" s="16"/>
      <c r="O761" s="16"/>
      <c r="P761" s="16"/>
      <c r="Q761" s="16"/>
      <c r="R761" s="16"/>
      <c r="S761" s="16"/>
      <c r="T761" s="16"/>
      <c r="U761" s="16"/>
      <c r="V761" s="16"/>
      <c r="W761" s="16"/>
      <c r="X761" s="16"/>
      <c r="Y761" s="16"/>
      <c r="Z761" s="16"/>
    </row>
    <row r="762">
      <c r="A762" s="16" t="str">
        <f>IFERROR(__xludf.DUMMYFUNCTION("""COMPUTED_VALUE"""),"Demonic Breastplate")</f>
        <v>Demonic Breastplate</v>
      </c>
      <c r="B762" s="16"/>
      <c r="C762" s="16" t="str">
        <f>IFERROR(__xludf.DUMMYFUNCTION("""COMPUTED_VALUE"""),"Item")</f>
        <v>Item</v>
      </c>
      <c r="D762" s="16" t="str">
        <f>IFERROR(__xludf.DUMMYFUNCTION("""COMPUTED_VALUE"""),"Torso")</f>
        <v>Torso</v>
      </c>
      <c r="E762" s="16">
        <f>IFERROR(__xludf.DUMMYFUNCTION("""COMPUTED_VALUE"""),4000.0)</f>
        <v>4000</v>
      </c>
      <c r="F762" s="16" t="str">
        <f>IFERROR(__xludf.DUMMYFUNCTION("""COMPUTED_VALUE"""),"DEF: +50000, Fire DEF: +50000, Dark DEF: +50000, Chaos DEF: +50000")</f>
        <v>DEF: +50000, Fire DEF: +50000, Dark DEF: +50000, Chaos DEF: +50000</v>
      </c>
      <c r="G762" s="16">
        <f>IFERROR(__xludf.DUMMYFUNCTION("""COMPUTED_VALUE"""),7.98E8)</f>
        <v>798000000</v>
      </c>
      <c r="H762" s="16"/>
      <c r="I762" s="16"/>
      <c r="J762" s="16"/>
      <c r="K762" s="16"/>
      <c r="L762" s="16"/>
      <c r="M762" s="16"/>
      <c r="N762" s="16"/>
      <c r="O762" s="16"/>
      <c r="P762" s="16"/>
      <c r="Q762" s="16"/>
      <c r="R762" s="16"/>
      <c r="S762" s="16"/>
      <c r="T762" s="16"/>
      <c r="U762" s="16"/>
      <c r="V762" s="16"/>
      <c r="W762" s="16"/>
      <c r="X762" s="16"/>
      <c r="Y762" s="16"/>
      <c r="Z762" s="16"/>
    </row>
    <row r="763">
      <c r="A763" s="16" t="str">
        <f>IFERROR(__xludf.DUMMYFUNCTION("""COMPUTED_VALUE"""),"Fallen Ruler's Crown")</f>
        <v>Fallen Ruler's Crown</v>
      </c>
      <c r="B763" s="16"/>
      <c r="C763" s="16" t="str">
        <f>IFERROR(__xludf.DUMMYFUNCTION("""COMPUTED_VALUE"""),"Item")</f>
        <v>Item</v>
      </c>
      <c r="D763" s="16" t="str">
        <f>IFERROR(__xludf.DUMMYFUNCTION("""COMPUTED_VALUE"""),"Head")</f>
        <v>Head</v>
      </c>
      <c r="E763" s="16">
        <f>IFERROR(__xludf.DUMMYFUNCTION("""COMPUTED_VALUE"""),1.0)</f>
        <v>1</v>
      </c>
      <c r="F763" s="16" t="str">
        <f>IFERROR(__xludf.DUMMYFUNCTION("""COMPUTED_VALUE""")," ++5% chance undead enemies will willingly surrender +-Cannot be forged or duplicated")</f>
        <v> ++5% chance undead enemies will willingly surrender +-Cannot be forged or duplicated</v>
      </c>
      <c r="G763" s="16">
        <f>IFERROR(__xludf.DUMMYFUNCTION("""COMPUTED_VALUE"""),0.0)</f>
        <v>0</v>
      </c>
      <c r="H763" s="16"/>
      <c r="I763" s="16"/>
      <c r="J763" s="16"/>
      <c r="K763" s="16"/>
      <c r="L763" s="16"/>
      <c r="M763" s="16"/>
      <c r="N763" s="16"/>
      <c r="O763" s="16"/>
      <c r="P763" s="16"/>
      <c r="Q763" s="16"/>
      <c r="R763" s="16"/>
      <c r="S763" s="16"/>
      <c r="T763" s="16"/>
      <c r="U763" s="16"/>
      <c r="V763" s="16"/>
      <c r="W763" s="16"/>
      <c r="X763" s="16"/>
      <c r="Y763" s="16"/>
      <c r="Z763" s="16"/>
    </row>
    <row r="764">
      <c r="A764" s="16" t="str">
        <f>IFERROR(__xludf.DUMMYFUNCTION("""COMPUTED_VALUE"""),"Old Knife")</f>
        <v>Old Knife</v>
      </c>
      <c r="B764" s="16"/>
      <c r="C764" s="16" t="str">
        <f>IFERROR(__xludf.DUMMYFUNCTION("""COMPUTED_VALUE"""),"Knife")</f>
        <v>Knife</v>
      </c>
      <c r="D764" s="16" t="str">
        <f>IFERROR(__xludf.DUMMYFUNCTION("""COMPUTED_VALUE"""),"Hand")</f>
        <v>Hand</v>
      </c>
      <c r="E764" s="16">
        <f>IFERROR(__xludf.DUMMYFUNCTION("""COMPUTED_VALUE"""),3640.0)</f>
        <v>3640</v>
      </c>
      <c r="F764" s="16" t="str">
        <f>IFERROR(__xludf.DUMMYFUNCTION("""COMPUTED_VALUE"""),"DMG: +12000, Blood DMG: +170000")</f>
        <v>DMG: +12000, Blood DMG: +170000</v>
      </c>
      <c r="G764" s="16">
        <f>IFERROR(__xludf.DUMMYFUNCTION("""COMPUTED_VALUE"""),6.6066E8)</f>
        <v>660660000</v>
      </c>
      <c r="H764" s="16"/>
      <c r="I764" s="16"/>
      <c r="J764" s="16"/>
      <c r="K764" s="16"/>
      <c r="L764" s="16"/>
      <c r="M764" s="16"/>
      <c r="N764" s="16"/>
      <c r="O764" s="16"/>
      <c r="P764" s="16"/>
      <c r="Q764" s="16"/>
      <c r="R764" s="16"/>
      <c r="S764" s="16"/>
      <c r="T764" s="16"/>
      <c r="U764" s="16"/>
      <c r="V764" s="16"/>
      <c r="W764" s="16"/>
      <c r="X764" s="16"/>
      <c r="Y764" s="16"/>
      <c r="Z764" s="16"/>
    </row>
    <row r="765">
      <c r="A765" s="16" t="str">
        <f>IFERROR(__xludf.DUMMYFUNCTION("""COMPUTED_VALUE"""),"Plunderbuss")</f>
        <v>Plunderbuss</v>
      </c>
      <c r="B765" s="16"/>
      <c r="C765" s="16" t="str">
        <f>IFERROR(__xludf.DUMMYFUNCTION("""COMPUTED_VALUE"""),"Firearm")</f>
        <v>Firearm</v>
      </c>
      <c r="D765" s="16" t="str">
        <f>IFERROR(__xludf.DUMMYFUNCTION("""COMPUTED_VALUE"""),"Hand")</f>
        <v>Hand</v>
      </c>
      <c r="E765" s="16">
        <f>IFERROR(__xludf.DUMMYFUNCTION("""COMPUTED_VALUE"""),3800.0)</f>
        <v>3800</v>
      </c>
      <c r="F765" s="16" t="str">
        <f>IFERROR(__xludf.DUMMYFUNCTION("""COMPUTED_VALUE"""),"DMG: +190000 +-Uses bullets, ++Get two of every loot drop you roll. +-Cannot be forged or duplicated")</f>
        <v>DMG: +190000 +-Uses bullets, ++Get two of every loot drop you roll. +-Cannot be forged or duplicated</v>
      </c>
      <c r="G765" s="16">
        <f>IFERROR(__xludf.DUMMYFUNCTION("""COMPUTED_VALUE"""),7.201E8)</f>
        <v>720100000</v>
      </c>
      <c r="H765" s="16"/>
      <c r="I765" s="16"/>
      <c r="J765" s="16"/>
      <c r="K765" s="16"/>
      <c r="L765" s="16"/>
      <c r="M765" s="16"/>
      <c r="N765" s="16"/>
      <c r="O765" s="16"/>
      <c r="P765" s="16"/>
      <c r="Q765" s="16"/>
      <c r="R765" s="16"/>
      <c r="S765" s="16"/>
      <c r="T765" s="16"/>
      <c r="U765" s="16"/>
      <c r="V765" s="16"/>
      <c r="W765" s="16"/>
      <c r="X765" s="16"/>
      <c r="Y765" s="16"/>
      <c r="Z765" s="16"/>
    </row>
    <row r="766">
      <c r="A766" s="16" t="str">
        <f>IFERROR(__xludf.DUMMYFUNCTION("""COMPUTED_VALUE"""),"Dragon Destroyer")</f>
        <v>Dragon Destroyer</v>
      </c>
      <c r="B766" s="16"/>
      <c r="C766" s="16" t="str">
        <f>IFERROR(__xludf.DUMMYFUNCTION("""COMPUTED_VALUE"""),"Axe")</f>
        <v>Axe</v>
      </c>
      <c r="D766" s="16" t="str">
        <f>IFERROR(__xludf.DUMMYFUNCTION("""COMPUTED_VALUE"""),"Hand")</f>
        <v>Hand</v>
      </c>
      <c r="E766" s="16">
        <f>IFERROR(__xludf.DUMMYFUNCTION("""COMPUTED_VALUE"""),6000.0)</f>
        <v>6000</v>
      </c>
      <c r="F766" s="16" t="str">
        <f>IFERROR(__xludf.DUMMYFUNCTION("""COMPUTED_VALUE"""),"DMG: +300000 ++deals unblockable damage to dragons +-Cannot be forged or duplicated")</f>
        <v>DMG: +300000 ++deals unblockable damage to dragons +-Cannot be forged or duplicated</v>
      </c>
      <c r="G766" s="16">
        <f>IFERROR(__xludf.DUMMYFUNCTION("""COMPUTED_VALUE"""),1.797E9)</f>
        <v>1797000000</v>
      </c>
      <c r="H766" s="16"/>
      <c r="I766" s="16"/>
      <c r="J766" s="16"/>
      <c r="K766" s="16"/>
      <c r="L766" s="16"/>
      <c r="M766" s="16"/>
      <c r="N766" s="16"/>
      <c r="O766" s="16"/>
      <c r="P766" s="16"/>
      <c r="Q766" s="16"/>
      <c r="R766" s="16"/>
      <c r="S766" s="16"/>
      <c r="T766" s="16"/>
      <c r="U766" s="16"/>
      <c r="V766" s="16"/>
      <c r="W766" s="16"/>
      <c r="X766" s="16"/>
      <c r="Y766" s="16"/>
      <c r="Z766" s="16"/>
    </row>
    <row r="767">
      <c r="A767" s="16" t="str">
        <f>IFERROR(__xludf.DUMMYFUNCTION("""COMPUTED_VALUE"""),"Dragonscale of Returns")</f>
        <v>Dragonscale of Returns</v>
      </c>
      <c r="B767" s="16"/>
      <c r="C767" s="16" t="str">
        <f>IFERROR(__xludf.DUMMYFUNCTION("""COMPUTED_VALUE"""),"Boomerang")</f>
        <v>Boomerang</v>
      </c>
      <c r="D767" s="16" t="str">
        <f>IFERROR(__xludf.DUMMYFUNCTION("""COMPUTED_VALUE"""),"Hand")</f>
        <v>Hand</v>
      </c>
      <c r="E767" s="16">
        <f>IFERROR(__xludf.DUMMYFUNCTION("""COMPUTED_VALUE"""),1500.0)</f>
        <v>1500</v>
      </c>
      <c r="F767" s="16" t="str">
        <f>IFERROR(__xludf.DUMMYFUNCTION("""COMPUTED_VALUE"""),"DMG: +75000 ++Receive a dragon scale when thrown at a dragon, +-Cannot be forged or duplicated")</f>
        <v>DMG: +75000 ++Receive a dragon scale when thrown at a dragon, +-Cannot be forged or duplicated</v>
      </c>
      <c r="G767" s="16">
        <f>IFERROR(__xludf.DUMMYFUNCTION("""COMPUTED_VALUE"""),1.1175E8)</f>
        <v>111750000</v>
      </c>
      <c r="H767" s="16"/>
      <c r="I767" s="16"/>
      <c r="J767" s="16"/>
      <c r="K767" s="16"/>
      <c r="L767" s="16"/>
      <c r="M767" s="16"/>
      <c r="N767" s="16"/>
      <c r="O767" s="16"/>
      <c r="P767" s="16"/>
      <c r="Q767" s="16"/>
      <c r="R767" s="16"/>
      <c r="S767" s="16"/>
      <c r="T767" s="16"/>
      <c r="U767" s="16"/>
      <c r="V767" s="16"/>
      <c r="W767" s="16"/>
      <c r="X767" s="16"/>
      <c r="Y767" s="16"/>
      <c r="Z767" s="16"/>
    </row>
    <row r="768">
      <c r="A768" s="16" t="str">
        <f>IFERROR(__xludf.DUMMYFUNCTION("""COMPUTED_VALUE"""),"Brimstone Staff")</f>
        <v>Brimstone Staff</v>
      </c>
      <c r="B768" s="16"/>
      <c r="C768" s="16" t="str">
        <f>IFERROR(__xludf.DUMMYFUNCTION("""COMPUTED_VALUE"""),"Staff")</f>
        <v>Staff</v>
      </c>
      <c r="D768" s="16" t="str">
        <f>IFERROR(__xludf.DUMMYFUNCTION("""COMPUTED_VALUE"""),"Hand")</f>
        <v>Hand</v>
      </c>
      <c r="E768" s="16">
        <f>IFERROR(__xludf.DUMMYFUNCTION("""COMPUTED_VALUE"""),4600.0)</f>
        <v>4600</v>
      </c>
      <c r="F768" s="16" t="str">
        <f>IFERROR(__xludf.DUMMYFUNCTION("""COMPUTED_VALUE"""),", Fire DMG: +230000 ++Fire spells cost half SP, +-Cannot be forged or duplicated")</f>
        <v>, Fire DMG: +230000 ++Fire spells cost half SP, +-Cannot be forged or duplicated</v>
      </c>
      <c r="G768" s="16">
        <f>IFERROR(__xludf.DUMMYFUNCTION("""COMPUTED_VALUE"""),1.0557E9)</f>
        <v>1055700000</v>
      </c>
      <c r="H768" s="16"/>
      <c r="I768" s="16"/>
      <c r="J768" s="16"/>
      <c r="K768" s="16"/>
      <c r="L768" s="16"/>
      <c r="M768" s="16"/>
      <c r="N768" s="16"/>
      <c r="O768" s="16"/>
      <c r="P768" s="16"/>
      <c r="Q768" s="16"/>
      <c r="R768" s="16"/>
      <c r="S768" s="16"/>
      <c r="T768" s="16"/>
      <c r="U768" s="16"/>
      <c r="V768" s="16"/>
      <c r="W768" s="16"/>
      <c r="X768" s="16"/>
      <c r="Y768" s="16"/>
      <c r="Z768" s="16"/>
    </row>
    <row r="769">
      <c r="A769" s="16" t="str">
        <f>IFERROR(__xludf.DUMMYFUNCTION("""COMPUTED_VALUE"""),"Eternal Ember")</f>
        <v>Eternal Ember</v>
      </c>
      <c r="B769" s="16"/>
      <c r="C769" s="16" t="str">
        <f>IFERROR(__xludf.DUMMYFUNCTION("""COMPUTED_VALUE"""),"Item")</f>
        <v>Item</v>
      </c>
      <c r="D769" s="16" t="str">
        <f>IFERROR(__xludf.DUMMYFUNCTION("""COMPUTED_VALUE"""),"Neck")</f>
        <v>Neck</v>
      </c>
      <c r="E769" s="16">
        <f>IFERROR(__xludf.DUMMYFUNCTION("""COMPUTED_VALUE"""),3000.0)</f>
        <v>3000</v>
      </c>
      <c r="F769" s="16" t="str">
        <f>IFERROR(__xludf.DUMMYFUNCTION("""COMPUTED_VALUE"""),", Fire DEF: +150000 ++If you cast a fire spell you can cast it once more in the same turn during battle for no additional SP, +-Cannot be forged or duplicated")</f>
        <v>, Fire DEF: +150000 ++If you cast a fire spell you can cast it once more in the same turn during battle for no additional SP, +-Cannot be forged or duplicated</v>
      </c>
      <c r="G769" s="16">
        <f>IFERROR(__xludf.DUMMYFUNCTION("""COMPUTED_VALUE"""),4.485E8)</f>
        <v>448500000</v>
      </c>
      <c r="H769" s="16"/>
      <c r="I769" s="16"/>
      <c r="J769" s="16"/>
      <c r="K769" s="16"/>
      <c r="L769" s="16"/>
      <c r="M769" s="16"/>
      <c r="N769" s="16"/>
      <c r="O769" s="16"/>
      <c r="P769" s="16"/>
      <c r="Q769" s="16"/>
      <c r="R769" s="16"/>
      <c r="S769" s="16"/>
      <c r="T769" s="16"/>
      <c r="U769" s="16"/>
      <c r="V769" s="16"/>
      <c r="W769" s="16"/>
      <c r="X769" s="16"/>
      <c r="Y769" s="16"/>
      <c r="Z769" s="16"/>
    </row>
    <row r="770">
      <c r="A770" s="16" t="str">
        <f>IFERROR(__xludf.DUMMYFUNCTION("""COMPUTED_VALUE"""),"Crystal Blood")</f>
        <v>Crystal Blood</v>
      </c>
      <c r="B770" s="16"/>
      <c r="C770" s="16" t="str">
        <f>IFERROR(__xludf.DUMMYFUNCTION("""COMPUTED_VALUE"""),"Item")</f>
        <v>Item</v>
      </c>
      <c r="D770" s="16" t="str">
        <f>IFERROR(__xludf.DUMMYFUNCTION("""COMPUTED_VALUE"""),"Neck")</f>
        <v>Neck</v>
      </c>
      <c r="E770" s="16">
        <f>IFERROR(__xludf.DUMMYFUNCTION("""COMPUTED_VALUE"""),1.0)</f>
        <v>1</v>
      </c>
      <c r="F770" s="16" t="str">
        <f>IFERROR(__xludf.DUMMYFUNCTION("""COMPUTED_VALUE""")," ++Wearer's first non-XHP cost blood spell of the battle has no HP cost , +-Cannot be forged or duplicated")</f>
        <v> ++Wearer's first non-XHP cost blood spell of the battle has no HP cost , +-Cannot be forged or duplicated</v>
      </c>
      <c r="G770" s="16">
        <f>IFERROR(__xludf.DUMMYFUNCTION("""COMPUTED_VALUE"""),0.0)</f>
        <v>0</v>
      </c>
      <c r="H770" s="16"/>
      <c r="I770" s="16"/>
      <c r="J770" s="16"/>
      <c r="K770" s="16"/>
      <c r="L770" s="16"/>
      <c r="M770" s="16"/>
      <c r="N770" s="16"/>
      <c r="O770" s="16"/>
      <c r="P770" s="16"/>
      <c r="Q770" s="16"/>
      <c r="R770" s="16"/>
      <c r="S770" s="16"/>
      <c r="T770" s="16"/>
      <c r="U770" s="16"/>
      <c r="V770" s="16"/>
      <c r="W770" s="16"/>
      <c r="X770" s="16"/>
      <c r="Y770" s="16"/>
      <c r="Z770" s="16"/>
    </row>
    <row r="771">
      <c r="A771" s="16" t="str">
        <f>IFERROR(__xludf.DUMMYFUNCTION("""COMPUTED_VALUE"""),"Ultimate Gamble")</f>
        <v>Ultimate Gamble</v>
      </c>
      <c r="B771" s="16"/>
      <c r="C771" s="16" t="str">
        <f>IFERROR(__xludf.DUMMYFUNCTION("""COMPUTED_VALUE"""),"Sword")</f>
        <v>Sword</v>
      </c>
      <c r="D771" s="16" t="str">
        <f>IFERROR(__xludf.DUMMYFUNCTION("""COMPUTED_VALUE"""),"Hand")</f>
        <v>Hand</v>
      </c>
      <c r="E771" s="16">
        <f>IFERROR(__xludf.DUMMYFUNCTION("""COMPUTED_VALUE"""),12000.0)</f>
        <v>12000</v>
      </c>
      <c r="F771" s="16" t="str">
        <f>IFERROR(__xludf.DUMMYFUNCTION("""COMPUTED_VALUE"""),"DMG: +600000 ++Make a Fail/Succeed roll while attacking with this weapon, Success = this weapon becomes unblockable this turn, +-Fail = attack yourself with this weapon.")</f>
        <v>DMG: +600000 ++Make a Fail/Succeed roll while attacking with this weapon, Success = this weapon becomes unblockable this turn, +-Fail = attack yourself with this weapon.</v>
      </c>
      <c r="G771" s="16">
        <f>IFERROR(__xludf.DUMMYFUNCTION("""COMPUTED_VALUE"""),7.194E9)</f>
        <v>7194000000</v>
      </c>
      <c r="H771" s="16"/>
      <c r="I771" s="16"/>
      <c r="J771" s="16"/>
      <c r="K771" s="16"/>
      <c r="L771" s="16"/>
      <c r="M771" s="16"/>
      <c r="N771" s="16"/>
      <c r="O771" s="16"/>
      <c r="P771" s="16"/>
      <c r="Q771" s="16"/>
      <c r="R771" s="16"/>
      <c r="S771" s="16"/>
      <c r="T771" s="16"/>
      <c r="U771" s="16"/>
      <c r="V771" s="16"/>
      <c r="W771" s="16"/>
      <c r="X771" s="16"/>
      <c r="Y771" s="16"/>
      <c r="Z771" s="16"/>
    </row>
    <row r="772">
      <c r="A772" s="16" t="str">
        <f>IFERROR(__xludf.DUMMYFUNCTION("""COMPUTED_VALUE"""),"Awakened Evil")</f>
        <v>Awakened Evil</v>
      </c>
      <c r="B772" s="16"/>
      <c r="C772" s="16" t="str">
        <f>IFERROR(__xludf.DUMMYFUNCTION("""COMPUTED_VALUE"""),"Claw")</f>
        <v>Claw</v>
      </c>
      <c r="D772" s="16" t="str">
        <f>IFERROR(__xludf.DUMMYFUNCTION("""COMPUTED_VALUE"""),"Hand")</f>
        <v>Hand</v>
      </c>
      <c r="E772" s="16">
        <f>IFERROR(__xludf.DUMMYFUNCTION("""COMPUTED_VALUE"""),9000.0)</f>
        <v>9000</v>
      </c>
      <c r="F772" s="16" t="str">
        <f>IFERROR(__xludf.DUMMYFUNCTION("""COMPUTED_VALUE"""),"DMG: +450000")</f>
        <v>DMG: +450000</v>
      </c>
      <c r="G772" s="16">
        <f>IFERROR(__xludf.DUMMYFUNCTION("""COMPUTED_VALUE"""),4.0455E9)</f>
        <v>4045500000</v>
      </c>
      <c r="H772" s="16"/>
      <c r="I772" s="16"/>
      <c r="J772" s="16"/>
      <c r="K772" s="16"/>
      <c r="L772" s="16"/>
      <c r="M772" s="16"/>
      <c r="N772" s="16"/>
      <c r="O772" s="16"/>
      <c r="P772" s="16"/>
      <c r="Q772" s="16"/>
      <c r="R772" s="16"/>
      <c r="S772" s="16"/>
      <c r="T772" s="16"/>
      <c r="U772" s="16"/>
      <c r="V772" s="16"/>
      <c r="W772" s="16"/>
      <c r="X772" s="16"/>
      <c r="Y772" s="16"/>
      <c r="Z772" s="16"/>
    </row>
    <row r="773">
      <c r="A773" s="16" t="str">
        <f>IFERROR(__xludf.DUMMYFUNCTION("""COMPUTED_VALUE"""),"Soldier's Charge")</f>
        <v>Soldier's Charge</v>
      </c>
      <c r="B773" s="16"/>
      <c r="C773" s="16" t="str">
        <f>IFERROR(__xludf.DUMMYFUNCTION("""COMPUTED_VALUE"""),"Firearm")</f>
        <v>Firearm</v>
      </c>
      <c r="D773" s="16" t="str">
        <f>IFERROR(__xludf.DUMMYFUNCTION("""COMPUTED_VALUE"""),"Hand")</f>
        <v>Hand</v>
      </c>
      <c r="E773" s="16">
        <f>IFERROR(__xludf.DUMMYFUNCTION("""COMPUTED_VALUE"""),4400.0)</f>
        <v>4400</v>
      </c>
      <c r="F773" s="16" t="str">
        <f>IFERROR(__xludf.DUMMYFUNCTION("""COMPUTED_VALUE"""),"DMG: +60000, Fire DMG: +60000, Spirit DMG: +100000")</f>
        <v>DMG: +60000, Fire DMG: +60000, Spirit DMG: +100000</v>
      </c>
      <c r="G773" s="16">
        <f>IFERROR(__xludf.DUMMYFUNCTION("""COMPUTED_VALUE"""),9.658E8)</f>
        <v>965800000</v>
      </c>
      <c r="H773" s="16"/>
      <c r="I773" s="16"/>
      <c r="J773" s="16"/>
      <c r="K773" s="16"/>
      <c r="L773" s="16"/>
      <c r="M773" s="16"/>
      <c r="N773" s="16"/>
      <c r="O773" s="16"/>
      <c r="P773" s="16"/>
      <c r="Q773" s="16"/>
      <c r="R773" s="16"/>
      <c r="S773" s="16"/>
      <c r="T773" s="16"/>
      <c r="U773" s="16"/>
      <c r="V773" s="16"/>
      <c r="W773" s="16"/>
      <c r="X773" s="16"/>
      <c r="Y773" s="16"/>
      <c r="Z773" s="16"/>
    </row>
    <row r="774">
      <c r="A774" s="16" t="str">
        <f>IFERROR(__xludf.DUMMYFUNCTION("""COMPUTED_VALUE"""),"Weight of Sin")</f>
        <v>Weight of Sin</v>
      </c>
      <c r="B774" s="16"/>
      <c r="C774" s="16" t="str">
        <f>IFERROR(__xludf.DUMMYFUNCTION("""COMPUTED_VALUE"""),"Item")</f>
        <v>Item</v>
      </c>
      <c r="D774" s="16" t="str">
        <f>IFERROR(__xludf.DUMMYFUNCTION("""COMPUTED_VALUE"""),"Torso")</f>
        <v>Torso</v>
      </c>
      <c r="E774" s="16">
        <f>IFERROR(__xludf.DUMMYFUNCTION("""COMPUTED_VALUE"""),11200.0)</f>
        <v>11200</v>
      </c>
      <c r="F774" s="16" t="str">
        <f>IFERROR(__xludf.DUMMYFUNCTION("""COMPUTED_VALUE"""),"DEF: +560000 +-Always go last in turn order, +-Cannot be removed")</f>
        <v>DEF: +560000 +-Always go last in turn order, +-Cannot be removed</v>
      </c>
      <c r="G774" s="16">
        <f>IFERROR(__xludf.DUMMYFUNCTION("""COMPUTED_VALUE"""),6.2664E9)</f>
        <v>6266400000</v>
      </c>
      <c r="H774" s="16"/>
      <c r="I774" s="16"/>
      <c r="J774" s="16"/>
      <c r="K774" s="16"/>
      <c r="L774" s="16"/>
      <c r="M774" s="16"/>
      <c r="N774" s="16"/>
      <c r="O774" s="16"/>
      <c r="P774" s="16"/>
      <c r="Q774" s="16"/>
      <c r="R774" s="16"/>
      <c r="S774" s="16"/>
      <c r="T774" s="16"/>
      <c r="U774" s="16"/>
      <c r="V774" s="16"/>
      <c r="W774" s="16"/>
      <c r="X774" s="16"/>
      <c r="Y774" s="16"/>
      <c r="Z774" s="16"/>
    </row>
    <row r="775">
      <c r="A775" s="16" t="str">
        <f>IFERROR(__xludf.DUMMYFUNCTION("""COMPUTED_VALUE"""),"Volcano's Summit")</f>
        <v>Volcano's Summit</v>
      </c>
      <c r="B775" s="16"/>
      <c r="C775" s="16" t="str">
        <f>IFERROR(__xludf.DUMMYFUNCTION("""COMPUTED_VALUE"""),"Item")</f>
        <v>Item</v>
      </c>
      <c r="D775" s="16" t="str">
        <f>IFERROR(__xludf.DUMMYFUNCTION("""COMPUTED_VALUE"""),"Head")</f>
        <v>Head</v>
      </c>
      <c r="E775" s="16">
        <f>IFERROR(__xludf.DUMMYFUNCTION("""COMPUTED_VALUE"""),4000.0)</f>
        <v>4000</v>
      </c>
      <c r="F775" s="16" t="str">
        <f>IFERROR(__xludf.DUMMYFUNCTION("""COMPUTED_VALUE"""),", Fire DEF: +200000 ++X2 Fire damage")</f>
        <v>, Fire DEF: +200000 ++X2 Fire damage</v>
      </c>
      <c r="G775" s="16">
        <f>IFERROR(__xludf.DUMMYFUNCTION("""COMPUTED_VALUE"""),7.98E8)</f>
        <v>798000000</v>
      </c>
      <c r="H775" s="16"/>
      <c r="I775" s="16"/>
      <c r="J775" s="16"/>
      <c r="K775" s="16"/>
      <c r="L775" s="16"/>
      <c r="M775" s="16"/>
      <c r="N775" s="16"/>
      <c r="O775" s="16"/>
      <c r="P775" s="16"/>
      <c r="Q775" s="16"/>
      <c r="R775" s="16"/>
      <c r="S775" s="16"/>
      <c r="T775" s="16"/>
      <c r="U775" s="16"/>
      <c r="V775" s="16"/>
      <c r="W775" s="16"/>
      <c r="X775" s="16"/>
      <c r="Y775" s="16"/>
      <c r="Z775" s="16"/>
    </row>
    <row r="776">
      <c r="A776" s="16" t="str">
        <f>IFERROR(__xludf.DUMMYFUNCTION("""COMPUTED_VALUE"""),"Long Distance Loveletter")</f>
        <v>Long Distance Loveletter</v>
      </c>
      <c r="B776" s="16"/>
      <c r="C776" s="16" t="str">
        <f>IFERROR(__xludf.DUMMYFUNCTION("""COMPUTED_VALUE"""),"Firearm")</f>
        <v>Firearm</v>
      </c>
      <c r="D776" s="16" t="str">
        <f>IFERROR(__xludf.DUMMYFUNCTION("""COMPUTED_VALUE"""),"Hand")</f>
        <v>Hand</v>
      </c>
      <c r="E776" s="16">
        <f>IFERROR(__xludf.DUMMYFUNCTION("""COMPUTED_VALUE"""),12000.0)</f>
        <v>12000</v>
      </c>
      <c r="F776" s="16" t="str">
        <f>IFERROR(__xludf.DUMMYFUNCTION("""COMPUTED_VALUE"""),"DMG: +600000 ++10% chance for 1 enemy to become an ally at the beginning of battle.")</f>
        <v>DMG: +600000 ++10% chance for 1 enemy to become an ally at the beginning of battle.</v>
      </c>
      <c r="G776" s="16">
        <f>IFERROR(__xludf.DUMMYFUNCTION("""COMPUTED_VALUE"""),7.194E9)</f>
        <v>7194000000</v>
      </c>
      <c r="H776" s="16"/>
      <c r="I776" s="16"/>
      <c r="J776" s="16"/>
      <c r="K776" s="16"/>
      <c r="L776" s="16"/>
      <c r="M776" s="16"/>
      <c r="N776" s="16"/>
      <c r="O776" s="16"/>
      <c r="P776" s="16"/>
      <c r="Q776" s="16"/>
      <c r="R776" s="16"/>
      <c r="S776" s="16"/>
      <c r="T776" s="16"/>
      <c r="U776" s="16"/>
      <c r="V776" s="16"/>
      <c r="W776" s="16"/>
      <c r="X776" s="16"/>
      <c r="Y776" s="16"/>
      <c r="Z776" s="16"/>
    </row>
    <row r="777">
      <c r="A777" s="16" t="str">
        <f>IFERROR(__xludf.DUMMYFUNCTION("""COMPUTED_VALUE"""),"Cursed Child's Hatchet")</f>
        <v>Cursed Child's Hatchet</v>
      </c>
      <c r="B777" s="16"/>
      <c r="C777" s="16" t="str">
        <f>IFERROR(__xludf.DUMMYFUNCTION("""COMPUTED_VALUE"""),"Axe")</f>
        <v>Axe</v>
      </c>
      <c r="D777" s="16" t="str">
        <f>IFERROR(__xludf.DUMMYFUNCTION("""COMPUTED_VALUE"""),"Hand")</f>
        <v>Hand</v>
      </c>
      <c r="E777" s="16">
        <f>IFERROR(__xludf.DUMMYFUNCTION("""COMPUTED_VALUE"""),3000.0)</f>
        <v>3000</v>
      </c>
      <c r="F777" s="16" t="str">
        <f>IFERROR(__xludf.DUMMYFUNCTION("""COMPUTED_VALUE"""),"DMG: +150000 +- 15% chance of attacking a random ally")</f>
        <v>DMG: +150000 +- 15% chance of attacking a random ally</v>
      </c>
      <c r="G777" s="16">
        <f>IFERROR(__xludf.DUMMYFUNCTION("""COMPUTED_VALUE"""),4.485E8)</f>
        <v>448500000</v>
      </c>
      <c r="H777" s="16"/>
      <c r="I777" s="16"/>
      <c r="J777" s="16"/>
      <c r="K777" s="16"/>
      <c r="L777" s="16"/>
      <c r="M777" s="16"/>
      <c r="N777" s="16"/>
      <c r="O777" s="16"/>
      <c r="P777" s="16"/>
      <c r="Q777" s="16"/>
      <c r="R777" s="16"/>
      <c r="S777" s="16"/>
      <c r="T777" s="16"/>
      <c r="U777" s="16"/>
      <c r="V777" s="16"/>
      <c r="W777" s="16"/>
      <c r="X777" s="16"/>
      <c r="Y777" s="16"/>
      <c r="Z777" s="16"/>
    </row>
    <row r="778">
      <c r="A778" s="16" t="str">
        <f>IFERROR(__xludf.DUMMYFUNCTION("""COMPUTED_VALUE"""),"Helm of Lost Hope")</f>
        <v>Helm of Lost Hope</v>
      </c>
      <c r="B778" s="16"/>
      <c r="C778" s="16" t="str">
        <f>IFERROR(__xludf.DUMMYFUNCTION("""COMPUTED_VALUE"""),"Item")</f>
        <v>Item</v>
      </c>
      <c r="D778" s="16" t="str">
        <f>IFERROR(__xludf.DUMMYFUNCTION("""COMPUTED_VALUE"""),"Head")</f>
        <v>Head</v>
      </c>
      <c r="E778" s="16">
        <f>IFERROR(__xludf.DUMMYFUNCTION("""COMPUTED_VALUE"""),6800.0)</f>
        <v>6800</v>
      </c>
      <c r="F778" s="16" t="str">
        <f>IFERROR(__xludf.DUMMYFUNCTION("""COMPUTED_VALUE"""),"DEF: +340000")</f>
        <v>DEF: +340000</v>
      </c>
      <c r="G778" s="16">
        <f>IFERROR(__xludf.DUMMYFUNCTION("""COMPUTED_VALUE"""),2.3086E9)</f>
        <v>2308600000</v>
      </c>
      <c r="H778" s="16"/>
      <c r="I778" s="16"/>
      <c r="J778" s="16"/>
      <c r="K778" s="16"/>
      <c r="L778" s="16"/>
      <c r="M778" s="16"/>
      <c r="N778" s="16"/>
      <c r="O778" s="16"/>
      <c r="P778" s="16"/>
      <c r="Q778" s="16"/>
      <c r="R778" s="16"/>
      <c r="S778" s="16"/>
      <c r="T778" s="16"/>
      <c r="U778" s="16"/>
      <c r="V778" s="16"/>
      <c r="W778" s="16"/>
      <c r="X778" s="16"/>
      <c r="Y778" s="16"/>
      <c r="Z778" s="16"/>
    </row>
    <row r="779">
      <c r="A779" s="16" t="str">
        <f>IFERROR(__xludf.DUMMYFUNCTION("""COMPUTED_VALUE"""),"Cursed Shield")</f>
        <v>Cursed Shield</v>
      </c>
      <c r="B779" s="16"/>
      <c r="C779" s="16" t="str">
        <f>IFERROR(__xludf.DUMMYFUNCTION("""COMPUTED_VALUE"""),"Towershield")</f>
        <v>Towershield</v>
      </c>
      <c r="D779" s="16" t="str">
        <f>IFERROR(__xludf.DUMMYFUNCTION("""COMPUTED_VALUE"""),"Hand")</f>
        <v>Hand</v>
      </c>
      <c r="E779" s="16">
        <f>IFERROR(__xludf.DUMMYFUNCTION("""COMPUTED_VALUE"""),3200.0)</f>
        <v>3200</v>
      </c>
      <c r="F779" s="16" t="str">
        <f>IFERROR(__xludf.DUMMYFUNCTION("""COMPUTED_VALUE"""),"DEF: +160000 +-Unequipping destroys the item")</f>
        <v>DEF: +160000 +-Unequipping destroys the item</v>
      </c>
      <c r="G779" s="16">
        <f>IFERROR(__xludf.DUMMYFUNCTION("""COMPUTED_VALUE"""),5.104E8)</f>
        <v>510400000</v>
      </c>
      <c r="H779" s="16"/>
      <c r="I779" s="16"/>
      <c r="J779" s="16"/>
      <c r="K779" s="16"/>
      <c r="L779" s="16"/>
      <c r="M779" s="16"/>
      <c r="N779" s="16"/>
      <c r="O779" s="16"/>
      <c r="P779" s="16"/>
      <c r="Q779" s="16"/>
      <c r="R779" s="16"/>
      <c r="S779" s="16"/>
      <c r="T779" s="16"/>
      <c r="U779" s="16"/>
      <c r="V779" s="16"/>
      <c r="W779" s="16"/>
      <c r="X779" s="16"/>
      <c r="Y779" s="16"/>
      <c r="Z779" s="16"/>
    </row>
    <row r="780">
      <c r="A780" s="16" t="str">
        <f>IFERROR(__xludf.DUMMYFUNCTION("""COMPUTED_VALUE"""),"Dragonscale Buckler")</f>
        <v>Dragonscale Buckler</v>
      </c>
      <c r="B780" s="16"/>
      <c r="C780" s="16" t="str">
        <f>IFERROR(__xludf.DUMMYFUNCTION("""COMPUTED_VALUE"""),"Buckler")</f>
        <v>Buckler</v>
      </c>
      <c r="D780" s="16" t="str">
        <f>IFERROR(__xludf.DUMMYFUNCTION("""COMPUTED_VALUE"""),"Hand")</f>
        <v>Hand</v>
      </c>
      <c r="E780" s="16">
        <f>IFERROR(__xludf.DUMMYFUNCTION("""COMPUTED_VALUE"""),2140.0)</f>
        <v>2140</v>
      </c>
      <c r="F780" s="16" t="str">
        <f>IFERROR(__xludf.DUMMYFUNCTION("""COMPUTED_VALUE"""),"DEF: +107000")</f>
        <v>DEF: +107000</v>
      </c>
      <c r="G780" s="16">
        <f>IFERROR(__xludf.DUMMYFUNCTION("""COMPUTED_VALUE"""),2.2791E8)</f>
        <v>227910000</v>
      </c>
      <c r="H780" s="16"/>
      <c r="I780" s="16"/>
      <c r="J780" s="16"/>
      <c r="K780" s="16"/>
      <c r="L780" s="16"/>
      <c r="M780" s="16"/>
      <c r="N780" s="16"/>
      <c r="O780" s="16"/>
      <c r="P780" s="16"/>
      <c r="Q780" s="16"/>
      <c r="R780" s="16"/>
      <c r="S780" s="16"/>
      <c r="T780" s="16"/>
      <c r="U780" s="16"/>
      <c r="V780" s="16"/>
      <c r="W780" s="16"/>
      <c r="X780" s="16"/>
      <c r="Y780" s="16"/>
      <c r="Z780" s="16"/>
    </row>
    <row r="781">
      <c r="A781" s="16" t="str">
        <f>IFERROR(__xludf.DUMMYFUNCTION("""COMPUTED_VALUE"""),"Magma Trident")</f>
        <v>Magma Trident</v>
      </c>
      <c r="B781" s="16"/>
      <c r="C781" s="16" t="str">
        <f>IFERROR(__xludf.DUMMYFUNCTION("""COMPUTED_VALUE"""),"Spear")</f>
        <v>Spear</v>
      </c>
      <c r="D781" s="16" t="str">
        <f>IFERROR(__xludf.DUMMYFUNCTION("""COMPUTED_VALUE"""),"Hand")</f>
        <v>Hand</v>
      </c>
      <c r="E781" s="16">
        <f>IFERROR(__xludf.DUMMYFUNCTION("""COMPUTED_VALUE"""),4000.0)</f>
        <v>4000</v>
      </c>
      <c r="F781" s="16" t="str">
        <f>IFERROR(__xludf.DUMMYFUNCTION("""COMPUTED_VALUE"""),"DMG: +100000, Fire DMG: +100000")</f>
        <v>DMG: +100000, Fire DMG: +100000</v>
      </c>
      <c r="G781" s="16">
        <f>IFERROR(__xludf.DUMMYFUNCTION("""COMPUTED_VALUE"""),7.98E8)</f>
        <v>798000000</v>
      </c>
      <c r="H781" s="16"/>
      <c r="I781" s="16"/>
      <c r="J781" s="16"/>
      <c r="K781" s="16"/>
      <c r="L781" s="16"/>
      <c r="M781" s="16"/>
      <c r="N781" s="16"/>
      <c r="O781" s="16"/>
      <c r="P781" s="16"/>
      <c r="Q781" s="16"/>
      <c r="R781" s="16"/>
      <c r="S781" s="16"/>
      <c r="T781" s="16"/>
      <c r="U781" s="16"/>
      <c r="V781" s="16"/>
      <c r="W781" s="16"/>
      <c r="X781" s="16"/>
      <c r="Y781" s="16"/>
      <c r="Z781" s="16"/>
    </row>
    <row r="782">
      <c r="A782" s="16" t="str">
        <f>IFERROR(__xludf.DUMMYFUNCTION("""COMPUTED_VALUE"""),"Bonemerang")</f>
        <v>Bonemerang</v>
      </c>
      <c r="B782" s="16"/>
      <c r="C782" s="16" t="str">
        <f>IFERROR(__xludf.DUMMYFUNCTION("""COMPUTED_VALUE"""),"Boomerang")</f>
        <v>Boomerang</v>
      </c>
      <c r="D782" s="16" t="str">
        <f>IFERROR(__xludf.DUMMYFUNCTION("""COMPUTED_VALUE"""),"Hand")</f>
        <v>Hand</v>
      </c>
      <c r="E782" s="16">
        <f>IFERROR(__xludf.DUMMYFUNCTION("""COMPUTED_VALUE"""),5200.0)</f>
        <v>5200</v>
      </c>
      <c r="F782" s="16" t="str">
        <f>IFERROR(__xludf.DUMMYFUNCTION("""COMPUTED_VALUE"""),"DMG: +250000, Chaos DMG: +10000")</f>
        <v>DMG: +250000, Chaos DMG: +10000</v>
      </c>
      <c r="G782" s="16">
        <f>IFERROR(__xludf.DUMMYFUNCTION("""COMPUTED_VALUE"""),1.3494E9)</f>
        <v>1349400000</v>
      </c>
      <c r="H782" s="16"/>
      <c r="I782" s="16"/>
      <c r="J782" s="16"/>
      <c r="K782" s="16"/>
      <c r="L782" s="16"/>
      <c r="M782" s="16"/>
      <c r="N782" s="16"/>
      <c r="O782" s="16"/>
      <c r="P782" s="16"/>
      <c r="Q782" s="16"/>
      <c r="R782" s="16"/>
      <c r="S782" s="16"/>
      <c r="T782" s="16"/>
      <c r="U782" s="16"/>
      <c r="V782" s="16"/>
      <c r="W782" s="16"/>
      <c r="X782" s="16"/>
      <c r="Y782" s="16"/>
      <c r="Z782" s="16"/>
    </row>
    <row r="783">
      <c r="A783" s="16" t="str">
        <f>IFERROR(__xludf.DUMMYFUNCTION("""COMPUTED_VALUE"""),"Blamerang")</f>
        <v>Blamerang</v>
      </c>
      <c r="B783" s="16"/>
      <c r="C783" s="16" t="str">
        <f>IFERROR(__xludf.DUMMYFUNCTION("""COMPUTED_VALUE"""),"Boomerang")</f>
        <v>Boomerang</v>
      </c>
      <c r="D783" s="16" t="str">
        <f>IFERROR(__xludf.DUMMYFUNCTION("""COMPUTED_VALUE"""),"Hand")</f>
        <v>Hand</v>
      </c>
      <c r="E783" s="16">
        <f>IFERROR(__xludf.DUMMYFUNCTION("""COMPUTED_VALUE"""),4400.0)</f>
        <v>4400</v>
      </c>
      <c r="F783" s="16" t="str">
        <f>IFERROR(__xludf.DUMMYFUNCTION("""COMPUTED_VALUE"""),"DMG: +20000, Fire DMG: +200000 ++Explodes when thrown at an enemy, hitting other enemies")</f>
        <v>DMG: +20000, Fire DMG: +200000 ++Explodes when thrown at an enemy, hitting other enemies</v>
      </c>
      <c r="G783" s="16">
        <f>IFERROR(__xludf.DUMMYFUNCTION("""COMPUTED_VALUE"""),9.658E8)</f>
        <v>965800000</v>
      </c>
      <c r="H783" s="16"/>
      <c r="I783" s="16"/>
      <c r="J783" s="16"/>
      <c r="K783" s="16"/>
      <c r="L783" s="16"/>
      <c r="M783" s="16"/>
      <c r="N783" s="16"/>
      <c r="O783" s="16"/>
      <c r="P783" s="16"/>
      <c r="Q783" s="16"/>
      <c r="R783" s="16"/>
      <c r="S783" s="16"/>
      <c r="T783" s="16"/>
      <c r="U783" s="16"/>
      <c r="V783" s="16"/>
      <c r="W783" s="16"/>
      <c r="X783" s="16"/>
      <c r="Y783" s="16"/>
      <c r="Z783" s="16"/>
    </row>
    <row r="784">
      <c r="A784" s="16" t="str">
        <f>IFERROR(__xludf.DUMMYFUNCTION("""COMPUTED_VALUE"""),"Condemned Bow")</f>
        <v>Condemned Bow</v>
      </c>
      <c r="B784" s="16"/>
      <c r="C784" s="16" t="str">
        <f>IFERROR(__xludf.DUMMYFUNCTION("""COMPUTED_VALUE"""),"Bow")</f>
        <v>Bow</v>
      </c>
      <c r="D784" s="16" t="str">
        <f>IFERROR(__xludf.DUMMYFUNCTION("""COMPUTED_VALUE"""),"Hand")</f>
        <v>Hand</v>
      </c>
      <c r="E784" s="16">
        <f>IFERROR(__xludf.DUMMYFUNCTION("""COMPUTED_VALUE"""),6000.0)</f>
        <v>6000</v>
      </c>
      <c r="F784" s="16" t="str">
        <f>IFERROR(__xludf.DUMMYFUNCTION("""COMPUTED_VALUE"""),"DMG: +300000 +-5% chance for the DM to take control of your turn")</f>
        <v>DMG: +300000 +-5% chance for the DM to take control of your turn</v>
      </c>
      <c r="G784" s="16">
        <f>IFERROR(__xludf.DUMMYFUNCTION("""COMPUTED_VALUE"""),1.797E9)</f>
        <v>1797000000</v>
      </c>
      <c r="H784" s="16"/>
      <c r="I784" s="16"/>
      <c r="J784" s="16"/>
      <c r="K784" s="16"/>
      <c r="L784" s="16"/>
      <c r="M784" s="16"/>
      <c r="N784" s="16"/>
      <c r="O784" s="16"/>
      <c r="P784" s="16"/>
      <c r="Q784" s="16"/>
      <c r="R784" s="16"/>
      <c r="S784" s="16"/>
      <c r="T784" s="16"/>
      <c r="U784" s="16"/>
      <c r="V784" s="16"/>
      <c r="W784" s="16"/>
      <c r="X784" s="16"/>
      <c r="Y784" s="16"/>
      <c r="Z784" s="16"/>
    </row>
    <row r="785">
      <c r="A785" s="16" t="str">
        <f>IFERROR(__xludf.DUMMYFUNCTION("""COMPUTED_VALUE"""),"Ancient Blacksmith's Soul In A Bottle")</f>
        <v>Ancient Blacksmith's Soul In A Bottle</v>
      </c>
      <c r="B785" s="16"/>
      <c r="C785" s="16" t="str">
        <f>IFERROR(__xludf.DUMMYFUNCTION("""COMPUTED_VALUE"""),"Item")</f>
        <v>Item</v>
      </c>
      <c r="D785" s="16" t="str">
        <f>IFERROR(__xludf.DUMMYFUNCTION("""COMPUTED_VALUE"""),"Neck")</f>
        <v>Neck</v>
      </c>
      <c r="E785" s="16">
        <f>IFERROR(__xludf.DUMMYFUNCTION("""COMPUTED_VALUE"""),1.0)</f>
        <v>1</v>
      </c>
      <c r="F785" s="16" t="str">
        <f>IFERROR(__xludf.DUMMYFUNCTION("""COMPUTED_VALUE""")," ++Forged Weapons deal *X damage, where X is equal to a quarter of the forge amount, if the multiplier is not a whole number, round down to the nearest whole number. X20 Max ")</f>
        <v> ++Forged Weapons deal *X damage, where X is equal to a quarter of the forge amount, if the multiplier is not a whole number, round down to the nearest whole number. X20 Max </v>
      </c>
      <c r="G785" s="16">
        <f>IFERROR(__xludf.DUMMYFUNCTION("""COMPUTED_VALUE"""),0.0)</f>
        <v>0</v>
      </c>
      <c r="H785" s="16"/>
      <c r="I785" s="16"/>
      <c r="J785" s="16"/>
      <c r="K785" s="16"/>
      <c r="L785" s="16"/>
      <c r="M785" s="16"/>
      <c r="N785" s="16"/>
      <c r="O785" s="16"/>
      <c r="P785" s="16"/>
      <c r="Q785" s="16"/>
      <c r="R785" s="16"/>
      <c r="S785" s="16"/>
      <c r="T785" s="16"/>
      <c r="U785" s="16"/>
      <c r="V785" s="16"/>
      <c r="W785" s="16"/>
      <c r="X785" s="16"/>
      <c r="Y785" s="16"/>
      <c r="Z785" s="16"/>
    </row>
    <row r="786">
      <c r="A786" s="16" t="str">
        <f>IFERROR(__xludf.DUMMYFUNCTION("""COMPUTED_VALUE"""),"Ancient Breeder's Soul In A Bottle")</f>
        <v>Ancient Breeder's Soul In A Bottle</v>
      </c>
      <c r="B786" s="16"/>
      <c r="C786" s="16" t="str">
        <f>IFERROR(__xludf.DUMMYFUNCTION("""COMPUTED_VALUE"""),"Item")</f>
        <v>Item</v>
      </c>
      <c r="D786" s="16" t="str">
        <f>IFERROR(__xludf.DUMMYFUNCTION("""COMPUTED_VALUE"""),"Neck")</f>
        <v>Neck</v>
      </c>
      <c r="E786" s="16">
        <f>IFERROR(__xludf.DUMMYFUNCTION("""COMPUTED_VALUE"""),1.0)</f>
        <v>1</v>
      </c>
      <c r="F786" s="16" t="str">
        <f>IFERROR(__xludf.DUMMYFUNCTION("""COMPUTED_VALUE""")," ++All creatures hatched from an egg deal X5 damage of all types.")</f>
        <v> ++All creatures hatched from an egg deal X5 damage of all types.</v>
      </c>
      <c r="G786" s="16">
        <f>IFERROR(__xludf.DUMMYFUNCTION("""COMPUTED_VALUE"""),0.0)</f>
        <v>0</v>
      </c>
      <c r="H786" s="16"/>
      <c r="I786" s="16"/>
      <c r="J786" s="16"/>
      <c r="K786" s="16"/>
      <c r="L786" s="16"/>
      <c r="M786" s="16"/>
      <c r="N786" s="16"/>
      <c r="O786" s="16"/>
      <c r="P786" s="16"/>
      <c r="Q786" s="16"/>
      <c r="R786" s="16"/>
      <c r="S786" s="16"/>
      <c r="T786" s="16"/>
      <c r="U786" s="16"/>
      <c r="V786" s="16"/>
      <c r="W786" s="16"/>
      <c r="X786" s="16"/>
      <c r="Y786" s="16"/>
      <c r="Z786" s="16"/>
    </row>
    <row r="787">
      <c r="A787" s="16" t="str">
        <f>IFERROR(__xludf.DUMMYFUNCTION("""COMPUTED_VALUE"""),"Ancient Crafter's Soul In A Bottle")</f>
        <v>Ancient Crafter's Soul In A Bottle</v>
      </c>
      <c r="B787" s="16"/>
      <c r="C787" s="16" t="str">
        <f>IFERROR(__xludf.DUMMYFUNCTION("""COMPUTED_VALUE"""),"Item")</f>
        <v>Item</v>
      </c>
      <c r="D787" s="16" t="str">
        <f>IFERROR(__xludf.DUMMYFUNCTION("""COMPUTED_VALUE"""),"Neck")</f>
        <v>Neck</v>
      </c>
      <c r="E787" s="16">
        <f>IFERROR(__xludf.DUMMYFUNCTION("""COMPUTED_VALUE"""),1.0)</f>
        <v>1</v>
      </c>
      <c r="F787" s="16" t="str">
        <f>IFERROR(__xludf.DUMMYFUNCTION("""COMPUTED_VALUE""")," ++Triples all crafting materials gathered")</f>
        <v> ++Triples all crafting materials gathered</v>
      </c>
      <c r="G787" s="16">
        <f>IFERROR(__xludf.DUMMYFUNCTION("""COMPUTED_VALUE"""),0.0)</f>
        <v>0</v>
      </c>
      <c r="H787" s="16"/>
      <c r="I787" s="16"/>
      <c r="J787" s="16"/>
      <c r="K787" s="16"/>
      <c r="L787" s="16"/>
      <c r="M787" s="16"/>
      <c r="N787" s="16"/>
      <c r="O787" s="16"/>
      <c r="P787" s="16"/>
      <c r="Q787" s="16"/>
      <c r="R787" s="16"/>
      <c r="S787" s="16"/>
      <c r="T787" s="16"/>
      <c r="U787" s="16"/>
      <c r="V787" s="16"/>
      <c r="W787" s="16"/>
      <c r="X787" s="16"/>
      <c r="Y787" s="16"/>
      <c r="Z787" s="16"/>
    </row>
    <row r="788">
      <c r="A788" s="16" t="str">
        <f>IFERROR(__xludf.DUMMYFUNCTION("""COMPUTED_VALUE"""),"Ancient Alchemist's Soul In A Bottle")</f>
        <v>Ancient Alchemist's Soul In A Bottle</v>
      </c>
      <c r="B788" s="16"/>
      <c r="C788" s="16" t="str">
        <f>IFERROR(__xludf.DUMMYFUNCTION("""COMPUTED_VALUE"""),"Item")</f>
        <v>Item</v>
      </c>
      <c r="D788" s="16" t="str">
        <f>IFERROR(__xludf.DUMMYFUNCTION("""COMPUTED_VALUE"""),"Neck")</f>
        <v>Neck</v>
      </c>
      <c r="E788" s="16">
        <f>IFERROR(__xludf.DUMMYFUNCTION("""COMPUTED_VALUE"""),1.0)</f>
        <v>1</v>
      </c>
      <c r="F788" s="16" t="str">
        <f>IFERROR(__xludf.DUMMYFUNCTION("""COMPUTED_VALUE""")," ++Doubles the effect of all herbs and potions")</f>
        <v> ++Doubles the effect of all herbs and potions</v>
      </c>
      <c r="G788" s="16">
        <f>IFERROR(__xludf.DUMMYFUNCTION("""COMPUTED_VALUE"""),0.0)</f>
        <v>0</v>
      </c>
      <c r="H788" s="16"/>
      <c r="I788" s="16"/>
      <c r="J788" s="16"/>
      <c r="K788" s="16"/>
      <c r="L788" s="16"/>
      <c r="M788" s="16"/>
      <c r="N788" s="16"/>
      <c r="O788" s="16"/>
      <c r="P788" s="16"/>
      <c r="Q788" s="16"/>
      <c r="R788" s="16"/>
      <c r="S788" s="16"/>
      <c r="T788" s="16"/>
      <c r="U788" s="16"/>
      <c r="V788" s="16"/>
      <c r="W788" s="16"/>
      <c r="X788" s="16"/>
      <c r="Y788" s="16"/>
      <c r="Z788" s="16"/>
    </row>
    <row r="789">
      <c r="A789" s="16" t="str">
        <f>IFERROR(__xludf.DUMMYFUNCTION("""COMPUTED_VALUE"""),"Ancient Farmer's Soul In A Bottle")</f>
        <v>Ancient Farmer's Soul In A Bottle</v>
      </c>
      <c r="B789" s="16"/>
      <c r="C789" s="16" t="str">
        <f>IFERROR(__xludf.DUMMYFUNCTION("""COMPUTED_VALUE"""),"Item")</f>
        <v>Item</v>
      </c>
      <c r="D789" s="16" t="str">
        <f>IFERROR(__xludf.DUMMYFUNCTION("""COMPUTED_VALUE"""),"Neck")</f>
        <v>Neck</v>
      </c>
      <c r="E789" s="16">
        <f>IFERROR(__xludf.DUMMYFUNCTION("""COMPUTED_VALUE"""),1.0)</f>
        <v>1</v>
      </c>
      <c r="F789" s="16" t="str">
        <f>IFERROR(__xludf.DUMMYFUNCTION("""COMPUTED_VALUE""")," ++Doubles all items harvested from your farms")</f>
        <v> ++Doubles all items harvested from your farms</v>
      </c>
      <c r="G789" s="16">
        <f>IFERROR(__xludf.DUMMYFUNCTION("""COMPUTED_VALUE"""),0.0)</f>
        <v>0</v>
      </c>
      <c r="H789" s="16"/>
      <c r="I789" s="16"/>
      <c r="J789" s="16"/>
      <c r="K789" s="16"/>
      <c r="L789" s="16"/>
      <c r="M789" s="16"/>
      <c r="N789" s="16"/>
      <c r="O789" s="16"/>
      <c r="P789" s="16"/>
      <c r="Q789" s="16"/>
      <c r="R789" s="16"/>
      <c r="S789" s="16"/>
      <c r="T789" s="16"/>
      <c r="U789" s="16"/>
      <c r="V789" s="16"/>
      <c r="W789" s="16"/>
      <c r="X789" s="16"/>
      <c r="Y789" s="16"/>
      <c r="Z789" s="16"/>
    </row>
    <row r="790">
      <c r="A790" s="16" t="str">
        <f>IFERROR(__xludf.DUMMYFUNCTION("""COMPUTED_VALUE"""),"Ancient Chef's Soul In A Bottle")</f>
        <v>Ancient Chef's Soul In A Bottle</v>
      </c>
      <c r="B790" s="16"/>
      <c r="C790" s="16" t="str">
        <f>IFERROR(__xludf.DUMMYFUNCTION("""COMPUTED_VALUE"""),"Item")</f>
        <v>Item</v>
      </c>
      <c r="D790" s="16" t="str">
        <f>IFERROR(__xludf.DUMMYFUNCTION("""COMPUTED_VALUE"""),"Neck")</f>
        <v>Neck</v>
      </c>
      <c r="E790" s="16">
        <f>IFERROR(__xludf.DUMMYFUNCTION("""COMPUTED_VALUE"""),1.0)</f>
        <v>1</v>
      </c>
      <c r="F790" s="16" t="str">
        <f>IFERROR(__xludf.DUMMYFUNCTION("""COMPUTED_VALUE""")," ++Doubles the effect of all food items cooked")</f>
        <v> ++Doubles the effect of all food items cooked</v>
      </c>
      <c r="G790" s="16">
        <f>IFERROR(__xludf.DUMMYFUNCTION("""COMPUTED_VALUE"""),0.0)</f>
        <v>0</v>
      </c>
      <c r="H790" s="16"/>
      <c r="I790" s="16"/>
      <c r="J790" s="16"/>
      <c r="K790" s="16"/>
      <c r="L790" s="16"/>
      <c r="M790" s="16"/>
      <c r="N790" s="16"/>
      <c r="O790" s="16"/>
      <c r="P790" s="16"/>
      <c r="Q790" s="16"/>
      <c r="R790" s="16"/>
      <c r="S790" s="16"/>
      <c r="T790" s="16"/>
      <c r="U790" s="16"/>
      <c r="V790" s="16"/>
      <c r="W790" s="16"/>
      <c r="X790" s="16"/>
      <c r="Y790" s="16"/>
      <c r="Z790" s="16"/>
    </row>
    <row r="791">
      <c r="A791" s="16" t="str">
        <f>IFERROR(__xludf.DUMMYFUNCTION("""COMPUTED_VALUE"""),"Ancient Miner's Soul In A Bottle")</f>
        <v>Ancient Miner's Soul In A Bottle</v>
      </c>
      <c r="B791" s="16"/>
      <c r="C791" s="16" t="str">
        <f>IFERROR(__xludf.DUMMYFUNCTION("""COMPUTED_VALUE"""),"Item")</f>
        <v>Item</v>
      </c>
      <c r="D791" s="16" t="str">
        <f>IFERROR(__xludf.DUMMYFUNCTION("""COMPUTED_VALUE"""),"Neck")</f>
        <v>Neck</v>
      </c>
      <c r="E791" s="16">
        <f>IFERROR(__xludf.DUMMYFUNCTION("""COMPUTED_VALUE"""),1.0)</f>
        <v>1</v>
      </c>
      <c r="F791" s="16" t="str">
        <f>IFERROR(__xludf.DUMMYFUNCTION("""COMPUTED_VALUE""")," ++Doubles all minerals obtained while mining")</f>
        <v> ++Doubles all minerals obtained while mining</v>
      </c>
      <c r="G791" s="16">
        <f>IFERROR(__xludf.DUMMYFUNCTION("""COMPUTED_VALUE"""),0.0)</f>
        <v>0</v>
      </c>
      <c r="H791" s="16"/>
      <c r="I791" s="16"/>
      <c r="J791" s="16"/>
      <c r="K791" s="16"/>
      <c r="L791" s="16"/>
      <c r="M791" s="16"/>
      <c r="N791" s="16"/>
      <c r="O791" s="16"/>
      <c r="P791" s="16"/>
      <c r="Q791" s="16"/>
      <c r="R791" s="16"/>
      <c r="S791" s="16"/>
      <c r="T791" s="16"/>
      <c r="U791" s="16"/>
      <c r="V791" s="16"/>
      <c r="W791" s="16"/>
      <c r="X791" s="16"/>
      <c r="Y791" s="16"/>
      <c r="Z791" s="16"/>
    </row>
    <row r="792">
      <c r="A792" s="16" t="str">
        <f>IFERROR(__xludf.DUMMYFUNCTION("""COMPUTED_VALUE"""),"Ancient Spira Guard's Soul In A Bottle")</f>
        <v>Ancient Spira Guard's Soul In A Bottle</v>
      </c>
      <c r="B792" s="16"/>
      <c r="C792" s="16" t="str">
        <f>IFERROR(__xludf.DUMMYFUNCTION("""COMPUTED_VALUE"""),"Item")</f>
        <v>Item</v>
      </c>
      <c r="D792" s="16" t="str">
        <f>IFERROR(__xludf.DUMMYFUNCTION("""COMPUTED_VALUE"""),"Neck")</f>
        <v>Neck</v>
      </c>
      <c r="E792" s="16">
        <f>IFERROR(__xludf.DUMMYFUNCTION("""COMPUTED_VALUE"""),1.0)</f>
        <v>1</v>
      </c>
      <c r="F792" s="16" t="str">
        <f>IFERROR(__xludf.DUMMYFUNCTION("""COMPUTED_VALUE""")," ++Add +5 to all rolls to arrest")</f>
        <v> ++Add +5 to all rolls to arrest</v>
      </c>
      <c r="G792" s="16">
        <f>IFERROR(__xludf.DUMMYFUNCTION("""COMPUTED_VALUE"""),0.0)</f>
        <v>0</v>
      </c>
      <c r="H792" s="16"/>
      <c r="I792" s="16"/>
      <c r="J792" s="16"/>
      <c r="K792" s="16"/>
      <c r="L792" s="16"/>
      <c r="M792" s="16"/>
      <c r="N792" s="16"/>
      <c r="O792" s="16"/>
      <c r="P792" s="16"/>
      <c r="Q792" s="16"/>
      <c r="R792" s="16"/>
      <c r="S792" s="16"/>
      <c r="T792" s="16"/>
      <c r="U792" s="16"/>
      <c r="V792" s="16"/>
      <c r="W792" s="16"/>
      <c r="X792" s="16"/>
      <c r="Y792" s="16"/>
      <c r="Z792" s="16"/>
    </row>
    <row r="793">
      <c r="A793" s="16" t="str">
        <f>IFERROR(__xludf.DUMMYFUNCTION("""COMPUTED_VALUE"""),"Ancient Fisherman's Soul In A Bottle")</f>
        <v>Ancient Fisherman's Soul In A Bottle</v>
      </c>
      <c r="B793" s="16"/>
      <c r="C793" s="16" t="str">
        <f>IFERROR(__xludf.DUMMYFUNCTION("""COMPUTED_VALUE"""),"Item")</f>
        <v>Item</v>
      </c>
      <c r="D793" s="16" t="str">
        <f>IFERROR(__xludf.DUMMYFUNCTION("""COMPUTED_VALUE"""),"Neck")</f>
        <v>Neck</v>
      </c>
      <c r="E793" s="16">
        <f>IFERROR(__xludf.DUMMYFUNCTION("""COMPUTED_VALUE"""),1.0)</f>
        <v>1</v>
      </c>
      <c r="F793" s="16" t="str">
        <f>IFERROR(__xludf.DUMMYFUNCTION("""COMPUTED_VALUE""")," ++Doubles all fish obtained while fishing")</f>
        <v> ++Doubles all fish obtained while fishing</v>
      </c>
      <c r="G793" s="16">
        <f>IFERROR(__xludf.DUMMYFUNCTION("""COMPUTED_VALUE"""),0.0)</f>
        <v>0</v>
      </c>
      <c r="H793" s="16"/>
      <c r="I793" s="16"/>
      <c r="J793" s="16"/>
      <c r="K793" s="16"/>
      <c r="L793" s="16"/>
      <c r="M793" s="16"/>
      <c r="N793" s="16"/>
      <c r="O793" s="16"/>
      <c r="P793" s="16"/>
      <c r="Q793" s="16"/>
      <c r="R793" s="16"/>
      <c r="S793" s="16"/>
      <c r="T793" s="16"/>
      <c r="U793" s="16"/>
      <c r="V793" s="16"/>
      <c r="W793" s="16"/>
      <c r="X793" s="16"/>
      <c r="Y793" s="16"/>
      <c r="Z793" s="16"/>
    </row>
    <row r="794">
      <c r="A794" s="16" t="str">
        <f>IFERROR(__xludf.DUMMYFUNCTION("""COMPUTED_VALUE"""),"The Thumper")</f>
        <v>The Thumper</v>
      </c>
      <c r="B794" s="16"/>
      <c r="C794" s="16" t="str">
        <f>IFERROR(__xludf.DUMMYFUNCTION("""COMPUTED_VALUE"""),"Firearm")</f>
        <v>Firearm</v>
      </c>
      <c r="D794" s="16" t="str">
        <f>IFERROR(__xludf.DUMMYFUNCTION("""COMPUTED_VALUE"""),"Hand")</f>
        <v>Hand</v>
      </c>
      <c r="E794" s="16">
        <f>IFERROR(__xludf.DUMMYFUNCTION("""COMPUTED_VALUE"""),200.0)</f>
        <v>200</v>
      </c>
      <c r="F794" s="16" t="str">
        <f>IFERROR(__xludf.DUMMYFUNCTION("""COMPUTED_VALUE"""),"Dmg: +5000, Physical Dmg: +5000 ++Fires 3 Grenades, +-Uses Grenades as Ammo +-Cannot Be Forged or Duplicated")</f>
        <v>Dmg: +5000, Physical Dmg: +5000 ++Fires 3 Grenades, +-Uses Grenades as Ammo +-Cannot Be Forged or Duplicated</v>
      </c>
      <c r="G794" s="16">
        <f>IFERROR(__xludf.DUMMYFUNCTION("""COMPUTED_VALUE"""),1900000.0)</f>
        <v>1900000</v>
      </c>
      <c r="H794" s="16"/>
      <c r="I794" s="16"/>
      <c r="J794" s="16"/>
      <c r="K794" s="16"/>
      <c r="L794" s="16"/>
      <c r="M794" s="16"/>
      <c r="N794" s="16"/>
      <c r="O794" s="16"/>
      <c r="P794" s="16"/>
      <c r="Q794" s="16"/>
      <c r="R794" s="16"/>
      <c r="S794" s="16"/>
      <c r="T794" s="16"/>
      <c r="U794" s="16"/>
      <c r="V794" s="16"/>
      <c r="W794" s="16"/>
      <c r="X794" s="16"/>
      <c r="Y794" s="16"/>
      <c r="Z794" s="16"/>
    </row>
    <row r="795">
      <c r="A795" s="16" t="str">
        <f>IFERROR(__xludf.DUMMYFUNCTION("""COMPUTED_VALUE"""),"Undead King's Sword")</f>
        <v>Undead King's Sword</v>
      </c>
      <c r="B795" s="16"/>
      <c r="C795" s="16" t="str">
        <f>IFERROR(__xludf.DUMMYFUNCTION("""COMPUTED_VALUE"""),"Sword")</f>
        <v>Sword</v>
      </c>
      <c r="D795" s="16" t="str">
        <f>IFERROR(__xludf.DUMMYFUNCTION("""COMPUTED_VALUE"""),"Hand")</f>
        <v>Hand</v>
      </c>
      <c r="E795" s="16">
        <f>IFERROR(__xludf.DUMMYFUNCTION("""COMPUTED_VALUE"""),1.0)</f>
        <v>1</v>
      </c>
      <c r="F795" s="16"/>
      <c r="G795" s="16">
        <f>IFERROR(__xludf.DUMMYFUNCTION("""COMPUTED_VALUE"""),0.0)</f>
        <v>0</v>
      </c>
      <c r="H795" s="16"/>
      <c r="I795" s="16"/>
      <c r="J795" s="16"/>
      <c r="K795" s="16"/>
      <c r="L795" s="16"/>
      <c r="M795" s="16"/>
      <c r="N795" s="16"/>
      <c r="O795" s="16"/>
      <c r="P795" s="16"/>
      <c r="Q795" s="16"/>
      <c r="R795" s="16"/>
      <c r="S795" s="16"/>
      <c r="T795" s="16"/>
      <c r="U795" s="16"/>
      <c r="V795" s="16"/>
      <c r="W795" s="16"/>
      <c r="X795" s="16"/>
      <c r="Y795" s="16"/>
      <c r="Z795" s="16"/>
    </row>
    <row r="796">
      <c r="A796" s="16" t="str">
        <f>IFERROR(__xludf.DUMMYFUNCTION("""COMPUTED_VALUE"""),"Trapper's Monocle")</f>
        <v>Trapper's Monocle</v>
      </c>
      <c r="B796" s="16"/>
      <c r="C796" s="16" t="str">
        <f>IFERROR(__xludf.DUMMYFUNCTION("""COMPUTED_VALUE"""),"Item")</f>
        <v>Item</v>
      </c>
      <c r="D796" s="16" t="str">
        <f>IFERROR(__xludf.DUMMYFUNCTION("""COMPUTED_VALUE"""),"Head")</f>
        <v>Head</v>
      </c>
      <c r="E796" s="16">
        <f>IFERROR(__xludf.DUMMYFUNCTION("""COMPUTED_VALUE"""),1.0)</f>
        <v>1</v>
      </c>
      <c r="F796" s="16" t="str">
        <f>IFERROR(__xludf.DUMMYFUNCTION("""COMPUTED_VALUE""")," ++5 to any roll to disarm or avoid a trap.")</f>
        <v> ++5 to any roll to disarm or avoid a trap.</v>
      </c>
      <c r="G796" s="16">
        <f>IFERROR(__xludf.DUMMYFUNCTION("""COMPUTED_VALUE"""),0.0)</f>
        <v>0</v>
      </c>
      <c r="H796" s="16"/>
      <c r="I796" s="16"/>
      <c r="J796" s="16"/>
      <c r="K796" s="16"/>
      <c r="L796" s="16"/>
      <c r="M796" s="16"/>
      <c r="N796" s="16"/>
      <c r="O796" s="16"/>
      <c r="P796" s="16"/>
      <c r="Q796" s="16"/>
      <c r="R796" s="16"/>
      <c r="S796" s="16"/>
      <c r="T796" s="16"/>
      <c r="U796" s="16"/>
      <c r="V796" s="16"/>
      <c r="W796" s="16"/>
      <c r="X796" s="16"/>
      <c r="Y796" s="16"/>
      <c r="Z796" s="16"/>
    </row>
    <row r="797">
      <c r="A797" s="16" t="str">
        <f>IFERROR(__xludf.DUMMYFUNCTION("""COMPUTED_VALUE"""),"Dragon's Dogma")</f>
        <v>Dragon's Dogma</v>
      </c>
      <c r="B797" s="16"/>
      <c r="C797" s="16" t="str">
        <f>IFERROR(__xludf.DUMMYFUNCTION("""COMPUTED_VALUE"""),"Sword")</f>
        <v>Sword</v>
      </c>
      <c r="D797" s="16" t="str">
        <f>IFERROR(__xludf.DUMMYFUNCTION("""COMPUTED_VALUE"""),"Hand")</f>
        <v>Hand</v>
      </c>
      <c r="E797" s="16">
        <f>IFERROR(__xludf.DUMMYFUNCTION("""COMPUTED_VALUE"""),200.0)</f>
        <v>200</v>
      </c>
      <c r="F797" s="16" t="str">
        <f>IFERROR(__xludf.DUMMYFUNCTION("""COMPUTED_VALUE"""),"DMG: +250000, Celestial DMG: +50000 TBD")</f>
        <v>DMG: +250000, Celestial DMG: +50000 TBD</v>
      </c>
      <c r="G797" s="16">
        <f>IFERROR(__xludf.DUMMYFUNCTION("""COMPUTED_VALUE"""),1.797E9)</f>
        <v>1797000000</v>
      </c>
      <c r="H797" s="16"/>
      <c r="I797" s="16"/>
      <c r="J797" s="16"/>
      <c r="K797" s="16"/>
      <c r="L797" s="16"/>
      <c r="M797" s="16"/>
      <c r="N797" s="16"/>
      <c r="O797" s="16"/>
      <c r="P797" s="16"/>
      <c r="Q797" s="16"/>
      <c r="R797" s="16"/>
      <c r="S797" s="16"/>
      <c r="T797" s="16"/>
      <c r="U797" s="16"/>
      <c r="V797" s="16"/>
      <c r="W797" s="16"/>
      <c r="X797" s="16"/>
      <c r="Y797" s="16"/>
      <c r="Z797" s="16"/>
    </row>
    <row r="798">
      <c r="A798" s="16" t="str">
        <f>IFERROR(__xludf.DUMMYFUNCTION("""COMPUTED_VALUE"""),"Dragon's Dread")</f>
        <v>Dragon's Dread</v>
      </c>
      <c r="B798" s="16"/>
      <c r="C798" s="16" t="str">
        <f>IFERROR(__xludf.DUMMYFUNCTION("""COMPUTED_VALUE"""),"Bow")</f>
        <v>Bow</v>
      </c>
      <c r="D798" s="16" t="str">
        <f>IFERROR(__xludf.DUMMYFUNCTION("""COMPUTED_VALUE"""),"Hand")</f>
        <v>Hand</v>
      </c>
      <c r="E798" s="16">
        <f>IFERROR(__xludf.DUMMYFUNCTION("""COMPUTED_VALUE"""),200.0)</f>
        <v>200</v>
      </c>
      <c r="F798" s="16" t="str">
        <f>IFERROR(__xludf.DUMMYFUNCTION("""COMPUTED_VALUE"""),"DMG: +50000, Fire DMG: +50000, Water DMG: +50000, Storm DMG: +50000, Earth DMG: +50000, Light DMG: +50000, Dark DMG: +50000, Order DMG: +50000, Chaos DMG: +50000, Nature DMG: +50000, Delta DMG: +50000, Celestial DMG: +50000 TBD")</f>
        <v>DMG: +50000, Fire DMG: +50000, Water DMG: +50000, Storm DMG: +50000, Earth DMG: +50000, Light DMG: +50000, Dark DMG: +50000, Order DMG: +50000, Chaos DMG: +50000, Nature DMG: +50000, Delta DMG: +50000, Celestial DMG: +50000 TBD</v>
      </c>
      <c r="G798" s="16">
        <f>IFERROR(__xludf.DUMMYFUNCTION("""COMPUTED_VALUE"""),7.194E9)</f>
        <v>7194000000</v>
      </c>
      <c r="H798" s="16"/>
      <c r="I798" s="16"/>
      <c r="J798" s="16"/>
      <c r="K798" s="16"/>
      <c r="L798" s="16"/>
      <c r="M798" s="16"/>
      <c r="N798" s="16"/>
      <c r="O798" s="16"/>
      <c r="P798" s="16"/>
      <c r="Q798" s="16"/>
      <c r="R798" s="16"/>
      <c r="S798" s="16"/>
      <c r="T798" s="16"/>
      <c r="U798" s="16"/>
      <c r="V798" s="16"/>
      <c r="W798" s="16"/>
      <c r="X798" s="16"/>
      <c r="Y798" s="16"/>
      <c r="Z798" s="16"/>
    </row>
    <row r="799">
      <c r="A799" s="16" t="str">
        <f>IFERROR(__xludf.DUMMYFUNCTION("""COMPUTED_VALUE"""),"Dragon's Dream Breaker")</f>
        <v>Dragon's Dream Breaker</v>
      </c>
      <c r="B799" s="16"/>
      <c r="C799" s="16" t="str">
        <f>IFERROR(__xludf.DUMMYFUNCTION("""COMPUTED_VALUE"""),"Claw")</f>
        <v>Claw</v>
      </c>
      <c r="D799" s="16" t="str">
        <f>IFERROR(__xludf.DUMMYFUNCTION("""COMPUTED_VALUE"""),"Hand")</f>
        <v>Hand</v>
      </c>
      <c r="E799" s="16">
        <f>IFERROR(__xludf.DUMMYFUNCTION("""COMPUTED_VALUE"""),200.0)</f>
        <v>200</v>
      </c>
      <c r="F799" s="16" t="str">
        <f>IFERROR(__xludf.DUMMYFUNCTION("""COMPUTED_VALUE"""),"DMG: +600000, Celestial DMG: +600000 TBD")</f>
        <v>DMG: +600000, Celestial DMG: +600000 TBD</v>
      </c>
      <c r="G799" s="16">
        <f>IFERROR(__xludf.DUMMYFUNCTION("""COMPUTED_VALUE"""),2.8788E10)</f>
        <v>28788000000</v>
      </c>
      <c r="H799" s="16"/>
      <c r="I799" s="16"/>
      <c r="J799" s="16"/>
      <c r="K799" s="16"/>
      <c r="L799" s="16"/>
      <c r="M799" s="16"/>
      <c r="N799" s="16"/>
      <c r="O799" s="16"/>
      <c r="P799" s="16"/>
      <c r="Q799" s="16"/>
      <c r="R799" s="16"/>
      <c r="S799" s="16"/>
      <c r="T799" s="16"/>
      <c r="U799" s="16"/>
      <c r="V799" s="16"/>
      <c r="W799" s="16"/>
      <c r="X799" s="16"/>
      <c r="Y799" s="16"/>
      <c r="Z799" s="16"/>
    </row>
    <row r="800">
      <c r="A800" s="16" t="str">
        <f>IFERROR(__xludf.DUMMYFUNCTION("""COMPUTED_VALUE"""),"Dragon's Draught")</f>
        <v>Dragon's Draught</v>
      </c>
      <c r="B800" s="16"/>
      <c r="C800" s="16" t="str">
        <f>IFERROR(__xludf.DUMMYFUNCTION("""COMPUTED_VALUE"""),"Staff")</f>
        <v>Staff</v>
      </c>
      <c r="D800" s="16" t="str">
        <f>IFERROR(__xludf.DUMMYFUNCTION("""COMPUTED_VALUE"""),"Hand")</f>
        <v>Hand</v>
      </c>
      <c r="E800" s="16">
        <f>IFERROR(__xludf.DUMMYFUNCTION("""COMPUTED_VALUE"""),1.0)</f>
        <v>1</v>
      </c>
      <c r="F800" s="16" t="str">
        <f>IFERROR(__xludf.DUMMYFUNCTION("""COMPUTED_VALUE""")," TBD")</f>
        <v> TBD</v>
      </c>
      <c r="G800" s="16">
        <f>IFERROR(__xludf.DUMMYFUNCTION("""COMPUTED_VALUE"""),0.0)</f>
        <v>0</v>
      </c>
      <c r="H800" s="16"/>
      <c r="I800" s="16"/>
      <c r="J800" s="16"/>
      <c r="K800" s="16"/>
      <c r="L800" s="16"/>
      <c r="M800" s="16"/>
      <c r="N800" s="16"/>
      <c r="O800" s="16"/>
      <c r="P800" s="16"/>
      <c r="Q800" s="16"/>
      <c r="R800" s="16"/>
      <c r="S800" s="16"/>
      <c r="T800" s="16"/>
      <c r="U800" s="16"/>
      <c r="V800" s="16"/>
      <c r="W800" s="16"/>
      <c r="X800" s="16"/>
      <c r="Y800" s="16"/>
      <c r="Z800" s="16"/>
    </row>
    <row r="801">
      <c r="A801" s="16" t="str">
        <f>IFERROR(__xludf.DUMMYFUNCTION("""COMPUTED_VALUE"""),"Dragon's Damnation")</f>
        <v>Dragon's Damnation</v>
      </c>
      <c r="B801" s="16"/>
      <c r="C801" s="16" t="str">
        <f>IFERROR(__xludf.DUMMYFUNCTION("""COMPUTED_VALUE"""),"Gauntlet")</f>
        <v>Gauntlet</v>
      </c>
      <c r="D801" s="16" t="str">
        <f>IFERROR(__xludf.DUMMYFUNCTION("""COMPUTED_VALUE"""),"Hand")</f>
        <v>Hand</v>
      </c>
      <c r="E801" s="16">
        <f>IFERROR(__xludf.DUMMYFUNCTION("""COMPUTED_VALUE"""),200.0)</f>
        <v>200</v>
      </c>
      <c r="F801" s="16" t="str">
        <f>IFERROR(__xludf.DUMMYFUNCTION("""COMPUTED_VALUE"""),"DEF: +100000, Fire DEF: +100000, Water DEF: +100000, Storm DEF: +100000, Earth DEF: +100000, Light DEF: +100000, Dark DEF: +100000, Order DEF: +100000, Chaos DEF: +100000, Nature DEF: +100000, Delta DEF: +100000, Celestial DEF: +100000 TBD")</f>
        <v>DEF: +100000, Fire DEF: +100000, Water DEF: +100000, Storm DEF: +100000, Earth DEF: +100000, Light DEF: +100000, Dark DEF: +100000, Order DEF: +100000, Chaos DEF: +100000, Nature DEF: +100000, Delta DEF: +100000, Celestial DEF: +100000 TBD</v>
      </c>
      <c r="G801" s="16">
        <f>IFERROR(__xludf.DUMMYFUNCTION("""COMPUTED_VALUE"""),2.8788E10)</f>
        <v>28788000000</v>
      </c>
      <c r="H801" s="16"/>
      <c r="I801" s="16"/>
      <c r="J801" s="16"/>
      <c r="K801" s="16"/>
      <c r="L801" s="16"/>
      <c r="M801" s="16"/>
      <c r="N801" s="16"/>
      <c r="O801" s="16"/>
      <c r="P801" s="16"/>
      <c r="Q801" s="16"/>
      <c r="R801" s="16"/>
      <c r="S801" s="16"/>
      <c r="T801" s="16"/>
      <c r="U801" s="16"/>
      <c r="V801" s="16"/>
      <c r="W801" s="16"/>
      <c r="X801" s="16"/>
      <c r="Y801" s="16"/>
      <c r="Z801" s="16"/>
    </row>
    <row r="802">
      <c r="A802" s="16" t="str">
        <f>IFERROR(__xludf.DUMMYFUNCTION("""COMPUTED_VALUE"""),"Dragon's Destruction")</f>
        <v>Dragon's Destruction</v>
      </c>
      <c r="B802" s="16"/>
      <c r="C802" s="16" t="str">
        <f>IFERROR(__xludf.DUMMYFUNCTION("""COMPUTED_VALUE"""),"Spear")</f>
        <v>Spear</v>
      </c>
      <c r="D802" s="16" t="str">
        <f>IFERROR(__xludf.DUMMYFUNCTION("""COMPUTED_VALUE"""),"Hand")</f>
        <v>Hand</v>
      </c>
      <c r="E802" s="16">
        <f>IFERROR(__xludf.DUMMYFUNCTION("""COMPUTED_VALUE"""),200.0)</f>
        <v>200</v>
      </c>
      <c r="F802" s="16" t="str">
        <f>IFERROR(__xludf.DUMMYFUNCTION("""COMPUTED_VALUE"""),"DMG: +400000, Fire DMG: +100000, Water DMG: +100000, Storm DMG: +100000, Earth DMG: +100000, Light DMG: +150000, Dark DMG: +150000, Spirit DMG: +100000, Order DMG: +150000, Chaos DMG: +150000, Nature DMG: +100000, Voodoo DMG: +100000, Blood DMG: +100000, "&amp;"Delta DMG: +100000, Zen DMG: +100000, Time DMG: +100000, Astral DMG: +100000, Celestial DMG: +100000, Acoustic DMG: +100000 TBD")</f>
        <v>DMG: +400000, Fire DMG: +100000, Water DMG: +100000, Storm DMG: +100000, Earth DMG: +100000, Light DMG: +150000, Dark DMG: +150000, Spirit DMG: +100000, Order DMG: +150000, Chaos DMG: +150000, Nature DMG: +100000, Voodoo DMG: +100000, Blood DMG: +100000, Delta DMG: +100000, Zen DMG: +100000, Time DMG: +100000, Astral DMG: +100000, Celestial DMG: +100000, Acoustic DMG: +100000 TBD</v>
      </c>
      <c r="G802" s="16">
        <f>IFERROR(__xludf.DUMMYFUNCTION("""COMPUTED_VALUE"""),2.8788E10)</f>
        <v>28788000000</v>
      </c>
      <c r="H802" s="16"/>
      <c r="I802" s="16"/>
      <c r="J802" s="16"/>
      <c r="K802" s="16"/>
      <c r="L802" s="16"/>
      <c r="M802" s="16"/>
      <c r="N802" s="16"/>
      <c r="O802" s="16"/>
      <c r="P802" s="16"/>
      <c r="Q802" s="16"/>
      <c r="R802" s="16"/>
      <c r="S802" s="16"/>
      <c r="T802" s="16"/>
      <c r="U802" s="16"/>
      <c r="V802" s="16"/>
      <c r="W802" s="16"/>
      <c r="X802" s="16"/>
      <c r="Y802" s="16"/>
      <c r="Z802" s="16"/>
    </row>
    <row r="803">
      <c r="A803" s="16" t="str">
        <f>IFERROR(__xludf.DUMMYFUNCTION("""COMPUTED_VALUE"""),"Confining Collar")</f>
        <v>Confining Collar</v>
      </c>
      <c r="B803" s="16" t="str">
        <f>IFERROR(__xludf.DUMMYFUNCTION("""COMPUTED_VALUE"""),"A cursed collar found around the neck of the Dragonscale dungeon inmates, it slowly stangulates the wearer until they die.")</f>
        <v>A cursed collar found around the neck of the Dragonscale dungeon inmates, it slowly stangulates the wearer until they die.</v>
      </c>
      <c r="C803" s="16" t="str">
        <f>IFERROR(__xludf.DUMMYFUNCTION("""COMPUTED_VALUE"""),"Item")</f>
        <v>Item</v>
      </c>
      <c r="D803" s="16" t="str">
        <f>IFERROR(__xludf.DUMMYFUNCTION("""COMPUTED_VALUE"""),"Neck")</f>
        <v>Neck</v>
      </c>
      <c r="E803" s="16">
        <f>IFERROR(__xludf.DUMMYFUNCTION("""COMPUTED_VALUE"""),100.0)</f>
        <v>100</v>
      </c>
      <c r="F803" s="16" t="str">
        <f>IFERROR(__xludf.DUMMYFUNCTION("""COMPUTED_VALUE"""),"DEF: +5000 +-5 to all rolls, +-Upon being worn can only be removed after 15 days of travel")</f>
        <v>DEF: +5000 +-5 to all rolls, +-Upon being worn can only be removed after 15 days of travel</v>
      </c>
      <c r="G803" s="16">
        <f>IFERROR(__xludf.DUMMYFUNCTION("""COMPUTED_VALUE"""),450000.0)</f>
        <v>450000</v>
      </c>
      <c r="H803" s="16"/>
      <c r="I803" s="16"/>
      <c r="J803" s="16"/>
      <c r="K803" s="16"/>
      <c r="L803" s="16"/>
      <c r="M803" s="16"/>
      <c r="N803" s="16"/>
      <c r="O803" s="16"/>
      <c r="P803" s="16"/>
      <c r="Q803" s="16"/>
      <c r="R803" s="16"/>
      <c r="S803" s="16"/>
      <c r="T803" s="16"/>
      <c r="U803" s="16"/>
      <c r="V803" s="16"/>
      <c r="W803" s="16"/>
      <c r="X803" s="16"/>
      <c r="Y803" s="16"/>
      <c r="Z803" s="16"/>
    </row>
    <row r="804">
      <c r="A804" s="16" t="str">
        <f>IFERROR(__xludf.DUMMYFUNCTION("""COMPUTED_VALUE"""),"Shiv")</f>
        <v>Shiv</v>
      </c>
      <c r="B804" s="16"/>
      <c r="C804" s="16" t="str">
        <f>IFERROR(__xludf.DUMMYFUNCTION("""COMPUTED_VALUE"""),"Knife")</f>
        <v>Knife</v>
      </c>
      <c r="D804" s="16" t="str">
        <f>IFERROR(__xludf.DUMMYFUNCTION("""COMPUTED_VALUE"""),"Hand")</f>
        <v>Hand</v>
      </c>
      <c r="E804" s="16">
        <f>IFERROR(__xludf.DUMMYFUNCTION("""COMPUTED_VALUE"""),4000.0)</f>
        <v>4000</v>
      </c>
      <c r="F804" s="16" t="str">
        <f>IFERROR(__xludf.DUMMYFUNCTION("""COMPUTED_VALUE"""),"DMG: +200000 ++has a 5% chance to give a random disease to any creature hit with this weapon.")</f>
        <v>DMG: +200000 ++has a 5% chance to give a random disease to any creature hit with this weapon.</v>
      </c>
      <c r="G804" s="16">
        <f>IFERROR(__xludf.DUMMYFUNCTION("""COMPUTED_VALUE"""),7.98E8)</f>
        <v>798000000</v>
      </c>
      <c r="H804" s="16"/>
      <c r="I804" s="16"/>
      <c r="J804" s="16"/>
      <c r="K804" s="16"/>
      <c r="L804" s="16"/>
      <c r="M804" s="16"/>
      <c r="N804" s="16"/>
      <c r="O804" s="16"/>
      <c r="P804" s="16"/>
      <c r="Q804" s="16"/>
      <c r="R804" s="16"/>
      <c r="S804" s="16"/>
      <c r="T804" s="16"/>
      <c r="U804" s="16"/>
      <c r="V804" s="16"/>
      <c r="W804" s="16"/>
      <c r="X804" s="16"/>
      <c r="Y804" s="16"/>
      <c r="Z804" s="16"/>
    </row>
    <row r="805">
      <c r="A805" s="16" t="str">
        <f>IFERROR(__xludf.DUMMYFUNCTION("""COMPUTED_VALUE"""),"Inmate's Cap")</f>
        <v>Inmate's Cap</v>
      </c>
      <c r="B805" s="16"/>
      <c r="C805" s="16" t="str">
        <f>IFERROR(__xludf.DUMMYFUNCTION("""COMPUTED_VALUE"""),"Item")</f>
        <v>Item</v>
      </c>
      <c r="D805" s="16" t="str">
        <f>IFERROR(__xludf.DUMMYFUNCTION("""COMPUTED_VALUE"""),"Head")</f>
        <v>Head</v>
      </c>
      <c r="E805" s="16">
        <f>IFERROR(__xludf.DUMMYFUNCTION("""COMPUTED_VALUE"""),2000.0)</f>
        <v>2000</v>
      </c>
      <c r="F805" s="16" t="str">
        <f>IFERROR(__xludf.DUMMYFUNCTION("""COMPUTED_VALUE"""),"DEF: +100000 ++has a 5% chance to avoid beng arrested without fail.")</f>
        <v>DEF: +100000 ++has a 5% chance to avoid beng arrested without fail.</v>
      </c>
      <c r="G805" s="16">
        <f>IFERROR(__xludf.DUMMYFUNCTION("""COMPUTED_VALUE"""),1.99E8)</f>
        <v>199000000</v>
      </c>
      <c r="H805" s="16"/>
      <c r="I805" s="16"/>
      <c r="J805" s="16"/>
      <c r="K805" s="16"/>
      <c r="L805" s="16"/>
      <c r="M805" s="16"/>
      <c r="N805" s="16"/>
      <c r="O805" s="16"/>
      <c r="P805" s="16"/>
      <c r="Q805" s="16"/>
      <c r="R805" s="16"/>
      <c r="S805" s="16"/>
      <c r="T805" s="16"/>
      <c r="U805" s="16"/>
      <c r="V805" s="16"/>
      <c r="W805" s="16"/>
      <c r="X805" s="16"/>
      <c r="Y805" s="16"/>
      <c r="Z805" s="16"/>
    </row>
    <row r="806">
      <c r="A806" s="16" t="str">
        <f>IFERROR(__xludf.DUMMYFUNCTION("""COMPUTED_VALUE"""),"Inmate's Shirt")</f>
        <v>Inmate's Shirt</v>
      </c>
      <c r="B806" s="16"/>
      <c r="C806" s="16" t="str">
        <f>IFERROR(__xludf.DUMMYFUNCTION("""COMPUTED_VALUE"""),"Item")</f>
        <v>Item</v>
      </c>
      <c r="D806" s="16" t="str">
        <f>IFERROR(__xludf.DUMMYFUNCTION("""COMPUTED_VALUE"""),"Torso")</f>
        <v>Torso</v>
      </c>
      <c r="E806" s="16">
        <f>IFERROR(__xludf.DUMMYFUNCTION("""COMPUTED_VALUE"""),2000.0)</f>
        <v>2000</v>
      </c>
      <c r="F806" s="16" t="str">
        <f>IFERROR(__xludf.DUMMYFUNCTION("""COMPUTED_VALUE"""),"DEF: +100000 ++has a 5% chance to avoid beng arrested without fail.")</f>
        <v>DEF: +100000 ++has a 5% chance to avoid beng arrested without fail.</v>
      </c>
      <c r="G806" s="16">
        <f>IFERROR(__xludf.DUMMYFUNCTION("""COMPUTED_VALUE"""),1.99E8)</f>
        <v>199000000</v>
      </c>
      <c r="H806" s="16"/>
      <c r="I806" s="16"/>
      <c r="J806" s="16"/>
      <c r="K806" s="16"/>
      <c r="L806" s="16"/>
      <c r="M806" s="16"/>
      <c r="N806" s="16"/>
      <c r="O806" s="16"/>
      <c r="P806" s="16"/>
      <c r="Q806" s="16"/>
      <c r="R806" s="16"/>
      <c r="S806" s="16"/>
      <c r="T806" s="16"/>
      <c r="U806" s="16"/>
      <c r="V806" s="16"/>
      <c r="W806" s="16"/>
      <c r="X806" s="16"/>
      <c r="Y806" s="16"/>
      <c r="Z806" s="16"/>
    </row>
    <row r="807">
      <c r="A807" s="16" t="str">
        <f>IFERROR(__xludf.DUMMYFUNCTION("""COMPUTED_VALUE"""),"Inmate's Pants")</f>
        <v>Inmate's Pants</v>
      </c>
      <c r="B807" s="16"/>
      <c r="C807" s="16" t="str">
        <f>IFERROR(__xludf.DUMMYFUNCTION("""COMPUTED_VALUE"""),"Item")</f>
        <v>Item</v>
      </c>
      <c r="D807" s="16" t="str">
        <f>IFERROR(__xludf.DUMMYFUNCTION("""COMPUTED_VALUE"""),"Legs")</f>
        <v>Legs</v>
      </c>
      <c r="E807" s="16">
        <f>IFERROR(__xludf.DUMMYFUNCTION("""COMPUTED_VALUE"""),2000.0)</f>
        <v>2000</v>
      </c>
      <c r="F807" s="16" t="str">
        <f>IFERROR(__xludf.DUMMYFUNCTION("""COMPUTED_VALUE"""),"DEF: +100000 ++has a 5% chance to avoid beng arrested without fail.")</f>
        <v>DEF: +100000 ++has a 5% chance to avoid beng arrested without fail.</v>
      </c>
      <c r="G807" s="16">
        <f>IFERROR(__xludf.DUMMYFUNCTION("""COMPUTED_VALUE"""),1.99E8)</f>
        <v>199000000</v>
      </c>
      <c r="H807" s="16"/>
      <c r="I807" s="16"/>
      <c r="J807" s="16"/>
      <c r="K807" s="16"/>
      <c r="L807" s="16"/>
      <c r="M807" s="16"/>
      <c r="N807" s="16"/>
      <c r="O807" s="16"/>
      <c r="P807" s="16"/>
      <c r="Q807" s="16"/>
      <c r="R807" s="16"/>
      <c r="S807" s="16"/>
      <c r="T807" s="16"/>
      <c r="U807" s="16"/>
      <c r="V807" s="16"/>
      <c r="W807" s="16"/>
      <c r="X807" s="16"/>
      <c r="Y807" s="16"/>
      <c r="Z807" s="16"/>
    </row>
    <row r="808">
      <c r="A808" s="16" t="str">
        <f>IFERROR(__xludf.DUMMYFUNCTION("""COMPUTED_VALUE"""),"Warden's Cap")</f>
        <v>Warden's Cap</v>
      </c>
      <c r="B808" s="16"/>
      <c r="C808" s="16" t="str">
        <f>IFERROR(__xludf.DUMMYFUNCTION("""COMPUTED_VALUE"""),"Item")</f>
        <v>Item</v>
      </c>
      <c r="D808" s="16" t="str">
        <f>IFERROR(__xludf.DUMMYFUNCTION("""COMPUTED_VALUE"""),"Head")</f>
        <v>Head</v>
      </c>
      <c r="E808" s="16">
        <f>IFERROR(__xludf.DUMMYFUNCTION("""COMPUTED_VALUE"""),2000.0)</f>
        <v>2000</v>
      </c>
      <c r="F808" s="16" t="str">
        <f>IFERROR(__xludf.DUMMYFUNCTION("""COMPUTED_VALUE"""),"DEF: +100000 ++X2 Damage with Clubs")</f>
        <v>DEF: +100000 ++X2 Damage with Clubs</v>
      </c>
      <c r="G808" s="16">
        <f>IFERROR(__xludf.DUMMYFUNCTION("""COMPUTED_VALUE"""),1.99E8)</f>
        <v>199000000</v>
      </c>
      <c r="H808" s="16"/>
      <c r="I808" s="16"/>
      <c r="J808" s="16"/>
      <c r="K808" s="16"/>
      <c r="L808" s="16"/>
      <c r="M808" s="16"/>
      <c r="N808" s="16"/>
      <c r="O808" s="16"/>
      <c r="P808" s="16"/>
      <c r="Q808" s="16"/>
      <c r="R808" s="16"/>
      <c r="S808" s="16"/>
      <c r="T808" s="16"/>
      <c r="U808" s="16"/>
      <c r="V808" s="16"/>
      <c r="W808" s="16"/>
      <c r="X808" s="16"/>
      <c r="Y808" s="16"/>
      <c r="Z808" s="16"/>
    </row>
    <row r="809">
      <c r="A809" s="16" t="str">
        <f>IFERROR(__xludf.DUMMYFUNCTION("""COMPUTED_VALUE"""),"Warden's Shirt")</f>
        <v>Warden's Shirt</v>
      </c>
      <c r="B809" s="16"/>
      <c r="C809" s="16" t="str">
        <f>IFERROR(__xludf.DUMMYFUNCTION("""COMPUTED_VALUE"""),"Item")</f>
        <v>Item</v>
      </c>
      <c r="D809" s="16" t="str">
        <f>IFERROR(__xludf.DUMMYFUNCTION("""COMPUTED_VALUE"""),"Torso")</f>
        <v>Torso</v>
      </c>
      <c r="E809" s="16">
        <f>IFERROR(__xludf.DUMMYFUNCTION("""COMPUTED_VALUE"""),2000.0)</f>
        <v>2000</v>
      </c>
      <c r="F809" s="16" t="str">
        <f>IFERROR(__xludf.DUMMYFUNCTION("""COMPUTED_VALUE"""),"DEF: +100000 ++X2 Damage with Clubs")</f>
        <v>DEF: +100000 ++X2 Damage with Clubs</v>
      </c>
      <c r="G809" s="16">
        <f>IFERROR(__xludf.DUMMYFUNCTION("""COMPUTED_VALUE"""),1.99E8)</f>
        <v>199000000</v>
      </c>
      <c r="H809" s="16"/>
      <c r="I809" s="16"/>
      <c r="J809" s="16"/>
      <c r="K809" s="16"/>
      <c r="L809" s="16"/>
      <c r="M809" s="16"/>
      <c r="N809" s="16"/>
      <c r="O809" s="16"/>
      <c r="P809" s="16"/>
      <c r="Q809" s="16"/>
      <c r="R809" s="16"/>
      <c r="S809" s="16"/>
      <c r="T809" s="16"/>
      <c r="U809" s="16"/>
      <c r="V809" s="16"/>
      <c r="W809" s="16"/>
      <c r="X809" s="16"/>
      <c r="Y809" s="16"/>
      <c r="Z809" s="16"/>
    </row>
    <row r="810">
      <c r="A810" s="16" t="str">
        <f>IFERROR(__xludf.DUMMYFUNCTION("""COMPUTED_VALUE"""),"Warden's Pants")</f>
        <v>Warden's Pants</v>
      </c>
      <c r="B810" s="16"/>
      <c r="C810" s="16" t="str">
        <f>IFERROR(__xludf.DUMMYFUNCTION("""COMPUTED_VALUE"""),"Item")</f>
        <v>Item</v>
      </c>
      <c r="D810" s="16" t="str">
        <f>IFERROR(__xludf.DUMMYFUNCTION("""COMPUTED_VALUE"""),"Legs")</f>
        <v>Legs</v>
      </c>
      <c r="E810" s="16">
        <f>IFERROR(__xludf.DUMMYFUNCTION("""COMPUTED_VALUE"""),2000.0)</f>
        <v>2000</v>
      </c>
      <c r="F810" s="16" t="str">
        <f>IFERROR(__xludf.DUMMYFUNCTION("""COMPUTED_VALUE"""),"DEF: +100000 ++X2 Damage with Clubs")</f>
        <v>DEF: +100000 ++X2 Damage with Clubs</v>
      </c>
      <c r="G810" s="16">
        <f>IFERROR(__xludf.DUMMYFUNCTION("""COMPUTED_VALUE"""),1.99E8)</f>
        <v>199000000</v>
      </c>
      <c r="H810" s="16"/>
      <c r="I810" s="16"/>
      <c r="J810" s="16"/>
      <c r="K810" s="16"/>
      <c r="L810" s="16"/>
      <c r="M810" s="16"/>
      <c r="N810" s="16"/>
      <c r="O810" s="16"/>
      <c r="P810" s="16"/>
      <c r="Q810" s="16"/>
      <c r="R810" s="16"/>
      <c r="S810" s="16"/>
      <c r="T810" s="16"/>
      <c r="U810" s="16"/>
      <c r="V810" s="16"/>
      <c r="W810" s="16"/>
      <c r="X810" s="16"/>
      <c r="Y810" s="16"/>
      <c r="Z810" s="16"/>
    </row>
    <row r="811">
      <c r="A811" s="16" t="str">
        <f>IFERROR(__xludf.DUMMYFUNCTION("""COMPUTED_VALUE"""),"Warden's Boots")</f>
        <v>Warden's Boots</v>
      </c>
      <c r="B811" s="16"/>
      <c r="C811" s="16" t="str">
        <f>IFERROR(__xludf.DUMMYFUNCTION("""COMPUTED_VALUE"""),"Item")</f>
        <v>Item</v>
      </c>
      <c r="D811" s="16" t="str">
        <f>IFERROR(__xludf.DUMMYFUNCTION("""COMPUTED_VALUE"""),"Feet")</f>
        <v>Feet</v>
      </c>
      <c r="E811" s="16">
        <f>IFERROR(__xludf.DUMMYFUNCTION("""COMPUTED_VALUE"""),2000.0)</f>
        <v>2000</v>
      </c>
      <c r="F811" s="16" t="str">
        <f>IFERROR(__xludf.DUMMYFUNCTION("""COMPUTED_VALUE"""),"DEF: +100000 ++X2 Damage with Clubs")</f>
        <v>DEF: +100000 ++X2 Damage with Clubs</v>
      </c>
      <c r="G811" s="16">
        <f>IFERROR(__xludf.DUMMYFUNCTION("""COMPUTED_VALUE"""),1.99E8)</f>
        <v>199000000</v>
      </c>
      <c r="H811" s="16"/>
      <c r="I811" s="16"/>
      <c r="J811" s="16"/>
      <c r="K811" s="16"/>
      <c r="L811" s="16"/>
      <c r="M811" s="16"/>
      <c r="N811" s="16"/>
      <c r="O811" s="16"/>
      <c r="P811" s="16"/>
      <c r="Q811" s="16"/>
      <c r="R811" s="16"/>
      <c r="S811" s="16"/>
      <c r="T811" s="16"/>
      <c r="U811" s="16"/>
      <c r="V811" s="16"/>
      <c r="W811" s="16"/>
      <c r="X811" s="16"/>
      <c r="Y811" s="16"/>
      <c r="Z811" s="16"/>
    </row>
    <row r="812">
      <c r="A812" s="16" t="str">
        <f>IFERROR(__xludf.DUMMYFUNCTION("""COMPUTED_VALUE"""),"Warden's Baton")</f>
        <v>Warden's Baton</v>
      </c>
      <c r="B812" s="16"/>
      <c r="C812" s="16" t="str">
        <f>IFERROR(__xludf.DUMMYFUNCTION("""COMPUTED_VALUE"""),"Club")</f>
        <v>Club</v>
      </c>
      <c r="D812" s="16" t="str">
        <f>IFERROR(__xludf.DUMMYFUNCTION("""COMPUTED_VALUE"""),"Hand")</f>
        <v>Hand</v>
      </c>
      <c r="E812" s="16">
        <f>IFERROR(__xludf.DUMMYFUNCTION("""COMPUTED_VALUE"""),4000.0)</f>
        <v>4000</v>
      </c>
      <c r="F812" s="16" t="str">
        <f>IFERROR(__xludf.DUMMYFUNCTION("""COMPUTED_VALUE"""),"DMG: +200000 ++X20 damage to any enemy wearing a confining collar.")</f>
        <v>DMG: +200000 ++X20 damage to any enemy wearing a confining collar.</v>
      </c>
      <c r="G812" s="16">
        <f>IFERROR(__xludf.DUMMYFUNCTION("""COMPUTED_VALUE"""),7.98E8)</f>
        <v>798000000</v>
      </c>
      <c r="H812" s="16"/>
      <c r="I812" s="16"/>
      <c r="J812" s="16"/>
      <c r="K812" s="16"/>
      <c r="L812" s="16"/>
      <c r="M812" s="16"/>
      <c r="N812" s="16"/>
      <c r="O812" s="16"/>
      <c r="P812" s="16"/>
      <c r="Q812" s="16"/>
      <c r="R812" s="16"/>
      <c r="S812" s="16"/>
      <c r="T812" s="16"/>
      <c r="U812" s="16"/>
      <c r="V812" s="16"/>
      <c r="W812" s="16"/>
      <c r="X812" s="16"/>
      <c r="Y812" s="16"/>
      <c r="Z812" s="16"/>
    </row>
    <row r="813">
      <c r="A813" s="16" t="str">
        <f>IFERROR(__xludf.DUMMYFUNCTION("""COMPUTED_VALUE"""),"Gentleman's Club")</f>
        <v>Gentleman's Club</v>
      </c>
      <c r="B813" s="16"/>
      <c r="C813" s="16" t="str">
        <f>IFERROR(__xludf.DUMMYFUNCTION("""COMPUTED_VALUE"""),"Club")</f>
        <v>Club</v>
      </c>
      <c r="D813" s="16" t="str">
        <f>IFERROR(__xludf.DUMMYFUNCTION("""COMPUTED_VALUE"""),"Hand")</f>
        <v>Hand</v>
      </c>
      <c r="E813" s="16">
        <f>IFERROR(__xludf.DUMMYFUNCTION("""COMPUTED_VALUE"""),3000.0)</f>
        <v>3000</v>
      </c>
      <c r="F813" s="16" t="str">
        <f>IFERROR(__xludf.DUMMYFUNCTION("""COMPUTED_VALUE"""),"DMG: +150000 ++Enemies hit with this weapon cannot cast spells for 2 rounds. +-Cannot be duplicated.")</f>
        <v>DMG: +150000 ++Enemies hit with this weapon cannot cast spells for 2 rounds. +-Cannot be duplicated.</v>
      </c>
      <c r="G813" s="16">
        <f>IFERROR(__xludf.DUMMYFUNCTION("""COMPUTED_VALUE"""),4.485E8)</f>
        <v>448500000</v>
      </c>
      <c r="H813" s="16"/>
      <c r="I813" s="16"/>
      <c r="J813" s="16"/>
      <c r="K813" s="16"/>
      <c r="L813" s="16"/>
      <c r="M813" s="16"/>
      <c r="N813" s="16"/>
      <c r="O813" s="16"/>
      <c r="P813" s="16"/>
      <c r="Q813" s="16"/>
      <c r="R813" s="16"/>
      <c r="S813" s="16"/>
      <c r="T813" s="16"/>
      <c r="U813" s="16"/>
      <c r="V813" s="16"/>
      <c r="W813" s="16"/>
      <c r="X813" s="16"/>
      <c r="Y813" s="16"/>
      <c r="Z813" s="16"/>
    </row>
    <row r="814">
      <c r="A814" s="16" t="str">
        <f>IFERROR(__xludf.DUMMYFUNCTION("""COMPUTED_VALUE"""),"Honest Shirt")</f>
        <v>Honest Shirt</v>
      </c>
      <c r="B814" s="16"/>
      <c r="C814" s="16" t="str">
        <f>IFERROR(__xludf.DUMMYFUNCTION("""COMPUTED_VALUE"""),"Item")</f>
        <v>Item</v>
      </c>
      <c r="D814" s="16" t="str">
        <f>IFERROR(__xludf.DUMMYFUNCTION("""COMPUTED_VALUE"""),"Torso")</f>
        <v>Torso</v>
      </c>
      <c r="E814" s="16">
        <f>IFERROR(__xludf.DUMMYFUNCTION("""COMPUTED_VALUE"""),2000.0)</f>
        <v>2000</v>
      </c>
      <c r="F814" s="16" t="str">
        <f>IFERROR(__xludf.DUMMYFUNCTION("""COMPUTED_VALUE"""),"DEF: +100000 ++25% chance any spell targeting the wearer fails.")</f>
        <v>DEF: +100000 ++25% chance any spell targeting the wearer fails.</v>
      </c>
      <c r="G814" s="16">
        <f>IFERROR(__xludf.DUMMYFUNCTION("""COMPUTED_VALUE"""),1.99E8)</f>
        <v>199000000</v>
      </c>
      <c r="H814" s="16"/>
      <c r="I814" s="16"/>
      <c r="J814" s="16"/>
      <c r="K814" s="16"/>
      <c r="L814" s="16"/>
      <c r="M814" s="16"/>
      <c r="N814" s="16"/>
      <c r="O814" s="16"/>
      <c r="P814" s="16"/>
      <c r="Q814" s="16"/>
      <c r="R814" s="16"/>
      <c r="S814" s="16"/>
      <c r="T814" s="16"/>
      <c r="U814" s="16"/>
      <c r="V814" s="16"/>
      <c r="W814" s="16"/>
      <c r="X814" s="16"/>
      <c r="Y814" s="16"/>
      <c r="Z814" s="16"/>
    </row>
    <row r="815">
      <c r="A815" s="16" t="str">
        <f>IFERROR(__xludf.DUMMYFUNCTION("""COMPUTED_VALUE"""),"Tinfoil Hat")</f>
        <v>Tinfoil Hat</v>
      </c>
      <c r="B815" s="16"/>
      <c r="C815" s="16" t="str">
        <f>IFERROR(__xludf.DUMMYFUNCTION("""COMPUTED_VALUE"""),"Item")</f>
        <v>Item</v>
      </c>
      <c r="D815" s="16" t="str">
        <f>IFERROR(__xludf.DUMMYFUNCTION("""COMPUTED_VALUE"""),"Head")</f>
        <v>Head</v>
      </c>
      <c r="E815" s="16">
        <f>IFERROR(__xludf.DUMMYFUNCTION("""COMPUTED_VALUE"""),1.0)</f>
        <v>1</v>
      </c>
      <c r="F815" s="16" t="str">
        <f>IFERROR(__xludf.DUMMYFUNCTION("""COMPUTED_VALUE""")," ++Immunity to Possession. +-Cannot be duplicated.")</f>
        <v> ++Immunity to Possession. +-Cannot be duplicated.</v>
      </c>
      <c r="G815" s="16">
        <f>IFERROR(__xludf.DUMMYFUNCTION("""COMPUTED_VALUE"""),0.0)</f>
        <v>0</v>
      </c>
      <c r="H815" s="16"/>
      <c r="I815" s="16"/>
      <c r="J815" s="16"/>
      <c r="K815" s="16"/>
      <c r="L815" s="16"/>
      <c r="M815" s="16"/>
      <c r="N815" s="16"/>
      <c r="O815" s="16"/>
      <c r="P815" s="16"/>
      <c r="Q815" s="16"/>
      <c r="R815" s="16"/>
      <c r="S815" s="16"/>
      <c r="T815" s="16"/>
      <c r="U815" s="16"/>
      <c r="V815" s="16"/>
      <c r="W815" s="16"/>
      <c r="X815" s="16"/>
      <c r="Y815" s="16"/>
      <c r="Z815" s="16"/>
    </row>
    <row r="816">
      <c r="A816" s="16" t="str">
        <f>IFERROR(__xludf.DUMMYFUNCTION("""COMPUTED_VALUE"""),"Anti-Magic Glasses")</f>
        <v>Anti-Magic Glasses</v>
      </c>
      <c r="B816" s="16"/>
      <c r="C816" s="16" t="str">
        <f>IFERROR(__xludf.DUMMYFUNCTION("""COMPUTED_VALUE"""),"Item")</f>
        <v>Item</v>
      </c>
      <c r="D816" s="16" t="str">
        <f>IFERROR(__xludf.DUMMYFUNCTION("""COMPUTED_VALUE"""),"Head")</f>
        <v>Head</v>
      </c>
      <c r="E816" s="16">
        <f>IFERROR(__xludf.DUMMYFUNCTION("""COMPUTED_VALUE"""),1.0)</f>
        <v>1</v>
      </c>
      <c r="F816" s="16" t="str">
        <f>IFERROR(__xludf.DUMMYFUNCTION("""COMPUTED_VALUE""")," ++Immunity to Blindness, Disorient, and Twilight. +-Cannot be duplicated")</f>
        <v> ++Immunity to Blindness, Disorient, and Twilight. +-Cannot be duplicated</v>
      </c>
      <c r="G816" s="16">
        <f>IFERROR(__xludf.DUMMYFUNCTION("""COMPUTED_VALUE"""),0.0)</f>
        <v>0</v>
      </c>
      <c r="H816" s="16"/>
      <c r="I816" s="16"/>
      <c r="J816" s="16"/>
      <c r="K816" s="16"/>
      <c r="L816" s="16"/>
      <c r="M816" s="16"/>
      <c r="N816" s="16"/>
      <c r="O816" s="16"/>
      <c r="P816" s="16"/>
      <c r="Q816" s="16"/>
      <c r="R816" s="16"/>
      <c r="S816" s="16"/>
      <c r="T816" s="16"/>
      <c r="U816" s="16"/>
      <c r="V816" s="16"/>
      <c r="W816" s="16"/>
      <c r="X816" s="16"/>
      <c r="Y816" s="16"/>
      <c r="Z816" s="16"/>
    </row>
    <row r="817">
      <c r="A817" s="16" t="str">
        <f>IFERROR(__xludf.DUMMYFUNCTION("""COMPUTED_VALUE"""),"Null Ring")</f>
        <v>Null Ring</v>
      </c>
      <c r="B817" s="16"/>
      <c r="C817" s="16" t="str">
        <f>IFERROR(__xludf.DUMMYFUNCTION("""COMPUTED_VALUE"""),"Item")</f>
        <v>Item</v>
      </c>
      <c r="D817" s="16" t="str">
        <f>IFERROR(__xludf.DUMMYFUNCTION("""COMPUTED_VALUE"""),"Finger")</f>
        <v>Finger</v>
      </c>
      <c r="E817" s="16">
        <f>IFERROR(__xludf.DUMMYFUNCTION("""COMPUTED_VALUE"""),1.0)</f>
        <v>1</v>
      </c>
      <c r="F817" s="16" t="str">
        <f>IFERROR(__xludf.DUMMYFUNCTION("""COMPUTED_VALUE""")," ++15% chance at start of battle to become immune to all magic casted by enemies and allies +-Wearer is incapable of casting magic +-Not able to be forged or duplicated")</f>
        <v> ++15% chance at start of battle to become immune to all magic casted by enemies and allies +-Wearer is incapable of casting magic +-Not able to be forged or duplicated</v>
      </c>
      <c r="G817" s="16">
        <f>IFERROR(__xludf.DUMMYFUNCTION("""COMPUTED_VALUE"""),0.0)</f>
        <v>0</v>
      </c>
      <c r="H817" s="16"/>
      <c r="I817" s="16"/>
      <c r="J817" s="16"/>
      <c r="K817" s="16"/>
      <c r="L817" s="16"/>
      <c r="M817" s="16"/>
      <c r="N817" s="16"/>
      <c r="O817" s="16"/>
      <c r="P817" s="16"/>
      <c r="Q817" s="16"/>
      <c r="R817" s="16"/>
      <c r="S817" s="16"/>
      <c r="T817" s="16"/>
      <c r="U817" s="16"/>
      <c r="V817" s="16"/>
      <c r="W817" s="16"/>
      <c r="X817" s="16"/>
      <c r="Y817" s="16"/>
      <c r="Z817" s="16"/>
    </row>
    <row r="818">
      <c r="A818" s="16" t="str">
        <f>IFERROR(__xludf.DUMMYFUNCTION("""COMPUTED_VALUE"""),"Quickdraw Bow")</f>
        <v>Quickdraw Bow</v>
      </c>
      <c r="B818" s="16"/>
      <c r="C818" s="16" t="str">
        <f>IFERROR(__xludf.DUMMYFUNCTION("""COMPUTED_VALUE"""),"Bow")</f>
        <v>Bow</v>
      </c>
      <c r="D818" s="16" t="str">
        <f>IFERROR(__xludf.DUMMYFUNCTION("""COMPUTED_VALUE"""),"Hand")</f>
        <v>Hand</v>
      </c>
      <c r="E818" s="16">
        <f>IFERROR(__xludf.DUMMYFUNCTION("""COMPUTED_VALUE"""),2000.0)</f>
        <v>2000</v>
      </c>
      <c r="F818" s="16" t="str">
        <f>IFERROR(__xludf.DUMMYFUNCTION("""COMPUTED_VALUE"""),"DMG: +99500, Spirit DMG: +500 ++Plus 2 to turn order roll +-Cannot be forged or duplicated")</f>
        <v>DMG: +99500, Spirit DMG: +500 ++Plus 2 to turn order roll +-Cannot be forged or duplicated</v>
      </c>
      <c r="G818" s="16">
        <f>IFERROR(__xludf.DUMMYFUNCTION("""COMPUTED_VALUE"""),1.99E8)</f>
        <v>199000000</v>
      </c>
      <c r="H818" s="16"/>
      <c r="I818" s="16"/>
      <c r="J818" s="16"/>
      <c r="K818" s="16"/>
      <c r="L818" s="16"/>
      <c r="M818" s="16"/>
      <c r="N818" s="16"/>
      <c r="O818" s="16"/>
      <c r="P818" s="16"/>
      <c r="Q818" s="16"/>
      <c r="R818" s="16"/>
      <c r="S818" s="16"/>
      <c r="T818" s="16"/>
      <c r="U818" s="16"/>
      <c r="V818" s="16"/>
      <c r="W818" s="16"/>
      <c r="X818" s="16"/>
      <c r="Y818" s="16"/>
      <c r="Z818" s="16"/>
    </row>
    <row r="819">
      <c r="A819" s="16" t="str">
        <f>IFERROR(__xludf.DUMMYFUNCTION("""COMPUTED_VALUE"""),"Chaos Bow")</f>
        <v>Chaos Bow</v>
      </c>
      <c r="B819" s="16"/>
      <c r="C819" s="16" t="str">
        <f>IFERROR(__xludf.DUMMYFUNCTION("""COMPUTED_VALUE"""),"Bow")</f>
        <v>Bow</v>
      </c>
      <c r="D819" s="16" t="str">
        <f>IFERROR(__xludf.DUMMYFUNCTION("""COMPUTED_VALUE"""),"Hand")</f>
        <v>Hand</v>
      </c>
      <c r="E819" s="16">
        <f>IFERROR(__xludf.DUMMYFUNCTION("""COMPUTED_VALUE"""),2600.0)</f>
        <v>2600</v>
      </c>
      <c r="F819" s="16" t="str">
        <f>IFERROR(__xludf.DUMMYFUNCTION("""COMPUTED_VALUE"""),"DMG: +50000, Chaos DMG: +80000 ++This bow targets a random enemy.")</f>
        <v>DMG: +50000, Chaos DMG: +80000 ++This bow targets a random enemy.</v>
      </c>
      <c r="G819" s="16">
        <f>IFERROR(__xludf.DUMMYFUNCTION("""COMPUTED_VALUE"""),3.367E8)</f>
        <v>336700000</v>
      </c>
      <c r="H819" s="16"/>
      <c r="I819" s="16"/>
      <c r="J819" s="16"/>
      <c r="K819" s="16"/>
      <c r="L819" s="16"/>
      <c r="M819" s="16"/>
      <c r="N819" s="16"/>
      <c r="O819" s="16"/>
      <c r="P819" s="16"/>
      <c r="Q819" s="16"/>
      <c r="R819" s="16"/>
      <c r="S819" s="16"/>
      <c r="T819" s="16"/>
      <c r="U819" s="16"/>
      <c r="V819" s="16"/>
      <c r="W819" s="16"/>
      <c r="X819" s="16"/>
      <c r="Y819" s="16"/>
      <c r="Z819" s="16"/>
    </row>
    <row r="820">
      <c r="A820" s="16" t="str">
        <f>IFERROR(__xludf.DUMMYFUNCTION("""COMPUTED_VALUE"""),"Crit Shot Bow")</f>
        <v>Crit Shot Bow</v>
      </c>
      <c r="B820" s="16"/>
      <c r="C820" s="16" t="str">
        <f>IFERROR(__xludf.DUMMYFUNCTION("""COMPUTED_VALUE"""),"Bow")</f>
        <v>Bow</v>
      </c>
      <c r="D820" s="16" t="str">
        <f>IFERROR(__xludf.DUMMYFUNCTION("""COMPUTED_VALUE"""),"Hand")</f>
        <v>Hand</v>
      </c>
      <c r="E820" s="16">
        <f>IFERROR(__xludf.DUMMYFUNCTION("""COMPUTED_VALUE"""),4000.0)</f>
        <v>4000</v>
      </c>
      <c r="F820" s="16" t="str">
        <f>IFERROR(__xludf.DUMMYFUNCTION("""COMPUTED_VALUE"""),"DMG: +200000 ++Deals 3x damage +-Accuracy halved")</f>
        <v>DMG: +200000 ++Deals 3x damage +-Accuracy halved</v>
      </c>
      <c r="G820" s="16">
        <f>IFERROR(__xludf.DUMMYFUNCTION("""COMPUTED_VALUE"""),7.98E8)</f>
        <v>798000000</v>
      </c>
      <c r="H820" s="16"/>
      <c r="I820" s="16"/>
      <c r="J820" s="16"/>
      <c r="K820" s="16"/>
      <c r="L820" s="16"/>
      <c r="M820" s="16"/>
      <c r="N820" s="16"/>
      <c r="O820" s="16"/>
      <c r="P820" s="16"/>
      <c r="Q820" s="16"/>
      <c r="R820" s="16"/>
      <c r="S820" s="16"/>
      <c r="T820" s="16"/>
      <c r="U820" s="16"/>
      <c r="V820" s="16"/>
      <c r="W820" s="16"/>
      <c r="X820" s="16"/>
      <c r="Y820" s="16"/>
      <c r="Z820" s="16"/>
    </row>
    <row r="821">
      <c r="A821" s="16" t="str">
        <f>IFERROR(__xludf.DUMMYFUNCTION("""COMPUTED_VALUE"""),"Incinerating Bow")</f>
        <v>Incinerating Bow</v>
      </c>
      <c r="B821" s="16"/>
      <c r="C821" s="16" t="str">
        <f>IFERROR(__xludf.DUMMYFUNCTION("""COMPUTED_VALUE"""),"Bow")</f>
        <v>Bow</v>
      </c>
      <c r="D821" s="16" t="str">
        <f>IFERROR(__xludf.DUMMYFUNCTION("""COMPUTED_VALUE"""),"Hand")</f>
        <v>Hand</v>
      </c>
      <c r="E821" s="16">
        <f>IFERROR(__xludf.DUMMYFUNCTION("""COMPUTED_VALUE"""),3800.0)</f>
        <v>3800</v>
      </c>
      <c r="F821" s="16" t="str">
        <f>IFERROR(__xludf.DUMMYFUNCTION("""COMPUTED_VALUE"""),"DMG: +90000, Fire DMG: +100000 ++Gain 1 Fire Arrow when any other arrow type is used. ++When using Fire Arrows deal 2x damage with this weapon. +-Cannot be forged or duplicated")</f>
        <v>DMG: +90000, Fire DMG: +100000 ++Gain 1 Fire Arrow when any other arrow type is used. ++When using Fire Arrows deal 2x damage with this weapon. +-Cannot be forged or duplicated</v>
      </c>
      <c r="G821" s="16">
        <f>IFERROR(__xludf.DUMMYFUNCTION("""COMPUTED_VALUE"""),7.201E8)</f>
        <v>720100000</v>
      </c>
      <c r="H821" s="16"/>
      <c r="I821" s="16"/>
      <c r="J821" s="16"/>
      <c r="K821" s="16"/>
      <c r="L821" s="16"/>
      <c r="M821" s="16"/>
      <c r="N821" s="16"/>
      <c r="O821" s="16"/>
      <c r="P821" s="16"/>
      <c r="Q821" s="16"/>
      <c r="R821" s="16"/>
      <c r="S821" s="16"/>
      <c r="T821" s="16"/>
      <c r="U821" s="16"/>
      <c r="V821" s="16"/>
      <c r="W821" s="16"/>
      <c r="X821" s="16"/>
      <c r="Y821" s="16"/>
      <c r="Z821" s="16"/>
    </row>
    <row r="822">
      <c r="A822" s="16" t="str">
        <f>IFERROR(__xludf.DUMMYFUNCTION("""COMPUTED_VALUE"""),"Bone Bow")</f>
        <v>Bone Bow</v>
      </c>
      <c r="B822" s="16"/>
      <c r="C822" s="16" t="str">
        <f>IFERROR(__xludf.DUMMYFUNCTION("""COMPUTED_VALUE"""),"Bow")</f>
        <v>Bow</v>
      </c>
      <c r="D822" s="16" t="str">
        <f>IFERROR(__xludf.DUMMYFUNCTION("""COMPUTED_VALUE"""),"Hand")</f>
        <v>Hand</v>
      </c>
      <c r="E822" s="16">
        <f>IFERROR(__xludf.DUMMYFUNCTION("""COMPUTED_VALUE"""),3400.0)</f>
        <v>3400</v>
      </c>
      <c r="F822" s="16" t="str">
        <f>IFERROR(__xludf.DUMMYFUNCTION("""COMPUTED_VALUE"""),"DMG: +10000, Blood DMG: +160000 ++ 2x damage when user isundead")</f>
        <v>DMG: +10000, Blood DMG: +160000 ++ 2x damage when user isundead</v>
      </c>
      <c r="G822" s="16">
        <f>IFERROR(__xludf.DUMMYFUNCTION("""COMPUTED_VALUE"""),5.763E8)</f>
        <v>576300000</v>
      </c>
      <c r="H822" s="16"/>
      <c r="I822" s="16"/>
      <c r="J822" s="16"/>
      <c r="K822" s="16"/>
      <c r="L822" s="16"/>
      <c r="M822" s="16"/>
      <c r="N822" s="16"/>
      <c r="O822" s="16"/>
      <c r="P822" s="16"/>
      <c r="Q822" s="16"/>
      <c r="R822" s="16"/>
      <c r="S822" s="16"/>
      <c r="T822" s="16"/>
      <c r="U822" s="16"/>
      <c r="V822" s="16"/>
      <c r="W822" s="16"/>
      <c r="X822" s="16"/>
      <c r="Y822" s="16"/>
      <c r="Z822" s="16"/>
    </row>
    <row r="823">
      <c r="A823" s="16" t="str">
        <f>IFERROR(__xludf.DUMMYFUNCTION("""COMPUTED_VALUE"""),"Assassin's Fake Harp")</f>
        <v>Assassin's Fake Harp</v>
      </c>
      <c r="B823" s="16"/>
      <c r="C823" s="16" t="str">
        <f>IFERROR(__xludf.DUMMYFUNCTION("""COMPUTED_VALUE"""),"Bow")</f>
        <v>Bow</v>
      </c>
      <c r="D823" s="16" t="str">
        <f>IFERROR(__xludf.DUMMYFUNCTION("""COMPUTED_VALUE"""),"Hand")</f>
        <v>Hand</v>
      </c>
      <c r="E823" s="16">
        <f>IFERROR(__xludf.DUMMYFUNCTION("""COMPUTED_VALUE"""),3000.0)</f>
        <v>3000</v>
      </c>
      <c r="F823" s="16" t="str">
        <f>IFERROR(__xludf.DUMMYFUNCTION("""COMPUTED_VALUE"""),"DMG: +50000, Acoustic DMG: +100000 ++Deals X2 additional damage for the first round of battle.")</f>
        <v>DMG: +50000, Acoustic DMG: +100000 ++Deals X2 additional damage for the first round of battle.</v>
      </c>
      <c r="G823" s="16">
        <f>IFERROR(__xludf.DUMMYFUNCTION("""COMPUTED_VALUE"""),4.485E8)</f>
        <v>448500000</v>
      </c>
      <c r="H823" s="16"/>
      <c r="I823" s="16"/>
      <c r="J823" s="16"/>
      <c r="K823" s="16"/>
      <c r="L823" s="16"/>
      <c r="M823" s="16"/>
      <c r="N823" s="16"/>
      <c r="O823" s="16"/>
      <c r="P823" s="16"/>
      <c r="Q823" s="16"/>
      <c r="R823" s="16"/>
      <c r="S823" s="16"/>
      <c r="T823" s="16"/>
      <c r="U823" s="16"/>
      <c r="V823" s="16"/>
      <c r="W823" s="16"/>
      <c r="X823" s="16"/>
      <c r="Y823" s="16"/>
      <c r="Z823" s="16"/>
    </row>
    <row r="824">
      <c r="A824" s="16" t="str">
        <f>IFERROR(__xludf.DUMMYFUNCTION("""COMPUTED_VALUE"""),"Broken Bow")</f>
        <v>Broken Bow</v>
      </c>
      <c r="B824" s="16"/>
      <c r="C824" s="16" t="str">
        <f>IFERROR(__xludf.DUMMYFUNCTION("""COMPUTED_VALUE"""),"Club")</f>
        <v>Club</v>
      </c>
      <c r="D824" s="16" t="str">
        <f>IFERROR(__xludf.DUMMYFUNCTION("""COMPUTED_VALUE"""),"Hand")</f>
        <v>Hand</v>
      </c>
      <c r="E824" s="16">
        <f>IFERROR(__xludf.DUMMYFUNCTION("""COMPUTED_VALUE"""),20.0)</f>
        <v>20</v>
      </c>
      <c r="F824" s="16" t="str">
        <f>IFERROR(__xludf.DUMMYFUNCTION("""COMPUTED_VALUE"""),"DMG: +1000")</f>
        <v>DMG: +1000</v>
      </c>
      <c r="G824" s="16">
        <f>IFERROR(__xludf.DUMMYFUNCTION("""COMPUTED_VALUE"""),10000.0)</f>
        <v>10000</v>
      </c>
      <c r="H824" s="16"/>
      <c r="I824" s="16"/>
      <c r="J824" s="16"/>
      <c r="K824" s="16"/>
      <c r="L824" s="16"/>
      <c r="M824" s="16"/>
      <c r="N824" s="16"/>
      <c r="O824" s="16"/>
      <c r="P824" s="16"/>
      <c r="Q824" s="16"/>
      <c r="R824" s="16"/>
      <c r="S824" s="16"/>
      <c r="T824" s="16"/>
      <c r="U824" s="16"/>
      <c r="V824" s="16"/>
      <c r="W824" s="16"/>
      <c r="X824" s="16"/>
      <c r="Y824" s="16"/>
      <c r="Z824" s="16"/>
    </row>
    <row r="825">
      <c r="A825" s="16" t="str">
        <f>IFERROR(__xludf.DUMMYFUNCTION("""COMPUTED_VALUE"""),"Lizard Wizard Hat")</f>
        <v>Lizard Wizard Hat</v>
      </c>
      <c r="B825" s="16"/>
      <c r="C825" s="16" t="str">
        <f>IFERROR(__xludf.DUMMYFUNCTION("""COMPUTED_VALUE"""),"Item")</f>
        <v>Item</v>
      </c>
      <c r="D825" s="16" t="str">
        <f>IFERROR(__xludf.DUMMYFUNCTION("""COMPUTED_VALUE"""),"Head")</f>
        <v>Head</v>
      </c>
      <c r="E825" s="16">
        <f>IFERROR(__xludf.DUMMYFUNCTION("""COMPUTED_VALUE"""),200.0)</f>
        <v>200</v>
      </c>
      <c r="F825" s="16" t="str">
        <f>IFERROR(__xludf.DUMMYFUNCTION("""COMPUTED_VALUE"""),"DEF: +10000 ++7500 hp and sp, X2 poison damage")</f>
        <v>DEF: +10000 ++7500 hp and sp, X2 poison damage</v>
      </c>
      <c r="G825" s="16">
        <f>IFERROR(__xludf.DUMMYFUNCTION("""COMPUTED_VALUE"""),1900000.0)</f>
        <v>1900000</v>
      </c>
      <c r="H825" s="16"/>
      <c r="I825" s="16"/>
      <c r="J825" s="16"/>
      <c r="K825" s="16"/>
      <c r="L825" s="16"/>
      <c r="M825" s="16"/>
      <c r="N825" s="16"/>
      <c r="O825" s="16"/>
      <c r="P825" s="16"/>
      <c r="Q825" s="16"/>
      <c r="R825" s="16"/>
      <c r="S825" s="16"/>
      <c r="T825" s="16"/>
      <c r="U825" s="16"/>
      <c r="V825" s="16"/>
      <c r="W825" s="16"/>
      <c r="X825" s="16"/>
      <c r="Y825" s="16"/>
      <c r="Z825" s="16"/>
    </row>
    <row r="826">
      <c r="A826" s="16" t="str">
        <f>IFERROR(__xludf.DUMMYFUNCTION("""COMPUTED_VALUE"""),"Lizard Wizard Robes")</f>
        <v>Lizard Wizard Robes</v>
      </c>
      <c r="B826" s="16"/>
      <c r="C826" s="16" t="str">
        <f>IFERROR(__xludf.DUMMYFUNCTION("""COMPUTED_VALUE"""),"Item")</f>
        <v>Item</v>
      </c>
      <c r="D826" s="16" t="str">
        <f>IFERROR(__xludf.DUMMYFUNCTION("""COMPUTED_VALUE"""),"Torso")</f>
        <v>Torso</v>
      </c>
      <c r="E826" s="16">
        <f>IFERROR(__xludf.DUMMYFUNCTION("""COMPUTED_VALUE"""),200.0)</f>
        <v>200</v>
      </c>
      <c r="F826" s="16" t="str">
        <f>IFERROR(__xludf.DUMMYFUNCTION("""COMPUTED_VALUE"""),"DEF: +10000 ++7500 hp and sp, X2 poison damage")</f>
        <v>DEF: +10000 ++7500 hp and sp, X2 poison damage</v>
      </c>
      <c r="G826" s="16">
        <f>IFERROR(__xludf.DUMMYFUNCTION("""COMPUTED_VALUE"""),1900000.0)</f>
        <v>1900000</v>
      </c>
      <c r="H826" s="16"/>
      <c r="I826" s="16"/>
      <c r="J826" s="16"/>
      <c r="K826" s="16"/>
      <c r="L826" s="16"/>
      <c r="M826" s="16"/>
      <c r="N826" s="16"/>
      <c r="O826" s="16"/>
      <c r="P826" s="16"/>
      <c r="Q826" s="16"/>
      <c r="R826" s="16"/>
      <c r="S826" s="16"/>
      <c r="T826" s="16"/>
      <c r="U826" s="16"/>
      <c r="V826" s="16"/>
      <c r="W826" s="16"/>
      <c r="X826" s="16"/>
      <c r="Y826" s="16"/>
      <c r="Z826" s="16"/>
    </row>
    <row r="827">
      <c r="A827" s="16" t="str">
        <f>IFERROR(__xludf.DUMMYFUNCTION("""COMPUTED_VALUE"""),"Lizard Wizard Leggings")</f>
        <v>Lizard Wizard Leggings</v>
      </c>
      <c r="B827" s="16"/>
      <c r="C827" s="16" t="str">
        <f>IFERROR(__xludf.DUMMYFUNCTION("""COMPUTED_VALUE"""),"Item")</f>
        <v>Item</v>
      </c>
      <c r="D827" s="16" t="str">
        <f>IFERROR(__xludf.DUMMYFUNCTION("""COMPUTED_VALUE"""),"Legs")</f>
        <v>Legs</v>
      </c>
      <c r="E827" s="16">
        <f>IFERROR(__xludf.DUMMYFUNCTION("""COMPUTED_VALUE"""),200.0)</f>
        <v>200</v>
      </c>
      <c r="F827" s="16" t="str">
        <f>IFERROR(__xludf.DUMMYFUNCTION("""COMPUTED_VALUE"""),"DEF: +10000 ++7500 hp and sp, X2 poison damage")</f>
        <v>DEF: +10000 ++7500 hp and sp, X2 poison damage</v>
      </c>
      <c r="G827" s="16">
        <f>IFERROR(__xludf.DUMMYFUNCTION("""COMPUTED_VALUE"""),1900000.0)</f>
        <v>1900000</v>
      </c>
      <c r="H827" s="16"/>
      <c r="I827" s="16"/>
      <c r="J827" s="16"/>
      <c r="K827" s="16"/>
      <c r="L827" s="16"/>
      <c r="M827" s="16"/>
      <c r="N827" s="16"/>
      <c r="O827" s="16"/>
      <c r="P827" s="16"/>
      <c r="Q827" s="16"/>
      <c r="R827" s="16"/>
      <c r="S827" s="16"/>
      <c r="T827" s="16"/>
      <c r="U827" s="16"/>
      <c r="V827" s="16"/>
      <c r="W827" s="16"/>
      <c r="X827" s="16"/>
      <c r="Y827" s="16"/>
      <c r="Z827" s="16"/>
    </row>
    <row r="828">
      <c r="A828" s="16" t="str">
        <f>IFERROR(__xludf.DUMMYFUNCTION("""COMPUTED_VALUE"""),"Lizard Wizard Pointed Shoes")</f>
        <v>Lizard Wizard Pointed Shoes</v>
      </c>
      <c r="B828" s="16"/>
      <c r="C828" s="16" t="str">
        <f>IFERROR(__xludf.DUMMYFUNCTION("""COMPUTED_VALUE"""),"Item")</f>
        <v>Item</v>
      </c>
      <c r="D828" s="16" t="str">
        <f>IFERROR(__xludf.DUMMYFUNCTION("""COMPUTED_VALUE"""),"Feet")</f>
        <v>Feet</v>
      </c>
      <c r="E828" s="16">
        <f>IFERROR(__xludf.DUMMYFUNCTION("""COMPUTED_VALUE"""),200.0)</f>
        <v>200</v>
      </c>
      <c r="F828" s="16" t="str">
        <f>IFERROR(__xludf.DUMMYFUNCTION("""COMPUTED_VALUE"""),"DEF: +10000 ++7500 hp and sp, X2 poison damage")</f>
        <v>DEF: +10000 ++7500 hp and sp, X2 poison damage</v>
      </c>
      <c r="G828" s="16">
        <f>IFERROR(__xludf.DUMMYFUNCTION("""COMPUTED_VALUE"""),1900000.0)</f>
        <v>1900000</v>
      </c>
      <c r="H828" s="16"/>
      <c r="I828" s="16"/>
      <c r="J828" s="16"/>
      <c r="K828" s="16"/>
      <c r="L828" s="16"/>
      <c r="M828" s="16"/>
      <c r="N828" s="16"/>
      <c r="O828" s="16"/>
      <c r="P828" s="16"/>
      <c r="Q828" s="16"/>
      <c r="R828" s="16"/>
      <c r="S828" s="16"/>
      <c r="T828" s="16"/>
      <c r="U828" s="16"/>
      <c r="V828" s="16"/>
      <c r="W828" s="16"/>
      <c r="X828" s="16"/>
      <c r="Y828" s="16"/>
      <c r="Z828" s="16"/>
    </row>
    <row r="829">
      <c r="A829" s="16" t="str">
        <f>IFERROR(__xludf.DUMMYFUNCTION("""COMPUTED_VALUE"""),"Lizard Wizard Staff of Corroding Blizzard")</f>
        <v>Lizard Wizard Staff of Corroding Blizzard</v>
      </c>
      <c r="B829" s="16"/>
      <c r="C829" s="16" t="str">
        <f>IFERROR(__xludf.DUMMYFUNCTION("""COMPUTED_VALUE"""),"Staff")</f>
        <v>Staff</v>
      </c>
      <c r="D829" s="16" t="str">
        <f>IFERROR(__xludf.DUMMYFUNCTION("""COMPUTED_VALUE"""),"Hand")</f>
        <v>Hand</v>
      </c>
      <c r="E829" s="16">
        <f>IFERROR(__xludf.DUMMYFUNCTION("""COMPUTED_VALUE"""),3000.0)</f>
        <v>3000</v>
      </c>
      <c r="F829" s="16" t="str">
        <f>IFERROR(__xludf.DUMMYFUNCTION("""COMPUTED_VALUE"""),", Light DMG: +50000, Nature DMG: +100000 ++Lizard Wizard's Corrosion Explosion!: Inflicts 5000XWisdom Poison on all enemies sp cost: 1000XWisdom sp. ++Lizard Wizard's Shiny: X5 to all Poison and Nature Damage ")</f>
        <v>, Light DMG: +50000, Nature DMG: +100000 ++Lizard Wizard's Corrosion Explosion!: Inflicts 5000XWisdom Poison on all enemies sp cost: 1000XWisdom sp. ++Lizard Wizard's Shiny: X5 to all Poison and Nature Damage </v>
      </c>
      <c r="G829" s="16">
        <f>IFERROR(__xludf.DUMMYFUNCTION("""COMPUTED_VALUE"""),4.485E8)</f>
        <v>448500000</v>
      </c>
      <c r="H829" s="16"/>
      <c r="I829" s="16"/>
      <c r="J829" s="16"/>
      <c r="K829" s="16"/>
      <c r="L829" s="16"/>
      <c r="M829" s="16"/>
      <c r="N829" s="16"/>
      <c r="O829" s="16"/>
      <c r="P829" s="16"/>
      <c r="Q829" s="16"/>
      <c r="R829" s="16"/>
      <c r="S829" s="16"/>
      <c r="T829" s="16"/>
      <c r="U829" s="16"/>
      <c r="V829" s="16"/>
      <c r="W829" s="16"/>
      <c r="X829" s="16"/>
      <c r="Y829" s="16"/>
      <c r="Z829" s="16"/>
    </row>
    <row r="830">
      <c r="A830" s="16" t="str">
        <f>IFERROR(__xludf.DUMMYFUNCTION("""COMPUTED_VALUE"""),"Lizard Wizard's Prized Ring")</f>
        <v>Lizard Wizard's Prized Ring</v>
      </c>
      <c r="B830" s="16" t="str">
        <f>IFERROR(__xludf.DUMMYFUNCTION("""COMPUTED_VALUE"""),"""The Most Prized shiny of all lizard wizard kind!"" ~Lizard Wizzard Gizzard")</f>
        <v>"The Most Prized shiny of all lizard wizard kind!" ~Lizard Wizzard Gizzard</v>
      </c>
      <c r="C830" s="16" t="str">
        <f>IFERROR(__xludf.DUMMYFUNCTION("""COMPUTED_VALUE"""),"Item")</f>
        <v>Item</v>
      </c>
      <c r="D830" s="16" t="str">
        <f>IFERROR(__xludf.DUMMYFUNCTION("""COMPUTED_VALUE"""),"Finger")</f>
        <v>Finger</v>
      </c>
      <c r="E830" s="16">
        <f>IFERROR(__xludf.DUMMYFUNCTION("""COMPUTED_VALUE"""),2000.0)</f>
        <v>2000</v>
      </c>
      <c r="F830" s="16" t="str">
        <f>IFERROR(__xludf.DUMMYFUNCTION("""COMPUTED_VALUE"""),"DEF: +100000 ++X5 Poison and Nature damage, +5 Wisdom for every enemy poisoned.")</f>
        <v>DEF: +100000 ++X5 Poison and Nature damage, +5 Wisdom for every enemy poisoned.</v>
      </c>
      <c r="G830" s="16">
        <f>IFERROR(__xludf.DUMMYFUNCTION("""COMPUTED_VALUE"""),1.99E8)</f>
        <v>199000000</v>
      </c>
      <c r="H830" s="16"/>
      <c r="I830" s="16"/>
      <c r="J830" s="16"/>
      <c r="K830" s="16"/>
      <c r="L830" s="16"/>
      <c r="M830" s="16"/>
      <c r="N830" s="16"/>
      <c r="O830" s="16"/>
      <c r="P830" s="16"/>
      <c r="Q830" s="16"/>
      <c r="R830" s="16"/>
      <c r="S830" s="16"/>
      <c r="T830" s="16"/>
      <c r="U830" s="16"/>
      <c r="V830" s="16"/>
      <c r="W830" s="16"/>
      <c r="X830" s="16"/>
      <c r="Y830" s="16"/>
      <c r="Z830" s="16"/>
    </row>
    <row r="831">
      <c r="A831" s="16" t="str">
        <f>IFERROR(__xludf.DUMMYFUNCTION("""COMPUTED_VALUE"""),"Lizard Thief's Bandana")</f>
        <v>Lizard Thief's Bandana</v>
      </c>
      <c r="B831" s="16"/>
      <c r="C831" s="16" t="str">
        <f>IFERROR(__xludf.DUMMYFUNCTION("""COMPUTED_VALUE"""),"Item")</f>
        <v>Item</v>
      </c>
      <c r="D831" s="16" t="str">
        <f>IFERROR(__xludf.DUMMYFUNCTION("""COMPUTED_VALUE"""),"Head")</f>
        <v>Head</v>
      </c>
      <c r="E831" s="16">
        <f>IFERROR(__xludf.DUMMYFUNCTION("""COMPUTED_VALUE"""),2000.0)</f>
        <v>2000</v>
      </c>
      <c r="F831" s="16" t="str">
        <f>IFERROR(__xludf.DUMMYFUNCTION("""COMPUTED_VALUE"""),"DEF: +100000 ++15000 ATK and ACC  ++X4 Knife Damage")</f>
        <v>DEF: +100000 ++15000 ATK and ACC  ++X4 Knife Damage</v>
      </c>
      <c r="G831" s="16">
        <f>IFERROR(__xludf.DUMMYFUNCTION("""COMPUTED_VALUE"""),1.99E8)</f>
        <v>199000000</v>
      </c>
      <c r="H831" s="16"/>
      <c r="I831" s="16"/>
      <c r="J831" s="16"/>
      <c r="K831" s="16"/>
      <c r="L831" s="16"/>
      <c r="M831" s="16"/>
      <c r="N831" s="16"/>
      <c r="O831" s="16"/>
      <c r="P831" s="16"/>
      <c r="Q831" s="16"/>
      <c r="R831" s="16"/>
      <c r="S831" s="16"/>
      <c r="T831" s="16"/>
      <c r="U831" s="16"/>
      <c r="V831" s="16"/>
      <c r="W831" s="16"/>
      <c r="X831" s="16"/>
      <c r="Y831" s="16"/>
      <c r="Z831" s="16"/>
    </row>
    <row r="832">
      <c r="A832" s="16" t="str">
        <f>IFERROR(__xludf.DUMMYFUNCTION("""COMPUTED_VALUE"""),"Lizard Thief's Leathers")</f>
        <v>Lizard Thief's Leathers</v>
      </c>
      <c r="B832" s="16"/>
      <c r="C832" s="16" t="str">
        <f>IFERROR(__xludf.DUMMYFUNCTION("""COMPUTED_VALUE"""),"Item")</f>
        <v>Item</v>
      </c>
      <c r="D832" s="16" t="str">
        <f>IFERROR(__xludf.DUMMYFUNCTION("""COMPUTED_VALUE"""),"Torso")</f>
        <v>Torso</v>
      </c>
      <c r="E832" s="16">
        <f>IFERROR(__xludf.DUMMYFUNCTION("""COMPUTED_VALUE"""),2000.0)</f>
        <v>2000</v>
      </c>
      <c r="F832" s="16" t="str">
        <f>IFERROR(__xludf.DUMMYFUNCTION("""COMPUTED_VALUE"""),"DEF: +100000 ++15000 ATK and ACC ++X4 Knife Damage")</f>
        <v>DEF: +100000 ++15000 ATK and ACC ++X4 Knife Damage</v>
      </c>
      <c r="G832" s="16">
        <f>IFERROR(__xludf.DUMMYFUNCTION("""COMPUTED_VALUE"""),1.99E8)</f>
        <v>199000000</v>
      </c>
      <c r="H832" s="16"/>
      <c r="I832" s="16"/>
      <c r="J832" s="16"/>
      <c r="K832" s="16"/>
      <c r="L832" s="16"/>
      <c r="M832" s="16"/>
      <c r="N832" s="16"/>
      <c r="O832" s="16"/>
      <c r="P832" s="16"/>
      <c r="Q832" s="16"/>
      <c r="R832" s="16"/>
      <c r="S832" s="16"/>
      <c r="T832" s="16"/>
      <c r="U832" s="16"/>
      <c r="V832" s="16"/>
      <c r="W832" s="16"/>
      <c r="X832" s="16"/>
      <c r="Y832" s="16"/>
      <c r="Z832" s="16"/>
    </row>
    <row r="833">
      <c r="A833" s="16" t="str">
        <f>IFERROR(__xludf.DUMMYFUNCTION("""COMPUTED_VALUE"""),"Lizard Thief's Pants")</f>
        <v>Lizard Thief's Pants</v>
      </c>
      <c r="B833" s="16"/>
      <c r="C833" s="16" t="str">
        <f>IFERROR(__xludf.DUMMYFUNCTION("""COMPUTED_VALUE"""),"Item")</f>
        <v>Item</v>
      </c>
      <c r="D833" s="16" t="str">
        <f>IFERROR(__xludf.DUMMYFUNCTION("""COMPUTED_VALUE"""),"Legs")</f>
        <v>Legs</v>
      </c>
      <c r="E833" s="16">
        <f>IFERROR(__xludf.DUMMYFUNCTION("""COMPUTED_VALUE"""),2000.0)</f>
        <v>2000</v>
      </c>
      <c r="F833" s="16" t="str">
        <f>IFERROR(__xludf.DUMMYFUNCTION("""COMPUTED_VALUE"""),"DEF: +100000 ++15000 ATK and ACC ++X4 Knife Damage")</f>
        <v>DEF: +100000 ++15000 ATK and ACC ++X4 Knife Damage</v>
      </c>
      <c r="G833" s="16">
        <f>IFERROR(__xludf.DUMMYFUNCTION("""COMPUTED_VALUE"""),1.99E8)</f>
        <v>199000000</v>
      </c>
      <c r="H833" s="16"/>
      <c r="I833" s="16"/>
      <c r="J833" s="16"/>
      <c r="K833" s="16"/>
      <c r="L833" s="16"/>
      <c r="M833" s="16"/>
      <c r="N833" s="16"/>
      <c r="O833" s="16"/>
      <c r="P833" s="16"/>
      <c r="Q833" s="16"/>
      <c r="R833" s="16"/>
      <c r="S833" s="16"/>
      <c r="T833" s="16"/>
      <c r="U833" s="16"/>
      <c r="V833" s="16"/>
      <c r="W833" s="16"/>
      <c r="X833" s="16"/>
      <c r="Y833" s="16"/>
      <c r="Z833" s="16"/>
    </row>
    <row r="834">
      <c r="A834" s="16" t="str">
        <f>IFERROR(__xludf.DUMMYFUNCTION("""COMPUTED_VALUE"""),"Lizard Thief's Boots")</f>
        <v>Lizard Thief's Boots</v>
      </c>
      <c r="B834" s="16"/>
      <c r="C834" s="16" t="str">
        <f>IFERROR(__xludf.DUMMYFUNCTION("""COMPUTED_VALUE"""),"Item")</f>
        <v>Item</v>
      </c>
      <c r="D834" s="16" t="str">
        <f>IFERROR(__xludf.DUMMYFUNCTION("""COMPUTED_VALUE"""),"Feet")</f>
        <v>Feet</v>
      </c>
      <c r="E834" s="16">
        <f>IFERROR(__xludf.DUMMYFUNCTION("""COMPUTED_VALUE"""),2000.0)</f>
        <v>2000</v>
      </c>
      <c r="F834" s="16" t="str">
        <f>IFERROR(__xludf.DUMMYFUNCTION("""COMPUTED_VALUE"""),"DEF: +100000 ++15000 ATK and ACC ++X4 Knife Damage")</f>
        <v>DEF: +100000 ++15000 ATK and ACC ++X4 Knife Damage</v>
      </c>
      <c r="G834" s="16">
        <f>IFERROR(__xludf.DUMMYFUNCTION("""COMPUTED_VALUE"""),1.99E8)</f>
        <v>199000000</v>
      </c>
      <c r="H834" s="16"/>
      <c r="I834" s="16"/>
      <c r="J834" s="16"/>
      <c r="K834" s="16"/>
      <c r="L834" s="16"/>
      <c r="M834" s="16"/>
      <c r="N834" s="16"/>
      <c r="O834" s="16"/>
      <c r="P834" s="16"/>
      <c r="Q834" s="16"/>
      <c r="R834" s="16"/>
      <c r="S834" s="16"/>
      <c r="T834" s="16"/>
      <c r="U834" s="16"/>
      <c r="V834" s="16"/>
      <c r="W834" s="16"/>
      <c r="X834" s="16"/>
      <c r="Y834" s="16"/>
      <c r="Z834" s="16"/>
    </row>
    <row r="835">
      <c r="A835" s="16" t="str">
        <f>IFERROR(__xludf.DUMMYFUNCTION("""COMPUTED_VALUE"""),"Lizard Thief's Shiny Swiper")</f>
        <v>Lizard Thief's Shiny Swiper</v>
      </c>
      <c r="B835" s="16"/>
      <c r="C835" s="16" t="str">
        <f>IFERROR(__xludf.DUMMYFUNCTION("""COMPUTED_VALUE"""),"Knife")</f>
        <v>Knife</v>
      </c>
      <c r="D835" s="16" t="str">
        <f>IFERROR(__xludf.DUMMYFUNCTION("""COMPUTED_VALUE"""),"Hand")</f>
        <v>Hand</v>
      </c>
      <c r="E835" s="16">
        <f>IFERROR(__xludf.DUMMYFUNCTION("""COMPUTED_VALUE"""),3000.0)</f>
        <v>3000</v>
      </c>
      <c r="F835" s="16" t="str">
        <f>IFERROR(__xludf.DUMMYFUNCTION("""COMPUTED_VALUE"""),"DMG: +150000 ++Shiny Snatchery - +5 to all rolls when stealing an item. ++If the wearer successfully steals an item from an enemy +5 mobility for the next 3 rounds. +-effects do not stack")</f>
        <v>DMG: +150000 ++Shiny Snatchery - +5 to all rolls when stealing an item. ++If the wearer successfully steals an item from an enemy +5 mobility for the next 3 rounds. +-effects do not stack</v>
      </c>
      <c r="G835" s="16">
        <f>IFERROR(__xludf.DUMMYFUNCTION("""COMPUTED_VALUE"""),4.485E8)</f>
        <v>448500000</v>
      </c>
      <c r="H835" s="16"/>
      <c r="I835" s="16"/>
      <c r="J835" s="16"/>
      <c r="K835" s="16"/>
      <c r="L835" s="16"/>
      <c r="M835" s="16"/>
      <c r="N835" s="16"/>
      <c r="O835" s="16"/>
      <c r="P835" s="16"/>
      <c r="Q835" s="16"/>
      <c r="R835" s="16"/>
      <c r="S835" s="16"/>
      <c r="T835" s="16"/>
      <c r="U835" s="16"/>
      <c r="V835" s="16"/>
      <c r="W835" s="16"/>
      <c r="X835" s="16"/>
      <c r="Y835" s="16"/>
      <c r="Z835" s="16"/>
    </row>
    <row r="836">
      <c r="A836" s="16" t="str">
        <f>IFERROR(__xludf.DUMMYFUNCTION("""COMPUTED_VALUE"""),"Wyrmstone Club")</f>
        <v>Wyrmstone Club</v>
      </c>
      <c r="B836" s="16"/>
      <c r="C836" s="16" t="str">
        <f>IFERROR(__xludf.DUMMYFUNCTION("""COMPUTED_VALUE"""),"Club")</f>
        <v>Club</v>
      </c>
      <c r="D836" s="16" t="str">
        <f>IFERROR(__xludf.DUMMYFUNCTION("""COMPUTED_VALUE"""),"Hand")</f>
        <v>Hand</v>
      </c>
      <c r="E836" s="16">
        <f>IFERROR(__xludf.DUMMYFUNCTION("""COMPUTED_VALUE"""),2000.0)</f>
        <v>2000</v>
      </c>
      <c r="F836" s="16" t="str">
        <f>IFERROR(__xludf.DUMMYFUNCTION("""COMPUTED_VALUE"""),"DMG: +100000 +- Half damage against dragons")</f>
        <v>DMG: +100000 +- Half damage against dragons</v>
      </c>
      <c r="G836" s="16">
        <f>IFERROR(__xludf.DUMMYFUNCTION("""COMPUTED_VALUE"""),1.99E8)</f>
        <v>199000000</v>
      </c>
      <c r="H836" s="16"/>
      <c r="I836" s="16"/>
      <c r="J836" s="16"/>
      <c r="K836" s="16"/>
      <c r="L836" s="16"/>
      <c r="M836" s="16"/>
      <c r="N836" s="16"/>
      <c r="O836" s="16"/>
      <c r="P836" s="16"/>
      <c r="Q836" s="16"/>
      <c r="R836" s="16"/>
      <c r="S836" s="16"/>
      <c r="T836" s="16"/>
      <c r="U836" s="16"/>
      <c r="V836" s="16"/>
      <c r="W836" s="16"/>
      <c r="X836" s="16"/>
      <c r="Y836" s="16"/>
      <c r="Z836" s="16"/>
    </row>
    <row r="837">
      <c r="A837" s="16" t="str">
        <f>IFERROR(__xludf.DUMMYFUNCTION("""COMPUTED_VALUE"""),"Wyrmstone Mail")</f>
        <v>Wyrmstone Mail</v>
      </c>
      <c r="B837" s="16"/>
      <c r="C837" s="16" t="str">
        <f>IFERROR(__xludf.DUMMYFUNCTION("""COMPUTED_VALUE"""),"Item")</f>
        <v>Item</v>
      </c>
      <c r="D837" s="16" t="str">
        <f>IFERROR(__xludf.DUMMYFUNCTION("""COMPUTED_VALUE"""),"Torso")</f>
        <v>Torso</v>
      </c>
      <c r="E837" s="16">
        <f>IFERROR(__xludf.DUMMYFUNCTION("""COMPUTED_VALUE"""),2800.0)</f>
        <v>2800</v>
      </c>
      <c r="F837" s="16" t="str">
        <f>IFERROR(__xludf.DUMMYFUNCTION("""COMPUTED_VALUE"""),"DEF: +140000 ++Half damage received from dragons +-Cannot be forged or duplicated")</f>
        <v>DEF: +140000 ++Half damage received from dragons +-Cannot be forged or duplicated</v>
      </c>
      <c r="G837" s="16">
        <f>IFERROR(__xludf.DUMMYFUNCTION("""COMPUTED_VALUE"""),3.906E8)</f>
        <v>390600000</v>
      </c>
      <c r="H837" s="16"/>
      <c r="I837" s="16"/>
      <c r="J837" s="16"/>
      <c r="K837" s="16"/>
      <c r="L837" s="16"/>
      <c r="M837" s="16"/>
      <c r="N837" s="16"/>
      <c r="O837" s="16"/>
      <c r="P837" s="16"/>
      <c r="Q837" s="16"/>
      <c r="R837" s="16"/>
      <c r="S837" s="16"/>
      <c r="T837" s="16"/>
      <c r="U837" s="16"/>
      <c r="V837" s="16"/>
      <c r="W837" s="16"/>
      <c r="X837" s="16"/>
      <c r="Y837" s="16"/>
      <c r="Z837" s="16"/>
    </row>
    <row r="838">
      <c r="A838" s="16" t="str">
        <f>IFERROR(__xludf.DUMMYFUNCTION("""COMPUTED_VALUE"""),"Wyrmstone Helm")</f>
        <v>Wyrmstone Helm</v>
      </c>
      <c r="B838" s="16"/>
      <c r="C838" s="16" t="str">
        <f>IFERROR(__xludf.DUMMYFUNCTION("""COMPUTED_VALUE"""),"Item")</f>
        <v>Item</v>
      </c>
      <c r="D838" s="16" t="str">
        <f>IFERROR(__xludf.DUMMYFUNCTION("""COMPUTED_VALUE"""),"Head")</f>
        <v>Head</v>
      </c>
      <c r="E838" s="16">
        <f>IFERROR(__xludf.DUMMYFUNCTION("""COMPUTED_VALUE"""),2400.0)</f>
        <v>2400</v>
      </c>
      <c r="F838" s="16" t="str">
        <f>IFERROR(__xludf.DUMMYFUNCTION("""COMPUTED_VALUE"""),"DEF: +120000 +-Cannot be forged or duplicated")</f>
        <v>DEF: +120000 +-Cannot be forged or duplicated</v>
      </c>
      <c r="G838" s="16">
        <f>IFERROR(__xludf.DUMMYFUNCTION("""COMPUTED_VALUE"""),2.868E8)</f>
        <v>286800000</v>
      </c>
      <c r="H838" s="16"/>
      <c r="I838" s="16"/>
      <c r="J838" s="16"/>
      <c r="K838" s="16"/>
      <c r="L838" s="16"/>
      <c r="M838" s="16"/>
      <c r="N838" s="16"/>
      <c r="O838" s="16"/>
      <c r="P838" s="16"/>
      <c r="Q838" s="16"/>
      <c r="R838" s="16"/>
      <c r="S838" s="16"/>
      <c r="T838" s="16"/>
      <c r="U838" s="16"/>
      <c r="V838" s="16"/>
      <c r="W838" s="16"/>
      <c r="X838" s="16"/>
      <c r="Y838" s="16"/>
      <c r="Z838" s="16"/>
    </row>
    <row r="839">
      <c r="A839" s="16" t="str">
        <f>IFERROR(__xludf.DUMMYFUNCTION("""COMPUTED_VALUE"""),"Wyrmstone Buckler")</f>
        <v>Wyrmstone Buckler</v>
      </c>
      <c r="B839" s="16"/>
      <c r="C839" s="16" t="str">
        <f>IFERROR(__xludf.DUMMYFUNCTION("""COMPUTED_VALUE"""),"Buckler")</f>
        <v>Buckler</v>
      </c>
      <c r="D839" s="16" t="str">
        <f>IFERROR(__xludf.DUMMYFUNCTION("""COMPUTED_VALUE"""),"Hand")</f>
        <v>Hand</v>
      </c>
      <c r="E839" s="16">
        <f>IFERROR(__xludf.DUMMYFUNCTION("""COMPUTED_VALUE"""),3000.0)</f>
        <v>3000</v>
      </c>
      <c r="F839" s="16" t="str">
        <f>IFERROR(__xludf.DUMMYFUNCTION("""COMPUTED_VALUE"""),"DEF: +150000 ++25% chance to parry dragons' attacks +-Cannot be forged or duplicated")</f>
        <v>DEF: +150000 ++25% chance to parry dragons' attacks +-Cannot be forged or duplicated</v>
      </c>
      <c r="G839" s="16">
        <f>IFERROR(__xludf.DUMMYFUNCTION("""COMPUTED_VALUE"""),4.485E8)</f>
        <v>448500000</v>
      </c>
      <c r="H839" s="16"/>
      <c r="I839" s="16"/>
      <c r="J839" s="16"/>
      <c r="K839" s="16"/>
      <c r="L839" s="16"/>
      <c r="M839" s="16"/>
      <c r="N839" s="16"/>
      <c r="O839" s="16"/>
      <c r="P839" s="16"/>
      <c r="Q839" s="16"/>
      <c r="R839" s="16"/>
      <c r="S839" s="16"/>
      <c r="T839" s="16"/>
      <c r="U839" s="16"/>
      <c r="V839" s="16"/>
      <c r="W839" s="16"/>
      <c r="X839" s="16"/>
      <c r="Y839" s="16"/>
      <c r="Z839" s="16"/>
    </row>
    <row r="840">
      <c r="A840" s="16" t="str">
        <f>IFERROR(__xludf.DUMMYFUNCTION("""COMPUTED_VALUE"""),"Wyrmstone Gauntlet")</f>
        <v>Wyrmstone Gauntlet</v>
      </c>
      <c r="B840" s="16"/>
      <c r="C840" s="16" t="str">
        <f>IFERROR(__xludf.DUMMYFUNCTION("""COMPUTED_VALUE"""),"Gauntlet")</f>
        <v>Gauntlet</v>
      </c>
      <c r="D840" s="16" t="str">
        <f>IFERROR(__xludf.DUMMYFUNCTION("""COMPUTED_VALUE"""),"Hand")</f>
        <v>Hand</v>
      </c>
      <c r="E840" s="16">
        <f>IFERROR(__xludf.DUMMYFUNCTION("""COMPUTED_VALUE"""),3000.0)</f>
        <v>3000</v>
      </c>
      <c r="F840" s="16" t="str">
        <f>IFERROR(__xludf.DUMMYFUNCTION("""COMPUTED_VALUE"""),"DEF: +125000, Light DEF: +25000")</f>
        <v>DEF: +125000, Light DEF: +25000</v>
      </c>
      <c r="G840" s="16">
        <f>IFERROR(__xludf.DUMMYFUNCTION("""COMPUTED_VALUE"""),4.485E8)</f>
        <v>448500000</v>
      </c>
      <c r="H840" s="16"/>
      <c r="I840" s="16"/>
      <c r="J840" s="16"/>
      <c r="K840" s="16"/>
      <c r="L840" s="16"/>
      <c r="M840" s="16"/>
      <c r="N840" s="16"/>
      <c r="O840" s="16"/>
      <c r="P840" s="16"/>
      <c r="Q840" s="16"/>
      <c r="R840" s="16"/>
      <c r="S840" s="16"/>
      <c r="T840" s="16"/>
      <c r="U840" s="16"/>
      <c r="V840" s="16"/>
      <c r="W840" s="16"/>
      <c r="X840" s="16"/>
      <c r="Y840" s="16"/>
      <c r="Z840" s="16"/>
    </row>
    <row r="841">
      <c r="A841" s="16" t="str">
        <f>IFERROR(__xludf.DUMMYFUNCTION("""COMPUTED_VALUE"""),"Wyrmstone Leggings")</f>
        <v>Wyrmstone Leggings</v>
      </c>
      <c r="B841" s="16"/>
      <c r="C841" s="16" t="str">
        <f>IFERROR(__xludf.DUMMYFUNCTION("""COMPUTED_VALUE"""),"Item")</f>
        <v>Item</v>
      </c>
      <c r="D841" s="16" t="str">
        <f>IFERROR(__xludf.DUMMYFUNCTION("""COMPUTED_VALUE"""),"Legs")</f>
        <v>Legs</v>
      </c>
      <c r="E841" s="16">
        <f>IFERROR(__xludf.DUMMYFUNCTION("""COMPUTED_VALUE"""),2000.0)</f>
        <v>2000</v>
      </c>
      <c r="F841" s="16" t="str">
        <f>IFERROR(__xludf.DUMMYFUNCTION("""COMPUTED_VALUE"""),"DEF: +100000")</f>
        <v>DEF: +100000</v>
      </c>
      <c r="G841" s="16">
        <f>IFERROR(__xludf.DUMMYFUNCTION("""COMPUTED_VALUE"""),1.99E8)</f>
        <v>199000000</v>
      </c>
      <c r="H841" s="16"/>
      <c r="I841" s="16"/>
      <c r="J841" s="16"/>
      <c r="K841" s="16"/>
      <c r="L841" s="16"/>
      <c r="M841" s="16"/>
      <c r="N841" s="16"/>
      <c r="O841" s="16"/>
      <c r="P841" s="16"/>
      <c r="Q841" s="16"/>
      <c r="R841" s="16"/>
      <c r="S841" s="16"/>
      <c r="T841" s="16"/>
      <c r="U841" s="16"/>
      <c r="V841" s="16"/>
      <c r="W841" s="16"/>
      <c r="X841" s="16"/>
      <c r="Y841" s="16"/>
      <c r="Z841" s="16"/>
    </row>
    <row r="842">
      <c r="A842" s="16" t="str">
        <f>IFERROR(__xludf.DUMMYFUNCTION("""COMPUTED_VALUE"""),"Wyrmstone Lance")</f>
        <v>Wyrmstone Lance</v>
      </c>
      <c r="B842" s="16"/>
      <c r="C842" s="16" t="str">
        <f>IFERROR(__xludf.DUMMYFUNCTION("""COMPUTED_VALUE"""),"Spear")</f>
        <v>Spear</v>
      </c>
      <c r="D842" s="16" t="str">
        <f>IFERROR(__xludf.DUMMYFUNCTION("""COMPUTED_VALUE"""),"Hand")</f>
        <v>Hand</v>
      </c>
      <c r="E842" s="16">
        <f>IFERROR(__xludf.DUMMYFUNCTION("""COMPUTED_VALUE"""),2000.0)</f>
        <v>2000</v>
      </c>
      <c r="F842" s="16" t="str">
        <f>IFERROR(__xludf.DUMMYFUNCTION("""COMPUTED_VALUE"""),"DMG: +100000 ++Damage doubles if used two turns in a row +-Cannot be forged or duplicated")</f>
        <v>DMG: +100000 ++Damage doubles if used two turns in a row +-Cannot be forged or duplicated</v>
      </c>
      <c r="G842" s="16">
        <f>IFERROR(__xludf.DUMMYFUNCTION("""COMPUTED_VALUE"""),1.99E8)</f>
        <v>199000000</v>
      </c>
      <c r="H842" s="16"/>
      <c r="I842" s="16"/>
      <c r="J842" s="16"/>
      <c r="K842" s="16"/>
      <c r="L842" s="16"/>
      <c r="M842" s="16"/>
      <c r="N842" s="16"/>
      <c r="O842" s="16"/>
      <c r="P842" s="16"/>
      <c r="Q842" s="16"/>
      <c r="R842" s="16"/>
      <c r="S842" s="16"/>
      <c r="T842" s="16"/>
      <c r="U842" s="16"/>
      <c r="V842" s="16"/>
      <c r="W842" s="16"/>
      <c r="X842" s="16"/>
      <c r="Y842" s="16"/>
      <c r="Z842" s="16"/>
    </row>
    <row r="843">
      <c r="A843" s="16" t="str">
        <f>IFERROR(__xludf.DUMMYFUNCTION("""COMPUTED_VALUE"""),"Wyrmstone Nails")</f>
        <v>Wyrmstone Nails</v>
      </c>
      <c r="B843" s="16"/>
      <c r="C843" s="16" t="str">
        <f>IFERROR(__xludf.DUMMYFUNCTION("""COMPUTED_VALUE"""),"Claw")</f>
        <v>Claw</v>
      </c>
      <c r="D843" s="16" t="str">
        <f>IFERROR(__xludf.DUMMYFUNCTION("""COMPUTED_VALUE"""),"Hand")</f>
        <v>Hand</v>
      </c>
      <c r="E843" s="16">
        <f>IFERROR(__xludf.DUMMYFUNCTION("""COMPUTED_VALUE"""),2600.0)</f>
        <v>2600</v>
      </c>
      <c r="F843" s="16" t="str">
        <f>IFERROR(__xludf.DUMMYFUNCTION("""COMPUTED_VALUE"""),"DMG: +130000")</f>
        <v>DMG: +130000</v>
      </c>
      <c r="G843" s="16">
        <f>IFERROR(__xludf.DUMMYFUNCTION("""COMPUTED_VALUE"""),3.367E8)</f>
        <v>336700000</v>
      </c>
      <c r="H843" s="16"/>
      <c r="I843" s="16"/>
      <c r="J843" s="16"/>
      <c r="K843" s="16"/>
      <c r="L843" s="16"/>
      <c r="M843" s="16"/>
      <c r="N843" s="16"/>
      <c r="O843" s="16"/>
      <c r="P843" s="16"/>
      <c r="Q843" s="16"/>
      <c r="R843" s="16"/>
      <c r="S843" s="16"/>
      <c r="T843" s="16"/>
      <c r="U843" s="16"/>
      <c r="V843" s="16"/>
      <c r="W843" s="16"/>
      <c r="X843" s="16"/>
      <c r="Y843" s="16"/>
      <c r="Z843" s="16"/>
    </row>
    <row r="844">
      <c r="A844" s="16" t="str">
        <f>IFERROR(__xludf.DUMMYFUNCTION("""COMPUTED_VALUE"""),"Lizard Warrior's Scale Helm")</f>
        <v>Lizard Warrior's Scale Helm</v>
      </c>
      <c r="B844" s="16"/>
      <c r="C844" s="16" t="str">
        <f>IFERROR(__xludf.DUMMYFUNCTION("""COMPUTED_VALUE"""),"Item")</f>
        <v>Item</v>
      </c>
      <c r="D844" s="16" t="str">
        <f>IFERROR(__xludf.DUMMYFUNCTION("""COMPUTED_VALUE"""),"Head")</f>
        <v>Head</v>
      </c>
      <c r="E844" s="16">
        <f>IFERROR(__xludf.DUMMYFUNCTION("""COMPUTED_VALUE"""),3000.0)</f>
        <v>3000</v>
      </c>
      <c r="F844" s="16" t="str">
        <f>IFERROR(__xludf.DUMMYFUNCTION("""COMPUTED_VALUE"""),"DEF: +100000, Nature DEF: +50000")</f>
        <v>DEF: +100000, Nature DEF: +50000</v>
      </c>
      <c r="G844" s="16">
        <f>IFERROR(__xludf.DUMMYFUNCTION("""COMPUTED_VALUE"""),4.485E8)</f>
        <v>448500000</v>
      </c>
      <c r="H844" s="16"/>
      <c r="I844" s="16"/>
      <c r="J844" s="16"/>
      <c r="K844" s="16"/>
      <c r="L844" s="16"/>
      <c r="M844" s="16"/>
      <c r="N844" s="16"/>
      <c r="O844" s="16"/>
      <c r="P844" s="16"/>
      <c r="Q844" s="16"/>
      <c r="R844" s="16"/>
      <c r="S844" s="16"/>
      <c r="T844" s="16"/>
      <c r="U844" s="16"/>
      <c r="V844" s="16"/>
      <c r="W844" s="16"/>
      <c r="X844" s="16"/>
      <c r="Y844" s="16"/>
      <c r="Z844" s="16"/>
    </row>
    <row r="845">
      <c r="A845" s="16" t="str">
        <f>IFERROR(__xludf.DUMMYFUNCTION("""COMPUTED_VALUE"""),"Lizard Warrior's Scaled Pauldrons")</f>
        <v>Lizard Warrior's Scaled Pauldrons</v>
      </c>
      <c r="B845" s="16"/>
      <c r="C845" s="16" t="str">
        <f>IFERROR(__xludf.DUMMYFUNCTION("""COMPUTED_VALUE"""),"Item")</f>
        <v>Item</v>
      </c>
      <c r="D845" s="16" t="str">
        <f>IFERROR(__xludf.DUMMYFUNCTION("""COMPUTED_VALUE"""),"Shoulders")</f>
        <v>Shoulders</v>
      </c>
      <c r="E845" s="16">
        <f>IFERROR(__xludf.DUMMYFUNCTION("""COMPUTED_VALUE"""),3000.0)</f>
        <v>3000</v>
      </c>
      <c r="F845" s="16" t="str">
        <f>IFERROR(__xludf.DUMMYFUNCTION("""COMPUTED_VALUE"""),"DEF: +100000, Nature DEF: +50000")</f>
        <v>DEF: +100000, Nature DEF: +50000</v>
      </c>
      <c r="G845" s="16">
        <f>IFERROR(__xludf.DUMMYFUNCTION("""COMPUTED_VALUE"""),4.485E8)</f>
        <v>448500000</v>
      </c>
      <c r="H845" s="16"/>
      <c r="I845" s="16"/>
      <c r="J845" s="16"/>
      <c r="K845" s="16"/>
      <c r="L845" s="16"/>
      <c r="M845" s="16"/>
      <c r="N845" s="16"/>
      <c r="O845" s="16"/>
      <c r="P845" s="16"/>
      <c r="Q845" s="16"/>
      <c r="R845" s="16"/>
      <c r="S845" s="16"/>
      <c r="T845" s="16"/>
      <c r="U845" s="16"/>
      <c r="V845" s="16"/>
      <c r="W845" s="16"/>
      <c r="X845" s="16"/>
      <c r="Y845" s="16"/>
      <c r="Z845" s="16"/>
    </row>
    <row r="846">
      <c r="A846" s="16" t="str">
        <f>IFERROR(__xludf.DUMMYFUNCTION("""COMPUTED_VALUE"""),"Lizard Warrior's Scaled Chest")</f>
        <v>Lizard Warrior's Scaled Chest</v>
      </c>
      <c r="B846" s="16"/>
      <c r="C846" s="16" t="str">
        <f>IFERROR(__xludf.DUMMYFUNCTION("""COMPUTED_VALUE"""),"Item")</f>
        <v>Item</v>
      </c>
      <c r="D846" s="16" t="str">
        <f>IFERROR(__xludf.DUMMYFUNCTION("""COMPUTED_VALUE"""),"Torso")</f>
        <v>Torso</v>
      </c>
      <c r="E846" s="16">
        <f>IFERROR(__xludf.DUMMYFUNCTION("""COMPUTED_VALUE"""),3000.0)</f>
        <v>3000</v>
      </c>
      <c r="F846" s="16" t="str">
        <f>IFERROR(__xludf.DUMMYFUNCTION("""COMPUTED_VALUE"""),"DEF: +100000, Nature DEF: +50000 ++When the wearer is attacked, the one that attacked them takes 15000 poison for 3 rounds")</f>
        <v>DEF: +100000, Nature DEF: +50000 ++When the wearer is attacked, the one that attacked them takes 15000 poison for 3 rounds</v>
      </c>
      <c r="G846" s="16">
        <f>IFERROR(__xludf.DUMMYFUNCTION("""COMPUTED_VALUE"""),4.485E8)</f>
        <v>448500000</v>
      </c>
      <c r="H846" s="16"/>
      <c r="I846" s="16"/>
      <c r="J846" s="16"/>
      <c r="K846" s="16"/>
      <c r="L846" s="16"/>
      <c r="M846" s="16"/>
      <c r="N846" s="16"/>
      <c r="O846" s="16"/>
      <c r="P846" s="16"/>
      <c r="Q846" s="16"/>
      <c r="R846" s="16"/>
      <c r="S846" s="16"/>
      <c r="T846" s="16"/>
      <c r="U846" s="16"/>
      <c r="V846" s="16"/>
      <c r="W846" s="16"/>
      <c r="X846" s="16"/>
      <c r="Y846" s="16"/>
      <c r="Z846" s="16"/>
    </row>
    <row r="847">
      <c r="A847" s="16" t="str">
        <f>IFERROR(__xludf.DUMMYFUNCTION("""COMPUTED_VALUE"""),"Lizard Warrior's Scaled Arms")</f>
        <v>Lizard Warrior's Scaled Arms</v>
      </c>
      <c r="B847" s="16"/>
      <c r="C847" s="16" t="str">
        <f>IFERROR(__xludf.DUMMYFUNCTION("""COMPUTED_VALUE"""),"Item")</f>
        <v>Item</v>
      </c>
      <c r="D847" s="16" t="str">
        <f>IFERROR(__xludf.DUMMYFUNCTION("""COMPUTED_VALUE"""),"Arms")</f>
        <v>Arms</v>
      </c>
      <c r="E847" s="16">
        <f>IFERROR(__xludf.DUMMYFUNCTION("""COMPUTED_VALUE"""),3000.0)</f>
        <v>3000</v>
      </c>
      <c r="F847" s="16" t="str">
        <f>IFERROR(__xludf.DUMMYFUNCTION("""COMPUTED_VALUE"""),"DEF: +100000, Nature DEF: +50000 ++7500 DEF for every enemy currently poisoned (Max 37500)")</f>
        <v>DEF: +100000, Nature DEF: +50000 ++7500 DEF for every enemy currently poisoned (Max 37500)</v>
      </c>
      <c r="G847" s="16">
        <f>IFERROR(__xludf.DUMMYFUNCTION("""COMPUTED_VALUE"""),4.485E8)</f>
        <v>448500000</v>
      </c>
      <c r="H847" s="16"/>
      <c r="I847" s="16"/>
      <c r="J847" s="16"/>
      <c r="K847" s="16"/>
      <c r="L847" s="16"/>
      <c r="M847" s="16"/>
      <c r="N847" s="16"/>
      <c r="O847" s="16"/>
      <c r="P847" s="16"/>
      <c r="Q847" s="16"/>
      <c r="R847" s="16"/>
      <c r="S847" s="16"/>
      <c r="T847" s="16"/>
      <c r="U847" s="16"/>
      <c r="V847" s="16"/>
      <c r="W847" s="16"/>
      <c r="X847" s="16"/>
      <c r="Y847" s="16"/>
      <c r="Z847" s="16"/>
    </row>
    <row r="848">
      <c r="A848" s="16" t="str">
        <f>IFERROR(__xludf.DUMMYFUNCTION("""COMPUTED_VALUE"""),"Lizard Warrior's Bracelets")</f>
        <v>Lizard Warrior's Bracelets</v>
      </c>
      <c r="B848" s="16"/>
      <c r="C848" s="16" t="str">
        <f>IFERROR(__xludf.DUMMYFUNCTION("""COMPUTED_VALUE"""),"Item")</f>
        <v>Item</v>
      </c>
      <c r="D848" s="16" t="str">
        <f>IFERROR(__xludf.DUMMYFUNCTION("""COMPUTED_VALUE"""),"Arms")</f>
        <v>Arms</v>
      </c>
      <c r="E848" s="16">
        <f>IFERROR(__xludf.DUMMYFUNCTION("""COMPUTED_VALUE"""),3000.0)</f>
        <v>3000</v>
      </c>
      <c r="F848" s="16" t="str">
        <f>IFERROR(__xludf.DUMMYFUNCTION("""COMPUTED_VALUE"""),"DEF: +100000, Nature DEF: +50000 ++5000 ACC for every enemy currently poisoned (Max 25000)")</f>
        <v>DEF: +100000, Nature DEF: +50000 ++5000 ACC for every enemy currently poisoned (Max 25000)</v>
      </c>
      <c r="G848" s="16">
        <f>IFERROR(__xludf.DUMMYFUNCTION("""COMPUTED_VALUE"""),4.485E8)</f>
        <v>448500000</v>
      </c>
      <c r="H848" s="16"/>
      <c r="I848" s="16"/>
      <c r="J848" s="16"/>
      <c r="K848" s="16"/>
      <c r="L848" s="16"/>
      <c r="M848" s="16"/>
      <c r="N848" s="16"/>
      <c r="O848" s="16"/>
      <c r="P848" s="16"/>
      <c r="Q848" s="16"/>
      <c r="R848" s="16"/>
      <c r="S848" s="16"/>
      <c r="T848" s="16"/>
      <c r="U848" s="16"/>
      <c r="V848" s="16"/>
      <c r="W848" s="16"/>
      <c r="X848" s="16"/>
      <c r="Y848" s="16"/>
      <c r="Z848" s="16"/>
    </row>
    <row r="849">
      <c r="A849" s="16" t="str">
        <f>IFERROR(__xludf.DUMMYFUNCTION("""COMPUTED_VALUE"""),"Lizard Warrior's Scaled Legs")</f>
        <v>Lizard Warrior's Scaled Legs</v>
      </c>
      <c r="B849" s="16"/>
      <c r="C849" s="16" t="str">
        <f>IFERROR(__xludf.DUMMYFUNCTION("""COMPUTED_VALUE"""),"Item")</f>
        <v>Item</v>
      </c>
      <c r="D849" s="16" t="str">
        <f>IFERROR(__xludf.DUMMYFUNCTION("""COMPUTED_VALUE"""),"Legs")</f>
        <v>Legs</v>
      </c>
      <c r="E849" s="16">
        <f>IFERROR(__xludf.DUMMYFUNCTION("""COMPUTED_VALUE"""),3000.0)</f>
        <v>3000</v>
      </c>
      <c r="F849" s="16" t="str">
        <f>IFERROR(__xludf.DUMMYFUNCTION("""COMPUTED_VALUE"""),"DEF: +100000, Nature DEF: +50000 ++5000 ATK for every enemy currently poisoned (Max 25000)")</f>
        <v>DEF: +100000, Nature DEF: +50000 ++5000 ATK for every enemy currently poisoned (Max 25000)</v>
      </c>
      <c r="G849" s="16">
        <f>IFERROR(__xludf.DUMMYFUNCTION("""COMPUTED_VALUE"""),4.485E8)</f>
        <v>448500000</v>
      </c>
      <c r="H849" s="16"/>
      <c r="I849" s="16"/>
      <c r="J849" s="16"/>
      <c r="K849" s="16"/>
      <c r="L849" s="16"/>
      <c r="M849" s="16"/>
      <c r="N849" s="16"/>
      <c r="O849" s="16"/>
      <c r="P849" s="16"/>
      <c r="Q849" s="16"/>
      <c r="R849" s="16"/>
      <c r="S849" s="16"/>
      <c r="T849" s="16"/>
      <c r="U849" s="16"/>
      <c r="V849" s="16"/>
      <c r="W849" s="16"/>
      <c r="X849" s="16"/>
      <c r="Y849" s="16"/>
      <c r="Z849" s="16"/>
    </row>
    <row r="850">
      <c r="A850" s="16" t="str">
        <f>IFERROR(__xludf.DUMMYFUNCTION("""COMPUTED_VALUE"""),"Lizard Warrior's Scaled Boots")</f>
        <v>Lizard Warrior's Scaled Boots</v>
      </c>
      <c r="B850" s="16"/>
      <c r="C850" s="16" t="str">
        <f>IFERROR(__xludf.DUMMYFUNCTION("""COMPUTED_VALUE"""),"Item")</f>
        <v>Item</v>
      </c>
      <c r="D850" s="16" t="str">
        <f>IFERROR(__xludf.DUMMYFUNCTION("""COMPUTED_VALUE"""),"Feet")</f>
        <v>Feet</v>
      </c>
      <c r="E850" s="16">
        <f>IFERROR(__xludf.DUMMYFUNCTION("""COMPUTED_VALUE"""),3000.0)</f>
        <v>3000</v>
      </c>
      <c r="F850" s="16" t="str">
        <f>IFERROR(__xludf.DUMMYFUNCTION("""COMPUTED_VALUE"""),"DEF: +100000, Nature DEF: +50000 ++1 Mobility for every enemy currently poisoned (Max 5)")</f>
        <v>DEF: +100000, Nature DEF: +50000 ++1 Mobility for every enemy currently poisoned (Max 5)</v>
      </c>
      <c r="G850" s="16">
        <f>IFERROR(__xludf.DUMMYFUNCTION("""COMPUTED_VALUE"""),4.485E8)</f>
        <v>448500000</v>
      </c>
      <c r="H850" s="16"/>
      <c r="I850" s="16"/>
      <c r="J850" s="16"/>
      <c r="K850" s="16"/>
      <c r="L850" s="16"/>
      <c r="M850" s="16"/>
      <c r="N850" s="16"/>
      <c r="O850" s="16"/>
      <c r="P850" s="16"/>
      <c r="Q850" s="16"/>
      <c r="R850" s="16"/>
      <c r="S850" s="16"/>
      <c r="T850" s="16"/>
      <c r="U850" s="16"/>
      <c r="V850" s="16"/>
      <c r="W850" s="16"/>
      <c r="X850" s="16"/>
      <c r="Y850" s="16"/>
      <c r="Z850" s="16"/>
    </row>
    <row r="851">
      <c r="A851" s="16" t="str">
        <f>IFERROR(__xludf.DUMMYFUNCTION("""COMPUTED_VALUE"""),"Lizard Warrior's Claw")</f>
        <v>Lizard Warrior's Claw</v>
      </c>
      <c r="B851" s="16"/>
      <c r="C851" s="16" t="str">
        <f>IFERROR(__xludf.DUMMYFUNCTION("""COMPUTED_VALUE"""),"Claw")</f>
        <v>Claw</v>
      </c>
      <c r="D851" s="16" t="str">
        <f>IFERROR(__xludf.DUMMYFUNCTION("""COMPUTED_VALUE"""),"Hand")</f>
        <v>Hand</v>
      </c>
      <c r="E851" s="16">
        <f>IFERROR(__xludf.DUMMYFUNCTION("""COMPUTED_VALUE"""),3000.0)</f>
        <v>3000</v>
      </c>
      <c r="F851" s="16" t="str">
        <f>IFERROR(__xludf.DUMMYFUNCTION("""COMPUTED_VALUE"""),"DMG: +100000, Nature DMG: +50000 ++X20 damage against poisoned enemies, All damage dealt against poisoned enemies with this item is poison damage.")</f>
        <v>DMG: +100000, Nature DMG: +50000 ++X20 damage against poisoned enemies, All damage dealt against poisoned enemies with this item is poison damage.</v>
      </c>
      <c r="G851" s="16">
        <f>IFERROR(__xludf.DUMMYFUNCTION("""COMPUTED_VALUE"""),4.485E8)</f>
        <v>448500000</v>
      </c>
      <c r="H851" s="16"/>
      <c r="I851" s="16"/>
      <c r="J851" s="16"/>
      <c r="K851" s="16"/>
      <c r="L851" s="16"/>
      <c r="M851" s="16"/>
      <c r="N851" s="16"/>
      <c r="O851" s="16"/>
      <c r="P851" s="16"/>
      <c r="Q851" s="16"/>
      <c r="R851" s="16"/>
      <c r="S851" s="16"/>
      <c r="T851" s="16"/>
      <c r="U851" s="16"/>
      <c r="V851" s="16"/>
      <c r="W851" s="16"/>
      <c r="X851" s="16"/>
      <c r="Y851" s="16"/>
      <c r="Z851" s="16"/>
    </row>
    <row r="852">
      <c r="A852" s="16" t="str">
        <f>IFERROR(__xludf.DUMMYFUNCTION("""COMPUTED_VALUE"""),"Lizard Warrior Guantlet")</f>
        <v>Lizard Warrior Guantlet</v>
      </c>
      <c r="B852" s="16"/>
      <c r="C852" s="16" t="str">
        <f>IFERROR(__xludf.DUMMYFUNCTION("""COMPUTED_VALUE"""),"Gauntlet")</f>
        <v>Gauntlet</v>
      </c>
      <c r="D852" s="16" t="str">
        <f>IFERROR(__xludf.DUMMYFUNCTION("""COMPUTED_VALUE"""),"Hand")</f>
        <v>Hand</v>
      </c>
      <c r="E852" s="16">
        <f>IFERROR(__xludf.DUMMYFUNCTION("""COMPUTED_VALUE"""),3000.0)</f>
        <v>3000</v>
      </c>
      <c r="F852" s="16" t="str">
        <f>IFERROR(__xludf.DUMMYFUNCTION("""COMPUTED_VALUE"""),"DEF: +100000, Nature DEF: +50000 ++50% chance to be unaffected by a weapon attack from a poisoned enemy")</f>
        <v>DEF: +100000, Nature DEF: +50000 ++50% chance to be unaffected by a weapon attack from a poisoned enemy</v>
      </c>
      <c r="G852" s="16">
        <f>IFERROR(__xludf.DUMMYFUNCTION("""COMPUTED_VALUE"""),4.485E8)</f>
        <v>448500000</v>
      </c>
      <c r="H852" s="16"/>
      <c r="I852" s="16"/>
      <c r="J852" s="16"/>
      <c r="K852" s="16"/>
      <c r="L852" s="16"/>
      <c r="M852" s="16"/>
      <c r="N852" s="16"/>
      <c r="O852" s="16"/>
      <c r="P852" s="16"/>
      <c r="Q852" s="16"/>
      <c r="R852" s="16"/>
      <c r="S852" s="16"/>
      <c r="T852" s="16"/>
      <c r="U852" s="16"/>
      <c r="V852" s="16"/>
      <c r="W852" s="16"/>
      <c r="X852" s="16"/>
      <c r="Y852" s="16"/>
      <c r="Z852" s="16"/>
    </row>
    <row r="853">
      <c r="A853" s="16" t="str">
        <f>IFERROR(__xludf.DUMMYFUNCTION("""COMPUTED_VALUE"""),"Igaunian Assassin's Cowl")</f>
        <v>Igaunian Assassin's Cowl</v>
      </c>
      <c r="B853" s="16"/>
      <c r="C853" s="16" t="str">
        <f>IFERROR(__xludf.DUMMYFUNCTION("""COMPUTED_VALUE"""),"Item")</f>
        <v>Item</v>
      </c>
      <c r="D853" s="16" t="str">
        <f>IFERROR(__xludf.DUMMYFUNCTION("""COMPUTED_VALUE"""),"Head")</f>
        <v>Head</v>
      </c>
      <c r="E853" s="16">
        <f>IFERROR(__xludf.DUMMYFUNCTION("""COMPUTED_VALUE"""),2000.0)</f>
        <v>2000</v>
      </c>
      <c r="F853" s="16" t="str">
        <f>IFERROR(__xludf.DUMMYFUNCTION("""COMPUTED_VALUE"""),"DEF: +75000, Nature DEF: +25000 ++15000 ATK and ACC ++X4 Knife and Boomerang damage ++5 to all weapon attacks if concealed")</f>
        <v>DEF: +75000, Nature DEF: +25000 ++15000 ATK and ACC ++X4 Knife and Boomerang damage ++5 to all weapon attacks if concealed</v>
      </c>
      <c r="G853" s="16">
        <f>IFERROR(__xludf.DUMMYFUNCTION("""COMPUTED_VALUE"""),1.99E8)</f>
        <v>199000000</v>
      </c>
      <c r="H853" s="16"/>
      <c r="I853" s="16"/>
      <c r="J853" s="16"/>
      <c r="K853" s="16"/>
      <c r="L853" s="16"/>
      <c r="M853" s="16"/>
      <c r="N853" s="16"/>
      <c r="O853" s="16"/>
      <c r="P853" s="16"/>
      <c r="Q853" s="16"/>
      <c r="R853" s="16"/>
      <c r="S853" s="16"/>
      <c r="T853" s="16"/>
      <c r="U853" s="16"/>
      <c r="V853" s="16"/>
      <c r="W853" s="16"/>
      <c r="X853" s="16"/>
      <c r="Y853" s="16"/>
      <c r="Z853" s="16"/>
    </row>
    <row r="854">
      <c r="A854" s="16" t="str">
        <f>IFERROR(__xludf.DUMMYFUNCTION("""COMPUTED_VALUE"""),"Igaunian Assassin's Cloths")</f>
        <v>Igaunian Assassin's Cloths</v>
      </c>
      <c r="B854" s="16"/>
      <c r="C854" s="16" t="str">
        <f>IFERROR(__xludf.DUMMYFUNCTION("""COMPUTED_VALUE"""),"Item")</f>
        <v>Item</v>
      </c>
      <c r="D854" s="16" t="str">
        <f>IFERROR(__xludf.DUMMYFUNCTION("""COMPUTED_VALUE"""),"Torso")</f>
        <v>Torso</v>
      </c>
      <c r="E854" s="16">
        <f>IFERROR(__xludf.DUMMYFUNCTION("""COMPUTED_VALUE"""),2000.0)</f>
        <v>2000</v>
      </c>
      <c r="F854" s="16" t="str">
        <f>IFERROR(__xludf.DUMMYFUNCTION("""COMPUTED_VALUE"""),"DEF: +75000, Nature DEF: +25000 ++15000 ATK and ACC ++X4 Knife and Boomerang damage")</f>
        <v>DEF: +75000, Nature DEF: +25000 ++15000 ATK and ACC ++X4 Knife and Boomerang damage</v>
      </c>
      <c r="G854" s="16">
        <f>IFERROR(__xludf.DUMMYFUNCTION("""COMPUTED_VALUE"""),1.99E8)</f>
        <v>199000000</v>
      </c>
      <c r="H854" s="16"/>
      <c r="I854" s="16"/>
      <c r="J854" s="16"/>
      <c r="K854" s="16"/>
      <c r="L854" s="16"/>
      <c r="M854" s="16"/>
      <c r="N854" s="16"/>
      <c r="O854" s="16"/>
      <c r="P854" s="16"/>
      <c r="Q854" s="16"/>
      <c r="R854" s="16"/>
      <c r="S854" s="16"/>
      <c r="T854" s="16"/>
      <c r="U854" s="16"/>
      <c r="V854" s="16"/>
      <c r="W854" s="16"/>
      <c r="X854" s="16"/>
      <c r="Y854" s="16"/>
      <c r="Z854" s="16"/>
    </row>
    <row r="855">
      <c r="A855" s="16" t="str">
        <f>IFERROR(__xludf.DUMMYFUNCTION("""COMPUTED_VALUE"""),"Iguanian Assassin's Pants")</f>
        <v>Iguanian Assassin's Pants</v>
      </c>
      <c r="B855" s="16"/>
      <c r="C855" s="16" t="str">
        <f>IFERROR(__xludf.DUMMYFUNCTION("""COMPUTED_VALUE"""),"Item")</f>
        <v>Item</v>
      </c>
      <c r="D855" s="16" t="str">
        <f>IFERROR(__xludf.DUMMYFUNCTION("""COMPUTED_VALUE"""),"Legs")</f>
        <v>Legs</v>
      </c>
      <c r="E855" s="16">
        <f>IFERROR(__xludf.DUMMYFUNCTION("""COMPUTED_VALUE"""),2000.0)</f>
        <v>2000</v>
      </c>
      <c r="F855" s="16" t="str">
        <f>IFERROR(__xludf.DUMMYFUNCTION("""COMPUTED_VALUE"""),"DEF: +75000, Nature DEF: +25000 ++15000 ATK and ACC ++X4 Knife and Boomerang damage")</f>
        <v>DEF: +75000, Nature DEF: +25000 ++15000 ATK and ACC ++X4 Knife and Boomerang damage</v>
      </c>
      <c r="G855" s="16">
        <f>IFERROR(__xludf.DUMMYFUNCTION("""COMPUTED_VALUE"""),1.99E8)</f>
        <v>199000000</v>
      </c>
      <c r="H855" s="16"/>
      <c r="I855" s="16"/>
      <c r="J855" s="16"/>
      <c r="K855" s="16"/>
      <c r="L855" s="16"/>
      <c r="M855" s="16"/>
      <c r="N855" s="16"/>
      <c r="O855" s="16"/>
      <c r="P855" s="16"/>
      <c r="Q855" s="16"/>
      <c r="R855" s="16"/>
      <c r="S855" s="16"/>
      <c r="T855" s="16"/>
      <c r="U855" s="16"/>
      <c r="V855" s="16"/>
      <c r="W855" s="16"/>
      <c r="X855" s="16"/>
      <c r="Y855" s="16"/>
      <c r="Z855" s="16"/>
    </row>
    <row r="856">
      <c r="A856" s="16" t="str">
        <f>IFERROR(__xludf.DUMMYFUNCTION("""COMPUTED_VALUE"""),"Iguanian Assassin's Boots")</f>
        <v>Iguanian Assassin's Boots</v>
      </c>
      <c r="B856" s="16"/>
      <c r="C856" s="16" t="str">
        <f>IFERROR(__xludf.DUMMYFUNCTION("""COMPUTED_VALUE"""),"Item")</f>
        <v>Item</v>
      </c>
      <c r="D856" s="16" t="str">
        <f>IFERROR(__xludf.DUMMYFUNCTION("""COMPUTED_VALUE"""),"Feet")</f>
        <v>Feet</v>
      </c>
      <c r="E856" s="16">
        <f>IFERROR(__xludf.DUMMYFUNCTION("""COMPUTED_VALUE"""),2000.0)</f>
        <v>2000</v>
      </c>
      <c r="F856" s="16" t="str">
        <f>IFERROR(__xludf.DUMMYFUNCTION("""COMPUTED_VALUE"""),"DEF: +75000, Nature DEF: +25000 ++15000 ATK and ACC ++X4 Knife and Boomerang damage")</f>
        <v>DEF: +75000, Nature DEF: +25000 ++15000 ATK and ACC ++X4 Knife and Boomerang damage</v>
      </c>
      <c r="G856" s="16">
        <f>IFERROR(__xludf.DUMMYFUNCTION("""COMPUTED_VALUE"""),1.99E8)</f>
        <v>199000000</v>
      </c>
      <c r="H856" s="16"/>
      <c r="I856" s="16"/>
      <c r="J856" s="16"/>
      <c r="K856" s="16"/>
      <c r="L856" s="16"/>
      <c r="M856" s="16"/>
      <c r="N856" s="16"/>
      <c r="O856" s="16"/>
      <c r="P856" s="16"/>
      <c r="Q856" s="16"/>
      <c r="R856" s="16"/>
      <c r="S856" s="16"/>
      <c r="T856" s="16"/>
      <c r="U856" s="16"/>
      <c r="V856" s="16"/>
      <c r="W856" s="16"/>
      <c r="X856" s="16"/>
      <c r="Y856" s="16"/>
      <c r="Z856" s="16"/>
    </row>
    <row r="857">
      <c r="A857" s="16" t="str">
        <f>IFERROR(__xludf.DUMMYFUNCTION("""COMPUTED_VALUE"""),"Iguanian Assassin's Chakram")</f>
        <v>Iguanian Assassin's Chakram</v>
      </c>
      <c r="B857" s="16"/>
      <c r="C857" s="16" t="str">
        <f>IFERROR(__xludf.DUMMYFUNCTION("""COMPUTED_VALUE"""),"Boomerang")</f>
        <v>Boomerang</v>
      </c>
      <c r="D857" s="16" t="str">
        <f>IFERROR(__xludf.DUMMYFUNCTION("""COMPUTED_VALUE"""),"Hand")</f>
        <v>Hand</v>
      </c>
      <c r="E857" s="16">
        <f>IFERROR(__xludf.DUMMYFUNCTION("""COMPUTED_VALUE"""),3000.0)</f>
        <v>3000</v>
      </c>
      <c r="F857" s="16" t="str">
        <f>IFERROR(__xludf.DUMMYFUNCTION("""COMPUTED_VALUE"""),"DMG: +100000, Nature DMG: +50000 ++Increases the weapon effect chance by 10%")</f>
        <v>DMG: +100000, Nature DMG: +50000 ++Increases the weapon effect chance by 10%</v>
      </c>
      <c r="G857" s="16">
        <f>IFERROR(__xludf.DUMMYFUNCTION("""COMPUTED_VALUE"""),4.485E8)</f>
        <v>448500000</v>
      </c>
      <c r="H857" s="16"/>
      <c r="I857" s="16"/>
      <c r="J857" s="16"/>
      <c r="K857" s="16"/>
      <c r="L857" s="16"/>
      <c r="M857" s="16"/>
      <c r="N857" s="16"/>
      <c r="O857" s="16"/>
      <c r="P857" s="16"/>
      <c r="Q857" s="16"/>
      <c r="R857" s="16"/>
      <c r="S857" s="16"/>
      <c r="T857" s="16"/>
      <c r="U857" s="16"/>
      <c r="V857" s="16"/>
      <c r="W857" s="16"/>
      <c r="X857" s="16"/>
      <c r="Y857" s="16"/>
      <c r="Z857" s="16"/>
    </row>
    <row r="858">
      <c r="A858" s="16" t="str">
        <f>IFERROR(__xludf.DUMMYFUNCTION("""COMPUTED_VALUE"""),"Iguanian Assassin's Slicer")</f>
        <v>Iguanian Assassin's Slicer</v>
      </c>
      <c r="B858" s="16"/>
      <c r="C858" s="16" t="str">
        <f>IFERROR(__xludf.DUMMYFUNCTION("""COMPUTED_VALUE"""),"Knife")</f>
        <v>Knife</v>
      </c>
      <c r="D858" s="16" t="str">
        <f>IFERROR(__xludf.DUMMYFUNCTION("""COMPUTED_VALUE"""),"Hand")</f>
        <v>Hand</v>
      </c>
      <c r="E858" s="16">
        <f>IFERROR(__xludf.DUMMYFUNCTION("""COMPUTED_VALUE"""),3000.0)</f>
        <v>3000</v>
      </c>
      <c r="F858" s="16" t="str">
        <f>IFERROR(__xludf.DUMMYFUNCTION("""COMPUTED_VALUE"""),"DMG: +100000, Nature DMG: +50000 ++Guarantees the Bleed effect of the knife weapon type and doubles the bleed caused +-Cannot be Forged")</f>
        <v>DMG: +100000, Nature DMG: +50000 ++Guarantees the Bleed effect of the knife weapon type and doubles the bleed caused +-Cannot be Forged</v>
      </c>
      <c r="G858" s="16">
        <f>IFERROR(__xludf.DUMMYFUNCTION("""COMPUTED_VALUE"""),4.485E8)</f>
        <v>448500000</v>
      </c>
      <c r="H858" s="16"/>
      <c r="I858" s="16"/>
      <c r="J858" s="16"/>
      <c r="K858" s="16"/>
      <c r="L858" s="16"/>
      <c r="M858" s="16"/>
      <c r="N858" s="16"/>
      <c r="O858" s="16"/>
      <c r="P858" s="16"/>
      <c r="Q858" s="16"/>
      <c r="R858" s="16"/>
      <c r="S858" s="16"/>
      <c r="T858" s="16"/>
      <c r="U858" s="16"/>
      <c r="V858" s="16"/>
      <c r="W858" s="16"/>
      <c r="X858" s="16"/>
      <c r="Y858" s="16"/>
      <c r="Z858" s="16"/>
    </row>
    <row r="859">
      <c r="A859" s="16" t="str">
        <f>IFERROR(__xludf.DUMMYFUNCTION("""COMPUTED_VALUE"""),"Wyverntooth Smasher")</f>
        <v>Wyverntooth Smasher</v>
      </c>
      <c r="B859" s="16"/>
      <c r="C859" s="16" t="str">
        <f>IFERROR(__xludf.DUMMYFUNCTION("""COMPUTED_VALUE"""),"Axe")</f>
        <v>Axe</v>
      </c>
      <c r="D859" s="16" t="str">
        <f>IFERROR(__xludf.DUMMYFUNCTION("""COMPUTED_VALUE"""),"Hand")</f>
        <v>Hand</v>
      </c>
      <c r="E859" s="16">
        <f>IFERROR(__xludf.DUMMYFUNCTION("""COMPUTED_VALUE"""),2400.0)</f>
        <v>2400</v>
      </c>
      <c r="F859" s="16" t="str">
        <f>IFERROR(__xludf.DUMMYFUNCTION("""COMPUTED_VALUE"""),"DMG: +30000, Chaos DMG: +90000")</f>
        <v>DMG: +30000, Chaos DMG: +90000</v>
      </c>
      <c r="G859" s="16">
        <f>IFERROR(__xludf.DUMMYFUNCTION("""COMPUTED_VALUE"""),2.868E8)</f>
        <v>286800000</v>
      </c>
      <c r="H859" s="16"/>
      <c r="I859" s="16"/>
      <c r="J859" s="16"/>
      <c r="K859" s="16"/>
      <c r="L859" s="16"/>
      <c r="M859" s="16"/>
      <c r="N859" s="16"/>
      <c r="O859" s="16"/>
      <c r="P859" s="16"/>
      <c r="Q859" s="16"/>
      <c r="R859" s="16"/>
      <c r="S859" s="16"/>
      <c r="T859" s="16"/>
      <c r="U859" s="16"/>
      <c r="V859" s="16"/>
      <c r="W859" s="16"/>
      <c r="X859" s="16"/>
      <c r="Y859" s="16"/>
      <c r="Z859" s="16"/>
    </row>
    <row r="860">
      <c r="A860" s="16" t="str">
        <f>IFERROR(__xludf.DUMMYFUNCTION("""COMPUTED_VALUE"""),"Wyvernblade")</f>
        <v>Wyvernblade</v>
      </c>
      <c r="B860" s="16"/>
      <c r="C860" s="16" t="str">
        <f>IFERROR(__xludf.DUMMYFUNCTION("""COMPUTED_VALUE"""),"Knife")</f>
        <v>Knife</v>
      </c>
      <c r="D860" s="16" t="str">
        <f>IFERROR(__xludf.DUMMYFUNCTION("""COMPUTED_VALUE"""),"Hand")</f>
        <v>Hand</v>
      </c>
      <c r="E860" s="16">
        <f>IFERROR(__xludf.DUMMYFUNCTION("""COMPUTED_VALUE"""),2600.0)</f>
        <v>2600</v>
      </c>
      <c r="F860" s="16" t="str">
        <f>IFERROR(__xludf.DUMMYFUNCTION("""COMPUTED_VALUE"""),", Melee DMG: +130000")</f>
        <v>, Melee DMG: +130000</v>
      </c>
      <c r="G860" s="16">
        <f>IFERROR(__xludf.DUMMYFUNCTION("""COMPUTED_VALUE"""),3.367E8)</f>
        <v>336700000</v>
      </c>
      <c r="H860" s="16"/>
      <c r="I860" s="16"/>
      <c r="J860" s="16"/>
      <c r="K860" s="16"/>
      <c r="L860" s="16"/>
      <c r="M860" s="16"/>
      <c r="N860" s="16"/>
      <c r="O860" s="16"/>
      <c r="P860" s="16"/>
      <c r="Q860" s="16"/>
      <c r="R860" s="16"/>
      <c r="S860" s="16"/>
      <c r="T860" s="16"/>
      <c r="U860" s="16"/>
      <c r="V860" s="16"/>
      <c r="W860" s="16"/>
      <c r="X860" s="16"/>
      <c r="Y860" s="16"/>
      <c r="Z860" s="16"/>
    </row>
    <row r="861">
      <c r="A861" s="16" t="str">
        <f>IFERROR(__xludf.DUMMYFUNCTION("""COMPUTED_VALUE"""),"Wyvernscale Ring")</f>
        <v>Wyvernscale Ring</v>
      </c>
      <c r="B861" s="16"/>
      <c r="C861" s="16" t="str">
        <f>IFERROR(__xludf.DUMMYFUNCTION("""COMPUTED_VALUE"""),"Item")</f>
        <v>Item</v>
      </c>
      <c r="D861" s="16" t="str">
        <f>IFERROR(__xludf.DUMMYFUNCTION("""COMPUTED_VALUE"""),"Finger")</f>
        <v>Finger</v>
      </c>
      <c r="E861" s="16">
        <f>IFERROR(__xludf.DUMMYFUNCTION("""COMPUTED_VALUE"""),2000.0)</f>
        <v>2000</v>
      </c>
      <c r="F861" s="16" t="str">
        <f>IFERROR(__xludf.DUMMYFUNCTION("""COMPUTED_VALUE"""),", Melee DEF: +100000 ++50% chance to negate any damage from a wyvern +-Cannot be forged or duplicated")</f>
        <v>, Melee DEF: +100000 ++50% chance to negate any damage from a wyvern +-Cannot be forged or duplicated</v>
      </c>
      <c r="G861" s="16">
        <f>IFERROR(__xludf.DUMMYFUNCTION("""COMPUTED_VALUE"""),1.99E8)</f>
        <v>199000000</v>
      </c>
      <c r="H861" s="16"/>
      <c r="I861" s="16"/>
      <c r="J861" s="16"/>
      <c r="K861" s="16"/>
      <c r="L861" s="16"/>
      <c r="M861" s="16"/>
      <c r="N861" s="16"/>
      <c r="O861" s="16"/>
      <c r="P861" s="16"/>
      <c r="Q861" s="16"/>
      <c r="R861" s="16"/>
      <c r="S861" s="16"/>
      <c r="T861" s="16"/>
      <c r="U861" s="16"/>
      <c r="V861" s="16"/>
      <c r="W861" s="16"/>
      <c r="X861" s="16"/>
      <c r="Y861" s="16"/>
      <c r="Z861" s="16"/>
    </row>
    <row r="862">
      <c r="A862" s="16" t="str">
        <f>IFERROR(__xludf.DUMMYFUNCTION("""COMPUTED_VALUE"""),"Wyvern Hood")</f>
        <v>Wyvern Hood</v>
      </c>
      <c r="B862" s="16"/>
      <c r="C862" s="16" t="str">
        <f>IFERROR(__xludf.DUMMYFUNCTION("""COMPUTED_VALUE"""),"Item")</f>
        <v>Item</v>
      </c>
      <c r="D862" s="16" t="str">
        <f>IFERROR(__xludf.DUMMYFUNCTION("""COMPUTED_VALUE"""),"Head")</f>
        <v>Head</v>
      </c>
      <c r="E862" s="16">
        <f>IFERROR(__xludf.DUMMYFUNCTION("""COMPUTED_VALUE"""),1.0)</f>
        <v>1</v>
      </c>
      <c r="F862" s="16" t="str">
        <f>IFERROR(__xludf.DUMMYFUNCTION("""COMPUTED_VALUE""")," ++When in a party of 4 or more, enemy wyverns cannot target the wearer +-Cannot be forged or duplicated")</f>
        <v> ++When in a party of 4 or more, enemy wyverns cannot target the wearer +-Cannot be forged or duplicated</v>
      </c>
      <c r="G862" s="16">
        <f>IFERROR(__xludf.DUMMYFUNCTION("""COMPUTED_VALUE"""),0.0)</f>
        <v>0</v>
      </c>
      <c r="H862" s="16"/>
      <c r="I862" s="16"/>
      <c r="J862" s="16"/>
      <c r="K862" s="16"/>
      <c r="L862" s="16"/>
      <c r="M862" s="16"/>
      <c r="N862" s="16"/>
      <c r="O862" s="16"/>
      <c r="P862" s="16"/>
      <c r="Q862" s="16"/>
      <c r="R862" s="16"/>
      <c r="S862" s="16"/>
      <c r="T862" s="16"/>
      <c r="U862" s="16"/>
      <c r="V862" s="16"/>
      <c r="W862" s="16"/>
      <c r="X862" s="16"/>
      <c r="Y862" s="16"/>
      <c r="Z862" s="16"/>
    </row>
    <row r="863">
      <c r="A863" s="16" t="str">
        <f>IFERROR(__xludf.DUMMYFUNCTION("""COMPUTED_VALUE"""),"Wyvernarang")</f>
        <v>Wyvernarang</v>
      </c>
      <c r="B863" s="16"/>
      <c r="C863" s="16" t="str">
        <f>IFERROR(__xludf.DUMMYFUNCTION("""COMPUTED_VALUE"""),"Boomerang")</f>
        <v>Boomerang</v>
      </c>
      <c r="D863" s="16" t="str">
        <f>IFERROR(__xludf.DUMMYFUNCTION("""COMPUTED_VALUE"""),"Hand")</f>
        <v>Hand</v>
      </c>
      <c r="E863" s="16">
        <f>IFERROR(__xludf.DUMMYFUNCTION("""COMPUTED_VALUE"""),3000.0)</f>
        <v>3000</v>
      </c>
      <c r="F863" s="16" t="str">
        <f>IFERROR(__xludf.DUMMYFUNCTION("""COMPUTED_VALUE"""),"DMG: +50000, Spirit DMG: +50000, Chaos DMG: +50000")</f>
        <v>DMG: +50000, Spirit DMG: +50000, Chaos DMG: +50000</v>
      </c>
      <c r="G863" s="16">
        <f>IFERROR(__xludf.DUMMYFUNCTION("""COMPUTED_VALUE"""),4.485E8)</f>
        <v>448500000</v>
      </c>
      <c r="H863" s="16"/>
      <c r="I863" s="16"/>
      <c r="J863" s="16"/>
      <c r="K863" s="16"/>
      <c r="L863" s="16"/>
      <c r="M863" s="16"/>
      <c r="N863" s="16"/>
      <c r="O863" s="16"/>
      <c r="P863" s="16"/>
      <c r="Q863" s="16"/>
      <c r="R863" s="16"/>
      <c r="S863" s="16"/>
      <c r="T863" s="16"/>
      <c r="U863" s="16"/>
      <c r="V863" s="16"/>
      <c r="W863" s="16"/>
      <c r="X863" s="16"/>
      <c r="Y863" s="16"/>
      <c r="Z863" s="16"/>
    </row>
    <row r="864">
      <c r="A864" s="16" t="str">
        <f>IFERROR(__xludf.DUMMYFUNCTION("""COMPUTED_VALUE"""),"Iguanian Assassin's Memento")</f>
        <v>Iguanian Assassin's Memento</v>
      </c>
      <c r="B864" s="16" t="str">
        <f>IFERROR(__xludf.DUMMYFUNCTION("""COMPUTED_VALUE"""),"From this necklace hangs a series of teeth, each one taken from an iguanian assassin's victim.")</f>
        <v>From this necklace hangs a series of teeth, each one taken from an iguanian assassin's victim.</v>
      </c>
      <c r="C864" s="16"/>
      <c r="D864" s="16" t="str">
        <f>IFERROR(__xludf.DUMMYFUNCTION("""COMPUTED_VALUE"""),"Neck")</f>
        <v>Neck</v>
      </c>
      <c r="E864" s="16">
        <f>IFERROR(__xludf.DUMMYFUNCTION("""COMPUTED_VALUE"""),1.0)</f>
        <v>1</v>
      </c>
      <c r="F864" s="16" t="str">
        <f>IFERROR(__xludf.DUMMYFUNCTION("""COMPUTED_VALUE""")," ++For every enemy killed with this item equipped +1 permanent ATK (0/100000)")</f>
        <v> ++For every enemy killed with this item equipped +1 permanent ATK (0/100000)</v>
      </c>
      <c r="G864" s="16">
        <f>IFERROR(__xludf.DUMMYFUNCTION("""COMPUTED_VALUE"""),0.0)</f>
        <v>0</v>
      </c>
      <c r="H864" s="16"/>
      <c r="I864" s="16"/>
      <c r="J864" s="16"/>
      <c r="K864" s="16"/>
      <c r="L864" s="16"/>
      <c r="M864" s="16"/>
      <c r="N864" s="16"/>
      <c r="O864" s="16"/>
      <c r="P864" s="16"/>
      <c r="Q864" s="16"/>
      <c r="R864" s="16"/>
      <c r="S864" s="16"/>
      <c r="T864" s="16"/>
      <c r="U864" s="16"/>
      <c r="V864" s="16"/>
      <c r="W864" s="16"/>
      <c r="X864" s="16"/>
      <c r="Y864" s="16"/>
      <c r="Z864" s="16"/>
    </row>
    <row r="865">
      <c r="A865" s="16" t="str">
        <f>IFERROR(__xludf.DUMMYFUNCTION("""COMPUTED_VALUE"""),"Salamander Boots")</f>
        <v>Salamander Boots</v>
      </c>
      <c r="B865" s="16"/>
      <c r="C865" s="16" t="str">
        <f>IFERROR(__xludf.DUMMYFUNCTION("""COMPUTED_VALUE"""),"Item")</f>
        <v>Item</v>
      </c>
      <c r="D865" s="16" t="str">
        <f>IFERROR(__xludf.DUMMYFUNCTION("""COMPUTED_VALUE"""),"Feet")</f>
        <v>Feet</v>
      </c>
      <c r="E865" s="16">
        <f>IFERROR(__xludf.DUMMYFUNCTION("""COMPUTED_VALUE"""),2000.0)</f>
        <v>2000</v>
      </c>
      <c r="F865" s="16" t="str">
        <f>IFERROR(__xludf.DUMMYFUNCTION("""COMPUTED_VALUE"""),", Fire DEF: +100000")</f>
        <v>, Fire DEF: +100000</v>
      </c>
      <c r="G865" s="16">
        <f>IFERROR(__xludf.DUMMYFUNCTION("""COMPUTED_VALUE"""),1.99E8)</f>
        <v>199000000</v>
      </c>
      <c r="H865" s="16"/>
      <c r="I865" s="16"/>
      <c r="J865" s="16"/>
      <c r="K865" s="16"/>
      <c r="L865" s="16"/>
      <c r="M865" s="16"/>
      <c r="N865" s="16"/>
      <c r="O865" s="16"/>
      <c r="P865" s="16"/>
      <c r="Q865" s="16"/>
      <c r="R865" s="16"/>
      <c r="S865" s="16"/>
      <c r="T865" s="16"/>
      <c r="U865" s="16"/>
      <c r="V865" s="16"/>
      <c r="W865" s="16"/>
      <c r="X865" s="16"/>
      <c r="Y865" s="16"/>
      <c r="Z865" s="16"/>
    </row>
    <row r="866">
      <c r="A866" s="16" t="str">
        <f>IFERROR(__xludf.DUMMYFUNCTION("""COMPUTED_VALUE"""),"Salamanderscale Chainmail")</f>
        <v>Salamanderscale Chainmail</v>
      </c>
      <c r="B866" s="16"/>
      <c r="C866" s="16" t="str">
        <f>IFERROR(__xludf.DUMMYFUNCTION("""COMPUTED_VALUE"""),"Item")</f>
        <v>Item</v>
      </c>
      <c r="D866" s="16" t="str">
        <f>IFERROR(__xludf.DUMMYFUNCTION("""COMPUTED_VALUE"""),"Torso")</f>
        <v>Torso</v>
      </c>
      <c r="E866" s="16">
        <f>IFERROR(__xludf.DUMMYFUNCTION("""COMPUTED_VALUE"""),2000.0)</f>
        <v>2000</v>
      </c>
      <c r="F866" s="16" t="str">
        <f>IFERROR(__xludf.DUMMYFUNCTION("""COMPUTED_VALUE"""),", Fire DEF: +120000, Water DEF: +-10000, Storm DEF: +-10000 +-Water and Storm deal additional 20000 damage to the wearer")</f>
        <v>, Fire DEF: +120000, Water DEF: +-10000, Storm DEF: +-10000 +-Water and Storm deal additional 20000 damage to the wearer</v>
      </c>
      <c r="G866" s="16">
        <f>IFERROR(__xludf.DUMMYFUNCTION("""COMPUTED_VALUE"""),1.99E8)</f>
        <v>199000000</v>
      </c>
      <c r="H866" s="16"/>
      <c r="I866" s="16"/>
      <c r="J866" s="16"/>
      <c r="K866" s="16"/>
      <c r="L866" s="16"/>
      <c r="M866" s="16"/>
      <c r="N866" s="16"/>
      <c r="O866" s="16"/>
      <c r="P866" s="16"/>
      <c r="Q866" s="16"/>
      <c r="R866" s="16"/>
      <c r="S866" s="16"/>
      <c r="T866" s="16"/>
      <c r="U866" s="16"/>
      <c r="V866" s="16"/>
      <c r="W866" s="16"/>
      <c r="X866" s="16"/>
      <c r="Y866" s="16"/>
      <c r="Z866" s="16"/>
    </row>
    <row r="867">
      <c r="A867" s="16" t="str">
        <f>IFERROR(__xludf.DUMMYFUNCTION("""COMPUTED_VALUE"""),"Iguanian Brawler's Headband")</f>
        <v>Iguanian Brawler's Headband</v>
      </c>
      <c r="B867" s="16"/>
      <c r="C867" s="16" t="str">
        <f>IFERROR(__xludf.DUMMYFUNCTION("""COMPUTED_VALUE"""),"Item")</f>
        <v>Item</v>
      </c>
      <c r="D867" s="16" t="str">
        <f>IFERROR(__xludf.DUMMYFUNCTION("""COMPUTED_VALUE"""),"Head")</f>
        <v>Head</v>
      </c>
      <c r="E867" s="16">
        <f>IFERROR(__xludf.DUMMYFUNCTION("""COMPUTED_VALUE"""),3000.0)</f>
        <v>3000</v>
      </c>
      <c r="F867" s="16" t="str">
        <f>IFERROR(__xludf.DUMMYFUNCTION("""COMPUTED_VALUE"""),"DEF: +150000, Water DEF: +50000, Nature DEF: +-50000")</f>
        <v>DEF: +150000, Water DEF: +50000, Nature DEF: +-50000</v>
      </c>
      <c r="G867" s="16">
        <f>IFERROR(__xludf.DUMMYFUNCTION("""COMPUTED_VALUE"""),4.485E8)</f>
        <v>448500000</v>
      </c>
      <c r="H867" s="16"/>
      <c r="I867" s="16"/>
      <c r="J867" s="16"/>
      <c r="K867" s="16"/>
      <c r="L867" s="16"/>
      <c r="M867" s="16"/>
      <c r="N867" s="16"/>
      <c r="O867" s="16"/>
      <c r="P867" s="16"/>
      <c r="Q867" s="16"/>
      <c r="R867" s="16"/>
      <c r="S867" s="16"/>
      <c r="T867" s="16"/>
      <c r="U867" s="16"/>
      <c r="V867" s="16"/>
      <c r="W867" s="16"/>
      <c r="X867" s="16"/>
      <c r="Y867" s="16"/>
      <c r="Z867" s="16"/>
    </row>
    <row r="868">
      <c r="A868" s="16" t="str">
        <f>IFERROR(__xludf.DUMMYFUNCTION("""COMPUTED_VALUE"""),"Iguanian Brawler's Cape")</f>
        <v>Iguanian Brawler's Cape</v>
      </c>
      <c r="B868" s="16"/>
      <c r="C868" s="16" t="str">
        <f>IFERROR(__xludf.DUMMYFUNCTION("""COMPUTED_VALUE"""),"Item")</f>
        <v>Item</v>
      </c>
      <c r="D868" s="16" t="str">
        <f>IFERROR(__xludf.DUMMYFUNCTION("""COMPUTED_VALUE"""),"Shoulders")</f>
        <v>Shoulders</v>
      </c>
      <c r="E868" s="16">
        <f>IFERROR(__xludf.DUMMYFUNCTION("""COMPUTED_VALUE"""),3000.0)</f>
        <v>3000</v>
      </c>
      <c r="F868" s="16" t="str">
        <f>IFERROR(__xludf.DUMMYFUNCTION("""COMPUTED_VALUE"""),"DEF: +150000, Water DEF: +50000, Nature DEF: +-50000")</f>
        <v>DEF: +150000, Water DEF: +50000, Nature DEF: +-50000</v>
      </c>
      <c r="G868" s="16">
        <f>IFERROR(__xludf.DUMMYFUNCTION("""COMPUTED_VALUE"""),4.485E8)</f>
        <v>448500000</v>
      </c>
      <c r="H868" s="16"/>
      <c r="I868" s="16"/>
      <c r="J868" s="16"/>
      <c r="K868" s="16"/>
      <c r="L868" s="16"/>
      <c r="M868" s="16"/>
      <c r="N868" s="16"/>
      <c r="O868" s="16"/>
      <c r="P868" s="16"/>
      <c r="Q868" s="16"/>
      <c r="R868" s="16"/>
      <c r="S868" s="16"/>
      <c r="T868" s="16"/>
      <c r="U868" s="16"/>
      <c r="V868" s="16"/>
      <c r="W868" s="16"/>
      <c r="X868" s="16"/>
      <c r="Y868" s="16"/>
      <c r="Z868" s="16"/>
    </row>
    <row r="869">
      <c r="A869" s="16" t="str">
        <f>IFERROR(__xludf.DUMMYFUNCTION("""COMPUTED_VALUE"""),"Iguanian Brawler's Sash")</f>
        <v>Iguanian Brawler's Sash</v>
      </c>
      <c r="B869" s="16"/>
      <c r="C869" s="16" t="str">
        <f>IFERROR(__xludf.DUMMYFUNCTION("""COMPUTED_VALUE"""),"Item")</f>
        <v>Item</v>
      </c>
      <c r="D869" s="16" t="str">
        <f>IFERROR(__xludf.DUMMYFUNCTION("""COMPUTED_VALUE"""),"Torso")</f>
        <v>Torso</v>
      </c>
      <c r="E869" s="16">
        <f>IFERROR(__xludf.DUMMYFUNCTION("""COMPUTED_VALUE"""),3000.0)</f>
        <v>3000</v>
      </c>
      <c r="F869" s="16" t="str">
        <f>IFERROR(__xludf.DUMMYFUNCTION("""COMPUTED_VALUE"""),"DEF: +150000, Water DEF: +50000, Nature DEF: +-50000")</f>
        <v>DEF: +150000, Water DEF: +50000, Nature DEF: +-50000</v>
      </c>
      <c r="G869" s="16">
        <f>IFERROR(__xludf.DUMMYFUNCTION("""COMPUTED_VALUE"""),4.485E8)</f>
        <v>448500000</v>
      </c>
      <c r="H869" s="16"/>
      <c r="I869" s="16"/>
      <c r="J869" s="16"/>
      <c r="K869" s="16"/>
      <c r="L869" s="16"/>
      <c r="M869" s="16"/>
      <c r="N869" s="16"/>
      <c r="O869" s="16"/>
      <c r="P869" s="16"/>
      <c r="Q869" s="16"/>
      <c r="R869" s="16"/>
      <c r="S869" s="16"/>
      <c r="T869" s="16"/>
      <c r="U869" s="16"/>
      <c r="V869" s="16"/>
      <c r="W869" s="16"/>
      <c r="X869" s="16"/>
      <c r="Y869" s="16"/>
      <c r="Z869" s="16"/>
    </row>
    <row r="870">
      <c r="A870" s="16" t="str">
        <f>IFERROR(__xludf.DUMMYFUNCTION("""COMPUTED_VALUE"""),"Iguanian Brawler's Arm Wraps")</f>
        <v>Iguanian Brawler's Arm Wraps</v>
      </c>
      <c r="B870" s="16"/>
      <c r="C870" s="16" t="str">
        <f>IFERROR(__xludf.DUMMYFUNCTION("""COMPUTED_VALUE"""),"Item")</f>
        <v>Item</v>
      </c>
      <c r="D870" s="16" t="str">
        <f>IFERROR(__xludf.DUMMYFUNCTION("""COMPUTED_VALUE"""),"Arms")</f>
        <v>Arms</v>
      </c>
      <c r="E870" s="16">
        <f>IFERROR(__xludf.DUMMYFUNCTION("""COMPUTED_VALUE"""),3000.0)</f>
        <v>3000</v>
      </c>
      <c r="F870" s="16" t="str">
        <f>IFERROR(__xludf.DUMMYFUNCTION("""COMPUTED_VALUE"""),"DEF: +150000, Water DEF: +50000, Nature DEF: +-50000")</f>
        <v>DEF: +150000, Water DEF: +50000, Nature DEF: +-50000</v>
      </c>
      <c r="G870" s="16">
        <f>IFERROR(__xludf.DUMMYFUNCTION("""COMPUTED_VALUE"""),4.485E8)</f>
        <v>448500000</v>
      </c>
      <c r="H870" s="16"/>
      <c r="I870" s="16"/>
      <c r="J870" s="16"/>
      <c r="K870" s="16"/>
      <c r="L870" s="16"/>
      <c r="M870" s="16"/>
      <c r="N870" s="16"/>
      <c r="O870" s="16"/>
      <c r="P870" s="16"/>
      <c r="Q870" s="16"/>
      <c r="R870" s="16"/>
      <c r="S870" s="16"/>
      <c r="T870" s="16"/>
      <c r="U870" s="16"/>
      <c r="V870" s="16"/>
      <c r="W870" s="16"/>
      <c r="X870" s="16"/>
      <c r="Y870" s="16"/>
      <c r="Z870" s="16"/>
    </row>
    <row r="871">
      <c r="A871" s="16" t="str">
        <f>IFERROR(__xludf.DUMMYFUNCTION("""COMPUTED_VALUE"""),"Iguanian Brawler's Shorts")</f>
        <v>Iguanian Brawler's Shorts</v>
      </c>
      <c r="B871" s="16"/>
      <c r="C871" s="16" t="str">
        <f>IFERROR(__xludf.DUMMYFUNCTION("""COMPUTED_VALUE"""),"Item")</f>
        <v>Item</v>
      </c>
      <c r="D871" s="16" t="str">
        <f>IFERROR(__xludf.DUMMYFUNCTION("""COMPUTED_VALUE"""),"Legs")</f>
        <v>Legs</v>
      </c>
      <c r="E871" s="16">
        <f>IFERROR(__xludf.DUMMYFUNCTION("""COMPUTED_VALUE"""),3000.0)</f>
        <v>3000</v>
      </c>
      <c r="F871" s="16" t="str">
        <f>IFERROR(__xludf.DUMMYFUNCTION("""COMPUTED_VALUE"""),"DEF: +150000, Water DEF: +50000, Nature DEF: +-50000")</f>
        <v>DEF: +150000, Water DEF: +50000, Nature DEF: +-50000</v>
      </c>
      <c r="G871" s="16">
        <f>IFERROR(__xludf.DUMMYFUNCTION("""COMPUTED_VALUE"""),4.485E8)</f>
        <v>448500000</v>
      </c>
      <c r="H871" s="16"/>
      <c r="I871" s="16"/>
      <c r="J871" s="16"/>
      <c r="K871" s="16"/>
      <c r="L871" s="16"/>
      <c r="M871" s="16"/>
      <c r="N871" s="16"/>
      <c r="O871" s="16"/>
      <c r="P871" s="16"/>
      <c r="Q871" s="16"/>
      <c r="R871" s="16"/>
      <c r="S871" s="16"/>
      <c r="T871" s="16"/>
      <c r="U871" s="16"/>
      <c r="V871" s="16"/>
      <c r="W871" s="16"/>
      <c r="X871" s="16"/>
      <c r="Y871" s="16"/>
      <c r="Z871" s="16"/>
    </row>
    <row r="872">
      <c r="A872" s="16" t="str">
        <f>IFERROR(__xludf.DUMMYFUNCTION("""COMPUTED_VALUE"""),"Iguanian Brawler's Sandals")</f>
        <v>Iguanian Brawler's Sandals</v>
      </c>
      <c r="B872" s="16"/>
      <c r="C872" s="16" t="str">
        <f>IFERROR(__xludf.DUMMYFUNCTION("""COMPUTED_VALUE"""),"Item")</f>
        <v>Item</v>
      </c>
      <c r="D872" s="16" t="str">
        <f>IFERROR(__xludf.DUMMYFUNCTION("""COMPUTED_VALUE"""),"Feet")</f>
        <v>Feet</v>
      </c>
      <c r="E872" s="16">
        <f>IFERROR(__xludf.DUMMYFUNCTION("""COMPUTED_VALUE"""),3000.0)</f>
        <v>3000</v>
      </c>
      <c r="F872" s="16" t="str">
        <f>IFERROR(__xludf.DUMMYFUNCTION("""COMPUTED_VALUE"""),"DEF: +150000, Water DEF: +50000, Nature DEF: +-50000")</f>
        <v>DEF: +150000, Water DEF: +50000, Nature DEF: +-50000</v>
      </c>
      <c r="G872" s="16">
        <f>IFERROR(__xludf.DUMMYFUNCTION("""COMPUTED_VALUE"""),4.485E8)</f>
        <v>448500000</v>
      </c>
      <c r="H872" s="16"/>
      <c r="I872" s="16"/>
      <c r="J872" s="16"/>
      <c r="K872" s="16"/>
      <c r="L872" s="16"/>
      <c r="M872" s="16"/>
      <c r="N872" s="16"/>
      <c r="O872" s="16"/>
      <c r="P872" s="16"/>
      <c r="Q872" s="16"/>
      <c r="R872" s="16"/>
      <c r="S872" s="16"/>
      <c r="T872" s="16"/>
      <c r="U872" s="16"/>
      <c r="V872" s="16"/>
      <c r="W872" s="16"/>
      <c r="X872" s="16"/>
      <c r="Y872" s="16"/>
      <c r="Z872" s="16"/>
    </row>
    <row r="873">
      <c r="A873" s="16" t="str">
        <f>IFERROR(__xludf.DUMMYFUNCTION("""COMPUTED_VALUE"""),"Iguanian Brawler's Knuckles")</f>
        <v>Iguanian Brawler's Knuckles</v>
      </c>
      <c r="B873" s="16"/>
      <c r="C873" s="16" t="str">
        <f>IFERROR(__xludf.DUMMYFUNCTION("""COMPUTED_VALUE"""),"Gauntlet")</f>
        <v>Gauntlet</v>
      </c>
      <c r="D873" s="16" t="str">
        <f>IFERROR(__xludf.DUMMYFUNCTION("""COMPUTED_VALUE"""),"Hand")</f>
        <v>Hand</v>
      </c>
      <c r="E873" s="16">
        <f>IFERROR(__xludf.DUMMYFUNCTION("""COMPUTED_VALUE"""),3000.0)</f>
        <v>3000</v>
      </c>
      <c r="F873" s="16" t="str">
        <f>IFERROR(__xludf.DUMMYFUNCTION("""COMPUTED_VALUE"""),"DEF: +100000, Water DEF: +50000")</f>
        <v>DEF: +100000, Water DEF: +50000</v>
      </c>
      <c r="G873" s="16">
        <f>IFERROR(__xludf.DUMMYFUNCTION("""COMPUTED_VALUE"""),4.485E8)</f>
        <v>448500000</v>
      </c>
      <c r="H873" s="16"/>
      <c r="I873" s="16"/>
      <c r="J873" s="16"/>
      <c r="K873" s="16"/>
      <c r="L873" s="16"/>
      <c r="M873" s="16"/>
      <c r="N873" s="16"/>
      <c r="O873" s="16"/>
      <c r="P873" s="16"/>
      <c r="Q873" s="16"/>
      <c r="R873" s="16"/>
      <c r="S873" s="16"/>
      <c r="T873" s="16"/>
      <c r="U873" s="16"/>
      <c r="V873" s="16"/>
      <c r="W873" s="16"/>
      <c r="X873" s="16"/>
      <c r="Y873" s="16"/>
      <c r="Z873" s="16"/>
    </row>
    <row r="874">
      <c r="A874" s="16" t="str">
        <f>IFERROR(__xludf.DUMMYFUNCTION("""COMPUTED_VALUE"""),"Iguanian Brawler's Ring")</f>
        <v>Iguanian Brawler's Ring</v>
      </c>
      <c r="B874" s="16"/>
      <c r="C874" s="16"/>
      <c r="D874" s="16" t="str">
        <f>IFERROR(__xludf.DUMMYFUNCTION("""COMPUTED_VALUE"""),"Finger")</f>
        <v>Finger</v>
      </c>
      <c r="E874" s="16">
        <f>IFERROR(__xludf.DUMMYFUNCTION("""COMPUTED_VALUE"""),1.0)</f>
        <v>1</v>
      </c>
      <c r="F874" s="16" t="str">
        <f>IFERROR(__xludf.DUMMYFUNCTION("""COMPUTED_VALUE""")," ++X10 Natural Attack damage")</f>
        <v> ++X10 Natural Attack damage</v>
      </c>
      <c r="G874" s="16">
        <f>IFERROR(__xludf.DUMMYFUNCTION("""COMPUTED_VALUE"""),0.0)</f>
        <v>0</v>
      </c>
      <c r="H874" s="16"/>
      <c r="I874" s="16"/>
      <c r="J874" s="16"/>
      <c r="K874" s="16"/>
      <c r="L874" s="16"/>
      <c r="M874" s="16"/>
      <c r="N874" s="16"/>
      <c r="O874" s="16"/>
      <c r="P874" s="16"/>
      <c r="Q874" s="16"/>
      <c r="R874" s="16"/>
      <c r="S874" s="16"/>
      <c r="T874" s="16"/>
      <c r="U874" s="16"/>
      <c r="V874" s="16"/>
      <c r="W874" s="16"/>
      <c r="X874" s="16"/>
      <c r="Y874" s="16"/>
      <c r="Z874" s="16"/>
    </row>
    <row r="875">
      <c r="A875" s="16" t="str">
        <f>IFERROR(__xludf.DUMMYFUNCTION("""COMPUTED_VALUE"""),"Cursed Ring of Sudden Death")</f>
        <v>Cursed Ring of Sudden Death</v>
      </c>
      <c r="B875" s="16"/>
      <c r="C875" s="16" t="str">
        <f>IFERROR(__xludf.DUMMYFUNCTION("""COMPUTED_VALUE"""),"Item")</f>
        <v>Item</v>
      </c>
      <c r="D875" s="16" t="str">
        <f>IFERROR(__xludf.DUMMYFUNCTION("""COMPUTED_VALUE"""),"Finger")</f>
        <v>Finger</v>
      </c>
      <c r="E875" s="16">
        <f>IFERROR(__xludf.DUMMYFUNCTION("""COMPUTED_VALUE"""),1.0)</f>
        <v>1</v>
      </c>
      <c r="F875" s="16" t="str">
        <f>IFERROR(__xludf.DUMMYFUNCTION("""COMPUTED_VALUE""")," ++Can be manually activated at the beginning of battle, before turn order is set. When activated, all damage dealt to or by the wearer results in instant death for the battle. +-Cannot be forged or duplicated")</f>
        <v> ++Can be manually activated at the beginning of battle, before turn order is set. When activated, all damage dealt to or by the wearer results in instant death for the battle. +-Cannot be forged or duplicated</v>
      </c>
      <c r="G875" s="16">
        <f>IFERROR(__xludf.DUMMYFUNCTION("""COMPUTED_VALUE"""),0.0)</f>
        <v>0</v>
      </c>
      <c r="H875" s="16"/>
      <c r="I875" s="16"/>
      <c r="J875" s="16"/>
      <c r="K875" s="16"/>
      <c r="L875" s="16"/>
      <c r="M875" s="16"/>
      <c r="N875" s="16"/>
      <c r="O875" s="16"/>
      <c r="P875" s="16"/>
      <c r="Q875" s="16"/>
      <c r="R875" s="16"/>
      <c r="S875" s="16"/>
      <c r="T875" s="16"/>
      <c r="U875" s="16"/>
      <c r="V875" s="16"/>
      <c r="W875" s="16"/>
      <c r="X875" s="16"/>
      <c r="Y875" s="16"/>
      <c r="Z875" s="16"/>
    </row>
    <row r="876">
      <c r="A876" s="16" t="str">
        <f>IFERROR(__xludf.DUMMYFUNCTION("""COMPUTED_VALUE"""),"Ring of Action")</f>
        <v>Ring of Action</v>
      </c>
      <c r="B876" s="16"/>
      <c r="C876" s="16" t="str">
        <f>IFERROR(__xludf.DUMMYFUNCTION("""COMPUTED_VALUE"""),"Item")</f>
        <v>Item</v>
      </c>
      <c r="D876" s="16" t="str">
        <f>IFERROR(__xludf.DUMMYFUNCTION("""COMPUTED_VALUE"""),"Finger")</f>
        <v>Finger</v>
      </c>
      <c r="E876" s="16">
        <f>IFERROR(__xludf.DUMMYFUNCTION("""COMPUTED_VALUE"""),1.0)</f>
        <v>1</v>
      </c>
      <c r="F876" s="16" t="str">
        <f>IFERROR(__xludf.DUMMYFUNCTION("""COMPUTED_VALUE""")," ++10000 SP")</f>
        <v> ++10000 SP</v>
      </c>
      <c r="G876" s="16">
        <f>IFERROR(__xludf.DUMMYFUNCTION("""COMPUTED_VALUE"""),0.0)</f>
        <v>0</v>
      </c>
      <c r="H876" s="16"/>
      <c r="I876" s="16"/>
      <c r="J876" s="16"/>
      <c r="K876" s="16"/>
      <c r="L876" s="16"/>
      <c r="M876" s="16"/>
      <c r="N876" s="16"/>
      <c r="O876" s="16"/>
      <c r="P876" s="16"/>
      <c r="Q876" s="16"/>
      <c r="R876" s="16"/>
      <c r="S876" s="16"/>
      <c r="T876" s="16"/>
      <c r="U876" s="16"/>
      <c r="V876" s="16"/>
      <c r="W876" s="16"/>
      <c r="X876" s="16"/>
      <c r="Y876" s="16"/>
      <c r="Z876" s="16"/>
    </row>
    <row r="877">
      <c r="A877" s="16" t="str">
        <f>IFERROR(__xludf.DUMMYFUNCTION("""COMPUTED_VALUE"""),"Iguanian Mage Hat")</f>
        <v>Iguanian Mage Hat</v>
      </c>
      <c r="B877" s="16"/>
      <c r="C877" s="16" t="str">
        <f>IFERROR(__xludf.DUMMYFUNCTION("""COMPUTED_VALUE"""),"Item")</f>
        <v>Item</v>
      </c>
      <c r="D877" s="16"/>
      <c r="E877" s="16">
        <f>IFERROR(__xludf.DUMMYFUNCTION("""COMPUTED_VALUE"""),1.0)</f>
        <v>1</v>
      </c>
      <c r="F877" s="16" t="str">
        <f>IFERROR(__xludf.DUMMYFUNCTION("""COMPUTED_VALUE""")," ++10000 hp and sp")</f>
        <v> ++10000 hp and sp</v>
      </c>
      <c r="G877" s="16">
        <f>IFERROR(__xludf.DUMMYFUNCTION("""COMPUTED_VALUE"""),0.0)</f>
        <v>0</v>
      </c>
      <c r="H877" s="16"/>
      <c r="I877" s="16"/>
      <c r="J877" s="16"/>
      <c r="K877" s="16"/>
      <c r="L877" s="16"/>
      <c r="M877" s="16"/>
      <c r="N877" s="16"/>
      <c r="O877" s="16"/>
      <c r="P877" s="16"/>
      <c r="Q877" s="16"/>
      <c r="R877" s="16"/>
      <c r="S877" s="16"/>
      <c r="T877" s="16"/>
      <c r="U877" s="16"/>
      <c r="V877" s="16"/>
      <c r="W877" s="16"/>
      <c r="X877" s="16"/>
      <c r="Y877" s="16"/>
      <c r="Z877" s="16"/>
    </row>
    <row r="878">
      <c r="A878" s="16" t="str">
        <f>IFERROR(__xludf.DUMMYFUNCTION("""COMPUTED_VALUE"""),"Iguanian Mage Robes")</f>
        <v>Iguanian Mage Robes</v>
      </c>
      <c r="B878" s="16"/>
      <c r="C878" s="16" t="str">
        <f>IFERROR(__xludf.DUMMYFUNCTION("""COMPUTED_VALUE"""),"Item")</f>
        <v>Item</v>
      </c>
      <c r="D878" s="16"/>
      <c r="E878" s="16">
        <f>IFERROR(__xludf.DUMMYFUNCTION("""COMPUTED_VALUE"""),1.0)</f>
        <v>1</v>
      </c>
      <c r="F878" s="16" t="str">
        <f>IFERROR(__xludf.DUMMYFUNCTION("""COMPUTED_VALUE""")," ++10000 hp and sp")</f>
        <v> ++10000 hp and sp</v>
      </c>
      <c r="G878" s="16">
        <f>IFERROR(__xludf.DUMMYFUNCTION("""COMPUTED_VALUE"""),0.0)</f>
        <v>0</v>
      </c>
      <c r="H878" s="16"/>
      <c r="I878" s="16"/>
      <c r="J878" s="16"/>
      <c r="K878" s="16"/>
      <c r="L878" s="16"/>
      <c r="M878" s="16"/>
      <c r="N878" s="16"/>
      <c r="O878" s="16"/>
      <c r="P878" s="16"/>
      <c r="Q878" s="16"/>
      <c r="R878" s="16"/>
      <c r="S878" s="16"/>
      <c r="T878" s="16"/>
      <c r="U878" s="16"/>
      <c r="V878" s="16"/>
      <c r="W878" s="16"/>
      <c r="X878" s="16"/>
      <c r="Y878" s="16"/>
      <c r="Z878" s="16"/>
    </row>
    <row r="879">
      <c r="A879" s="16" t="str">
        <f>IFERROR(__xludf.DUMMYFUNCTION("""COMPUTED_VALUE"""),"Iguanian Mage Leggings")</f>
        <v>Iguanian Mage Leggings</v>
      </c>
      <c r="B879" s="16"/>
      <c r="C879" s="16" t="str">
        <f>IFERROR(__xludf.DUMMYFUNCTION("""COMPUTED_VALUE"""),"Item")</f>
        <v>Item</v>
      </c>
      <c r="D879" s="16"/>
      <c r="E879" s="16">
        <f>IFERROR(__xludf.DUMMYFUNCTION("""COMPUTED_VALUE"""),1.0)</f>
        <v>1</v>
      </c>
      <c r="F879" s="16" t="str">
        <f>IFERROR(__xludf.DUMMYFUNCTION("""COMPUTED_VALUE""")," ++10000 hp and sp")</f>
        <v> ++10000 hp and sp</v>
      </c>
      <c r="G879" s="16">
        <f>IFERROR(__xludf.DUMMYFUNCTION("""COMPUTED_VALUE"""),0.0)</f>
        <v>0</v>
      </c>
      <c r="H879" s="16"/>
      <c r="I879" s="16"/>
      <c r="J879" s="16"/>
      <c r="K879" s="16"/>
      <c r="L879" s="16"/>
      <c r="M879" s="16"/>
      <c r="N879" s="16"/>
      <c r="O879" s="16"/>
      <c r="P879" s="16"/>
      <c r="Q879" s="16"/>
      <c r="R879" s="16"/>
      <c r="S879" s="16"/>
      <c r="T879" s="16"/>
      <c r="U879" s="16"/>
      <c r="V879" s="16"/>
      <c r="W879" s="16"/>
      <c r="X879" s="16"/>
      <c r="Y879" s="16"/>
      <c r="Z879" s="16"/>
    </row>
    <row r="880">
      <c r="A880" s="16" t="str">
        <f>IFERROR(__xludf.DUMMYFUNCTION("""COMPUTED_VALUE"""),"Iguanian Mage Pointed Shoes")</f>
        <v>Iguanian Mage Pointed Shoes</v>
      </c>
      <c r="B880" s="16"/>
      <c r="C880" s="16" t="str">
        <f>IFERROR(__xludf.DUMMYFUNCTION("""COMPUTED_VALUE"""),"Item")</f>
        <v>Item</v>
      </c>
      <c r="D880" s="16"/>
      <c r="E880" s="16">
        <f>IFERROR(__xludf.DUMMYFUNCTION("""COMPUTED_VALUE"""),1.0)</f>
        <v>1</v>
      </c>
      <c r="F880" s="16" t="str">
        <f>IFERROR(__xludf.DUMMYFUNCTION("""COMPUTED_VALUE""")," ++10000 hp and sp")</f>
        <v> ++10000 hp and sp</v>
      </c>
      <c r="G880" s="16">
        <f>IFERROR(__xludf.DUMMYFUNCTION("""COMPUTED_VALUE"""),0.0)</f>
        <v>0</v>
      </c>
      <c r="H880" s="16"/>
      <c r="I880" s="16"/>
      <c r="J880" s="16"/>
      <c r="K880" s="16"/>
      <c r="L880" s="16"/>
      <c r="M880" s="16"/>
      <c r="N880" s="16"/>
      <c r="O880" s="16"/>
      <c r="P880" s="16"/>
      <c r="Q880" s="16"/>
      <c r="R880" s="16"/>
      <c r="S880" s="16"/>
      <c r="T880" s="16"/>
      <c r="U880" s="16"/>
      <c r="V880" s="16"/>
      <c r="W880" s="16"/>
      <c r="X880" s="16"/>
      <c r="Y880" s="16"/>
      <c r="Z880" s="16"/>
    </row>
    <row r="881">
      <c r="A881" s="16" t="str">
        <f>IFERROR(__xludf.DUMMYFUNCTION("""COMPUTED_VALUE"""),"Iguanian Mage Staff of Hail")</f>
        <v>Iguanian Mage Staff of Hail</v>
      </c>
      <c r="B881" s="16"/>
      <c r="C881" s="16" t="str">
        <f>IFERROR(__xludf.DUMMYFUNCTION("""COMPUTED_VALUE"""),"Staff")</f>
        <v>Staff</v>
      </c>
      <c r="D881" s="16"/>
      <c r="E881" s="16">
        <f>IFERROR(__xludf.DUMMYFUNCTION("""COMPUTED_VALUE"""),1.0)</f>
        <v>1</v>
      </c>
      <c r="F881" s="16" t="str">
        <f>IFERROR(__xludf.DUMMYFUNCTION("""COMPUTED_VALUE""")," ++Iguanian Tidecall: Inflicts 25000XWisdom Water damage on all enemies sp cost: 1000XWisdom sp. ++Iguanian Mage's Staff: X5 to all Water and Storm Damage ")</f>
        <v> ++Iguanian Tidecall: Inflicts 25000XWisdom Water damage on all enemies sp cost: 1000XWisdom sp. ++Iguanian Mage's Staff: X5 to all Water and Storm Damage </v>
      </c>
      <c r="G881" s="16">
        <f>IFERROR(__xludf.DUMMYFUNCTION("""COMPUTED_VALUE"""),0.0)</f>
        <v>0</v>
      </c>
      <c r="H881" s="16"/>
      <c r="I881" s="16"/>
      <c r="J881" s="16"/>
      <c r="K881" s="16"/>
      <c r="L881" s="16"/>
      <c r="M881" s="16"/>
      <c r="N881" s="16"/>
      <c r="O881" s="16"/>
      <c r="P881" s="16"/>
      <c r="Q881" s="16"/>
      <c r="R881" s="16"/>
      <c r="S881" s="16"/>
      <c r="T881" s="16"/>
      <c r="U881" s="16"/>
      <c r="V881" s="16"/>
      <c r="W881" s="16"/>
      <c r="X881" s="16"/>
      <c r="Y881" s="16"/>
      <c r="Z881" s="16"/>
    </row>
    <row r="882">
      <c r="A882" s="16" t="str">
        <f>IFERROR(__xludf.DUMMYFUNCTION("""COMPUTED_VALUE"""),"Blood Finger Ring")</f>
        <v>Blood Finger Ring</v>
      </c>
      <c r="B882" s="16"/>
      <c r="C882" s="16" t="str">
        <f>IFERROR(__xludf.DUMMYFUNCTION("""COMPUTED_VALUE"""),"Item")</f>
        <v>Item</v>
      </c>
      <c r="D882" s="16" t="str">
        <f>IFERROR(__xludf.DUMMYFUNCTION("""COMPUTED_VALUE"""),"Finger")</f>
        <v>Finger</v>
      </c>
      <c r="E882" s="16">
        <f>IFERROR(__xludf.DUMMYFUNCTION("""COMPUTED_VALUE"""),1.0)</f>
        <v>1</v>
      </c>
      <c r="F882" s="16" t="str">
        <f>IFERROR(__xludf.DUMMYFUNCTION("""COMPUTED_VALUE""")," ++Once per battle, if HP&lt;110, heal 10000 HP +-Cannot be forged or duplicated")</f>
        <v> ++Once per battle, if HP&lt;110, heal 10000 HP +-Cannot be forged or duplicated</v>
      </c>
      <c r="G882" s="16">
        <f>IFERROR(__xludf.DUMMYFUNCTION("""COMPUTED_VALUE"""),0.0)</f>
        <v>0</v>
      </c>
      <c r="H882" s="16"/>
      <c r="I882" s="16"/>
      <c r="J882" s="16"/>
      <c r="K882" s="16"/>
      <c r="L882" s="16"/>
      <c r="M882" s="16"/>
      <c r="N882" s="16"/>
      <c r="O882" s="16"/>
      <c r="P882" s="16"/>
      <c r="Q882" s="16"/>
      <c r="R882" s="16"/>
      <c r="S882" s="16"/>
      <c r="T882" s="16"/>
      <c r="U882" s="16"/>
      <c r="V882" s="16"/>
      <c r="W882" s="16"/>
      <c r="X882" s="16"/>
      <c r="Y882" s="16"/>
      <c r="Z882" s="16"/>
    </row>
    <row r="883">
      <c r="A883" s="16" t="str">
        <f>IFERROR(__xludf.DUMMYFUNCTION("""COMPUTED_VALUE"""),"Finger Food Ring")</f>
        <v>Finger Food Ring</v>
      </c>
      <c r="B883" s="16"/>
      <c r="C883" s="16" t="str">
        <f>IFERROR(__xludf.DUMMYFUNCTION("""COMPUTED_VALUE"""),"Item")</f>
        <v>Item</v>
      </c>
      <c r="D883" s="16" t="str">
        <f>IFERROR(__xludf.DUMMYFUNCTION("""COMPUTED_VALUE"""),"Finger")</f>
        <v>Finger</v>
      </c>
      <c r="E883" s="16">
        <f>IFERROR(__xludf.DUMMYFUNCTION("""COMPUTED_VALUE"""),1.0)</f>
        <v>1</v>
      </c>
      <c r="F883" s="16" t="str">
        <f>IFERROR(__xludf.DUMMYFUNCTION("""COMPUTED_VALUE""")," ++Once per journey, consume one piece of food without it being removed from inventory +-Cannot be forged or duplicated")</f>
        <v> ++Once per journey, consume one piece of food without it being removed from inventory +-Cannot be forged or duplicated</v>
      </c>
      <c r="G883" s="16">
        <f>IFERROR(__xludf.DUMMYFUNCTION("""COMPUTED_VALUE"""),0.0)</f>
        <v>0</v>
      </c>
      <c r="H883" s="16"/>
      <c r="I883" s="16"/>
      <c r="J883" s="16"/>
      <c r="K883" s="16"/>
      <c r="L883" s="16"/>
      <c r="M883" s="16"/>
      <c r="N883" s="16"/>
      <c r="O883" s="16"/>
      <c r="P883" s="16"/>
      <c r="Q883" s="16"/>
      <c r="R883" s="16"/>
      <c r="S883" s="16"/>
      <c r="T883" s="16"/>
      <c r="U883" s="16"/>
      <c r="V883" s="16"/>
      <c r="W883" s="16"/>
      <c r="X883" s="16"/>
      <c r="Y883" s="16"/>
      <c r="Z883" s="16"/>
    </row>
    <row r="884">
      <c r="A884" s="16" t="str">
        <f>IFERROR(__xludf.DUMMYFUNCTION("""COMPUTED_VALUE"""),"Ring of Power")</f>
        <v>Ring of Power</v>
      </c>
      <c r="B884" s="16"/>
      <c r="C884" s="16" t="str">
        <f>IFERROR(__xludf.DUMMYFUNCTION("""COMPUTED_VALUE"""),"Item")</f>
        <v>Item</v>
      </c>
      <c r="D884" s="16" t="str">
        <f>IFERROR(__xludf.DUMMYFUNCTION("""COMPUTED_VALUE"""),"Finger")</f>
        <v>Finger</v>
      </c>
      <c r="E884" s="16">
        <f>IFERROR(__xludf.DUMMYFUNCTION("""COMPUTED_VALUE"""),1.0)</f>
        <v>1</v>
      </c>
      <c r="F884" s="16" t="str">
        <f>IFERROR(__xludf.DUMMYFUNCTION("""COMPUTED_VALUE""")," ++1500 ATK and ACC")</f>
        <v> ++1500 ATK and ACC</v>
      </c>
      <c r="G884" s="16">
        <f>IFERROR(__xludf.DUMMYFUNCTION("""COMPUTED_VALUE"""),0.0)</f>
        <v>0</v>
      </c>
      <c r="H884" s="16"/>
      <c r="I884" s="16"/>
      <c r="J884" s="16"/>
      <c r="K884" s="16"/>
      <c r="L884" s="16"/>
      <c r="M884" s="16"/>
      <c r="N884" s="16"/>
      <c r="O884" s="16"/>
      <c r="P884" s="16"/>
      <c r="Q884" s="16"/>
      <c r="R884" s="16"/>
      <c r="S884" s="16"/>
      <c r="T884" s="16"/>
      <c r="U884" s="16"/>
      <c r="V884" s="16"/>
      <c r="W884" s="16"/>
      <c r="X884" s="16"/>
      <c r="Y884" s="16"/>
      <c r="Z884" s="16"/>
    </row>
    <row r="885">
      <c r="A885" s="16" t="str">
        <f>IFERROR(__xludf.DUMMYFUNCTION("""COMPUTED_VALUE"""),"Axe of Red")</f>
        <v>Axe of Red</v>
      </c>
      <c r="B885" s="16"/>
      <c r="C885" s="16" t="str">
        <f>IFERROR(__xludf.DUMMYFUNCTION("""COMPUTED_VALUE"""),"Axe")</f>
        <v>Axe</v>
      </c>
      <c r="D885" s="16" t="str">
        <f>IFERROR(__xludf.DUMMYFUNCTION("""COMPUTED_VALUE"""),"Hand")</f>
        <v>Hand</v>
      </c>
      <c r="E885" s="16">
        <f>IFERROR(__xludf.DUMMYFUNCTION("""COMPUTED_VALUE"""),4500.0)</f>
        <v>4500</v>
      </c>
      <c r="F885" s="16" t="str">
        <f>IFERROR(__xludf.DUMMYFUNCTION("""COMPUTED_VALUE"""),", Fire DMG: +75000, Chaos DMG: +75000, Blood DMG: +75000")</f>
        <v>, Fire DMG: +75000, Chaos DMG: +75000, Blood DMG: +75000</v>
      </c>
      <c r="G885" s="16">
        <f>IFERROR(__xludf.DUMMYFUNCTION("""COMPUTED_VALUE"""),1.01025E9)</f>
        <v>1010250000</v>
      </c>
      <c r="H885" s="16"/>
      <c r="I885" s="16"/>
      <c r="J885" s="16"/>
      <c r="K885" s="16"/>
      <c r="L885" s="16"/>
      <c r="M885" s="16"/>
      <c r="N885" s="16"/>
      <c r="O885" s="16"/>
      <c r="P885" s="16"/>
      <c r="Q885" s="16"/>
      <c r="R885" s="16"/>
      <c r="S885" s="16"/>
      <c r="T885" s="16"/>
      <c r="U885" s="16"/>
      <c r="V885" s="16"/>
      <c r="W885" s="16"/>
      <c r="X885" s="16"/>
      <c r="Y885" s="16"/>
      <c r="Z885" s="16"/>
    </row>
    <row r="886">
      <c r="A886" s="16" t="str">
        <f>IFERROR(__xludf.DUMMYFUNCTION("""COMPUTED_VALUE"""),"Wyrmscale Staff")</f>
        <v>Wyrmscale Staff</v>
      </c>
      <c r="B886" s="16"/>
      <c r="C886" s="16" t="str">
        <f>IFERROR(__xludf.DUMMYFUNCTION("""COMPUTED_VALUE"""),"Staff")</f>
        <v>Staff</v>
      </c>
      <c r="D886" s="16" t="str">
        <f>IFERROR(__xludf.DUMMYFUNCTION("""COMPUTED_VALUE"""),"Hand")</f>
        <v>Hand</v>
      </c>
      <c r="E886" s="16">
        <f>IFERROR(__xludf.DUMMYFUNCTION("""COMPUTED_VALUE"""),1.0)</f>
        <v>1</v>
      </c>
      <c r="F886" s="16" t="str">
        <f>IFERROR(__xludf.DUMMYFUNCTION("""COMPUTED_VALUE""")," ++Spells have double effect when cast on dragons +-Cannot be forged or duplicated")</f>
        <v> ++Spells have double effect when cast on dragons +-Cannot be forged or duplicated</v>
      </c>
      <c r="G886" s="16">
        <f>IFERROR(__xludf.DUMMYFUNCTION("""COMPUTED_VALUE"""),0.0)</f>
        <v>0</v>
      </c>
      <c r="H886" s="16"/>
      <c r="I886" s="16"/>
      <c r="J886" s="16"/>
      <c r="K886" s="16"/>
      <c r="L886" s="16"/>
      <c r="M886" s="16"/>
      <c r="N886" s="16"/>
      <c r="O886" s="16"/>
      <c r="P886" s="16"/>
      <c r="Q886" s="16"/>
      <c r="R886" s="16"/>
      <c r="S886" s="16"/>
      <c r="T886" s="16"/>
      <c r="U886" s="16"/>
      <c r="V886" s="16"/>
      <c r="W886" s="16"/>
      <c r="X886" s="16"/>
      <c r="Y886" s="16"/>
      <c r="Z886" s="16"/>
    </row>
    <row r="887">
      <c r="A887" s="16" t="str">
        <f>IFERROR(__xludf.DUMMYFUNCTION("""COMPUTED_VALUE"""),"Wyrmscale Wand")</f>
        <v>Wyrmscale Wand</v>
      </c>
      <c r="B887" s="16"/>
      <c r="C887" s="16" t="str">
        <f>IFERROR(__xludf.DUMMYFUNCTION("""COMPUTED_VALUE"""),"Wand")</f>
        <v>Wand</v>
      </c>
      <c r="D887" s="16" t="str">
        <f>IFERROR(__xludf.DUMMYFUNCTION("""COMPUTED_VALUE"""),"Hand")</f>
        <v>Hand</v>
      </c>
      <c r="E887" s="16">
        <f>IFERROR(__xludf.DUMMYFUNCTION("""COMPUTED_VALUE"""),1.0)</f>
        <v>1</v>
      </c>
      <c r="F887" s="16" t="str">
        <f>IFERROR(__xludf.DUMMYFUNCTION("""COMPUTED_VALUE""")," ++Half the SP/HP cost of spells when in the presence of a dragon +-Cannot be forged or duplicated")</f>
        <v> ++Half the SP/HP cost of spells when in the presence of a dragon +-Cannot be forged or duplicated</v>
      </c>
      <c r="G887" s="16">
        <f>IFERROR(__xludf.DUMMYFUNCTION("""COMPUTED_VALUE"""),0.0)</f>
        <v>0</v>
      </c>
      <c r="H887" s="16"/>
      <c r="I887" s="16"/>
      <c r="J887" s="16"/>
      <c r="K887" s="16"/>
      <c r="L887" s="16"/>
      <c r="M887" s="16"/>
      <c r="N887" s="16"/>
      <c r="O887" s="16"/>
      <c r="P887" s="16"/>
      <c r="Q887" s="16"/>
      <c r="R887" s="16"/>
      <c r="S887" s="16"/>
      <c r="T887" s="16"/>
      <c r="U887" s="16"/>
      <c r="V887" s="16"/>
      <c r="W887" s="16"/>
      <c r="X887" s="16"/>
      <c r="Y887" s="16"/>
      <c r="Z887" s="16"/>
    </row>
    <row r="888">
      <c r="A888" s="16" t="str">
        <f>IFERROR(__xludf.DUMMYFUNCTION("""COMPUTED_VALUE"""),"Nothing")</f>
        <v>Nothing</v>
      </c>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t="str">
        <f>IFERROR(__xludf.DUMMYFUNCTION("""COMPUTED_VALUE"""),"Slime core")</f>
        <v>Slime core</v>
      </c>
      <c r="B889" s="16" t="str">
        <f>IFERROR(__xludf.DUMMYFUNCTION("""COMPUTED_VALUE"""),"restores 5 SP; can be used to make mana potions")</f>
        <v>restores 5 SP; can be used to make mana potions</v>
      </c>
      <c r="C889" s="16" t="str">
        <f>IFERROR(__xludf.DUMMYFUNCTION("""COMPUTED_VALUE"""),"Item")</f>
        <v>Item</v>
      </c>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t="str">
        <f>IFERROR(__xludf.DUMMYFUNCTION("""COMPUTED_VALUE"""),"Mysterious egg")</f>
        <v>Mysterious egg</v>
      </c>
      <c r="B890" s="16" t="str">
        <f>IFERROR(__xludf.DUMMYFUNCTION("""COMPUTED_VALUE"""),"This egg will be determined by DM/GM")</f>
        <v>This egg will be determined by DM/GM</v>
      </c>
      <c r="C890" s="16" t="str">
        <f>IFERROR(__xludf.DUMMYFUNCTION("""COMPUTED_VALUE"""),"Item")</f>
        <v>Item</v>
      </c>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t="str">
        <f>IFERROR(__xludf.DUMMYFUNCTION("""COMPUTED_VALUE"""),"Emerald of Luck")</f>
        <v>Emerald of Luck</v>
      </c>
      <c r="B891" s="16" t="str">
        <f>IFERROR(__xludf.DUMMYFUNCTION("""COMPUTED_VALUE"""),"It’s said when holding one of these you feel like it's a happy spring day...")</f>
        <v>It’s said when holding one of these you feel like it's a happy spring day...</v>
      </c>
      <c r="C891" s="16" t="str">
        <f>IFERROR(__xludf.DUMMYFUNCTION("""COMPUTED_VALUE"""),"Item")</f>
        <v>Item</v>
      </c>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t="str">
        <f>IFERROR(__xludf.DUMMYFUNCTION("""COMPUTED_VALUE"""),"Gold")</f>
        <v>Gold</v>
      </c>
      <c r="B892" s="16" t="str">
        <f>IFERROR(__xludf.DUMMYFUNCTION("""COMPUTED_VALUE"""),"Crafting Material, roll a d20 to see how many you get if this is a loot drop.l. Can be used to repair an item.")</f>
        <v>Crafting Material, roll a d20 to see how many you get if this is a loot drop.l. Can be used to repair an item.</v>
      </c>
      <c r="C892" s="16" t="str">
        <f>IFERROR(__xludf.DUMMYFUNCTION("""COMPUTED_VALUE"""),"Item")</f>
        <v>Item</v>
      </c>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t="str">
        <f>IFERROR(__xludf.DUMMYFUNCTION("""COMPUTED_VALUE"""),"Iron")</f>
        <v>Iron</v>
      </c>
      <c r="B893" s="16" t="str">
        <f>IFERROR(__xludf.DUMMYFUNCTION("""COMPUTED_VALUE"""),"Crafting Material, roll a d20 to see how many you get if this is a loot drop.. Can be used to repair an item.")</f>
        <v>Crafting Material, roll a d20 to see how many you get if this is a loot drop.. Can be used to repair an item.</v>
      </c>
      <c r="C893" s="16" t="str">
        <f>IFERROR(__xludf.DUMMYFUNCTION("""COMPUTED_VALUE"""),"Item")</f>
        <v>Item</v>
      </c>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t="str">
        <f>IFERROR(__xludf.DUMMYFUNCTION("""COMPUTED_VALUE"""),"Dragon scales")</f>
        <v>Dragon scales</v>
      </c>
      <c r="B894" s="16" t="str">
        <f>IFERROR(__xludf.DUMMYFUNCTION("""COMPUTED_VALUE"""),"Crafting Material, roll a d20 to see how many you get if this is a loot drop.. Can be used to repair an item.")</f>
        <v>Crafting Material, roll a d20 to see how many you get if this is a loot drop.. Can be used to repair an item.</v>
      </c>
      <c r="C894" s="16" t="str">
        <f>IFERROR(__xludf.DUMMYFUNCTION("""COMPUTED_VALUE"""),"Item")</f>
        <v>Item</v>
      </c>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t="str">
        <f>IFERROR(__xludf.DUMMYFUNCTION("""COMPUTED_VALUE"""),"Desert Emerald")</f>
        <v>Desert Emerald</v>
      </c>
      <c r="B895" s="16" t="str">
        <f>IFERROR(__xludf.DUMMYFUNCTION("""COMPUTED_VALUE"""),"Crafting Material, roll a d20 to see how many you get if this is a loot drop.. Can be used to repair an item.")</f>
        <v>Crafting Material, roll a d20 to see how many you get if this is a loot drop.. Can be used to repair an item.</v>
      </c>
      <c r="C895" s="16" t="str">
        <f>IFERROR(__xludf.DUMMYFUNCTION("""COMPUTED_VALUE"""),"Item")</f>
        <v>Item</v>
      </c>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t="str">
        <f>IFERROR(__xludf.DUMMYFUNCTION("""COMPUTED_VALUE"""),"Desert Ruby")</f>
        <v>Desert Ruby</v>
      </c>
      <c r="B896" s="16" t="str">
        <f>IFERROR(__xludf.DUMMYFUNCTION("""COMPUTED_VALUE"""),"Crafting Material, roll a d20 to see how many you get if this is a loot drop.. Can be used to repair an item.")</f>
        <v>Crafting Material, roll a d20 to see how many you get if this is a loot drop.. Can be used to repair an item.</v>
      </c>
      <c r="C896" s="16" t="str">
        <f>IFERROR(__xludf.DUMMYFUNCTION("""COMPUTED_VALUE"""),"Item")</f>
        <v>Item</v>
      </c>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t="str">
        <f>IFERROR(__xludf.DUMMYFUNCTION("""COMPUTED_VALUE"""),"Diamonds")</f>
        <v>Diamonds</v>
      </c>
      <c r="B897" s="16" t="str">
        <f>IFERROR(__xludf.DUMMYFUNCTION("""COMPUTED_VALUE"""),"Crafting Material, roll a d20 to see how many you get if this is a loot drop.. Can be used to repair an item.")</f>
        <v>Crafting Material, roll a d20 to see how many you get if this is a loot drop.. Can be used to repair an item.</v>
      </c>
      <c r="C897" s="16" t="str">
        <f>IFERROR(__xludf.DUMMYFUNCTION("""COMPUTED_VALUE"""),"Item")</f>
        <v>Item</v>
      </c>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t="str">
        <f>IFERROR(__xludf.DUMMYFUNCTION("""COMPUTED_VALUE"""),"Bricks")</f>
        <v>Bricks</v>
      </c>
      <c r="B898" s="16" t="str">
        <f>IFERROR(__xludf.DUMMYFUNCTION("""COMPUTED_VALUE"""),"Crafting Material, roll a d20 to see how many you get if this is a loot drop.. Can be used to repair an item.")</f>
        <v>Crafting Material, roll a d20 to see how many you get if this is a loot drop.. Can be used to repair an item.</v>
      </c>
      <c r="C898" s="16" t="str">
        <f>IFERROR(__xludf.DUMMYFUNCTION("""COMPUTED_VALUE"""),"Item")</f>
        <v>Item</v>
      </c>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t="str">
        <f>IFERROR(__xludf.DUMMYFUNCTION("""COMPUTED_VALUE"""),"Obsidian")</f>
        <v>Obsidian</v>
      </c>
      <c r="B899" s="16" t="str">
        <f>IFERROR(__xludf.DUMMYFUNCTION("""COMPUTED_VALUE"""),"Crafting Material, roll a d20 to see how many you get if this is a loot drop., roll a d20 to see how many you get if this is a loot drop.. Can be used to repair an item.")</f>
        <v>Crafting Material, roll a d20 to see how many you get if this is a loot drop., roll a d20 to see how many you get if this is a loot drop.. Can be used to repair an item.</v>
      </c>
      <c r="C899" s="16" t="str">
        <f>IFERROR(__xludf.DUMMYFUNCTION("""COMPUTED_VALUE"""),"Item")</f>
        <v>Item</v>
      </c>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t="str">
        <f>IFERROR(__xludf.DUMMYFUNCTION("""COMPUTED_VALUE"""),"Sand")</f>
        <v>Sand</v>
      </c>
      <c r="B900" s="16" t="str">
        <f>IFERROR(__xludf.DUMMYFUNCTION("""COMPUTED_VALUE"""),"Crafting Material, roll a d20 to see how many you get if this is a loot drop., roll a d20 to see how many you get if this is a loot drop.")</f>
        <v>Crafting Material, roll a d20 to see how many you get if this is a loot drop., roll a d20 to see how many you get if this is a loot drop.</v>
      </c>
      <c r="C900" s="16" t="str">
        <f>IFERROR(__xludf.DUMMYFUNCTION("""COMPUTED_VALUE"""),"Item")</f>
        <v>Item</v>
      </c>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t="str">
        <f>IFERROR(__xludf.DUMMYFUNCTION("""COMPUTED_VALUE"""),"Glowing rocks")</f>
        <v>Glowing rocks</v>
      </c>
      <c r="B901" s="16" t="str">
        <f>IFERROR(__xludf.DUMMYFUNCTION("""COMPUTED_VALUE""")," Can be forged into armor or a weapon to give it +200 additional light damage or resistance")</f>
        <v> Can be forged into armor or a weapon to give it +200 additional light damage or resistance</v>
      </c>
      <c r="C901" s="16" t="str">
        <f>IFERROR(__xludf.DUMMYFUNCTION("""COMPUTED_VALUE"""),"Item")</f>
        <v>Item</v>
      </c>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t="str">
        <f>IFERROR(__xludf.DUMMYFUNCTION("""COMPUTED_VALUE"""),"Steel")</f>
        <v>Steel</v>
      </c>
      <c r="B902" s="16" t="str">
        <f>IFERROR(__xludf.DUMMYFUNCTION("""COMPUTED_VALUE"""),"Crafting Material, roll a d20 to see how many you get if this is a loot drop. Can be used to repair an item. ")</f>
        <v>Crafting Material, roll a d20 to see how many you get if this is a loot drop. Can be used to repair an item. </v>
      </c>
      <c r="C902" s="16" t="str">
        <f>IFERROR(__xludf.DUMMYFUNCTION("""COMPUTED_VALUE"""),"Item")</f>
        <v>Item</v>
      </c>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t="str">
        <f>IFERROR(__xludf.DUMMYFUNCTION("""COMPUTED_VALUE"""),"Silver")</f>
        <v>Silver</v>
      </c>
      <c r="B903" s="16" t="str">
        <f>IFERROR(__xludf.DUMMYFUNCTION("""COMPUTED_VALUE"""),"Crafting Material, roll a d20 to see how many you get if this is a loot drop., roll a d20 to see how many you get if this is a loot drop., roll a d20 to see how many you get if this is a loot drop.. Can be used to repair an item.")</f>
        <v>Crafting Material, roll a d20 to see how many you get if this is a loot drop., roll a d20 to see how many you get if this is a loot drop., roll a d20 to see how many you get if this is a loot drop.. Can be used to repair an item.</v>
      </c>
      <c r="C903" s="16" t="str">
        <f>IFERROR(__xludf.DUMMYFUNCTION("""COMPUTED_VALUE"""),"Item")</f>
        <v>Item</v>
      </c>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t="str">
        <f>IFERROR(__xludf.DUMMYFUNCTION("""COMPUTED_VALUE"""),"Chains")</f>
        <v>Chains</v>
      </c>
      <c r="B904" s="16" t="str">
        <f>IFERROR(__xludf.DUMMYFUNCTION("""COMPUTED_VALUE"""),"Crafting Material, roll a d20 to see how many you get if this is a loot drop., roll a d20 to see how many you get if this is a loot drop.")</f>
        <v>Crafting Material, roll a d20 to see how many you get if this is a loot drop., roll a d20 to see how many you get if this is a loot drop.</v>
      </c>
      <c r="C904" s="16" t="str">
        <f>IFERROR(__xludf.DUMMYFUNCTION("""COMPUTED_VALUE"""),"Item")</f>
        <v>Item</v>
      </c>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t="str">
        <f>IFERROR(__xludf.DUMMYFUNCTION("""COMPUTED_VALUE"""),"Steel Pickaxe ")</f>
        <v>Steel Pickaxe </v>
      </c>
      <c r="B905" s="16" t="str">
        <f>IFERROR(__xludf.DUMMYFUNCTION("""COMPUTED_VALUE"""),"40/40 Uses. Used for mining.")</f>
        <v>40/40 Uses. Used for mining.</v>
      </c>
      <c r="C905" s="16" t="str">
        <f>IFERROR(__xludf.DUMMYFUNCTION("""COMPUTED_VALUE"""),"Item")</f>
        <v>Item</v>
      </c>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t="str">
        <f>IFERROR(__xludf.DUMMYFUNCTION("""COMPUTED_VALUE"""),"Haggis Bowl")</f>
        <v>Haggis Bowl</v>
      </c>
      <c r="B906" s="16" t="str">
        <f>IFERROR(__xludf.DUMMYFUNCTION("""COMPUTED_VALUE"""),"Restores 75 Hunger +50 energy")</f>
        <v>Restores 75 Hunger +50 energy</v>
      </c>
      <c r="C906" s="16" t="str">
        <f>IFERROR(__xludf.DUMMYFUNCTION("""COMPUTED_VALUE"""),"Crop")</f>
        <v>Crop</v>
      </c>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t="str">
        <f>IFERROR(__xludf.DUMMYFUNCTION("""COMPUTED_VALUE"""),"Chunk of Salmon")</f>
        <v>Chunk of Salmon</v>
      </c>
      <c r="B907" s="16" t="str">
        <f>IFERROR(__xludf.DUMMYFUNCTION("""COMPUTED_VALUE"""),"Restores 10 Hunger +5 energy")</f>
        <v>Restores 10 Hunger +5 energy</v>
      </c>
      <c r="C907" s="16" t="str">
        <f>IFERROR(__xludf.DUMMYFUNCTION("""COMPUTED_VALUE"""),"Crop")</f>
        <v>Crop</v>
      </c>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t="str">
        <f>IFERROR(__xludf.DUMMYFUNCTION("""COMPUTED_VALUE"""),"Dragon Jerky")</f>
        <v>Dragon Jerky</v>
      </c>
      <c r="B908" s="16" t="str">
        <f>IFERROR(__xludf.DUMMYFUNCTION("""COMPUTED_VALUE"""),"Restores 100 Hunger + 100 energy")</f>
        <v>Restores 100 Hunger + 100 energy</v>
      </c>
      <c r="C908" s="16" t="str">
        <f>IFERROR(__xludf.DUMMYFUNCTION("""COMPUTED_VALUE"""),"Crop")</f>
        <v>Crop</v>
      </c>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t="str">
        <f>IFERROR(__xludf.DUMMYFUNCTION("""COMPUTED_VALUE"""),"Bacon Strip")</f>
        <v>Bacon Strip</v>
      </c>
      <c r="B909" s="16" t="str">
        <f>IFERROR(__xludf.DUMMYFUNCTION("""COMPUTED_VALUE"""),"Restores 5 Hunger +4 energy")</f>
        <v>Restores 5 Hunger +4 energy</v>
      </c>
      <c r="C909" s="16" t="str">
        <f>IFERROR(__xludf.DUMMYFUNCTION("""COMPUTED_VALUE"""),"Crop")</f>
        <v>Crop</v>
      </c>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t="str">
        <f>IFERROR(__xludf.DUMMYFUNCTION("""COMPUTED_VALUE"""),"Smoked Salmon")</f>
        <v>Smoked Salmon</v>
      </c>
      <c r="B910" s="16" t="str">
        <f>IFERROR(__xludf.DUMMYFUNCTION("""COMPUTED_VALUE"""),"Restores 20 Hunger +10 energy")</f>
        <v>Restores 20 Hunger +10 energy</v>
      </c>
      <c r="C910" s="16" t="str">
        <f>IFERROR(__xludf.DUMMYFUNCTION("""COMPUTED_VALUE"""),"Crop")</f>
        <v>Crop</v>
      </c>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t="str">
        <f>IFERROR(__xludf.DUMMYFUNCTION("""COMPUTED_VALUE"""),"Smoked Lamb")</f>
        <v>Smoked Lamb</v>
      </c>
      <c r="B911" s="16" t="str">
        <f>IFERROR(__xludf.DUMMYFUNCTION("""COMPUTED_VALUE"""),"Restores 25 Hunger")</f>
        <v>Restores 25 Hunger</v>
      </c>
      <c r="C911" s="16" t="str">
        <f>IFERROR(__xludf.DUMMYFUNCTION("""COMPUTED_VALUE"""),"Crop")</f>
        <v>Crop</v>
      </c>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t="str">
        <f>IFERROR(__xludf.DUMMYFUNCTION("""COMPUTED_VALUE"""),"Volcanic Venison")</f>
        <v>Volcanic Venison</v>
      </c>
      <c r="B912" s="16" t="str">
        <f>IFERROR(__xludf.DUMMYFUNCTION("""COMPUTED_VALUE"""),"Restores 50 Hunger")</f>
        <v>Restores 50 Hunger</v>
      </c>
      <c r="C912" s="16" t="str">
        <f>IFERROR(__xludf.DUMMYFUNCTION("""COMPUTED_VALUE"""),"Crop")</f>
        <v>Crop</v>
      </c>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t="str">
        <f>IFERROR(__xludf.DUMMYFUNCTION("""COMPUTED_VALUE"""),"Pulled Pork")</f>
        <v>Pulled Pork</v>
      </c>
      <c r="B913" s="16" t="str">
        <f>IFERROR(__xludf.DUMMYFUNCTION("""COMPUTED_VALUE"""),"Restores 40 Hunger")</f>
        <v>Restores 40 Hunger</v>
      </c>
      <c r="C913" s="16" t="str">
        <f>IFERROR(__xludf.DUMMYFUNCTION("""COMPUTED_VALUE"""),"Crop")</f>
        <v>Crop</v>
      </c>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t="str">
        <f>IFERROR(__xludf.DUMMYFUNCTION("""COMPUTED_VALUE"""),"Honeyed Nordic Mead")</f>
        <v>Honeyed Nordic Mead</v>
      </c>
      <c r="B914" s="16" t="str">
        <f>IFERROR(__xludf.DUMMYFUNCTION("""COMPUTED_VALUE"""),"Restores 100 Thirst +100 energy")</f>
        <v>Restores 100 Thirst +100 energy</v>
      </c>
      <c r="C914" s="16" t="str">
        <f>IFERROR(__xludf.DUMMYFUNCTION("""COMPUTED_VALUE"""),"Item")</f>
        <v>Item</v>
      </c>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t="str">
        <f>IFERROR(__xludf.DUMMYFUNCTION("""COMPUTED_VALUE"""),"Wine")</f>
        <v>Wine</v>
      </c>
      <c r="B915" s="16" t="str">
        <f>IFERROR(__xludf.DUMMYFUNCTION("""COMPUTED_VALUE"""),"Restores 25 Thirst +15 energy")</f>
        <v>Restores 25 Thirst +15 energy</v>
      </c>
      <c r="C915" s="16" t="str">
        <f>IFERROR(__xludf.DUMMYFUNCTION("""COMPUTED_VALUE"""),"Item")</f>
        <v>Item</v>
      </c>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t="str">
        <f>IFERROR(__xludf.DUMMYFUNCTION("""COMPUTED_VALUE"""),"Melomel (Mead w/ fruit added)")</f>
        <v>Melomel (Mead w/ fruit added)</v>
      </c>
      <c r="B916" s="16" t="str">
        <f>IFERROR(__xludf.DUMMYFUNCTION("""COMPUTED_VALUE"""),"Restores 50 Thirst and hunger +25 energy")</f>
        <v>Restores 50 Thirst and hunger +25 energy</v>
      </c>
      <c r="C916" s="16" t="str">
        <f>IFERROR(__xludf.DUMMYFUNCTION("""COMPUTED_VALUE"""),"Crop")</f>
        <v>Crop</v>
      </c>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t="str">
        <f>IFERROR(__xludf.DUMMYFUNCTION("""COMPUTED_VALUE"""),"Docile Desert Djinn Gin")</f>
        <v>Docile Desert Djinn Gin</v>
      </c>
      <c r="B917" s="16" t="str">
        <f>IFERROR(__xludf.DUMMYFUNCTION("""COMPUTED_VALUE"""),"Restore 200 thirst +150 energy, has a 50% to decrease your attack and accuracy by half for 3 game days (disorientated status effect) 
If you drink too much you will be known as a bumbling joker, stumbling stooge, jumbling jester, and or plastered plank (N"&amp;"PCs will start to call you this in-game as it will be listed on your character sheet as an ANTI-achievement)")</f>
        <v>Restore 200 thirst +150 energy, has a 50% to decrease your attack and accuracy by half for 3 game days (disorientated status effect) 
If you drink too much you will be known as a bumbling joker, stumbling stooge, jumbling jester, and or plastered plank (NPCs will start to call you this in-game as it will be listed on your character sheet as an ANTI-achievement)</v>
      </c>
      <c r="C917" s="16" t="str">
        <f>IFERROR(__xludf.DUMMYFUNCTION("""COMPUTED_VALUE"""),"Item")</f>
        <v>Item</v>
      </c>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t="str">
        <f>IFERROR(__xludf.DUMMYFUNCTION("""COMPUTED_VALUE"""),"Small Battery")</f>
        <v>Small Battery</v>
      </c>
      <c r="B918" s="16" t="str">
        <f>IFERROR(__xludf.DUMMYFUNCTION("""COMPUTED_VALUE"""),"Restores 100 energy.")</f>
        <v>Restores 100 energy.</v>
      </c>
      <c r="C918" s="16" t="str">
        <f>IFERROR(__xludf.DUMMYFUNCTION("""COMPUTED_VALUE"""),"Item")</f>
        <v>Item</v>
      </c>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t="str">
        <f>IFERROR(__xludf.DUMMYFUNCTION("""COMPUTED_VALUE"""),"Medium Battery")</f>
        <v>Medium Battery</v>
      </c>
      <c r="B919" s="16" t="str">
        <f>IFERROR(__xludf.DUMMYFUNCTION("""COMPUTED_VALUE"""),"Restores 250 energy.")</f>
        <v>Restores 250 energy.</v>
      </c>
      <c r="C919" s="16" t="str">
        <f>IFERROR(__xludf.DUMMYFUNCTION("""COMPUTED_VALUE"""),"Item")</f>
        <v>Item</v>
      </c>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t="str">
        <f>IFERROR(__xludf.DUMMYFUNCTION("""COMPUTED_VALUE"""),"Large Battery")</f>
        <v>Large Battery</v>
      </c>
      <c r="B920" s="16" t="str">
        <f>IFERROR(__xludf.DUMMYFUNCTION("""COMPUTED_VALUE"""),"Restores 500 energy.")</f>
        <v>Restores 500 energy.</v>
      </c>
      <c r="C920" s="16" t="str">
        <f>IFERROR(__xludf.DUMMYFUNCTION("""COMPUTED_VALUE"""),"Item")</f>
        <v>Item</v>
      </c>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t="str">
        <f>IFERROR(__xludf.DUMMYFUNCTION("""COMPUTED_VALUE"""),"Wind Queen's Soul")</f>
        <v>Wind Queen's Soul</v>
      </c>
      <c r="B921" s="16" t="str">
        <f>IFERROR(__xludf.DUMMYFUNCTION("""COMPUTED_VALUE"""),"(Quest Item) It pulses with a dark energy")</f>
        <v>(Quest Item) It pulses with a dark energy</v>
      </c>
      <c r="C921" s="16" t="str">
        <f>IFERROR(__xludf.DUMMYFUNCTION("""COMPUTED_VALUE"""),"Item")</f>
        <v>Item</v>
      </c>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t="str">
        <f>IFERROR(__xludf.DUMMYFUNCTION("""COMPUTED_VALUE"""),"Wave Queen's Soul")</f>
        <v>Wave Queen's Soul</v>
      </c>
      <c r="B922" s="16" t="str">
        <f>IFERROR(__xludf.DUMMYFUNCTION("""COMPUTED_VALUE"""),"(Quest Item) It pulses with a dark energy")</f>
        <v>(Quest Item) It pulses with a dark energy</v>
      </c>
      <c r="C922" s="16" t="str">
        <f>IFERROR(__xludf.DUMMYFUNCTION("""COMPUTED_VALUE"""),"Item")</f>
        <v>Item</v>
      </c>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t="str">
        <f>IFERROR(__xludf.DUMMYFUNCTION("""COMPUTED_VALUE"""),"Storm King's Soul")</f>
        <v>Storm King's Soul</v>
      </c>
      <c r="B923" s="16" t="str">
        <f>IFERROR(__xludf.DUMMYFUNCTION("""COMPUTED_VALUE"""),"(Quest Item) It pulses with a dark energy")</f>
        <v>(Quest Item) It pulses with a dark energy</v>
      </c>
      <c r="C923" s="16" t="str">
        <f>IFERROR(__xludf.DUMMYFUNCTION("""COMPUTED_VALUE"""),"Item")</f>
        <v>Item</v>
      </c>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t="str">
        <f>IFERROR(__xludf.DUMMYFUNCTION("""COMPUTED_VALUE"""),"Stone King's Soul")</f>
        <v>Stone King's Soul</v>
      </c>
      <c r="B924" s="16" t="str">
        <f>IFERROR(__xludf.DUMMYFUNCTION("""COMPUTED_VALUE"""),"(Quest Item) It pulses with a dark energy")</f>
        <v>(Quest Item) It pulses with a dark energy</v>
      </c>
      <c r="C924" s="16" t="str">
        <f>IFERROR(__xludf.DUMMYFUNCTION("""COMPUTED_VALUE"""),"Item")</f>
        <v>Item</v>
      </c>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t="str">
        <f>IFERROR(__xludf.DUMMYFUNCTION("""COMPUTED_VALUE"""),"Inferno King Soul")</f>
        <v>Inferno King Soul</v>
      </c>
      <c r="B925" s="16" t="str">
        <f>IFERROR(__xludf.DUMMYFUNCTION("""COMPUTED_VALUE"""),"(Quest Item) It pulses with a dark energy")</f>
        <v>(Quest Item) It pulses with a dark energy</v>
      </c>
      <c r="C925" s="16" t="str">
        <f>IFERROR(__xludf.DUMMYFUNCTION("""COMPUTED_VALUE"""),"Item")</f>
        <v>Item</v>
      </c>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t="str">
        <f>IFERROR(__xludf.DUMMYFUNCTION("""COMPUTED_VALUE"""),"Docile Desert Djinn’s Gin")</f>
        <v>Docile Desert Djinn’s Gin</v>
      </c>
      <c r="B926" s="16"/>
      <c r="C926" s="16" t="str">
        <f>IFERROR(__xludf.DUMMYFUNCTION("""COMPUTED_VALUE"""),"Item")</f>
        <v>Item</v>
      </c>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t="str">
        <f>IFERROR(__xludf.DUMMYFUNCTION("""COMPUTED_VALUE"""),"Minor Health Potion")</f>
        <v>Minor Health Potion</v>
      </c>
      <c r="B927" s="16" t="str">
        <f>IFERROR(__xludf.DUMMYFUNCTION("""COMPUTED_VALUE"""),"Restores 20HP")</f>
        <v>Restores 20HP</v>
      </c>
      <c r="C927" s="16" t="str">
        <f>IFERROR(__xludf.DUMMYFUNCTION("""COMPUTED_VALUE"""),"Item")</f>
        <v>Item</v>
      </c>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t="str">
        <f>IFERROR(__xludf.DUMMYFUNCTION("""COMPUTED_VALUE"""),"Medium Health Potion")</f>
        <v>Medium Health Potion</v>
      </c>
      <c r="B928" s="16" t="str">
        <f>IFERROR(__xludf.DUMMYFUNCTION("""COMPUTED_VALUE"""),"Restores 50HP")</f>
        <v>Restores 50HP</v>
      </c>
      <c r="C928" s="16" t="str">
        <f>IFERROR(__xludf.DUMMYFUNCTION("""COMPUTED_VALUE"""),"Item")</f>
        <v>Item</v>
      </c>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t="str">
        <f>IFERROR(__xludf.DUMMYFUNCTION("""COMPUTED_VALUE"""),"Max Health Potion")</f>
        <v>Max Health Potion</v>
      </c>
      <c r="B929" s="16" t="str">
        <f>IFERROR(__xludf.DUMMYFUNCTION("""COMPUTED_VALUE"""),"Restores 100HP")</f>
        <v>Restores 100HP</v>
      </c>
      <c r="C929" s="16" t="str">
        <f>IFERROR(__xludf.DUMMYFUNCTION("""COMPUTED_VALUE"""),"Item")</f>
        <v>Item</v>
      </c>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t="str">
        <f>IFERROR(__xludf.DUMMYFUNCTION("""COMPUTED_VALUE"""),"Minor Mana Potion")</f>
        <v>Minor Mana Potion</v>
      </c>
      <c r="B930" s="16" t="str">
        <f>IFERROR(__xludf.DUMMYFUNCTION("""COMPUTED_VALUE"""),"Restores 20SP")</f>
        <v>Restores 20SP</v>
      </c>
      <c r="C930" s="16" t="str">
        <f>IFERROR(__xludf.DUMMYFUNCTION("""COMPUTED_VALUE"""),"Item")</f>
        <v>Item</v>
      </c>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t="str">
        <f>IFERROR(__xludf.DUMMYFUNCTION("""COMPUTED_VALUE"""),"Medium Mana Potion")</f>
        <v>Medium Mana Potion</v>
      </c>
      <c r="B931" s="16" t="str">
        <f>IFERROR(__xludf.DUMMYFUNCTION("""COMPUTED_VALUE"""),"Restores 50SP")</f>
        <v>Restores 50SP</v>
      </c>
      <c r="C931" s="16" t="str">
        <f>IFERROR(__xludf.DUMMYFUNCTION("""COMPUTED_VALUE"""),"Item")</f>
        <v>Item</v>
      </c>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t="str">
        <f>IFERROR(__xludf.DUMMYFUNCTION("""COMPUTED_VALUE"""),"Max Mana Potion")</f>
        <v>Max Mana Potion</v>
      </c>
      <c r="B932" s="16" t="str">
        <f>IFERROR(__xludf.DUMMYFUNCTION("""COMPUTED_VALUE"""),"Restores 100SP")</f>
        <v>Restores 100SP</v>
      </c>
      <c r="C932" s="16" t="str">
        <f>IFERROR(__xludf.DUMMYFUNCTION("""COMPUTED_VALUE"""),"Item")</f>
        <v>Item</v>
      </c>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t="str">
        <f>IFERROR(__xludf.DUMMYFUNCTION("""COMPUTED_VALUE"""),"Potion of Multishot")</f>
        <v>Potion of Multishot</v>
      </c>
      <c r="B933" s="16" t="str">
        <f>IFERROR(__xludf.DUMMYFUNCTION("""COMPUTED_VALUE"""),"Allows multishot use without consuming mana")</f>
        <v>Allows multishot use without consuming mana</v>
      </c>
      <c r="C933" s="16" t="str">
        <f>IFERROR(__xludf.DUMMYFUNCTION("""COMPUTED_VALUE"""),"Item")</f>
        <v>Item</v>
      </c>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t="str">
        <f>IFERROR(__xludf.DUMMYFUNCTION("""COMPUTED_VALUE"""),"Potion of Eel Nado")</f>
        <v>Potion of Eel Nado</v>
      </c>
      <c r="B934" s="16" t="str">
        <f>IFERROR(__xludf.DUMMYFUNCTION("""COMPUTED_VALUE"""),"Allows use of Eel Nado without consuming mana")</f>
        <v>Allows use of Eel Nado without consuming mana</v>
      </c>
      <c r="C934" s="16" t="str">
        <f>IFERROR(__xludf.DUMMYFUNCTION("""COMPUTED_VALUE"""),"Item")</f>
        <v>Item</v>
      </c>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t="str">
        <f>IFERROR(__xludf.DUMMYFUNCTION("""COMPUTED_VALUE"""),"Potion of Minor Health")</f>
        <v>Potion of Minor Health</v>
      </c>
      <c r="B935" s="16" t="str">
        <f>IFERROR(__xludf.DUMMYFUNCTION("""COMPUTED_VALUE"""),"Restores 10 Health")</f>
        <v>Restores 10 Health</v>
      </c>
      <c r="C935" s="16" t="str">
        <f>IFERROR(__xludf.DUMMYFUNCTION("""COMPUTED_VALUE"""),"Item")</f>
        <v>Item</v>
      </c>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t="str">
        <f>IFERROR(__xludf.DUMMYFUNCTION("""COMPUTED_VALUE"""),"Potion of Health")</f>
        <v>Potion of Health</v>
      </c>
      <c r="B936" s="16" t="str">
        <f>IFERROR(__xludf.DUMMYFUNCTION("""COMPUTED_VALUE"""),"Restores 50 Health")</f>
        <v>Restores 50 Health</v>
      </c>
      <c r="C936" s="16" t="str">
        <f>IFERROR(__xludf.DUMMYFUNCTION("""COMPUTED_VALUE"""),"Item")</f>
        <v>Item</v>
      </c>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t="str">
        <f>IFERROR(__xludf.DUMMYFUNCTION("""COMPUTED_VALUE"""),"Potion of Major Health")</f>
        <v>Potion of Major Health</v>
      </c>
      <c r="B937" s="16" t="str">
        <f>IFERROR(__xludf.DUMMYFUNCTION("""COMPUTED_VALUE"""),"Restores 100 Health")</f>
        <v>Restores 100 Health</v>
      </c>
      <c r="C937" s="16" t="str">
        <f>IFERROR(__xludf.DUMMYFUNCTION("""COMPUTED_VALUE"""),"Item")</f>
        <v>Item</v>
      </c>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t="str">
        <f>IFERROR(__xludf.DUMMYFUNCTION("""COMPUTED_VALUE"""),"Potion of Minor Mana")</f>
        <v>Potion of Minor Mana</v>
      </c>
      <c r="B938" s="16" t="str">
        <f>IFERROR(__xludf.DUMMYFUNCTION("""COMPUTED_VALUE"""),"Restores 10 SP")</f>
        <v>Restores 10 SP</v>
      </c>
      <c r="C938" s="16" t="str">
        <f>IFERROR(__xludf.DUMMYFUNCTION("""COMPUTED_VALUE"""),"Item")</f>
        <v>Item</v>
      </c>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t="str">
        <f>IFERROR(__xludf.DUMMYFUNCTION("""COMPUTED_VALUE"""),"Potion of Mana")</f>
        <v>Potion of Mana</v>
      </c>
      <c r="B939" s="16" t="str">
        <f>IFERROR(__xludf.DUMMYFUNCTION("""COMPUTED_VALUE"""),"Restores 50 SP")</f>
        <v>Restores 50 SP</v>
      </c>
      <c r="C939" s="16" t="str">
        <f>IFERROR(__xludf.DUMMYFUNCTION("""COMPUTED_VALUE"""),"Item")</f>
        <v>Item</v>
      </c>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t="str">
        <f>IFERROR(__xludf.DUMMYFUNCTION("""COMPUTED_VALUE"""),"Potion of Extreme Mana")</f>
        <v>Potion of Extreme Mana</v>
      </c>
      <c r="B940" s="16" t="str">
        <f>IFERROR(__xludf.DUMMYFUNCTION("""COMPUTED_VALUE"""),"Restores 100 SP")</f>
        <v>Restores 100 SP</v>
      </c>
      <c r="C940" s="16" t="str">
        <f>IFERROR(__xludf.DUMMYFUNCTION("""COMPUTED_VALUE"""),"Item")</f>
        <v>Item</v>
      </c>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t="str">
        <f>IFERROR(__xludf.DUMMYFUNCTION("""COMPUTED_VALUE"""),"Potion of Invigoration")</f>
        <v>Potion of Invigoration</v>
      </c>
      <c r="B941" s="16" t="str">
        <f>IFERROR(__xludf.DUMMYFUNCTION("""COMPUTED_VALUE"""),"Restores 50 SP each turn for 3 rounds")</f>
        <v>Restores 50 SP each turn for 3 rounds</v>
      </c>
      <c r="C941" s="16" t="str">
        <f>IFERROR(__xludf.DUMMYFUNCTION("""COMPUTED_VALUE"""),"Item")</f>
        <v>Item</v>
      </c>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t="str">
        <f>IFERROR(__xludf.DUMMYFUNCTION("""COMPUTED_VALUE"""),"Potion of Invulnerability")</f>
        <v>Potion of Invulnerability</v>
      </c>
      <c r="B942" s="16" t="str">
        <f>IFERROR(__xludf.DUMMYFUNCTION("""COMPUTED_VALUE"""),"Immune to damage for 3 rounds")</f>
        <v>Immune to damage for 3 rounds</v>
      </c>
      <c r="C942" s="16" t="str">
        <f>IFERROR(__xludf.DUMMYFUNCTION("""COMPUTED_VALUE"""),"Item")</f>
        <v>Item</v>
      </c>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t="str">
        <f>IFERROR(__xludf.DUMMYFUNCTION("""COMPUTED_VALUE"""),"Potion of Stun Resist")</f>
        <v>Potion of Stun Resist</v>
      </c>
      <c r="B943" s="16" t="str">
        <f>IFERROR(__xludf.DUMMYFUNCTION("""COMPUTED_VALUE"""),"Immune to Stun for 3 rounds")</f>
        <v>Immune to Stun for 3 rounds</v>
      </c>
      <c r="C943" s="16" t="str">
        <f>IFERROR(__xludf.DUMMYFUNCTION("""COMPUTED_VALUE"""),"Item")</f>
        <v>Item</v>
      </c>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t="str">
        <f>IFERROR(__xludf.DUMMYFUNCTION("""COMPUTED_VALUE"""),"Potion Of Sobriety")</f>
        <v>Potion Of Sobriety</v>
      </c>
      <c r="B944" s="16" t="str">
        <f>IFERROR(__xludf.DUMMYFUNCTION("""COMPUTED_VALUE"""),"Removes Disoriented Status, 50% failure, if you fail, you become even more disoriented (2x). If you fail/become too drunk, your character will black out and contract alcohol poisoning (25% of death, not-permanent)")</f>
        <v>Removes Disoriented Status, 50% failure, if you fail, you become even more disoriented (2x). If you fail/become too drunk, your character will black out and contract alcohol poisoning (25% of death, not-permanent)</v>
      </c>
      <c r="C944" s="16" t="str">
        <f>IFERROR(__xludf.DUMMYFUNCTION("""COMPUTED_VALUE"""),"Item")</f>
        <v>Item</v>
      </c>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t="str">
        <f>IFERROR(__xludf.DUMMYFUNCTION("""COMPUTED_VALUE"""),"Legendary Tome")</f>
        <v>Legendary Tome</v>
      </c>
      <c r="B945" s="16" t="str">
        <f>IFERROR(__xludf.DUMMYFUNCTION("""COMPUTED_VALUE"""),"(Quest item)")</f>
        <v>(Quest item)</v>
      </c>
      <c r="C945" s="16" t="str">
        <f>IFERROR(__xludf.DUMMYFUNCTION("""COMPUTED_VALUE"""),"Item")</f>
        <v>Item</v>
      </c>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t="str">
        <f>IFERROR(__xludf.DUMMYFUNCTION("""COMPUTED_VALUE"""),"Murky Emerald")</f>
        <v>Murky Emerald</v>
      </c>
      <c r="B946" s="16" t="str">
        <f>IFERROR(__xludf.DUMMYFUNCTION("""COMPUTED_VALUE"""),"Crafting Material, roll a d20 to see how many you get if this is a loot drop.")</f>
        <v>Crafting Material, roll a d20 to see how many you get if this is a loot drop.</v>
      </c>
      <c r="C946" s="16" t="str">
        <f>IFERROR(__xludf.DUMMYFUNCTION("""COMPUTED_VALUE"""),"Item")</f>
        <v>Item</v>
      </c>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t="str">
        <f>IFERROR(__xludf.DUMMYFUNCTION("""COMPUTED_VALUE"""),"Foul Night Swamp water vile")</f>
        <v>Foul Night Swamp water vile</v>
      </c>
      <c r="B947" s="16" t="str">
        <f>IFERROR(__xludf.DUMMYFUNCTION("""COMPUTED_VALUE"""),"Immunity to Nature for 3 rounds.")</f>
        <v>Immunity to Nature for 3 rounds.</v>
      </c>
      <c r="C947" s="16" t="str">
        <f>IFERROR(__xludf.DUMMYFUNCTION("""COMPUTED_VALUE"""),"Item")</f>
        <v>Item</v>
      </c>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t="str">
        <f>IFERROR(__xludf.DUMMYFUNCTION("""COMPUTED_VALUE"""),"Foul Night Foul Smelling potion")</f>
        <v>Foul Night Foul Smelling potion</v>
      </c>
      <c r="B948" s="16" t="str">
        <f>IFERROR(__xludf.DUMMYFUNCTION("""COMPUTED_VALUE"""),"2500 damage and 2500 nature damage and 500 poison damage for 3 rounds")</f>
        <v>2500 damage and 2500 nature damage and 500 poison damage for 3 rounds</v>
      </c>
      <c r="C948" s="16" t="str">
        <f>IFERROR(__xludf.DUMMYFUNCTION("""COMPUTED_VALUE"""),"Item")</f>
        <v>Item</v>
      </c>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t="str">
        <f>IFERROR(__xludf.DUMMYFUNCTION("""COMPUTED_VALUE"""),"Swampy Seaweed")</f>
        <v>Swampy Seaweed</v>
      </c>
      <c r="B949" s="16" t="str">
        <f>IFERROR(__xludf.DUMMYFUNCTION("""COMPUTED_VALUE""")," Restores 5000 HP and SP.")</f>
        <v> Restores 5000 HP and SP.</v>
      </c>
      <c r="C949" s="16" t="str">
        <f>IFERROR(__xludf.DUMMYFUNCTION("""COMPUTED_VALUE"""),"Item")</f>
        <v>Item</v>
      </c>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t="str">
        <f>IFERROR(__xludf.DUMMYFUNCTION("""COMPUTED_VALUE"""),"Foul Night Swamp Bubble Grenade")</f>
        <v>Foul Night Swamp Bubble Grenade</v>
      </c>
      <c r="B950" s="16" t="str">
        <f>IFERROR(__xludf.DUMMYFUNCTION("""COMPUTED_VALUE"""),"Poison 10,000 for 3 rounds.")</f>
        <v>Poison 10,000 for 3 rounds.</v>
      </c>
      <c r="C950" s="16" t="str">
        <f>IFERROR(__xludf.DUMMYFUNCTION("""COMPUTED_VALUE"""),"Item")</f>
        <v>Item</v>
      </c>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t="str">
        <f>IFERROR(__xludf.DUMMYFUNCTION("""COMPUTED_VALUE"""),"Block of Ice")</f>
        <v>Block of Ice</v>
      </c>
      <c r="B951" s="16" t="str">
        <f>IFERROR(__xludf.DUMMYFUNCTION("""COMPUTED_VALUE"""),"Crafting Material, roll a d20 to see how many you get if this is a loot drop.")</f>
        <v>Crafting Material, roll a d20 to see how many you get if this is a loot drop.</v>
      </c>
      <c r="C951" s="16" t="str">
        <f>IFERROR(__xludf.DUMMYFUNCTION("""COMPUTED_VALUE"""),"Item")</f>
        <v>Item</v>
      </c>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t="str">
        <f>IFERROR(__xludf.DUMMYFUNCTION("""COMPUTED_VALUE"""),"Frost Kings Map")</f>
        <v>Frost Kings Map</v>
      </c>
      <c r="B952" s="16" t="str">
        <f>IFERROR(__xludf.DUMMYFUNCTION("""COMPUTED_VALUE"""),"Special quest item. Speak to the frost king for more info.")</f>
        <v>Special quest item. Speak to the frost king for more info.</v>
      </c>
      <c r="C952" s="16" t="str">
        <f>IFERROR(__xludf.DUMMYFUNCTION("""COMPUTED_VALUE"""),"Item")</f>
        <v>Item</v>
      </c>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t="str">
        <f>IFERROR(__xludf.DUMMYFUNCTION("""COMPUTED_VALUE"""),"Bacon")</f>
        <v>Bacon</v>
      </c>
      <c r="B953" s="16" t="str">
        <f>IFERROR(__xludf.DUMMYFUNCTION("""COMPUTED_VALUE"""),"Restores 5 health and 5 hunger")</f>
        <v>Restores 5 health and 5 hunger</v>
      </c>
      <c r="C953" s="16" t="str">
        <f>IFERROR(__xludf.DUMMYFUNCTION("""COMPUTED_VALUE"""),"Crop")</f>
        <v>Crop</v>
      </c>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t="str">
        <f>IFERROR(__xludf.DUMMYFUNCTION("""COMPUTED_VALUE"""),"Bread")</f>
        <v>Bread</v>
      </c>
      <c r="B954" s="16" t="str">
        <f>IFERROR(__xludf.DUMMYFUNCTION("""COMPUTED_VALUE"""),"10 Hunger")</f>
        <v>10 Hunger</v>
      </c>
      <c r="C954" s="16" t="str">
        <f>IFERROR(__xludf.DUMMYFUNCTION("""COMPUTED_VALUE"""),"Crop")</f>
        <v>Crop</v>
      </c>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t="str">
        <f>IFERROR(__xludf.DUMMYFUNCTION("""COMPUTED_VALUE"""),"Unknown dried meat")</f>
        <v>Unknown dried meat</v>
      </c>
      <c r="B955" s="16" t="str">
        <f>IFERROR(__xludf.DUMMYFUNCTION("""COMPUTED_VALUE"""),"15 Hunger, 5% chance to lose 10 HP")</f>
        <v>15 Hunger, 5% chance to lose 10 HP</v>
      </c>
      <c r="C955" s="16" t="str">
        <f>IFERROR(__xludf.DUMMYFUNCTION("""COMPUTED_VALUE"""),"Crop")</f>
        <v>Crop</v>
      </c>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t="str">
        <f>IFERROR(__xludf.DUMMYFUNCTION("""COMPUTED_VALUE"""),"Water")</f>
        <v>Water</v>
      </c>
      <c r="B956" s="16" t="str">
        <f>IFERROR(__xludf.DUMMYFUNCTION("""COMPUTED_VALUE"""),"10 Thirst")</f>
        <v>10 Thirst</v>
      </c>
      <c r="C956" s="16" t="str">
        <f>IFERROR(__xludf.DUMMYFUNCTION("""COMPUTED_VALUE"""),"Item")</f>
        <v>Item</v>
      </c>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t="str">
        <f>IFERROR(__xludf.DUMMYFUNCTION("""COMPUTED_VALUE"""),"Rum")</f>
        <v>Rum</v>
      </c>
      <c r="B957" s="16" t="str">
        <f>IFERROR(__xludf.DUMMYFUNCTION("""COMPUTED_VALUE"""),"50 Thirst, -1 SP")</f>
        <v>50 Thirst, -1 SP</v>
      </c>
      <c r="C957" s="16" t="str">
        <f>IFERROR(__xludf.DUMMYFUNCTION("""COMPUTED_VALUE"""),"Item")</f>
        <v>Item</v>
      </c>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t="str">
        <f>IFERROR(__xludf.DUMMYFUNCTION("""COMPUTED_VALUE"""),"Spirits")</f>
        <v>Spirits</v>
      </c>
      <c r="B958" s="16" t="str">
        <f>IFERROR(__xludf.DUMMYFUNCTION("""COMPUTED_VALUE"""),"20 Thirst, +2 SP")</f>
        <v>20 Thirst, +2 SP</v>
      </c>
      <c r="C958" s="16" t="str">
        <f>IFERROR(__xludf.DUMMYFUNCTION("""COMPUTED_VALUE"""),"Item")</f>
        <v>Item</v>
      </c>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t="str">
        <f>IFERROR(__xludf.DUMMYFUNCTION("""COMPUTED_VALUE"""),"Yeast")</f>
        <v>Yeast</v>
      </c>
      <c r="B959" s="16" t="str">
        <f>IFERROR(__xludf.DUMMYFUNCTION("""COMPUTED_VALUE"""),"Crafting Material, roll a d20 to see how many you get if this is a loot drop.")</f>
        <v>Crafting Material, roll a d20 to see how many you get if this is a loot drop.</v>
      </c>
      <c r="C959" s="16" t="str">
        <f>IFERROR(__xludf.DUMMYFUNCTION("""COMPUTED_VALUE"""),"Item")</f>
        <v>Item</v>
      </c>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t="str">
        <f>IFERROR(__xludf.DUMMYFUNCTION("""COMPUTED_VALUE"""),"Mead")</f>
        <v>Mead</v>
      </c>
      <c r="B960" s="16" t="str">
        <f>IFERROR(__xludf.DUMMYFUNCTION("""COMPUTED_VALUE"""),"25 Thirst")</f>
        <v>25 Thirst</v>
      </c>
      <c r="C960" s="16" t="str">
        <f>IFERROR(__xludf.DUMMYFUNCTION("""COMPUTED_VALUE"""),"Item")</f>
        <v>Item</v>
      </c>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t="str">
        <f>IFERROR(__xludf.DUMMYFUNCTION("""COMPUTED_VALUE"""),"Water Tome Rank 9")</f>
        <v>Water Tome Rank 9</v>
      </c>
      <c r="B961" s="16" t="str">
        <f>IFERROR(__xludf.DUMMYFUNCTION("""COMPUTED_VALUE"""),"Can use up to Rank 9 Water Spells")</f>
        <v>Can use up to Rank 9 Water Spells</v>
      </c>
      <c r="C961" s="16" t="str">
        <f>IFERROR(__xludf.DUMMYFUNCTION("""COMPUTED_VALUE"""),"Item")</f>
        <v>Item</v>
      </c>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t="str">
        <f>IFERROR(__xludf.DUMMYFUNCTION("""COMPUTED_VALUE"""),"Dragon Flute")</f>
        <v>Dragon Flute</v>
      </c>
      <c r="B962" s="16" t="str">
        <f>IFERROR(__xludf.DUMMYFUNCTION("""COMPUTED_VALUE"""),"Summons 1 of the following dragons with a d4 roll: Fire Dragon, Poison Dragon, Storm Dragon, Ancient Water Dragon (Can only be used once) (Level determined by dm/gm)")</f>
        <v>Summons 1 of the following dragons with a d4 roll: Fire Dragon, Poison Dragon, Storm Dragon, Ancient Water Dragon (Can only be used once) (Level determined by dm/gm)</v>
      </c>
      <c r="C962" s="16" t="str">
        <f>IFERROR(__xludf.DUMMYFUNCTION("""COMPUTED_VALUE"""),"Item")</f>
        <v>Item</v>
      </c>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t="str">
        <f>IFERROR(__xludf.DUMMYFUNCTION("""COMPUTED_VALUE"""),"Last Resort Potion")</f>
        <v>Last Resort Potion</v>
      </c>
      <c r="B963" s="16" t="str">
        <f>IFERROR(__xludf.DUMMYFUNCTION("""COMPUTED_VALUE"""),"You can only use this when you have no sp left. When consumed, Gain all of your sp and hp back and deal X4 towards your next attack, but you will instantly die after 3 rounds.")</f>
        <v>You can only use this when you have no sp left. When consumed, Gain all of your sp and hp back and deal X4 towards your next attack, but you will instantly die after 3 rounds.</v>
      </c>
      <c r="C963" s="16" t="str">
        <f>IFERROR(__xludf.DUMMYFUNCTION("""COMPUTED_VALUE"""),"Item")</f>
        <v>Item</v>
      </c>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t="str">
        <f>IFERROR(__xludf.DUMMYFUNCTION("""COMPUTED_VALUE"""),"Fish in a Bottle")</f>
        <v>Fish in a Bottle</v>
      </c>
      <c r="B964" s="16" t="str">
        <f>IFERROR(__xludf.DUMMYFUNCTION("""COMPUTED_VALUE"""),"Consume to regain 50HP and 50SP")</f>
        <v>Consume to regain 50HP and 50SP</v>
      </c>
      <c r="C964" s="16" t="str">
        <f>IFERROR(__xludf.DUMMYFUNCTION("""COMPUTED_VALUE"""),"Item")</f>
        <v>Item</v>
      </c>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t="str">
        <f>IFERROR(__xludf.DUMMYFUNCTION("""COMPUTED_VALUE"""),"Barrel of Poisonous Water")</f>
        <v>Barrel of Poisonous Water</v>
      </c>
      <c r="B965" s="16" t="str">
        <f>IFERROR(__xludf.DUMMYFUNCTION("""COMPUTED_VALUE"""),"POISON THE QUEEN!")</f>
        <v>POISON THE QUEEN!</v>
      </c>
      <c r="C965" s="16" t="str">
        <f>IFERROR(__xludf.DUMMYFUNCTION("""COMPUTED_VALUE"""),"Item")</f>
        <v>Item</v>
      </c>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t="str">
        <f>IFERROR(__xludf.DUMMYFUNCTION("""COMPUTED_VALUE"""),"Live Worm")</f>
        <v>Live Worm</v>
      </c>
      <c r="B966" s="16" t="str">
        <f>IFERROR(__xludf.DUMMYFUNCTION("""COMPUTED_VALUE"""),"Can be used as bait. 1 use per worm")</f>
        <v>Can be used as bait. 1 use per worm</v>
      </c>
      <c r="C966" s="16" t="str">
        <f>IFERROR(__xludf.DUMMYFUNCTION("""COMPUTED_VALUE"""),"Item")</f>
        <v>Item</v>
      </c>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t="str">
        <f>IFERROR(__xludf.DUMMYFUNCTION("""COMPUTED_VALUE"""),"Iron Fishing Pole")</f>
        <v>Iron Fishing Pole</v>
      </c>
      <c r="B967" s="16" t="str">
        <f>IFERROR(__xludf.DUMMYFUNCTION("""COMPUTED_VALUE"""),"20/20 Uses. Used for fishing.")</f>
        <v>20/20 Uses. Used for fishing.</v>
      </c>
      <c r="C967" s="16" t="str">
        <f>IFERROR(__xludf.DUMMYFUNCTION("""COMPUTED_VALUE"""),"Item")</f>
        <v>Item</v>
      </c>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t="str">
        <f>IFERROR(__xludf.DUMMYFUNCTION("""COMPUTED_VALUE"""),"Fishing Lure Beginner")</f>
        <v>Fishing Lure Beginner</v>
      </c>
      <c r="B968" s="16" t="str">
        <f>IFERROR(__xludf.DUMMYFUNCTION("""COMPUTED_VALUE"""),"Used for fishing competition, add a +1 or -1 to your fishing rolls")</f>
        <v>Used for fishing competition, add a +1 or -1 to your fishing rolls</v>
      </c>
      <c r="C968" s="16" t="str">
        <f>IFERROR(__xludf.DUMMYFUNCTION("""COMPUTED_VALUE"""),"Item")</f>
        <v>Item</v>
      </c>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t="str">
        <f>IFERROR(__xludf.DUMMYFUNCTION("""COMPUTED_VALUE"""),"Fishing Lure Moderate")</f>
        <v>Fishing Lure Moderate</v>
      </c>
      <c r="B969" s="16" t="str">
        <f>IFERROR(__xludf.DUMMYFUNCTION("""COMPUTED_VALUE"""),"Used for fishing competition, add a +3 or -3 to your fishing rolls")</f>
        <v>Used for fishing competition, add a +3 or -3 to your fishing rolls</v>
      </c>
      <c r="C969" s="16" t="str">
        <f>IFERROR(__xludf.DUMMYFUNCTION("""COMPUTED_VALUE"""),"Item")</f>
        <v>Item</v>
      </c>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t="str">
        <f>IFERROR(__xludf.DUMMYFUNCTION("""COMPUTED_VALUE"""),"Fishing Lure Expert")</f>
        <v>Fishing Lure Expert</v>
      </c>
      <c r="B970" s="16" t="str">
        <f>IFERROR(__xludf.DUMMYFUNCTION("""COMPUTED_VALUE"""),"Used for fishing competition, add a +5 or -5 to your fishing rolls")</f>
        <v>Used for fishing competition, add a +5 or -5 to your fishing rolls</v>
      </c>
      <c r="C970" s="16" t="str">
        <f>IFERROR(__xludf.DUMMYFUNCTION("""COMPUTED_VALUE"""),"Item")</f>
        <v>Item</v>
      </c>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t="str">
        <f>IFERROR(__xludf.DUMMYFUNCTION("""COMPUTED_VALUE"""),"Fossilized Water Dragon Bones")</f>
        <v>Fossilized Water Dragon Bones</v>
      </c>
      <c r="B971" s="16" t="str">
        <f>IFERROR(__xludf.DUMMYFUNCTION("""COMPUTED_VALUE"""),"Crafting Material, roll a d20 to see how many you get if this is a loot drop.")</f>
        <v>Crafting Material, roll a d20 to see how many you get if this is a loot drop.</v>
      </c>
      <c r="C971" s="16" t="str">
        <f>IFERROR(__xludf.DUMMYFUNCTION("""COMPUTED_VALUE"""),"Item")</f>
        <v>Item</v>
      </c>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t="str">
        <f>IFERROR(__xludf.DUMMYFUNCTION("""COMPUTED_VALUE"""),"Return Home Gem")</f>
        <v>Return Home Gem</v>
      </c>
      <c r="B972" s="16" t="str">
        <f>IFERROR(__xludf.DUMMYFUNCTION("""COMPUTED_VALUE"""),"Only one per player in backpack. Instantly teleports you to the last town you were at without fail.")</f>
        <v>Only one per player in backpack. Instantly teleports you to the last town you were at without fail.</v>
      </c>
      <c r="C972" s="16" t="str">
        <f>IFERROR(__xludf.DUMMYFUNCTION("""COMPUTED_VALUE"""),"Item")</f>
        <v>Item</v>
      </c>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t="str">
        <f>IFERROR(__xludf.DUMMYFUNCTION("""COMPUTED_VALUE"""),"Immunity to water potion temp")</f>
        <v>Immunity to water potion temp</v>
      </c>
      <c r="B973" s="16" t="str">
        <f>IFERROR(__xludf.DUMMYFUNCTION("""COMPUTED_VALUE"""),"Immune to water based attacks for one battle (does not count as a turn)")</f>
        <v>Immune to water based attacks for one battle (does not count as a turn)</v>
      </c>
      <c r="C973" s="16" t="str">
        <f>IFERROR(__xludf.DUMMYFUNCTION("""COMPUTED_VALUE"""),"Item")</f>
        <v>Item</v>
      </c>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t="str">
        <f>IFERROR(__xludf.DUMMYFUNCTION("""COMPUTED_VALUE"""),"Legendary Sea Monster Meat")</f>
        <v>Legendary Sea Monster Meat</v>
      </c>
      <c r="B974" s="16" t="str">
        <f>IFERROR(__xludf.DUMMYFUNCTION("""COMPUTED_VALUE"""),"Increase Health and Defense by 100 for next three battles (Can not be used in battle must be used between battles)")</f>
        <v>Increase Health and Defense by 100 for next three battles (Can not be used in battle must be used between battles)</v>
      </c>
      <c r="C974" s="16" t="str">
        <f>IFERROR(__xludf.DUMMYFUNCTION("""COMPUTED_VALUE"""),"Item")</f>
        <v>Item</v>
      </c>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t="str">
        <f>IFERROR(__xludf.DUMMYFUNCTION("""COMPUTED_VALUE"""),"Scroll of The Sea Monster")</f>
        <v>Scroll of The Sea Monster</v>
      </c>
      <c r="B975" s="16" t="str">
        <f>IFERROR(__xludf.DUMMYFUNCTION("""COMPUTED_VALUE"""),"X2 to water damage for the caster until end of battle, water spells also become unblockable for 3 rounds.")</f>
        <v>X2 to water damage for the caster until end of battle, water spells also become unblockable for 3 rounds.</v>
      </c>
      <c r="C975" s="16" t="str">
        <f>IFERROR(__xludf.DUMMYFUNCTION("""COMPUTED_VALUE"""),"Item")</f>
        <v>Item</v>
      </c>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t="str">
        <f>IFERROR(__xludf.DUMMYFUNCTION("""COMPUTED_VALUE"""),"Paper scraps")</f>
        <v>Paper scraps</v>
      </c>
      <c r="B976" s="16" t="str">
        <f>IFERROR(__xludf.DUMMYFUNCTION("""COMPUTED_VALUE"""),"Crafting Material, roll a d20 to see how many you get if this is a loot drop.")</f>
        <v>Crafting Material, roll a d20 to see how many you get if this is a loot drop.</v>
      </c>
      <c r="C976" s="16" t="str">
        <f>IFERROR(__xludf.DUMMYFUNCTION("""COMPUTED_VALUE"""),"Item")</f>
        <v>Item</v>
      </c>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t="str">
        <f>IFERROR(__xludf.DUMMYFUNCTION("""COMPUTED_VALUE"""),"Blank piece of paper")</f>
        <v>Blank piece of paper</v>
      </c>
      <c r="B977" s="16" t="str">
        <f>IFERROR(__xludf.DUMMYFUNCTION("""COMPUTED_VALUE"""),"Crafting Material, roll a d20 to see how many you get if this is a loot drop.")</f>
        <v>Crafting Material, roll a d20 to see how many you get if this is a loot drop.</v>
      </c>
      <c r="C977" s="16" t="str">
        <f>IFERROR(__xludf.DUMMYFUNCTION("""COMPUTED_VALUE"""),"Item")</f>
        <v>Item</v>
      </c>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t="str">
        <f>IFERROR(__xludf.DUMMYFUNCTION("""COMPUTED_VALUE"""),"Broken pistol")</f>
        <v>Broken pistol</v>
      </c>
      <c r="B978" s="16" t="str">
        <f>IFERROR(__xludf.DUMMYFUNCTION("""COMPUTED_VALUE"""),"Crafting Material, roll a d20 to see how many you get if this is a loot drop.")</f>
        <v>Crafting Material, roll a d20 to see how many you get if this is a loot drop.</v>
      </c>
      <c r="C978" s="16" t="str">
        <f>IFERROR(__xludf.DUMMYFUNCTION("""COMPUTED_VALUE"""),"Item")</f>
        <v>Item</v>
      </c>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t="str">
        <f>IFERROR(__xludf.DUMMYFUNCTION("""COMPUTED_VALUE"""),"Cannon Ball")</f>
        <v>Cannon Ball</v>
      </c>
      <c r="B979" s="16" t="str">
        <f>IFERROR(__xludf.DUMMYFUNCTION("""COMPUTED_VALUE"""),"Cannon Ammunition, +1000 damage. roll a d20 to see how many you get if this is a loot drop.")</f>
        <v>Cannon Ammunition, +1000 damage. roll a d20 to see how many you get if this is a loot drop.</v>
      </c>
      <c r="C979" s="16" t="str">
        <f>IFERROR(__xludf.DUMMYFUNCTION("""COMPUTED_VALUE"""),"Item")</f>
        <v>Item</v>
      </c>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t="str">
        <f>IFERROR(__xludf.DUMMYFUNCTION("""COMPUTED_VALUE"""),"Blank Book")</f>
        <v>Blank Book</v>
      </c>
      <c r="B980" s="16" t="str">
        <f>IFERROR(__xludf.DUMMYFUNCTION("""COMPUTED_VALUE"""),"Crafting Material, roll a d20 to see how many you get.")</f>
        <v>Crafting Material, roll a d20 to see how many you get.</v>
      </c>
      <c r="C980" s="16" t="str">
        <f>IFERROR(__xludf.DUMMYFUNCTION("""COMPUTED_VALUE"""),"Item")</f>
        <v>Item</v>
      </c>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t="str">
        <f>IFERROR(__xludf.DUMMYFUNCTION("""COMPUTED_VALUE"""),"Bronze")</f>
        <v>Bronze</v>
      </c>
      <c r="B981" s="16" t="str">
        <f>IFERROR(__xludf.DUMMYFUNCTION("""COMPUTED_VALUE"""),"Crafting Material, roll a d20 to see how many you get.")</f>
        <v>Crafting Material, roll a d20 to see how many you get.</v>
      </c>
      <c r="C981" s="16" t="str">
        <f>IFERROR(__xludf.DUMMYFUNCTION("""COMPUTED_VALUE"""),"Item")</f>
        <v>Item</v>
      </c>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t="str">
        <f>IFERROR(__xludf.DUMMYFUNCTION("""COMPUTED_VALUE"""),"Diamond")</f>
        <v>Diamond</v>
      </c>
      <c r="B982" s="16" t="str">
        <f>IFERROR(__xludf.DUMMYFUNCTION("""COMPUTED_VALUE"""),"Crafting Material, roll a d20 to see how many you get.")</f>
        <v>Crafting Material, roll a d20 to see how many you get.</v>
      </c>
      <c r="C982" s="16" t="str">
        <f>IFERROR(__xludf.DUMMYFUNCTION("""COMPUTED_VALUE"""),"Item")</f>
        <v>Item</v>
      </c>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t="str">
        <f>IFERROR(__xludf.DUMMYFUNCTION("""COMPUTED_VALUE"""),"Wood")</f>
        <v>Wood</v>
      </c>
      <c r="B983" s="16" t="str">
        <f>IFERROR(__xludf.DUMMYFUNCTION("""COMPUTED_VALUE"""),"Crafting Material, roll a d20 to see how many you get.")</f>
        <v>Crafting Material, roll a d20 to see how many you get.</v>
      </c>
      <c r="C983" s="16" t="str">
        <f>IFERROR(__xludf.DUMMYFUNCTION("""COMPUTED_VALUE"""),"Item")</f>
        <v>Item</v>
      </c>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t="str">
        <f>IFERROR(__xludf.DUMMYFUNCTION("""COMPUTED_VALUE"""),"Stone")</f>
        <v>Stone</v>
      </c>
      <c r="B984" s="16" t="str">
        <f>IFERROR(__xludf.DUMMYFUNCTION("""COMPUTED_VALUE"""),"Crafting Material, roll a d20 to see how many you get.")</f>
        <v>Crafting Material, roll a d20 to see how many you get.</v>
      </c>
      <c r="C984" s="16" t="str">
        <f>IFERROR(__xludf.DUMMYFUNCTION("""COMPUTED_VALUE"""),"Item")</f>
        <v>Item</v>
      </c>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t="str">
        <f>IFERROR(__xludf.DUMMYFUNCTION("""COMPUTED_VALUE"""),"Raw Meat")</f>
        <v>Raw Meat</v>
      </c>
      <c r="B985" s="16" t="str">
        <f>IFERROR(__xludf.DUMMYFUNCTION("""COMPUTED_VALUE"""),"-100 Hunger")</f>
        <v>-100 Hunger</v>
      </c>
      <c r="C985" s="16" t="str">
        <f>IFERROR(__xludf.DUMMYFUNCTION("""COMPUTED_VALUE"""),"Crop")</f>
        <v>Crop</v>
      </c>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t="str">
        <f>IFERROR(__xludf.DUMMYFUNCTION("""COMPUTED_VALUE"""),"Cooked Meat")</f>
        <v>Cooked Meat</v>
      </c>
      <c r="B986" s="16" t="str">
        <f>IFERROR(__xludf.DUMMYFUNCTION("""COMPUTED_VALUE"""),"Restores 35 Hunger")</f>
        <v>Restores 35 Hunger</v>
      </c>
      <c r="C986" s="16" t="str">
        <f>IFERROR(__xludf.DUMMYFUNCTION("""COMPUTED_VALUE"""),"Crop")</f>
        <v>Crop</v>
      </c>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t="str">
        <f>IFERROR(__xludf.DUMMYFUNCTION("""COMPUTED_VALUE"""),"Dried Meat")</f>
        <v>Dried Meat</v>
      </c>
      <c r="B987" s="16" t="str">
        <f>IFERROR(__xludf.DUMMYFUNCTION("""COMPUTED_VALUE"""),"25 Hunger")</f>
        <v>25 Hunger</v>
      </c>
      <c r="C987" s="16" t="str">
        <f>IFERROR(__xludf.DUMMYFUNCTION("""COMPUTED_VALUE"""),"Crop")</f>
        <v>Crop</v>
      </c>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t="str">
        <f>IFERROR(__xludf.DUMMYFUNCTION("""COMPUTED_VALUE"""),"Medium Rare Steak")</f>
        <v>Medium Rare Steak</v>
      </c>
      <c r="B988" s="16" t="str">
        <f>IFERROR(__xludf.DUMMYFUNCTION("""COMPUTED_VALUE"""),"Restores 30 Hunger and 5 HP")</f>
        <v>Restores 30 Hunger and 5 HP</v>
      </c>
      <c r="C988" s="16" t="str">
        <f>IFERROR(__xludf.DUMMYFUNCTION("""COMPUTED_VALUE"""),"Crop")</f>
        <v>Crop</v>
      </c>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t="str">
        <f>IFERROR(__xludf.DUMMYFUNCTION("""COMPUTED_VALUE"""),"Well Done Steak")</f>
        <v>Well Done Steak</v>
      </c>
      <c r="B989" s="16" t="str">
        <f>IFERROR(__xludf.DUMMYFUNCTION("""COMPUTED_VALUE"""),"10 Hunger and 3 HP are restored each turn for the next three turns")</f>
        <v>10 Hunger and 3 HP are restored each turn for the next three turns</v>
      </c>
      <c r="C989" s="16" t="str">
        <f>IFERROR(__xludf.DUMMYFUNCTION("""COMPUTED_VALUE"""),"Crop")</f>
        <v>Crop</v>
      </c>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t="str">
        <f>IFERROR(__xludf.DUMMYFUNCTION("""COMPUTED_VALUE"""),"Kebab")</f>
        <v>Kebab</v>
      </c>
      <c r="B990" s="16" t="str">
        <f>IFERROR(__xludf.DUMMYFUNCTION("""COMPUTED_VALUE"""),"Restores 10 Hunger, 5 HP, and 15 SP")</f>
        <v>Restores 10 Hunger, 5 HP, and 15 SP</v>
      </c>
      <c r="C990" s="16" t="str">
        <f>IFERROR(__xludf.DUMMYFUNCTION("""COMPUTED_VALUE"""),"Crop")</f>
        <v>Crop</v>
      </c>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t="str">
        <f>IFERROR(__xludf.DUMMYFUNCTION("""COMPUTED_VALUE"""),"Melon Bread")</f>
        <v>Melon Bread</v>
      </c>
      <c r="B991" s="16" t="str">
        <f>IFERROR(__xludf.DUMMYFUNCTION("""COMPUTED_VALUE"""),"15 Hunger")</f>
        <v>15 Hunger</v>
      </c>
      <c r="C991" s="16" t="str">
        <f>IFERROR(__xludf.DUMMYFUNCTION("""COMPUTED_VALUE"""),"Crop")</f>
        <v>Crop</v>
      </c>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t="str">
        <f>IFERROR(__xludf.DUMMYFUNCTION("""COMPUTED_VALUE"""),"Cake")</f>
        <v>Cake</v>
      </c>
      <c r="B992" s="16" t="str">
        <f>IFERROR(__xludf.DUMMYFUNCTION("""COMPUTED_VALUE"""),"8 uses, each use restores 20 Hunger")</f>
        <v>8 uses, each use restores 20 Hunger</v>
      </c>
      <c r="C992" s="16" t="str">
        <f>IFERROR(__xludf.DUMMYFUNCTION("""COMPUTED_VALUE"""),"Crop")</f>
        <v>Crop</v>
      </c>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t="str">
        <f>IFERROR(__xludf.DUMMYFUNCTION("""COMPUTED_VALUE"""),"Cherry Pie")</f>
        <v>Cherry Pie</v>
      </c>
      <c r="B993" s="16" t="str">
        <f>IFERROR(__xludf.DUMMYFUNCTION("""COMPUTED_VALUE"""),"4 uses, restores 20 Hunger, 10 HP, and 5 SP with each use")</f>
        <v>4 uses, restores 20 Hunger, 10 HP, and 5 SP with each use</v>
      </c>
      <c r="C993" s="16" t="str">
        <f>IFERROR(__xludf.DUMMYFUNCTION("""COMPUTED_VALUE"""),"Crop")</f>
        <v>Crop</v>
      </c>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t="str">
        <f>IFERROR(__xludf.DUMMYFUNCTION("""COMPUTED_VALUE"""),"Saltwater")</f>
        <v>Saltwater</v>
      </c>
      <c r="B994" s="16" t="str">
        <f>IFERROR(__xludf.DUMMYFUNCTION("""COMPUTED_VALUE"""),"Crafting Material, roll a d20 to see how many you get if this is a loot drop.")</f>
        <v>Crafting Material, roll a d20 to see how many you get if this is a loot drop.</v>
      </c>
      <c r="C994" s="16" t="str">
        <f>IFERROR(__xludf.DUMMYFUNCTION("""COMPUTED_VALUE"""),"Item")</f>
        <v>Item</v>
      </c>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t="str">
        <f>IFERROR(__xludf.DUMMYFUNCTION("""COMPUTED_VALUE"""),"Fisherman’s Lucky Totem")</f>
        <v>Fisherman’s Lucky Totem</v>
      </c>
      <c r="B995" s="16" t="str">
        <f>IFERROR(__xludf.DUMMYFUNCTION("""COMPUTED_VALUE"""),"This will Guarantee you 1 fish from a quest")</f>
        <v>This will Guarantee you 1 fish from a quest</v>
      </c>
      <c r="C995" s="16" t="str">
        <f>IFERROR(__xludf.DUMMYFUNCTION("""COMPUTED_VALUE"""),"Item")</f>
        <v>Item</v>
      </c>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t="str">
        <f>IFERROR(__xludf.DUMMYFUNCTION("""COMPUTED_VALUE"""),"The Fish Pendant")</f>
        <v>The Fish Pendant</v>
      </c>
      <c r="B996" s="16" t="str">
        <f>IFERROR(__xludf.DUMMYFUNCTION("""COMPUTED_VALUE"""),"Choose the rarity of the fish when fishing during a quest.")</f>
        <v>Choose the rarity of the fish when fishing during a quest.</v>
      </c>
      <c r="C996" s="16" t="str">
        <f>IFERROR(__xludf.DUMMYFUNCTION("""COMPUTED_VALUE"""),"Item")</f>
        <v>Item</v>
      </c>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t="str">
        <f>IFERROR(__xludf.DUMMYFUNCTION("""COMPUTED_VALUE"""),"Fish Stone")</f>
        <v>Fish Stone</v>
      </c>
      <c r="B997" s="16" t="str">
        <f>IFERROR(__xludf.DUMMYFUNCTION("""COMPUTED_VALUE"""),"if you catch this when fishing you get 2 of the fish you caught with this item.")</f>
        <v>if you catch this when fishing you get 2 of the fish you caught with this item.</v>
      </c>
      <c r="C997" s="16" t="str">
        <f>IFERROR(__xludf.DUMMYFUNCTION("""COMPUTED_VALUE"""),"Item")</f>
        <v>Item</v>
      </c>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t="str">
        <f>IFERROR(__xludf.DUMMYFUNCTION("""COMPUTED_VALUE"""),"Pumpkin")</f>
        <v>Pumpkin</v>
      </c>
      <c r="B998" s="16" t="str">
        <f>IFERROR(__xludf.DUMMYFUNCTION("""COMPUTED_VALUE"""),"100 hunger for self and up to 2 party members.")</f>
        <v>100 hunger for self and up to 2 party members.</v>
      </c>
      <c r="C998" s="16" t="str">
        <f>IFERROR(__xludf.DUMMYFUNCTION("""COMPUTED_VALUE"""),"Crop")</f>
        <v>Crop</v>
      </c>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t="str">
        <f>IFERROR(__xludf.DUMMYFUNCTION("""COMPUTED_VALUE"""),"Premium Pumpkin")</f>
        <v>Premium Pumpkin</v>
      </c>
      <c r="B999" s="16" t="str">
        <f>IFERROR(__xludf.DUMMYFUNCTION("""COMPUTED_VALUE"""),"200 hunger for self and up to 2 party members.")</f>
        <v>200 hunger for self and up to 2 party members.</v>
      </c>
      <c r="C999" s="16" t="str">
        <f>IFERROR(__xludf.DUMMYFUNCTION("""COMPUTED_VALUE"""),"Crop")</f>
        <v>Crop</v>
      </c>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t="str">
        <f>IFERROR(__xludf.DUMMYFUNCTION("""COMPUTED_VALUE"""),"Pumpkin Soup")</f>
        <v>Pumpkin Soup</v>
      </c>
      <c r="B1000" s="16" t="str">
        <f>IFERROR(__xludf.DUMMYFUNCTION("""COMPUTED_VALUE"""),"100 hunger for self and up to 4 party members.")</f>
        <v>100 hunger for self and up to 4 party members.</v>
      </c>
      <c r="C1000" s="16" t="str">
        <f>IFERROR(__xludf.DUMMYFUNCTION("""COMPUTED_VALUE"""),"Crop")</f>
        <v>Crop</v>
      </c>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row r="1001">
      <c r="A1001" s="16" t="str">
        <f>IFERROR(__xludf.DUMMYFUNCTION("""COMPUTED_VALUE"""),"Premium Pumpkin Soup")</f>
        <v>Premium Pumpkin Soup</v>
      </c>
      <c r="B1001" s="16" t="str">
        <f>IFERROR(__xludf.DUMMYFUNCTION("""COMPUTED_VALUE"""),"200 hunger for self and up to 4 party members.")</f>
        <v>200 hunger for self and up to 4 party members.</v>
      </c>
      <c r="C1001" s="16" t="str">
        <f>IFERROR(__xludf.DUMMYFUNCTION("""COMPUTED_VALUE"""),"Crop")</f>
        <v>Crop</v>
      </c>
      <c r="D1001" s="16"/>
      <c r="E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row>
    <row r="1002">
      <c r="A1002" s="16" t="str">
        <f>IFERROR(__xludf.DUMMYFUNCTION("""COMPUTED_VALUE"""),"Forbidden Book")</f>
        <v>Forbidden Book</v>
      </c>
      <c r="B1002" s="16" t="str">
        <f>IFERROR(__xludf.DUMMYFUNCTION("""COMPUTED_VALUE"""),"A forbidden book. if the guards see it in your inventory they will autmatically confiscate it and arrest you.")</f>
        <v>A forbidden book. if the guards see it in your inventory they will autmatically confiscate it and arrest you.</v>
      </c>
      <c r="C1002" s="16" t="str">
        <f>IFERROR(__xludf.DUMMYFUNCTION("""COMPUTED_VALUE"""),"Item")</f>
        <v>Item</v>
      </c>
      <c r="D1002" s="16"/>
      <c r="E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row>
    <row r="1003">
      <c r="A1003" s="16" t="str">
        <f>IFERROR(__xludf.DUMMYFUNCTION("""COMPUTED_VALUE"""),"a random stick")</f>
        <v>a random stick</v>
      </c>
      <c r="B1003" s="16" t="str">
        <f>IFERROR(__xludf.DUMMYFUNCTION("""COMPUTED_VALUE"""),"A random stick the shopkeeper found out back")</f>
        <v>A random stick the shopkeeper found out back</v>
      </c>
      <c r="C1003" s="16" t="str">
        <f>IFERROR(__xludf.DUMMYFUNCTION("""COMPUTED_VALUE"""),"Item")</f>
        <v>Item</v>
      </c>
      <c r="D1003" s="16"/>
      <c r="E1003" s="16"/>
      <c r="F1003" s="16"/>
      <c r="G1003" s="16"/>
      <c r="H1003" s="16"/>
      <c r="I1003" s="16"/>
      <c r="J1003" s="16"/>
      <c r="K1003" s="16"/>
      <c r="L1003" s="16"/>
      <c r="M1003" s="16"/>
      <c r="N1003" s="16"/>
      <c r="O1003" s="16"/>
      <c r="P1003" s="16"/>
      <c r="Q1003" s="16"/>
      <c r="R1003" s="16"/>
      <c r="S1003" s="16"/>
      <c r="T1003" s="16"/>
      <c r="U1003" s="16"/>
      <c r="V1003" s="16"/>
      <c r="W1003" s="16"/>
      <c r="X1003" s="16"/>
      <c r="Y1003" s="16"/>
      <c r="Z1003" s="16"/>
    </row>
    <row r="1004">
      <c r="A1004" s="16" t="str">
        <f>IFERROR(__xludf.DUMMYFUNCTION("""COMPUTED_VALUE"""),"Rank 9 Storm Tome")</f>
        <v>Rank 9 Storm Tome</v>
      </c>
      <c r="B1004" s="16" t="str">
        <f>IFERROR(__xludf.DUMMYFUNCTION("""COMPUTED_VALUE"""),"Can use up to Rank 9 Storm Spells")</f>
        <v>Can use up to Rank 9 Storm Spells</v>
      </c>
      <c r="C1004" s="16" t="str">
        <f>IFERROR(__xludf.DUMMYFUNCTION("""COMPUTED_VALUE"""),"Item")</f>
        <v>Item</v>
      </c>
      <c r="D1004" s="16"/>
      <c r="E1004" s="16"/>
      <c r="F1004" s="16"/>
      <c r="G1004" s="16"/>
      <c r="H1004" s="16"/>
      <c r="I1004" s="16"/>
      <c r="J1004" s="16"/>
      <c r="K1004" s="16"/>
      <c r="L1004" s="16"/>
      <c r="M1004" s="16"/>
      <c r="N1004" s="16"/>
      <c r="O1004" s="16"/>
      <c r="P1004" s="16"/>
      <c r="Q1004" s="16"/>
      <c r="R1004" s="16"/>
      <c r="S1004" s="16"/>
      <c r="T1004" s="16"/>
      <c r="U1004" s="16"/>
      <c r="V1004" s="16"/>
      <c r="W1004" s="16"/>
      <c r="X1004" s="16"/>
      <c r="Y1004" s="16"/>
      <c r="Z1004" s="16"/>
    </row>
    <row r="1005">
      <c r="A1005" s="16" t="str">
        <f>IFERROR(__xludf.DUMMYFUNCTION("""COMPUTED_VALUE"""),"Common Tree Branch")</f>
        <v>Common Tree Branch</v>
      </c>
      <c r="B1005" s="16" t="str">
        <f>IFERROR(__xludf.DUMMYFUNCTION("""COMPUTED_VALUE"""),"When thrown, each enemy has a 25% chance to be distracted, skipping their next turn")</f>
        <v>When thrown, each enemy has a 25% chance to be distracted, skipping their next turn</v>
      </c>
      <c r="C1005" s="16" t="str">
        <f>IFERROR(__xludf.DUMMYFUNCTION("""COMPUTED_VALUE"""),"Item")</f>
        <v>Item</v>
      </c>
      <c r="D1005" s="16"/>
      <c r="E1005" s="16"/>
      <c r="F1005" s="16"/>
      <c r="G1005" s="16"/>
      <c r="H1005" s="16"/>
      <c r="I1005" s="16"/>
      <c r="J1005" s="16"/>
      <c r="K1005" s="16"/>
      <c r="L1005" s="16"/>
      <c r="M1005" s="16"/>
      <c r="N1005" s="16"/>
      <c r="O1005" s="16"/>
      <c r="P1005" s="16"/>
      <c r="Q1005" s="16"/>
      <c r="R1005" s="16"/>
      <c r="S1005" s="16"/>
      <c r="T1005" s="16"/>
      <c r="U1005" s="16"/>
      <c r="V1005" s="16"/>
      <c r="W1005" s="16"/>
      <c r="X1005" s="16"/>
      <c r="Y1005" s="16"/>
      <c r="Z1005" s="16"/>
    </row>
    <row r="1006">
      <c r="A1006" s="16" t="str">
        <f>IFERROR(__xludf.DUMMYFUNCTION("""COMPUTED_VALUE"""),"Uncommon Tree branch")</f>
        <v>Uncommon Tree branch</v>
      </c>
      <c r="B1006" s="16" t="str">
        <f>IFERROR(__xludf.DUMMYFUNCTION("""COMPUTED_VALUE"""),"When thrown, Roll a d20 and apply the result. If 1-19, deal 20,000 damage to one target Hit/Miss. If 20, deal 40,000 damage to one target Hit/Miss, each enemy has a 50% chance to be distracted, skipping their next turn.
")</f>
        <v>When thrown, Roll a d20 and apply the result. If 1-19, deal 20,000 damage to one target Hit/Miss. If 20, deal 40,000 damage to one target Hit/Miss, each enemy has a 50% chance to be distracted, skipping their next turn.
</v>
      </c>
      <c r="C1006" s="16" t="str">
        <f>IFERROR(__xludf.DUMMYFUNCTION("""COMPUTED_VALUE"""),"Item")</f>
        <v>Item</v>
      </c>
      <c r="D1006" s="16"/>
      <c r="E1006" s="16"/>
      <c r="F1006" s="16"/>
      <c r="G1006" s="16"/>
      <c r="H1006" s="16"/>
      <c r="I1006" s="16"/>
      <c r="J1006" s="16"/>
      <c r="K1006" s="16"/>
      <c r="L1006" s="16"/>
      <c r="M1006" s="16"/>
      <c r="N1006" s="16"/>
      <c r="O1006" s="16"/>
      <c r="P1006" s="16"/>
      <c r="Q1006" s="16"/>
      <c r="R1006" s="16"/>
      <c r="S1006" s="16"/>
      <c r="T1006" s="16"/>
      <c r="U1006" s="16"/>
      <c r="V1006" s="16"/>
      <c r="W1006" s="16"/>
      <c r="X1006" s="16"/>
      <c r="Y1006" s="16"/>
      <c r="Z1006" s="16"/>
    </row>
    <row r="1007">
      <c r="A1007" s="16" t="str">
        <f>IFERROR(__xludf.DUMMYFUNCTION("""COMPUTED_VALUE"""),"Stale bread")</f>
        <v>Stale bread</v>
      </c>
      <c r="B1007" s="16" t="str">
        <f>IFERROR(__xludf.DUMMYFUNCTION("""COMPUTED_VALUE"""),"Recovers 9 hunger")</f>
        <v>Recovers 9 hunger</v>
      </c>
      <c r="C1007" s="16" t="str">
        <f>IFERROR(__xludf.DUMMYFUNCTION("""COMPUTED_VALUE"""),"Crop")</f>
        <v>Crop</v>
      </c>
      <c r="D1007" s="16"/>
      <c r="E1007" s="16"/>
      <c r="F1007" s="16"/>
      <c r="G1007" s="16"/>
      <c r="H1007" s="16"/>
      <c r="I1007" s="16"/>
      <c r="J1007" s="16"/>
      <c r="K1007" s="16"/>
      <c r="L1007" s="16"/>
      <c r="M1007" s="16"/>
      <c r="N1007" s="16"/>
      <c r="O1007" s="16"/>
      <c r="P1007" s="16"/>
      <c r="Q1007" s="16"/>
      <c r="R1007" s="16"/>
      <c r="S1007" s="16"/>
      <c r="T1007" s="16"/>
      <c r="U1007" s="16"/>
      <c r="V1007" s="16"/>
      <c r="W1007" s="16"/>
      <c r="X1007" s="16"/>
      <c r="Y1007" s="16"/>
      <c r="Z1007" s="16"/>
    </row>
    <row r="1008">
      <c r="A1008" s="16" t="str">
        <f>IFERROR(__xludf.DUMMYFUNCTION("""COMPUTED_VALUE"""),"Coal")</f>
        <v>Coal</v>
      </c>
      <c r="B1008" s="16" t="str">
        <f>IFERROR(__xludf.DUMMYFUNCTION("""COMPUTED_VALUE"""),"Crafting Material, roll a d20 to see how many you get if this is a loot drop.")</f>
        <v>Crafting Material, roll a d20 to see how many you get if this is a loot drop.</v>
      </c>
      <c r="C1008" s="16" t="str">
        <f>IFERROR(__xludf.DUMMYFUNCTION("""COMPUTED_VALUE"""),"Item")</f>
        <v>Item</v>
      </c>
      <c r="D1008" s="16"/>
      <c r="E1008" s="16"/>
      <c r="F1008" s="16"/>
      <c r="G1008" s="16"/>
      <c r="H1008" s="16"/>
      <c r="I1008" s="16"/>
      <c r="J1008" s="16"/>
      <c r="K1008" s="16"/>
      <c r="L1008" s="16"/>
      <c r="M1008" s="16"/>
      <c r="N1008" s="16"/>
      <c r="O1008" s="16"/>
      <c r="P1008" s="16"/>
      <c r="Q1008" s="16"/>
      <c r="R1008" s="16"/>
      <c r="S1008" s="16"/>
      <c r="T1008" s="16"/>
      <c r="U1008" s="16"/>
      <c r="V1008" s="16"/>
      <c r="W1008" s="16"/>
      <c r="X1008" s="16"/>
      <c r="Y1008" s="16"/>
      <c r="Z1008" s="16"/>
    </row>
    <row r="1009">
      <c r="A1009" s="16" t="str">
        <f>IFERROR(__xludf.DUMMYFUNCTION("""COMPUTED_VALUE"""),"Red Coral Gem")</f>
        <v>Red Coral Gem</v>
      </c>
      <c r="B1009" s="16" t="str">
        <f>IFERROR(__xludf.DUMMYFUNCTION("""COMPUTED_VALUE"""),"500 Fire dmg or Resistance")</f>
        <v>500 Fire dmg or Resistance</v>
      </c>
      <c r="C1009" s="16" t="str">
        <f>IFERROR(__xludf.DUMMYFUNCTION("""COMPUTED_VALUE"""),"Item")</f>
        <v>Item</v>
      </c>
      <c r="D1009" s="16"/>
      <c r="E1009" s="16"/>
      <c r="F1009" s="16"/>
      <c r="G1009" s="16"/>
      <c r="H1009" s="16"/>
      <c r="I1009" s="16"/>
      <c r="J1009" s="16"/>
      <c r="K1009" s="16"/>
      <c r="L1009" s="16"/>
      <c r="M1009" s="16"/>
      <c r="N1009" s="16"/>
      <c r="O1009" s="16"/>
      <c r="P1009" s="16"/>
      <c r="Q1009" s="16"/>
      <c r="R1009" s="16"/>
      <c r="S1009" s="16"/>
      <c r="T1009" s="16"/>
      <c r="U1009" s="16"/>
      <c r="V1009" s="16"/>
      <c r="W1009" s="16"/>
      <c r="X1009" s="16"/>
      <c r="Y1009" s="16"/>
      <c r="Z1009" s="16"/>
    </row>
    <row r="1010">
      <c r="A1010" s="16" t="str">
        <f>IFERROR(__xludf.DUMMYFUNCTION("""COMPUTED_VALUE"""),"Blue Coral Gem")</f>
        <v>Blue Coral Gem</v>
      </c>
      <c r="B1010" s="16" t="str">
        <f>IFERROR(__xludf.DUMMYFUNCTION("""COMPUTED_VALUE"""),"500 Water dmg or Resistance")</f>
        <v>500 Water dmg or Resistance</v>
      </c>
      <c r="C1010" s="16" t="str">
        <f>IFERROR(__xludf.DUMMYFUNCTION("""COMPUTED_VALUE"""),"Item")</f>
        <v>Item</v>
      </c>
      <c r="D1010" s="16"/>
      <c r="E1010" s="16"/>
      <c r="F1010" s="16"/>
      <c r="G1010" s="16"/>
      <c r="H1010" s="16"/>
      <c r="I1010" s="16"/>
      <c r="J1010" s="16"/>
      <c r="K1010" s="16"/>
      <c r="L1010" s="16"/>
      <c r="M1010" s="16"/>
      <c r="N1010" s="16"/>
      <c r="O1010" s="16"/>
      <c r="P1010" s="16"/>
      <c r="Q1010" s="16"/>
      <c r="R1010" s="16"/>
      <c r="S1010" s="16"/>
      <c r="T1010" s="16"/>
      <c r="U1010" s="16"/>
      <c r="V1010" s="16"/>
      <c r="W1010" s="16"/>
      <c r="X1010" s="16"/>
      <c r="Y1010" s="16"/>
      <c r="Z1010" s="16"/>
    </row>
    <row r="1011">
      <c r="A1011" s="16" t="str">
        <f>IFERROR(__xludf.DUMMYFUNCTION("""COMPUTED_VALUE"""),"Yellow Coral Gem")</f>
        <v>Yellow Coral Gem</v>
      </c>
      <c r="B1011" s="16" t="str">
        <f>IFERROR(__xludf.DUMMYFUNCTION("""COMPUTED_VALUE"""),"500 Strom dmg or Resistance")</f>
        <v>500 Strom dmg or Resistance</v>
      </c>
      <c r="C1011" s="16" t="str">
        <f>IFERROR(__xludf.DUMMYFUNCTION("""COMPUTED_VALUE"""),"Item")</f>
        <v>Item</v>
      </c>
      <c r="D1011" s="16"/>
      <c r="E1011" s="16"/>
      <c r="F1011" s="16"/>
      <c r="G1011" s="16"/>
      <c r="H1011" s="16"/>
      <c r="I1011" s="16"/>
      <c r="J1011" s="16"/>
      <c r="K1011" s="16"/>
      <c r="L1011" s="16"/>
      <c r="M1011" s="16"/>
      <c r="N1011" s="16"/>
      <c r="O1011" s="16"/>
      <c r="P1011" s="16"/>
      <c r="Q1011" s="16"/>
      <c r="R1011" s="16"/>
      <c r="S1011" s="16"/>
      <c r="T1011" s="16"/>
      <c r="U1011" s="16"/>
      <c r="V1011" s="16"/>
      <c r="W1011" s="16"/>
      <c r="X1011" s="16"/>
      <c r="Y1011" s="16"/>
      <c r="Z1011" s="16"/>
    </row>
    <row r="1012">
      <c r="A1012" s="16" t="str">
        <f>IFERROR(__xludf.DUMMYFUNCTION("""COMPUTED_VALUE"""),"Green Coral Gem")</f>
        <v>Green Coral Gem</v>
      </c>
      <c r="B1012" s="16" t="str">
        <f>IFERROR(__xludf.DUMMYFUNCTION("""COMPUTED_VALUE"""),"500 nature dmg or Resistance")</f>
        <v>500 nature dmg or Resistance</v>
      </c>
      <c r="C1012" s="16" t="str">
        <f>IFERROR(__xludf.DUMMYFUNCTION("""COMPUTED_VALUE"""),"Item")</f>
        <v>Item</v>
      </c>
      <c r="D1012" s="16"/>
      <c r="E1012" s="16"/>
      <c r="F1012" s="16"/>
      <c r="G1012" s="16"/>
      <c r="H1012" s="16"/>
      <c r="I1012" s="16"/>
      <c r="J1012" s="16"/>
      <c r="K1012" s="16"/>
      <c r="L1012" s="16"/>
      <c r="M1012" s="16"/>
      <c r="N1012" s="16"/>
      <c r="O1012" s="16"/>
      <c r="P1012" s="16"/>
      <c r="Q1012" s="16"/>
      <c r="R1012" s="16"/>
      <c r="S1012" s="16"/>
      <c r="T1012" s="16"/>
      <c r="U1012" s="16"/>
      <c r="V1012" s="16"/>
      <c r="W1012" s="16"/>
      <c r="X1012" s="16"/>
      <c r="Y1012" s="16"/>
      <c r="Z1012" s="16"/>
    </row>
    <row r="1013">
      <c r="A1013" s="16" t="str">
        <f>IFERROR(__xludf.DUMMYFUNCTION("""COMPUTED_VALUE"""),"White Coral Gem")</f>
        <v>White Coral Gem</v>
      </c>
      <c r="B1013" s="16" t="str">
        <f>IFERROR(__xludf.DUMMYFUNCTION("""COMPUTED_VALUE"""),"500 Spirit dmg or Resistance")</f>
        <v>500 Spirit dmg or Resistance</v>
      </c>
      <c r="C1013" s="16" t="str">
        <f>IFERROR(__xludf.DUMMYFUNCTION("""COMPUTED_VALUE"""),"Item")</f>
        <v>Item</v>
      </c>
      <c r="D1013" s="16"/>
      <c r="E1013" s="16"/>
      <c r="F1013" s="16"/>
      <c r="G1013" s="16"/>
      <c r="H1013" s="16"/>
      <c r="I1013" s="16"/>
      <c r="J1013" s="16"/>
      <c r="K1013" s="16"/>
      <c r="L1013" s="16"/>
      <c r="M1013" s="16"/>
      <c r="N1013" s="16"/>
      <c r="O1013" s="16"/>
      <c r="P1013" s="16"/>
      <c r="Q1013" s="16"/>
      <c r="R1013" s="16"/>
      <c r="S1013" s="16"/>
      <c r="T1013" s="16"/>
      <c r="U1013" s="16"/>
      <c r="V1013" s="16"/>
      <c r="W1013" s="16"/>
      <c r="X1013" s="16"/>
      <c r="Y1013" s="16"/>
      <c r="Z1013" s="16"/>
    </row>
    <row r="1014">
      <c r="A1014" s="16" t="str">
        <f>IFERROR(__xludf.DUMMYFUNCTION("""COMPUTED_VALUE"""),"Black Coral Gem")</f>
        <v>Black Coral Gem</v>
      </c>
      <c r="B1014" s="16" t="str">
        <f>IFERROR(__xludf.DUMMYFUNCTION("""COMPUTED_VALUE"""),"500 Dark dmg or Resistance")</f>
        <v>500 Dark dmg or Resistance</v>
      </c>
      <c r="C1014" s="16" t="str">
        <f>IFERROR(__xludf.DUMMYFUNCTION("""COMPUTED_VALUE"""),"Item")</f>
        <v>Item</v>
      </c>
      <c r="D1014" s="16"/>
      <c r="E1014" s="16"/>
      <c r="F1014" s="16"/>
      <c r="G1014" s="16"/>
      <c r="H1014" s="16"/>
      <c r="I1014" s="16"/>
      <c r="J1014" s="16"/>
      <c r="K1014" s="16"/>
      <c r="L1014" s="16"/>
      <c r="M1014" s="16"/>
      <c r="N1014" s="16"/>
      <c r="O1014" s="16"/>
      <c r="P1014" s="16"/>
      <c r="Q1014" s="16"/>
      <c r="R1014" s="16"/>
      <c r="S1014" s="16"/>
      <c r="T1014" s="16"/>
      <c r="U1014" s="16"/>
      <c r="V1014" s="16"/>
      <c r="W1014" s="16"/>
      <c r="X1014" s="16"/>
      <c r="Y1014" s="16"/>
      <c r="Z1014" s="16"/>
    </row>
    <row r="1015">
      <c r="A1015" s="16" t="str">
        <f>IFERROR(__xludf.DUMMYFUNCTION("""COMPUTED_VALUE"""),"Pink Coral Gem")</f>
        <v>Pink Coral Gem</v>
      </c>
      <c r="B1015" s="16" t="str">
        <f>IFERROR(__xludf.DUMMYFUNCTION("""COMPUTED_VALUE"""),"500 dmg or resistance")</f>
        <v>500 dmg or resistance</v>
      </c>
      <c r="C1015" s="16" t="str">
        <f>IFERROR(__xludf.DUMMYFUNCTION("""COMPUTED_VALUE"""),"Item")</f>
        <v>Item</v>
      </c>
      <c r="D1015" s="16"/>
      <c r="E1015" s="16"/>
      <c r="F1015" s="16"/>
      <c r="G1015" s="16"/>
      <c r="H1015" s="16"/>
      <c r="I1015" s="16"/>
      <c r="J1015" s="16"/>
      <c r="K1015" s="16"/>
      <c r="L1015" s="16"/>
      <c r="M1015" s="16"/>
      <c r="N1015" s="16"/>
      <c r="O1015" s="16"/>
      <c r="P1015" s="16"/>
      <c r="Q1015" s="16"/>
      <c r="R1015" s="16"/>
      <c r="S1015" s="16"/>
      <c r="T1015" s="16"/>
      <c r="U1015" s="16"/>
      <c r="V1015" s="16"/>
      <c r="W1015" s="16"/>
      <c r="X1015" s="16"/>
      <c r="Y1015" s="16"/>
      <c r="Z1015" s="16"/>
    </row>
    <row r="1016">
      <c r="A1016" s="16" t="str">
        <f>IFERROR(__xludf.DUMMYFUNCTION("""COMPUTED_VALUE"""),"Coral")</f>
        <v>Coral</v>
      </c>
      <c r="B1016" s="16" t="str">
        <f>IFERROR(__xludf.DUMMYFUNCTION("""COMPUTED_VALUE"""),"Crafting Material, roll a d20 to see how many you get if this is a loot drop.")</f>
        <v>Crafting Material, roll a d20 to see how many you get if this is a loot drop.</v>
      </c>
      <c r="C1016" s="16" t="str">
        <f>IFERROR(__xludf.DUMMYFUNCTION("""COMPUTED_VALUE"""),"Item")</f>
        <v>Item</v>
      </c>
      <c r="D1016" s="16"/>
      <c r="E1016" s="16"/>
      <c r="F1016" s="16"/>
      <c r="G1016" s="16"/>
      <c r="H1016" s="16"/>
      <c r="I1016" s="16"/>
      <c r="J1016" s="16"/>
      <c r="K1016" s="16"/>
      <c r="L1016" s="16"/>
      <c r="M1016" s="16"/>
      <c r="N1016" s="16"/>
      <c r="O1016" s="16"/>
      <c r="P1016" s="16"/>
      <c r="Q1016" s="16"/>
      <c r="R1016" s="16"/>
      <c r="S1016" s="16"/>
      <c r="T1016" s="16"/>
      <c r="U1016" s="16"/>
      <c r="V1016" s="16"/>
      <c r="W1016" s="16"/>
      <c r="X1016" s="16"/>
      <c r="Y1016" s="16"/>
      <c r="Z1016" s="16"/>
    </row>
    <row r="1017">
      <c r="A1017" s="16" t="str">
        <f>IFERROR(__xludf.DUMMYFUNCTION("""COMPUTED_VALUE"""),"Ivory")</f>
        <v>Ivory</v>
      </c>
      <c r="B1017" s="16" t="str">
        <f>IFERROR(__xludf.DUMMYFUNCTION("""COMPUTED_VALUE"""),"Crafting Material, roll a d20 to see how many you get if this is a loot drop.")</f>
        <v>Crafting Material, roll a d20 to see how many you get if this is a loot drop.</v>
      </c>
      <c r="C1017" s="16" t="str">
        <f>IFERROR(__xludf.DUMMYFUNCTION("""COMPUTED_VALUE"""),"Item")</f>
        <v>Item</v>
      </c>
      <c r="D1017" s="16"/>
      <c r="E1017" s="16"/>
      <c r="F1017" s="16"/>
      <c r="G1017" s="16"/>
      <c r="H1017" s="16"/>
      <c r="I1017" s="16"/>
      <c r="J1017" s="16"/>
      <c r="K1017" s="16"/>
      <c r="L1017" s="16"/>
      <c r="M1017" s="16"/>
      <c r="N1017" s="16"/>
      <c r="O1017" s="16"/>
      <c r="P1017" s="16"/>
      <c r="Q1017" s="16"/>
      <c r="R1017" s="16"/>
      <c r="S1017" s="16"/>
      <c r="T1017" s="16"/>
      <c r="U1017" s="16"/>
      <c r="V1017" s="16"/>
      <c r="W1017" s="16"/>
      <c r="X1017" s="16"/>
      <c r="Y1017" s="16"/>
      <c r="Z1017" s="16"/>
    </row>
    <row r="1018">
      <c r="A1018" s="16" t="str">
        <f>IFERROR(__xludf.DUMMYFUNCTION("""COMPUTED_VALUE"""),"Onyx")</f>
        <v>Onyx</v>
      </c>
      <c r="B1018" s="16" t="str">
        <f>IFERROR(__xludf.DUMMYFUNCTION("""COMPUTED_VALUE"""),"Crafting Material, roll a d20 to see how many you get if this is a loot drop.")</f>
        <v>Crafting Material, roll a d20 to see how many you get if this is a loot drop.</v>
      </c>
      <c r="C1018" s="16" t="str">
        <f>IFERROR(__xludf.DUMMYFUNCTION("""COMPUTED_VALUE"""),"Item")</f>
        <v>Item</v>
      </c>
      <c r="D1018" s="16"/>
      <c r="E1018" s="16"/>
      <c r="F1018" s="16"/>
      <c r="G1018" s="16"/>
      <c r="H1018" s="16"/>
      <c r="I1018" s="16"/>
      <c r="J1018" s="16"/>
      <c r="K1018" s="16"/>
      <c r="L1018" s="16"/>
      <c r="M1018" s="16"/>
      <c r="N1018" s="16"/>
      <c r="O1018" s="16"/>
      <c r="P1018" s="16"/>
      <c r="Q1018" s="16"/>
      <c r="R1018" s="16"/>
      <c r="S1018" s="16"/>
      <c r="T1018" s="16"/>
      <c r="U1018" s="16"/>
      <c r="V1018" s="16"/>
      <c r="W1018" s="16"/>
      <c r="X1018" s="16"/>
      <c r="Y1018" s="16"/>
      <c r="Z1018" s="16"/>
    </row>
    <row r="1019">
      <c r="A1019" s="16" t="str">
        <f>IFERROR(__xludf.DUMMYFUNCTION("""COMPUTED_VALUE"""),"Jade")</f>
        <v>Jade</v>
      </c>
      <c r="B1019" s="16" t="str">
        <f>IFERROR(__xludf.DUMMYFUNCTION("""COMPUTED_VALUE"""),"Crafting Material, roll a d20 to see how many you get if this is a loot drop.")</f>
        <v>Crafting Material, roll a d20 to see how many you get if this is a loot drop.</v>
      </c>
      <c r="C1019" s="16" t="str">
        <f>IFERROR(__xludf.DUMMYFUNCTION("""COMPUTED_VALUE"""),"Item")</f>
        <v>Item</v>
      </c>
      <c r="D1019" s="16"/>
      <c r="E1019" s="16"/>
      <c r="F1019" s="16"/>
      <c r="G1019" s="16"/>
      <c r="H1019" s="16"/>
      <c r="I1019" s="16"/>
      <c r="J1019" s="16"/>
      <c r="K1019" s="16"/>
      <c r="L1019" s="16"/>
      <c r="M1019" s="16"/>
      <c r="N1019" s="16"/>
      <c r="O1019" s="16"/>
      <c r="P1019" s="16"/>
      <c r="Q1019" s="16"/>
      <c r="R1019" s="16"/>
      <c r="S1019" s="16"/>
      <c r="T1019" s="16"/>
      <c r="U1019" s="16"/>
      <c r="V1019" s="16"/>
      <c r="W1019" s="16"/>
      <c r="X1019" s="16"/>
      <c r="Y1019" s="16"/>
      <c r="Z1019" s="16"/>
    </row>
    <row r="1020">
      <c r="A1020" s="16" t="str">
        <f>IFERROR(__xludf.DUMMYFUNCTION("""COMPUTED_VALUE"""),"Emerald")</f>
        <v>Emerald</v>
      </c>
      <c r="B1020" s="16" t="str">
        <f>IFERROR(__xludf.DUMMYFUNCTION("""COMPUTED_VALUE"""),"Crafting Material, roll a d20 to see how many you get if this is a loot drop.")</f>
        <v>Crafting Material, roll a d20 to see how many you get if this is a loot drop.</v>
      </c>
      <c r="C1020" s="16" t="str">
        <f>IFERROR(__xludf.DUMMYFUNCTION("""COMPUTED_VALUE"""),"Item")</f>
        <v>Item</v>
      </c>
      <c r="D1020" s="16"/>
      <c r="E1020" s="16"/>
      <c r="F1020" s="16"/>
      <c r="G1020" s="16"/>
      <c r="H1020" s="16"/>
      <c r="I1020" s="16"/>
      <c r="J1020" s="16"/>
      <c r="K1020" s="16"/>
      <c r="L1020" s="16"/>
      <c r="M1020" s="16"/>
      <c r="N1020" s="16"/>
      <c r="O1020" s="16"/>
      <c r="P1020" s="16"/>
      <c r="Q1020" s="16"/>
      <c r="R1020" s="16"/>
      <c r="S1020" s="16"/>
      <c r="T1020" s="16"/>
      <c r="U1020" s="16"/>
      <c r="V1020" s="16"/>
      <c r="W1020" s="16"/>
      <c r="X1020" s="16"/>
      <c r="Y1020" s="16"/>
      <c r="Z1020" s="16"/>
    </row>
    <row r="1021">
      <c r="A1021" s="16" t="str">
        <f>IFERROR(__xludf.DUMMYFUNCTION("""COMPUTED_VALUE"""),"Ruby")</f>
        <v>Ruby</v>
      </c>
      <c r="B1021" s="16" t="str">
        <f>IFERROR(__xludf.DUMMYFUNCTION("""COMPUTED_VALUE"""),"Crafting Material, roll a d20 to see how many you get if this is a loot drop.")</f>
        <v>Crafting Material, roll a d20 to see how many you get if this is a loot drop.</v>
      </c>
      <c r="C1021" s="16" t="str">
        <f>IFERROR(__xludf.DUMMYFUNCTION("""COMPUTED_VALUE"""),"Item")</f>
        <v>Item</v>
      </c>
      <c r="D1021" s="16"/>
      <c r="E1021" s="16"/>
      <c r="F1021" s="16"/>
      <c r="G1021" s="16"/>
      <c r="H1021" s="16"/>
      <c r="I1021" s="16"/>
      <c r="J1021" s="16"/>
      <c r="K1021" s="16"/>
      <c r="L1021" s="16"/>
      <c r="M1021" s="16"/>
      <c r="N1021" s="16"/>
      <c r="O1021" s="16"/>
      <c r="P1021" s="16"/>
      <c r="Q1021" s="16"/>
      <c r="R1021" s="16"/>
      <c r="S1021" s="16"/>
      <c r="T1021" s="16"/>
      <c r="U1021" s="16"/>
      <c r="V1021" s="16"/>
      <c r="W1021" s="16"/>
      <c r="X1021" s="16"/>
      <c r="Y1021" s="16"/>
      <c r="Z1021" s="16"/>
    </row>
    <row r="1022">
      <c r="A1022" s="16" t="str">
        <f>IFERROR(__xludf.DUMMYFUNCTION("""COMPUTED_VALUE"""),"Sapphire")</f>
        <v>Sapphire</v>
      </c>
      <c r="B1022" s="16" t="str">
        <f>IFERROR(__xludf.DUMMYFUNCTION("""COMPUTED_VALUE"""),"Crafting Material, roll a d20 to see how many you get if this is a loot drop.")</f>
        <v>Crafting Material, roll a d20 to see how many you get if this is a loot drop.</v>
      </c>
      <c r="C1022" s="16" t="str">
        <f>IFERROR(__xludf.DUMMYFUNCTION("""COMPUTED_VALUE"""),"Item")</f>
        <v>Item</v>
      </c>
      <c r="D1022" s="16"/>
      <c r="E1022" s="16"/>
      <c r="F1022" s="16"/>
      <c r="G1022" s="16"/>
      <c r="H1022" s="16"/>
      <c r="I1022" s="16"/>
      <c r="J1022" s="16"/>
      <c r="K1022" s="16"/>
      <c r="L1022" s="16"/>
      <c r="M1022" s="16"/>
      <c r="N1022" s="16"/>
      <c r="O1022" s="16"/>
      <c r="P1022" s="16"/>
      <c r="Q1022" s="16"/>
      <c r="R1022" s="16"/>
      <c r="S1022" s="16"/>
      <c r="T1022" s="16"/>
      <c r="U1022" s="16"/>
      <c r="V1022" s="16"/>
      <c r="W1022" s="16"/>
      <c r="X1022" s="16"/>
      <c r="Y1022" s="16"/>
      <c r="Z1022" s="16"/>
    </row>
    <row r="1023">
      <c r="A1023" s="16" t="str">
        <f>IFERROR(__xludf.DUMMYFUNCTION("""COMPUTED_VALUE"""),"Candy Corn")</f>
        <v>Candy Corn</v>
      </c>
      <c r="B1023" s="16" t="str">
        <f>IFERROR(__xludf.DUMMYFUNCTION("""COMPUTED_VALUE"""),"Gun ammunition. 5000 damage, +5000 fire damage.")</f>
        <v>Gun ammunition. 5000 damage, +5000 fire damage.</v>
      </c>
      <c r="C1023" s="16" t="str">
        <f>IFERROR(__xludf.DUMMYFUNCTION("""COMPUTED_VALUE"""),"Item")</f>
        <v>Item</v>
      </c>
      <c r="D1023" s="16"/>
      <c r="E1023" s="16"/>
      <c r="F1023" s="16"/>
      <c r="G1023" s="16"/>
      <c r="H1023" s="16"/>
      <c r="I1023" s="16"/>
      <c r="J1023" s="16"/>
      <c r="K1023" s="16"/>
      <c r="L1023" s="16"/>
      <c r="M1023" s="16"/>
      <c r="N1023" s="16"/>
      <c r="O1023" s="16"/>
      <c r="P1023" s="16"/>
      <c r="Q1023" s="16"/>
      <c r="R1023" s="16"/>
      <c r="S1023" s="16"/>
      <c r="T1023" s="16"/>
      <c r="U1023" s="16"/>
      <c r="V1023" s="16"/>
      <c r="W1023" s="16"/>
      <c r="X1023" s="16"/>
      <c r="Y1023" s="16"/>
      <c r="Z1023" s="16"/>
    </row>
    <row r="1024">
      <c r="A1024" s="16" t="str">
        <f>IFERROR(__xludf.DUMMYFUNCTION("""COMPUTED_VALUE"""),"Pumpkin Arrow")</f>
        <v>Pumpkin Arrow</v>
      </c>
      <c r="B1024" s="16" t="str">
        <f>IFERROR(__xludf.DUMMYFUNCTION("""COMPUTED_VALUE"""),"Bow Ammunition. +5000 fire damage. roll a d20 to see how many you get if this is a loot drop.")</f>
        <v>Bow Ammunition. +5000 fire damage. roll a d20 to see how many you get if this is a loot drop.</v>
      </c>
      <c r="C1024" s="16" t="str">
        <f>IFERROR(__xludf.DUMMYFUNCTION("""COMPUTED_VALUE"""),"Item")</f>
        <v>Item</v>
      </c>
      <c r="D1024" s="16"/>
      <c r="E1024" s="16"/>
      <c r="F1024" s="16"/>
      <c r="G1024" s="16"/>
      <c r="H1024" s="16"/>
      <c r="I1024" s="16"/>
      <c r="J1024" s="16"/>
      <c r="K1024" s="16"/>
      <c r="L1024" s="16"/>
      <c r="M1024" s="16"/>
      <c r="N1024" s="16"/>
      <c r="O1024" s="16"/>
      <c r="P1024" s="16"/>
      <c r="Q1024" s="16"/>
      <c r="R1024" s="16"/>
      <c r="S1024" s="16"/>
      <c r="T1024" s="16"/>
      <c r="U1024" s="16"/>
      <c r="V1024" s="16"/>
      <c r="W1024" s="16"/>
      <c r="X1024" s="16"/>
      <c r="Y1024" s="16"/>
      <c r="Z1024" s="16"/>
    </row>
    <row r="1025">
      <c r="A1025" s="16" t="str">
        <f>IFERROR(__xludf.DUMMYFUNCTION("""COMPUTED_VALUE"""),"Candy Corn Gem")</f>
        <v>Candy Corn Gem</v>
      </c>
      <c r="B1025" s="16" t="str">
        <f>IFERROR(__xludf.DUMMYFUNCTION("""COMPUTED_VALUE"""),"(Can be turned in for Halloween Coins Decided by the current DM / GM )")</f>
        <v>(Can be turned in for Halloween Coins Decided by the current DM / GM )</v>
      </c>
      <c r="C1025" s="16" t="str">
        <f>IFERROR(__xludf.DUMMYFUNCTION("""COMPUTED_VALUE"""),"Item")</f>
        <v>Item</v>
      </c>
      <c r="D1025" s="16"/>
      <c r="E1025" s="16"/>
      <c r="F1025" s="16"/>
      <c r="G1025" s="16"/>
      <c r="H1025" s="16"/>
      <c r="I1025" s="16"/>
      <c r="J1025" s="16"/>
      <c r="K1025" s="16"/>
      <c r="L1025" s="16"/>
      <c r="M1025" s="16"/>
      <c r="N1025" s="16"/>
      <c r="O1025" s="16"/>
      <c r="P1025" s="16"/>
      <c r="Q1025" s="16"/>
      <c r="R1025" s="16"/>
      <c r="S1025" s="16"/>
      <c r="T1025" s="16"/>
      <c r="U1025" s="16"/>
      <c r="V1025" s="16"/>
      <c r="W1025" s="16"/>
      <c r="X1025" s="16"/>
      <c r="Y1025" s="16"/>
      <c r="Z1025" s="16"/>
    </row>
    <row r="1026">
      <c r="A1026" s="16" t="str">
        <f>IFERROR(__xludf.DUMMYFUNCTION("""COMPUTED_VALUE"""),"Steel Arrow")</f>
        <v>Steel Arrow</v>
      </c>
      <c r="B1026" s="16" t="str">
        <f>IFERROR(__xludf.DUMMYFUNCTION("""COMPUTED_VALUE"""),"Bow Ammunition. +100 damage. roll a d20 to see how many you get if this is a loot drop.")</f>
        <v>Bow Ammunition. +100 damage. roll a d20 to see how many you get if this is a loot drop.</v>
      </c>
      <c r="C1026" s="16" t="str">
        <f>IFERROR(__xludf.DUMMYFUNCTION("""COMPUTED_VALUE"""),"Item")</f>
        <v>Item</v>
      </c>
      <c r="D1026" s="16"/>
      <c r="E1026" s="16"/>
      <c r="F1026" s="16"/>
      <c r="G1026" s="16"/>
      <c r="H1026" s="16"/>
      <c r="I1026" s="16"/>
      <c r="J1026" s="16"/>
      <c r="K1026" s="16"/>
      <c r="L1026" s="16"/>
      <c r="M1026" s="16"/>
      <c r="N1026" s="16"/>
      <c r="O1026" s="16"/>
      <c r="P1026" s="16"/>
      <c r="Q1026" s="16"/>
      <c r="R1026" s="16"/>
      <c r="S1026" s="16"/>
      <c r="T1026" s="16"/>
      <c r="U1026" s="16"/>
      <c r="V1026" s="16"/>
      <c r="W1026" s="16"/>
      <c r="X1026" s="16"/>
      <c r="Y1026" s="16"/>
      <c r="Z1026" s="16"/>
    </row>
    <row r="1027">
      <c r="A1027" s="16" t="str">
        <f>IFERROR(__xludf.DUMMYFUNCTION("""COMPUTED_VALUE"""),"Bone Key")</f>
        <v>Bone Key</v>
      </c>
      <c r="B1027" s="16" t="str">
        <f>IFERROR(__xludf.DUMMYFUNCTION("""COMPUTED_VALUE"""),"Opens bone chest")</f>
        <v>Opens bone chest</v>
      </c>
      <c r="C1027" s="16" t="str">
        <f>IFERROR(__xludf.DUMMYFUNCTION("""COMPUTED_VALUE"""),"Item")</f>
        <v>Item</v>
      </c>
      <c r="D1027" s="16"/>
      <c r="E1027" s="16"/>
      <c r="F1027" s="16"/>
      <c r="G1027" s="16"/>
      <c r="H1027" s="16"/>
      <c r="I1027" s="16"/>
      <c r="J1027" s="16"/>
      <c r="K1027" s="16"/>
      <c r="L1027" s="16"/>
      <c r="M1027" s="16"/>
      <c r="N1027" s="16"/>
      <c r="O1027" s="16"/>
      <c r="P1027" s="16"/>
      <c r="Q1027" s="16"/>
      <c r="R1027" s="16"/>
      <c r="S1027" s="16"/>
      <c r="T1027" s="16"/>
      <c r="U1027" s="16"/>
      <c r="V1027" s="16"/>
      <c r="W1027" s="16"/>
      <c r="X1027" s="16"/>
      <c r="Y1027" s="16"/>
      <c r="Z1027" s="16"/>
    </row>
    <row r="1028">
      <c r="A1028" s="16" t="str">
        <f>IFERROR(__xludf.DUMMYFUNCTION("""COMPUTED_VALUE"""),"Bone")</f>
        <v>Bone</v>
      </c>
      <c r="B1028" s="16" t="str">
        <f>IFERROR(__xludf.DUMMYFUNCTION("""COMPUTED_VALUE"""),"Crafting Material, roll a d20 to see how many you get if this is a loot drop.")</f>
        <v>Crafting Material, roll a d20 to see how many you get if this is a loot drop.</v>
      </c>
      <c r="C1028" s="16" t="str">
        <f>IFERROR(__xludf.DUMMYFUNCTION("""COMPUTED_VALUE"""),"Item")</f>
        <v>Item</v>
      </c>
      <c r="D1028" s="16"/>
      <c r="E1028" s="16"/>
      <c r="F1028" s="16"/>
      <c r="G1028" s="16"/>
      <c r="H1028" s="16"/>
      <c r="I1028" s="16"/>
      <c r="J1028" s="16"/>
      <c r="K1028" s="16"/>
      <c r="L1028" s="16"/>
      <c r="M1028" s="16"/>
      <c r="N1028" s="16"/>
      <c r="O1028" s="16"/>
      <c r="P1028" s="16"/>
      <c r="Q1028" s="16"/>
      <c r="R1028" s="16"/>
      <c r="S1028" s="16"/>
      <c r="T1028" s="16"/>
      <c r="U1028" s="16"/>
      <c r="V1028" s="16"/>
      <c r="W1028" s="16"/>
      <c r="X1028" s="16"/>
      <c r="Y1028" s="16"/>
      <c r="Z1028" s="16"/>
    </row>
    <row r="1029">
      <c r="A1029" s="16" t="str">
        <f>IFERROR(__xludf.DUMMYFUNCTION("""COMPUTED_VALUE"""),"Bone Chest")</f>
        <v>Bone Chest</v>
      </c>
      <c r="B1029" s="16" t="str">
        <f>IFERROR(__xludf.DUMMYFUNCTION("""COMPUTED_VALUE"""),"Determine the tier by a d10 roll.")</f>
        <v>Determine the tier by a d10 roll.</v>
      </c>
      <c r="C1029" s="16" t="str">
        <f>IFERROR(__xludf.DUMMYFUNCTION("""COMPUTED_VALUE"""),"Item")</f>
        <v>Item</v>
      </c>
      <c r="D1029" s="16"/>
      <c r="E1029" s="16"/>
      <c r="F1029" s="16"/>
      <c r="G1029" s="16"/>
      <c r="H1029" s="16"/>
      <c r="I1029" s="16"/>
      <c r="J1029" s="16"/>
      <c r="K1029" s="16"/>
      <c r="L1029" s="16"/>
      <c r="M1029" s="16"/>
      <c r="N1029" s="16"/>
      <c r="O1029" s="16"/>
      <c r="P1029" s="16"/>
      <c r="Q1029" s="16"/>
      <c r="R1029" s="16"/>
      <c r="S1029" s="16"/>
      <c r="T1029" s="16"/>
      <c r="U1029" s="16"/>
      <c r="V1029" s="16"/>
      <c r="W1029" s="16"/>
      <c r="X1029" s="16"/>
      <c r="Y1029" s="16"/>
      <c r="Z1029" s="16"/>
    </row>
    <row r="1030">
      <c r="A1030" s="16" t="str">
        <f>IFERROR(__xludf.DUMMYFUNCTION("""COMPUTED_VALUE"""),"Viking Key")</f>
        <v>Viking Key</v>
      </c>
      <c r="B1030" s="16" t="str">
        <f>IFERROR(__xludf.DUMMYFUNCTION("""COMPUTED_VALUE"""),"Opens the Viking Chest")</f>
        <v>Opens the Viking Chest</v>
      </c>
      <c r="C1030" s="16" t="str">
        <f>IFERROR(__xludf.DUMMYFUNCTION("""COMPUTED_VALUE"""),"Item")</f>
        <v>Item</v>
      </c>
      <c r="D1030" s="16"/>
      <c r="E1030" s="16"/>
      <c r="F1030" s="16"/>
      <c r="G1030" s="16"/>
      <c r="H1030" s="16"/>
      <c r="I1030" s="16"/>
      <c r="J1030" s="16"/>
      <c r="K1030" s="16"/>
      <c r="L1030" s="16"/>
      <c r="M1030" s="16"/>
      <c r="N1030" s="16"/>
      <c r="O1030" s="16"/>
      <c r="P1030" s="16"/>
      <c r="Q1030" s="16"/>
      <c r="R1030" s="16"/>
      <c r="S1030" s="16"/>
      <c r="T1030" s="16"/>
      <c r="U1030" s="16"/>
      <c r="V1030" s="16"/>
      <c r="W1030" s="16"/>
      <c r="X1030" s="16"/>
      <c r="Y1030" s="16"/>
      <c r="Z1030" s="16"/>
    </row>
    <row r="1031">
      <c r="A1031" s="16" t="str">
        <f>IFERROR(__xludf.DUMMYFUNCTION("""COMPUTED_VALUE"""),"Viking Chest")</f>
        <v>Viking Chest</v>
      </c>
      <c r="B1031" s="16" t="str">
        <f>IFERROR(__xludf.DUMMYFUNCTION("""COMPUTED_VALUE"""),"Determine the tier by a d10 roll.")</f>
        <v>Determine the tier by a d10 roll.</v>
      </c>
      <c r="C1031" s="16" t="str">
        <f>IFERROR(__xludf.DUMMYFUNCTION("""COMPUTED_VALUE"""),"Item")</f>
        <v>Item</v>
      </c>
      <c r="D1031" s="16"/>
      <c r="E1031" s="16"/>
      <c r="F1031" s="16"/>
      <c r="G1031" s="16"/>
      <c r="H1031" s="16"/>
      <c r="I1031" s="16"/>
      <c r="J1031" s="16"/>
      <c r="K1031" s="16"/>
      <c r="L1031" s="16"/>
      <c r="M1031" s="16"/>
      <c r="N1031" s="16"/>
      <c r="O1031" s="16"/>
      <c r="P1031" s="16"/>
      <c r="Q1031" s="16"/>
      <c r="R1031" s="16"/>
      <c r="S1031" s="16"/>
      <c r="T1031" s="16"/>
      <c r="U1031" s="16"/>
      <c r="V1031" s="16"/>
      <c r="W1031" s="16"/>
      <c r="X1031" s="16"/>
      <c r="Y1031" s="16"/>
      <c r="Z1031" s="16"/>
    </row>
    <row r="1032">
      <c r="A1032" s="16" t="str">
        <f>IFERROR(__xludf.DUMMYFUNCTION("""COMPUTED_VALUE"""),"Vikings Cove Key")</f>
        <v>Vikings Cove Key</v>
      </c>
      <c r="B1032" s="16" t="str">
        <f>IFERROR(__xludf.DUMMYFUNCTION("""COMPUTED_VALUE"""),"Gain access to Vikings Cove")</f>
        <v>Gain access to Vikings Cove</v>
      </c>
      <c r="C1032" s="16" t="str">
        <f>IFERROR(__xludf.DUMMYFUNCTION("""COMPUTED_VALUE"""),"Item")</f>
        <v>Item</v>
      </c>
      <c r="D1032" s="16"/>
      <c r="E1032" s="16"/>
      <c r="F1032" s="16"/>
      <c r="G1032" s="16"/>
      <c r="H1032" s="16"/>
      <c r="I1032" s="16"/>
      <c r="J1032" s="16"/>
      <c r="K1032" s="16"/>
      <c r="L1032" s="16"/>
      <c r="M1032" s="16"/>
      <c r="N1032" s="16"/>
      <c r="O1032" s="16"/>
      <c r="P1032" s="16"/>
      <c r="Q1032" s="16"/>
      <c r="R1032" s="16"/>
      <c r="S1032" s="16"/>
      <c r="T1032" s="16"/>
      <c r="U1032" s="16"/>
      <c r="V1032" s="16"/>
      <c r="W1032" s="16"/>
      <c r="X1032" s="16"/>
      <c r="Y1032" s="16"/>
      <c r="Z1032" s="16"/>
    </row>
    <row r="1033">
      <c r="A1033" s="16" t="str">
        <f>IFERROR(__xludf.DUMMYFUNCTION("""COMPUTED_VALUE"""),"Baboon meat")</f>
        <v>Baboon meat</v>
      </c>
      <c r="B1033" s="16" t="str">
        <f>IFERROR(__xludf.DUMMYFUNCTION("""COMPUTED_VALUE""")," +2 hunger")</f>
        <v> +2 hunger</v>
      </c>
      <c r="C1033" s="16" t="str">
        <f>IFERROR(__xludf.DUMMYFUNCTION("""COMPUTED_VALUE"""),"Crop")</f>
        <v>Crop</v>
      </c>
      <c r="D1033" s="16"/>
      <c r="E1033" s="16"/>
      <c r="F1033" s="16"/>
      <c r="G1033" s="16"/>
      <c r="H1033" s="16"/>
      <c r="I1033" s="16"/>
      <c r="J1033" s="16"/>
      <c r="K1033" s="16"/>
      <c r="L1033" s="16"/>
      <c r="M1033" s="16"/>
      <c r="N1033" s="16"/>
      <c r="O1033" s="16"/>
      <c r="P1033" s="16"/>
      <c r="Q1033" s="16"/>
      <c r="R1033" s="16"/>
      <c r="S1033" s="16"/>
      <c r="T1033" s="16"/>
      <c r="U1033" s="16"/>
      <c r="V1033" s="16"/>
      <c r="W1033" s="16"/>
      <c r="X1033" s="16"/>
      <c r="Y1033" s="16"/>
      <c r="Z1033" s="16"/>
    </row>
    <row r="1034">
      <c r="A1034" s="16" t="str">
        <f>IFERROR(__xludf.DUMMYFUNCTION("""COMPUTED_VALUE"""),"Eagle Feathers")</f>
        <v>Eagle Feathers</v>
      </c>
      <c r="B1034" s="16" t="str">
        <f>IFERROR(__xludf.DUMMYFUNCTION("""COMPUTED_VALUE"""),"Crafting Material, roll a d20 to see how many you get if this is a loot drop.")</f>
        <v>Crafting Material, roll a d20 to see how many you get if this is a loot drop.</v>
      </c>
      <c r="C1034" s="16" t="str">
        <f>IFERROR(__xludf.DUMMYFUNCTION("""COMPUTED_VALUE"""),"Item")</f>
        <v>Item</v>
      </c>
      <c r="D1034" s="16"/>
      <c r="E1034" s="16"/>
      <c r="F1034" s="16"/>
      <c r="G1034" s="16"/>
      <c r="H1034" s="16"/>
      <c r="I1034" s="16"/>
      <c r="J1034" s="16"/>
      <c r="K1034" s="16"/>
      <c r="L1034" s="16"/>
      <c r="M1034" s="16"/>
      <c r="N1034" s="16"/>
      <c r="O1034" s="16"/>
      <c r="P1034" s="16"/>
      <c r="Q1034" s="16"/>
      <c r="R1034" s="16"/>
      <c r="S1034" s="16"/>
      <c r="T1034" s="16"/>
      <c r="U1034" s="16"/>
      <c r="V1034" s="16"/>
      <c r="W1034" s="16"/>
      <c r="X1034" s="16"/>
      <c r="Y1034" s="16"/>
      <c r="Z1034" s="16"/>
    </row>
    <row r="1035">
      <c r="A1035" s="16" t="str">
        <f>IFERROR(__xludf.DUMMYFUNCTION("""COMPUTED_VALUE"""),"The Cycle")</f>
        <v>The Cycle</v>
      </c>
      <c r="B1035" s="16" t="str">
        <f>IFERROR(__xludf.DUMMYFUNCTION("""COMPUTED_VALUE"""),"1 damage initially to all enemies, Does X damage each round until all targets escape the cycle, must roll a 11 or higher adding you mobility as a bonus to your roll while attempting to escape each round")</f>
        <v>1 damage initially to all enemies, Does X damage each round until all targets escape the cycle, must roll a 11 or higher adding you mobility as a bonus to your roll while attempting to escape each round</v>
      </c>
      <c r="C1035" s="16" t="str">
        <f>IFERROR(__xludf.DUMMYFUNCTION("""COMPUTED_VALUE"""),"Item")</f>
        <v>Item</v>
      </c>
      <c r="D1035" s="16"/>
      <c r="E1035" s="16"/>
      <c r="F1035" s="16"/>
      <c r="G1035" s="16"/>
      <c r="H1035" s="16"/>
      <c r="I1035" s="16"/>
      <c r="J1035" s="16"/>
      <c r="K1035" s="16"/>
      <c r="L1035" s="16"/>
      <c r="M1035" s="16"/>
      <c r="N1035" s="16"/>
      <c r="O1035" s="16"/>
      <c r="P1035" s="16"/>
      <c r="Q1035" s="16"/>
      <c r="R1035" s="16"/>
      <c r="S1035" s="16"/>
      <c r="T1035" s="16"/>
      <c r="U1035" s="16"/>
      <c r="V1035" s="16"/>
      <c r="W1035" s="16"/>
      <c r="X1035" s="16"/>
      <c r="Y1035" s="16"/>
      <c r="Z1035" s="16"/>
    </row>
    <row r="1036">
      <c r="A1036" s="16" t="str">
        <f>IFERROR(__xludf.DUMMYFUNCTION("""COMPUTED_VALUE"""),"Scale")</f>
        <v>Scale</v>
      </c>
      <c r="B1036" s="16" t="str">
        <f>IFERROR(__xludf.DUMMYFUNCTION("""COMPUTED_VALUE"""),"can be added to armor to give it +1 Earth resistance, once added to armor it can’t be removed")</f>
        <v>can be added to armor to give it +1 Earth resistance, once added to armor it can’t be removed</v>
      </c>
      <c r="C1036" s="16" t="str">
        <f>IFERROR(__xludf.DUMMYFUNCTION("""COMPUTED_VALUE"""),"Item")</f>
        <v>Item</v>
      </c>
      <c r="D1036" s="16"/>
      <c r="E1036" s="16"/>
      <c r="F1036" s="16"/>
      <c r="G1036" s="16"/>
      <c r="H1036" s="16"/>
      <c r="I1036" s="16"/>
      <c r="J1036" s="16"/>
      <c r="K1036" s="16"/>
      <c r="L1036" s="16"/>
      <c r="M1036" s="16"/>
      <c r="N1036" s="16"/>
      <c r="O1036" s="16"/>
      <c r="P1036" s="16"/>
      <c r="Q1036" s="16"/>
      <c r="R1036" s="16"/>
      <c r="S1036" s="16"/>
      <c r="T1036" s="16"/>
      <c r="U1036" s="16"/>
      <c r="V1036" s="16"/>
      <c r="W1036" s="16"/>
      <c r="X1036" s="16"/>
      <c r="Y1036" s="16"/>
      <c r="Z1036" s="16"/>
    </row>
    <row r="1037">
      <c r="A1037" s="16" t="str">
        <f>IFERROR(__xludf.DUMMYFUNCTION("""COMPUTED_VALUE"""),"Egg")</f>
        <v>Egg</v>
      </c>
      <c r="B1037" s="16" t="str">
        <f>IFERROR(__xludf.DUMMYFUNCTION("""COMPUTED_VALUE"""),"Will hatch in X/X days.")</f>
        <v>Will hatch in X/X days.</v>
      </c>
      <c r="C1037" s="16" t="str">
        <f>IFERROR(__xludf.DUMMYFUNCTION("""COMPUTED_VALUE"""),"Item")</f>
        <v>Item</v>
      </c>
      <c r="D1037" s="16"/>
      <c r="E1037" s="16"/>
      <c r="F1037" s="16"/>
      <c r="G1037" s="16"/>
      <c r="H1037" s="16"/>
      <c r="I1037" s="16"/>
      <c r="J1037" s="16"/>
      <c r="K1037" s="16"/>
      <c r="L1037" s="16"/>
      <c r="M1037" s="16"/>
      <c r="N1037" s="16"/>
      <c r="O1037" s="16"/>
      <c r="P1037" s="16"/>
      <c r="Q1037" s="16"/>
      <c r="R1037" s="16"/>
      <c r="S1037" s="16"/>
      <c r="T1037" s="16"/>
      <c r="U1037" s="16"/>
      <c r="V1037" s="16"/>
      <c r="W1037" s="16"/>
      <c r="X1037" s="16"/>
      <c r="Y1037" s="16"/>
      <c r="Z1037" s="16"/>
    </row>
    <row r="1038">
      <c r="A1038" s="16" t="str">
        <f>IFERROR(__xludf.DUMMYFUNCTION("""COMPUTED_VALUE"""),"Soul")</f>
        <v>Soul</v>
      </c>
      <c r="B1038" s="16" t="str">
        <f>IFERROR(__xludf.DUMMYFUNCTION("""COMPUTED_VALUE"""),"usable can be used to temporarily summon a minion of the creature the soul came from, the minion disappears after battle or when it's killed, If you have 3 or more souls you can gain 1 power from the creature, when you have gained 5 or more souls they can"&amp;" become the creature.")</f>
        <v>usable can be used to temporarily summon a minion of the creature the soul came from, the minion disappears after battle or when it's killed, If you have 3 or more souls you can gain 1 power from the creature, when you have gained 5 or more souls they can become the creature.</v>
      </c>
      <c r="C1038" s="16" t="str">
        <f>IFERROR(__xludf.DUMMYFUNCTION("""COMPUTED_VALUE"""),"Item")</f>
        <v>Item</v>
      </c>
      <c r="D1038" s="16"/>
      <c r="E1038" s="16"/>
      <c r="F1038" s="16"/>
      <c r="G1038" s="16"/>
      <c r="H1038" s="16"/>
      <c r="I1038" s="16"/>
      <c r="J1038" s="16"/>
      <c r="K1038" s="16"/>
      <c r="L1038" s="16"/>
      <c r="M1038" s="16"/>
      <c r="N1038" s="16"/>
      <c r="O1038" s="16"/>
      <c r="P1038" s="16"/>
      <c r="Q1038" s="16"/>
      <c r="R1038" s="16"/>
      <c r="S1038" s="16"/>
      <c r="T1038" s="16"/>
      <c r="U1038" s="16"/>
      <c r="V1038" s="16"/>
      <c r="W1038" s="16"/>
      <c r="X1038" s="16"/>
      <c r="Y1038" s="16"/>
      <c r="Z1038" s="16"/>
    </row>
    <row r="1039">
      <c r="A1039" s="16" t="str">
        <f>IFERROR(__xludf.DUMMYFUNCTION("""COMPUTED_VALUE"""),"Crystal")</f>
        <v>Crystal</v>
      </c>
      <c r="B1039" s="16" t="str">
        <f>IFERROR(__xludf.DUMMYFUNCTION("""COMPUTED_VALUE"""),"Crafting Material, roll a d20 to see how many you get if this is a loot drop.")</f>
        <v>Crafting Material, roll a d20 to see how many you get if this is a loot drop.</v>
      </c>
      <c r="C1039" s="16" t="str">
        <f>IFERROR(__xludf.DUMMYFUNCTION("""COMPUTED_VALUE"""),"Item")</f>
        <v>Item</v>
      </c>
      <c r="D1039" s="16"/>
      <c r="E1039" s="16"/>
      <c r="F1039" s="16"/>
      <c r="G1039" s="16"/>
      <c r="H1039" s="16"/>
      <c r="I1039" s="16"/>
      <c r="J1039" s="16"/>
      <c r="K1039" s="16"/>
      <c r="L1039" s="16"/>
      <c r="M1039" s="16"/>
      <c r="N1039" s="16"/>
      <c r="O1039" s="16"/>
      <c r="P1039" s="16"/>
      <c r="Q1039" s="16"/>
      <c r="R1039" s="16"/>
      <c r="S1039" s="16"/>
      <c r="T1039" s="16"/>
      <c r="U1039" s="16"/>
      <c r="V1039" s="16"/>
      <c r="W1039" s="16"/>
      <c r="X1039" s="16"/>
      <c r="Y1039" s="16"/>
      <c r="Z1039" s="16"/>
    </row>
    <row r="1040">
      <c r="A1040" s="16" t="str">
        <f>IFERROR(__xludf.DUMMYFUNCTION("""COMPUTED_VALUE"""),"Delta Gems")</f>
        <v>Delta Gems</v>
      </c>
      <c r="B1040" s="16" t="str">
        <f>IFERROR(__xludf.DUMMYFUNCTION("""COMPUTED_VALUE"""),"Crafting Material, roll a d20 to see how many you get if this is a loot drop.")</f>
        <v>Crafting Material, roll a d20 to see how many you get if this is a loot drop.</v>
      </c>
      <c r="C1040" s="16" t="str">
        <f>IFERROR(__xludf.DUMMYFUNCTION("""COMPUTED_VALUE"""),"Item")</f>
        <v>Item</v>
      </c>
      <c r="D1040" s="16"/>
      <c r="E1040" s="16"/>
      <c r="F1040" s="16"/>
      <c r="G1040" s="16"/>
      <c r="H1040" s="16"/>
      <c r="I1040" s="16"/>
      <c r="J1040" s="16"/>
      <c r="K1040" s="16"/>
      <c r="L1040" s="16"/>
      <c r="M1040" s="16"/>
      <c r="N1040" s="16"/>
      <c r="O1040" s="16"/>
      <c r="P1040" s="16"/>
      <c r="Q1040" s="16"/>
      <c r="R1040" s="16"/>
      <c r="S1040" s="16"/>
      <c r="T1040" s="16"/>
      <c r="U1040" s="16"/>
      <c r="V1040" s="16"/>
      <c r="W1040" s="16"/>
      <c r="X1040" s="16"/>
      <c r="Y1040" s="16"/>
      <c r="Z1040" s="16"/>
    </row>
    <row r="1041">
      <c r="A1041" s="16" t="str">
        <f>IFERROR(__xludf.DUMMYFUNCTION("""COMPUTED_VALUE"""),"Fire Diamonds")</f>
        <v>Fire Diamonds</v>
      </c>
      <c r="B1041" s="16" t="str">
        <f>IFERROR(__xludf.DUMMYFUNCTION("""COMPUTED_VALUE"""),"Crafting Material, roll a d20 to see how many you get if this is a loot drop.")</f>
        <v>Crafting Material, roll a d20 to see how many you get if this is a loot drop.</v>
      </c>
      <c r="C1041" s="16" t="str">
        <f>IFERROR(__xludf.DUMMYFUNCTION("""COMPUTED_VALUE"""),"Item")</f>
        <v>Item</v>
      </c>
      <c r="D1041" s="16"/>
      <c r="E1041" s="16"/>
      <c r="F1041" s="16"/>
      <c r="G1041" s="16"/>
      <c r="H1041" s="16"/>
      <c r="I1041" s="16"/>
      <c r="J1041" s="16"/>
      <c r="K1041" s="16"/>
      <c r="L1041" s="16"/>
      <c r="M1041" s="16"/>
      <c r="N1041" s="16"/>
      <c r="O1041" s="16"/>
      <c r="P1041" s="16"/>
      <c r="Q1041" s="16"/>
      <c r="R1041" s="16"/>
      <c r="S1041" s="16"/>
      <c r="T1041" s="16"/>
      <c r="U1041" s="16"/>
      <c r="V1041" s="16"/>
      <c r="W1041" s="16"/>
      <c r="X1041" s="16"/>
      <c r="Y1041" s="16"/>
      <c r="Z1041" s="16"/>
    </row>
    <row r="1042">
      <c r="A1042" s="16" t="str">
        <f>IFERROR(__xludf.DUMMYFUNCTION("""COMPUTED_VALUE"""),"plant containing the ‘instant death status effect’")</f>
        <v>plant containing the ‘instant death status effect’</v>
      </c>
      <c r="B1042" s="16" t="str">
        <f>IFERROR(__xludf.DUMMYFUNCTION("""COMPUTED_VALUE"""),"Quest item")</f>
        <v>Quest item</v>
      </c>
      <c r="C1042" s="16" t="str">
        <f>IFERROR(__xludf.DUMMYFUNCTION("""COMPUTED_VALUE"""),"Item")</f>
        <v>Item</v>
      </c>
      <c r="D1042" s="16"/>
      <c r="E1042" s="16"/>
      <c r="F1042" s="16"/>
      <c r="G1042" s="16"/>
      <c r="H1042" s="16"/>
      <c r="I1042" s="16"/>
      <c r="J1042" s="16"/>
      <c r="K1042" s="16"/>
      <c r="L1042" s="16"/>
      <c r="M1042" s="16"/>
      <c r="N1042" s="16"/>
      <c r="O1042" s="16"/>
      <c r="P1042" s="16"/>
      <c r="Q1042" s="16"/>
      <c r="R1042" s="16"/>
      <c r="S1042" s="16"/>
      <c r="T1042" s="16"/>
      <c r="U1042" s="16"/>
      <c r="V1042" s="16"/>
      <c r="W1042" s="16"/>
      <c r="X1042" s="16"/>
      <c r="Y1042" s="16"/>
      <c r="Z1042" s="16"/>
    </row>
    <row r="1043">
      <c r="A1043" s="16" t="str">
        <f>IFERROR(__xludf.DUMMYFUNCTION("""COMPUTED_VALUE"""),"Potion of Cure Curse")</f>
        <v>Potion of Cure Curse</v>
      </c>
      <c r="B1043" s="16" t="str">
        <f>IFERROR(__xludf.DUMMYFUNCTION("""COMPUTED_VALUE"""),"Curse Antidote")</f>
        <v>Curse Antidote</v>
      </c>
      <c r="C1043" s="16" t="str">
        <f>IFERROR(__xludf.DUMMYFUNCTION("""COMPUTED_VALUE"""),"Item")</f>
        <v>Item</v>
      </c>
      <c r="D1043" s="16"/>
      <c r="E1043" s="16"/>
      <c r="F1043" s="16"/>
      <c r="G1043" s="16"/>
      <c r="H1043" s="16"/>
      <c r="I1043" s="16"/>
      <c r="J1043" s="16"/>
      <c r="K1043" s="16"/>
      <c r="L1043" s="16"/>
      <c r="M1043" s="16"/>
      <c r="N1043" s="16"/>
      <c r="O1043" s="16"/>
      <c r="P1043" s="16"/>
      <c r="Q1043" s="16"/>
      <c r="R1043" s="16"/>
      <c r="S1043" s="16"/>
      <c r="T1043" s="16"/>
      <c r="U1043" s="16"/>
      <c r="V1043" s="16"/>
      <c r="W1043" s="16"/>
      <c r="X1043" s="16"/>
      <c r="Y1043" s="16"/>
      <c r="Z1043" s="16"/>
    </row>
    <row r="1044">
      <c r="A1044" s="16" t="str">
        <f>IFERROR(__xludf.DUMMYFUNCTION("""COMPUTED_VALUE"""),"Glowing Blue Jelly")</f>
        <v>Glowing Blue Jelly</v>
      </c>
      <c r="B1044" s="16" t="str">
        <f>IFERROR(__xludf.DUMMYFUNCTION("""COMPUTED_VALUE"""),"Crafting Material, roll a d20 to see how many you get if this is a loot drop.")</f>
        <v>Crafting Material, roll a d20 to see how many you get if this is a loot drop.</v>
      </c>
      <c r="C1044" s="16" t="str">
        <f>IFERROR(__xludf.DUMMYFUNCTION("""COMPUTED_VALUE"""),"Item")</f>
        <v>Item</v>
      </c>
      <c r="D1044" s="16"/>
      <c r="E1044" s="16"/>
      <c r="F1044" s="16"/>
      <c r="G1044" s="16"/>
      <c r="H1044" s="16"/>
      <c r="I1044" s="16"/>
      <c r="J1044" s="16"/>
      <c r="K1044" s="16"/>
      <c r="L1044" s="16"/>
      <c r="M1044" s="16"/>
      <c r="N1044" s="16"/>
      <c r="O1044" s="16"/>
      <c r="P1044" s="16"/>
      <c r="Q1044" s="16"/>
      <c r="R1044" s="16"/>
      <c r="S1044" s="16"/>
      <c r="T1044" s="16"/>
      <c r="U1044" s="16"/>
      <c r="V1044" s="16"/>
      <c r="W1044" s="16"/>
      <c r="X1044" s="16"/>
      <c r="Y1044" s="16"/>
      <c r="Z1044" s="16"/>
    </row>
    <row r="1045">
      <c r="A1045" s="16" t="str">
        <f>IFERROR(__xludf.DUMMYFUNCTION("""COMPUTED_VALUE"""),"Feather")</f>
        <v>Feather</v>
      </c>
      <c r="B1045" s="16" t="str">
        <f>IFERROR(__xludf.DUMMYFUNCTION("""COMPUTED_VALUE"""),"Crafting Material, roll a d20 to see how many you get if this is a loot drop.")</f>
        <v>Crafting Material, roll a d20 to see how many you get if this is a loot drop.</v>
      </c>
      <c r="C1045" s="16" t="str">
        <f>IFERROR(__xludf.DUMMYFUNCTION("""COMPUTED_VALUE"""),"Item")</f>
        <v>Item</v>
      </c>
      <c r="D1045" s="16"/>
      <c r="E1045" s="16"/>
      <c r="F1045" s="16"/>
      <c r="G1045" s="16"/>
      <c r="H1045" s="16"/>
      <c r="I1045" s="16"/>
      <c r="J1045" s="16"/>
      <c r="K1045" s="16"/>
      <c r="L1045" s="16"/>
      <c r="M1045" s="16"/>
      <c r="N1045" s="16"/>
      <c r="O1045" s="16"/>
      <c r="P1045" s="16"/>
      <c r="Q1045" s="16"/>
      <c r="R1045" s="16"/>
      <c r="S1045" s="16"/>
      <c r="T1045" s="16"/>
      <c r="U1045" s="16"/>
      <c r="V1045" s="16"/>
      <c r="W1045" s="16"/>
      <c r="X1045" s="16"/>
      <c r="Y1045" s="16"/>
      <c r="Z1045" s="16"/>
    </row>
    <row r="1046">
      <c r="A1046" s="16" t="str">
        <f>IFERROR(__xludf.DUMMYFUNCTION("""COMPUTED_VALUE"""),"Talon")</f>
        <v>Talon</v>
      </c>
      <c r="B1046" s="16" t="str">
        <f>IFERROR(__xludf.DUMMYFUNCTION("""COMPUTED_VALUE"""),"Crafting Material, roll a d20 to see how many you get if this is a loot drop.")</f>
        <v>Crafting Material, roll a d20 to see how many you get if this is a loot drop.</v>
      </c>
      <c r="C1046" s="16" t="str">
        <f>IFERROR(__xludf.DUMMYFUNCTION("""COMPUTED_VALUE"""),"Item")</f>
        <v>Item</v>
      </c>
      <c r="D1046" s="16"/>
      <c r="E1046" s="16"/>
      <c r="F1046" s="16"/>
      <c r="G1046" s="16"/>
      <c r="H1046" s="16"/>
      <c r="I1046" s="16"/>
      <c r="J1046" s="16"/>
      <c r="K1046" s="16"/>
      <c r="L1046" s="16"/>
      <c r="M1046" s="16"/>
      <c r="N1046" s="16"/>
      <c r="O1046" s="16"/>
      <c r="P1046" s="16"/>
      <c r="Q1046" s="16"/>
      <c r="R1046" s="16"/>
      <c r="S1046" s="16"/>
      <c r="T1046" s="16"/>
      <c r="U1046" s="16"/>
      <c r="V1046" s="16"/>
      <c r="W1046" s="16"/>
      <c r="X1046" s="16"/>
      <c r="Y1046" s="16"/>
      <c r="Z1046" s="16"/>
    </row>
    <row r="1047">
      <c r="A1047" s="16" t="str">
        <f>IFERROR(__xludf.DUMMYFUNCTION("""COMPUTED_VALUE"""),"Eyeball")</f>
        <v>Eyeball</v>
      </c>
      <c r="B1047" s="16" t="str">
        <f>IFERROR(__xludf.DUMMYFUNCTION("""COMPUTED_VALUE"""),"Crafting Material, roll a d20 to see how many you get if this is a loot drop.")</f>
        <v>Crafting Material, roll a d20 to see how many you get if this is a loot drop.</v>
      </c>
      <c r="C1047" s="16" t="str">
        <f>IFERROR(__xludf.DUMMYFUNCTION("""COMPUTED_VALUE"""),"Item")</f>
        <v>Item</v>
      </c>
      <c r="D1047" s="16"/>
      <c r="E1047" s="16"/>
      <c r="F1047" s="16"/>
      <c r="G1047" s="16"/>
      <c r="H1047" s="16"/>
      <c r="I1047" s="16"/>
      <c r="J1047" s="16"/>
      <c r="K1047" s="16"/>
      <c r="L1047" s="16"/>
      <c r="M1047" s="16"/>
      <c r="N1047" s="16"/>
      <c r="O1047" s="16"/>
      <c r="P1047" s="16"/>
      <c r="Q1047" s="16"/>
      <c r="R1047" s="16"/>
      <c r="S1047" s="16"/>
      <c r="T1047" s="16"/>
      <c r="U1047" s="16"/>
      <c r="V1047" s="16"/>
      <c r="W1047" s="16"/>
      <c r="X1047" s="16"/>
      <c r="Y1047" s="16"/>
      <c r="Z1047" s="16"/>
    </row>
    <row r="1048">
      <c r="A1048" s="16" t="str">
        <f>IFERROR(__xludf.DUMMYFUNCTION("""COMPUTED_VALUE"""),"Spider Egg")</f>
        <v>Spider Egg</v>
      </c>
      <c r="B1048" s="16" t="str">
        <f>IFERROR(__xludf.DUMMYFUNCTION("""COMPUTED_VALUE"""),"Crafting Material, roll a d20 to see how many you get if this is a loot drop.")</f>
        <v>Crafting Material, roll a d20 to see how many you get if this is a loot drop.</v>
      </c>
      <c r="C1048" s="16" t="str">
        <f>IFERROR(__xludf.DUMMYFUNCTION("""COMPUTED_VALUE"""),"Item")</f>
        <v>Item</v>
      </c>
      <c r="D1048" s="16"/>
      <c r="E1048" s="16"/>
      <c r="F1048" s="16"/>
      <c r="G1048" s="16"/>
      <c r="H1048" s="16"/>
      <c r="I1048" s="16"/>
      <c r="J1048" s="16"/>
      <c r="K1048" s="16"/>
      <c r="L1048" s="16"/>
      <c r="M1048" s="16"/>
      <c r="N1048" s="16"/>
      <c r="O1048" s="16"/>
      <c r="P1048" s="16"/>
      <c r="Q1048" s="16"/>
      <c r="R1048" s="16"/>
      <c r="S1048" s="16"/>
      <c r="T1048" s="16"/>
      <c r="U1048" s="16"/>
      <c r="V1048" s="16"/>
      <c r="W1048" s="16"/>
      <c r="X1048" s="16"/>
      <c r="Y1048" s="16"/>
      <c r="Z1048" s="16"/>
    </row>
    <row r="1049">
      <c r="A1049" s="16" t="str">
        <f>IFERROR(__xludf.DUMMYFUNCTION("""COMPUTED_VALUE"""),"Giant Spider Exoskeleton")</f>
        <v>Giant Spider Exoskeleton</v>
      </c>
      <c r="B1049" s="16" t="str">
        <f>IFERROR(__xludf.DUMMYFUNCTION("""COMPUTED_VALUE"""),"Crafting Material, roll a d20 to see how many you get if this is a loot drop.")</f>
        <v>Crafting Material, roll a d20 to see how many you get if this is a loot drop.</v>
      </c>
      <c r="C1049" s="16" t="str">
        <f>IFERROR(__xludf.DUMMYFUNCTION("""COMPUTED_VALUE"""),"Item")</f>
        <v>Item</v>
      </c>
      <c r="D1049" s="16"/>
      <c r="E1049" s="16"/>
      <c r="F1049" s="16"/>
      <c r="G1049" s="16"/>
      <c r="H1049" s="16"/>
      <c r="I1049" s="16"/>
      <c r="J1049" s="16"/>
      <c r="K1049" s="16"/>
      <c r="L1049" s="16"/>
      <c r="M1049" s="16"/>
      <c r="N1049" s="16"/>
      <c r="O1049" s="16"/>
      <c r="P1049" s="16"/>
      <c r="Q1049" s="16"/>
      <c r="R1049" s="16"/>
      <c r="S1049" s="16"/>
      <c r="T1049" s="16"/>
      <c r="U1049" s="16"/>
      <c r="V1049" s="16"/>
      <c r="W1049" s="16"/>
      <c r="X1049" s="16"/>
      <c r="Y1049" s="16"/>
      <c r="Z1049" s="16"/>
    </row>
    <row r="1050">
      <c r="A1050" s="16" t="str">
        <f>IFERROR(__xludf.DUMMYFUNCTION("""COMPUTED_VALUE"""),"Giant Spider Poison")</f>
        <v>Giant Spider Poison</v>
      </c>
      <c r="B1050" s="16" t="str">
        <f>IFERROR(__xludf.DUMMYFUNCTION("""COMPUTED_VALUE"""),"Crafting Material, roll a d20 to see how many you get if this is a loot drop.")</f>
        <v>Crafting Material, roll a d20 to see how many you get if this is a loot drop.</v>
      </c>
      <c r="C1050" s="16" t="str">
        <f>IFERROR(__xludf.DUMMYFUNCTION("""COMPUTED_VALUE"""),"Item")</f>
        <v>Item</v>
      </c>
      <c r="D1050" s="16"/>
      <c r="E1050" s="16"/>
      <c r="F1050" s="16"/>
      <c r="G1050" s="16"/>
      <c r="H1050" s="16"/>
      <c r="I1050" s="16"/>
      <c r="J1050" s="16"/>
      <c r="K1050" s="16"/>
      <c r="L1050" s="16"/>
      <c r="M1050" s="16"/>
      <c r="N1050" s="16"/>
      <c r="O1050" s="16"/>
      <c r="P1050" s="16"/>
      <c r="Q1050" s="16"/>
      <c r="R1050" s="16"/>
      <c r="S1050" s="16"/>
      <c r="T1050" s="16"/>
      <c r="U1050" s="16"/>
      <c r="V1050" s="16"/>
      <c r="W1050" s="16"/>
      <c r="X1050" s="16"/>
      <c r="Y1050" s="16"/>
      <c r="Z1050" s="16"/>
    </row>
    <row r="1051">
      <c r="A1051" s="16" t="str">
        <f>IFERROR(__xludf.DUMMYFUNCTION("""COMPUTED_VALUE"""),"Poison Gem")</f>
        <v>Poison Gem</v>
      </c>
      <c r="B1051" s="16" t="str">
        <f>IFERROR(__xludf.DUMMYFUNCTION("""COMPUTED_VALUE"""),"Crafting Material, roll a d20 to see how many you get if this is a loot drop.")</f>
        <v>Crafting Material, roll a d20 to see how many you get if this is a loot drop.</v>
      </c>
      <c r="C1051" s="16" t="str">
        <f>IFERROR(__xludf.DUMMYFUNCTION("""COMPUTED_VALUE"""),"Item")</f>
        <v>Item</v>
      </c>
      <c r="D1051" s="16"/>
      <c r="E1051" s="16"/>
      <c r="F1051" s="16"/>
      <c r="G1051" s="16"/>
      <c r="H1051" s="16"/>
      <c r="I1051" s="16"/>
      <c r="J1051" s="16"/>
      <c r="K1051" s="16"/>
      <c r="L1051" s="16"/>
      <c r="M1051" s="16"/>
      <c r="N1051" s="16"/>
      <c r="O1051" s="16"/>
      <c r="P1051" s="16"/>
      <c r="Q1051" s="16"/>
      <c r="R1051" s="16"/>
      <c r="S1051" s="16"/>
      <c r="T1051" s="16"/>
      <c r="U1051" s="16"/>
      <c r="V1051" s="16"/>
      <c r="W1051" s="16"/>
      <c r="X1051" s="16"/>
      <c r="Y1051" s="16"/>
      <c r="Z1051" s="16"/>
    </row>
    <row r="1052">
      <c r="A1052" s="16" t="str">
        <f>IFERROR(__xludf.DUMMYFUNCTION("""COMPUTED_VALUE"""),"Returning Arrow")</f>
        <v>Returning Arrow</v>
      </c>
      <c r="B1052" s="16" t="str">
        <f>IFERROR(__xludf.DUMMYFUNCTION("""COMPUTED_VALUE"""),"Bow Ammunition. +500 damage.  returns to the user. roll a d20 to see how many you get if this is a loot drop.")</f>
        <v>Bow Ammunition. +500 damage.  returns to the user. roll a d20 to see how many you get if this is a loot drop.</v>
      </c>
      <c r="C1052" s="16" t="str">
        <f>IFERROR(__xludf.DUMMYFUNCTION("""COMPUTED_VALUE"""),"Item")</f>
        <v>Item</v>
      </c>
      <c r="D1052" s="16"/>
      <c r="E1052" s="16"/>
      <c r="F1052" s="16"/>
      <c r="G1052" s="16"/>
      <c r="H1052" s="16"/>
      <c r="I1052" s="16"/>
      <c r="J1052" s="16"/>
      <c r="K1052" s="16"/>
      <c r="L1052" s="16"/>
      <c r="M1052" s="16"/>
      <c r="N1052" s="16"/>
      <c r="O1052" s="16"/>
      <c r="P1052" s="16"/>
      <c r="Q1052" s="16"/>
      <c r="R1052" s="16"/>
      <c r="S1052" s="16"/>
      <c r="T1052" s="16"/>
      <c r="U1052" s="16"/>
      <c r="V1052" s="16"/>
      <c r="W1052" s="16"/>
      <c r="X1052" s="16"/>
      <c r="Y1052" s="16"/>
      <c r="Z1052" s="16"/>
    </row>
    <row r="1053">
      <c r="A1053" s="16" t="str">
        <f>IFERROR(__xludf.DUMMYFUNCTION("""COMPUTED_VALUE"""),"Shadow Fluid")</f>
        <v>Shadow Fluid</v>
      </c>
      <c r="B1053" s="16" t="str">
        <f>IFERROR(__xludf.DUMMYFUNCTION("""COMPUTED_VALUE"""),"Crafting Material, roll a d20 to see how many you get if this is a loot drop.")</f>
        <v>Crafting Material, roll a d20 to see how many you get if this is a loot drop.</v>
      </c>
      <c r="C1053" s="16" t="str">
        <f>IFERROR(__xludf.DUMMYFUNCTION("""COMPUTED_VALUE"""),"Item")</f>
        <v>Item</v>
      </c>
      <c r="D1053" s="16"/>
      <c r="E1053" s="16"/>
      <c r="F1053" s="16"/>
      <c r="G1053" s="16"/>
      <c r="H1053" s="16"/>
      <c r="I1053" s="16"/>
      <c r="J1053" s="16"/>
      <c r="K1053" s="16"/>
      <c r="L1053" s="16"/>
      <c r="M1053" s="16"/>
      <c r="N1053" s="16"/>
      <c r="O1053" s="16"/>
      <c r="P1053" s="16"/>
      <c r="Q1053" s="16"/>
      <c r="R1053" s="16"/>
      <c r="S1053" s="16"/>
      <c r="T1053" s="16"/>
      <c r="U1053" s="16"/>
      <c r="V1053" s="16"/>
      <c r="W1053" s="16"/>
      <c r="X1053" s="16"/>
      <c r="Y1053" s="16"/>
      <c r="Z1053" s="16"/>
    </row>
    <row r="1054">
      <c r="A1054" s="16" t="str">
        <f>IFERROR(__xludf.DUMMYFUNCTION("""COMPUTED_VALUE"""),"Skull")</f>
        <v>Skull</v>
      </c>
      <c r="B1054" s="16" t="str">
        <f>IFERROR(__xludf.DUMMYFUNCTION("""COMPUTED_VALUE"""),"Crafting Material, roll a d20 to see how many you get if this is a loot drop.")</f>
        <v>Crafting Material, roll a d20 to see how many you get if this is a loot drop.</v>
      </c>
      <c r="C1054" s="16" t="str">
        <f>IFERROR(__xludf.DUMMYFUNCTION("""COMPUTED_VALUE"""),"Item")</f>
        <v>Item</v>
      </c>
      <c r="D1054" s="16"/>
      <c r="E1054" s="16"/>
      <c r="F1054" s="16"/>
      <c r="G1054" s="16"/>
      <c r="H1054" s="16"/>
      <c r="I1054" s="16"/>
      <c r="J1054" s="16"/>
      <c r="K1054" s="16"/>
      <c r="L1054" s="16"/>
      <c r="M1054" s="16"/>
      <c r="N1054" s="16"/>
      <c r="O1054" s="16"/>
      <c r="P1054" s="16"/>
      <c r="Q1054" s="16"/>
      <c r="R1054" s="16"/>
      <c r="S1054" s="16"/>
      <c r="T1054" s="16"/>
      <c r="U1054" s="16"/>
      <c r="V1054" s="16"/>
      <c r="W1054" s="16"/>
      <c r="X1054" s="16"/>
      <c r="Y1054" s="16"/>
      <c r="Z1054" s="16"/>
    </row>
    <row r="1055">
      <c r="A1055" s="16" t="str">
        <f>IFERROR(__xludf.DUMMYFUNCTION("""COMPUTED_VALUE"""),"pumpkin gem")</f>
        <v>pumpkin gem</v>
      </c>
      <c r="B1055" s="16" t="str">
        <f>IFERROR(__xludf.DUMMYFUNCTION("""COMPUTED_VALUE"""),"Crafting Material, roll a d20 to see how many you get if this is a loot drop.")</f>
        <v>Crafting Material, roll a d20 to see how many you get if this is a loot drop.</v>
      </c>
      <c r="C1055" s="16" t="str">
        <f>IFERROR(__xludf.DUMMYFUNCTION("""COMPUTED_VALUE"""),"Item")</f>
        <v>Item</v>
      </c>
      <c r="D1055" s="16"/>
      <c r="E1055" s="16"/>
      <c r="F1055" s="16"/>
      <c r="G1055" s="16"/>
      <c r="H1055" s="16"/>
      <c r="I1055" s="16"/>
      <c r="J1055" s="16"/>
      <c r="K1055" s="16"/>
      <c r="L1055" s="16"/>
      <c r="M1055" s="16"/>
      <c r="N1055" s="16"/>
      <c r="O1055" s="16"/>
      <c r="P1055" s="16"/>
      <c r="Q1055" s="16"/>
      <c r="R1055" s="16"/>
      <c r="S1055" s="16"/>
      <c r="T1055" s="16"/>
      <c r="U1055" s="16"/>
      <c r="V1055" s="16"/>
      <c r="W1055" s="16"/>
      <c r="X1055" s="16"/>
      <c r="Y1055" s="16"/>
      <c r="Z1055" s="16"/>
    </row>
    <row r="1056">
      <c r="A1056" s="16" t="str">
        <f>IFERROR(__xludf.DUMMYFUNCTION("""COMPUTED_VALUE"""),"Rotton Flesh")</f>
        <v>Rotton Flesh</v>
      </c>
      <c r="B1056" s="16" t="str">
        <f>IFERROR(__xludf.DUMMYFUNCTION("""COMPUTED_VALUE"""),"-100 Hunger if you are not undead. +200 hunger and energy if you are undead.")</f>
        <v>-100 Hunger if you are not undead. +200 hunger and energy if you are undead.</v>
      </c>
      <c r="C1056" s="16" t="str">
        <f>IFERROR(__xludf.DUMMYFUNCTION("""COMPUTED_VALUE"""),"Crop")</f>
        <v>Crop</v>
      </c>
      <c r="D1056" s="16"/>
      <c r="E1056" s="16"/>
      <c r="F1056" s="16"/>
      <c r="G1056" s="16"/>
      <c r="H1056" s="16"/>
      <c r="I1056" s="16"/>
      <c r="J1056" s="16"/>
      <c r="K1056" s="16"/>
      <c r="L1056" s="16"/>
      <c r="M1056" s="16"/>
      <c r="N1056" s="16"/>
      <c r="O1056" s="16"/>
      <c r="P1056" s="16"/>
      <c r="Q1056" s="16"/>
      <c r="R1056" s="16"/>
      <c r="S1056" s="16"/>
      <c r="T1056" s="16"/>
      <c r="U1056" s="16"/>
      <c r="V1056" s="16"/>
      <c r="W1056" s="16"/>
      <c r="X1056" s="16"/>
      <c r="Y1056" s="16"/>
      <c r="Z1056" s="16"/>
    </row>
    <row r="1057">
      <c r="A1057" s="16" t="str">
        <f>IFERROR(__xludf.DUMMYFUNCTION("""COMPUTED_VALUE"""),"Bag of Sand")</f>
        <v>Bag of Sand</v>
      </c>
      <c r="B1057" s="16" t="str">
        <f>IFERROR(__xludf.DUMMYFUNCTION("""COMPUTED_VALUE"""),"Crafting Material, roll a d20 to see how many you get if this is a loot drop.")</f>
        <v>Crafting Material, roll a d20 to see how many you get if this is a loot drop.</v>
      </c>
      <c r="C1057" s="16" t="str">
        <f>IFERROR(__xludf.DUMMYFUNCTION("""COMPUTED_VALUE"""),"Item")</f>
        <v>Item</v>
      </c>
      <c r="D1057" s="16"/>
      <c r="E1057" s="16"/>
      <c r="F1057" s="16"/>
      <c r="G1057" s="16"/>
      <c r="H1057" s="16"/>
      <c r="I1057" s="16"/>
      <c r="J1057" s="16"/>
      <c r="K1057" s="16"/>
      <c r="L1057" s="16"/>
      <c r="M1057" s="16"/>
      <c r="N1057" s="16"/>
      <c r="O1057" s="16"/>
      <c r="P1057" s="16"/>
      <c r="Q1057" s="16"/>
      <c r="R1057" s="16"/>
      <c r="S1057" s="16"/>
      <c r="T1057" s="16"/>
      <c r="U1057" s="16"/>
      <c r="V1057" s="16"/>
      <c r="W1057" s="16"/>
      <c r="X1057" s="16"/>
      <c r="Y1057" s="16"/>
      <c r="Z1057" s="16"/>
    </row>
    <row r="1058">
      <c r="A1058" s="16" t="str">
        <f>IFERROR(__xludf.DUMMYFUNCTION("""COMPUTED_VALUE"""),"Glowing Red eye")</f>
        <v>Glowing Red eye</v>
      </c>
      <c r="B1058" s="16" t="str">
        <f>IFERROR(__xludf.DUMMYFUNCTION("""COMPUTED_VALUE""")," +10SP")</f>
        <v> +10SP</v>
      </c>
      <c r="C1058" s="16" t="str">
        <f>IFERROR(__xludf.DUMMYFUNCTION("""COMPUTED_VALUE"""),"Item")</f>
        <v>Item</v>
      </c>
      <c r="D1058" s="16"/>
      <c r="E1058" s="16"/>
      <c r="F1058" s="16"/>
      <c r="G1058" s="16"/>
      <c r="H1058" s="16"/>
      <c r="I1058" s="16"/>
      <c r="J1058" s="16"/>
      <c r="K1058" s="16"/>
      <c r="L1058" s="16"/>
      <c r="M1058" s="16"/>
      <c r="N1058" s="16"/>
      <c r="O1058" s="16"/>
      <c r="P1058" s="16"/>
      <c r="Q1058" s="16"/>
      <c r="R1058" s="16"/>
      <c r="S1058" s="16"/>
      <c r="T1058" s="16"/>
      <c r="U1058" s="16"/>
      <c r="V1058" s="16"/>
      <c r="W1058" s="16"/>
      <c r="X1058" s="16"/>
      <c r="Y1058" s="16"/>
      <c r="Z1058" s="16"/>
    </row>
    <row r="1059">
      <c r="A1059" s="16" t="str">
        <f>IFERROR(__xludf.DUMMYFUNCTION("""COMPUTED_VALUE"""),"Sand Gem")</f>
        <v>Sand Gem</v>
      </c>
      <c r="B1059" s="16" t="str">
        <f>IFERROR(__xludf.DUMMYFUNCTION("""COMPUTED_VALUE"""),"Crafting Material, roll a d20 to see how many you get if this is a loot drop.")</f>
        <v>Crafting Material, roll a d20 to see how many you get if this is a loot drop.</v>
      </c>
      <c r="C1059" s="16" t="str">
        <f>IFERROR(__xludf.DUMMYFUNCTION("""COMPUTED_VALUE"""),"Item")</f>
        <v>Item</v>
      </c>
      <c r="D1059" s="16"/>
      <c r="E1059" s="16"/>
      <c r="F1059" s="16"/>
      <c r="G1059" s="16"/>
      <c r="H1059" s="16"/>
      <c r="I1059" s="16"/>
      <c r="J1059" s="16"/>
      <c r="K1059" s="16"/>
      <c r="L1059" s="16"/>
      <c r="M1059" s="16"/>
      <c r="N1059" s="16"/>
      <c r="O1059" s="16"/>
      <c r="P1059" s="16"/>
      <c r="Q1059" s="16"/>
      <c r="R1059" s="16"/>
      <c r="S1059" s="16"/>
      <c r="T1059" s="16"/>
      <c r="U1059" s="16"/>
      <c r="V1059" s="16"/>
      <c r="W1059" s="16"/>
      <c r="X1059" s="16"/>
      <c r="Y1059" s="16"/>
      <c r="Z1059" s="16"/>
    </row>
    <row r="1060">
      <c r="A1060" s="16" t="str">
        <f>IFERROR(__xludf.DUMMYFUNCTION("""COMPUTED_VALUE"""),"Poison water")</f>
        <v>Poison water</v>
      </c>
      <c r="B1060" s="16"/>
      <c r="C1060" s="16" t="str">
        <f>IFERROR(__xludf.DUMMYFUNCTION("""COMPUTED_VALUE"""),"Item")</f>
        <v>Item</v>
      </c>
      <c r="D1060" s="16"/>
      <c r="E1060" s="16"/>
      <c r="F1060" s="16"/>
      <c r="G1060" s="16"/>
      <c r="H1060" s="16"/>
      <c r="I1060" s="16"/>
      <c r="J1060" s="16"/>
      <c r="K1060" s="16"/>
      <c r="L1060" s="16"/>
      <c r="M1060" s="16"/>
      <c r="N1060" s="16"/>
      <c r="O1060" s="16"/>
      <c r="P1060" s="16"/>
      <c r="Q1060" s="16"/>
      <c r="R1060" s="16"/>
      <c r="S1060" s="16"/>
      <c r="T1060" s="16"/>
      <c r="U1060" s="16"/>
      <c r="V1060" s="16"/>
      <c r="W1060" s="16"/>
      <c r="X1060" s="16"/>
      <c r="Y1060" s="16"/>
      <c r="Z1060" s="16"/>
    </row>
    <row r="1061">
      <c r="A1061" s="16" t="str">
        <f>IFERROR(__xludf.DUMMYFUNCTION("""COMPUTED_VALUE"""),"Poison Mushroom")</f>
        <v>Poison Mushroom</v>
      </c>
      <c r="B1061" s="16" t="str">
        <f>IFERROR(__xludf.DUMMYFUNCTION("""COMPUTED_VALUE"""),"-100 Hunger, Causes poison 100 for 10 days of travel.")</f>
        <v>-100 Hunger, Causes poison 100 for 10 days of travel.</v>
      </c>
      <c r="C1061" s="16" t="str">
        <f>IFERROR(__xludf.DUMMYFUNCTION("""COMPUTED_VALUE"""),"Crop")</f>
        <v>Crop</v>
      </c>
      <c r="D1061" s="16"/>
      <c r="E1061" s="16"/>
      <c r="F1061" s="16"/>
      <c r="G1061" s="16"/>
      <c r="H1061" s="16"/>
      <c r="I1061" s="16"/>
      <c r="J1061" s="16"/>
      <c r="K1061" s="16"/>
      <c r="L1061" s="16"/>
      <c r="M1061" s="16"/>
      <c r="N1061" s="16"/>
      <c r="O1061" s="16"/>
      <c r="P1061" s="16"/>
      <c r="Q1061" s="16"/>
      <c r="R1061" s="16"/>
      <c r="S1061" s="16"/>
      <c r="T1061" s="16"/>
      <c r="U1061" s="16"/>
      <c r="V1061" s="16"/>
      <c r="W1061" s="16"/>
      <c r="X1061" s="16"/>
      <c r="Y1061" s="16"/>
      <c r="Z1061" s="16"/>
    </row>
    <row r="1062">
      <c r="A1062" s="16" t="str">
        <f>IFERROR(__xludf.DUMMYFUNCTION("""COMPUTED_VALUE"""),"Vile of Poison")</f>
        <v>Vile of Poison</v>
      </c>
      <c r="B1062" s="16" t="str">
        <f>IFERROR(__xludf.DUMMYFUNCTION("""COMPUTED_VALUE"""),"Crafting Material, roll a d20 to see how many you get if this is a loot drop.")</f>
        <v>Crafting Material, roll a d20 to see how many you get if this is a loot drop.</v>
      </c>
      <c r="C1062" s="16" t="str">
        <f>IFERROR(__xludf.DUMMYFUNCTION("""COMPUTED_VALUE"""),"Item")</f>
        <v>Item</v>
      </c>
      <c r="D1062" s="16"/>
      <c r="E1062" s="16"/>
      <c r="F1062" s="16"/>
      <c r="G1062" s="16"/>
      <c r="H1062" s="16"/>
      <c r="I1062" s="16"/>
      <c r="J1062" s="16"/>
      <c r="K1062" s="16"/>
      <c r="L1062" s="16"/>
      <c r="M1062" s="16"/>
      <c r="N1062" s="16"/>
      <c r="O1062" s="16"/>
      <c r="P1062" s="16"/>
      <c r="Q1062" s="16"/>
      <c r="R1062" s="16"/>
      <c r="S1062" s="16"/>
      <c r="T1062" s="16"/>
      <c r="U1062" s="16"/>
      <c r="V1062" s="16"/>
      <c r="W1062" s="16"/>
      <c r="X1062" s="16"/>
      <c r="Y1062" s="16"/>
      <c r="Z1062" s="16"/>
    </row>
    <row r="1063">
      <c r="A1063" s="16" t="str">
        <f>IFERROR(__xludf.DUMMYFUNCTION("""COMPUTED_VALUE"""),"Explosive Arrow")</f>
        <v>Explosive Arrow</v>
      </c>
      <c r="B1063" s="16" t="str">
        <f>IFERROR(__xludf.DUMMYFUNCTION("""COMPUTED_VALUE"""),"Bow Ammunition. +1000 fire damage to the enemy it hits. +500 fire damage to all other enemies. roll a d20 to see how many you get if this is a loot drop.")</f>
        <v>Bow Ammunition. +1000 fire damage to the enemy it hits. +500 fire damage to all other enemies. roll a d20 to see how many you get if this is a loot drop.</v>
      </c>
      <c r="C1063" s="16" t="str">
        <f>IFERROR(__xludf.DUMMYFUNCTION("""COMPUTED_VALUE"""),"Item")</f>
        <v>Item</v>
      </c>
      <c r="D1063" s="16"/>
      <c r="E1063" s="16"/>
      <c r="F1063" s="16"/>
      <c r="G1063" s="16"/>
      <c r="H1063" s="16"/>
      <c r="I1063" s="16"/>
      <c r="J1063" s="16"/>
      <c r="K1063" s="16"/>
      <c r="L1063" s="16"/>
      <c r="M1063" s="16"/>
      <c r="N1063" s="16"/>
      <c r="O1063" s="16"/>
      <c r="P1063" s="16"/>
      <c r="Q1063" s="16"/>
      <c r="R1063" s="16"/>
      <c r="S1063" s="16"/>
      <c r="T1063" s="16"/>
      <c r="U1063" s="16"/>
      <c r="V1063" s="16"/>
      <c r="W1063" s="16"/>
      <c r="X1063" s="16"/>
      <c r="Y1063" s="16"/>
      <c r="Z1063" s="16"/>
    </row>
    <row r="1064">
      <c r="A1064" s="16" t="str">
        <f>IFERROR(__xludf.DUMMYFUNCTION("""COMPUTED_VALUE"""),"Frost diamond")</f>
        <v>Frost diamond</v>
      </c>
      <c r="B1064" s="16" t="str">
        <f>IFERROR(__xludf.DUMMYFUNCTION("""COMPUTED_VALUE"""),"Crafting Material, roll a d20 to see how many you get if this is a loot drop.")</f>
        <v>Crafting Material, roll a d20 to see how many you get if this is a loot drop.</v>
      </c>
      <c r="C1064" s="16" t="str">
        <f>IFERROR(__xludf.DUMMYFUNCTION("""COMPUTED_VALUE"""),"Item")</f>
        <v>Item</v>
      </c>
      <c r="D1064" s="16"/>
      <c r="E1064" s="16"/>
      <c r="F1064" s="16"/>
      <c r="G1064" s="16"/>
      <c r="H1064" s="16"/>
      <c r="I1064" s="16"/>
      <c r="J1064" s="16"/>
      <c r="K1064" s="16"/>
      <c r="L1064" s="16"/>
      <c r="M1064" s="16"/>
      <c r="N1064" s="16"/>
      <c r="O1064" s="16"/>
      <c r="P1064" s="16"/>
      <c r="Q1064" s="16"/>
      <c r="R1064" s="16"/>
      <c r="S1064" s="16"/>
      <c r="T1064" s="16"/>
      <c r="U1064" s="16"/>
      <c r="V1064" s="16"/>
      <c r="W1064" s="16"/>
      <c r="X1064" s="16"/>
      <c r="Y1064" s="16"/>
      <c r="Z1064" s="16"/>
    </row>
    <row r="1065">
      <c r="A1065" s="16" t="str">
        <f>IFERROR(__xludf.DUMMYFUNCTION("""COMPUTED_VALUE"""),"Big Frost Owl Feathers")</f>
        <v>Big Frost Owl Feathers</v>
      </c>
      <c r="B1065" s="16" t="str">
        <f>IFERROR(__xludf.DUMMYFUNCTION("""COMPUTED_VALUE"""),"Crafting Material, roll a d20 to see how many you get if this is a loot drop.")</f>
        <v>Crafting Material, roll a d20 to see how many you get if this is a loot drop.</v>
      </c>
      <c r="C1065" s="16" t="str">
        <f>IFERROR(__xludf.DUMMYFUNCTION("""COMPUTED_VALUE"""),"Item")</f>
        <v>Item</v>
      </c>
      <c r="D1065" s="16"/>
      <c r="E1065" s="16"/>
      <c r="F1065" s="16"/>
      <c r="G1065" s="16"/>
      <c r="H1065" s="16"/>
      <c r="I1065" s="16"/>
      <c r="J1065" s="16"/>
      <c r="K1065" s="16"/>
      <c r="L1065" s="16"/>
      <c r="M1065" s="16"/>
      <c r="N1065" s="16"/>
      <c r="O1065" s="16"/>
      <c r="P1065" s="16"/>
      <c r="Q1065" s="16"/>
      <c r="R1065" s="16"/>
      <c r="S1065" s="16"/>
      <c r="T1065" s="16"/>
      <c r="U1065" s="16"/>
      <c r="V1065" s="16"/>
      <c r="W1065" s="16"/>
      <c r="X1065" s="16"/>
      <c r="Y1065" s="16"/>
      <c r="Z1065" s="16"/>
    </row>
    <row r="1066">
      <c r="A1066" s="16" t="str">
        <f>IFERROR(__xludf.DUMMYFUNCTION("""COMPUTED_VALUE"""),"Big Frost Owl egg")</f>
        <v>Big Frost Owl egg</v>
      </c>
      <c r="B1066" s="16"/>
      <c r="C1066" s="16" t="str">
        <f>IFERROR(__xludf.DUMMYFUNCTION("""COMPUTED_VALUE"""),"Item")</f>
        <v>Item</v>
      </c>
      <c r="D1066" s="16"/>
      <c r="E1066" s="16"/>
      <c r="F1066" s="16"/>
      <c r="G1066" s="16"/>
      <c r="H1066" s="16"/>
      <c r="I1066" s="16"/>
      <c r="J1066" s="16"/>
      <c r="K1066" s="16"/>
      <c r="L1066" s="16"/>
      <c r="M1066" s="16"/>
      <c r="N1066" s="16"/>
      <c r="O1066" s="16"/>
      <c r="P1066" s="16"/>
      <c r="Q1066" s="16"/>
      <c r="R1066" s="16"/>
      <c r="S1066" s="16"/>
      <c r="T1066" s="16"/>
      <c r="U1066" s="16"/>
      <c r="V1066" s="16"/>
      <c r="W1066" s="16"/>
      <c r="X1066" s="16"/>
      <c r="Y1066" s="16"/>
      <c r="Z1066" s="16"/>
    </row>
    <row r="1067">
      <c r="A1067" s="16" t="str">
        <f>IFERROR(__xludf.DUMMYFUNCTION("""COMPUTED_VALUE"""),"Giant Frost Diamond")</f>
        <v>Giant Frost Diamond</v>
      </c>
      <c r="B1067" s="16" t="str">
        <f>IFERROR(__xludf.DUMMYFUNCTION("""COMPUTED_VALUE"""),"Crafting Material, roll a d20 to see how many you get if this is a loot drop.")</f>
        <v>Crafting Material, roll a d20 to see how many you get if this is a loot drop.</v>
      </c>
      <c r="C1067" s="16" t="str">
        <f>IFERROR(__xludf.DUMMYFUNCTION("""COMPUTED_VALUE"""),"Item")</f>
        <v>Item</v>
      </c>
      <c r="D1067" s="16"/>
      <c r="E1067" s="16"/>
      <c r="F1067" s="16"/>
      <c r="G1067" s="16"/>
      <c r="H1067" s="16"/>
      <c r="I1067" s="16"/>
      <c r="J1067" s="16"/>
      <c r="K1067" s="16"/>
      <c r="L1067" s="16"/>
      <c r="M1067" s="16"/>
      <c r="N1067" s="16"/>
      <c r="O1067" s="16"/>
      <c r="P1067" s="16"/>
      <c r="Q1067" s="16"/>
      <c r="R1067" s="16"/>
      <c r="S1067" s="16"/>
      <c r="T1067" s="16"/>
      <c r="U1067" s="16"/>
      <c r="V1067" s="16"/>
      <c r="W1067" s="16"/>
      <c r="X1067" s="16"/>
      <c r="Y1067" s="16"/>
      <c r="Z1067" s="16"/>
    </row>
    <row r="1068">
      <c r="A1068" s="16" t="str">
        <f>IFERROR(__xludf.DUMMYFUNCTION("""COMPUTED_VALUE"""),"Gold Brick")</f>
        <v>Gold Brick</v>
      </c>
      <c r="B1068" s="16" t="str">
        <f>IFERROR(__xludf.DUMMYFUNCTION("""COMPUTED_VALUE"""),"Crafting Material, roll a d20 to see how many you get if this is a loot drop.")</f>
        <v>Crafting Material, roll a d20 to see how many you get if this is a loot drop.</v>
      </c>
      <c r="C1068" s="16" t="str">
        <f>IFERROR(__xludf.DUMMYFUNCTION("""COMPUTED_VALUE"""),"Item")</f>
        <v>Item</v>
      </c>
      <c r="D1068" s="16"/>
      <c r="E1068" s="16"/>
      <c r="F1068" s="16"/>
      <c r="G1068" s="16"/>
      <c r="H1068" s="16"/>
      <c r="I1068" s="16"/>
      <c r="J1068" s="16"/>
      <c r="K1068" s="16"/>
      <c r="L1068" s="16"/>
      <c r="M1068" s="16"/>
      <c r="N1068" s="16"/>
      <c r="O1068" s="16"/>
      <c r="P1068" s="16"/>
      <c r="Q1068" s="16"/>
      <c r="R1068" s="16"/>
      <c r="S1068" s="16"/>
      <c r="T1068" s="16"/>
      <c r="U1068" s="16"/>
      <c r="V1068" s="16"/>
      <c r="W1068" s="16"/>
      <c r="X1068" s="16"/>
      <c r="Y1068" s="16"/>
      <c r="Z1068" s="16"/>
    </row>
    <row r="1069">
      <c r="A1069" s="16" t="str">
        <f>IFERROR(__xludf.DUMMYFUNCTION("""COMPUTED_VALUE"""),"Arrow of Mutiplying ")</f>
        <v>Arrow of Mutiplying </v>
      </c>
      <c r="B1069" s="16" t="str">
        <f>IFERROR(__xludf.DUMMYFUNCTION("""COMPUTED_VALUE"""),"Bow Ammunition. +1000 damage. +This arrow will summon X copies of itself which will also strike the target being attacked. X is equal to a d20 roll. roll a d20 to see how many you get if this is a loot drop.")</f>
        <v>Bow Ammunition. +1000 damage. +This arrow will summon X copies of itself which will also strike the target being attacked. X is equal to a d20 roll. roll a d20 to see how many you get if this is a loot drop.</v>
      </c>
      <c r="C1069" s="16" t="str">
        <f>IFERROR(__xludf.DUMMYFUNCTION("""COMPUTED_VALUE"""),"Item")</f>
        <v>Item</v>
      </c>
      <c r="D1069" s="16"/>
      <c r="E1069" s="16"/>
      <c r="F1069" s="16"/>
      <c r="G1069" s="16"/>
      <c r="H1069" s="16"/>
      <c r="I1069" s="16"/>
      <c r="J1069" s="16"/>
      <c r="K1069" s="16"/>
      <c r="L1069" s="16"/>
      <c r="M1069" s="16"/>
      <c r="N1069" s="16"/>
      <c r="O1069" s="16"/>
      <c r="P1069" s="16"/>
      <c r="Q1069" s="16"/>
      <c r="R1069" s="16"/>
      <c r="S1069" s="16"/>
      <c r="T1069" s="16"/>
      <c r="U1069" s="16"/>
      <c r="V1069" s="16"/>
      <c r="W1069" s="16"/>
      <c r="X1069" s="16"/>
      <c r="Y1069" s="16"/>
      <c r="Z1069" s="16"/>
    </row>
    <row r="1070">
      <c r="A1070" s="16" t="str">
        <f>IFERROR(__xludf.DUMMYFUNCTION("""COMPUTED_VALUE"""),"Water Gem")</f>
        <v>Water Gem</v>
      </c>
      <c r="B1070" s="16" t="str">
        <f>IFERROR(__xludf.DUMMYFUNCTION("""COMPUTED_VALUE"""),"Crafting Material, roll a d20 to see how many you get if this is a loot drop.")</f>
        <v>Crafting Material, roll a d20 to see how many you get if this is a loot drop.</v>
      </c>
      <c r="C1070" s="16" t="str">
        <f>IFERROR(__xludf.DUMMYFUNCTION("""COMPUTED_VALUE"""),"Item")</f>
        <v>Item</v>
      </c>
      <c r="D1070" s="16"/>
      <c r="E1070" s="16"/>
      <c r="F1070" s="16"/>
      <c r="G1070" s="16"/>
      <c r="H1070" s="16"/>
      <c r="I1070" s="16"/>
      <c r="J1070" s="16"/>
      <c r="K1070" s="16"/>
      <c r="L1070" s="16"/>
      <c r="M1070" s="16"/>
      <c r="N1070" s="16"/>
      <c r="O1070" s="16"/>
      <c r="P1070" s="16"/>
      <c r="Q1070" s="16"/>
      <c r="R1070" s="16"/>
      <c r="S1070" s="16"/>
      <c r="T1070" s="16"/>
      <c r="U1070" s="16"/>
      <c r="V1070" s="16"/>
      <c r="W1070" s="16"/>
      <c r="X1070" s="16"/>
      <c r="Y1070" s="16"/>
      <c r="Z1070" s="16"/>
    </row>
    <row r="1071">
      <c r="A1071" s="16" t="str">
        <f>IFERROR(__xludf.DUMMYFUNCTION("""COMPUTED_VALUE"""),"Goose Meat")</f>
        <v>Goose Meat</v>
      </c>
      <c r="B1071" s="16" t="str">
        <f>IFERROR(__xludf.DUMMYFUNCTION("""COMPUTED_VALUE"""),"-200 hunger to any character that is not owner by Hunter Gooseman. +500 Hunger to any character Hunter Owns.")</f>
        <v>-200 hunger to any character that is not owner by Hunter Gooseman. +500 Hunger to any character Hunter Owns.</v>
      </c>
      <c r="C1071" s="16" t="str">
        <f>IFERROR(__xludf.DUMMYFUNCTION("""COMPUTED_VALUE"""),"Crop")</f>
        <v>Crop</v>
      </c>
      <c r="D1071" s="16"/>
      <c r="E1071" s="16"/>
      <c r="F1071" s="16"/>
      <c r="G1071" s="16"/>
      <c r="H1071" s="16"/>
      <c r="I1071" s="16"/>
      <c r="J1071" s="16"/>
      <c r="K1071" s="16"/>
      <c r="L1071" s="16"/>
      <c r="M1071" s="16"/>
      <c r="N1071" s="16"/>
      <c r="O1071" s="16"/>
      <c r="P1071" s="16"/>
      <c r="Q1071" s="16"/>
      <c r="R1071" s="16"/>
      <c r="S1071" s="16"/>
      <c r="T1071" s="16"/>
      <c r="U1071" s="16"/>
      <c r="V1071" s="16"/>
      <c r="W1071" s="16"/>
      <c r="X1071" s="16"/>
      <c r="Y1071" s="16"/>
      <c r="Z1071" s="16"/>
    </row>
    <row r="1072">
      <c r="A1072" s="16" t="str">
        <f>IFERROR(__xludf.DUMMYFUNCTION("""COMPUTED_VALUE"""),"Mysterious Gem")</f>
        <v>Mysterious Gem</v>
      </c>
      <c r="B1072" s="16" t="str">
        <f>IFERROR(__xludf.DUMMYFUNCTION("""COMPUTED_VALUE"""),"Crafting Material, roll a d20 to see how many you get if this is a loot drop.")</f>
        <v>Crafting Material, roll a d20 to see how many you get if this is a loot drop.</v>
      </c>
      <c r="C1072" s="16" t="str">
        <f>IFERROR(__xludf.DUMMYFUNCTION("""COMPUTED_VALUE"""),"Item")</f>
        <v>Item</v>
      </c>
      <c r="D1072" s="16"/>
      <c r="E1072" s="16"/>
      <c r="F1072" s="16"/>
      <c r="G1072" s="16"/>
      <c r="H1072" s="16"/>
      <c r="I1072" s="16"/>
      <c r="J1072" s="16"/>
      <c r="K1072" s="16"/>
      <c r="L1072" s="16"/>
      <c r="M1072" s="16"/>
      <c r="N1072" s="16"/>
      <c r="O1072" s="16"/>
      <c r="P1072" s="16"/>
      <c r="Q1072" s="16"/>
      <c r="R1072" s="16"/>
      <c r="S1072" s="16"/>
      <c r="T1072" s="16"/>
      <c r="U1072" s="16"/>
      <c r="V1072" s="16"/>
      <c r="W1072" s="16"/>
      <c r="X1072" s="16"/>
      <c r="Y1072" s="16"/>
      <c r="Z1072" s="16"/>
    </row>
    <row r="1073">
      <c r="A1073" s="16" t="str">
        <f>IFERROR(__xludf.DUMMYFUNCTION("""COMPUTED_VALUE"""),"Turtle Shell")</f>
        <v>Turtle Shell</v>
      </c>
      <c r="B1073" s="16" t="str">
        <f>IFERROR(__xludf.DUMMYFUNCTION("""COMPUTED_VALUE"""),"Crafting Material, roll a d20 to see how many you get if this is a loot drop.")</f>
        <v>Crafting Material, roll a d20 to see how many you get if this is a loot drop.</v>
      </c>
      <c r="C1073" s="16" t="str">
        <f>IFERROR(__xludf.DUMMYFUNCTION("""COMPUTED_VALUE"""),"Item")</f>
        <v>Item</v>
      </c>
      <c r="D1073" s="16"/>
      <c r="E1073" s="16"/>
      <c r="F1073" s="16"/>
      <c r="G1073" s="16"/>
      <c r="H1073" s="16"/>
      <c r="I1073" s="16"/>
      <c r="J1073" s="16"/>
      <c r="K1073" s="16"/>
      <c r="L1073" s="16"/>
      <c r="M1073" s="16"/>
      <c r="N1073" s="16"/>
      <c r="O1073" s="16"/>
      <c r="P1073" s="16"/>
      <c r="Q1073" s="16"/>
      <c r="R1073" s="16"/>
      <c r="S1073" s="16"/>
      <c r="T1073" s="16"/>
      <c r="U1073" s="16"/>
      <c r="V1073" s="16"/>
      <c r="W1073" s="16"/>
      <c r="X1073" s="16"/>
      <c r="Y1073" s="16"/>
      <c r="Z1073" s="16"/>
    </row>
    <row r="1074">
      <c r="A1074" s="16" t="str">
        <f>IFERROR(__xludf.DUMMYFUNCTION("""COMPUTED_VALUE"""),"Pumpkin Diamond")</f>
        <v>Pumpkin Diamond</v>
      </c>
      <c r="B1074" s="16" t="str">
        <f>IFERROR(__xludf.DUMMYFUNCTION("""COMPUTED_VALUE"""),"Crafting Material, roll a d20 to see how many you get if this is a loot drop.")</f>
        <v>Crafting Material, roll a d20 to see how many you get if this is a loot drop.</v>
      </c>
      <c r="C1074" s="16" t="str">
        <f>IFERROR(__xludf.DUMMYFUNCTION("""COMPUTED_VALUE"""),"Item")</f>
        <v>Item</v>
      </c>
      <c r="D1074" s="16"/>
      <c r="E1074" s="16"/>
      <c r="F1074" s="16"/>
      <c r="G1074" s="16"/>
      <c r="H1074" s="16"/>
      <c r="I1074" s="16"/>
      <c r="J1074" s="16"/>
      <c r="K1074" s="16"/>
      <c r="L1074" s="16"/>
      <c r="M1074" s="16"/>
      <c r="N1074" s="16"/>
      <c r="O1074" s="16"/>
      <c r="P1074" s="16"/>
      <c r="Q1074" s="16"/>
      <c r="R1074" s="16"/>
      <c r="S1074" s="16"/>
      <c r="T1074" s="16"/>
      <c r="U1074" s="16"/>
      <c r="V1074" s="16"/>
      <c r="W1074" s="16"/>
      <c r="X1074" s="16"/>
      <c r="Y1074" s="16"/>
      <c r="Z1074" s="16"/>
    </row>
    <row r="1075">
      <c r="A1075" s="16" t="str">
        <f>IFERROR(__xludf.DUMMYFUNCTION("""COMPUTED_VALUE"""),"Shadow Diamond")</f>
        <v>Shadow Diamond</v>
      </c>
      <c r="B1075" s="16" t="str">
        <f>IFERROR(__xludf.DUMMYFUNCTION("""COMPUTED_VALUE"""),"Crafting Material, roll a d20 to see how many you get if this is a loot drop.")</f>
        <v>Crafting Material, roll a d20 to see how many you get if this is a loot drop.</v>
      </c>
      <c r="C1075" s="16" t="str">
        <f>IFERROR(__xludf.DUMMYFUNCTION("""COMPUTED_VALUE"""),"Item")</f>
        <v>Item</v>
      </c>
      <c r="D1075" s="16"/>
      <c r="E1075" s="16"/>
      <c r="F1075" s="16"/>
      <c r="G1075" s="16"/>
      <c r="H1075" s="16"/>
      <c r="I1075" s="16"/>
      <c r="J1075" s="16"/>
      <c r="K1075" s="16"/>
      <c r="L1075" s="16"/>
      <c r="M1075" s="16"/>
      <c r="N1075" s="16"/>
      <c r="O1075" s="16"/>
      <c r="P1075" s="16"/>
      <c r="Q1075" s="16"/>
      <c r="R1075" s="16"/>
      <c r="S1075" s="16"/>
      <c r="T1075" s="16"/>
      <c r="U1075" s="16"/>
      <c r="V1075" s="16"/>
      <c r="W1075" s="16"/>
      <c r="X1075" s="16"/>
      <c r="Y1075" s="16"/>
      <c r="Z1075" s="16"/>
    </row>
    <row r="1076">
      <c r="A1076" s="16" t="str">
        <f>IFERROR(__xludf.DUMMYFUNCTION("""COMPUTED_VALUE"""),"Rank 6 Earth tome")</f>
        <v>Rank 6 Earth tome</v>
      </c>
      <c r="B1076" s="16" t="str">
        <f>IFERROR(__xludf.DUMMYFUNCTION("""COMPUTED_VALUE"""),"Allows use of up to Rank 6 Earth Powers")</f>
        <v>Allows use of up to Rank 6 Earth Powers</v>
      </c>
      <c r="C1076" s="16" t="str">
        <f>IFERROR(__xludf.DUMMYFUNCTION("""COMPUTED_VALUE"""),"Item")</f>
        <v>Item</v>
      </c>
      <c r="D1076" s="16"/>
      <c r="E1076" s="16"/>
      <c r="F1076" s="16"/>
      <c r="G1076" s="16"/>
      <c r="H1076" s="16"/>
      <c r="I1076" s="16"/>
      <c r="J1076" s="16"/>
      <c r="K1076" s="16"/>
      <c r="L1076" s="16"/>
      <c r="M1076" s="16"/>
      <c r="N1076" s="16"/>
      <c r="O1076" s="16"/>
      <c r="P1076" s="16"/>
      <c r="Q1076" s="16"/>
      <c r="R1076" s="16"/>
      <c r="S1076" s="16"/>
      <c r="T1076" s="16"/>
      <c r="U1076" s="16"/>
      <c r="V1076" s="16"/>
      <c r="W1076" s="16"/>
      <c r="X1076" s="16"/>
      <c r="Y1076" s="16"/>
      <c r="Z1076" s="16"/>
    </row>
    <row r="1077">
      <c r="A1077" s="16" t="str">
        <f>IFERROR(__xludf.DUMMYFUNCTION("""COMPUTED_VALUE"""),"Demon Claw")</f>
        <v>Demon Claw</v>
      </c>
      <c r="B1077" s="16" t="str">
        <f>IFERROR(__xludf.DUMMYFUNCTION("""COMPUTED_VALUE"""),"Crafting Material, roll a d20 to see how many you get if this is a loot drop.")</f>
        <v>Crafting Material, roll a d20 to see how many you get if this is a loot drop.</v>
      </c>
      <c r="C1077" s="16" t="str">
        <f>IFERROR(__xludf.DUMMYFUNCTION("""COMPUTED_VALUE"""),"Item")</f>
        <v>Item</v>
      </c>
      <c r="D1077" s="16"/>
      <c r="E1077" s="16"/>
      <c r="F1077" s="16"/>
      <c r="G1077" s="16"/>
      <c r="H1077" s="16"/>
      <c r="I1077" s="16"/>
      <c r="J1077" s="16"/>
      <c r="K1077" s="16"/>
      <c r="L1077" s="16"/>
      <c r="M1077" s="16"/>
      <c r="N1077" s="16"/>
      <c r="O1077" s="16"/>
      <c r="P1077" s="16"/>
      <c r="Q1077" s="16"/>
      <c r="R1077" s="16"/>
      <c r="S1077" s="16"/>
      <c r="T1077" s="16"/>
      <c r="U1077" s="16"/>
      <c r="V1077" s="16"/>
      <c r="W1077" s="16"/>
      <c r="X1077" s="16"/>
      <c r="Y1077" s="16"/>
      <c r="Z1077" s="16"/>
    </row>
    <row r="1078">
      <c r="A1078" s="16" t="str">
        <f>IFERROR(__xludf.DUMMYFUNCTION("""COMPUTED_VALUE"""),"Golden Bug")</f>
        <v>Golden Bug</v>
      </c>
      <c r="B1078" s="16" t="str">
        <f>IFERROR(__xludf.DUMMYFUNCTION("""COMPUTED_VALUE"""),"Crafting Material, roll a d20 to see how many you get if this is a loot drop.")</f>
        <v>Crafting Material, roll a d20 to see how many you get if this is a loot drop.</v>
      </c>
      <c r="C1078" s="16" t="str">
        <f>IFERROR(__xludf.DUMMYFUNCTION("""COMPUTED_VALUE"""),"Item")</f>
        <v>Item</v>
      </c>
      <c r="D1078" s="16"/>
      <c r="E1078" s="16"/>
      <c r="F1078" s="16"/>
      <c r="G1078" s="16"/>
      <c r="H1078" s="16"/>
      <c r="I1078" s="16"/>
      <c r="J1078" s="16"/>
      <c r="K1078" s="16"/>
      <c r="L1078" s="16"/>
      <c r="M1078" s="16"/>
      <c r="N1078" s="16"/>
      <c r="O1078" s="16"/>
      <c r="P1078" s="16"/>
      <c r="Q1078" s="16"/>
      <c r="R1078" s="16"/>
      <c r="S1078" s="16"/>
      <c r="T1078" s="16"/>
      <c r="U1078" s="16"/>
      <c r="V1078" s="16"/>
      <c r="W1078" s="16"/>
      <c r="X1078" s="16"/>
      <c r="Y1078" s="16"/>
      <c r="Z1078" s="16"/>
    </row>
    <row r="1079">
      <c r="A1079" s="16" t="str">
        <f>IFERROR(__xludf.DUMMYFUNCTION("""COMPUTED_VALUE"""),"Dragon Orb")</f>
        <v>Dragon Orb</v>
      </c>
      <c r="B1079" s="16" t="str">
        <f>IFERROR(__xludf.DUMMYFUNCTION("""COMPUTED_VALUE"""),"Crafting Material, roll a d20 to see how many you get if this is a loot drop.")</f>
        <v>Crafting Material, roll a d20 to see how many you get if this is a loot drop.</v>
      </c>
      <c r="C1079" s="16" t="str">
        <f>IFERROR(__xludf.DUMMYFUNCTION("""COMPUTED_VALUE"""),"Item")</f>
        <v>Item</v>
      </c>
      <c r="D1079" s="16"/>
      <c r="E1079" s="16"/>
      <c r="F1079" s="16"/>
      <c r="G1079" s="16"/>
      <c r="H1079" s="16"/>
      <c r="I1079" s="16"/>
      <c r="J1079" s="16"/>
      <c r="K1079" s="16"/>
      <c r="L1079" s="16"/>
      <c r="M1079" s="16"/>
      <c r="N1079" s="16"/>
      <c r="O1079" s="16"/>
      <c r="P1079" s="16"/>
      <c r="Q1079" s="16"/>
      <c r="R1079" s="16"/>
      <c r="S1079" s="16"/>
      <c r="T1079" s="16"/>
      <c r="U1079" s="16"/>
      <c r="V1079" s="16"/>
      <c r="W1079" s="16"/>
      <c r="X1079" s="16"/>
      <c r="Y1079" s="16"/>
      <c r="Z1079" s="16"/>
    </row>
    <row r="1080">
      <c r="A1080" s="16" t="str">
        <f>IFERROR(__xludf.DUMMYFUNCTION("""COMPUTED_VALUE"""),"Water potion")</f>
        <v>Water potion</v>
      </c>
      <c r="B1080" s="16" t="str">
        <f>IFERROR(__xludf.DUMMYFUNCTION("""COMPUTED_VALUE"""),"Gives water immunity for 1 round")</f>
        <v>Gives water immunity for 1 round</v>
      </c>
      <c r="C1080" s="16" t="str">
        <f>IFERROR(__xludf.DUMMYFUNCTION("""COMPUTED_VALUE"""),"Item")</f>
        <v>Item</v>
      </c>
      <c r="D1080" s="16"/>
      <c r="E1080" s="16"/>
      <c r="F1080" s="16"/>
      <c r="G1080" s="16"/>
      <c r="H1080" s="16"/>
      <c r="I1080" s="16"/>
      <c r="J1080" s="16"/>
      <c r="K1080" s="16"/>
      <c r="L1080" s="16"/>
      <c r="M1080" s="16"/>
      <c r="N1080" s="16"/>
      <c r="O1080" s="16"/>
      <c r="P1080" s="16"/>
      <c r="Q1080" s="16"/>
      <c r="R1080" s="16"/>
      <c r="S1080" s="16"/>
      <c r="T1080" s="16"/>
      <c r="U1080" s="16"/>
      <c r="V1080" s="16"/>
      <c r="W1080" s="16"/>
      <c r="X1080" s="16"/>
      <c r="Y1080" s="16"/>
      <c r="Z1080" s="16"/>
    </row>
    <row r="1081">
      <c r="A1081" s="16" t="str">
        <f>IFERROR(__xludf.DUMMYFUNCTION("""COMPUTED_VALUE"""),"Jellyfish Stinger")</f>
        <v>Jellyfish Stinger</v>
      </c>
      <c r="B1081" s="16" t="str">
        <f>IFERROR(__xludf.DUMMYFUNCTION("""COMPUTED_VALUE"""),"Crafting Material, roll a d20 to see how many you get if this is a loot drop.")</f>
        <v>Crafting Material, roll a d20 to see how many you get if this is a loot drop.</v>
      </c>
      <c r="C1081" s="16" t="str">
        <f>IFERROR(__xludf.DUMMYFUNCTION("""COMPUTED_VALUE"""),"Item")</f>
        <v>Item</v>
      </c>
      <c r="D1081" s="16"/>
      <c r="E1081" s="16"/>
      <c r="F1081" s="16"/>
      <c r="G1081" s="16"/>
      <c r="H1081" s="16"/>
      <c r="I1081" s="16"/>
      <c r="J1081" s="16"/>
      <c r="K1081" s="16"/>
      <c r="L1081" s="16"/>
      <c r="M1081" s="16"/>
      <c r="N1081" s="16"/>
      <c r="O1081" s="16"/>
      <c r="P1081" s="16"/>
      <c r="Q1081" s="16"/>
      <c r="R1081" s="16"/>
      <c r="S1081" s="16"/>
      <c r="T1081" s="16"/>
      <c r="U1081" s="16"/>
      <c r="V1081" s="16"/>
      <c r="W1081" s="16"/>
      <c r="X1081" s="16"/>
      <c r="Y1081" s="16"/>
      <c r="Z1081" s="16"/>
    </row>
    <row r="1082">
      <c r="A1082" s="16" t="str">
        <f>IFERROR(__xludf.DUMMYFUNCTION("""COMPUTED_VALUE"""),"Bee Stinger ")</f>
        <v>Bee Stinger </v>
      </c>
      <c r="B1082" s="16" t="str">
        <f>IFERROR(__xludf.DUMMYFUNCTION("""COMPUTED_VALUE"""),"Crafting Material, roll a d20 to see how many you get if this is a loot drop.")</f>
        <v>Crafting Material, roll a d20 to see how many you get if this is a loot drop.</v>
      </c>
      <c r="C1082" s="16" t="str">
        <f>IFERROR(__xludf.DUMMYFUNCTION("""COMPUTED_VALUE"""),"Item")</f>
        <v>Item</v>
      </c>
      <c r="D1082" s="16"/>
      <c r="E1082" s="16"/>
      <c r="F1082" s="16"/>
      <c r="G1082" s="16"/>
      <c r="H1082" s="16"/>
      <c r="I1082" s="16"/>
      <c r="J1082" s="16"/>
      <c r="K1082" s="16"/>
      <c r="L1082" s="16"/>
      <c r="M1082" s="16"/>
      <c r="N1082" s="16"/>
      <c r="O1082" s="16"/>
      <c r="P1082" s="16"/>
      <c r="Q1082" s="16"/>
      <c r="R1082" s="16"/>
      <c r="S1082" s="16"/>
      <c r="T1082" s="16"/>
      <c r="U1082" s="16"/>
      <c r="V1082" s="16"/>
      <c r="W1082" s="16"/>
      <c r="X1082" s="16"/>
      <c r="Y1082" s="16"/>
      <c r="Z1082" s="16"/>
    </row>
    <row r="1083">
      <c r="A1083" s="16" t="str">
        <f>IFERROR(__xludf.DUMMYFUNCTION("""COMPUTED_VALUE"""),"Squid Ink")</f>
        <v>Squid Ink</v>
      </c>
      <c r="B1083" s="16" t="str">
        <f>IFERROR(__xludf.DUMMYFUNCTION("""COMPUTED_VALUE"""),"Crafting Material, roll a d20 to see how many you get if this is a loot drop.")</f>
        <v>Crafting Material, roll a d20 to see how many you get if this is a loot drop.</v>
      </c>
      <c r="C1083" s="16" t="str">
        <f>IFERROR(__xludf.DUMMYFUNCTION("""COMPUTED_VALUE"""),"Item")</f>
        <v>Item</v>
      </c>
      <c r="D1083" s="16"/>
      <c r="E1083" s="16"/>
      <c r="F1083" s="16"/>
      <c r="G1083" s="16"/>
      <c r="H1083" s="16"/>
      <c r="I1083" s="16"/>
      <c r="J1083" s="16"/>
      <c r="K1083" s="16"/>
      <c r="L1083" s="16"/>
      <c r="M1083" s="16"/>
      <c r="N1083" s="16"/>
      <c r="O1083" s="16"/>
      <c r="P1083" s="16"/>
      <c r="Q1083" s="16"/>
      <c r="R1083" s="16"/>
      <c r="S1083" s="16"/>
      <c r="T1083" s="16"/>
      <c r="U1083" s="16"/>
      <c r="V1083" s="16"/>
      <c r="W1083" s="16"/>
      <c r="X1083" s="16"/>
      <c r="Y1083" s="16"/>
      <c r="Z1083" s="16"/>
    </row>
    <row r="1084">
      <c r="A1084" s="16" t="str">
        <f>IFERROR(__xludf.DUMMYFUNCTION("""COMPUTED_VALUE"""),"Potion of Water Breathing")</f>
        <v>Potion of Water Breathing</v>
      </c>
      <c r="B1084" s="16" t="str">
        <f>IFERROR(__xludf.DUMMYFUNCTION("""COMPUTED_VALUE"""),"Immune to water for for 3 rounds in battle or 3 days of travel.")</f>
        <v>Immune to water for for 3 rounds in battle or 3 days of travel.</v>
      </c>
      <c r="C1084" s="16" t="str">
        <f>IFERROR(__xludf.DUMMYFUNCTION("""COMPUTED_VALUE"""),"Item")</f>
        <v>Item</v>
      </c>
      <c r="D1084" s="16"/>
      <c r="E1084" s="16"/>
      <c r="F1084" s="16"/>
      <c r="G1084" s="16"/>
      <c r="H1084" s="16"/>
      <c r="I1084" s="16"/>
      <c r="J1084" s="16"/>
      <c r="K1084" s="16"/>
      <c r="L1084" s="16"/>
      <c r="M1084" s="16"/>
      <c r="N1084" s="16"/>
      <c r="O1084" s="16"/>
      <c r="P1084" s="16"/>
      <c r="Q1084" s="16"/>
      <c r="R1084" s="16"/>
      <c r="S1084" s="16"/>
      <c r="T1084" s="16"/>
      <c r="U1084" s="16"/>
      <c r="V1084" s="16"/>
      <c r="W1084" s="16"/>
      <c r="X1084" s="16"/>
      <c r="Y1084" s="16"/>
      <c r="Z1084" s="16"/>
    </row>
    <row r="1085">
      <c r="A1085" s="16" t="str">
        <f>IFERROR(__xludf.DUMMYFUNCTION("""COMPUTED_VALUE"""),"Shark Fin")</f>
        <v>Shark Fin</v>
      </c>
      <c r="B1085" s="16" t="str">
        <f>IFERROR(__xludf.DUMMYFUNCTION("""COMPUTED_VALUE"""),"Restores 10 Hunger, +1 ATK until rest")</f>
        <v>Restores 10 Hunger, +1 ATK until rest</v>
      </c>
      <c r="C1085" s="16" t="str">
        <f>IFERROR(__xludf.DUMMYFUNCTION("""COMPUTED_VALUE"""),"Crop")</f>
        <v>Crop</v>
      </c>
      <c r="D1085" s="16"/>
      <c r="E1085" s="16"/>
      <c r="F1085" s="16"/>
      <c r="G1085" s="16"/>
      <c r="H1085" s="16"/>
      <c r="I1085" s="16"/>
      <c r="J1085" s="16"/>
      <c r="K1085" s="16"/>
      <c r="L1085" s="16"/>
      <c r="M1085" s="16"/>
      <c r="N1085" s="16"/>
      <c r="O1085" s="16"/>
      <c r="P1085" s="16"/>
      <c r="Q1085" s="16"/>
      <c r="R1085" s="16"/>
      <c r="S1085" s="16"/>
      <c r="T1085" s="16"/>
      <c r="U1085" s="16"/>
      <c r="V1085" s="16"/>
      <c r="W1085" s="16"/>
      <c r="X1085" s="16"/>
      <c r="Y1085" s="16"/>
      <c r="Z1085" s="16"/>
    </row>
    <row r="1086">
      <c r="A1086" s="16" t="str">
        <f>IFERROR(__xludf.DUMMYFUNCTION("""COMPUTED_VALUE"""),"Shark Teeth")</f>
        <v>Shark Teeth</v>
      </c>
      <c r="B1086" s="16" t="str">
        <f>IFERROR(__xludf.DUMMYFUNCTION("""COMPUTED_VALUE"""),"100 = permanently increase Atk by 1")</f>
        <v>100 = permanently increase Atk by 1</v>
      </c>
      <c r="C1086" s="16" t="str">
        <f>IFERROR(__xludf.DUMMYFUNCTION("""COMPUTED_VALUE"""),"Item")</f>
        <v>Item</v>
      </c>
      <c r="D1086" s="16"/>
      <c r="E1086" s="16"/>
      <c r="F1086" s="16"/>
      <c r="G1086" s="16"/>
      <c r="H1086" s="16"/>
      <c r="I1086" s="16"/>
      <c r="J1086" s="16"/>
      <c r="K1086" s="16"/>
      <c r="L1086" s="16"/>
      <c r="M1086" s="16"/>
      <c r="N1086" s="16"/>
      <c r="O1086" s="16"/>
      <c r="P1086" s="16"/>
      <c r="Q1086" s="16"/>
      <c r="R1086" s="16"/>
      <c r="S1086" s="16"/>
      <c r="T1086" s="16"/>
      <c r="U1086" s="16"/>
      <c r="V1086" s="16"/>
      <c r="W1086" s="16"/>
      <c r="X1086" s="16"/>
      <c r="Y1086" s="16"/>
      <c r="Z1086" s="16"/>
    </row>
    <row r="1087">
      <c r="A1087" s="16" t="str">
        <f>IFERROR(__xludf.DUMMYFUNCTION("""COMPUTED_VALUE"""),"Fish")</f>
        <v>Fish</v>
      </c>
      <c r="B1087" s="16" t="str">
        <f>IFERROR(__xludf.DUMMYFUNCTION("""COMPUTED_VALUE"""),"5 Hunger, +100 water Resist until rest")</f>
        <v>5 Hunger, +100 water Resist until rest</v>
      </c>
      <c r="C1087" s="16" t="str">
        <f>IFERROR(__xludf.DUMMYFUNCTION("""COMPUTED_VALUE"""),"Crop")</f>
        <v>Crop</v>
      </c>
      <c r="D1087" s="16"/>
      <c r="E1087" s="16"/>
      <c r="F1087" s="16"/>
      <c r="G1087" s="16"/>
      <c r="H1087" s="16"/>
      <c r="I1087" s="16"/>
      <c r="J1087" s="16"/>
      <c r="K1087" s="16"/>
      <c r="L1087" s="16"/>
      <c r="M1087" s="16"/>
      <c r="N1087" s="16"/>
      <c r="O1087" s="16"/>
      <c r="P1087" s="16"/>
      <c r="Q1087" s="16"/>
      <c r="R1087" s="16"/>
      <c r="S1087" s="16"/>
      <c r="T1087" s="16"/>
      <c r="U1087" s="16"/>
      <c r="V1087" s="16"/>
      <c r="W1087" s="16"/>
      <c r="X1087" s="16"/>
      <c r="Y1087" s="16"/>
      <c r="Z1087" s="16"/>
    </row>
    <row r="1088">
      <c r="A1088" s="16" t="str">
        <f>IFERROR(__xludf.DUMMYFUNCTION("""COMPUTED_VALUE"""),"Huge Teeth")</f>
        <v>Huge Teeth</v>
      </c>
      <c r="B1088" s="16" t="str">
        <f>IFERROR(__xludf.DUMMYFUNCTION("""COMPUTED_VALUE"""),"Worth 1000G at a shop.")</f>
        <v>Worth 1000G at a shop.</v>
      </c>
      <c r="C1088" s="16" t="str">
        <f>IFERROR(__xludf.DUMMYFUNCTION("""COMPUTED_VALUE"""),"Item")</f>
        <v>Item</v>
      </c>
      <c r="D1088" s="16"/>
      <c r="E1088" s="16"/>
      <c r="F1088" s="16"/>
      <c r="G1088" s="16"/>
      <c r="H1088" s="16"/>
      <c r="I1088" s="16"/>
      <c r="J1088" s="16"/>
      <c r="K1088" s="16"/>
      <c r="L1088" s="16"/>
      <c r="M1088" s="16"/>
      <c r="N1088" s="16"/>
      <c r="O1088" s="16"/>
      <c r="P1088" s="16"/>
      <c r="Q1088" s="16"/>
      <c r="R1088" s="16"/>
      <c r="S1088" s="16"/>
      <c r="T1088" s="16"/>
      <c r="U1088" s="16"/>
      <c r="V1088" s="16"/>
      <c r="W1088" s="16"/>
      <c r="X1088" s="16"/>
      <c r="Y1088" s="16"/>
      <c r="Z1088" s="16"/>
    </row>
    <row r="1089">
      <c r="A1089" s="16" t="str">
        <f>IFERROR(__xludf.DUMMYFUNCTION("""COMPUTED_VALUE"""),"Enchanted Teeth")</f>
        <v>Enchanted Teeth</v>
      </c>
      <c r="B1089" s="16" t="str">
        <f>IFERROR(__xludf.DUMMYFUNCTION("""COMPUTED_VALUE"""),"Worth 5000G at a shop.")</f>
        <v>Worth 5000G at a shop.</v>
      </c>
      <c r="C1089" s="16" t="str">
        <f>IFERROR(__xludf.DUMMYFUNCTION("""COMPUTED_VALUE"""),"Item")</f>
        <v>Item</v>
      </c>
      <c r="D1089" s="16"/>
      <c r="E1089" s="16"/>
      <c r="F1089" s="16"/>
      <c r="G1089" s="16"/>
      <c r="H1089" s="16"/>
      <c r="I1089" s="16"/>
      <c r="J1089" s="16"/>
      <c r="K1089" s="16"/>
      <c r="L1089" s="16"/>
      <c r="M1089" s="16"/>
      <c r="N1089" s="16"/>
      <c r="O1089" s="16"/>
      <c r="P1089" s="16"/>
      <c r="Q1089" s="16"/>
      <c r="R1089" s="16"/>
      <c r="S1089" s="16"/>
      <c r="T1089" s="16"/>
      <c r="U1089" s="16"/>
      <c r="V1089" s="16"/>
      <c r="W1089" s="16"/>
      <c r="X1089" s="16"/>
      <c r="Y1089" s="16"/>
      <c r="Z1089" s="16"/>
    </row>
    <row r="1090">
      <c r="A1090" s="16" t="str">
        <f>IFERROR(__xludf.DUMMYFUNCTION("""COMPUTED_VALUE"""),"Sea Dinosaur Bones")</f>
        <v>Sea Dinosaur Bones</v>
      </c>
      <c r="B1090" s="16" t="str">
        <f>IFERROR(__xludf.DUMMYFUNCTION("""COMPUTED_VALUE"""),"Crafting Material, roll a d20 to see how many you get if this is a loot drop.")</f>
        <v>Crafting Material, roll a d20 to see how many you get if this is a loot drop.</v>
      </c>
      <c r="C1090" s="16" t="str">
        <f>IFERROR(__xludf.DUMMYFUNCTION("""COMPUTED_VALUE"""),"Item")</f>
        <v>Item</v>
      </c>
      <c r="D1090" s="16"/>
      <c r="E1090" s="16"/>
      <c r="F1090" s="16"/>
      <c r="G1090" s="16"/>
      <c r="H1090" s="16"/>
      <c r="I1090" s="16"/>
      <c r="J1090" s="16"/>
      <c r="K1090" s="16"/>
      <c r="L1090" s="16"/>
      <c r="M1090" s="16"/>
      <c r="N1090" s="16"/>
      <c r="O1090" s="16"/>
      <c r="P1090" s="16"/>
      <c r="Q1090" s="16"/>
      <c r="R1090" s="16"/>
      <c r="S1090" s="16"/>
      <c r="T1090" s="16"/>
      <c r="U1090" s="16"/>
      <c r="V1090" s="16"/>
      <c r="W1090" s="16"/>
      <c r="X1090" s="16"/>
      <c r="Y1090" s="16"/>
      <c r="Z1090" s="16"/>
    </row>
    <row r="1091">
      <c r="A1091" s="16" t="str">
        <f>IFERROR(__xludf.DUMMYFUNCTION("""COMPUTED_VALUE"""),"Ancient Sea Dinosaur Egg")</f>
        <v>Ancient Sea Dinosaur Egg</v>
      </c>
      <c r="B1091" s="16"/>
      <c r="C1091" s="16" t="str">
        <f>IFERROR(__xludf.DUMMYFUNCTION("""COMPUTED_VALUE"""),"Item")</f>
        <v>Item</v>
      </c>
      <c r="D1091" s="16"/>
      <c r="E1091" s="16"/>
      <c r="F1091" s="16"/>
      <c r="G1091" s="16"/>
      <c r="H1091" s="16"/>
      <c r="I1091" s="16"/>
      <c r="J1091" s="16"/>
      <c r="K1091" s="16"/>
      <c r="L1091" s="16"/>
      <c r="M1091" s="16"/>
      <c r="N1091" s="16"/>
      <c r="O1091" s="16"/>
      <c r="P1091" s="16"/>
      <c r="Q1091" s="16"/>
      <c r="R1091" s="16"/>
      <c r="S1091" s="16"/>
      <c r="T1091" s="16"/>
      <c r="U1091" s="16"/>
      <c r="V1091" s="16"/>
      <c r="W1091" s="16"/>
      <c r="X1091" s="16"/>
      <c r="Y1091" s="16"/>
      <c r="Z1091" s="16"/>
    </row>
    <row r="1092">
      <c r="A1092" s="16" t="str">
        <f>IFERROR(__xludf.DUMMYFUNCTION("""COMPUTED_VALUE"""),"Water Abyss Key")</f>
        <v>Water Abyss Key</v>
      </c>
      <c r="B1092" s="16" t="str">
        <f>IFERROR(__xludf.DUMMYFUNCTION("""COMPUTED_VALUE"""),"Gain access to the Abyss Dungeon. Cannot be duplicated")</f>
        <v>Gain access to the Abyss Dungeon. Cannot be duplicated</v>
      </c>
      <c r="C1092" s="16" t="str">
        <f>IFERROR(__xludf.DUMMYFUNCTION("""COMPUTED_VALUE"""),"Item")</f>
        <v>Item</v>
      </c>
      <c r="D1092" s="16"/>
      <c r="E1092" s="16"/>
      <c r="F1092" s="16"/>
      <c r="G1092" s="16"/>
      <c r="H1092" s="16"/>
      <c r="I1092" s="16"/>
      <c r="J1092" s="16"/>
      <c r="K1092" s="16"/>
      <c r="L1092" s="16"/>
      <c r="M1092" s="16"/>
      <c r="N1092" s="16"/>
      <c r="O1092" s="16"/>
      <c r="P1092" s="16"/>
      <c r="Q1092" s="16"/>
      <c r="R1092" s="16"/>
      <c r="S1092" s="16"/>
      <c r="T1092" s="16"/>
      <c r="U1092" s="16"/>
      <c r="V1092" s="16"/>
      <c r="W1092" s="16"/>
      <c r="X1092" s="16"/>
      <c r="Y1092" s="16"/>
      <c r="Z1092" s="16"/>
    </row>
    <row r="1093">
      <c r="A1093" s="16" t="str">
        <f>IFERROR(__xludf.DUMMYFUNCTION("""COMPUTED_VALUE"""),"Fire Diamond")</f>
        <v>Fire Diamond</v>
      </c>
      <c r="B1093" s="16" t="str">
        <f>IFERROR(__xludf.DUMMYFUNCTION("""COMPUTED_VALUE"""),"Crafting Material, roll a d20 to see how many you get if this is a loot drop.")</f>
        <v>Crafting Material, roll a d20 to see how many you get if this is a loot drop.</v>
      </c>
      <c r="C1093" s="16" t="str">
        <f>IFERROR(__xludf.DUMMYFUNCTION("""COMPUTED_VALUE"""),"Item")</f>
        <v>Item</v>
      </c>
      <c r="D1093" s="16"/>
      <c r="E1093" s="16"/>
      <c r="F1093" s="16"/>
      <c r="G1093" s="16"/>
      <c r="H1093" s="16"/>
      <c r="I1093" s="16"/>
      <c r="J1093" s="16"/>
      <c r="K1093" s="16"/>
      <c r="L1093" s="16"/>
      <c r="M1093" s="16"/>
      <c r="N1093" s="16"/>
      <c r="O1093" s="16"/>
      <c r="P1093" s="16"/>
      <c r="Q1093" s="16"/>
      <c r="R1093" s="16"/>
      <c r="S1093" s="16"/>
      <c r="T1093" s="16"/>
      <c r="U1093" s="16"/>
      <c r="V1093" s="16"/>
      <c r="W1093" s="16"/>
      <c r="X1093" s="16"/>
      <c r="Y1093" s="16"/>
      <c r="Z1093" s="16"/>
    </row>
    <row r="1094">
      <c r="A1094" s="16" t="str">
        <f>IFERROR(__xludf.DUMMYFUNCTION("""COMPUTED_VALUE"""),"Giant Fire Diamond")</f>
        <v>Giant Fire Diamond</v>
      </c>
      <c r="B1094" s="16" t="str">
        <f>IFERROR(__xludf.DUMMYFUNCTION("""COMPUTED_VALUE"""),"Crafting Material, roll a d20 to see how many you get if this is a loot drop.")</f>
        <v>Crafting Material, roll a d20 to see how many you get if this is a loot drop.</v>
      </c>
      <c r="C1094" s="16" t="str">
        <f>IFERROR(__xludf.DUMMYFUNCTION("""COMPUTED_VALUE"""),"Item")</f>
        <v>Item</v>
      </c>
      <c r="D1094" s="16"/>
      <c r="E1094" s="16"/>
      <c r="F1094" s="16"/>
      <c r="G1094" s="16"/>
      <c r="H1094" s="16"/>
      <c r="I1094" s="16"/>
      <c r="J1094" s="16"/>
      <c r="K1094" s="16"/>
      <c r="L1094" s="16"/>
      <c r="M1094" s="16"/>
      <c r="N1094" s="16"/>
      <c r="O1094" s="16"/>
      <c r="P1094" s="16"/>
      <c r="Q1094" s="16"/>
      <c r="R1094" s="16"/>
      <c r="S1094" s="16"/>
      <c r="T1094" s="16"/>
      <c r="U1094" s="16"/>
      <c r="V1094" s="16"/>
      <c r="W1094" s="16"/>
      <c r="X1094" s="16"/>
      <c r="Y1094" s="16"/>
      <c r="Z1094" s="16"/>
    </row>
    <row r="1095">
      <c r="A1095" s="16" t="str">
        <f>IFERROR(__xludf.DUMMYFUNCTION("""COMPUTED_VALUE"""),"Heatmore Flame Golem Soul")</f>
        <v>Heatmore Flame Golem Soul</v>
      </c>
      <c r="B1095" s="16"/>
      <c r="C1095" s="16" t="str">
        <f>IFERROR(__xludf.DUMMYFUNCTION("""COMPUTED_VALUE"""),"Item")</f>
        <v>Item</v>
      </c>
      <c r="D1095" s="16"/>
      <c r="E1095" s="16"/>
      <c r="F1095" s="16"/>
      <c r="G1095" s="16"/>
      <c r="H1095" s="16"/>
      <c r="I1095" s="16"/>
      <c r="J1095" s="16"/>
      <c r="K1095" s="16"/>
      <c r="L1095" s="16"/>
      <c r="M1095" s="16"/>
      <c r="N1095" s="16"/>
      <c r="O1095" s="16"/>
      <c r="P1095" s="16"/>
      <c r="Q1095" s="16"/>
      <c r="R1095" s="16"/>
      <c r="S1095" s="16"/>
      <c r="T1095" s="16"/>
      <c r="U1095" s="16"/>
      <c r="V1095" s="16"/>
      <c r="W1095" s="16"/>
      <c r="X1095" s="16"/>
      <c r="Y1095" s="16"/>
      <c r="Z1095" s="16"/>
    </row>
    <row r="1096">
      <c r="A1096" s="16" t="str">
        <f>IFERROR(__xludf.DUMMYFUNCTION("""COMPUTED_VALUE"""),"Flaming Feathers")</f>
        <v>Flaming Feathers</v>
      </c>
      <c r="B1096" s="16" t="str">
        <f>IFERROR(__xludf.DUMMYFUNCTION("""COMPUTED_VALUE"""),"Crafting Material, roll a d20 to see how many you get if this is a loot drop.")</f>
        <v>Crafting Material, roll a d20 to see how many you get if this is a loot drop.</v>
      </c>
      <c r="C1096" s="16" t="str">
        <f>IFERROR(__xludf.DUMMYFUNCTION("""COMPUTED_VALUE"""),"Item")</f>
        <v>Item</v>
      </c>
      <c r="D1096" s="16"/>
      <c r="E1096" s="16"/>
      <c r="F1096" s="16"/>
      <c r="G1096" s="16"/>
      <c r="H1096" s="16"/>
      <c r="I1096" s="16"/>
      <c r="J1096" s="16"/>
      <c r="K1096" s="16"/>
      <c r="L1096" s="16"/>
      <c r="M1096" s="16"/>
      <c r="N1096" s="16"/>
      <c r="O1096" s="16"/>
      <c r="P1096" s="16"/>
      <c r="Q1096" s="16"/>
      <c r="R1096" s="16"/>
      <c r="S1096" s="16"/>
      <c r="T1096" s="16"/>
      <c r="U1096" s="16"/>
      <c r="V1096" s="16"/>
      <c r="W1096" s="16"/>
      <c r="X1096" s="16"/>
      <c r="Y1096" s="16"/>
      <c r="Z1096" s="16"/>
    </row>
    <row r="1097">
      <c r="A1097" s="16" t="str">
        <f>IFERROR(__xludf.DUMMYFUNCTION("""COMPUTED_VALUE"""),"Flaming Horns")</f>
        <v>Flaming Horns</v>
      </c>
      <c r="B1097" s="16" t="str">
        <f>IFERROR(__xludf.DUMMYFUNCTION("""COMPUTED_VALUE"""),"Crafting Material, roll a d20 to see how many you get if this is a loot drop.")</f>
        <v>Crafting Material, roll a d20 to see how many you get if this is a loot drop.</v>
      </c>
      <c r="C1097" s="16" t="str">
        <f>IFERROR(__xludf.DUMMYFUNCTION("""COMPUTED_VALUE"""),"Item")</f>
        <v>Item</v>
      </c>
      <c r="D1097" s="16"/>
      <c r="E1097" s="16"/>
      <c r="F1097" s="16"/>
      <c r="G1097" s="16"/>
      <c r="H1097" s="16"/>
      <c r="I1097" s="16"/>
      <c r="J1097" s="16"/>
      <c r="K1097" s="16"/>
      <c r="L1097" s="16"/>
      <c r="M1097" s="16"/>
      <c r="N1097" s="16"/>
      <c r="O1097" s="16"/>
      <c r="P1097" s="16"/>
      <c r="Q1097" s="16"/>
      <c r="R1097" s="16"/>
      <c r="S1097" s="16"/>
      <c r="T1097" s="16"/>
      <c r="U1097" s="16"/>
      <c r="V1097" s="16"/>
      <c r="W1097" s="16"/>
      <c r="X1097" s="16"/>
      <c r="Y1097" s="16"/>
      <c r="Z1097" s="16"/>
    </row>
    <row r="1098">
      <c r="A1098" s="16" t="str">
        <f>IFERROR(__xludf.DUMMYFUNCTION("""COMPUTED_VALUE"""),"Cooked Yak Meat")</f>
        <v>Cooked Yak Meat</v>
      </c>
      <c r="B1098" s="16" t="str">
        <f>IFERROR(__xludf.DUMMYFUNCTION("""COMPUTED_VALUE"""),"Restores 10 hunger and energy")</f>
        <v>Restores 10 hunger and energy</v>
      </c>
      <c r="C1098" s="16" t="str">
        <f>IFERROR(__xludf.DUMMYFUNCTION("""COMPUTED_VALUE"""),"Crop")</f>
        <v>Crop</v>
      </c>
      <c r="D1098" s="16"/>
      <c r="E1098" s="16"/>
      <c r="F1098" s="16"/>
      <c r="G1098" s="16"/>
      <c r="H1098" s="16"/>
      <c r="I1098" s="16"/>
      <c r="J1098" s="16"/>
      <c r="K1098" s="16"/>
      <c r="L1098" s="16"/>
      <c r="M1098" s="16"/>
      <c r="N1098" s="16"/>
      <c r="O1098" s="16"/>
      <c r="P1098" s="16"/>
      <c r="Q1098" s="16"/>
      <c r="R1098" s="16"/>
      <c r="S1098" s="16"/>
      <c r="T1098" s="16"/>
      <c r="U1098" s="16"/>
      <c r="V1098" s="16"/>
      <c r="W1098" s="16"/>
      <c r="X1098" s="16"/>
      <c r="Y1098" s="16"/>
      <c r="Z1098" s="16"/>
    </row>
    <row r="1099">
      <c r="A1099" s="16" t="str">
        <f>IFERROR(__xludf.DUMMYFUNCTION("""COMPUTED_VALUE"""),"Leaf Of The Ancient Tree Of Flames")</f>
        <v>Leaf Of The Ancient Tree Of Flames</v>
      </c>
      <c r="B1099" s="16" t="str">
        <f>IFERROR(__xludf.DUMMYFUNCTION("""COMPUTED_VALUE"""),"Gain 1 free fire power of choosing. (Can only be obtained once per player)")</f>
        <v>Gain 1 free fire power of choosing. (Can only be obtained once per player)</v>
      </c>
      <c r="C1099" s="16" t="str">
        <f>IFERROR(__xludf.DUMMYFUNCTION("""COMPUTED_VALUE"""),"Item")</f>
        <v>Item</v>
      </c>
      <c r="D1099" s="16"/>
      <c r="E1099" s="16"/>
      <c r="F1099" s="16"/>
      <c r="G1099" s="16"/>
      <c r="H1099" s="16"/>
      <c r="I1099" s="16"/>
      <c r="J1099" s="16"/>
      <c r="K1099" s="16"/>
      <c r="L1099" s="16"/>
      <c r="M1099" s="16"/>
      <c r="N1099" s="16"/>
      <c r="O1099" s="16"/>
      <c r="P1099" s="16"/>
      <c r="Q1099" s="16"/>
      <c r="R1099" s="16"/>
      <c r="S1099" s="16"/>
      <c r="T1099" s="16"/>
      <c r="U1099" s="16"/>
      <c r="V1099" s="16"/>
      <c r="W1099" s="16"/>
      <c r="X1099" s="16"/>
      <c r="Y1099" s="16"/>
      <c r="Z1099" s="16"/>
    </row>
    <row r="1100">
      <c r="A1100" s="16" t="str">
        <f>IFERROR(__xludf.DUMMYFUNCTION("""COMPUTED_VALUE"""),"Ancient Volcanic Worm Egg")</f>
        <v>Ancient Volcanic Worm Egg</v>
      </c>
      <c r="B1100" s="16"/>
      <c r="C1100" s="16" t="str">
        <f>IFERROR(__xludf.DUMMYFUNCTION("""COMPUTED_VALUE"""),"Item")</f>
        <v>Item</v>
      </c>
      <c r="D1100" s="16"/>
      <c r="E1100" s="16"/>
      <c r="F1100" s="16"/>
      <c r="G1100" s="16"/>
      <c r="H1100" s="16"/>
      <c r="I1100" s="16"/>
      <c r="J1100" s="16"/>
      <c r="K1100" s="16"/>
      <c r="L1100" s="16"/>
      <c r="M1100" s="16"/>
      <c r="N1100" s="16"/>
      <c r="O1100" s="16"/>
      <c r="P1100" s="16"/>
      <c r="Q1100" s="16"/>
      <c r="R1100" s="16"/>
      <c r="S1100" s="16"/>
      <c r="T1100" s="16"/>
      <c r="U1100" s="16"/>
      <c r="V1100" s="16"/>
      <c r="W1100" s="16"/>
      <c r="X1100" s="16"/>
      <c r="Y1100" s="16"/>
      <c r="Z1100" s="16"/>
    </row>
    <row r="1101">
      <c r="A1101" s="16" t="str">
        <f>IFERROR(__xludf.DUMMYFUNCTION("""COMPUTED_VALUE"""),"Ancient Volcanic Worm Core")</f>
        <v>Ancient Volcanic Worm Core</v>
      </c>
      <c r="B1101" s="16" t="str">
        <f>IFERROR(__xludf.DUMMYFUNCTION("""COMPUTED_VALUE"""),"Consume to gain permanent 2000 fire resistance. (Can only obtain 1 per player)")</f>
        <v>Consume to gain permanent 2000 fire resistance. (Can only obtain 1 per player)</v>
      </c>
      <c r="C1101" s="16" t="str">
        <f>IFERROR(__xludf.DUMMYFUNCTION("""COMPUTED_VALUE"""),"Item")</f>
        <v>Item</v>
      </c>
      <c r="D1101" s="16"/>
      <c r="E1101" s="16"/>
      <c r="F1101" s="16"/>
      <c r="G1101" s="16"/>
      <c r="H1101" s="16"/>
      <c r="I1101" s="16"/>
      <c r="J1101" s="16"/>
      <c r="K1101" s="16"/>
      <c r="L1101" s="16"/>
      <c r="M1101" s="16"/>
      <c r="N1101" s="16"/>
      <c r="O1101" s="16"/>
      <c r="P1101" s="16"/>
      <c r="Q1101" s="16"/>
      <c r="R1101" s="16"/>
      <c r="S1101" s="16"/>
      <c r="T1101" s="16"/>
      <c r="U1101" s="16"/>
      <c r="V1101" s="16"/>
      <c r="W1101" s="16"/>
      <c r="X1101" s="16"/>
      <c r="Y1101" s="16"/>
      <c r="Z1101" s="16"/>
    </row>
    <row r="1102">
      <c r="A1102" s="16" t="str">
        <f>IFERROR(__xludf.DUMMYFUNCTION("""COMPUTED_VALUE"""),"Lava Tiger Skin")</f>
        <v>Lava Tiger Skin</v>
      </c>
      <c r="B1102" s="16" t="str">
        <f>IFERROR(__xludf.DUMMYFUNCTION("""COMPUTED_VALUE"""),"Crafting Material, roll a d20 to see how many you get if this is a loot drop.")</f>
        <v>Crafting Material, roll a d20 to see how many you get if this is a loot drop.</v>
      </c>
      <c r="C1102" s="16" t="str">
        <f>IFERROR(__xludf.DUMMYFUNCTION("""COMPUTED_VALUE"""),"Item")</f>
        <v>Item</v>
      </c>
      <c r="D1102" s="16"/>
      <c r="E1102" s="16"/>
      <c r="F1102" s="16"/>
      <c r="G1102" s="16"/>
      <c r="H1102" s="16"/>
      <c r="I1102" s="16"/>
      <c r="J1102" s="16"/>
      <c r="K1102" s="16"/>
      <c r="L1102" s="16"/>
      <c r="M1102" s="16"/>
      <c r="N1102" s="16"/>
      <c r="O1102" s="16"/>
      <c r="P1102" s="16"/>
      <c r="Q1102" s="16"/>
      <c r="R1102" s="16"/>
      <c r="S1102" s="16"/>
      <c r="T1102" s="16"/>
      <c r="U1102" s="16"/>
      <c r="V1102" s="16"/>
      <c r="W1102" s="16"/>
      <c r="X1102" s="16"/>
      <c r="Y1102" s="16"/>
      <c r="Z1102" s="16"/>
    </row>
    <row r="1103">
      <c r="A1103" s="16" t="str">
        <f>IFERROR(__xludf.DUMMYFUNCTION("""COMPUTED_VALUE"""),"Cooked Tiger Meat")</f>
        <v>Cooked Tiger Meat</v>
      </c>
      <c r="B1103" s="16" t="str">
        <f>IFERROR(__xludf.DUMMYFUNCTION("""COMPUTED_VALUE"""),"restores 20 hunger and energy")</f>
        <v>restores 20 hunger and energy</v>
      </c>
      <c r="C1103" s="16" t="str">
        <f>IFERROR(__xludf.DUMMYFUNCTION("""COMPUTED_VALUE"""),"Crop")</f>
        <v>Crop</v>
      </c>
      <c r="D1103" s="16"/>
      <c r="E1103" s="16"/>
      <c r="F1103" s="16"/>
      <c r="G1103" s="16"/>
      <c r="H1103" s="16"/>
      <c r="I1103" s="16"/>
      <c r="J1103" s="16"/>
      <c r="K1103" s="16"/>
      <c r="L1103" s="16"/>
      <c r="M1103" s="16"/>
      <c r="N1103" s="16"/>
      <c r="O1103" s="16"/>
      <c r="P1103" s="16"/>
      <c r="Q1103" s="16"/>
      <c r="R1103" s="16"/>
      <c r="S1103" s="16"/>
      <c r="T1103" s="16"/>
      <c r="U1103" s="16"/>
      <c r="V1103" s="16"/>
      <c r="W1103" s="16"/>
      <c r="X1103" s="16"/>
      <c r="Y1103" s="16"/>
      <c r="Z1103" s="16"/>
    </row>
    <row r="1104">
      <c r="A1104" s="16" t="str">
        <f>IFERROR(__xludf.DUMMYFUNCTION("""COMPUTED_VALUE"""),"Liches Eye")</f>
        <v>Liches Eye</v>
      </c>
      <c r="B1104" s="16" t="str">
        <f>IFERROR(__xludf.DUMMYFUNCTION("""COMPUTED_VALUE"""),"Consumable, 100= permanent +5 to accuracy")</f>
        <v>Consumable, 100= permanent +5 to accuracy</v>
      </c>
      <c r="C1104" s="16" t="str">
        <f>IFERROR(__xludf.DUMMYFUNCTION("""COMPUTED_VALUE"""),"Item")</f>
        <v>Item</v>
      </c>
      <c r="D1104" s="16"/>
      <c r="E1104" s="16"/>
      <c r="F1104" s="16"/>
      <c r="G1104" s="16"/>
      <c r="H1104" s="16"/>
      <c r="I1104" s="16"/>
      <c r="J1104" s="16"/>
      <c r="K1104" s="16"/>
      <c r="L1104" s="16"/>
      <c r="M1104" s="16"/>
      <c r="N1104" s="16"/>
      <c r="O1104" s="16"/>
      <c r="P1104" s="16"/>
      <c r="Q1104" s="16"/>
      <c r="R1104" s="16"/>
      <c r="S1104" s="16"/>
      <c r="T1104" s="16"/>
      <c r="U1104" s="16"/>
      <c r="V1104" s="16"/>
      <c r="W1104" s="16"/>
      <c r="X1104" s="16"/>
      <c r="Y1104" s="16"/>
      <c r="Z1104" s="16"/>
    </row>
    <row r="1105">
      <c r="A1105" s="16" t="str">
        <f>IFERROR(__xludf.DUMMYFUNCTION("""COMPUTED_VALUE"""),"Rank 9 Fire Tome")</f>
        <v>Rank 9 Fire Tome</v>
      </c>
      <c r="B1105" s="16" t="str">
        <f>IFERROR(__xludf.DUMMYFUNCTION("""COMPUTED_VALUE"""),"Can only obtain 1 per player")</f>
        <v>Can only obtain 1 per player</v>
      </c>
      <c r="C1105" s="16" t="str">
        <f>IFERROR(__xludf.DUMMYFUNCTION("""COMPUTED_VALUE"""),"Item")</f>
        <v>Item</v>
      </c>
      <c r="D1105" s="16"/>
      <c r="E1105" s="16"/>
      <c r="F1105" s="16"/>
      <c r="G1105" s="16"/>
      <c r="H1105" s="16"/>
      <c r="I1105" s="16"/>
      <c r="J1105" s="16"/>
      <c r="K1105" s="16"/>
      <c r="L1105" s="16"/>
      <c r="M1105" s="16"/>
      <c r="N1105" s="16"/>
      <c r="O1105" s="16"/>
      <c r="P1105" s="16"/>
      <c r="Q1105" s="16"/>
      <c r="R1105" s="16"/>
      <c r="S1105" s="16"/>
      <c r="T1105" s="16"/>
      <c r="U1105" s="16"/>
      <c r="V1105" s="16"/>
      <c r="W1105" s="16"/>
      <c r="X1105" s="16"/>
      <c r="Y1105" s="16"/>
      <c r="Z1105" s="16"/>
    </row>
    <row r="1106">
      <c r="A1106" s="16" t="str">
        <f>IFERROR(__xludf.DUMMYFUNCTION("""COMPUTED_VALUE"""),"Ancient Fire Serpent Egg")</f>
        <v>Ancient Fire Serpent Egg</v>
      </c>
      <c r="B1106" s="16"/>
      <c r="C1106" s="16" t="str">
        <f>IFERROR(__xludf.DUMMYFUNCTION("""COMPUTED_VALUE"""),"Item")</f>
        <v>Item</v>
      </c>
      <c r="D1106" s="16"/>
      <c r="E1106" s="16"/>
      <c r="F1106" s="16"/>
      <c r="G1106" s="16"/>
      <c r="H1106" s="16"/>
      <c r="I1106" s="16"/>
      <c r="J1106" s="16"/>
      <c r="K1106" s="16"/>
      <c r="L1106" s="16"/>
      <c r="M1106" s="16"/>
      <c r="N1106" s="16"/>
      <c r="O1106" s="16"/>
      <c r="P1106" s="16"/>
      <c r="Q1106" s="16"/>
      <c r="R1106" s="16"/>
      <c r="S1106" s="16"/>
      <c r="T1106" s="16"/>
      <c r="U1106" s="16"/>
      <c r="V1106" s="16"/>
      <c r="W1106" s="16"/>
      <c r="X1106" s="16"/>
      <c r="Y1106" s="16"/>
      <c r="Z1106" s="16"/>
    </row>
    <row r="1107">
      <c r="A1107" s="16" t="str">
        <f>IFERROR(__xludf.DUMMYFUNCTION("""COMPUTED_VALUE"""),"Demons Eye")</f>
        <v>Demons Eye</v>
      </c>
      <c r="B1107" s="16" t="str">
        <f>IFERROR(__xludf.DUMMYFUNCTION("""COMPUTED_VALUE"""),"Crafting Material, roll a d20 to see how many you get if this is a loot drop.")</f>
        <v>Crafting Material, roll a d20 to see how many you get if this is a loot drop.</v>
      </c>
      <c r="C1107" s="16" t="str">
        <f>IFERROR(__xludf.DUMMYFUNCTION("""COMPUTED_VALUE"""),"Item")</f>
        <v>Item</v>
      </c>
      <c r="D1107" s="16"/>
      <c r="E1107" s="16"/>
      <c r="F1107" s="16"/>
      <c r="G1107" s="16"/>
      <c r="H1107" s="16"/>
      <c r="I1107" s="16"/>
      <c r="J1107" s="16"/>
      <c r="K1107" s="16"/>
      <c r="L1107" s="16"/>
      <c r="M1107" s="16"/>
      <c r="N1107" s="16"/>
      <c r="O1107" s="16"/>
      <c r="P1107" s="16"/>
      <c r="Q1107" s="16"/>
      <c r="R1107" s="16"/>
      <c r="S1107" s="16"/>
      <c r="T1107" s="16"/>
      <c r="U1107" s="16"/>
      <c r="V1107" s="16"/>
      <c r="W1107" s="16"/>
      <c r="X1107" s="16"/>
      <c r="Y1107" s="16"/>
      <c r="Z1107" s="16"/>
    </row>
    <row r="1108">
      <c r="A1108" s="16" t="str">
        <f>IFERROR(__xludf.DUMMYFUNCTION("""COMPUTED_VALUE"""),"Demon Core")</f>
        <v>Demon Core</v>
      </c>
      <c r="B1108" s="16" t="str">
        <f>IFERROR(__xludf.DUMMYFUNCTION("""COMPUTED_VALUE"""),"Consumable, 1 free chaos power of choice. (Can only obtain 1 per player)")</f>
        <v>Consumable, 1 free chaos power of choice. (Can only obtain 1 per player)</v>
      </c>
      <c r="C1108" s="16" t="str">
        <f>IFERROR(__xludf.DUMMYFUNCTION("""COMPUTED_VALUE"""),"Item")</f>
        <v>Item</v>
      </c>
      <c r="D1108" s="16"/>
      <c r="E1108" s="16"/>
      <c r="F1108" s="16"/>
      <c r="G1108" s="16"/>
      <c r="H1108" s="16"/>
      <c r="I1108" s="16"/>
      <c r="J1108" s="16"/>
      <c r="K1108" s="16"/>
      <c r="L1108" s="16"/>
      <c r="M1108" s="16"/>
      <c r="N1108" s="16"/>
      <c r="O1108" s="16"/>
      <c r="P1108" s="16"/>
      <c r="Q1108" s="16"/>
      <c r="R1108" s="16"/>
      <c r="S1108" s="16"/>
      <c r="T1108" s="16"/>
      <c r="U1108" s="16"/>
      <c r="V1108" s="16"/>
      <c r="W1108" s="16"/>
      <c r="X1108" s="16"/>
      <c r="Y1108" s="16"/>
      <c r="Z1108" s="16"/>
    </row>
    <row r="1109">
      <c r="A1109" s="16" t="str">
        <f>IFERROR(__xludf.DUMMYFUNCTION("""COMPUTED_VALUE"""),"Sentinel Core")</f>
        <v>Sentinel Core</v>
      </c>
      <c r="B1109" s="16" t="str">
        <f>IFERROR(__xludf.DUMMYFUNCTION("""COMPUTED_VALUE"""),"Summon an Ancient Fire Sentinel to battle, Level determined by DM/GM. Can only be used once.")</f>
        <v>Summon an Ancient Fire Sentinel to battle, Level determined by DM/GM. Can only be used once.</v>
      </c>
      <c r="C1109" s="16" t="str">
        <f>IFERROR(__xludf.DUMMYFUNCTION("""COMPUTED_VALUE"""),"Item")</f>
        <v>Item</v>
      </c>
      <c r="D1109" s="16"/>
      <c r="E1109" s="16"/>
      <c r="F1109" s="16"/>
      <c r="G1109" s="16"/>
      <c r="H1109" s="16"/>
      <c r="I1109" s="16"/>
      <c r="J1109" s="16"/>
      <c r="K1109" s="16"/>
      <c r="L1109" s="16"/>
      <c r="M1109" s="16"/>
      <c r="N1109" s="16"/>
      <c r="O1109" s="16"/>
      <c r="P1109" s="16"/>
      <c r="Q1109" s="16"/>
      <c r="R1109" s="16"/>
      <c r="S1109" s="16"/>
      <c r="T1109" s="16"/>
      <c r="U1109" s="16"/>
      <c r="V1109" s="16"/>
      <c r="W1109" s="16"/>
      <c r="X1109" s="16"/>
      <c r="Y1109" s="16"/>
      <c r="Z1109" s="16"/>
    </row>
    <row r="1110">
      <c r="A1110" s="16" t="str">
        <f>IFERROR(__xludf.DUMMYFUNCTION("""COMPUTED_VALUE"""),"Fire Gem")</f>
        <v>Fire Gem</v>
      </c>
      <c r="B1110" s="16" t="str">
        <f>IFERROR(__xludf.DUMMYFUNCTION("""COMPUTED_VALUE"""),"Crafting Material, roll a d20 to see how many you get if this is a loot drop.")</f>
        <v>Crafting Material, roll a d20 to see how many you get if this is a loot drop.</v>
      </c>
      <c r="C1110" s="16" t="str">
        <f>IFERROR(__xludf.DUMMYFUNCTION("""COMPUTED_VALUE"""),"Item")</f>
        <v>Item</v>
      </c>
      <c r="D1110" s="16"/>
      <c r="E1110" s="16"/>
      <c r="F1110" s="16"/>
      <c r="G1110" s="16"/>
      <c r="H1110" s="16"/>
      <c r="I1110" s="16"/>
      <c r="J1110" s="16"/>
      <c r="K1110" s="16"/>
      <c r="L1110" s="16"/>
      <c r="M1110" s="16"/>
      <c r="N1110" s="16"/>
      <c r="O1110" s="16"/>
      <c r="P1110" s="16"/>
      <c r="Q1110" s="16"/>
      <c r="R1110" s="16"/>
      <c r="S1110" s="16"/>
      <c r="T1110" s="16"/>
      <c r="U1110" s="16"/>
      <c r="V1110" s="16"/>
      <c r="W1110" s="16"/>
      <c r="X1110" s="16"/>
      <c r="Y1110" s="16"/>
      <c r="Z1110" s="16"/>
    </row>
    <row r="1111">
      <c r="A1111" s="16" t="str">
        <f>IFERROR(__xludf.DUMMYFUNCTION("""COMPUTED_VALUE"""),"Aquatic Diamond")</f>
        <v>Aquatic Diamond</v>
      </c>
      <c r="B1111" s="16" t="str">
        <f>IFERROR(__xludf.DUMMYFUNCTION("""COMPUTED_VALUE"""),"Crafting Material, roll a d20 to see how many you get if this is a loot drop.")</f>
        <v>Crafting Material, roll a d20 to see how many you get if this is a loot drop.</v>
      </c>
      <c r="C1111" s="16" t="str">
        <f>IFERROR(__xludf.DUMMYFUNCTION("""COMPUTED_VALUE"""),"Item")</f>
        <v>Item</v>
      </c>
      <c r="D1111" s="16"/>
      <c r="E1111" s="16"/>
      <c r="F1111" s="16"/>
      <c r="G1111" s="16"/>
      <c r="H1111" s="16"/>
      <c r="I1111" s="16"/>
      <c r="J1111" s="16"/>
      <c r="K1111" s="16"/>
      <c r="L1111" s="16"/>
      <c r="M1111" s="16"/>
      <c r="N1111" s="16"/>
      <c r="O1111" s="16"/>
      <c r="P1111" s="16"/>
      <c r="Q1111" s="16"/>
      <c r="R1111" s="16"/>
      <c r="S1111" s="16"/>
      <c r="T1111" s="16"/>
      <c r="U1111" s="16"/>
      <c r="V1111" s="16"/>
      <c r="W1111" s="16"/>
      <c r="X1111" s="16"/>
      <c r="Y1111" s="16"/>
      <c r="Z1111" s="16"/>
    </row>
    <row r="1112">
      <c r="A1112" s="16" t="str">
        <f>IFERROR(__xludf.DUMMYFUNCTION("""COMPUTED_VALUE"""),"Corrupted Twilight Knight Soul")</f>
        <v>Corrupted Twilight Knight Soul</v>
      </c>
      <c r="B1112" s="16"/>
      <c r="C1112" s="16" t="str">
        <f>IFERROR(__xludf.DUMMYFUNCTION("""COMPUTED_VALUE"""),"Item")</f>
        <v>Item</v>
      </c>
      <c r="D1112" s="16"/>
      <c r="E1112" s="16"/>
      <c r="F1112" s="16"/>
      <c r="G1112" s="16"/>
      <c r="H1112" s="16"/>
      <c r="I1112" s="16"/>
      <c r="J1112" s="16"/>
      <c r="K1112" s="16"/>
      <c r="L1112" s="16"/>
      <c r="M1112" s="16"/>
      <c r="N1112" s="16"/>
      <c r="O1112" s="16"/>
      <c r="P1112" s="16"/>
      <c r="Q1112" s="16"/>
      <c r="R1112" s="16"/>
      <c r="S1112" s="16"/>
      <c r="T1112" s="16"/>
      <c r="U1112" s="16"/>
      <c r="V1112" s="16"/>
      <c r="W1112" s="16"/>
      <c r="X1112" s="16"/>
      <c r="Y1112" s="16"/>
      <c r="Z1112" s="16"/>
    </row>
    <row r="1113">
      <c r="A1113" s="16" t="str">
        <f>IFERROR(__xludf.DUMMYFUNCTION("""COMPUTED_VALUE"""),"Hay")</f>
        <v>Hay</v>
      </c>
      <c r="B1113" s="16" t="str">
        <f>IFERROR(__xludf.DUMMYFUNCTION("""COMPUTED_VALUE"""),"Restores 5 hunger.")</f>
        <v>Restores 5 hunger.</v>
      </c>
      <c r="C1113" s="16" t="str">
        <f>IFERROR(__xludf.DUMMYFUNCTION("""COMPUTED_VALUE"""),"Crop")</f>
        <v>Crop</v>
      </c>
      <c r="D1113" s="16"/>
      <c r="E1113" s="16"/>
      <c r="F1113" s="16"/>
      <c r="G1113" s="16"/>
      <c r="H1113" s="16"/>
      <c r="I1113" s="16"/>
      <c r="J1113" s="16"/>
      <c r="K1113" s="16"/>
      <c r="L1113" s="16"/>
      <c r="M1113" s="16"/>
      <c r="N1113" s="16"/>
      <c r="O1113" s="16"/>
      <c r="P1113" s="16"/>
      <c r="Q1113" s="16"/>
      <c r="R1113" s="16"/>
      <c r="S1113" s="16"/>
      <c r="T1113" s="16"/>
      <c r="U1113" s="16"/>
      <c r="V1113" s="16"/>
      <c r="W1113" s="16"/>
      <c r="X1113" s="16"/>
      <c r="Y1113" s="16"/>
      <c r="Z1113" s="16"/>
    </row>
    <row r="1114">
      <c r="A1114" s="16" t="str">
        <f>IFERROR(__xludf.DUMMYFUNCTION("""COMPUTED_VALUE"""),"Shadow Suit of armor Soul")</f>
        <v>Shadow Suit of armor Soul</v>
      </c>
      <c r="B1114" s="16"/>
      <c r="C1114" s="16" t="str">
        <f>IFERROR(__xludf.DUMMYFUNCTION("""COMPUTED_VALUE"""),"Item")</f>
        <v>Item</v>
      </c>
      <c r="D1114" s="16"/>
      <c r="E1114" s="16"/>
      <c r="F1114" s="16"/>
      <c r="G1114" s="16"/>
      <c r="H1114" s="16"/>
      <c r="I1114" s="16"/>
      <c r="J1114" s="16"/>
      <c r="K1114" s="16"/>
      <c r="L1114" s="16"/>
      <c r="M1114" s="16"/>
      <c r="N1114" s="16"/>
      <c r="O1114" s="16"/>
      <c r="P1114" s="16"/>
      <c r="Q1114" s="16"/>
      <c r="R1114" s="16"/>
      <c r="S1114" s="16"/>
      <c r="T1114" s="16"/>
      <c r="U1114" s="16"/>
      <c r="V1114" s="16"/>
      <c r="W1114" s="16"/>
      <c r="X1114" s="16"/>
      <c r="Y1114" s="16"/>
      <c r="Z1114" s="16"/>
    </row>
    <row r="1115">
      <c r="A1115" s="16" t="str">
        <f>IFERROR(__xludf.DUMMYFUNCTION("""COMPUTED_VALUE"""),"Mana Potion")</f>
        <v>Mana Potion</v>
      </c>
      <c r="B1115" s="16" t="str">
        <f>IFERROR(__xludf.DUMMYFUNCTION("""COMPUTED_VALUE"""),"Regain 10 SP")</f>
        <v>Regain 10 SP</v>
      </c>
      <c r="C1115" s="16" t="str">
        <f>IFERROR(__xludf.DUMMYFUNCTION("""COMPUTED_VALUE"""),"Item")</f>
        <v>Item</v>
      </c>
      <c r="D1115" s="16"/>
      <c r="E1115" s="16"/>
      <c r="F1115" s="16"/>
      <c r="G1115" s="16"/>
      <c r="H1115" s="16"/>
      <c r="I1115" s="16"/>
      <c r="J1115" s="16"/>
      <c r="K1115" s="16"/>
      <c r="L1115" s="16"/>
      <c r="M1115" s="16"/>
      <c r="N1115" s="16"/>
      <c r="O1115" s="16"/>
      <c r="P1115" s="16"/>
      <c r="Q1115" s="16"/>
      <c r="R1115" s="16"/>
      <c r="S1115" s="16"/>
      <c r="T1115" s="16"/>
      <c r="U1115" s="16"/>
      <c r="V1115" s="16"/>
      <c r="W1115" s="16"/>
      <c r="X1115" s="16"/>
      <c r="Y1115" s="16"/>
      <c r="Z1115" s="16"/>
    </row>
    <row r="1116">
      <c r="A1116" s="16" t="str">
        <f>IFERROR(__xludf.DUMMYFUNCTION("""COMPUTED_VALUE"""),"Werewolf Pelt")</f>
        <v>Werewolf Pelt</v>
      </c>
      <c r="B1116" s="16" t="str">
        <f>IFERROR(__xludf.DUMMYFUNCTION("""COMPUTED_VALUE"""),"Crafting Material, roll a d20 to see how many you get if this is a loot drop.")</f>
        <v>Crafting Material, roll a d20 to see how many you get if this is a loot drop.</v>
      </c>
      <c r="C1116" s="16" t="str">
        <f>IFERROR(__xludf.DUMMYFUNCTION("""COMPUTED_VALUE"""),"Item")</f>
        <v>Item</v>
      </c>
      <c r="D1116" s="16"/>
      <c r="E1116" s="16"/>
      <c r="F1116" s="16"/>
      <c r="G1116" s="16"/>
      <c r="H1116" s="16"/>
      <c r="I1116" s="16"/>
      <c r="J1116" s="16"/>
      <c r="K1116" s="16"/>
      <c r="L1116" s="16"/>
      <c r="M1116" s="16"/>
      <c r="N1116" s="16"/>
      <c r="O1116" s="16"/>
      <c r="P1116" s="16"/>
      <c r="Q1116" s="16"/>
      <c r="R1116" s="16"/>
      <c r="S1116" s="16"/>
      <c r="T1116" s="16"/>
      <c r="U1116" s="16"/>
      <c r="V1116" s="16"/>
      <c r="W1116" s="16"/>
      <c r="X1116" s="16"/>
      <c r="Y1116" s="16"/>
      <c r="Z1116" s="16"/>
    </row>
    <row r="1117">
      <c r="A1117" s="16" t="str">
        <f>IFERROR(__xludf.DUMMYFUNCTION("""COMPUTED_VALUE"""),"Halloween Emerald")</f>
        <v>Halloween Emerald</v>
      </c>
      <c r="B1117" s="16" t="str">
        <f>IFERROR(__xludf.DUMMYFUNCTION("""COMPUTED_VALUE"""),"Crafting Material, roll a d20 to see how many you get if this is a loot drop.")</f>
        <v>Crafting Material, roll a d20 to see how many you get if this is a loot drop.</v>
      </c>
      <c r="C1117" s="16" t="str">
        <f>IFERROR(__xludf.DUMMYFUNCTION("""COMPUTED_VALUE"""),"Item")</f>
        <v>Item</v>
      </c>
      <c r="D1117" s="16"/>
      <c r="E1117" s="16"/>
      <c r="F1117" s="16"/>
      <c r="G1117" s="16"/>
      <c r="H1117" s="16"/>
      <c r="I1117" s="16"/>
      <c r="J1117" s="16"/>
      <c r="K1117" s="16"/>
      <c r="L1117" s="16"/>
      <c r="M1117" s="16"/>
      <c r="N1117" s="16"/>
      <c r="O1117" s="16"/>
      <c r="P1117" s="16"/>
      <c r="Q1117" s="16"/>
      <c r="R1117" s="16"/>
      <c r="S1117" s="16"/>
      <c r="T1117" s="16"/>
      <c r="U1117" s="16"/>
      <c r="V1117" s="16"/>
      <c r="W1117" s="16"/>
      <c r="X1117" s="16"/>
      <c r="Y1117" s="16"/>
      <c r="Z1117" s="16"/>
    </row>
    <row r="1118">
      <c r="A1118" s="16" t="str">
        <f>IFERROR(__xludf.DUMMYFUNCTION("""COMPUTED_VALUE"""),"Giant Halloween Diamond")</f>
        <v>Giant Halloween Diamond</v>
      </c>
      <c r="B1118" s="16" t="str">
        <f>IFERROR(__xludf.DUMMYFUNCTION("""COMPUTED_VALUE"""),"Crafting Material, roll a d20 to see how many you get if this is a loot drop.")</f>
        <v>Crafting Material, roll a d20 to see how many you get if this is a loot drop.</v>
      </c>
      <c r="C1118" s="16" t="str">
        <f>IFERROR(__xludf.DUMMYFUNCTION("""COMPUTED_VALUE"""),"Item")</f>
        <v>Item</v>
      </c>
      <c r="D1118" s="16"/>
      <c r="E1118" s="16"/>
      <c r="F1118" s="16"/>
      <c r="G1118" s="16"/>
      <c r="H1118" s="16"/>
      <c r="I1118" s="16"/>
      <c r="J1118" s="16"/>
      <c r="K1118" s="16"/>
      <c r="L1118" s="16"/>
      <c r="M1118" s="16"/>
      <c r="N1118" s="16"/>
      <c r="O1118" s="16"/>
      <c r="P1118" s="16"/>
      <c r="Q1118" s="16"/>
      <c r="R1118" s="16"/>
      <c r="S1118" s="16"/>
      <c r="T1118" s="16"/>
      <c r="U1118" s="16"/>
      <c r="V1118" s="16"/>
      <c r="W1118" s="16"/>
      <c r="X1118" s="16"/>
      <c r="Y1118" s="16"/>
      <c r="Z1118" s="16"/>
    </row>
    <row r="1119">
      <c r="A1119" s="16" t="str">
        <f>IFERROR(__xludf.DUMMYFUNCTION("""COMPUTED_VALUE"""),"Rank 9 Twilight Tome")</f>
        <v>Rank 9 Twilight Tome</v>
      </c>
      <c r="B1119" s="16" t="str">
        <f>IFERROR(__xludf.DUMMYFUNCTION("""COMPUTED_VALUE"""),"Allows use of up to Rank 9 Twilight Powers")</f>
        <v>Allows use of up to Rank 9 Twilight Powers</v>
      </c>
      <c r="C1119" s="16" t="str">
        <f>IFERROR(__xludf.DUMMYFUNCTION("""COMPUTED_VALUE"""),"Item")</f>
        <v>Item</v>
      </c>
      <c r="D1119" s="16"/>
      <c r="E1119" s="16"/>
      <c r="F1119" s="16"/>
      <c r="G1119" s="16"/>
      <c r="H1119" s="16"/>
      <c r="I1119" s="16"/>
      <c r="J1119" s="16"/>
      <c r="K1119" s="16"/>
      <c r="L1119" s="16"/>
      <c r="M1119" s="16"/>
      <c r="N1119" s="16"/>
      <c r="O1119" s="16"/>
      <c r="P1119" s="16"/>
      <c r="Q1119" s="16"/>
      <c r="R1119" s="16"/>
      <c r="S1119" s="16"/>
      <c r="T1119" s="16"/>
      <c r="U1119" s="16"/>
      <c r="V1119" s="16"/>
      <c r="W1119" s="16"/>
      <c r="X1119" s="16"/>
      <c r="Y1119" s="16"/>
      <c r="Z1119" s="16"/>
    </row>
    <row r="1120">
      <c r="A1120" s="16" t="str">
        <f>IFERROR(__xludf.DUMMYFUNCTION("""COMPUTED_VALUE"""),"Stasis Tome Rank 9")</f>
        <v>Stasis Tome Rank 9</v>
      </c>
      <c r="B1120" s="16" t="str">
        <f>IFERROR(__xludf.DUMMYFUNCTION("""COMPUTED_VALUE"""),"Allows use of up to Rank 9 Stasis Powers")</f>
        <v>Allows use of up to Rank 9 Stasis Powers</v>
      </c>
      <c r="C1120" s="16" t="str">
        <f>IFERROR(__xludf.DUMMYFUNCTION("""COMPUTED_VALUE"""),"Item")</f>
        <v>Item</v>
      </c>
      <c r="D1120" s="16"/>
      <c r="E1120" s="16"/>
      <c r="F1120" s="16"/>
      <c r="G1120" s="16"/>
      <c r="H1120" s="16"/>
      <c r="I1120" s="16"/>
      <c r="J1120" s="16"/>
      <c r="K1120" s="16"/>
      <c r="L1120" s="16"/>
      <c r="M1120" s="16"/>
      <c r="N1120" s="16"/>
      <c r="O1120" s="16"/>
      <c r="P1120" s="16"/>
      <c r="Q1120" s="16"/>
      <c r="R1120" s="16"/>
      <c r="S1120" s="16"/>
      <c r="T1120" s="16"/>
      <c r="U1120" s="16"/>
      <c r="V1120" s="16"/>
      <c r="W1120" s="16"/>
      <c r="X1120" s="16"/>
      <c r="Y1120" s="16"/>
      <c r="Z1120" s="16"/>
    </row>
    <row r="1121">
      <c r="A1121" s="16" t="str">
        <f>IFERROR(__xludf.DUMMYFUNCTION("""COMPUTED_VALUE"""),"Celestial Core")</f>
        <v>Celestial Core</v>
      </c>
      <c r="B1121" s="16" t="str">
        <f>IFERROR(__xludf.DUMMYFUNCTION("""COMPUTED_VALUE"""),"Crafting Material, roll a d20 to see how many you get if this is a loot drop.")</f>
        <v>Crafting Material, roll a d20 to see how many you get if this is a loot drop.</v>
      </c>
      <c r="C1121" s="16" t="str">
        <f>IFERROR(__xludf.DUMMYFUNCTION("""COMPUTED_VALUE"""),"Item")</f>
        <v>Item</v>
      </c>
      <c r="D1121" s="16"/>
      <c r="E1121" s="16"/>
      <c r="F1121" s="16"/>
      <c r="G1121" s="16"/>
      <c r="H1121" s="16"/>
      <c r="I1121" s="16"/>
      <c r="J1121" s="16"/>
      <c r="K1121" s="16"/>
      <c r="L1121" s="16"/>
      <c r="M1121" s="16"/>
      <c r="N1121" s="16"/>
      <c r="O1121" s="16"/>
      <c r="P1121" s="16"/>
      <c r="Q1121" s="16"/>
      <c r="R1121" s="16"/>
      <c r="S1121" s="16"/>
      <c r="T1121" s="16"/>
      <c r="U1121" s="16"/>
      <c r="V1121" s="16"/>
      <c r="W1121" s="16"/>
      <c r="X1121" s="16"/>
      <c r="Y1121" s="16"/>
      <c r="Z1121" s="16"/>
    </row>
    <row r="1122">
      <c r="A1122" s="16" t="str">
        <f>IFERROR(__xludf.DUMMYFUNCTION("""COMPUTED_VALUE"""),"Vampires Tooth")</f>
        <v>Vampires Tooth</v>
      </c>
      <c r="B1122" s="16" t="str">
        <f>IFERROR(__xludf.DUMMYFUNCTION("""COMPUTED_VALUE"""),"Crafting Material, roll a d20 to see how many you get if this is a loot drop.")</f>
        <v>Crafting Material, roll a d20 to see how many you get if this is a loot drop.</v>
      </c>
      <c r="C1122" s="16" t="str">
        <f>IFERROR(__xludf.DUMMYFUNCTION("""COMPUTED_VALUE"""),"Item")</f>
        <v>Item</v>
      </c>
      <c r="D1122" s="16"/>
      <c r="E1122" s="16"/>
      <c r="F1122" s="16"/>
      <c r="G1122" s="16"/>
      <c r="H1122" s="16"/>
      <c r="I1122" s="16"/>
      <c r="J1122" s="16"/>
      <c r="K1122" s="16"/>
      <c r="L1122" s="16"/>
      <c r="M1122" s="16"/>
      <c r="N1122" s="16"/>
      <c r="O1122" s="16"/>
      <c r="P1122" s="16"/>
      <c r="Q1122" s="16"/>
      <c r="R1122" s="16"/>
      <c r="S1122" s="16"/>
      <c r="T1122" s="16"/>
      <c r="U1122" s="16"/>
      <c r="V1122" s="16"/>
      <c r="W1122" s="16"/>
      <c r="X1122" s="16"/>
      <c r="Y1122" s="16"/>
      <c r="Z1122" s="16"/>
    </row>
    <row r="1123">
      <c r="A1123" s="16" t="str">
        <f>IFERROR(__xludf.DUMMYFUNCTION("""COMPUTED_VALUE"""),"Cursed Statue Of Knowing")</f>
        <v>Cursed Statue Of Knowing</v>
      </c>
      <c r="B1123" s="16" t="str">
        <f>IFERROR(__xludf.DUMMYFUNCTION("""COMPUTED_VALUE"""),"Quest item.")</f>
        <v>Quest item.</v>
      </c>
      <c r="C1123" s="16" t="str">
        <f>IFERROR(__xludf.DUMMYFUNCTION("""COMPUTED_VALUE"""),"Item")</f>
        <v>Item</v>
      </c>
      <c r="D1123" s="16"/>
      <c r="E1123" s="16"/>
      <c r="F1123" s="16"/>
      <c r="G1123" s="16"/>
      <c r="H1123" s="16"/>
      <c r="I1123" s="16"/>
      <c r="J1123" s="16"/>
      <c r="K1123" s="16"/>
      <c r="L1123" s="16"/>
      <c r="M1123" s="16"/>
      <c r="N1123" s="16"/>
      <c r="O1123" s="16"/>
      <c r="P1123" s="16"/>
      <c r="Q1123" s="16"/>
      <c r="R1123" s="16"/>
      <c r="S1123" s="16"/>
      <c r="T1123" s="16"/>
      <c r="U1123" s="16"/>
      <c r="V1123" s="16"/>
      <c r="W1123" s="16"/>
      <c r="X1123" s="16"/>
      <c r="Y1123" s="16"/>
      <c r="Z1123" s="16"/>
    </row>
    <row r="1124">
      <c r="A1124" s="16" t="str">
        <f>IFERROR(__xludf.DUMMYFUNCTION("""COMPUTED_VALUE"""),"Orb Of Shadows")</f>
        <v>Orb Of Shadows</v>
      </c>
      <c r="B1124" s="16" t="str">
        <f>IFERROR(__xludf.DUMMYFUNCTION("""COMPUTED_VALUE"""),"Quest item.")</f>
        <v>Quest item.</v>
      </c>
      <c r="C1124" s="16" t="str">
        <f>IFERROR(__xludf.DUMMYFUNCTION("""COMPUTED_VALUE"""),"Item")</f>
        <v>Item</v>
      </c>
      <c r="D1124" s="16"/>
      <c r="E1124" s="16"/>
      <c r="F1124" s="16"/>
      <c r="G1124" s="16"/>
      <c r="H1124" s="16"/>
      <c r="I1124" s="16"/>
      <c r="J1124" s="16"/>
      <c r="K1124" s="16"/>
      <c r="L1124" s="16"/>
      <c r="M1124" s="16"/>
      <c r="N1124" s="16"/>
      <c r="O1124" s="16"/>
      <c r="P1124" s="16"/>
      <c r="Q1124" s="16"/>
      <c r="R1124" s="16"/>
      <c r="S1124" s="16"/>
      <c r="T1124" s="16"/>
      <c r="U1124" s="16"/>
      <c r="V1124" s="16"/>
      <c r="W1124" s="16"/>
      <c r="X1124" s="16"/>
      <c r="Y1124" s="16"/>
      <c r="Z1124" s="16"/>
    </row>
    <row r="1125">
      <c r="A1125" s="16" t="str">
        <f>IFERROR(__xludf.DUMMYFUNCTION("""COMPUTED_VALUE"""),"Blessed Torch")</f>
        <v>Blessed Torch</v>
      </c>
      <c r="B1125" s="16" t="str">
        <f>IFERROR(__xludf.DUMMYFUNCTION("""COMPUTED_VALUE"""),"Lights a bonfire. (guaranteed drop)")</f>
        <v>Lights a bonfire. (guaranteed drop)</v>
      </c>
      <c r="C1125" s="16" t="str">
        <f>IFERROR(__xludf.DUMMYFUNCTION("""COMPUTED_VALUE"""),"Item")</f>
        <v>Item</v>
      </c>
      <c r="D1125" s="16"/>
      <c r="E1125" s="16"/>
      <c r="F1125" s="16"/>
      <c r="G1125" s="16"/>
      <c r="H1125" s="16"/>
      <c r="I1125" s="16"/>
      <c r="J1125" s="16"/>
      <c r="K1125" s="16"/>
      <c r="L1125" s="16"/>
      <c r="M1125" s="16"/>
      <c r="N1125" s="16"/>
      <c r="O1125" s="16"/>
      <c r="P1125" s="16"/>
      <c r="Q1125" s="16"/>
      <c r="R1125" s="16"/>
      <c r="S1125" s="16"/>
      <c r="T1125" s="16"/>
      <c r="U1125" s="16"/>
      <c r="V1125" s="16"/>
      <c r="W1125" s="16"/>
      <c r="X1125" s="16"/>
      <c r="Y1125" s="16"/>
      <c r="Z1125" s="16"/>
    </row>
    <row r="1126">
      <c r="A1126" s="16" t="str">
        <f>IFERROR(__xludf.DUMMYFUNCTION("""COMPUTED_VALUE"""),"Pebble of Fertility")</f>
        <v>Pebble of Fertility</v>
      </c>
      <c r="B1126" s="16" t="str">
        <f>IFERROR(__xludf.DUMMYFUNCTION("""COMPUTED_VALUE"""),"double the loot when consumed before battle.")</f>
        <v>double the loot when consumed before battle.</v>
      </c>
      <c r="C1126" s="16" t="str">
        <f>IFERROR(__xludf.DUMMYFUNCTION("""COMPUTED_VALUE"""),"Item")</f>
        <v>Item</v>
      </c>
      <c r="D1126" s="16"/>
      <c r="E1126" s="16"/>
      <c r="F1126" s="16"/>
      <c r="G1126" s="16"/>
      <c r="H1126" s="16"/>
      <c r="I1126" s="16"/>
      <c r="J1126" s="16"/>
      <c r="K1126" s="16"/>
      <c r="L1126" s="16"/>
      <c r="M1126" s="16"/>
      <c r="N1126" s="16"/>
      <c r="O1126" s="16"/>
      <c r="P1126" s="16"/>
      <c r="Q1126" s="16"/>
      <c r="R1126" s="16"/>
      <c r="S1126" s="16"/>
      <c r="T1126" s="16"/>
      <c r="U1126" s="16"/>
      <c r="V1126" s="16"/>
      <c r="W1126" s="16"/>
      <c r="X1126" s="16"/>
      <c r="Y1126" s="16"/>
      <c r="Z1126" s="16"/>
    </row>
    <row r="1127">
      <c r="A1127" s="16" t="str">
        <f>IFERROR(__xludf.DUMMYFUNCTION("""COMPUTED_VALUE"""),"Forest Faery Egg")</f>
        <v>Forest Faery Egg</v>
      </c>
      <c r="B1127" s="16" t="str">
        <f>IFERROR(__xludf.DUMMYFUNCTION("""COMPUTED_VALUE"""),"Gives a Faery companion (60) (must be in a forest for the egg to hatch)")</f>
        <v>Gives a Faery companion (60) (must be in a forest for the egg to hatch)</v>
      </c>
      <c r="C1127" s="16" t="str">
        <f>IFERROR(__xludf.DUMMYFUNCTION("""COMPUTED_VALUE"""),"Item")</f>
        <v>Item</v>
      </c>
      <c r="D1127" s="16"/>
      <c r="E1127" s="16"/>
      <c r="F1127" s="16"/>
      <c r="G1127" s="16"/>
      <c r="H1127" s="16"/>
      <c r="I1127" s="16"/>
      <c r="J1127" s="16"/>
      <c r="K1127" s="16"/>
      <c r="L1127" s="16"/>
      <c r="M1127" s="16"/>
      <c r="N1127" s="16"/>
      <c r="O1127" s="16"/>
      <c r="P1127" s="16"/>
      <c r="Q1127" s="16"/>
      <c r="R1127" s="16"/>
      <c r="S1127" s="16"/>
      <c r="T1127" s="16"/>
      <c r="U1127" s="16"/>
      <c r="V1127" s="16"/>
      <c r="W1127" s="16"/>
      <c r="X1127" s="16"/>
      <c r="Y1127" s="16"/>
      <c r="Z1127" s="16"/>
    </row>
    <row r="1128">
      <c r="A1128" s="16" t="str">
        <f>IFERROR(__xludf.DUMMYFUNCTION("""COMPUTED_VALUE"""),"Pandan flower")</f>
        <v>Pandan flower</v>
      </c>
      <c r="B1128" s="16" t="str">
        <f>IFERROR(__xludf.DUMMYFUNCTION("""COMPUTED_VALUE"""),"Cures 1 curse")</f>
        <v>Cures 1 curse</v>
      </c>
      <c r="C1128" s="16" t="str">
        <f>IFERROR(__xludf.DUMMYFUNCTION("""COMPUTED_VALUE"""),"Item")</f>
        <v>Item</v>
      </c>
      <c r="D1128" s="16"/>
      <c r="E1128" s="16"/>
      <c r="F1128" s="16"/>
      <c r="G1128" s="16"/>
      <c r="H1128" s="16"/>
      <c r="I1128" s="16"/>
      <c r="J1128" s="16"/>
      <c r="K1128" s="16"/>
      <c r="L1128" s="16"/>
      <c r="M1128" s="16"/>
      <c r="N1128" s="16"/>
      <c r="O1128" s="16"/>
      <c r="P1128" s="16"/>
      <c r="Q1128" s="16"/>
      <c r="R1128" s="16"/>
      <c r="S1128" s="16"/>
      <c r="T1128" s="16"/>
      <c r="U1128" s="16"/>
      <c r="V1128" s="16"/>
      <c r="W1128" s="16"/>
      <c r="X1128" s="16"/>
      <c r="Y1128" s="16"/>
      <c r="Z1128" s="16"/>
    </row>
    <row r="1129">
      <c r="A1129" s="16" t="str">
        <f>IFERROR(__xludf.DUMMYFUNCTION("""COMPUTED_VALUE"""),"Rank 5 Earth Tome")</f>
        <v>Rank 5 Earth Tome</v>
      </c>
      <c r="B1129" s="16" t="str">
        <f>IFERROR(__xludf.DUMMYFUNCTION("""COMPUTED_VALUE"""),"Allows use of up to Rank 5 Earth Powers")</f>
        <v>Allows use of up to Rank 5 Earth Powers</v>
      </c>
      <c r="C1129" s="16" t="str">
        <f>IFERROR(__xludf.DUMMYFUNCTION("""COMPUTED_VALUE"""),"Item")</f>
        <v>Item</v>
      </c>
      <c r="D1129" s="16"/>
      <c r="E1129" s="16"/>
      <c r="F1129" s="16"/>
      <c r="G1129" s="16"/>
      <c r="H1129" s="16"/>
      <c r="I1129" s="16"/>
      <c r="J1129" s="16"/>
      <c r="K1129" s="16"/>
      <c r="L1129" s="16"/>
      <c r="M1129" s="16"/>
      <c r="N1129" s="16"/>
      <c r="O1129" s="16"/>
      <c r="P1129" s="16"/>
      <c r="Q1129" s="16"/>
      <c r="R1129" s="16"/>
      <c r="S1129" s="16"/>
      <c r="T1129" s="16"/>
      <c r="U1129" s="16"/>
      <c r="V1129" s="16"/>
      <c r="W1129" s="16"/>
      <c r="X1129" s="16"/>
      <c r="Y1129" s="16"/>
      <c r="Z1129" s="16"/>
    </row>
    <row r="1130">
      <c r="A1130" s="16" t="str">
        <f>IFERROR(__xludf.DUMMYFUNCTION("""COMPUTED_VALUE"""),"Earth Gem")</f>
        <v>Earth Gem</v>
      </c>
      <c r="B1130" s="16" t="str">
        <f>IFERROR(__xludf.DUMMYFUNCTION("""COMPUTED_VALUE"""),"Crafting Material, roll a d20 to see how many you get if this is a loot drop.")</f>
        <v>Crafting Material, roll a d20 to see how many you get if this is a loot drop.</v>
      </c>
      <c r="C1130" s="16" t="str">
        <f>IFERROR(__xludf.DUMMYFUNCTION("""COMPUTED_VALUE"""),"Item")</f>
        <v>Item</v>
      </c>
      <c r="D1130" s="16"/>
      <c r="E1130" s="16"/>
      <c r="F1130" s="16"/>
      <c r="G1130" s="16"/>
      <c r="H1130" s="16"/>
      <c r="I1130" s="16"/>
      <c r="J1130" s="16"/>
      <c r="K1130" s="16"/>
      <c r="L1130" s="16"/>
      <c r="M1130" s="16"/>
      <c r="N1130" s="16"/>
      <c r="O1130" s="16"/>
      <c r="P1130" s="16"/>
      <c r="Q1130" s="16"/>
      <c r="R1130" s="16"/>
      <c r="S1130" s="16"/>
      <c r="T1130" s="16"/>
      <c r="U1130" s="16"/>
      <c r="V1130" s="16"/>
      <c r="W1130" s="16"/>
      <c r="X1130" s="16"/>
      <c r="Y1130" s="16"/>
      <c r="Z1130" s="16"/>
    </row>
    <row r="1131">
      <c r="A1131" s="16" t="str">
        <f>IFERROR(__xludf.DUMMYFUNCTION("""COMPUTED_VALUE"""),"Key Of Knowledge")</f>
        <v>Key Of Knowledge</v>
      </c>
      <c r="B1131" s="16" t="str">
        <f>IFERROR(__xludf.DUMMYFUNCTION("""COMPUTED_VALUE"""),"grants access to the room of knowledge")</f>
        <v>grants access to the room of knowledge</v>
      </c>
      <c r="C1131" s="16" t="str">
        <f>IFERROR(__xludf.DUMMYFUNCTION("""COMPUTED_VALUE"""),"Item")</f>
        <v>Item</v>
      </c>
      <c r="D1131" s="16"/>
      <c r="E1131" s="16"/>
      <c r="F1131" s="16"/>
      <c r="G1131" s="16"/>
      <c r="H1131" s="16"/>
      <c r="I1131" s="16"/>
      <c r="J1131" s="16"/>
      <c r="K1131" s="16"/>
      <c r="L1131" s="16"/>
      <c r="M1131" s="16"/>
      <c r="N1131" s="16"/>
      <c r="O1131" s="16"/>
      <c r="P1131" s="16"/>
      <c r="Q1131" s="16"/>
      <c r="R1131" s="16"/>
      <c r="S1131" s="16"/>
      <c r="T1131" s="16"/>
      <c r="U1131" s="16"/>
      <c r="V1131" s="16"/>
      <c r="W1131" s="16"/>
      <c r="X1131" s="16"/>
      <c r="Y1131" s="16"/>
      <c r="Z1131" s="16"/>
    </row>
    <row r="1132">
      <c r="A1132" s="16" t="str">
        <f>IFERROR(__xludf.DUMMYFUNCTION("""COMPUTED_VALUE"""),"Medallion 1")</f>
        <v>Medallion 1</v>
      </c>
      <c r="B1132" s="16" t="str">
        <f>IFERROR(__xludf.DUMMYFUNCTION("""COMPUTED_VALUE"""),"Grants access to the Ruins of Mana.")</f>
        <v>Grants access to the Ruins of Mana.</v>
      </c>
      <c r="C1132" s="16" t="str">
        <f>IFERROR(__xludf.DUMMYFUNCTION("""COMPUTED_VALUE"""),"Item")</f>
        <v>Item</v>
      </c>
      <c r="D1132" s="16"/>
      <c r="E1132" s="16"/>
      <c r="F1132" s="16"/>
      <c r="G1132" s="16"/>
      <c r="H1132" s="16"/>
      <c r="I1132" s="16"/>
      <c r="J1132" s="16"/>
      <c r="K1132" s="16"/>
      <c r="L1132" s="16"/>
      <c r="M1132" s="16"/>
      <c r="N1132" s="16"/>
      <c r="O1132" s="16"/>
      <c r="P1132" s="16"/>
      <c r="Q1132" s="16"/>
      <c r="R1132" s="16"/>
      <c r="S1132" s="16"/>
      <c r="T1132" s="16"/>
      <c r="U1132" s="16"/>
      <c r="V1132" s="16"/>
      <c r="W1132" s="16"/>
      <c r="X1132" s="16"/>
      <c r="Y1132" s="16"/>
      <c r="Z1132" s="16"/>
    </row>
    <row r="1133">
      <c r="A1133" s="16" t="str">
        <f>IFERROR(__xludf.DUMMYFUNCTION("""COMPUTED_VALUE"""),"Medallion 2")</f>
        <v>Medallion 2</v>
      </c>
      <c r="B1133" s="16" t="str">
        <f>IFERROR(__xludf.DUMMYFUNCTION("""COMPUTED_VALUE"""),"Grants access to the Ruins of Mana.")</f>
        <v>Grants access to the Ruins of Mana.</v>
      </c>
      <c r="C1133" s="16" t="str">
        <f>IFERROR(__xludf.DUMMYFUNCTION("""COMPUTED_VALUE"""),"Item")</f>
        <v>Item</v>
      </c>
      <c r="D1133" s="16"/>
      <c r="E1133" s="16"/>
      <c r="F1133" s="16"/>
      <c r="G1133" s="16"/>
      <c r="H1133" s="16"/>
      <c r="I1133" s="16"/>
      <c r="J1133" s="16"/>
      <c r="K1133" s="16"/>
      <c r="L1133" s="16"/>
      <c r="M1133" s="16"/>
      <c r="N1133" s="16"/>
      <c r="O1133" s="16"/>
      <c r="P1133" s="16"/>
      <c r="Q1133" s="16"/>
      <c r="R1133" s="16"/>
      <c r="S1133" s="16"/>
      <c r="T1133" s="16"/>
      <c r="U1133" s="16"/>
      <c r="V1133" s="16"/>
      <c r="W1133" s="16"/>
      <c r="X1133" s="16"/>
      <c r="Y1133" s="16"/>
      <c r="Z1133" s="16"/>
    </row>
    <row r="1134">
      <c r="A1134" s="16" t="str">
        <f>IFERROR(__xludf.DUMMYFUNCTION("""COMPUTED_VALUE"""),"Medallion 3")</f>
        <v>Medallion 3</v>
      </c>
      <c r="B1134" s="16" t="str">
        <f>IFERROR(__xludf.DUMMYFUNCTION("""COMPUTED_VALUE"""),"Grants access to the Ruins of Mana.")</f>
        <v>Grants access to the Ruins of Mana.</v>
      </c>
      <c r="C1134" s="16" t="str">
        <f>IFERROR(__xludf.DUMMYFUNCTION("""COMPUTED_VALUE"""),"Item")</f>
        <v>Item</v>
      </c>
      <c r="D1134" s="16"/>
      <c r="E1134" s="16"/>
      <c r="F1134" s="16"/>
      <c r="G1134" s="16"/>
      <c r="H1134" s="16"/>
      <c r="I1134" s="16"/>
      <c r="J1134" s="16"/>
      <c r="K1134" s="16"/>
      <c r="L1134" s="16"/>
      <c r="M1134" s="16"/>
      <c r="N1134" s="16"/>
      <c r="O1134" s="16"/>
      <c r="P1134" s="16"/>
      <c r="Q1134" s="16"/>
      <c r="R1134" s="16"/>
      <c r="S1134" s="16"/>
      <c r="T1134" s="16"/>
      <c r="U1134" s="16"/>
      <c r="V1134" s="16"/>
      <c r="W1134" s="16"/>
      <c r="X1134" s="16"/>
      <c r="Y1134" s="16"/>
      <c r="Z1134" s="16"/>
    </row>
    <row r="1135">
      <c r="A1135" s="16" t="str">
        <f>IFERROR(__xludf.DUMMYFUNCTION("""COMPUTED_VALUE"""),"Medallion 4")</f>
        <v>Medallion 4</v>
      </c>
      <c r="B1135" s="16" t="str">
        <f>IFERROR(__xludf.DUMMYFUNCTION("""COMPUTED_VALUE"""),"Grants access to the Ruins of Mana.")</f>
        <v>Grants access to the Ruins of Mana.</v>
      </c>
      <c r="C1135" s="16" t="str">
        <f>IFERROR(__xludf.DUMMYFUNCTION("""COMPUTED_VALUE"""),"Item")</f>
        <v>Item</v>
      </c>
      <c r="D1135" s="16"/>
      <c r="E1135" s="16"/>
      <c r="F1135" s="16"/>
      <c r="G1135" s="16"/>
      <c r="H1135" s="16"/>
      <c r="I1135" s="16"/>
      <c r="J1135" s="16"/>
      <c r="K1135" s="16"/>
      <c r="L1135" s="16"/>
      <c r="M1135" s="16"/>
      <c r="N1135" s="16"/>
      <c r="O1135" s="16"/>
      <c r="P1135" s="16"/>
      <c r="Q1135" s="16"/>
      <c r="R1135" s="16"/>
      <c r="S1135" s="16"/>
      <c r="T1135" s="16"/>
      <c r="U1135" s="16"/>
      <c r="V1135" s="16"/>
      <c r="W1135" s="16"/>
      <c r="X1135" s="16"/>
      <c r="Y1135" s="16"/>
      <c r="Z1135" s="16"/>
    </row>
    <row r="1136">
      <c r="A1136" s="16" t="str">
        <f>IFERROR(__xludf.DUMMYFUNCTION("""COMPUTED_VALUE"""),"Enchanted Ice Gem")</f>
        <v>Enchanted Ice Gem</v>
      </c>
      <c r="B1136" s="16" t="str">
        <f>IFERROR(__xludf.DUMMYFUNCTION("""COMPUTED_VALUE"""),"Crafting Material, roll a d20 to see how many you get if this is a loot drop., can be forged into an weapon to give it +5%  chance of freezing 1 target. can forge multiple of these gems together to increase the percentage to a max of 100%")</f>
        <v>Crafting Material, roll a d20 to see how many you get if this is a loot drop., can be forged into an weapon to give it +5%  chance of freezing 1 target. can forge multiple of these gems together to increase the percentage to a max of 100%</v>
      </c>
      <c r="C1136" s="16" t="str">
        <f>IFERROR(__xludf.DUMMYFUNCTION("""COMPUTED_VALUE"""),"Item")</f>
        <v>Item</v>
      </c>
      <c r="D1136" s="16"/>
      <c r="E1136" s="16"/>
      <c r="F1136" s="16"/>
      <c r="G1136" s="16"/>
      <c r="H1136" s="16"/>
      <c r="I1136" s="16"/>
      <c r="J1136" s="16"/>
      <c r="K1136" s="16"/>
      <c r="L1136" s="16"/>
      <c r="M1136" s="16"/>
      <c r="N1136" s="16"/>
      <c r="O1136" s="16"/>
      <c r="P1136" s="16"/>
      <c r="Q1136" s="16"/>
      <c r="R1136" s="16"/>
      <c r="S1136" s="16"/>
      <c r="T1136" s="16"/>
      <c r="U1136" s="16"/>
      <c r="V1136" s="16"/>
      <c r="W1136" s="16"/>
      <c r="X1136" s="16"/>
      <c r="Y1136" s="16"/>
      <c r="Z1136" s="16"/>
    </row>
    <row r="1137">
      <c r="A1137" s="16" t="str">
        <f>IFERROR(__xludf.DUMMYFUNCTION("""COMPUTED_VALUE"""),"Carnelian Crystal")</f>
        <v>Carnelian Crystal</v>
      </c>
      <c r="B1137" s="16" t="str">
        <f>IFERROR(__xludf.DUMMYFUNCTION("""COMPUTED_VALUE"""),"Can be forged into armor, one crystal max inside forged equipment. +2 Mobility  ")</f>
        <v>Can be forged into armor, one crystal max inside forged equipment. +2 Mobility  </v>
      </c>
      <c r="C1137" s="16" t="str">
        <f>IFERROR(__xludf.DUMMYFUNCTION("""COMPUTED_VALUE"""),"Item")</f>
        <v>Item</v>
      </c>
      <c r="D1137" s="16"/>
      <c r="E1137" s="16"/>
      <c r="F1137" s="16"/>
      <c r="G1137" s="16"/>
      <c r="H1137" s="16"/>
      <c r="I1137" s="16"/>
      <c r="J1137" s="16"/>
      <c r="K1137" s="16"/>
      <c r="L1137" s="16"/>
      <c r="M1137" s="16"/>
      <c r="N1137" s="16"/>
      <c r="O1137" s="16"/>
      <c r="P1137" s="16"/>
      <c r="Q1137" s="16"/>
      <c r="R1137" s="16"/>
      <c r="S1137" s="16"/>
      <c r="T1137" s="16"/>
      <c r="U1137" s="16"/>
      <c r="V1137" s="16"/>
      <c r="W1137" s="16"/>
      <c r="X1137" s="16"/>
      <c r="Y1137" s="16"/>
      <c r="Z1137" s="16"/>
    </row>
    <row r="1138">
      <c r="A1138" s="16" t="str">
        <f>IFERROR(__xludf.DUMMYFUNCTION("""COMPUTED_VALUE"""),"Citrine Crystal")</f>
        <v>Citrine Crystal</v>
      </c>
      <c r="B1138" s="16" t="str">
        <f>IFERROR(__xludf.DUMMYFUNCTION("""COMPUTED_VALUE"""),"Can be forged into armor, one crystal max inside forged equipment. 25% chance to move up one spot in the turn order this effect is unnaffected by other forged items/effects.")</f>
        <v>Can be forged into armor, one crystal max inside forged equipment. 25% chance to move up one spot in the turn order this effect is unnaffected by other forged items/effects.</v>
      </c>
      <c r="C1138" s="16" t="str">
        <f>IFERROR(__xludf.DUMMYFUNCTION("""COMPUTED_VALUE"""),"Item")</f>
        <v>Item</v>
      </c>
      <c r="D1138" s="16"/>
      <c r="E1138" s="16"/>
      <c r="F1138" s="16"/>
      <c r="G1138" s="16"/>
      <c r="H1138" s="16"/>
      <c r="I1138" s="16"/>
      <c r="J1138" s="16"/>
      <c r="K1138" s="16"/>
      <c r="L1138" s="16"/>
      <c r="M1138" s="16"/>
      <c r="N1138" s="16"/>
      <c r="O1138" s="16"/>
      <c r="P1138" s="16"/>
      <c r="Q1138" s="16"/>
      <c r="R1138" s="16"/>
      <c r="S1138" s="16"/>
      <c r="T1138" s="16"/>
      <c r="U1138" s="16"/>
      <c r="V1138" s="16"/>
      <c r="W1138" s="16"/>
      <c r="X1138" s="16"/>
      <c r="Y1138" s="16"/>
      <c r="Z1138" s="16"/>
    </row>
    <row r="1139">
      <c r="A1139" s="16" t="str">
        <f>IFERROR(__xludf.DUMMYFUNCTION("""COMPUTED_VALUE"""),"Tiger's Eye Crystal")</f>
        <v>Tiger's Eye Crystal</v>
      </c>
      <c r="B1139" s="16" t="str">
        <f>IFERROR(__xludf.DUMMYFUNCTION("""COMPUTED_VALUE"""),"Can be forged into a weapon, one crystal max inside forged equipment. 25% chance to dodge an attack, this effect is unnaffected by other forged items/effects.")</f>
        <v>Can be forged into a weapon, one crystal max inside forged equipment. 25% chance to dodge an attack, this effect is unnaffected by other forged items/effects.</v>
      </c>
      <c r="C1139" s="16" t="str">
        <f>IFERROR(__xludf.DUMMYFUNCTION("""COMPUTED_VALUE"""),"Item")</f>
        <v>Item</v>
      </c>
      <c r="D1139" s="16"/>
      <c r="E1139" s="16"/>
      <c r="F1139" s="16"/>
      <c r="G1139" s="16"/>
      <c r="H1139" s="16"/>
      <c r="I1139" s="16"/>
      <c r="J1139" s="16"/>
      <c r="K1139" s="16"/>
      <c r="L1139" s="16"/>
      <c r="M1139" s="16"/>
      <c r="N1139" s="16"/>
      <c r="O1139" s="16"/>
      <c r="P1139" s="16"/>
      <c r="Q1139" s="16"/>
      <c r="R1139" s="16"/>
      <c r="S1139" s="16"/>
      <c r="T1139" s="16"/>
      <c r="U1139" s="16"/>
      <c r="V1139" s="16"/>
      <c r="W1139" s="16"/>
      <c r="X1139" s="16"/>
      <c r="Y1139" s="16"/>
      <c r="Z1139" s="16"/>
    </row>
    <row r="1140">
      <c r="A1140" s="16" t="str">
        <f>IFERROR(__xludf.DUMMYFUNCTION("""COMPUTED_VALUE"""),"Lodestone Crystal")</f>
        <v>Lodestone Crystal</v>
      </c>
      <c r="B1140" s="16" t="str">
        <f>IFERROR(__xludf.DUMMYFUNCTION("""COMPUTED_VALUE"""),"Can be forged into a weapon, one crystal max inside forged equipment. absorbs the first attack of each battle.")</f>
        <v>Can be forged into a weapon, one crystal max inside forged equipment. absorbs the first attack of each battle.</v>
      </c>
      <c r="C1140" s="16" t="str">
        <f>IFERROR(__xludf.DUMMYFUNCTION("""COMPUTED_VALUE"""),"Item")</f>
        <v>Item</v>
      </c>
      <c r="D1140" s="16"/>
      <c r="E1140" s="16"/>
      <c r="F1140" s="16"/>
      <c r="G1140" s="16"/>
      <c r="H1140" s="16"/>
      <c r="I1140" s="16"/>
      <c r="J1140" s="16"/>
      <c r="K1140" s="16"/>
      <c r="L1140" s="16"/>
      <c r="M1140" s="16"/>
      <c r="N1140" s="16"/>
      <c r="O1140" s="16"/>
      <c r="P1140" s="16"/>
      <c r="Q1140" s="16"/>
      <c r="R1140" s="16"/>
      <c r="S1140" s="16"/>
      <c r="T1140" s="16"/>
      <c r="U1140" s="16"/>
      <c r="V1140" s="16"/>
      <c r="W1140" s="16"/>
      <c r="X1140" s="16"/>
      <c r="Y1140" s="16"/>
      <c r="Z1140" s="16"/>
    </row>
    <row r="1141">
      <c r="A1141" s="16" t="str">
        <f>IFERROR(__xludf.DUMMYFUNCTION("""COMPUTED_VALUE"""),"Peridot Crystal")</f>
        <v>Peridot Crystal</v>
      </c>
      <c r="B1141" s="16" t="str">
        <f>IFERROR(__xludf.DUMMYFUNCTION("""COMPUTED_VALUE"""),"Can be forged into a armor, one crystal max inside forged equipment. +300HP per round.")</f>
        <v>Can be forged into a armor, one crystal max inside forged equipment. +300HP per round.</v>
      </c>
      <c r="C1141" s="16" t="str">
        <f>IFERROR(__xludf.DUMMYFUNCTION("""COMPUTED_VALUE"""),"Item")</f>
        <v>Item</v>
      </c>
      <c r="D1141" s="16"/>
      <c r="E1141" s="16"/>
      <c r="F1141" s="16"/>
      <c r="G1141" s="16"/>
      <c r="H1141" s="16"/>
      <c r="I1141" s="16"/>
      <c r="J1141" s="16"/>
      <c r="K1141" s="16"/>
      <c r="L1141" s="16"/>
      <c r="M1141" s="16"/>
      <c r="N1141" s="16"/>
      <c r="O1141" s="16"/>
      <c r="P1141" s="16"/>
      <c r="Q1141" s="16"/>
      <c r="R1141" s="16"/>
      <c r="S1141" s="16"/>
      <c r="T1141" s="16"/>
      <c r="U1141" s="16"/>
      <c r="V1141" s="16"/>
      <c r="W1141" s="16"/>
      <c r="X1141" s="16"/>
      <c r="Y1141" s="16"/>
      <c r="Z1141" s="16"/>
    </row>
    <row r="1142">
      <c r="A1142" s="16" t="str">
        <f>IFERROR(__xludf.DUMMYFUNCTION("""COMPUTED_VALUE"""),"Golden Topaz")</f>
        <v>Golden Topaz</v>
      </c>
      <c r="B1142" s="16" t="str">
        <f>IFERROR(__xludf.DUMMYFUNCTION("""COMPUTED_VALUE"""),"Can be forged into a armor, one crystal max inside forged equipment. 50% chance to cure a curse for user only while cursed, this effect is unnaffected by other forged items/effects.")</f>
        <v>Can be forged into a armor, one crystal max inside forged equipment. 50% chance to cure a curse for user only while cursed, this effect is unnaffected by other forged items/effects.</v>
      </c>
      <c r="C1142" s="16" t="str">
        <f>IFERROR(__xludf.DUMMYFUNCTION("""COMPUTED_VALUE"""),"Item")</f>
        <v>Item</v>
      </c>
      <c r="D1142" s="16"/>
      <c r="E1142" s="16"/>
      <c r="F1142" s="16"/>
      <c r="G1142" s="16"/>
      <c r="H1142" s="16"/>
      <c r="I1142" s="16"/>
      <c r="J1142" s="16"/>
      <c r="K1142" s="16"/>
      <c r="L1142" s="16"/>
      <c r="M1142" s="16"/>
      <c r="N1142" s="16"/>
      <c r="O1142" s="16"/>
      <c r="P1142" s="16"/>
      <c r="Q1142" s="16"/>
      <c r="R1142" s="16"/>
      <c r="S1142" s="16"/>
      <c r="T1142" s="16"/>
      <c r="U1142" s="16"/>
      <c r="V1142" s="16"/>
      <c r="W1142" s="16"/>
      <c r="X1142" s="16"/>
      <c r="Y1142" s="16"/>
      <c r="Z1142" s="16"/>
    </row>
    <row r="1143">
      <c r="A1143" s="16" t="str">
        <f>IFERROR(__xludf.DUMMYFUNCTION("""COMPUTED_VALUE"""),"Sea Crystal ")</f>
        <v>Sea Crystal </v>
      </c>
      <c r="B1143" s="16" t="str">
        <f>IFERROR(__xludf.DUMMYFUNCTION("""COMPUTED_VALUE"""),"Can be forged into an item. all water damage now gives hp and sp back equal to the amount of damage caused. Cannot be duplicated.")</f>
        <v>Can be forged into an item. all water damage now gives hp and sp back equal to the amount of damage caused. Cannot be duplicated.</v>
      </c>
      <c r="C1143" s="16" t="str">
        <f>IFERROR(__xludf.DUMMYFUNCTION("""COMPUTED_VALUE"""),"Item")</f>
        <v>Item</v>
      </c>
      <c r="D1143" s="16"/>
      <c r="E1143" s="16"/>
      <c r="F1143" s="16"/>
      <c r="G1143" s="16"/>
      <c r="H1143" s="16"/>
      <c r="I1143" s="16"/>
      <c r="J1143" s="16"/>
      <c r="K1143" s="16"/>
      <c r="L1143" s="16"/>
      <c r="M1143" s="16"/>
      <c r="N1143" s="16"/>
      <c r="O1143" s="16"/>
      <c r="P1143" s="16"/>
      <c r="Q1143" s="16"/>
      <c r="R1143" s="16"/>
      <c r="S1143" s="16"/>
      <c r="T1143" s="16"/>
      <c r="U1143" s="16"/>
      <c r="V1143" s="16"/>
      <c r="W1143" s="16"/>
      <c r="X1143" s="16"/>
      <c r="Y1143" s="16"/>
      <c r="Z1143" s="16"/>
    </row>
    <row r="1144">
      <c r="A1144" s="16" t="str">
        <f>IFERROR(__xludf.DUMMYFUNCTION("""COMPUTED_VALUE"""),"The Root Of Nature")</f>
        <v>The Root Of Nature</v>
      </c>
      <c r="B1144" s="16" t="str">
        <f>IFERROR(__xludf.DUMMYFUNCTION("""COMPUTED_VALUE"""),"Can be brewed into a potion then consumed to give the user permanant immunity to nature and give the user a permanant x10 to nature damage. Cannot be duplicated.")</f>
        <v>Can be brewed into a potion then consumed to give the user permanant immunity to nature and give the user a permanant x10 to nature damage. Cannot be duplicated.</v>
      </c>
      <c r="C1144" s="16" t="str">
        <f>IFERROR(__xludf.DUMMYFUNCTION("""COMPUTED_VALUE"""),"Item")</f>
        <v>Item</v>
      </c>
      <c r="D1144" s="16"/>
      <c r="E1144" s="16"/>
      <c r="F1144" s="16"/>
      <c r="G1144" s="16"/>
      <c r="H1144" s="16"/>
      <c r="I1144" s="16"/>
      <c r="J1144" s="16"/>
      <c r="K1144" s="16"/>
      <c r="L1144" s="16"/>
      <c r="M1144" s="16"/>
      <c r="N1144" s="16"/>
      <c r="O1144" s="16"/>
      <c r="P1144" s="16"/>
      <c r="Q1144" s="16"/>
      <c r="R1144" s="16"/>
      <c r="S1144" s="16"/>
      <c r="T1144" s="16"/>
      <c r="U1144" s="16"/>
      <c r="V1144" s="16"/>
      <c r="W1144" s="16"/>
      <c r="X1144" s="16"/>
      <c r="Y1144" s="16"/>
      <c r="Z1144" s="16"/>
    </row>
    <row r="1145">
      <c r="A1145" s="16" t="str">
        <f>IFERROR(__xludf.DUMMYFUNCTION("""COMPUTED_VALUE"""),"Rich Sand")</f>
        <v>Rich Sand</v>
      </c>
      <c r="B1145" s="16" t="str">
        <f>IFERROR(__xludf.DUMMYFUNCTION("""COMPUTED_VALUE"""),"can be forged into armor to give the user an immunity to earth and X10 earth damage. Cannot be duplicated.")</f>
        <v>can be forged into armor to give the user an immunity to earth and X10 earth damage. Cannot be duplicated.</v>
      </c>
      <c r="C1145" s="16" t="str">
        <f>IFERROR(__xludf.DUMMYFUNCTION("""COMPUTED_VALUE"""),"Item")</f>
        <v>Item</v>
      </c>
      <c r="D1145" s="16"/>
      <c r="E1145" s="16"/>
      <c r="F1145" s="16"/>
      <c r="G1145" s="16"/>
      <c r="H1145" s="16"/>
      <c r="I1145" s="16"/>
      <c r="J1145" s="16"/>
      <c r="K1145" s="16"/>
      <c r="L1145" s="16"/>
      <c r="M1145" s="16"/>
      <c r="N1145" s="16"/>
      <c r="O1145" s="16"/>
      <c r="P1145" s="16"/>
      <c r="Q1145" s="16"/>
      <c r="R1145" s="16"/>
      <c r="S1145" s="16"/>
      <c r="T1145" s="16"/>
      <c r="U1145" s="16"/>
      <c r="V1145" s="16"/>
      <c r="W1145" s="16"/>
      <c r="X1145" s="16"/>
      <c r="Y1145" s="16"/>
      <c r="Z1145" s="16"/>
    </row>
    <row r="1146">
      <c r="A1146" s="16" t="str">
        <f>IFERROR(__xludf.DUMMYFUNCTION("""COMPUTED_VALUE"""),"Sacred Sap")</f>
        <v>Sacred Sap</v>
      </c>
      <c r="B1146" s="16" t="str">
        <f>IFERROR(__xludf.DUMMYFUNCTION("""COMPUTED_VALUE"""),"Can be brewed into a potion then consumed to gain 200 levels. Cannot be duplicated.")</f>
        <v>Can be brewed into a potion then consumed to gain 200 levels. Cannot be duplicated.</v>
      </c>
      <c r="C1146" s="16" t="str">
        <f>IFERROR(__xludf.DUMMYFUNCTION("""COMPUTED_VALUE"""),"Item")</f>
        <v>Item</v>
      </c>
      <c r="D1146" s="16"/>
      <c r="E1146" s="16"/>
      <c r="F1146" s="16"/>
      <c r="G1146" s="16"/>
      <c r="H1146" s="16"/>
      <c r="I1146" s="16"/>
      <c r="J1146" s="16"/>
      <c r="K1146" s="16"/>
      <c r="L1146" s="16"/>
      <c r="M1146" s="16"/>
      <c r="N1146" s="16"/>
      <c r="O1146" s="16"/>
      <c r="P1146" s="16"/>
      <c r="Q1146" s="16"/>
      <c r="R1146" s="16"/>
      <c r="S1146" s="16"/>
      <c r="T1146" s="16"/>
      <c r="U1146" s="16"/>
      <c r="V1146" s="16"/>
      <c r="W1146" s="16"/>
      <c r="X1146" s="16"/>
      <c r="Y1146" s="16"/>
      <c r="Z1146" s="16"/>
    </row>
    <row r="1147">
      <c r="A1147" s="16" t="str">
        <f>IFERROR(__xludf.DUMMYFUNCTION("""COMPUTED_VALUE"""),"Frozen Shard")</f>
        <v>Frozen Shard</v>
      </c>
      <c r="B1147" s="16" t="str">
        <f>IFERROR(__xludf.DUMMYFUNCTION("""COMPUTED_VALUE"""),"Can be forged into a weapon to give it a 100% chance to freeze a target it hits, or forged into a piece of armor to give you immunity to freezing. Cannot be duplicated.")</f>
        <v>Can be forged into a weapon to give it a 100% chance to freeze a target it hits, or forged into a piece of armor to give you immunity to freezing. Cannot be duplicated.</v>
      </c>
      <c r="C1147" s="16" t="str">
        <f>IFERROR(__xludf.DUMMYFUNCTION("""COMPUTED_VALUE"""),"Item")</f>
        <v>Item</v>
      </c>
      <c r="D1147" s="16"/>
      <c r="E1147" s="16"/>
      <c r="F1147" s="16"/>
      <c r="G1147" s="16"/>
      <c r="H1147" s="16"/>
      <c r="I1147" s="16"/>
      <c r="J1147" s="16"/>
      <c r="K1147" s="16"/>
      <c r="L1147" s="16"/>
      <c r="M1147" s="16"/>
      <c r="N1147" s="16"/>
      <c r="O1147" s="16"/>
      <c r="P1147" s="16"/>
      <c r="Q1147" s="16"/>
      <c r="R1147" s="16"/>
      <c r="S1147" s="16"/>
      <c r="T1147" s="16"/>
      <c r="U1147" s="16"/>
      <c r="V1147" s="16"/>
      <c r="W1147" s="16"/>
      <c r="X1147" s="16"/>
      <c r="Y1147" s="16"/>
      <c r="Z1147" s="16"/>
    </row>
    <row r="1148">
      <c r="A1148" s="16" t="str">
        <f>IFERROR(__xludf.DUMMYFUNCTION("""COMPUTED_VALUE"""),"Tome of Chaotic Darkness")</f>
        <v>Tome of Chaotic Darkness</v>
      </c>
      <c r="B1148" s="16" t="str">
        <f>IFERROR(__xludf.DUMMYFUNCTION("""COMPUTED_VALUE"""),"Allows use of up to Rank 9 Dark and Chaos Powers.")</f>
        <v>Allows use of up to Rank 9 Dark and Chaos Powers.</v>
      </c>
      <c r="C1148" s="16" t="str">
        <f>IFERROR(__xludf.DUMMYFUNCTION("""COMPUTED_VALUE"""),"Item")</f>
        <v>Item</v>
      </c>
      <c r="D1148" s="16"/>
      <c r="E1148" s="16"/>
      <c r="F1148" s="16"/>
      <c r="G1148" s="16"/>
      <c r="H1148" s="16"/>
      <c r="I1148" s="16"/>
      <c r="J1148" s="16"/>
      <c r="K1148" s="16"/>
      <c r="L1148" s="16"/>
      <c r="M1148" s="16"/>
      <c r="N1148" s="16"/>
      <c r="O1148" s="16"/>
      <c r="P1148" s="16"/>
      <c r="Q1148" s="16"/>
      <c r="R1148" s="16"/>
      <c r="S1148" s="16"/>
      <c r="T1148" s="16"/>
      <c r="U1148" s="16"/>
      <c r="V1148" s="16"/>
      <c r="W1148" s="16"/>
      <c r="X1148" s="16"/>
      <c r="Y1148" s="16"/>
      <c r="Z1148" s="16"/>
    </row>
    <row r="1149">
      <c r="A1149" s="16" t="str">
        <f>IFERROR(__xludf.DUMMYFUNCTION("""COMPUTED_VALUE"""),"The Land of The Forgotten Map")</f>
        <v>The Land of The Forgotten Map</v>
      </c>
      <c r="B1149" s="16" t="str">
        <f>IFERROR(__xludf.DUMMYFUNCTION("""COMPUTED_VALUE"""),"Shows you where to find The Land of The Forgotten.")</f>
        <v>Shows you where to find The Land of The Forgotten.</v>
      </c>
      <c r="C1149" s="16" t="str">
        <f>IFERROR(__xludf.DUMMYFUNCTION("""COMPUTED_VALUE"""),"Item")</f>
        <v>Item</v>
      </c>
      <c r="D1149" s="16"/>
      <c r="E1149" s="16"/>
      <c r="F1149" s="16"/>
      <c r="G1149" s="16"/>
      <c r="H1149" s="16"/>
      <c r="I1149" s="16"/>
      <c r="J1149" s="16"/>
      <c r="K1149" s="16"/>
      <c r="L1149" s="16"/>
      <c r="M1149" s="16"/>
      <c r="N1149" s="16"/>
      <c r="O1149" s="16"/>
      <c r="P1149" s="16"/>
      <c r="Q1149" s="16"/>
      <c r="R1149" s="16"/>
      <c r="S1149" s="16"/>
      <c r="T1149" s="16"/>
      <c r="U1149" s="16"/>
      <c r="V1149" s="16"/>
      <c r="W1149" s="16"/>
      <c r="X1149" s="16"/>
      <c r="Y1149" s="16"/>
      <c r="Z1149" s="16"/>
    </row>
    <row r="1150">
      <c r="A1150" s="16" t="str">
        <f>IFERROR(__xludf.DUMMYFUNCTION("""COMPUTED_VALUE"""),"Corn On The Cob")</f>
        <v>Corn On The Cob</v>
      </c>
      <c r="B1150" s="16" t="str">
        <f>IFERROR(__xludf.DUMMYFUNCTION("""COMPUTED_VALUE"""),"Restores 10 hunger.")</f>
        <v>Restores 10 hunger.</v>
      </c>
      <c r="C1150" s="16" t="str">
        <f>IFERROR(__xludf.DUMMYFUNCTION("""COMPUTED_VALUE"""),"Crop")</f>
        <v>Crop</v>
      </c>
      <c r="D1150" s="16"/>
      <c r="E1150" s="16"/>
      <c r="F1150" s="16"/>
      <c r="G1150" s="16"/>
      <c r="H1150" s="16"/>
      <c r="I1150" s="16"/>
      <c r="J1150" s="16"/>
      <c r="K1150" s="16"/>
      <c r="L1150" s="16"/>
      <c r="M1150" s="16"/>
      <c r="N1150" s="16"/>
      <c r="O1150" s="16"/>
      <c r="P1150" s="16"/>
      <c r="Q1150" s="16"/>
      <c r="R1150" s="16"/>
      <c r="S1150" s="16"/>
      <c r="T1150" s="16"/>
      <c r="U1150" s="16"/>
      <c r="V1150" s="16"/>
      <c r="W1150" s="16"/>
      <c r="X1150" s="16"/>
      <c r="Y1150" s="16"/>
      <c r="Z1150" s="16"/>
    </row>
    <row r="1151">
      <c r="A1151" s="16" t="str">
        <f>IFERROR(__xludf.DUMMYFUNCTION("""COMPUTED_VALUE"""),"Festival Bread Loaf")</f>
        <v>Festival Bread Loaf</v>
      </c>
      <c r="B1151" s="16" t="str">
        <f>IFERROR(__xludf.DUMMYFUNCTION("""COMPUTED_VALUE"""),"Restores 30 hunger and decreases 10 thirst.")</f>
        <v>Restores 30 hunger and decreases 10 thirst.</v>
      </c>
      <c r="C1151" s="16" t="str">
        <f>IFERROR(__xludf.DUMMYFUNCTION("""COMPUTED_VALUE"""),"Crop")</f>
        <v>Crop</v>
      </c>
      <c r="D1151" s="16"/>
      <c r="E1151" s="16"/>
      <c r="F1151" s="16"/>
      <c r="G1151" s="16"/>
      <c r="H1151" s="16"/>
      <c r="I1151" s="16"/>
      <c r="J1151" s="16"/>
      <c r="K1151" s="16"/>
      <c r="L1151" s="16"/>
      <c r="M1151" s="16"/>
      <c r="N1151" s="16"/>
      <c r="O1151" s="16"/>
      <c r="P1151" s="16"/>
      <c r="Q1151" s="16"/>
      <c r="R1151" s="16"/>
      <c r="S1151" s="16"/>
      <c r="T1151" s="16"/>
      <c r="U1151" s="16"/>
      <c r="V1151" s="16"/>
      <c r="W1151" s="16"/>
      <c r="X1151" s="16"/>
      <c r="Y1151" s="16"/>
      <c r="Z1151" s="16"/>
    </row>
    <row r="1152">
      <c r="A1152" s="16" t="str">
        <f>IFERROR(__xludf.DUMMYFUNCTION("""COMPUTED_VALUE"""),"Fruit Cake")</f>
        <v>Fruit Cake</v>
      </c>
      <c r="B1152" s="16" t="str">
        <f>IFERROR(__xludf.DUMMYFUNCTION("""COMPUTED_VALUE"""),"Restores 20 energy and hunger")</f>
        <v>Restores 20 energy and hunger</v>
      </c>
      <c r="C1152" s="16" t="str">
        <f>IFERROR(__xludf.DUMMYFUNCTION("""COMPUTED_VALUE"""),"Crop")</f>
        <v>Crop</v>
      </c>
      <c r="D1152" s="16"/>
      <c r="E1152" s="16"/>
      <c r="F1152" s="16"/>
      <c r="G1152" s="16"/>
      <c r="H1152" s="16"/>
      <c r="I1152" s="16"/>
      <c r="J1152" s="16"/>
      <c r="K1152" s="16"/>
      <c r="L1152" s="16"/>
      <c r="M1152" s="16"/>
      <c r="N1152" s="16"/>
      <c r="O1152" s="16"/>
      <c r="P1152" s="16"/>
      <c r="Q1152" s="16"/>
      <c r="R1152" s="16"/>
      <c r="S1152" s="16"/>
      <c r="T1152" s="16"/>
      <c r="U1152" s="16"/>
      <c r="V1152" s="16"/>
      <c r="W1152" s="16"/>
      <c r="X1152" s="16"/>
      <c r="Y1152" s="16"/>
      <c r="Z1152" s="16"/>
    </row>
    <row r="1153">
      <c r="A1153" s="16" t="str">
        <f>IFERROR(__xludf.DUMMYFUNCTION("""COMPUTED_VALUE"""),"Festival Mead")</f>
        <v>Festival Mead</v>
      </c>
      <c r="B1153" s="16" t="str">
        <f>IFERROR(__xludf.DUMMYFUNCTION("""COMPUTED_VALUE"""),"Restores 20 thirst.")</f>
        <v>Restores 20 thirst.</v>
      </c>
      <c r="C1153" s="16" t="str">
        <f>IFERROR(__xludf.DUMMYFUNCTION("""COMPUTED_VALUE"""),"Item")</f>
        <v>Item</v>
      </c>
      <c r="D1153" s="16"/>
      <c r="E1153" s="16"/>
      <c r="F1153" s="16"/>
      <c r="G1153" s="16"/>
      <c r="H1153" s="16"/>
      <c r="I1153" s="16"/>
      <c r="J1153" s="16"/>
      <c r="K1153" s="16"/>
      <c r="L1153" s="16"/>
      <c r="M1153" s="16"/>
      <c r="N1153" s="16"/>
      <c r="O1153" s="16"/>
      <c r="P1153" s="16"/>
      <c r="Q1153" s="16"/>
      <c r="R1153" s="16"/>
      <c r="S1153" s="16"/>
      <c r="T1153" s="16"/>
      <c r="U1153" s="16"/>
      <c r="V1153" s="16"/>
      <c r="W1153" s="16"/>
      <c r="X1153" s="16"/>
      <c r="Y1153" s="16"/>
      <c r="Z1153" s="16"/>
    </row>
    <row r="1154">
      <c r="A1154" s="16" t="str">
        <f>IFERROR(__xludf.DUMMYFUNCTION("""COMPUTED_VALUE"""),"Lemonade")</f>
        <v>Lemonade</v>
      </c>
      <c r="B1154" s="16" t="str">
        <f>IFERROR(__xludf.DUMMYFUNCTION("""COMPUTED_VALUE"""),"Restores 10 thirst and energy.")</f>
        <v>Restores 10 thirst and energy.</v>
      </c>
      <c r="C1154" s="16" t="str">
        <f>IFERROR(__xludf.DUMMYFUNCTION("""COMPUTED_VALUE"""),"Item")</f>
        <v>Item</v>
      </c>
      <c r="D1154" s="16"/>
      <c r="E1154" s="16"/>
      <c r="F1154" s="16"/>
      <c r="G1154" s="16"/>
      <c r="H1154" s="16"/>
      <c r="I1154" s="16"/>
      <c r="J1154" s="16"/>
      <c r="K1154" s="16"/>
      <c r="L1154" s="16"/>
      <c r="M1154" s="16"/>
      <c r="N1154" s="16"/>
      <c r="O1154" s="16"/>
      <c r="P1154" s="16"/>
      <c r="Q1154" s="16"/>
      <c r="R1154" s="16"/>
      <c r="S1154" s="16"/>
      <c r="T1154" s="16"/>
      <c r="U1154" s="16"/>
      <c r="V1154" s="16"/>
      <c r="W1154" s="16"/>
      <c r="X1154" s="16"/>
      <c r="Y1154" s="16"/>
      <c r="Z1154" s="16"/>
    </row>
    <row r="1155">
      <c r="A1155" s="16" t="str">
        <f>IFERROR(__xludf.DUMMYFUNCTION("""COMPUTED_VALUE"""),"Forbidden Amulet Shard")</f>
        <v>Forbidden Amulet Shard</v>
      </c>
      <c r="B1155" s="16" t="str">
        <f>IFERROR(__xludf.DUMMYFUNCTION("""COMPUTED_VALUE"""),"A piece of shard that is used to create The Forbidden Amulet of The Halloween Kingdom when you collect all of the pieces.")</f>
        <v>A piece of shard that is used to create The Forbidden Amulet of The Halloween Kingdom when you collect all of the pieces.</v>
      </c>
      <c r="C1155" s="16" t="str">
        <f>IFERROR(__xludf.DUMMYFUNCTION("""COMPUTED_VALUE"""),"Item")</f>
        <v>Item</v>
      </c>
      <c r="D1155" s="16"/>
      <c r="E1155" s="16"/>
      <c r="F1155" s="16"/>
      <c r="G1155" s="16"/>
      <c r="H1155" s="16"/>
      <c r="I1155" s="16"/>
      <c r="J1155" s="16"/>
      <c r="K1155" s="16"/>
      <c r="L1155" s="16"/>
      <c r="M1155" s="16"/>
      <c r="N1155" s="16"/>
      <c r="O1155" s="16"/>
      <c r="P1155" s="16"/>
      <c r="Q1155" s="16"/>
      <c r="R1155" s="16"/>
      <c r="S1155" s="16"/>
      <c r="T1155" s="16"/>
      <c r="U1155" s="16"/>
      <c r="V1155" s="16"/>
      <c r="W1155" s="16"/>
      <c r="X1155" s="16"/>
      <c r="Y1155" s="16"/>
      <c r="Z1155" s="16"/>
    </row>
    <row r="1156">
      <c r="A1156" s="16" t="str">
        <f>IFERROR(__xludf.DUMMYFUNCTION("""COMPUTED_VALUE"""),"The Forbidden Amulet of The Halloween Kingdom.")</f>
        <v>The Forbidden Amulet of The Halloween Kingdom.</v>
      </c>
      <c r="B1156" s="16" t="str">
        <f>IFERROR(__xludf.DUMMYFUNCTION("""COMPUTED_VALUE"""),"An amulet used to break the barrier on Lord Dreadfuls castle in the Halloween Kingdom.")</f>
        <v>An amulet used to break the barrier on Lord Dreadfuls castle in the Halloween Kingdom.</v>
      </c>
      <c r="C1156" s="16" t="str">
        <f>IFERROR(__xludf.DUMMYFUNCTION("""COMPUTED_VALUE"""),"Item")</f>
        <v>Item</v>
      </c>
      <c r="D1156" s="16"/>
      <c r="E1156" s="16"/>
      <c r="F1156" s="16"/>
      <c r="G1156" s="16"/>
      <c r="H1156" s="16"/>
      <c r="I1156" s="16"/>
      <c r="J1156" s="16"/>
      <c r="K1156" s="16"/>
      <c r="L1156" s="16"/>
      <c r="M1156" s="16"/>
      <c r="N1156" s="16"/>
      <c r="O1156" s="16"/>
      <c r="P1156" s="16"/>
      <c r="Q1156" s="16"/>
      <c r="R1156" s="16"/>
      <c r="S1156" s="16"/>
      <c r="T1156" s="16"/>
      <c r="U1156" s="16"/>
      <c r="V1156" s="16"/>
      <c r="W1156" s="16"/>
      <c r="X1156" s="16"/>
      <c r="Y1156" s="16"/>
      <c r="Z1156" s="16"/>
    </row>
    <row r="1157">
      <c r="A1157" s="16" t="str">
        <f>IFERROR(__xludf.DUMMYFUNCTION("""COMPUTED_VALUE"""),"Slime Jelly")</f>
        <v>Slime Jelly</v>
      </c>
      <c r="B1157" s="16" t="str">
        <f>IFERROR(__xludf.DUMMYFUNCTION("""COMPUTED_VALUE"""),"Restores 50 HP, 75 Mana, 50 Hunger, and 50 Thirst, -30 Energy cause it tastes bad")</f>
        <v>Restores 50 HP, 75 Mana, 50 Hunger, and 50 Thirst, -30 Energy cause it tastes bad</v>
      </c>
      <c r="C1157" s="16" t="str">
        <f>IFERROR(__xludf.DUMMYFUNCTION("""COMPUTED_VALUE"""),"Crop")</f>
        <v>Crop</v>
      </c>
      <c r="D1157" s="16"/>
      <c r="E1157" s="16"/>
      <c r="F1157" s="16"/>
      <c r="G1157" s="16"/>
      <c r="H1157" s="16"/>
      <c r="I1157" s="16"/>
      <c r="J1157" s="16"/>
      <c r="K1157" s="16"/>
      <c r="L1157" s="16"/>
      <c r="M1157" s="16"/>
      <c r="N1157" s="16"/>
      <c r="O1157" s="16"/>
      <c r="P1157" s="16"/>
      <c r="Q1157" s="16"/>
      <c r="R1157" s="16"/>
      <c r="S1157" s="16"/>
      <c r="T1157" s="16"/>
      <c r="U1157" s="16"/>
      <c r="V1157" s="16"/>
      <c r="W1157" s="16"/>
      <c r="X1157" s="16"/>
      <c r="Y1157" s="16"/>
      <c r="Z1157" s="16"/>
    </row>
    <row r="1158">
      <c r="A1158" s="16" t="str">
        <f>IFERROR(__xludf.DUMMYFUNCTION("""COMPUTED_VALUE"""),"Broken Robot")</f>
        <v>Broken Robot</v>
      </c>
      <c r="B1158" s="16" t="str">
        <f>IFERROR(__xludf.DUMMYFUNCTION("""COMPUTED_VALUE"""),"An item that is purchased and given to a mysterious cloaked figure. ")</f>
        <v>An item that is purchased and given to a mysterious cloaked figure. </v>
      </c>
      <c r="C1158" s="16" t="str">
        <f>IFERROR(__xludf.DUMMYFUNCTION("""COMPUTED_VALUE"""),"Item")</f>
        <v>Item</v>
      </c>
      <c r="D1158" s="16"/>
      <c r="E1158" s="16"/>
      <c r="F1158" s="16"/>
      <c r="G1158" s="16"/>
      <c r="H1158" s="16"/>
      <c r="I1158" s="16"/>
      <c r="J1158" s="16"/>
      <c r="K1158" s="16"/>
      <c r="L1158" s="16"/>
      <c r="M1158" s="16"/>
      <c r="N1158" s="16"/>
      <c r="O1158" s="16"/>
      <c r="P1158" s="16"/>
      <c r="Q1158" s="16"/>
      <c r="R1158" s="16"/>
      <c r="S1158" s="16"/>
      <c r="T1158" s="16"/>
      <c r="U1158" s="16"/>
      <c r="V1158" s="16"/>
      <c r="W1158" s="16"/>
      <c r="X1158" s="16"/>
      <c r="Y1158" s="16"/>
      <c r="Z1158" s="16"/>
    </row>
    <row r="1159">
      <c r="A1159" s="16" t="str">
        <f>IFERROR(__xludf.DUMMYFUNCTION("""COMPUTED_VALUE"""),"Boar Hide")</f>
        <v>Boar Hide</v>
      </c>
      <c r="B1159" s="16" t="str">
        <f>IFERROR(__xludf.DUMMYFUNCTION("""COMPUTED_VALUE"""),"Crafting Material, roll a d20 to see how many you get if this is a loot drop.")</f>
        <v>Crafting Material, roll a d20 to see how many you get if this is a loot drop.</v>
      </c>
      <c r="C1159" s="16" t="str">
        <f>IFERROR(__xludf.DUMMYFUNCTION("""COMPUTED_VALUE"""),"Item")</f>
        <v>Item</v>
      </c>
      <c r="D1159" s="16"/>
      <c r="E1159" s="16"/>
      <c r="F1159" s="16"/>
      <c r="G1159" s="16"/>
      <c r="H1159" s="16"/>
      <c r="I1159" s="16"/>
      <c r="J1159" s="16"/>
      <c r="K1159" s="16"/>
      <c r="L1159" s="16"/>
      <c r="M1159" s="16"/>
      <c r="N1159" s="16"/>
      <c r="O1159" s="16"/>
      <c r="P1159" s="16"/>
      <c r="Q1159" s="16"/>
      <c r="R1159" s="16"/>
      <c r="S1159" s="16"/>
      <c r="T1159" s="16"/>
      <c r="U1159" s="16"/>
      <c r="V1159" s="16"/>
      <c r="W1159" s="16"/>
      <c r="X1159" s="16"/>
      <c r="Y1159" s="16"/>
      <c r="Z1159" s="16"/>
    </row>
    <row r="1160">
      <c r="A1160" s="16" t="str">
        <f>IFERROR(__xludf.DUMMYFUNCTION("""COMPUTED_VALUE"""),"Bullet")</f>
        <v>Bullet</v>
      </c>
      <c r="B1160" s="16" t="str">
        <f>IFERROR(__xludf.DUMMYFUNCTION("""COMPUTED_VALUE"""),"Firearm Ammunition. +100 damage. roll a d20 to see how many you get if this is a loot drop.")</f>
        <v>Firearm Ammunition. +100 damage. roll a d20 to see how many you get if this is a loot drop.</v>
      </c>
      <c r="C1160" s="16" t="str">
        <f>IFERROR(__xludf.DUMMYFUNCTION("""COMPUTED_VALUE"""),"Item")</f>
        <v>Item</v>
      </c>
      <c r="D1160" s="16"/>
      <c r="E1160" s="16"/>
      <c r="F1160" s="16"/>
      <c r="G1160" s="16"/>
      <c r="H1160" s="16"/>
      <c r="I1160" s="16"/>
      <c r="J1160" s="16"/>
      <c r="K1160" s="16"/>
      <c r="L1160" s="16"/>
      <c r="M1160" s="16"/>
      <c r="N1160" s="16"/>
      <c r="O1160" s="16"/>
      <c r="P1160" s="16"/>
      <c r="Q1160" s="16"/>
      <c r="R1160" s="16"/>
      <c r="S1160" s="16"/>
      <c r="T1160" s="16"/>
      <c r="U1160" s="16"/>
      <c r="V1160" s="16"/>
      <c r="W1160" s="16"/>
      <c r="X1160" s="16"/>
      <c r="Y1160" s="16"/>
      <c r="Z1160" s="16"/>
    </row>
    <row r="1161">
      <c r="A1161" s="16" t="str">
        <f>IFERROR(__xludf.DUMMYFUNCTION("""COMPUTED_VALUE"""),"The Ancient Medallion of Frost")</f>
        <v>The Ancient Medallion of Frost</v>
      </c>
      <c r="B1161" s="16" t="str">
        <f>IFERROR(__xludf.DUMMYFUNCTION("""COMPUTED_VALUE"""),"The key to getting into the final tower of the winter event.")</f>
        <v>The key to getting into the final tower of the winter event.</v>
      </c>
      <c r="C1161" s="16" t="str">
        <f>IFERROR(__xludf.DUMMYFUNCTION("""COMPUTED_VALUE"""),"Item")</f>
        <v>Item</v>
      </c>
      <c r="D1161" s="16"/>
      <c r="E1161" s="16"/>
      <c r="F1161" s="16"/>
      <c r="G1161" s="16"/>
      <c r="H1161" s="16"/>
      <c r="I1161" s="16"/>
      <c r="J1161" s="16"/>
      <c r="K1161" s="16"/>
      <c r="L1161" s="16"/>
      <c r="M1161" s="16"/>
      <c r="N1161" s="16"/>
      <c r="O1161" s="16"/>
      <c r="P1161" s="16"/>
      <c r="Q1161" s="16"/>
      <c r="R1161" s="16"/>
      <c r="S1161" s="16"/>
      <c r="T1161" s="16"/>
      <c r="U1161" s="16"/>
      <c r="V1161" s="16"/>
      <c r="W1161" s="16"/>
      <c r="X1161" s="16"/>
      <c r="Y1161" s="16"/>
      <c r="Z1161" s="16"/>
    </row>
    <row r="1162">
      <c r="A1162" s="16" t="str">
        <f>IFERROR(__xludf.DUMMYFUNCTION("""COMPUTED_VALUE"""),"Gargoyle Stone Tablet")</f>
        <v>Gargoyle Stone Tablet</v>
      </c>
      <c r="B1162" s="16" t="str">
        <f>IFERROR(__xludf.DUMMYFUNCTION("""COMPUTED_VALUE"""),"Tells you the Location of 3 Tiny Gargoyles. This item can only be used once.")</f>
        <v>Tells you the Location of 3 Tiny Gargoyles. This item can only be used once.</v>
      </c>
      <c r="C1162" s="16" t="str">
        <f>IFERROR(__xludf.DUMMYFUNCTION("""COMPUTED_VALUE"""),"Item")</f>
        <v>Item</v>
      </c>
      <c r="D1162" s="16"/>
      <c r="E1162" s="16"/>
      <c r="F1162" s="16"/>
      <c r="G1162" s="16"/>
      <c r="H1162" s="16"/>
      <c r="I1162" s="16"/>
      <c r="J1162" s="16"/>
      <c r="K1162" s="16"/>
      <c r="L1162" s="16"/>
      <c r="M1162" s="16"/>
      <c r="N1162" s="16"/>
      <c r="O1162" s="16"/>
      <c r="P1162" s="16"/>
      <c r="Q1162" s="16"/>
      <c r="R1162" s="16"/>
      <c r="S1162" s="16"/>
      <c r="T1162" s="16"/>
      <c r="U1162" s="16"/>
      <c r="V1162" s="16"/>
      <c r="W1162" s="16"/>
      <c r="X1162" s="16"/>
      <c r="Y1162" s="16"/>
      <c r="Z1162" s="16"/>
    </row>
    <row r="1163">
      <c r="A1163" s="16" t="str">
        <f>IFERROR(__xludf.DUMMYFUNCTION("""COMPUTED_VALUE"""),"Map of the Gargoyle’s")</f>
        <v>Map of the Gargoyle’s</v>
      </c>
      <c r="B1163" s="16" t="str">
        <f>IFERROR(__xludf.DUMMYFUNCTION("""COMPUTED_VALUE"""),"Allows Use to see Special Gargoyle’s")</f>
        <v>Allows Use to see Special Gargoyle’s</v>
      </c>
      <c r="C1163" s="16" t="str">
        <f>IFERROR(__xludf.DUMMYFUNCTION("""COMPUTED_VALUE"""),"Item")</f>
        <v>Item</v>
      </c>
      <c r="D1163" s="16"/>
      <c r="E1163" s="16"/>
      <c r="F1163" s="16"/>
      <c r="G1163" s="16"/>
      <c r="H1163" s="16"/>
      <c r="I1163" s="16"/>
      <c r="J1163" s="16"/>
      <c r="K1163" s="16"/>
      <c r="L1163" s="16"/>
      <c r="M1163" s="16"/>
      <c r="N1163" s="16"/>
      <c r="O1163" s="16"/>
      <c r="P1163" s="16"/>
      <c r="Q1163" s="16"/>
      <c r="R1163" s="16"/>
      <c r="S1163" s="16"/>
      <c r="T1163" s="16"/>
      <c r="U1163" s="16"/>
      <c r="V1163" s="16"/>
      <c r="W1163" s="16"/>
      <c r="X1163" s="16"/>
      <c r="Y1163" s="16"/>
      <c r="Z1163" s="16"/>
    </row>
    <row r="1164">
      <c r="A1164" s="16" t="str">
        <f>IFERROR(__xludf.DUMMYFUNCTION("""COMPUTED_VALUE"""),"The Tome of Abstara")</f>
        <v>The Tome of Abstara</v>
      </c>
      <c r="B1164" s="16" t="str">
        <f>IFERROR(__xludf.DUMMYFUNCTION("""COMPUTED_VALUE"""),"Can use up to Rank 9 Fire, Chaos, and Dark spells.")</f>
        <v>Can use up to Rank 9 Fire, Chaos, and Dark spells.</v>
      </c>
      <c r="C1164" s="16" t="str">
        <f>IFERROR(__xludf.DUMMYFUNCTION("""COMPUTED_VALUE"""),"Item")</f>
        <v>Item</v>
      </c>
      <c r="D1164" s="16"/>
      <c r="E1164" s="16"/>
      <c r="F1164" s="16"/>
      <c r="G1164" s="16"/>
      <c r="H1164" s="16"/>
      <c r="I1164" s="16"/>
      <c r="J1164" s="16"/>
      <c r="K1164" s="16"/>
      <c r="L1164" s="16"/>
      <c r="M1164" s="16"/>
      <c r="N1164" s="16"/>
      <c r="O1164" s="16"/>
      <c r="P1164" s="16"/>
      <c r="Q1164" s="16"/>
      <c r="R1164" s="16"/>
      <c r="S1164" s="16"/>
      <c r="T1164" s="16"/>
      <c r="U1164" s="16"/>
      <c r="V1164" s="16"/>
      <c r="W1164" s="16"/>
      <c r="X1164" s="16"/>
      <c r="Y1164" s="16"/>
      <c r="Z1164" s="16"/>
    </row>
    <row r="1165">
      <c r="A1165" s="16" t="str">
        <f>IFERROR(__xludf.DUMMYFUNCTION("""COMPUTED_VALUE"""),"Gargoyle’s Fishing Pole")</f>
        <v>Gargoyle’s Fishing Pole</v>
      </c>
      <c r="B1165" s="16" t="str">
        <f>IFERROR(__xludf.DUMMYFUNCTION("""COMPUTED_VALUE"""),"500/500 Uses. Used for lava fishing. Made of Stone.")</f>
        <v>500/500 Uses. Used for lava fishing. Made of Stone.</v>
      </c>
      <c r="C1165" s="16" t="str">
        <f>IFERROR(__xludf.DUMMYFUNCTION("""COMPUTED_VALUE"""),"Item")</f>
        <v>Item</v>
      </c>
      <c r="D1165" s="16"/>
      <c r="E1165" s="16"/>
      <c r="F1165" s="16"/>
      <c r="G1165" s="16"/>
      <c r="H1165" s="16"/>
      <c r="I1165" s="16"/>
      <c r="J1165" s="16"/>
      <c r="K1165" s="16"/>
      <c r="L1165" s="16"/>
      <c r="M1165" s="16"/>
      <c r="N1165" s="16"/>
      <c r="O1165" s="16"/>
      <c r="P1165" s="16"/>
      <c r="Q1165" s="16"/>
      <c r="R1165" s="16"/>
      <c r="S1165" s="16"/>
      <c r="T1165" s="16"/>
      <c r="U1165" s="16"/>
      <c r="V1165" s="16"/>
      <c r="W1165" s="16"/>
      <c r="X1165" s="16"/>
      <c r="Y1165" s="16"/>
      <c r="Z1165" s="16"/>
    </row>
    <row r="1166">
      <c r="A1166" s="16" t="str">
        <f>IFERROR(__xludf.DUMMYFUNCTION("""COMPUTED_VALUE"""),"Stone Worm")</f>
        <v>Stone Worm</v>
      </c>
      <c r="B1166" s="16" t="str">
        <f>IFERROR(__xludf.DUMMYFUNCTION("""COMPUTED_VALUE"""),"Fishing bait. Used for lava fishing.")</f>
        <v>Fishing bait. Used for lava fishing.</v>
      </c>
      <c r="C1166" s="16" t="str">
        <f>IFERROR(__xludf.DUMMYFUNCTION("""COMPUTED_VALUE"""),"Item")</f>
        <v>Item</v>
      </c>
      <c r="D1166" s="16"/>
      <c r="E1166" s="16"/>
      <c r="F1166" s="16"/>
      <c r="G1166" s="16"/>
      <c r="H1166" s="16"/>
      <c r="I1166" s="16"/>
      <c r="J1166" s="16"/>
      <c r="K1166" s="16"/>
      <c r="L1166" s="16"/>
      <c r="M1166" s="16"/>
      <c r="N1166" s="16"/>
      <c r="O1166" s="16"/>
      <c r="P1166" s="16"/>
      <c r="Q1166" s="16"/>
      <c r="R1166" s="16"/>
      <c r="S1166" s="16"/>
      <c r="T1166" s="16"/>
      <c r="U1166" s="16"/>
      <c r="V1166" s="16"/>
      <c r="W1166" s="16"/>
      <c r="X1166" s="16"/>
      <c r="Y1166" s="16"/>
      <c r="Z1166" s="16"/>
    </row>
    <row r="1167">
      <c r="A1167" s="16" t="str">
        <f>IFERROR(__xludf.DUMMYFUNCTION("""COMPUTED_VALUE"""),"Rock Soup")</f>
        <v>Rock Soup</v>
      </c>
      <c r="B1167" s="16" t="str">
        <f>IFERROR(__xludf.DUMMYFUNCTION("""COMPUTED_VALUE"""),"25 Hunger and +15 Thirst")</f>
        <v>25 Hunger and +15 Thirst</v>
      </c>
      <c r="C1167" s="16" t="str">
        <f>IFERROR(__xludf.DUMMYFUNCTION("""COMPUTED_VALUE"""),"Crop")</f>
        <v>Crop</v>
      </c>
      <c r="D1167" s="16"/>
      <c r="E1167" s="16"/>
      <c r="F1167" s="16"/>
      <c r="G1167" s="16"/>
      <c r="H1167" s="16"/>
      <c r="I1167" s="16"/>
      <c r="J1167" s="16"/>
      <c r="K1167" s="16"/>
      <c r="L1167" s="16"/>
      <c r="M1167" s="16"/>
      <c r="N1167" s="16"/>
      <c r="O1167" s="16"/>
      <c r="P1167" s="16"/>
      <c r="Q1167" s="16"/>
      <c r="R1167" s="16"/>
      <c r="S1167" s="16"/>
      <c r="T1167" s="16"/>
      <c r="U1167" s="16"/>
      <c r="V1167" s="16"/>
      <c r="W1167" s="16"/>
      <c r="X1167" s="16"/>
      <c r="Y1167" s="16"/>
      <c r="Z1167" s="16"/>
    </row>
    <row r="1168">
      <c r="A1168" s="16" t="str">
        <f>IFERROR(__xludf.DUMMYFUNCTION("""COMPUTED_VALUE"""),"Gargoyle’s slumbering mead")</f>
        <v>Gargoyle’s slumbering mead</v>
      </c>
      <c r="B1168" s="16" t="str">
        <f>IFERROR(__xludf.DUMMYFUNCTION("""COMPUTED_VALUE"""),"100 Thirst +100 Energy")</f>
        <v>100 Thirst +100 Energy</v>
      </c>
      <c r="C1168" s="16" t="str">
        <f>IFERROR(__xludf.DUMMYFUNCTION("""COMPUTED_VALUE"""),"Item")</f>
        <v>Item</v>
      </c>
      <c r="D1168" s="16"/>
      <c r="E1168" s="16"/>
      <c r="F1168" s="16"/>
      <c r="G1168" s="16"/>
      <c r="H1168" s="16"/>
      <c r="I1168" s="16"/>
      <c r="J1168" s="16"/>
      <c r="K1168" s="16"/>
      <c r="L1168" s="16"/>
      <c r="M1168" s="16"/>
      <c r="N1168" s="16"/>
      <c r="O1168" s="16"/>
      <c r="P1168" s="16"/>
      <c r="Q1168" s="16"/>
      <c r="R1168" s="16"/>
      <c r="S1168" s="16"/>
      <c r="T1168" s="16"/>
      <c r="U1168" s="16"/>
      <c r="V1168" s="16"/>
      <c r="W1168" s="16"/>
      <c r="X1168" s="16"/>
      <c r="Y1168" s="16"/>
      <c r="Z1168" s="16"/>
    </row>
    <row r="1169">
      <c r="A1169" s="16" t="str">
        <f>IFERROR(__xludf.DUMMYFUNCTION("""COMPUTED_VALUE"""),"Dark rum")</f>
        <v>Dark rum</v>
      </c>
      <c r="B1169" s="16" t="str">
        <f>IFERROR(__xludf.DUMMYFUNCTION("""COMPUTED_VALUE"""),"200 Thirst +200 Energy")</f>
        <v>200 Thirst +200 Energy</v>
      </c>
      <c r="C1169" s="16" t="str">
        <f>IFERROR(__xludf.DUMMYFUNCTION("""COMPUTED_VALUE"""),"Item")</f>
        <v>Item</v>
      </c>
      <c r="D1169" s="16"/>
      <c r="E1169" s="16"/>
      <c r="F1169" s="16"/>
      <c r="G1169" s="16"/>
      <c r="H1169" s="16"/>
      <c r="I1169" s="16"/>
      <c r="J1169" s="16"/>
      <c r="K1169" s="16"/>
      <c r="L1169" s="16"/>
      <c r="M1169" s="16"/>
      <c r="N1169" s="16"/>
      <c r="O1169" s="16"/>
      <c r="P1169" s="16"/>
      <c r="Q1169" s="16"/>
      <c r="R1169" s="16"/>
      <c r="S1169" s="16"/>
      <c r="T1169" s="16"/>
      <c r="U1169" s="16"/>
      <c r="V1169" s="16"/>
      <c r="W1169" s="16"/>
      <c r="X1169" s="16"/>
      <c r="Y1169" s="16"/>
      <c r="Z1169" s="16"/>
    </row>
    <row r="1170">
      <c r="A1170" s="16" t="str">
        <f>IFERROR(__xludf.DUMMYFUNCTION("""COMPUTED_VALUE"""),"Blank steak")</f>
        <v>Blank steak</v>
      </c>
      <c r="B1170" s="16" t="str">
        <f>IFERROR(__xludf.DUMMYFUNCTION("""COMPUTED_VALUE"""),"25 Hunger")</f>
        <v>25 Hunger</v>
      </c>
      <c r="C1170" s="16" t="str">
        <f>IFERROR(__xludf.DUMMYFUNCTION("""COMPUTED_VALUE"""),"Crop")</f>
        <v>Crop</v>
      </c>
      <c r="D1170" s="16"/>
      <c r="E1170" s="16"/>
      <c r="F1170" s="16"/>
      <c r="G1170" s="16"/>
      <c r="H1170" s="16"/>
      <c r="I1170" s="16"/>
      <c r="J1170" s="16"/>
      <c r="K1170" s="16"/>
      <c r="L1170" s="16"/>
      <c r="M1170" s="16"/>
      <c r="N1170" s="16"/>
      <c r="O1170" s="16"/>
      <c r="P1170" s="16"/>
      <c r="Q1170" s="16"/>
      <c r="R1170" s="16"/>
      <c r="S1170" s="16"/>
      <c r="T1170" s="16"/>
      <c r="U1170" s="16"/>
      <c r="V1170" s="16"/>
      <c r="W1170" s="16"/>
      <c r="X1170" s="16"/>
      <c r="Y1170" s="16"/>
      <c r="Z1170" s="16"/>
    </row>
    <row r="1171">
      <c r="A1171" s="16" t="str">
        <f>IFERROR(__xludf.DUMMYFUNCTION("""COMPUTED_VALUE"""),"Geode jello")</f>
        <v>Geode jello</v>
      </c>
      <c r="B1171" s="16" t="str">
        <f>IFERROR(__xludf.DUMMYFUNCTION("""COMPUTED_VALUE"""),"20 Thirst")</f>
        <v>20 Thirst</v>
      </c>
      <c r="C1171" s="16" t="str">
        <f>IFERROR(__xludf.DUMMYFUNCTION("""COMPUTED_VALUE"""),"Item")</f>
        <v>Item</v>
      </c>
      <c r="D1171" s="16"/>
      <c r="E1171" s="16"/>
      <c r="F1171" s="16"/>
      <c r="G1171" s="16"/>
      <c r="H1171" s="16"/>
      <c r="I1171" s="16"/>
      <c r="J1171" s="16"/>
      <c r="K1171" s="16"/>
      <c r="L1171" s="16"/>
      <c r="M1171" s="16"/>
      <c r="N1171" s="16"/>
      <c r="O1171" s="16"/>
      <c r="P1171" s="16"/>
      <c r="Q1171" s="16"/>
      <c r="R1171" s="16"/>
      <c r="S1171" s="16"/>
      <c r="T1171" s="16"/>
      <c r="U1171" s="16"/>
      <c r="V1171" s="16"/>
      <c r="W1171" s="16"/>
      <c r="X1171" s="16"/>
      <c r="Y1171" s="16"/>
      <c r="Z1171" s="16"/>
    </row>
    <row r="1172">
      <c r="A1172" s="16" t="str">
        <f>IFERROR(__xludf.DUMMYFUNCTION("""COMPUTED_VALUE"""),"Black baked potatoes")</f>
        <v>Black baked potatoes</v>
      </c>
      <c r="B1172" s="16" t="str">
        <f>IFERROR(__xludf.DUMMYFUNCTION("""COMPUTED_VALUE"""),"50 Hunger")</f>
        <v>50 Hunger</v>
      </c>
      <c r="C1172" s="16" t="str">
        <f>IFERROR(__xludf.DUMMYFUNCTION("""COMPUTED_VALUE"""),"Crop")</f>
        <v>Crop</v>
      </c>
      <c r="D1172" s="16"/>
      <c r="E1172" s="16"/>
      <c r="F1172" s="16"/>
      <c r="G1172" s="16"/>
      <c r="H1172" s="16"/>
      <c r="I1172" s="16"/>
      <c r="J1172" s="16"/>
      <c r="K1172" s="16"/>
      <c r="L1172" s="16"/>
      <c r="M1172" s="16"/>
      <c r="N1172" s="16"/>
      <c r="O1172" s="16"/>
      <c r="P1172" s="16"/>
      <c r="Q1172" s="16"/>
      <c r="R1172" s="16"/>
      <c r="S1172" s="16"/>
      <c r="T1172" s="16"/>
      <c r="U1172" s="16"/>
      <c r="V1172" s="16"/>
      <c r="W1172" s="16"/>
      <c r="X1172" s="16"/>
      <c r="Y1172" s="16"/>
      <c r="Z1172" s="16"/>
    </row>
    <row r="1173">
      <c r="A1173" s="16" t="str">
        <f>IFERROR(__xludf.DUMMYFUNCTION("""COMPUTED_VALUE"""),"Human Steak")</f>
        <v>Human Steak</v>
      </c>
      <c r="B1173" s="16" t="str">
        <f>IFERROR(__xludf.DUMMYFUNCTION("""COMPUTED_VALUE"""),"300 Hunger")</f>
        <v>300 Hunger</v>
      </c>
      <c r="C1173" s="16" t="str">
        <f>IFERROR(__xludf.DUMMYFUNCTION("""COMPUTED_VALUE"""),"Crop")</f>
        <v>Crop</v>
      </c>
      <c r="D1173" s="16"/>
      <c r="E1173" s="16"/>
      <c r="F1173" s="16"/>
      <c r="G1173" s="16"/>
      <c r="H1173" s="16"/>
      <c r="I1173" s="16"/>
      <c r="J1173" s="16"/>
      <c r="K1173" s="16"/>
      <c r="L1173" s="16"/>
      <c r="M1173" s="16"/>
      <c r="N1173" s="16"/>
      <c r="O1173" s="16"/>
      <c r="P1173" s="16"/>
      <c r="Q1173" s="16"/>
      <c r="R1173" s="16"/>
      <c r="S1173" s="16"/>
      <c r="T1173" s="16"/>
      <c r="U1173" s="16"/>
      <c r="V1173" s="16"/>
      <c r="W1173" s="16"/>
      <c r="X1173" s="16"/>
      <c r="Y1173" s="16"/>
      <c r="Z1173" s="16"/>
    </row>
    <row r="1174">
      <c r="A1174" s="16" t="str">
        <f>IFERROR(__xludf.DUMMYFUNCTION("""COMPUTED_VALUE"""),"Black Sheep mutton")</f>
        <v>Black Sheep mutton</v>
      </c>
      <c r="B1174" s="16" t="str">
        <f>IFERROR(__xludf.DUMMYFUNCTION("""COMPUTED_VALUE"""),"250 Hunger")</f>
        <v>250 Hunger</v>
      </c>
      <c r="C1174" s="16" t="str">
        <f>IFERROR(__xludf.DUMMYFUNCTION("""COMPUTED_VALUE"""),"Crop")</f>
        <v>Crop</v>
      </c>
      <c r="D1174" s="16"/>
      <c r="E1174" s="16"/>
      <c r="F1174" s="16"/>
      <c r="G1174" s="16"/>
      <c r="H1174" s="16"/>
      <c r="I1174" s="16"/>
      <c r="J1174" s="16"/>
      <c r="K1174" s="16"/>
      <c r="L1174" s="16"/>
      <c r="M1174" s="16"/>
      <c r="N1174" s="16"/>
      <c r="O1174" s="16"/>
      <c r="P1174" s="16"/>
      <c r="Q1174" s="16"/>
      <c r="R1174" s="16"/>
      <c r="S1174" s="16"/>
      <c r="T1174" s="16"/>
      <c r="U1174" s="16"/>
      <c r="V1174" s="16"/>
      <c r="W1174" s="16"/>
      <c r="X1174" s="16"/>
      <c r="Y1174" s="16"/>
      <c r="Z1174" s="16"/>
    </row>
    <row r="1175">
      <c r="A1175" s="16" t="str">
        <f>IFERROR(__xludf.DUMMYFUNCTION("""COMPUTED_VALUE"""),"Ebony Caviar")</f>
        <v>Ebony Caviar</v>
      </c>
      <c r="B1175" s="16" t="str">
        <f>IFERROR(__xludf.DUMMYFUNCTION("""COMPUTED_VALUE"""),"100 Hunger +105 Energy")</f>
        <v>100 Hunger +105 Energy</v>
      </c>
      <c r="C1175" s="16" t="str">
        <f>IFERROR(__xludf.DUMMYFUNCTION("""COMPUTED_VALUE"""),"Crop")</f>
        <v>Crop</v>
      </c>
      <c r="D1175" s="16"/>
      <c r="E1175" s="16"/>
      <c r="F1175" s="16"/>
      <c r="G1175" s="16"/>
      <c r="H1175" s="16"/>
      <c r="I1175" s="16"/>
      <c r="J1175" s="16"/>
      <c r="K1175" s="16"/>
      <c r="L1175" s="16"/>
      <c r="M1175" s="16"/>
      <c r="N1175" s="16"/>
      <c r="O1175" s="16"/>
      <c r="P1175" s="16"/>
      <c r="Q1175" s="16"/>
      <c r="R1175" s="16"/>
      <c r="S1175" s="16"/>
      <c r="T1175" s="16"/>
      <c r="U1175" s="16"/>
      <c r="V1175" s="16"/>
      <c r="W1175" s="16"/>
      <c r="X1175" s="16"/>
      <c r="Y1175" s="16"/>
      <c r="Z1175" s="16"/>
    </row>
    <row r="1176">
      <c r="A1176" s="16" t="str">
        <f>IFERROR(__xludf.DUMMYFUNCTION("""COMPUTED_VALUE"""),"Black Kale")</f>
        <v>Black Kale</v>
      </c>
      <c r="B1176" s="16" t="str">
        <f>IFERROR(__xludf.DUMMYFUNCTION("""COMPUTED_VALUE"""),"140 Hunger")</f>
        <v>140 Hunger</v>
      </c>
      <c r="C1176" s="16" t="str">
        <f>IFERROR(__xludf.DUMMYFUNCTION("""COMPUTED_VALUE"""),"Crop")</f>
        <v>Crop</v>
      </c>
      <c r="D1176" s="16"/>
      <c r="E1176" s="16"/>
      <c r="F1176" s="16"/>
      <c r="G1176" s="16"/>
      <c r="H1176" s="16"/>
      <c r="I1176" s="16"/>
      <c r="J1176" s="16"/>
      <c r="K1176" s="16"/>
      <c r="L1176" s="16"/>
      <c r="M1176" s="16"/>
      <c r="N1176" s="16"/>
      <c r="O1176" s="16"/>
      <c r="P1176" s="16"/>
      <c r="Q1176" s="16"/>
      <c r="R1176" s="16"/>
      <c r="S1176" s="16"/>
      <c r="T1176" s="16"/>
      <c r="U1176" s="16"/>
      <c r="V1176" s="16"/>
      <c r="W1176" s="16"/>
      <c r="X1176" s="16"/>
      <c r="Y1176" s="16"/>
      <c r="Z1176" s="16"/>
    </row>
    <row r="1177">
      <c r="A1177" s="16" t="str">
        <f>IFERROR(__xludf.DUMMYFUNCTION("""COMPUTED_VALUE"""),"Smokey Champagne")</f>
        <v>Smokey Champagne</v>
      </c>
      <c r="B1177" s="16" t="str">
        <f>IFERROR(__xludf.DUMMYFUNCTION("""COMPUTED_VALUE"""),"140 Thirst")</f>
        <v>140 Thirst</v>
      </c>
      <c r="C1177" s="16" t="str">
        <f>IFERROR(__xludf.DUMMYFUNCTION("""COMPUTED_VALUE"""),"Item")</f>
        <v>Item</v>
      </c>
      <c r="D1177" s="16"/>
      <c r="E1177" s="16"/>
      <c r="F1177" s="16"/>
      <c r="G1177" s="16"/>
      <c r="H1177" s="16"/>
      <c r="I1177" s="16"/>
      <c r="J1177" s="16"/>
      <c r="K1177" s="16"/>
      <c r="L1177" s="16"/>
      <c r="M1177" s="16"/>
      <c r="N1177" s="16"/>
      <c r="O1177" s="16"/>
      <c r="P1177" s="16"/>
      <c r="Q1177" s="16"/>
      <c r="R1177" s="16"/>
      <c r="S1177" s="16"/>
      <c r="T1177" s="16"/>
      <c r="U1177" s="16"/>
      <c r="V1177" s="16"/>
      <c r="W1177" s="16"/>
      <c r="X1177" s="16"/>
      <c r="Y1177" s="16"/>
      <c r="Z1177" s="16"/>
    </row>
    <row r="1178">
      <c r="A1178" s="16" t="str">
        <f>IFERROR(__xludf.DUMMYFUNCTION("""COMPUTED_VALUE"""),"Dead Island iced tea")</f>
        <v>Dead Island iced tea</v>
      </c>
      <c r="B1178" s="16" t="str">
        <f>IFERROR(__xludf.DUMMYFUNCTION("""COMPUTED_VALUE"""),"150 Thirst +125 Energy")</f>
        <v>150 Thirst +125 Energy</v>
      </c>
      <c r="C1178" s="16" t="str">
        <f>IFERROR(__xludf.DUMMYFUNCTION("""COMPUTED_VALUE"""),"Item")</f>
        <v>Item</v>
      </c>
      <c r="D1178" s="16"/>
      <c r="E1178" s="16"/>
      <c r="F1178" s="16"/>
      <c r="G1178" s="16"/>
      <c r="H1178" s="16"/>
      <c r="I1178" s="16"/>
      <c r="J1178" s="16"/>
      <c r="K1178" s="16"/>
      <c r="L1178" s="16"/>
      <c r="M1178" s="16"/>
      <c r="N1178" s="16"/>
      <c r="O1178" s="16"/>
      <c r="P1178" s="16"/>
      <c r="Q1178" s="16"/>
      <c r="R1178" s="16"/>
      <c r="S1178" s="16"/>
      <c r="T1178" s="16"/>
      <c r="U1178" s="16"/>
      <c r="V1178" s="16"/>
      <c r="W1178" s="16"/>
      <c r="X1178" s="16"/>
      <c r="Y1178" s="16"/>
      <c r="Z1178" s="16"/>
    </row>
    <row r="1179">
      <c r="A1179" s="16" t="str">
        <f>IFERROR(__xludf.DUMMYFUNCTION("""COMPUTED_VALUE"""),"Black russian")</f>
        <v>Black russian</v>
      </c>
      <c r="B1179" s="16" t="str">
        <f>IFERROR(__xludf.DUMMYFUNCTION("""COMPUTED_VALUE"""),"200 Thirst +200 Energy")</f>
        <v>200 Thirst +200 Energy</v>
      </c>
      <c r="C1179" s="16" t="str">
        <f>IFERROR(__xludf.DUMMYFUNCTION("""COMPUTED_VALUE"""),"Item")</f>
        <v>Item</v>
      </c>
      <c r="D1179" s="16"/>
      <c r="E1179" s="16"/>
      <c r="F1179" s="16"/>
      <c r="G1179" s="16"/>
      <c r="H1179" s="16"/>
      <c r="I1179" s="16"/>
      <c r="J1179" s="16"/>
      <c r="K1179" s="16"/>
      <c r="L1179" s="16"/>
      <c r="M1179" s="16"/>
      <c r="N1179" s="16"/>
      <c r="O1179" s="16"/>
      <c r="P1179" s="16"/>
      <c r="Q1179" s="16"/>
      <c r="R1179" s="16"/>
      <c r="S1179" s="16"/>
      <c r="T1179" s="16"/>
      <c r="U1179" s="16"/>
      <c r="V1179" s="16"/>
      <c r="W1179" s="16"/>
      <c r="X1179" s="16"/>
      <c r="Y1179" s="16"/>
      <c r="Z1179" s="16"/>
    </row>
    <row r="1180">
      <c r="A1180" s="16" t="str">
        <f>IFERROR(__xludf.DUMMYFUNCTION("""COMPUTED_VALUE"""),"Obsidian Lobster")</f>
        <v>Obsidian Lobster</v>
      </c>
      <c r="B1180" s="16" t="str">
        <f>IFERROR(__xludf.DUMMYFUNCTION("""COMPUTED_VALUE"""),"200 Hunger +200 Energy")</f>
        <v>200 Hunger +200 Energy</v>
      </c>
      <c r="C1180" s="16" t="str">
        <f>IFERROR(__xludf.DUMMYFUNCTION("""COMPUTED_VALUE"""),"Crop")</f>
        <v>Crop</v>
      </c>
      <c r="D1180" s="16"/>
      <c r="E1180" s="16"/>
      <c r="F1180" s="16"/>
      <c r="G1180" s="16"/>
      <c r="H1180" s="16"/>
      <c r="I1180" s="16"/>
      <c r="J1180" s="16"/>
      <c r="K1180" s="16"/>
      <c r="L1180" s="16"/>
      <c r="M1180" s="16"/>
      <c r="N1180" s="16"/>
      <c r="O1180" s="16"/>
      <c r="P1180" s="16"/>
      <c r="Q1180" s="16"/>
      <c r="R1180" s="16"/>
      <c r="S1180" s="16"/>
      <c r="T1180" s="16"/>
      <c r="U1180" s="16"/>
      <c r="V1180" s="16"/>
      <c r="W1180" s="16"/>
      <c r="X1180" s="16"/>
      <c r="Y1180" s="16"/>
      <c r="Z1180" s="16"/>
    </row>
    <row r="1181">
      <c r="A1181" s="16" t="str">
        <f>IFERROR(__xludf.DUMMYFUNCTION("""COMPUTED_VALUE"""),"Charcoal Truffles")</f>
        <v>Charcoal Truffles</v>
      </c>
      <c r="B1181" s="16" t="str">
        <f>IFERROR(__xludf.DUMMYFUNCTION("""COMPUTED_VALUE"""),"100 Hunger +100 Energy")</f>
        <v>100 Hunger +100 Energy</v>
      </c>
      <c r="C1181" s="16" t="str">
        <f>IFERROR(__xludf.DUMMYFUNCTION("""COMPUTED_VALUE"""),"Crop")</f>
        <v>Crop</v>
      </c>
      <c r="D1181" s="16"/>
      <c r="E1181" s="16"/>
      <c r="F1181" s="16"/>
      <c r="G1181" s="16"/>
      <c r="H1181" s="16"/>
      <c r="I1181" s="16"/>
      <c r="J1181" s="16"/>
      <c r="K1181" s="16"/>
      <c r="L1181" s="16"/>
      <c r="M1181" s="16"/>
      <c r="N1181" s="16"/>
      <c r="O1181" s="16"/>
      <c r="P1181" s="16"/>
      <c r="Q1181" s="16"/>
      <c r="R1181" s="16"/>
      <c r="S1181" s="16"/>
      <c r="T1181" s="16"/>
      <c r="U1181" s="16"/>
      <c r="V1181" s="16"/>
      <c r="W1181" s="16"/>
      <c r="X1181" s="16"/>
      <c r="Y1181" s="16"/>
      <c r="Z1181" s="16"/>
    </row>
    <row r="1182">
      <c r="A1182" s="16" t="str">
        <f>IFERROR(__xludf.DUMMYFUNCTION("""COMPUTED_VALUE"""),"Italian spaghetti and meatballs")</f>
        <v>Italian spaghetti and meatballs</v>
      </c>
      <c r="B1182" s="16" t="str">
        <f>IFERROR(__xludf.DUMMYFUNCTION("""COMPUTED_VALUE"""),"Full HP, Energy, Hunger, Thirst")</f>
        <v>Full HP, Energy, Hunger, Thirst</v>
      </c>
      <c r="C1182" s="16" t="str">
        <f>IFERROR(__xludf.DUMMYFUNCTION("""COMPUTED_VALUE"""),"Crop")</f>
        <v>Crop</v>
      </c>
      <c r="D1182" s="16"/>
      <c r="E1182" s="16"/>
      <c r="F1182" s="16"/>
      <c r="G1182" s="16"/>
      <c r="H1182" s="16"/>
      <c r="I1182" s="16"/>
      <c r="J1182" s="16"/>
      <c r="K1182" s="16"/>
      <c r="L1182" s="16"/>
      <c r="M1182" s="16"/>
      <c r="N1182" s="16"/>
      <c r="O1182" s="16"/>
      <c r="P1182" s="16"/>
      <c r="Q1182" s="16"/>
      <c r="R1182" s="16"/>
      <c r="S1182" s="16"/>
      <c r="T1182" s="16"/>
      <c r="U1182" s="16"/>
      <c r="V1182" s="16"/>
      <c r="W1182" s="16"/>
      <c r="X1182" s="16"/>
      <c r="Y1182" s="16"/>
      <c r="Z1182" s="16"/>
    </row>
    <row r="1183">
      <c r="A1183" s="16" t="str">
        <f>IFERROR(__xludf.DUMMYFUNCTION("""COMPUTED_VALUE"""),"Enclosed Spirits (enchantment)")</f>
        <v>Enclosed Spirits (enchantment)</v>
      </c>
      <c r="B1183" s="16" t="str">
        <f>IFERROR(__xludf.DUMMYFUNCTION("""COMPUTED_VALUE"""),"Add 1000 Spirit damage or resistance to any Spirit related Weapon or armor.")</f>
        <v>Add 1000 Spirit damage or resistance to any Spirit related Weapon or armor.</v>
      </c>
      <c r="C1183" s="16" t="str">
        <f>IFERROR(__xludf.DUMMYFUNCTION("""COMPUTED_VALUE"""),"Item")</f>
        <v>Item</v>
      </c>
      <c r="D1183" s="16"/>
      <c r="E1183" s="16"/>
      <c r="F1183" s="16"/>
      <c r="G1183" s="16"/>
      <c r="H1183" s="16"/>
      <c r="I1183" s="16"/>
      <c r="J1183" s="16"/>
      <c r="K1183" s="16"/>
      <c r="L1183" s="16"/>
      <c r="M1183" s="16"/>
      <c r="N1183" s="16"/>
      <c r="O1183" s="16"/>
      <c r="P1183" s="16"/>
      <c r="Q1183" s="16"/>
      <c r="R1183" s="16"/>
      <c r="S1183" s="16"/>
      <c r="T1183" s="16"/>
      <c r="U1183" s="16"/>
      <c r="V1183" s="16"/>
      <c r="W1183" s="16"/>
      <c r="X1183" s="16"/>
      <c r="Y1183" s="16"/>
      <c r="Z1183" s="16"/>
    </row>
    <row r="1184">
      <c r="A1184" s="16" t="str">
        <f>IFERROR(__xludf.DUMMYFUNCTION("""COMPUTED_VALUE"""),"Goat’s eye")</f>
        <v>Goat’s eye</v>
      </c>
      <c r="B1184" s="16" t="str">
        <f>IFERROR(__xludf.DUMMYFUNCTION("""COMPUTED_VALUE"""),"Crafting Material, roll a d20 to see how many you get if this is a loot drop.")</f>
        <v>Crafting Material, roll a d20 to see how many you get if this is a loot drop.</v>
      </c>
      <c r="C1184" s="16" t="str">
        <f>IFERROR(__xludf.DUMMYFUNCTION("""COMPUTED_VALUE"""),"Item")</f>
        <v>Item</v>
      </c>
      <c r="D1184" s="16"/>
      <c r="E1184" s="16"/>
      <c r="F1184" s="16"/>
      <c r="G1184" s="16"/>
      <c r="H1184" s="16"/>
      <c r="I1184" s="16"/>
      <c r="J1184" s="16"/>
      <c r="K1184" s="16"/>
      <c r="L1184" s="16"/>
      <c r="M1184" s="16"/>
      <c r="N1184" s="16"/>
      <c r="O1184" s="16"/>
      <c r="P1184" s="16"/>
      <c r="Q1184" s="16"/>
      <c r="R1184" s="16"/>
      <c r="S1184" s="16"/>
      <c r="T1184" s="16"/>
      <c r="U1184" s="16"/>
      <c r="V1184" s="16"/>
      <c r="W1184" s="16"/>
      <c r="X1184" s="16"/>
      <c r="Y1184" s="16"/>
      <c r="Z1184" s="16"/>
    </row>
    <row r="1185">
      <c r="A1185" s="16" t="str">
        <f>IFERROR(__xludf.DUMMYFUNCTION("""COMPUTED_VALUE"""),"Heart of the Demon")</f>
        <v>Heart of the Demon</v>
      </c>
      <c r="B1185" s="16" t="str">
        <f>IFERROR(__xludf.DUMMYFUNCTION("""COMPUTED_VALUE"""),"Crafting Material, roll a d20 to see how many you get if this is a loot drop.")</f>
        <v>Crafting Material, roll a d20 to see how many you get if this is a loot drop.</v>
      </c>
      <c r="C1185" s="16" t="str">
        <f>IFERROR(__xludf.DUMMYFUNCTION("""COMPUTED_VALUE"""),"Item")</f>
        <v>Item</v>
      </c>
      <c r="D1185" s="16"/>
      <c r="E1185" s="16"/>
      <c r="F1185" s="16"/>
      <c r="G1185" s="16"/>
      <c r="H1185" s="16"/>
      <c r="I1185" s="16"/>
      <c r="J1185" s="16"/>
      <c r="K1185" s="16"/>
      <c r="L1185" s="16"/>
      <c r="M1185" s="16"/>
      <c r="N1185" s="16"/>
      <c r="O1185" s="16"/>
      <c r="P1185" s="16"/>
      <c r="Q1185" s="16"/>
      <c r="R1185" s="16"/>
      <c r="S1185" s="16"/>
      <c r="T1185" s="16"/>
      <c r="U1185" s="16"/>
      <c r="V1185" s="16"/>
      <c r="W1185" s="16"/>
      <c r="X1185" s="16"/>
      <c r="Y1185" s="16"/>
      <c r="Z1185" s="16"/>
    </row>
    <row r="1186">
      <c r="A1186" s="16" t="str">
        <f>IFERROR(__xludf.DUMMYFUNCTION("""COMPUTED_VALUE"""),"Tooth of the Volcanic Serpent")</f>
        <v>Tooth of the Volcanic Serpent</v>
      </c>
      <c r="B1186" s="16" t="str">
        <f>IFERROR(__xludf.DUMMYFUNCTION("""COMPUTED_VALUE"""),"Crafting Material, roll a d20 to see how many you get if this is a loot drop.")</f>
        <v>Crafting Material, roll a d20 to see how many you get if this is a loot drop.</v>
      </c>
      <c r="C1186" s="16" t="str">
        <f>IFERROR(__xludf.DUMMYFUNCTION("""COMPUTED_VALUE"""),"Item")</f>
        <v>Item</v>
      </c>
      <c r="D1186" s="16"/>
      <c r="E1186" s="16"/>
      <c r="F1186" s="16"/>
      <c r="G1186" s="16"/>
      <c r="H1186" s="16"/>
      <c r="I1186" s="16"/>
      <c r="J1186" s="16"/>
      <c r="K1186" s="16"/>
      <c r="L1186" s="16"/>
      <c r="M1186" s="16"/>
      <c r="N1186" s="16"/>
      <c r="O1186" s="16"/>
      <c r="P1186" s="16"/>
      <c r="Q1186" s="16"/>
      <c r="R1186" s="16"/>
      <c r="S1186" s="16"/>
      <c r="T1186" s="16"/>
      <c r="U1186" s="16"/>
      <c r="V1186" s="16"/>
      <c r="W1186" s="16"/>
      <c r="X1186" s="16"/>
      <c r="Y1186" s="16"/>
      <c r="Z1186" s="16"/>
    </row>
    <row r="1187">
      <c r="A1187" s="16" t="str">
        <f>IFERROR(__xludf.DUMMYFUNCTION("""COMPUTED_VALUE"""),"Fire Jaguars Leather Skin")</f>
        <v>Fire Jaguars Leather Skin</v>
      </c>
      <c r="B1187" s="16" t="str">
        <f>IFERROR(__xludf.DUMMYFUNCTION("""COMPUTED_VALUE"""),"Crafting Material, roll a d20 to see how many you get if this is a loot drop.")</f>
        <v>Crafting Material, roll a d20 to see how many you get if this is a loot drop.</v>
      </c>
      <c r="C1187" s="16" t="str">
        <f>IFERROR(__xludf.DUMMYFUNCTION("""COMPUTED_VALUE"""),"Item")</f>
        <v>Item</v>
      </c>
      <c r="D1187" s="16"/>
      <c r="E1187" s="16"/>
      <c r="F1187" s="16"/>
      <c r="G1187" s="16"/>
      <c r="H1187" s="16"/>
      <c r="I1187" s="16"/>
      <c r="J1187" s="16"/>
      <c r="K1187" s="16"/>
      <c r="L1187" s="16"/>
      <c r="M1187" s="16"/>
      <c r="N1187" s="16"/>
      <c r="O1187" s="16"/>
      <c r="P1187" s="16"/>
      <c r="Q1187" s="16"/>
      <c r="R1187" s="16"/>
      <c r="S1187" s="16"/>
      <c r="T1187" s="16"/>
      <c r="U1187" s="16"/>
      <c r="V1187" s="16"/>
      <c r="W1187" s="16"/>
      <c r="X1187" s="16"/>
      <c r="Y1187" s="16"/>
      <c r="Z1187" s="16"/>
    </row>
    <row r="1188">
      <c r="A1188" s="16" t="str">
        <f>IFERROR(__xludf.DUMMYFUNCTION("""COMPUTED_VALUE"""),"Black Lake Soup")</f>
        <v>Black Lake Soup</v>
      </c>
      <c r="B1188" s="16" t="str">
        <f>IFERROR(__xludf.DUMMYFUNCTION("""COMPUTED_VALUE"""),"500 Thirst and 400 Hunger")</f>
        <v>500 Thirst and 400 Hunger</v>
      </c>
      <c r="C1188" s="16" t="str">
        <f>IFERROR(__xludf.DUMMYFUNCTION("""COMPUTED_VALUE"""),"Crop")</f>
        <v>Crop</v>
      </c>
      <c r="D1188" s="16"/>
      <c r="E1188" s="16"/>
      <c r="F1188" s="16"/>
      <c r="G1188" s="16"/>
      <c r="H1188" s="16"/>
      <c r="I1188" s="16"/>
      <c r="J1188" s="16"/>
      <c r="K1188" s="16"/>
      <c r="L1188" s="16"/>
      <c r="M1188" s="16"/>
      <c r="N1188" s="16"/>
      <c r="O1188" s="16"/>
      <c r="P1188" s="16"/>
      <c r="Q1188" s="16"/>
      <c r="R1188" s="16"/>
      <c r="S1188" s="16"/>
      <c r="T1188" s="16"/>
      <c r="U1188" s="16"/>
      <c r="V1188" s="16"/>
      <c r="W1188" s="16"/>
      <c r="X1188" s="16"/>
      <c r="Y1188" s="16"/>
      <c r="Z1188" s="16"/>
    </row>
    <row r="1189">
      <c r="A1189" s="16" t="str">
        <f>IFERROR(__xludf.DUMMYFUNCTION("""COMPUTED_VALUE"""),"Basilisk Veal")</f>
        <v>Basilisk Veal</v>
      </c>
      <c r="B1189" s="16" t="str">
        <f>IFERROR(__xludf.DUMMYFUNCTION("""COMPUTED_VALUE"""),"500 Hunger")</f>
        <v>500 Hunger</v>
      </c>
      <c r="C1189" s="16" t="str">
        <f>IFERROR(__xludf.DUMMYFUNCTION("""COMPUTED_VALUE"""),"Crop")</f>
        <v>Crop</v>
      </c>
      <c r="D1189" s="16"/>
      <c r="E1189" s="16"/>
      <c r="F1189" s="16"/>
      <c r="G1189" s="16"/>
      <c r="H1189" s="16"/>
      <c r="I1189" s="16"/>
      <c r="J1189" s="16"/>
      <c r="K1189" s="16"/>
      <c r="L1189" s="16"/>
      <c r="M1189" s="16"/>
      <c r="N1189" s="16"/>
      <c r="O1189" s="16"/>
      <c r="P1189" s="16"/>
      <c r="Q1189" s="16"/>
      <c r="R1189" s="16"/>
      <c r="S1189" s="16"/>
      <c r="T1189" s="16"/>
      <c r="U1189" s="16"/>
      <c r="V1189" s="16"/>
      <c r="W1189" s="16"/>
      <c r="X1189" s="16"/>
      <c r="Y1189" s="16"/>
      <c r="Z1189" s="16"/>
    </row>
    <row r="1190">
      <c r="A1190" s="16" t="str">
        <f>IFERROR(__xludf.DUMMYFUNCTION("""COMPUTED_VALUE"""),"Black Cactus juice")</f>
        <v>Black Cactus juice</v>
      </c>
      <c r="B1190" s="16" t="str">
        <f>IFERROR(__xludf.DUMMYFUNCTION("""COMPUTED_VALUE"""),"500 Thirst")</f>
        <v>500 Thirst</v>
      </c>
      <c r="C1190" s="16" t="str">
        <f>IFERROR(__xludf.DUMMYFUNCTION("""COMPUTED_VALUE"""),"Item")</f>
        <v>Item</v>
      </c>
      <c r="D1190" s="16"/>
      <c r="E1190" s="16"/>
      <c r="F1190" s="16"/>
      <c r="G1190" s="16"/>
      <c r="H1190" s="16"/>
      <c r="I1190" s="16"/>
      <c r="J1190" s="16"/>
      <c r="K1190" s="16"/>
      <c r="L1190" s="16"/>
      <c r="M1190" s="16"/>
      <c r="N1190" s="16"/>
      <c r="O1190" s="16"/>
      <c r="P1190" s="16"/>
      <c r="Q1190" s="16"/>
      <c r="R1190" s="16"/>
      <c r="S1190" s="16"/>
      <c r="T1190" s="16"/>
      <c r="U1190" s="16"/>
      <c r="V1190" s="16"/>
      <c r="W1190" s="16"/>
      <c r="X1190" s="16"/>
      <c r="Y1190" s="16"/>
      <c r="Z1190" s="16"/>
    </row>
    <row r="1191">
      <c r="A1191" s="16" t="str">
        <f>IFERROR(__xludf.DUMMYFUNCTION("""COMPUTED_VALUE"""),"Black Lake Purified Water")</f>
        <v>Black Lake Purified Water</v>
      </c>
      <c r="B1191" s="16" t="str">
        <f>IFERROR(__xludf.DUMMYFUNCTION("""COMPUTED_VALUE"""),"650 Thirst")</f>
        <v>650 Thirst</v>
      </c>
      <c r="C1191" s="16" t="str">
        <f>IFERROR(__xludf.DUMMYFUNCTION("""COMPUTED_VALUE"""),"Item")</f>
        <v>Item</v>
      </c>
      <c r="D1191" s="16"/>
      <c r="E1191" s="16"/>
      <c r="F1191" s="16"/>
      <c r="G1191" s="16"/>
      <c r="H1191" s="16"/>
      <c r="I1191" s="16"/>
      <c r="J1191" s="16"/>
      <c r="K1191" s="16"/>
      <c r="L1191" s="16"/>
      <c r="M1191" s="16"/>
      <c r="N1191" s="16"/>
      <c r="O1191" s="16"/>
      <c r="P1191" s="16"/>
      <c r="Q1191" s="16"/>
      <c r="R1191" s="16"/>
      <c r="S1191" s="16"/>
      <c r="T1191" s="16"/>
      <c r="U1191" s="16"/>
      <c r="V1191" s="16"/>
      <c r="W1191" s="16"/>
      <c r="X1191" s="16"/>
      <c r="Y1191" s="16"/>
      <c r="Z1191" s="16"/>
    </row>
    <row r="1192">
      <c r="A1192" s="16" t="str">
        <f>IFERROR(__xludf.DUMMYFUNCTION("""COMPUTED_VALUE"""),"Neutralized Basilisk Venom Shot")</f>
        <v>Neutralized Basilisk Venom Shot</v>
      </c>
      <c r="B1192" s="16" t="str">
        <f>IFERROR(__xludf.DUMMYFUNCTION("""COMPUTED_VALUE"""),"1000 Thirst")</f>
        <v>1000 Thirst</v>
      </c>
      <c r="C1192" s="16" t="str">
        <f>IFERROR(__xludf.DUMMYFUNCTION("""COMPUTED_VALUE"""),"Item")</f>
        <v>Item</v>
      </c>
      <c r="D1192" s="16"/>
      <c r="E1192" s="16"/>
      <c r="F1192" s="16"/>
      <c r="G1192" s="16"/>
      <c r="H1192" s="16"/>
      <c r="I1192" s="16"/>
      <c r="J1192" s="16"/>
      <c r="K1192" s="16"/>
      <c r="L1192" s="16"/>
      <c r="M1192" s="16"/>
      <c r="N1192" s="16"/>
      <c r="O1192" s="16"/>
      <c r="P1192" s="16"/>
      <c r="Q1192" s="16"/>
      <c r="R1192" s="16"/>
      <c r="S1192" s="16"/>
      <c r="T1192" s="16"/>
      <c r="U1192" s="16"/>
      <c r="V1192" s="16"/>
      <c r="W1192" s="16"/>
      <c r="X1192" s="16"/>
      <c r="Y1192" s="16"/>
      <c r="Z1192" s="16"/>
    </row>
    <row r="1193">
      <c r="A1193" s="16" t="str">
        <f>IFERROR(__xludf.DUMMYFUNCTION("""COMPUTED_VALUE"""),"Ebony Mushrooms")</f>
        <v>Ebony Mushrooms</v>
      </c>
      <c r="B1193" s="16" t="str">
        <f>IFERROR(__xludf.DUMMYFUNCTION("""COMPUTED_VALUE"""),"250 Hunger")</f>
        <v>250 Hunger</v>
      </c>
      <c r="C1193" s="16" t="str">
        <f>IFERROR(__xludf.DUMMYFUNCTION("""COMPUTED_VALUE"""),"Crop")</f>
        <v>Crop</v>
      </c>
      <c r="D1193" s="16"/>
      <c r="E1193" s="16"/>
      <c r="F1193" s="16"/>
      <c r="G1193" s="16"/>
      <c r="H1193" s="16"/>
      <c r="I1193" s="16"/>
      <c r="J1193" s="16"/>
      <c r="K1193" s="16"/>
      <c r="L1193" s="16"/>
      <c r="M1193" s="16"/>
      <c r="N1193" s="16"/>
      <c r="O1193" s="16"/>
      <c r="P1193" s="16"/>
      <c r="Q1193" s="16"/>
      <c r="R1193" s="16"/>
      <c r="S1193" s="16"/>
      <c r="T1193" s="16"/>
      <c r="U1193" s="16"/>
      <c r="V1193" s="16"/>
      <c r="W1193" s="16"/>
      <c r="X1193" s="16"/>
      <c r="Y1193" s="16"/>
      <c r="Z1193" s="16"/>
    </row>
    <row r="1194">
      <c r="A1194" s="16" t="str">
        <f>IFERROR(__xludf.DUMMYFUNCTION("""COMPUTED_VALUE"""),"Black Sludge")</f>
        <v>Black Sludge</v>
      </c>
      <c r="B1194" s="16" t="str">
        <f>IFERROR(__xludf.DUMMYFUNCTION("""COMPUTED_VALUE"""),"Make a fail/succeed roll
Success - +500 Hunger and Thirst
Fail - -250 Hunger and Thirst From Vomiting.")</f>
        <v>Make a fail/succeed roll
Success - +500 Hunger and Thirst
Fail - -250 Hunger and Thirst From Vomiting.</v>
      </c>
      <c r="C1194" s="16" t="str">
        <f>IFERROR(__xludf.DUMMYFUNCTION("""COMPUTED_VALUE"""),"Crop")</f>
        <v>Crop</v>
      </c>
      <c r="D1194" s="16"/>
      <c r="E1194" s="16"/>
      <c r="F1194" s="16"/>
      <c r="G1194" s="16"/>
      <c r="H1194" s="16"/>
      <c r="I1194" s="16"/>
      <c r="J1194" s="16"/>
      <c r="K1194" s="16"/>
      <c r="L1194" s="16"/>
      <c r="M1194" s="16"/>
      <c r="N1194" s="16"/>
      <c r="O1194" s="16"/>
      <c r="P1194" s="16"/>
      <c r="Q1194" s="16"/>
      <c r="R1194" s="16"/>
      <c r="S1194" s="16"/>
      <c r="T1194" s="16"/>
      <c r="U1194" s="16"/>
      <c r="V1194" s="16"/>
      <c r="W1194" s="16"/>
      <c r="X1194" s="16"/>
      <c r="Y1194" s="16"/>
      <c r="Z1194" s="16"/>
    </row>
    <row r="1195">
      <c r="A1195" s="16" t="str">
        <f>IFERROR(__xludf.DUMMYFUNCTION("""COMPUTED_VALUE"""),"Black Sepent Dragon Scales")</f>
        <v>Black Sepent Dragon Scales</v>
      </c>
      <c r="B1195" s="16" t="str">
        <f>IFERROR(__xludf.DUMMYFUNCTION("""COMPUTED_VALUE"""),"Crafting Material, roll a d20 to see how many you get if this is a loot drop.")</f>
        <v>Crafting Material, roll a d20 to see how many you get if this is a loot drop.</v>
      </c>
      <c r="C1195" s="16" t="str">
        <f>IFERROR(__xludf.DUMMYFUNCTION("""COMPUTED_VALUE"""),"Item")</f>
        <v>Item</v>
      </c>
      <c r="D1195" s="16"/>
      <c r="E1195" s="16"/>
      <c r="F1195" s="16"/>
      <c r="G1195" s="16"/>
      <c r="H1195" s="16"/>
      <c r="I1195" s="16"/>
      <c r="J1195" s="16"/>
      <c r="K1195" s="16"/>
      <c r="L1195" s="16"/>
      <c r="M1195" s="16"/>
      <c r="N1195" s="16"/>
      <c r="O1195" s="16"/>
      <c r="P1195" s="16"/>
      <c r="Q1195" s="16"/>
      <c r="R1195" s="16"/>
      <c r="S1195" s="16"/>
      <c r="T1195" s="16"/>
      <c r="U1195" s="16"/>
      <c r="V1195" s="16"/>
      <c r="W1195" s="16"/>
      <c r="X1195" s="16"/>
      <c r="Y1195" s="16"/>
      <c r="Z1195" s="16"/>
    </row>
    <row r="1196">
      <c r="A1196" s="16" t="str">
        <f>IFERROR(__xludf.DUMMYFUNCTION("""COMPUTED_VALUE"""),"Chaotic Shadow Dragon Scales")</f>
        <v>Chaotic Shadow Dragon Scales</v>
      </c>
      <c r="B1196" s="16" t="str">
        <f>IFERROR(__xludf.DUMMYFUNCTION("""COMPUTED_VALUE"""),"Crafting Material, roll a d20 to see how many you get if this is a loot drop.")</f>
        <v>Crafting Material, roll a d20 to see how many you get if this is a loot drop.</v>
      </c>
      <c r="C1196" s="16" t="str">
        <f>IFERROR(__xludf.DUMMYFUNCTION("""COMPUTED_VALUE"""),"Item")</f>
        <v>Item</v>
      </c>
      <c r="D1196" s="16"/>
      <c r="E1196" s="16"/>
      <c r="F1196" s="16"/>
      <c r="G1196" s="16"/>
      <c r="H1196" s="16"/>
      <c r="I1196" s="16"/>
      <c r="J1196" s="16"/>
      <c r="K1196" s="16"/>
      <c r="L1196" s="16"/>
      <c r="M1196" s="16"/>
      <c r="N1196" s="16"/>
      <c r="O1196" s="16"/>
      <c r="P1196" s="16"/>
      <c r="Q1196" s="16"/>
      <c r="R1196" s="16"/>
      <c r="S1196" s="16"/>
      <c r="T1196" s="16"/>
      <c r="U1196" s="16"/>
      <c r="V1196" s="16"/>
      <c r="W1196" s="16"/>
      <c r="X1196" s="16"/>
      <c r="Y1196" s="16"/>
      <c r="Z1196" s="16"/>
    </row>
    <row r="1197">
      <c r="A1197" s="16" t="str">
        <f>IFERROR(__xludf.DUMMYFUNCTION("""COMPUTED_VALUE"""),"Chaotic Shadow Dragon Skull")</f>
        <v>Chaotic Shadow Dragon Skull</v>
      </c>
      <c r="B1197" s="16" t="str">
        <f>IFERROR(__xludf.DUMMYFUNCTION("""COMPUTED_VALUE"""),"can be consumed to obtain 1 free dark or chaos power. (Only one per character)")</f>
        <v>can be consumed to obtain 1 free dark or chaos power. (Only one per character)</v>
      </c>
      <c r="C1197" s="16" t="str">
        <f>IFERROR(__xludf.DUMMYFUNCTION("""COMPUTED_VALUE"""),"Item")</f>
        <v>Item</v>
      </c>
      <c r="D1197" s="16"/>
      <c r="E1197" s="16"/>
      <c r="F1197" s="16"/>
      <c r="G1197" s="16"/>
      <c r="H1197" s="16"/>
      <c r="I1197" s="16"/>
      <c r="J1197" s="16"/>
      <c r="K1197" s="16"/>
      <c r="L1197" s="16"/>
      <c r="M1197" s="16"/>
      <c r="N1197" s="16"/>
      <c r="O1197" s="16"/>
      <c r="P1197" s="16"/>
      <c r="Q1197" s="16"/>
      <c r="R1197" s="16"/>
      <c r="S1197" s="16"/>
      <c r="T1197" s="16"/>
      <c r="U1197" s="16"/>
      <c r="V1197" s="16"/>
      <c r="W1197" s="16"/>
      <c r="X1197" s="16"/>
      <c r="Y1197" s="16"/>
      <c r="Z1197" s="16"/>
    </row>
    <row r="1198">
      <c r="A1198" s="16" t="str">
        <f>IFERROR(__xludf.DUMMYFUNCTION("""COMPUTED_VALUE"""),"Sharp Teeth")</f>
        <v>Sharp Teeth</v>
      </c>
      <c r="B1198" s="16" t="str">
        <f>IFERROR(__xludf.DUMMYFUNCTION("""COMPUTED_VALUE"""),"Consumable, 100 sharp teeth = permanantly increase attack by 1.")</f>
        <v>Consumable, 100 sharp teeth = permanantly increase attack by 1.</v>
      </c>
      <c r="C1198" s="16" t="str">
        <f>IFERROR(__xludf.DUMMYFUNCTION("""COMPUTED_VALUE"""),"Item")</f>
        <v>Item</v>
      </c>
      <c r="D1198" s="16"/>
      <c r="E1198" s="16"/>
      <c r="F1198" s="16"/>
      <c r="G1198" s="16"/>
      <c r="H1198" s="16"/>
      <c r="I1198" s="16"/>
      <c r="J1198" s="16"/>
      <c r="K1198" s="16"/>
      <c r="L1198" s="16"/>
      <c r="M1198" s="16"/>
      <c r="N1198" s="16"/>
      <c r="O1198" s="16"/>
      <c r="P1198" s="16"/>
      <c r="Q1198" s="16"/>
      <c r="R1198" s="16"/>
      <c r="S1198" s="16"/>
      <c r="T1198" s="16"/>
      <c r="U1198" s="16"/>
      <c r="V1198" s="16"/>
      <c r="W1198" s="16"/>
      <c r="X1198" s="16"/>
      <c r="Y1198" s="16"/>
      <c r="Z1198" s="16"/>
    </row>
    <row r="1199">
      <c r="A1199" s="16" t="str">
        <f>IFERROR(__xludf.DUMMYFUNCTION("""COMPUTED_VALUE"""),"Letter from the Warden")</f>
        <v>Letter from the Warden</v>
      </c>
      <c r="B1199" s="16" t="str">
        <f>IFERROR(__xludf.DUMMYFUNCTION("""COMPUTED_VALUE"""),"Get out of jail for free. Can only be used once, Cannot be duplicated.")</f>
        <v>Get out of jail for free. Can only be used once, Cannot be duplicated.</v>
      </c>
      <c r="C1199" s="16" t="str">
        <f>IFERROR(__xludf.DUMMYFUNCTION("""COMPUTED_VALUE"""),"Item")</f>
        <v>Item</v>
      </c>
      <c r="D1199" s="16"/>
      <c r="E1199" s="16"/>
      <c r="F1199" s="16"/>
      <c r="G1199" s="16"/>
      <c r="H1199" s="16"/>
      <c r="I1199" s="16"/>
      <c r="J1199" s="16"/>
      <c r="K1199" s="16"/>
      <c r="L1199" s="16"/>
      <c r="M1199" s="16"/>
      <c r="N1199" s="16"/>
      <c r="O1199" s="16"/>
      <c r="P1199" s="16"/>
      <c r="Q1199" s="16"/>
      <c r="R1199" s="16"/>
      <c r="S1199" s="16"/>
      <c r="T1199" s="16"/>
      <c r="U1199" s="16"/>
      <c r="V1199" s="16"/>
      <c r="W1199" s="16"/>
      <c r="X1199" s="16"/>
      <c r="Y1199" s="16"/>
      <c r="Z1199" s="16"/>
    </row>
    <row r="1200">
      <c r="A1200" s="16" t="str">
        <f>IFERROR(__xludf.DUMMYFUNCTION("""COMPUTED_VALUE"""),"Rank 9 Light Tome")</f>
        <v>Rank 9 Light Tome</v>
      </c>
      <c r="B1200" s="16" t="str">
        <f>IFERROR(__xludf.DUMMYFUNCTION("""COMPUTED_VALUE"""),"Allows you to use up to Rank 9 Light Powers.")</f>
        <v>Allows you to use up to Rank 9 Light Powers.</v>
      </c>
      <c r="C1200" s="16" t="str">
        <f>IFERROR(__xludf.DUMMYFUNCTION("""COMPUTED_VALUE"""),"Item")</f>
        <v>Item</v>
      </c>
      <c r="D1200" s="16"/>
      <c r="E1200" s="16"/>
      <c r="F1200" s="16"/>
      <c r="G1200" s="16"/>
      <c r="H1200" s="16"/>
      <c r="I1200" s="16"/>
      <c r="J1200" s="16"/>
      <c r="K1200" s="16"/>
      <c r="L1200" s="16"/>
      <c r="M1200" s="16"/>
      <c r="N1200" s="16"/>
      <c r="O1200" s="16"/>
      <c r="P1200" s="16"/>
      <c r="Q1200" s="16"/>
      <c r="R1200" s="16"/>
      <c r="S1200" s="16"/>
      <c r="T1200" s="16"/>
      <c r="U1200" s="16"/>
      <c r="V1200" s="16"/>
      <c r="W1200" s="16"/>
      <c r="X1200" s="16"/>
      <c r="Y1200" s="16"/>
      <c r="Z1200" s="16"/>
    </row>
    <row r="1201">
      <c r="A1201" s="16" t="str">
        <f>IFERROR(__xludf.DUMMYFUNCTION("""COMPUTED_VALUE"""),"Lesser Healing Potion")</f>
        <v>Lesser Healing Potion</v>
      </c>
      <c r="B1201" s="16" t="str">
        <f>IFERROR(__xludf.DUMMYFUNCTION("""COMPUTED_VALUE"""),": + +25HP")</f>
        <v>: + +25HP</v>
      </c>
      <c r="C1201" s="16" t="str">
        <f>IFERROR(__xludf.DUMMYFUNCTION("""COMPUTED_VALUE"""),"Item")</f>
        <v>Item</v>
      </c>
      <c r="D1201" s="16"/>
      <c r="E1201" s="16"/>
      <c r="F1201" s="16"/>
      <c r="G1201" s="16"/>
      <c r="H1201" s="16"/>
      <c r="I1201" s="16"/>
      <c r="J1201" s="16"/>
      <c r="K1201" s="16"/>
      <c r="L1201" s="16"/>
      <c r="M1201" s="16"/>
      <c r="N1201" s="16"/>
      <c r="O1201" s="16"/>
      <c r="P1201" s="16"/>
      <c r="Q1201" s="16"/>
      <c r="R1201" s="16"/>
      <c r="S1201" s="16"/>
      <c r="T1201" s="16"/>
      <c r="U1201" s="16"/>
      <c r="V1201" s="16"/>
      <c r="W1201" s="16"/>
      <c r="X1201" s="16"/>
      <c r="Y1201" s="16"/>
      <c r="Z1201" s="16"/>
    </row>
    <row r="1202">
      <c r="A1202" s="16" t="str">
        <f>IFERROR(__xludf.DUMMYFUNCTION("""COMPUTED_VALUE"""),"Blackhorn Healing Potion")</f>
        <v>Blackhorn Healing Potion</v>
      </c>
      <c r="B1202" s="16" t="str">
        <f>IFERROR(__xludf.DUMMYFUNCTION("""COMPUTED_VALUE"""),": + +75HP")</f>
        <v>: + +75HP</v>
      </c>
      <c r="C1202" s="16" t="str">
        <f>IFERROR(__xludf.DUMMYFUNCTION("""COMPUTED_VALUE"""),"Item")</f>
        <v>Item</v>
      </c>
      <c r="D1202" s="16"/>
      <c r="E1202" s="16"/>
      <c r="F1202" s="16"/>
      <c r="G1202" s="16"/>
      <c r="H1202" s="16"/>
      <c r="I1202" s="16"/>
      <c r="J1202" s="16"/>
      <c r="K1202" s="16"/>
      <c r="L1202" s="16"/>
      <c r="M1202" s="16"/>
      <c r="N1202" s="16"/>
      <c r="O1202" s="16"/>
      <c r="P1202" s="16"/>
      <c r="Q1202" s="16"/>
      <c r="R1202" s="16"/>
      <c r="S1202" s="16"/>
      <c r="T1202" s="16"/>
      <c r="U1202" s="16"/>
      <c r="V1202" s="16"/>
      <c r="W1202" s="16"/>
      <c r="X1202" s="16"/>
      <c r="Y1202" s="16"/>
      <c r="Z1202" s="16"/>
    </row>
    <row r="1203">
      <c r="A1203" s="16" t="str">
        <f>IFERROR(__xludf.DUMMYFUNCTION("""COMPUTED_VALUE"""),"Greater Healing Potion")</f>
        <v>Greater Healing Potion</v>
      </c>
      <c r="B1203" s="16" t="str">
        <f>IFERROR(__xludf.DUMMYFUNCTION("""COMPUTED_VALUE"""),": + +100HP")</f>
        <v>: + +100HP</v>
      </c>
      <c r="C1203" s="16" t="str">
        <f>IFERROR(__xludf.DUMMYFUNCTION("""COMPUTED_VALUE"""),"Item")</f>
        <v>Item</v>
      </c>
      <c r="D1203" s="16"/>
      <c r="E1203" s="16"/>
      <c r="F1203" s="16"/>
      <c r="G1203" s="16"/>
      <c r="H1203" s="16"/>
      <c r="I1203" s="16"/>
      <c r="J1203" s="16"/>
      <c r="K1203" s="16"/>
      <c r="L1203" s="16"/>
      <c r="M1203" s="16"/>
      <c r="N1203" s="16"/>
      <c r="O1203" s="16"/>
      <c r="P1203" s="16"/>
      <c r="Q1203" s="16"/>
      <c r="R1203" s="16"/>
      <c r="S1203" s="16"/>
      <c r="T1203" s="16"/>
      <c r="U1203" s="16"/>
      <c r="V1203" s="16"/>
      <c r="W1203" s="16"/>
      <c r="X1203" s="16"/>
      <c r="Y1203" s="16"/>
      <c r="Z1203" s="16"/>
    </row>
    <row r="1204">
      <c r="A1204" s="16" t="str">
        <f>IFERROR(__xludf.DUMMYFUNCTION("""COMPUTED_VALUE"""),"Awkward Potion")</f>
        <v>Awkward Potion</v>
      </c>
      <c r="B1204" s="16" t="str">
        <f>IFERROR(__xludf.DUMMYFUNCTION("""COMPUTED_VALUE"""),": + +100HP And 100 SP")</f>
        <v>: + +100HP And 100 SP</v>
      </c>
      <c r="C1204" s="16" t="str">
        <f>IFERROR(__xludf.DUMMYFUNCTION("""COMPUTED_VALUE"""),"Item")</f>
        <v>Item</v>
      </c>
      <c r="D1204" s="16"/>
      <c r="E1204" s="16"/>
      <c r="F1204" s="16"/>
      <c r="G1204" s="16"/>
      <c r="H1204" s="16"/>
      <c r="I1204" s="16"/>
      <c r="J1204" s="16"/>
      <c r="K1204" s="16"/>
      <c r="L1204" s="16"/>
      <c r="M1204" s="16"/>
      <c r="N1204" s="16"/>
      <c r="O1204" s="16"/>
      <c r="P1204" s="16"/>
      <c r="Q1204" s="16"/>
      <c r="R1204" s="16"/>
      <c r="S1204" s="16"/>
      <c r="T1204" s="16"/>
      <c r="U1204" s="16"/>
      <c r="V1204" s="16"/>
      <c r="W1204" s="16"/>
      <c r="X1204" s="16"/>
      <c r="Y1204" s="16"/>
      <c r="Z1204" s="16"/>
    </row>
    <row r="1205">
      <c r="A1205" s="16" t="str">
        <f>IFERROR(__xludf.DUMMYFUNCTION("""COMPUTED_VALUE"""),"Defensive Potion")</f>
        <v>Defensive Potion</v>
      </c>
      <c r="B1205" s="16" t="str">
        <f>IFERROR(__xludf.DUMMYFUNCTION("""COMPUTED_VALUE"""),": + +1000 def for 3 rounds")</f>
        <v>: + +1000 def for 3 rounds</v>
      </c>
      <c r="C1205" s="16" t="str">
        <f>IFERROR(__xludf.DUMMYFUNCTION("""COMPUTED_VALUE"""),"Item")</f>
        <v>Item</v>
      </c>
      <c r="D1205" s="16"/>
      <c r="E1205" s="16"/>
      <c r="F1205" s="16"/>
      <c r="G1205" s="16"/>
      <c r="H1205" s="16"/>
      <c r="I1205" s="16"/>
      <c r="J1205" s="16"/>
      <c r="K1205" s="16"/>
      <c r="L1205" s="16"/>
      <c r="M1205" s="16"/>
      <c r="N1205" s="16"/>
      <c r="O1205" s="16"/>
      <c r="P1205" s="16"/>
      <c r="Q1205" s="16"/>
      <c r="R1205" s="16"/>
      <c r="S1205" s="16"/>
      <c r="T1205" s="16"/>
      <c r="U1205" s="16"/>
      <c r="V1205" s="16"/>
      <c r="W1205" s="16"/>
      <c r="X1205" s="16"/>
      <c r="Y1205" s="16"/>
      <c r="Z1205" s="16"/>
    </row>
    <row r="1206">
      <c r="A1206" s="16" t="str">
        <f>IFERROR(__xludf.DUMMYFUNCTION("""COMPUTED_VALUE"""),"Offensive Potion")</f>
        <v>Offensive Potion</v>
      </c>
      <c r="B1206" s="16" t="str">
        <f>IFERROR(__xludf.DUMMYFUNCTION("""COMPUTED_VALUE"""),": + +1000 atk for 3 rounds")</f>
        <v>: + +1000 atk for 3 rounds</v>
      </c>
      <c r="C1206" s="16" t="str">
        <f>IFERROR(__xludf.DUMMYFUNCTION("""COMPUTED_VALUE"""),"Item")</f>
        <v>Item</v>
      </c>
      <c r="D1206" s="16"/>
      <c r="E1206" s="16"/>
      <c r="F1206" s="16"/>
      <c r="G1206" s="16"/>
      <c r="H1206" s="16"/>
      <c r="I1206" s="16"/>
      <c r="J1206" s="16"/>
      <c r="K1206" s="16"/>
      <c r="L1206" s="16"/>
      <c r="M1206" s="16"/>
      <c r="N1206" s="16"/>
      <c r="O1206" s="16"/>
      <c r="P1206" s="16"/>
      <c r="Q1206" s="16"/>
      <c r="R1206" s="16"/>
      <c r="S1206" s="16"/>
      <c r="T1206" s="16"/>
      <c r="U1206" s="16"/>
      <c r="V1206" s="16"/>
      <c r="W1206" s="16"/>
      <c r="X1206" s="16"/>
      <c r="Y1206" s="16"/>
      <c r="Z1206" s="16"/>
    </row>
    <row r="1207">
      <c r="A1207" s="16" t="str">
        <f>IFERROR(__xludf.DUMMYFUNCTION("""COMPUTED_VALUE"""),"Potion of Swift")</f>
        <v>Potion of Swift</v>
      </c>
      <c r="B1207" s="16" t="str">
        <f>IFERROR(__xludf.DUMMYFUNCTION("""COMPUTED_VALUE"""),": + +add 5 evasion for 3 rounds")</f>
        <v>: + +add 5 evasion for 3 rounds</v>
      </c>
      <c r="C1207" s="16" t="str">
        <f>IFERROR(__xludf.DUMMYFUNCTION("""COMPUTED_VALUE"""),"Item")</f>
        <v>Item</v>
      </c>
      <c r="D1207" s="16"/>
      <c r="E1207" s="16"/>
      <c r="F1207" s="16"/>
      <c r="G1207" s="16"/>
      <c r="H1207" s="16"/>
      <c r="I1207" s="16"/>
      <c r="J1207" s="16"/>
      <c r="K1207" s="16"/>
      <c r="L1207" s="16"/>
      <c r="M1207" s="16"/>
      <c r="N1207" s="16"/>
      <c r="O1207" s="16"/>
      <c r="P1207" s="16"/>
      <c r="Q1207" s="16"/>
      <c r="R1207" s="16"/>
      <c r="S1207" s="16"/>
      <c r="T1207" s="16"/>
      <c r="U1207" s="16"/>
      <c r="V1207" s="16"/>
      <c r="W1207" s="16"/>
      <c r="X1207" s="16"/>
      <c r="Y1207" s="16"/>
      <c r="Z1207" s="16"/>
    </row>
    <row r="1208">
      <c r="A1208" s="16" t="str">
        <f>IFERROR(__xludf.DUMMYFUNCTION("""COMPUTED_VALUE"""),"Potion of Mana Regeneration")</f>
        <v>Potion of Mana Regeneration</v>
      </c>
      <c r="B1208" s="16" t="str">
        <f>IFERROR(__xludf.DUMMYFUNCTION("""COMPUTED_VALUE"""),": + +500SP p/r for 3 rounds")</f>
        <v>: + +500SP p/r for 3 rounds</v>
      </c>
      <c r="C1208" s="16" t="str">
        <f>IFERROR(__xludf.DUMMYFUNCTION("""COMPUTED_VALUE"""),"Item")</f>
        <v>Item</v>
      </c>
      <c r="D1208" s="16"/>
      <c r="E1208" s="16"/>
      <c r="F1208" s="16"/>
      <c r="G1208" s="16"/>
      <c r="H1208" s="16"/>
      <c r="I1208" s="16"/>
      <c r="J1208" s="16"/>
      <c r="K1208" s="16"/>
      <c r="L1208" s="16"/>
      <c r="M1208" s="16"/>
      <c r="N1208" s="16"/>
      <c r="O1208" s="16"/>
      <c r="P1208" s="16"/>
      <c r="Q1208" s="16"/>
      <c r="R1208" s="16"/>
      <c r="S1208" s="16"/>
      <c r="T1208" s="16"/>
      <c r="U1208" s="16"/>
      <c r="V1208" s="16"/>
      <c r="W1208" s="16"/>
      <c r="X1208" s="16"/>
      <c r="Y1208" s="16"/>
      <c r="Z1208" s="16"/>
    </row>
    <row r="1209">
      <c r="A1209" s="16" t="str">
        <f>IFERROR(__xludf.DUMMYFUNCTION("""COMPUTED_VALUE"""),"Potion of Thorns")</f>
        <v>Potion of Thorns</v>
      </c>
      <c r="B1209" s="16" t="str">
        <f>IFERROR(__xludf.DUMMYFUNCTION("""COMPUTED_VALUE"""),": + +When a target deals damage to you they take the same amount of damage back.")</f>
        <v>: + +When a target deals damage to you they take the same amount of damage back.</v>
      </c>
      <c r="C1209" s="16" t="str">
        <f>IFERROR(__xludf.DUMMYFUNCTION("""COMPUTED_VALUE"""),"Item")</f>
        <v>Item</v>
      </c>
      <c r="D1209" s="16"/>
      <c r="E1209" s="16"/>
      <c r="F1209" s="16"/>
      <c r="G1209" s="16"/>
      <c r="H1209" s="16"/>
      <c r="I1209" s="16"/>
      <c r="J1209" s="16"/>
      <c r="K1209" s="16"/>
      <c r="L1209" s="16"/>
      <c r="M1209" s="16"/>
      <c r="N1209" s="16"/>
      <c r="O1209" s="16"/>
      <c r="P1209" s="16"/>
      <c r="Q1209" s="16"/>
      <c r="R1209" s="16"/>
      <c r="S1209" s="16"/>
      <c r="T1209" s="16"/>
      <c r="U1209" s="16"/>
      <c r="V1209" s="16"/>
      <c r="W1209" s="16"/>
      <c r="X1209" s="16"/>
      <c r="Y1209" s="16"/>
      <c r="Z1209" s="16"/>
    </row>
    <row r="1210">
      <c r="A1210" s="16" t="str">
        <f>IFERROR(__xludf.DUMMYFUNCTION("""COMPUTED_VALUE"""),"Potion of Resistance")</f>
        <v>Potion of Resistance</v>
      </c>
      <c r="B1210" s="16" t="str">
        <f>IFERROR(__xludf.DUMMYFUNCTION("""COMPUTED_VALUE"""),": + +1000 resistance to all attacks for 3 rounds.")</f>
        <v>: + +1000 resistance to all attacks for 3 rounds.</v>
      </c>
      <c r="C1210" s="16" t="str">
        <f>IFERROR(__xludf.DUMMYFUNCTION("""COMPUTED_VALUE"""),"Item")</f>
        <v>Item</v>
      </c>
      <c r="D1210" s="16"/>
      <c r="E1210" s="16"/>
      <c r="F1210" s="16"/>
      <c r="G1210" s="16"/>
      <c r="H1210" s="16"/>
      <c r="I1210" s="16"/>
      <c r="J1210" s="16"/>
      <c r="K1210" s="16"/>
      <c r="L1210" s="16"/>
      <c r="M1210" s="16"/>
      <c r="N1210" s="16"/>
      <c r="O1210" s="16"/>
      <c r="P1210" s="16"/>
      <c r="Q1210" s="16"/>
      <c r="R1210" s="16"/>
      <c r="S1210" s="16"/>
      <c r="T1210" s="16"/>
      <c r="U1210" s="16"/>
      <c r="V1210" s="16"/>
      <c r="W1210" s="16"/>
      <c r="X1210" s="16"/>
      <c r="Y1210" s="16"/>
      <c r="Z1210" s="16"/>
    </row>
    <row r="1211">
      <c r="A1211" s="16" t="str">
        <f>IFERROR(__xludf.DUMMYFUNCTION("""COMPUTED_VALUE"""),"Potion of Speed")</f>
        <v>Potion of Speed</v>
      </c>
      <c r="B1211" s="16" t="str">
        <f>IFERROR(__xludf.DUMMYFUNCTION("""COMPUTED_VALUE"""),": + +Allows 2 additional turns in one on your next turn.")</f>
        <v>: + +Allows 2 additional turns in one on your next turn.</v>
      </c>
      <c r="C1211" s="16" t="str">
        <f>IFERROR(__xludf.DUMMYFUNCTION("""COMPUTED_VALUE"""),"Item")</f>
        <v>Item</v>
      </c>
      <c r="D1211" s="16"/>
      <c r="E1211" s="16"/>
      <c r="F1211" s="16"/>
      <c r="G1211" s="16"/>
      <c r="H1211" s="16"/>
      <c r="I1211" s="16"/>
      <c r="J1211" s="16"/>
      <c r="K1211" s="16"/>
      <c r="L1211" s="16"/>
      <c r="M1211" s="16"/>
      <c r="N1211" s="16"/>
      <c r="O1211" s="16"/>
      <c r="P1211" s="16"/>
      <c r="Q1211" s="16"/>
      <c r="R1211" s="16"/>
      <c r="S1211" s="16"/>
      <c r="T1211" s="16"/>
      <c r="U1211" s="16"/>
      <c r="V1211" s="16"/>
      <c r="W1211" s="16"/>
      <c r="X1211" s="16"/>
      <c r="Y1211" s="16"/>
      <c r="Z1211" s="16"/>
    </row>
    <row r="1212">
      <c r="A1212" s="16" t="str">
        <f>IFERROR(__xludf.DUMMYFUNCTION("""COMPUTED_VALUE"""),"Potion of Luck")</f>
        <v>Potion of Luck</v>
      </c>
      <c r="B1212" s="16" t="str">
        <f>IFERROR(__xludf.DUMMYFUNCTION("""COMPUTED_VALUE"""),": + +Allows you to get an enemies highest loot role (Must be used during battle)")</f>
        <v>: + +Allows you to get an enemies highest loot role (Must be used during battle)</v>
      </c>
      <c r="C1212" s="16" t="str">
        <f>IFERROR(__xludf.DUMMYFUNCTION("""COMPUTED_VALUE"""),"Item")</f>
        <v>Item</v>
      </c>
      <c r="D1212" s="16"/>
      <c r="E1212" s="16"/>
      <c r="F1212" s="16"/>
      <c r="G1212" s="16"/>
      <c r="H1212" s="16"/>
      <c r="I1212" s="16"/>
      <c r="J1212" s="16"/>
      <c r="K1212" s="16"/>
      <c r="L1212" s="16"/>
      <c r="M1212" s="16"/>
      <c r="N1212" s="16"/>
      <c r="O1212" s="16"/>
      <c r="P1212" s="16"/>
      <c r="Q1212" s="16"/>
      <c r="R1212" s="16"/>
      <c r="S1212" s="16"/>
      <c r="T1212" s="16"/>
      <c r="U1212" s="16"/>
      <c r="V1212" s="16"/>
      <c r="W1212" s="16"/>
      <c r="X1212" s="16"/>
      <c r="Y1212" s="16"/>
      <c r="Z1212" s="16"/>
    </row>
    <row r="1213">
      <c r="A1213" s="16" t="str">
        <f>IFERROR(__xludf.DUMMYFUNCTION("""COMPUTED_VALUE"""),"Potion of Regeneration")</f>
        <v>Potion of Regeneration</v>
      </c>
      <c r="B1213" s="16" t="str">
        <f>IFERROR(__xludf.DUMMYFUNCTION("""COMPUTED_VALUE"""),": + +500HP p/r for 3 rounds.")</f>
        <v>: + +500HP p/r for 3 rounds.</v>
      </c>
      <c r="C1213" s="16" t="str">
        <f>IFERROR(__xludf.DUMMYFUNCTION("""COMPUTED_VALUE"""),"Item")</f>
        <v>Item</v>
      </c>
      <c r="D1213" s="16"/>
      <c r="E1213" s="16"/>
      <c r="F1213" s="16"/>
      <c r="G1213" s="16"/>
      <c r="H1213" s="16"/>
      <c r="I1213" s="16"/>
      <c r="J1213" s="16"/>
      <c r="K1213" s="16"/>
      <c r="L1213" s="16"/>
      <c r="M1213" s="16"/>
      <c r="N1213" s="16"/>
      <c r="O1213" s="16"/>
      <c r="P1213" s="16"/>
      <c r="Q1213" s="16"/>
      <c r="R1213" s="16"/>
      <c r="S1213" s="16"/>
      <c r="T1213" s="16"/>
      <c r="U1213" s="16"/>
      <c r="V1213" s="16"/>
      <c r="W1213" s="16"/>
      <c r="X1213" s="16"/>
      <c r="Y1213" s="16"/>
      <c r="Z1213" s="16"/>
    </row>
    <row r="1214">
      <c r="A1214" s="16" t="str">
        <f>IFERROR(__xludf.DUMMYFUNCTION("""COMPUTED_VALUE"""),"Potion of Immunity")</f>
        <v>Potion of Immunity</v>
      </c>
      <c r="B1214" s="16" t="str">
        <f>IFERROR(__xludf.DUMMYFUNCTION("""COMPUTED_VALUE"""),": + +Gain immunity to all attacks for 3 rounds.")</f>
        <v>: + +Gain immunity to all attacks for 3 rounds.</v>
      </c>
      <c r="C1214" s="16" t="str">
        <f>IFERROR(__xludf.DUMMYFUNCTION("""COMPUTED_VALUE"""),"Item")</f>
        <v>Item</v>
      </c>
      <c r="D1214" s="16"/>
      <c r="E1214" s="16"/>
      <c r="F1214" s="16"/>
      <c r="G1214" s="16"/>
      <c r="H1214" s="16"/>
      <c r="I1214" s="16"/>
      <c r="J1214" s="16"/>
      <c r="K1214" s="16"/>
      <c r="L1214" s="16"/>
      <c r="M1214" s="16"/>
      <c r="N1214" s="16"/>
      <c r="O1214" s="16"/>
      <c r="P1214" s="16"/>
      <c r="Q1214" s="16"/>
      <c r="R1214" s="16"/>
      <c r="S1214" s="16"/>
      <c r="T1214" s="16"/>
      <c r="U1214" s="16"/>
      <c r="V1214" s="16"/>
      <c r="W1214" s="16"/>
      <c r="X1214" s="16"/>
      <c r="Y1214" s="16"/>
      <c r="Z1214" s="16"/>
    </row>
    <row r="1215">
      <c r="A1215" s="16" t="str">
        <f>IFERROR(__xludf.DUMMYFUNCTION("""COMPUTED_VALUE"""),"Apple")</f>
        <v>Apple</v>
      </c>
      <c r="B1215" s="16" t="str">
        <f>IFERROR(__xludf.DUMMYFUNCTION("""COMPUTED_VALUE"""),"5 hunger and thirst.")</f>
        <v>5 hunger and thirst.</v>
      </c>
      <c r="C1215" s="16" t="str">
        <f>IFERROR(__xludf.DUMMYFUNCTION("""COMPUTED_VALUE"""),"Crop")</f>
        <v>Crop</v>
      </c>
      <c r="D1215" s="16"/>
      <c r="E1215" s="16"/>
      <c r="F1215" s="16"/>
      <c r="G1215" s="16"/>
      <c r="H1215" s="16"/>
      <c r="I1215" s="16"/>
      <c r="J1215" s="16"/>
      <c r="K1215" s="16"/>
      <c r="L1215" s="16"/>
      <c r="M1215" s="16"/>
      <c r="N1215" s="16"/>
      <c r="O1215" s="16"/>
      <c r="P1215" s="16"/>
      <c r="Q1215" s="16"/>
      <c r="R1215" s="16"/>
      <c r="S1215" s="16"/>
      <c r="T1215" s="16"/>
      <c r="U1215" s="16"/>
      <c r="V1215" s="16"/>
      <c r="W1215" s="16"/>
      <c r="X1215" s="16"/>
      <c r="Y1215" s="16"/>
      <c r="Z1215" s="16"/>
    </row>
    <row r="1216">
      <c r="A1216" s="16" t="str">
        <f>IFERROR(__xludf.DUMMYFUNCTION("""COMPUTED_VALUE"""),"Watermelon")</f>
        <v>Watermelon</v>
      </c>
      <c r="B1216" s="16" t="str">
        <f>IFERROR(__xludf.DUMMYFUNCTION("""COMPUTED_VALUE"""),"100 hunger, thirst, and energy. Feeds self and up to 2 party members.")</f>
        <v>100 hunger, thirst, and energy. Feeds self and up to 2 party members.</v>
      </c>
      <c r="C1216" s="16" t="str">
        <f>IFERROR(__xludf.DUMMYFUNCTION("""COMPUTED_VALUE"""),"Crop")</f>
        <v>Crop</v>
      </c>
      <c r="D1216" s="16"/>
      <c r="E1216" s="16"/>
      <c r="F1216" s="16"/>
      <c r="G1216" s="16"/>
      <c r="H1216" s="16"/>
      <c r="I1216" s="16"/>
      <c r="J1216" s="16"/>
      <c r="K1216" s="16"/>
      <c r="L1216" s="16"/>
      <c r="M1216" s="16"/>
      <c r="N1216" s="16"/>
      <c r="O1216" s="16"/>
      <c r="P1216" s="16"/>
      <c r="Q1216" s="16"/>
      <c r="R1216" s="16"/>
      <c r="S1216" s="16"/>
      <c r="T1216" s="16"/>
      <c r="U1216" s="16"/>
      <c r="V1216" s="16"/>
      <c r="W1216" s="16"/>
      <c r="X1216" s="16"/>
      <c r="Y1216" s="16"/>
      <c r="Z1216" s="16"/>
    </row>
    <row r="1217">
      <c r="A1217" s="16" t="str">
        <f>IFERROR(__xludf.DUMMYFUNCTION("""COMPUTED_VALUE"""),"Orange")</f>
        <v>Orange</v>
      </c>
      <c r="B1217" s="16" t="str">
        <f>IFERROR(__xludf.DUMMYFUNCTION("""COMPUTED_VALUE"""),"5 hunger and thirst.")</f>
        <v>5 hunger and thirst.</v>
      </c>
      <c r="C1217" s="16" t="str">
        <f>IFERROR(__xludf.DUMMYFUNCTION("""COMPUTED_VALUE"""),"Crop")</f>
        <v>Crop</v>
      </c>
      <c r="D1217" s="16"/>
      <c r="E1217" s="16"/>
      <c r="F1217" s="16"/>
      <c r="G1217" s="16"/>
      <c r="H1217" s="16"/>
      <c r="I1217" s="16"/>
      <c r="J1217" s="16"/>
      <c r="K1217" s="16"/>
      <c r="L1217" s="16"/>
      <c r="M1217" s="16"/>
      <c r="N1217" s="16"/>
      <c r="O1217" s="16"/>
      <c r="P1217" s="16"/>
      <c r="Q1217" s="16"/>
      <c r="R1217" s="16"/>
      <c r="S1217" s="16"/>
      <c r="T1217" s="16"/>
      <c r="U1217" s="16"/>
      <c r="V1217" s="16"/>
      <c r="W1217" s="16"/>
      <c r="X1217" s="16"/>
      <c r="Y1217" s="16"/>
      <c r="Z1217" s="16"/>
    </row>
    <row r="1218">
      <c r="A1218" s="16" t="str">
        <f>IFERROR(__xludf.DUMMYFUNCTION("""COMPUTED_VALUE"""),"Pear")</f>
        <v>Pear</v>
      </c>
      <c r="B1218" s="16" t="str">
        <f>IFERROR(__xludf.DUMMYFUNCTION("""COMPUTED_VALUE"""),"5 hunger and thirst.")</f>
        <v>5 hunger and thirst.</v>
      </c>
      <c r="C1218" s="16" t="str">
        <f>IFERROR(__xludf.DUMMYFUNCTION("""COMPUTED_VALUE"""),"Crop")</f>
        <v>Crop</v>
      </c>
      <c r="D1218" s="16"/>
      <c r="E1218" s="16"/>
      <c r="F1218" s="16"/>
      <c r="G1218" s="16"/>
      <c r="H1218" s="16"/>
      <c r="I1218" s="16"/>
      <c r="J1218" s="16"/>
      <c r="K1218" s="16"/>
      <c r="L1218" s="16"/>
      <c r="M1218" s="16"/>
      <c r="N1218" s="16"/>
      <c r="O1218" s="16"/>
      <c r="P1218" s="16"/>
      <c r="Q1218" s="16"/>
      <c r="R1218" s="16"/>
      <c r="S1218" s="16"/>
      <c r="T1218" s="16"/>
      <c r="U1218" s="16"/>
      <c r="V1218" s="16"/>
      <c r="W1218" s="16"/>
      <c r="X1218" s="16"/>
      <c r="Y1218" s="16"/>
      <c r="Z1218" s="16"/>
    </row>
    <row r="1219">
      <c r="A1219" s="16" t="str">
        <f>IFERROR(__xludf.DUMMYFUNCTION("""COMPUTED_VALUE"""),"Cherry")</f>
        <v>Cherry</v>
      </c>
      <c r="B1219" s="16" t="str">
        <f>IFERROR(__xludf.DUMMYFUNCTION("""COMPUTED_VALUE"""),"5 hunger and thirst.")</f>
        <v>5 hunger and thirst.</v>
      </c>
      <c r="C1219" s="16" t="str">
        <f>IFERROR(__xludf.DUMMYFUNCTION("""COMPUTED_VALUE"""),"Crop")</f>
        <v>Crop</v>
      </c>
      <c r="D1219" s="16"/>
      <c r="E1219" s="16"/>
      <c r="F1219" s="16"/>
      <c r="G1219" s="16"/>
      <c r="H1219" s="16"/>
      <c r="I1219" s="16"/>
      <c r="J1219" s="16"/>
      <c r="K1219" s="16"/>
      <c r="L1219" s="16"/>
      <c r="M1219" s="16"/>
      <c r="N1219" s="16"/>
      <c r="O1219" s="16"/>
      <c r="P1219" s="16"/>
      <c r="Q1219" s="16"/>
      <c r="R1219" s="16"/>
      <c r="S1219" s="16"/>
      <c r="T1219" s="16"/>
      <c r="U1219" s="16"/>
      <c r="V1219" s="16"/>
      <c r="W1219" s="16"/>
      <c r="X1219" s="16"/>
      <c r="Y1219" s="16"/>
      <c r="Z1219" s="16"/>
    </row>
    <row r="1220">
      <c r="A1220" s="16" t="str">
        <f>IFERROR(__xludf.DUMMYFUNCTION("""COMPUTED_VALUE"""),"Strawberries")</f>
        <v>Strawberries</v>
      </c>
      <c r="B1220" s="16" t="str">
        <f>IFERROR(__xludf.DUMMYFUNCTION("""COMPUTED_VALUE"""),"5 hunger and thirst.")</f>
        <v>5 hunger and thirst.</v>
      </c>
      <c r="C1220" s="16" t="str">
        <f>IFERROR(__xludf.DUMMYFUNCTION("""COMPUTED_VALUE"""),"Crop")</f>
        <v>Crop</v>
      </c>
      <c r="D1220" s="16"/>
      <c r="E1220" s="16"/>
      <c r="F1220" s="16"/>
      <c r="G1220" s="16"/>
      <c r="H1220" s="16"/>
      <c r="I1220" s="16"/>
      <c r="J1220" s="16"/>
      <c r="K1220" s="16"/>
      <c r="L1220" s="16"/>
      <c r="M1220" s="16"/>
      <c r="N1220" s="16"/>
      <c r="O1220" s="16"/>
      <c r="P1220" s="16"/>
      <c r="Q1220" s="16"/>
      <c r="R1220" s="16"/>
      <c r="S1220" s="16"/>
      <c r="T1220" s="16"/>
      <c r="U1220" s="16"/>
      <c r="V1220" s="16"/>
      <c r="W1220" s="16"/>
      <c r="X1220" s="16"/>
      <c r="Y1220" s="16"/>
      <c r="Z1220" s="16"/>
    </row>
    <row r="1221">
      <c r="A1221" s="16" t="str">
        <f>IFERROR(__xludf.DUMMYFUNCTION("""COMPUTED_VALUE"""),"Nectarine")</f>
        <v>Nectarine</v>
      </c>
      <c r="B1221" s="16" t="str">
        <f>IFERROR(__xludf.DUMMYFUNCTION("""COMPUTED_VALUE"""),"5 hunger and thirst.")</f>
        <v>5 hunger and thirst.</v>
      </c>
      <c r="C1221" s="16" t="str">
        <f>IFERROR(__xludf.DUMMYFUNCTION("""COMPUTED_VALUE"""),"Crop")</f>
        <v>Crop</v>
      </c>
      <c r="D1221" s="16"/>
      <c r="E1221" s="16"/>
      <c r="F1221" s="16"/>
      <c r="G1221" s="16"/>
      <c r="H1221" s="16"/>
      <c r="I1221" s="16"/>
      <c r="J1221" s="16"/>
      <c r="K1221" s="16"/>
      <c r="L1221" s="16"/>
      <c r="M1221" s="16"/>
      <c r="N1221" s="16"/>
      <c r="O1221" s="16"/>
      <c r="P1221" s="16"/>
      <c r="Q1221" s="16"/>
      <c r="R1221" s="16"/>
      <c r="S1221" s="16"/>
      <c r="T1221" s="16"/>
      <c r="U1221" s="16"/>
      <c r="V1221" s="16"/>
      <c r="W1221" s="16"/>
      <c r="X1221" s="16"/>
      <c r="Y1221" s="16"/>
      <c r="Z1221" s="16"/>
    </row>
    <row r="1222">
      <c r="A1222" s="16" t="str">
        <f>IFERROR(__xludf.DUMMYFUNCTION("""COMPUTED_VALUE"""),"Grapes")</f>
        <v>Grapes</v>
      </c>
      <c r="B1222" s="16" t="str">
        <f>IFERROR(__xludf.DUMMYFUNCTION("""COMPUTED_VALUE"""),"5 hunger and thirst.")</f>
        <v>5 hunger and thirst.</v>
      </c>
      <c r="C1222" s="16" t="str">
        <f>IFERROR(__xludf.DUMMYFUNCTION("""COMPUTED_VALUE"""),"Crop")</f>
        <v>Crop</v>
      </c>
      <c r="D1222" s="16"/>
      <c r="E1222" s="16"/>
      <c r="F1222" s="16"/>
      <c r="G1222" s="16"/>
      <c r="H1222" s="16"/>
      <c r="I1222" s="16"/>
      <c r="J1222" s="16"/>
      <c r="K1222" s="16"/>
      <c r="L1222" s="16"/>
      <c r="M1222" s="16"/>
      <c r="N1222" s="16"/>
      <c r="O1222" s="16"/>
      <c r="P1222" s="16"/>
      <c r="Q1222" s="16"/>
      <c r="R1222" s="16"/>
      <c r="S1222" s="16"/>
      <c r="T1222" s="16"/>
      <c r="U1222" s="16"/>
      <c r="V1222" s="16"/>
      <c r="W1222" s="16"/>
      <c r="X1222" s="16"/>
      <c r="Y1222" s="16"/>
      <c r="Z1222" s="16"/>
    </row>
    <row r="1223">
      <c r="A1223" s="16" t="str">
        <f>IFERROR(__xludf.DUMMYFUNCTION("""COMPUTED_VALUE"""),"Mango")</f>
        <v>Mango</v>
      </c>
      <c r="B1223" s="16" t="str">
        <f>IFERROR(__xludf.DUMMYFUNCTION("""COMPUTED_VALUE"""),"5 hunger and thirst.")</f>
        <v>5 hunger and thirst.</v>
      </c>
      <c r="C1223" s="16" t="str">
        <f>IFERROR(__xludf.DUMMYFUNCTION("""COMPUTED_VALUE"""),"Crop")</f>
        <v>Crop</v>
      </c>
      <c r="D1223" s="16"/>
      <c r="E1223" s="16"/>
      <c r="F1223" s="16"/>
      <c r="G1223" s="16"/>
      <c r="H1223" s="16"/>
      <c r="I1223" s="16"/>
      <c r="J1223" s="16"/>
      <c r="K1223" s="16"/>
      <c r="L1223" s="16"/>
      <c r="M1223" s="16"/>
      <c r="N1223" s="16"/>
      <c r="O1223" s="16"/>
      <c r="P1223" s="16"/>
      <c r="Q1223" s="16"/>
      <c r="R1223" s="16"/>
      <c r="S1223" s="16"/>
      <c r="T1223" s="16"/>
      <c r="U1223" s="16"/>
      <c r="V1223" s="16"/>
      <c r="W1223" s="16"/>
      <c r="X1223" s="16"/>
      <c r="Y1223" s="16"/>
      <c r="Z1223" s="16"/>
    </row>
    <row r="1224">
      <c r="A1224" s="16" t="str">
        <f>IFERROR(__xludf.DUMMYFUNCTION("""COMPUTED_VALUE"""),"Blueberries")</f>
        <v>Blueberries</v>
      </c>
      <c r="B1224" s="16" t="str">
        <f>IFERROR(__xludf.DUMMYFUNCTION("""COMPUTED_VALUE"""),"5 hunger and thirst.")</f>
        <v>5 hunger and thirst.</v>
      </c>
      <c r="C1224" s="16" t="str">
        <f>IFERROR(__xludf.DUMMYFUNCTION("""COMPUTED_VALUE"""),"Crop")</f>
        <v>Crop</v>
      </c>
      <c r="D1224" s="16"/>
      <c r="E1224" s="16"/>
      <c r="F1224" s="16"/>
      <c r="G1224" s="16"/>
      <c r="H1224" s="16"/>
      <c r="I1224" s="16"/>
      <c r="J1224" s="16"/>
      <c r="K1224" s="16"/>
      <c r="L1224" s="16"/>
      <c r="M1224" s="16"/>
      <c r="N1224" s="16"/>
      <c r="O1224" s="16"/>
      <c r="P1224" s="16"/>
      <c r="Q1224" s="16"/>
      <c r="R1224" s="16"/>
      <c r="S1224" s="16"/>
      <c r="T1224" s="16"/>
      <c r="U1224" s="16"/>
      <c r="V1224" s="16"/>
      <c r="W1224" s="16"/>
      <c r="X1224" s="16"/>
      <c r="Y1224" s="16"/>
      <c r="Z1224" s="16"/>
    </row>
    <row r="1225">
      <c r="A1225" s="16" t="str">
        <f>IFERROR(__xludf.DUMMYFUNCTION("""COMPUTED_VALUE"""),"Pomegranate")</f>
        <v>Pomegranate</v>
      </c>
      <c r="B1225" s="16" t="str">
        <f>IFERROR(__xludf.DUMMYFUNCTION("""COMPUTED_VALUE"""),"10 hunger and thirst.")</f>
        <v>10 hunger and thirst.</v>
      </c>
      <c r="C1225" s="16" t="str">
        <f>IFERROR(__xludf.DUMMYFUNCTION("""COMPUTED_VALUE"""),"Crop")</f>
        <v>Crop</v>
      </c>
      <c r="D1225" s="16"/>
      <c r="E1225" s="16"/>
      <c r="F1225" s="16"/>
      <c r="G1225" s="16"/>
      <c r="H1225" s="16"/>
      <c r="I1225" s="16"/>
      <c r="J1225" s="16"/>
      <c r="K1225" s="16"/>
      <c r="L1225" s="16"/>
      <c r="M1225" s="16"/>
      <c r="N1225" s="16"/>
      <c r="O1225" s="16"/>
      <c r="P1225" s="16"/>
      <c r="Q1225" s="16"/>
      <c r="R1225" s="16"/>
      <c r="S1225" s="16"/>
      <c r="T1225" s="16"/>
      <c r="U1225" s="16"/>
      <c r="V1225" s="16"/>
      <c r="W1225" s="16"/>
      <c r="X1225" s="16"/>
      <c r="Y1225" s="16"/>
      <c r="Z1225" s="16"/>
    </row>
    <row r="1226">
      <c r="A1226" s="16" t="str">
        <f>IFERROR(__xludf.DUMMYFUNCTION("""COMPUTED_VALUE"""),"StarFruit")</f>
        <v>StarFruit</v>
      </c>
      <c r="B1226" s="16" t="str">
        <f>IFERROR(__xludf.DUMMYFUNCTION("""COMPUTED_VALUE"""),"5 hunger and thirst.")</f>
        <v>5 hunger and thirst.</v>
      </c>
      <c r="C1226" s="16" t="str">
        <f>IFERROR(__xludf.DUMMYFUNCTION("""COMPUTED_VALUE"""),"Crop")</f>
        <v>Crop</v>
      </c>
      <c r="D1226" s="16"/>
      <c r="E1226" s="16"/>
      <c r="F1226" s="16"/>
      <c r="G1226" s="16"/>
      <c r="H1226" s="16"/>
      <c r="I1226" s="16"/>
      <c r="J1226" s="16"/>
      <c r="K1226" s="16"/>
      <c r="L1226" s="16"/>
      <c r="M1226" s="16"/>
      <c r="N1226" s="16"/>
      <c r="O1226" s="16"/>
      <c r="P1226" s="16"/>
      <c r="Q1226" s="16"/>
      <c r="R1226" s="16"/>
      <c r="S1226" s="16"/>
      <c r="T1226" s="16"/>
      <c r="U1226" s="16"/>
      <c r="V1226" s="16"/>
      <c r="W1226" s="16"/>
      <c r="X1226" s="16"/>
      <c r="Y1226" s="16"/>
      <c r="Z1226" s="16"/>
    </row>
    <row r="1227">
      <c r="A1227" s="16" t="str">
        <f>IFERROR(__xludf.DUMMYFUNCTION("""COMPUTED_VALUE"""),"Plum")</f>
        <v>Plum</v>
      </c>
      <c r="B1227" s="16" t="str">
        <f>IFERROR(__xludf.DUMMYFUNCTION("""COMPUTED_VALUE"""),"5 hunger and thirst.")</f>
        <v>5 hunger and thirst.</v>
      </c>
      <c r="C1227" s="16" t="str">
        <f>IFERROR(__xludf.DUMMYFUNCTION("""COMPUTED_VALUE"""),"Crop")</f>
        <v>Crop</v>
      </c>
      <c r="D1227" s="16"/>
      <c r="E1227" s="16"/>
      <c r="F1227" s="16"/>
      <c r="G1227" s="16"/>
      <c r="H1227" s="16"/>
      <c r="I1227" s="16"/>
      <c r="J1227" s="16"/>
      <c r="K1227" s="16"/>
      <c r="L1227" s="16"/>
      <c r="M1227" s="16"/>
      <c r="N1227" s="16"/>
      <c r="O1227" s="16"/>
      <c r="P1227" s="16"/>
      <c r="Q1227" s="16"/>
      <c r="R1227" s="16"/>
      <c r="S1227" s="16"/>
      <c r="T1227" s="16"/>
      <c r="U1227" s="16"/>
      <c r="V1227" s="16"/>
      <c r="W1227" s="16"/>
      <c r="X1227" s="16"/>
      <c r="Y1227" s="16"/>
      <c r="Z1227" s="16"/>
    </row>
    <row r="1228">
      <c r="A1228" s="16" t="str">
        <f>IFERROR(__xludf.DUMMYFUNCTION("""COMPUTED_VALUE"""),"Bananas")</f>
        <v>Bananas</v>
      </c>
      <c r="B1228" s="16" t="str">
        <f>IFERROR(__xludf.DUMMYFUNCTION("""COMPUTED_VALUE"""),"10 hunger.")</f>
        <v>10 hunger.</v>
      </c>
      <c r="C1228" s="16" t="str">
        <f>IFERROR(__xludf.DUMMYFUNCTION("""COMPUTED_VALUE"""),"Crop")</f>
        <v>Crop</v>
      </c>
      <c r="D1228" s="16"/>
      <c r="E1228" s="16"/>
      <c r="F1228" s="16"/>
      <c r="G1228" s="16"/>
      <c r="H1228" s="16"/>
      <c r="I1228" s="16"/>
      <c r="J1228" s="16"/>
      <c r="K1228" s="16"/>
      <c r="L1228" s="16"/>
      <c r="M1228" s="16"/>
      <c r="N1228" s="16"/>
      <c r="O1228" s="16"/>
      <c r="P1228" s="16"/>
      <c r="Q1228" s="16"/>
      <c r="R1228" s="16"/>
      <c r="S1228" s="16"/>
      <c r="T1228" s="16"/>
      <c r="U1228" s="16"/>
      <c r="V1228" s="16"/>
      <c r="W1228" s="16"/>
      <c r="X1228" s="16"/>
      <c r="Y1228" s="16"/>
      <c r="Z1228" s="16"/>
    </row>
    <row r="1229">
      <c r="A1229" s="16" t="str">
        <f>IFERROR(__xludf.DUMMYFUNCTION("""COMPUTED_VALUE"""),"Raspberry")</f>
        <v>Raspberry</v>
      </c>
      <c r="B1229" s="16" t="str">
        <f>IFERROR(__xludf.DUMMYFUNCTION("""COMPUTED_VALUE"""),"5 hunger and thirst.")</f>
        <v>5 hunger and thirst.</v>
      </c>
      <c r="C1229" s="16" t="str">
        <f>IFERROR(__xludf.DUMMYFUNCTION("""COMPUTED_VALUE"""),"Crop")</f>
        <v>Crop</v>
      </c>
      <c r="D1229" s="16"/>
      <c r="E1229" s="16"/>
      <c r="F1229" s="16"/>
      <c r="G1229" s="16"/>
      <c r="H1229" s="16"/>
      <c r="I1229" s="16"/>
      <c r="J1229" s="16"/>
      <c r="K1229" s="16"/>
      <c r="L1229" s="16"/>
      <c r="M1229" s="16"/>
      <c r="N1229" s="16"/>
      <c r="O1229" s="16"/>
      <c r="P1229" s="16"/>
      <c r="Q1229" s="16"/>
      <c r="R1229" s="16"/>
      <c r="S1229" s="16"/>
      <c r="T1229" s="16"/>
      <c r="U1229" s="16"/>
      <c r="V1229" s="16"/>
      <c r="W1229" s="16"/>
      <c r="X1229" s="16"/>
      <c r="Y1229" s="16"/>
      <c r="Z1229" s="16"/>
    </row>
    <row r="1230">
      <c r="A1230" s="16" t="str">
        <f>IFERROR(__xludf.DUMMYFUNCTION("""COMPUTED_VALUE"""),"Mandarin")</f>
        <v>Mandarin</v>
      </c>
      <c r="B1230" s="16" t="str">
        <f>IFERROR(__xludf.DUMMYFUNCTION("""COMPUTED_VALUE"""),"5 hunger and thirst.")</f>
        <v>5 hunger and thirst.</v>
      </c>
      <c r="C1230" s="16" t="str">
        <f>IFERROR(__xludf.DUMMYFUNCTION("""COMPUTED_VALUE"""),"Crop")</f>
        <v>Crop</v>
      </c>
      <c r="D1230" s="16"/>
      <c r="E1230" s="16"/>
      <c r="F1230" s="16"/>
      <c r="G1230" s="16"/>
      <c r="H1230" s="16"/>
      <c r="I1230" s="16"/>
      <c r="J1230" s="16"/>
      <c r="K1230" s="16"/>
      <c r="L1230" s="16"/>
      <c r="M1230" s="16"/>
      <c r="N1230" s="16"/>
      <c r="O1230" s="16"/>
      <c r="P1230" s="16"/>
      <c r="Q1230" s="16"/>
      <c r="R1230" s="16"/>
      <c r="S1230" s="16"/>
      <c r="T1230" s="16"/>
      <c r="U1230" s="16"/>
      <c r="V1230" s="16"/>
      <c r="W1230" s="16"/>
      <c r="X1230" s="16"/>
      <c r="Y1230" s="16"/>
      <c r="Z1230" s="16"/>
    </row>
    <row r="1231">
      <c r="A1231" s="16" t="str">
        <f>IFERROR(__xludf.DUMMYFUNCTION("""COMPUTED_VALUE"""),"Jackfruit")</f>
        <v>Jackfruit</v>
      </c>
      <c r="B1231" s="16" t="str">
        <f>IFERROR(__xludf.DUMMYFUNCTION("""COMPUTED_VALUE"""),"5 hunger and thirst.")</f>
        <v>5 hunger and thirst.</v>
      </c>
      <c r="C1231" s="16" t="str">
        <f>IFERROR(__xludf.DUMMYFUNCTION("""COMPUTED_VALUE"""),"Crop")</f>
        <v>Crop</v>
      </c>
      <c r="D1231" s="16"/>
      <c r="E1231" s="16"/>
      <c r="F1231" s="16"/>
      <c r="G1231" s="16"/>
      <c r="H1231" s="16"/>
      <c r="I1231" s="16"/>
      <c r="J1231" s="16"/>
      <c r="K1231" s="16"/>
      <c r="L1231" s="16"/>
      <c r="M1231" s="16"/>
      <c r="N1231" s="16"/>
      <c r="O1231" s="16"/>
      <c r="P1231" s="16"/>
      <c r="Q1231" s="16"/>
      <c r="R1231" s="16"/>
      <c r="S1231" s="16"/>
      <c r="T1231" s="16"/>
      <c r="U1231" s="16"/>
      <c r="V1231" s="16"/>
      <c r="W1231" s="16"/>
      <c r="X1231" s="16"/>
      <c r="Y1231" s="16"/>
      <c r="Z1231" s="16"/>
    </row>
    <row r="1232">
      <c r="A1232" s="16" t="str">
        <f>IFERROR(__xludf.DUMMYFUNCTION("""COMPUTED_VALUE"""),"Papaya")</f>
        <v>Papaya</v>
      </c>
      <c r="B1232" s="16" t="str">
        <f>IFERROR(__xludf.DUMMYFUNCTION("""COMPUTED_VALUE"""),"10 hunger and thirst.")</f>
        <v>10 hunger and thirst.</v>
      </c>
      <c r="C1232" s="16" t="str">
        <f>IFERROR(__xludf.DUMMYFUNCTION("""COMPUTED_VALUE"""),"Crop")</f>
        <v>Crop</v>
      </c>
      <c r="D1232" s="16"/>
      <c r="E1232" s="16"/>
      <c r="F1232" s="16"/>
      <c r="G1232" s="16"/>
      <c r="H1232" s="16"/>
      <c r="I1232" s="16"/>
      <c r="J1232" s="16"/>
      <c r="K1232" s="16"/>
      <c r="L1232" s="16"/>
      <c r="M1232" s="16"/>
      <c r="N1232" s="16"/>
      <c r="O1232" s="16"/>
      <c r="P1232" s="16"/>
      <c r="Q1232" s="16"/>
      <c r="R1232" s="16"/>
      <c r="S1232" s="16"/>
      <c r="T1232" s="16"/>
      <c r="U1232" s="16"/>
      <c r="V1232" s="16"/>
      <c r="W1232" s="16"/>
      <c r="X1232" s="16"/>
      <c r="Y1232" s="16"/>
      <c r="Z1232" s="16"/>
    </row>
    <row r="1233">
      <c r="A1233" s="16" t="str">
        <f>IFERROR(__xludf.DUMMYFUNCTION("""COMPUTED_VALUE"""),"Kiwi")</f>
        <v>Kiwi</v>
      </c>
      <c r="B1233" s="16" t="str">
        <f>IFERROR(__xludf.DUMMYFUNCTION("""COMPUTED_VALUE"""),"5 hunger and thirst.")</f>
        <v>5 hunger and thirst.</v>
      </c>
      <c r="C1233" s="16" t="str">
        <f>IFERROR(__xludf.DUMMYFUNCTION("""COMPUTED_VALUE"""),"Crop")</f>
        <v>Crop</v>
      </c>
      <c r="D1233" s="16"/>
      <c r="E1233" s="16"/>
      <c r="F1233" s="16"/>
      <c r="G1233" s="16"/>
      <c r="H1233" s="16"/>
      <c r="I1233" s="16"/>
      <c r="J1233" s="16"/>
      <c r="K1233" s="16"/>
      <c r="L1233" s="16"/>
      <c r="M1233" s="16"/>
      <c r="N1233" s="16"/>
      <c r="O1233" s="16"/>
      <c r="P1233" s="16"/>
      <c r="Q1233" s="16"/>
      <c r="R1233" s="16"/>
      <c r="S1233" s="16"/>
      <c r="T1233" s="16"/>
      <c r="U1233" s="16"/>
      <c r="V1233" s="16"/>
      <c r="W1233" s="16"/>
      <c r="X1233" s="16"/>
      <c r="Y1233" s="16"/>
      <c r="Z1233" s="16"/>
    </row>
    <row r="1234">
      <c r="A1234" s="16" t="str">
        <f>IFERROR(__xludf.DUMMYFUNCTION("""COMPUTED_VALUE"""),"Pineapple")</f>
        <v>Pineapple</v>
      </c>
      <c r="B1234" s="16" t="str">
        <f>IFERROR(__xludf.DUMMYFUNCTION("""COMPUTED_VALUE"""),"20 hunger and thirst.")</f>
        <v>20 hunger and thirst.</v>
      </c>
      <c r="C1234" s="16" t="str">
        <f>IFERROR(__xludf.DUMMYFUNCTION("""COMPUTED_VALUE"""),"Crop")</f>
        <v>Crop</v>
      </c>
      <c r="D1234" s="16"/>
      <c r="E1234" s="16"/>
      <c r="F1234" s="16"/>
      <c r="G1234" s="16"/>
      <c r="H1234" s="16"/>
      <c r="I1234" s="16"/>
      <c r="J1234" s="16"/>
      <c r="K1234" s="16"/>
      <c r="L1234" s="16"/>
      <c r="M1234" s="16"/>
      <c r="N1234" s="16"/>
      <c r="O1234" s="16"/>
      <c r="P1234" s="16"/>
      <c r="Q1234" s="16"/>
      <c r="R1234" s="16"/>
      <c r="S1234" s="16"/>
      <c r="T1234" s="16"/>
      <c r="U1234" s="16"/>
      <c r="V1234" s="16"/>
      <c r="W1234" s="16"/>
      <c r="X1234" s="16"/>
      <c r="Y1234" s="16"/>
      <c r="Z1234" s="16"/>
    </row>
    <row r="1235">
      <c r="A1235" s="16" t="str">
        <f>IFERROR(__xludf.DUMMYFUNCTION("""COMPUTED_VALUE"""),"Lime")</f>
        <v>Lime</v>
      </c>
      <c r="B1235" s="16" t="str">
        <f>IFERROR(__xludf.DUMMYFUNCTION("""COMPUTED_VALUE"""),"5 hunger and thirst or 25% chance to lose 10 hunger and thirst.")</f>
        <v>5 hunger and thirst or 25% chance to lose 10 hunger and thirst.</v>
      </c>
      <c r="C1235" s="16" t="str">
        <f>IFERROR(__xludf.DUMMYFUNCTION("""COMPUTED_VALUE"""),"Crop")</f>
        <v>Crop</v>
      </c>
      <c r="D1235" s="16"/>
      <c r="E1235" s="16"/>
      <c r="F1235" s="16"/>
      <c r="G1235" s="16"/>
      <c r="H1235" s="16"/>
      <c r="I1235" s="16"/>
      <c r="J1235" s="16"/>
      <c r="K1235" s="16"/>
      <c r="L1235" s="16"/>
      <c r="M1235" s="16"/>
      <c r="N1235" s="16"/>
      <c r="O1235" s="16"/>
      <c r="P1235" s="16"/>
      <c r="Q1235" s="16"/>
      <c r="R1235" s="16"/>
      <c r="S1235" s="16"/>
      <c r="T1235" s="16"/>
      <c r="U1235" s="16"/>
      <c r="V1235" s="16"/>
      <c r="W1235" s="16"/>
      <c r="X1235" s="16"/>
      <c r="Y1235" s="16"/>
      <c r="Z1235" s="16"/>
    </row>
    <row r="1236">
      <c r="A1236" s="16" t="str">
        <f>IFERROR(__xludf.DUMMYFUNCTION("""COMPUTED_VALUE"""),"Lemon")</f>
        <v>Lemon</v>
      </c>
      <c r="B1236" s="16" t="str">
        <f>IFERROR(__xludf.DUMMYFUNCTION("""COMPUTED_VALUE"""),"5 hunger and thirst or 50% chance to lose 10 hunger and thirst.")</f>
        <v>5 hunger and thirst or 50% chance to lose 10 hunger and thirst.</v>
      </c>
      <c r="C1236" s="16" t="str">
        <f>IFERROR(__xludf.DUMMYFUNCTION("""COMPUTED_VALUE"""),"Crop")</f>
        <v>Crop</v>
      </c>
      <c r="D1236" s="16"/>
      <c r="E1236" s="16"/>
      <c r="F1236" s="16"/>
      <c r="G1236" s="16"/>
      <c r="H1236" s="16"/>
      <c r="I1236" s="16"/>
      <c r="J1236" s="16"/>
      <c r="K1236" s="16"/>
      <c r="L1236" s="16"/>
      <c r="M1236" s="16"/>
      <c r="N1236" s="16"/>
      <c r="O1236" s="16"/>
      <c r="P1236" s="16"/>
      <c r="Q1236" s="16"/>
      <c r="R1236" s="16"/>
      <c r="S1236" s="16"/>
      <c r="T1236" s="16"/>
      <c r="U1236" s="16"/>
      <c r="V1236" s="16"/>
      <c r="W1236" s="16"/>
      <c r="X1236" s="16"/>
      <c r="Y1236" s="16"/>
      <c r="Z1236" s="16"/>
    </row>
    <row r="1237">
      <c r="A1237" s="16" t="str">
        <f>IFERROR(__xludf.DUMMYFUNCTION("""COMPUTED_VALUE"""),"Apricot")</f>
        <v>Apricot</v>
      </c>
      <c r="B1237" s="16" t="str">
        <f>IFERROR(__xludf.DUMMYFUNCTION("""COMPUTED_VALUE"""),"5 hunger and thirst.")</f>
        <v>5 hunger and thirst.</v>
      </c>
      <c r="C1237" s="16" t="str">
        <f>IFERROR(__xludf.DUMMYFUNCTION("""COMPUTED_VALUE"""),"Crop")</f>
        <v>Crop</v>
      </c>
      <c r="D1237" s="16"/>
      <c r="E1237" s="16"/>
      <c r="F1237" s="16"/>
      <c r="G1237" s="16"/>
      <c r="H1237" s="16"/>
      <c r="I1237" s="16"/>
      <c r="J1237" s="16"/>
      <c r="K1237" s="16"/>
      <c r="L1237" s="16"/>
      <c r="M1237" s="16"/>
      <c r="N1237" s="16"/>
      <c r="O1237" s="16"/>
      <c r="P1237" s="16"/>
      <c r="Q1237" s="16"/>
      <c r="R1237" s="16"/>
      <c r="S1237" s="16"/>
      <c r="T1237" s="16"/>
      <c r="U1237" s="16"/>
      <c r="V1237" s="16"/>
      <c r="W1237" s="16"/>
      <c r="X1237" s="16"/>
      <c r="Y1237" s="16"/>
      <c r="Z1237" s="16"/>
    </row>
    <row r="1238">
      <c r="A1238" s="16" t="str">
        <f>IFERROR(__xludf.DUMMYFUNCTION("""COMPUTED_VALUE"""),"Grapefruit")</f>
        <v>Grapefruit</v>
      </c>
      <c r="B1238" s="16" t="str">
        <f>IFERROR(__xludf.DUMMYFUNCTION("""COMPUTED_VALUE"""),"10 hunger and thirst.")</f>
        <v>10 hunger and thirst.</v>
      </c>
      <c r="C1238" s="16" t="str">
        <f>IFERROR(__xludf.DUMMYFUNCTION("""COMPUTED_VALUE"""),"Crop")</f>
        <v>Crop</v>
      </c>
      <c r="D1238" s="16"/>
      <c r="E1238" s="16"/>
      <c r="F1238" s="16"/>
      <c r="G1238" s="16"/>
      <c r="H1238" s="16"/>
      <c r="I1238" s="16"/>
      <c r="J1238" s="16"/>
      <c r="K1238" s="16"/>
      <c r="L1238" s="16"/>
      <c r="M1238" s="16"/>
      <c r="N1238" s="16"/>
      <c r="O1238" s="16"/>
      <c r="P1238" s="16"/>
      <c r="Q1238" s="16"/>
      <c r="R1238" s="16"/>
      <c r="S1238" s="16"/>
      <c r="T1238" s="16"/>
      <c r="U1238" s="16"/>
      <c r="V1238" s="16"/>
      <c r="W1238" s="16"/>
      <c r="X1238" s="16"/>
      <c r="Y1238" s="16"/>
      <c r="Z1238" s="16"/>
    </row>
    <row r="1239">
      <c r="A1239" s="16" t="str">
        <f>IFERROR(__xludf.DUMMYFUNCTION("""COMPUTED_VALUE"""),"Coconut")</f>
        <v>Coconut</v>
      </c>
      <c r="B1239" s="16" t="str">
        <f>IFERROR(__xludf.DUMMYFUNCTION("""COMPUTED_VALUE"""),"10 hunger and thirst.")</f>
        <v>10 hunger and thirst.</v>
      </c>
      <c r="C1239" s="16" t="str">
        <f>IFERROR(__xludf.DUMMYFUNCTION("""COMPUTED_VALUE"""),"Crop")</f>
        <v>Crop</v>
      </c>
      <c r="D1239" s="16"/>
      <c r="E1239" s="16"/>
      <c r="F1239" s="16"/>
      <c r="G1239" s="16"/>
      <c r="H1239" s="16"/>
      <c r="I1239" s="16"/>
      <c r="J1239" s="16"/>
      <c r="K1239" s="16"/>
      <c r="L1239" s="16"/>
      <c r="M1239" s="16"/>
      <c r="N1239" s="16"/>
      <c r="O1239" s="16"/>
      <c r="P1239" s="16"/>
      <c r="Q1239" s="16"/>
      <c r="R1239" s="16"/>
      <c r="S1239" s="16"/>
      <c r="T1239" s="16"/>
      <c r="U1239" s="16"/>
      <c r="V1239" s="16"/>
      <c r="W1239" s="16"/>
      <c r="X1239" s="16"/>
      <c r="Y1239" s="16"/>
      <c r="Z1239" s="16"/>
    </row>
    <row r="1240">
      <c r="A1240" s="16" t="str">
        <f>IFERROR(__xludf.DUMMYFUNCTION("""COMPUTED_VALUE"""),"Avocado")</f>
        <v>Avocado</v>
      </c>
      <c r="B1240" s="16" t="str">
        <f>IFERROR(__xludf.DUMMYFUNCTION("""COMPUTED_VALUE"""),"5 hunger.")</f>
        <v>5 hunger.</v>
      </c>
      <c r="C1240" s="16" t="str">
        <f>IFERROR(__xludf.DUMMYFUNCTION("""COMPUTED_VALUE"""),"Crop")</f>
        <v>Crop</v>
      </c>
      <c r="D1240" s="16"/>
      <c r="E1240" s="16"/>
      <c r="F1240" s="16"/>
      <c r="G1240" s="16"/>
      <c r="H1240" s="16"/>
      <c r="I1240" s="16"/>
      <c r="J1240" s="16"/>
      <c r="K1240" s="16"/>
      <c r="L1240" s="16"/>
      <c r="M1240" s="16"/>
      <c r="N1240" s="16"/>
      <c r="O1240" s="16"/>
      <c r="P1240" s="16"/>
      <c r="Q1240" s="16"/>
      <c r="R1240" s="16"/>
      <c r="S1240" s="16"/>
      <c r="T1240" s="16"/>
      <c r="U1240" s="16"/>
      <c r="V1240" s="16"/>
      <c r="W1240" s="16"/>
      <c r="X1240" s="16"/>
      <c r="Y1240" s="16"/>
      <c r="Z1240" s="16"/>
    </row>
    <row r="1241">
      <c r="A1241" s="16" t="str">
        <f>IFERROR(__xludf.DUMMYFUNCTION("""COMPUTED_VALUE"""),"Peach")</f>
        <v>Peach</v>
      </c>
      <c r="B1241" s="16" t="str">
        <f>IFERROR(__xludf.DUMMYFUNCTION("""COMPUTED_VALUE"""),"5 hunger and thirst.")</f>
        <v>5 hunger and thirst.</v>
      </c>
      <c r="C1241" s="16" t="str">
        <f>IFERROR(__xludf.DUMMYFUNCTION("""COMPUTED_VALUE"""),"Crop")</f>
        <v>Crop</v>
      </c>
      <c r="D1241" s="16"/>
      <c r="E1241" s="16"/>
      <c r="F1241" s="16"/>
      <c r="G1241" s="16"/>
      <c r="H1241" s="16"/>
      <c r="I1241" s="16"/>
      <c r="J1241" s="16"/>
      <c r="K1241" s="16"/>
      <c r="L1241" s="16"/>
      <c r="M1241" s="16"/>
      <c r="N1241" s="16"/>
      <c r="O1241" s="16"/>
      <c r="P1241" s="16"/>
      <c r="Q1241" s="16"/>
      <c r="R1241" s="16"/>
      <c r="S1241" s="16"/>
      <c r="T1241" s="16"/>
      <c r="U1241" s="16"/>
      <c r="V1241" s="16"/>
      <c r="W1241" s="16"/>
      <c r="X1241" s="16"/>
      <c r="Y1241" s="16"/>
      <c r="Z1241" s="16"/>
    </row>
    <row r="1242">
      <c r="A1242" s="16" t="str">
        <f>IFERROR(__xludf.DUMMYFUNCTION("""COMPUTED_VALUE"""),"Corn")</f>
        <v>Corn</v>
      </c>
      <c r="B1242" s="16" t="str">
        <f>IFERROR(__xludf.DUMMYFUNCTION("""COMPUTED_VALUE"""),"10 hunger.")</f>
        <v>10 hunger.</v>
      </c>
      <c r="C1242" s="16" t="str">
        <f>IFERROR(__xludf.DUMMYFUNCTION("""COMPUTED_VALUE"""),"Crop")</f>
        <v>Crop</v>
      </c>
      <c r="D1242" s="16"/>
      <c r="E1242" s="16"/>
      <c r="F1242" s="16"/>
      <c r="G1242" s="16"/>
      <c r="H1242" s="16"/>
      <c r="I1242" s="16"/>
      <c r="J1242" s="16"/>
      <c r="K1242" s="16"/>
      <c r="L1242" s="16"/>
      <c r="M1242" s="16"/>
      <c r="N1242" s="16"/>
      <c r="O1242" s="16"/>
      <c r="P1242" s="16"/>
      <c r="Q1242" s="16"/>
      <c r="R1242" s="16"/>
      <c r="S1242" s="16"/>
      <c r="T1242" s="16"/>
      <c r="U1242" s="16"/>
      <c r="V1242" s="16"/>
      <c r="W1242" s="16"/>
      <c r="X1242" s="16"/>
      <c r="Y1242" s="16"/>
      <c r="Z1242" s="16"/>
    </row>
    <row r="1243">
      <c r="A1243" s="16" t="str">
        <f>IFERROR(__xludf.DUMMYFUNCTION("""COMPUTED_VALUE"""),"Mushroom")</f>
        <v>Mushroom</v>
      </c>
      <c r="B1243" s="16" t="str">
        <f>IFERROR(__xludf.DUMMYFUNCTION("""COMPUTED_VALUE"""),"10 hunger, 25% chance of wandering away from the party.")</f>
        <v>10 hunger, 25% chance of wandering away from the party.</v>
      </c>
      <c r="C1243" s="16" t="str">
        <f>IFERROR(__xludf.DUMMYFUNCTION("""COMPUTED_VALUE"""),"Crop")</f>
        <v>Crop</v>
      </c>
      <c r="D1243" s="16"/>
      <c r="E1243" s="16"/>
      <c r="F1243" s="16"/>
      <c r="G1243" s="16"/>
      <c r="H1243" s="16"/>
      <c r="I1243" s="16"/>
      <c r="J1243" s="16"/>
      <c r="K1243" s="16"/>
      <c r="L1243" s="16"/>
      <c r="M1243" s="16"/>
      <c r="N1243" s="16"/>
      <c r="O1243" s="16"/>
      <c r="P1243" s="16"/>
      <c r="Q1243" s="16"/>
      <c r="R1243" s="16"/>
      <c r="S1243" s="16"/>
      <c r="T1243" s="16"/>
      <c r="U1243" s="16"/>
      <c r="V1243" s="16"/>
      <c r="W1243" s="16"/>
      <c r="X1243" s="16"/>
      <c r="Y1243" s="16"/>
      <c r="Z1243" s="16"/>
    </row>
    <row r="1244">
      <c r="A1244" s="16" t="str">
        <f>IFERROR(__xludf.DUMMYFUNCTION("""COMPUTED_VALUE"""),"Broccoli")</f>
        <v>Broccoli</v>
      </c>
      <c r="B1244" s="16" t="str">
        <f>IFERROR(__xludf.DUMMYFUNCTION("""COMPUTED_VALUE"""),"5 hunger")</f>
        <v>5 hunger</v>
      </c>
      <c r="C1244" s="16" t="str">
        <f>IFERROR(__xludf.DUMMYFUNCTION("""COMPUTED_VALUE"""),"Crop")</f>
        <v>Crop</v>
      </c>
      <c r="D1244" s="16"/>
      <c r="E1244" s="16"/>
      <c r="F1244" s="16"/>
      <c r="G1244" s="16"/>
      <c r="H1244" s="16"/>
      <c r="I1244" s="16"/>
      <c r="J1244" s="16"/>
      <c r="K1244" s="16"/>
      <c r="L1244" s="16"/>
      <c r="M1244" s="16"/>
      <c r="N1244" s="16"/>
      <c r="O1244" s="16"/>
      <c r="P1244" s="16"/>
      <c r="Q1244" s="16"/>
      <c r="R1244" s="16"/>
      <c r="S1244" s="16"/>
      <c r="T1244" s="16"/>
      <c r="U1244" s="16"/>
      <c r="V1244" s="16"/>
      <c r="W1244" s="16"/>
      <c r="X1244" s="16"/>
      <c r="Y1244" s="16"/>
      <c r="Z1244" s="16"/>
    </row>
    <row r="1245">
      <c r="A1245" s="16" t="str">
        <f>IFERROR(__xludf.DUMMYFUNCTION("""COMPUTED_VALUE"""),"Cucumber")</f>
        <v>Cucumber</v>
      </c>
      <c r="B1245" s="16" t="str">
        <f>IFERROR(__xludf.DUMMYFUNCTION("""COMPUTED_VALUE"""),"5 hunger")</f>
        <v>5 hunger</v>
      </c>
      <c r="C1245" s="16" t="str">
        <f>IFERROR(__xludf.DUMMYFUNCTION("""COMPUTED_VALUE"""),"Crop")</f>
        <v>Crop</v>
      </c>
      <c r="D1245" s="16"/>
      <c r="E1245" s="16"/>
      <c r="F1245" s="16"/>
      <c r="G1245" s="16"/>
      <c r="H1245" s="16"/>
      <c r="I1245" s="16"/>
      <c r="J1245" s="16"/>
      <c r="K1245" s="16"/>
      <c r="L1245" s="16"/>
      <c r="M1245" s="16"/>
      <c r="N1245" s="16"/>
      <c r="O1245" s="16"/>
      <c r="P1245" s="16"/>
      <c r="Q1245" s="16"/>
      <c r="R1245" s="16"/>
      <c r="S1245" s="16"/>
      <c r="T1245" s="16"/>
      <c r="U1245" s="16"/>
      <c r="V1245" s="16"/>
      <c r="W1245" s="16"/>
      <c r="X1245" s="16"/>
      <c r="Y1245" s="16"/>
      <c r="Z1245" s="16"/>
    </row>
    <row r="1246">
      <c r="A1246" s="16" t="str">
        <f>IFERROR(__xludf.DUMMYFUNCTION("""COMPUTED_VALUE"""),"Red Pepper/Red Bell Pepper")</f>
        <v>Red Pepper/Red Bell Pepper</v>
      </c>
      <c r="B1246" s="16" t="str">
        <f>IFERROR(__xludf.DUMMYFUNCTION("""COMPUTED_VALUE"""),"5 hunger")</f>
        <v>5 hunger</v>
      </c>
      <c r="C1246" s="16" t="str">
        <f>IFERROR(__xludf.DUMMYFUNCTION("""COMPUTED_VALUE"""),"Crop")</f>
        <v>Crop</v>
      </c>
      <c r="D1246" s="16"/>
      <c r="E1246" s="16"/>
      <c r="F1246" s="16"/>
      <c r="G1246" s="16"/>
      <c r="H1246" s="16"/>
      <c r="I1246" s="16"/>
      <c r="J1246" s="16"/>
      <c r="K1246" s="16"/>
      <c r="L1246" s="16"/>
      <c r="M1246" s="16"/>
      <c r="N1246" s="16"/>
      <c r="O1246" s="16"/>
      <c r="P1246" s="16"/>
      <c r="Q1246" s="16"/>
      <c r="R1246" s="16"/>
      <c r="S1246" s="16"/>
      <c r="T1246" s="16"/>
      <c r="U1246" s="16"/>
      <c r="V1246" s="16"/>
      <c r="W1246" s="16"/>
      <c r="X1246" s="16"/>
      <c r="Y1246" s="16"/>
      <c r="Z1246" s="16"/>
    </row>
    <row r="1247">
      <c r="A1247" s="16" t="str">
        <f>IFERROR(__xludf.DUMMYFUNCTION("""COMPUTED_VALUE"""),"Tomato")</f>
        <v>Tomato</v>
      </c>
      <c r="B1247" s="16" t="str">
        <f>IFERROR(__xludf.DUMMYFUNCTION("""COMPUTED_VALUE"""),"5 hunger and thirst")</f>
        <v>5 hunger and thirst</v>
      </c>
      <c r="C1247" s="16" t="str">
        <f>IFERROR(__xludf.DUMMYFUNCTION("""COMPUTED_VALUE"""),"Crop")</f>
        <v>Crop</v>
      </c>
      <c r="D1247" s="16"/>
      <c r="E1247" s="16"/>
      <c r="F1247" s="16"/>
      <c r="G1247" s="16"/>
      <c r="H1247" s="16"/>
      <c r="I1247" s="16"/>
      <c r="J1247" s="16"/>
      <c r="K1247" s="16"/>
      <c r="L1247" s="16"/>
      <c r="M1247" s="16"/>
      <c r="N1247" s="16"/>
      <c r="O1247" s="16"/>
      <c r="P1247" s="16"/>
      <c r="Q1247" s="16"/>
      <c r="R1247" s="16"/>
      <c r="S1247" s="16"/>
      <c r="T1247" s="16"/>
      <c r="U1247" s="16"/>
      <c r="V1247" s="16"/>
      <c r="W1247" s="16"/>
      <c r="X1247" s="16"/>
      <c r="Y1247" s="16"/>
      <c r="Z1247" s="16"/>
    </row>
    <row r="1248">
      <c r="A1248" s="16" t="str">
        <f>IFERROR(__xludf.DUMMYFUNCTION("""COMPUTED_VALUE"""),"Carrot")</f>
        <v>Carrot</v>
      </c>
      <c r="B1248" s="16" t="str">
        <f>IFERROR(__xludf.DUMMYFUNCTION("""COMPUTED_VALUE"""),"5 hunger")</f>
        <v>5 hunger</v>
      </c>
      <c r="C1248" s="16" t="str">
        <f>IFERROR(__xludf.DUMMYFUNCTION("""COMPUTED_VALUE"""),"Crop")</f>
        <v>Crop</v>
      </c>
      <c r="D1248" s="16"/>
      <c r="E1248" s="16"/>
      <c r="F1248" s="16"/>
      <c r="G1248" s="16"/>
      <c r="H1248" s="16"/>
      <c r="I1248" s="16"/>
      <c r="J1248" s="16"/>
      <c r="K1248" s="16"/>
      <c r="L1248" s="16"/>
      <c r="M1248" s="16"/>
      <c r="N1248" s="16"/>
      <c r="O1248" s="16"/>
      <c r="P1248" s="16"/>
      <c r="Q1248" s="16"/>
      <c r="R1248" s="16"/>
      <c r="S1248" s="16"/>
      <c r="T1248" s="16"/>
      <c r="U1248" s="16"/>
      <c r="V1248" s="16"/>
      <c r="W1248" s="16"/>
      <c r="X1248" s="16"/>
      <c r="Y1248" s="16"/>
      <c r="Z1248" s="16"/>
    </row>
    <row r="1249">
      <c r="A1249" s="16" t="str">
        <f>IFERROR(__xludf.DUMMYFUNCTION("""COMPUTED_VALUE"""),"Brussels Sprout")</f>
        <v>Brussels Sprout</v>
      </c>
      <c r="B1249" s="16" t="str">
        <f>IFERROR(__xludf.DUMMYFUNCTION("""COMPUTED_VALUE"""),"5 hunger")</f>
        <v>5 hunger</v>
      </c>
      <c r="C1249" s="16" t="str">
        <f>IFERROR(__xludf.DUMMYFUNCTION("""COMPUTED_VALUE"""),"Crop")</f>
        <v>Crop</v>
      </c>
      <c r="D1249" s="16"/>
      <c r="E1249" s="16"/>
      <c r="F1249" s="16"/>
      <c r="G1249" s="16"/>
      <c r="H1249" s="16"/>
      <c r="I1249" s="16"/>
      <c r="J1249" s="16"/>
      <c r="K1249" s="16"/>
      <c r="L1249" s="16"/>
      <c r="M1249" s="16"/>
      <c r="N1249" s="16"/>
      <c r="O1249" s="16"/>
      <c r="P1249" s="16"/>
      <c r="Q1249" s="16"/>
      <c r="R1249" s="16"/>
      <c r="S1249" s="16"/>
      <c r="T1249" s="16"/>
      <c r="U1249" s="16"/>
      <c r="V1249" s="16"/>
      <c r="W1249" s="16"/>
      <c r="X1249" s="16"/>
      <c r="Y1249" s="16"/>
      <c r="Z1249" s="16"/>
    </row>
    <row r="1250">
      <c r="A1250" s="16" t="str">
        <f>IFERROR(__xludf.DUMMYFUNCTION("""COMPUTED_VALUE"""),"Cabbage")</f>
        <v>Cabbage</v>
      </c>
      <c r="B1250" s="16" t="str">
        <f>IFERROR(__xludf.DUMMYFUNCTION("""COMPUTED_VALUE"""),"10 hunger")</f>
        <v>10 hunger</v>
      </c>
      <c r="C1250" s="16" t="str">
        <f>IFERROR(__xludf.DUMMYFUNCTION("""COMPUTED_VALUE"""),"Crop")</f>
        <v>Crop</v>
      </c>
      <c r="D1250" s="16"/>
      <c r="E1250" s="16"/>
      <c r="F1250" s="16"/>
      <c r="G1250" s="16"/>
      <c r="H1250" s="16"/>
      <c r="I1250" s="16"/>
      <c r="J1250" s="16"/>
      <c r="K1250" s="16"/>
      <c r="L1250" s="16"/>
      <c r="M1250" s="16"/>
      <c r="N1250" s="16"/>
      <c r="O1250" s="16"/>
      <c r="P1250" s="16"/>
      <c r="Q1250" s="16"/>
      <c r="R1250" s="16"/>
      <c r="S1250" s="16"/>
      <c r="T1250" s="16"/>
      <c r="U1250" s="16"/>
      <c r="V1250" s="16"/>
      <c r="W1250" s="16"/>
      <c r="X1250" s="16"/>
      <c r="Y1250" s="16"/>
      <c r="Z1250" s="16"/>
    </row>
    <row r="1251">
      <c r="A1251" s="16" t="str">
        <f>IFERROR(__xludf.DUMMYFUNCTION("""COMPUTED_VALUE"""),"Potato")</f>
        <v>Potato</v>
      </c>
      <c r="B1251" s="16" t="str">
        <f>IFERROR(__xludf.DUMMYFUNCTION("""COMPUTED_VALUE"""),"5 hunger")</f>
        <v>5 hunger</v>
      </c>
      <c r="C1251" s="16" t="str">
        <f>IFERROR(__xludf.DUMMYFUNCTION("""COMPUTED_VALUE"""),"Crop")</f>
        <v>Crop</v>
      </c>
      <c r="D1251" s="16"/>
      <c r="E1251" s="16"/>
      <c r="F1251" s="16"/>
      <c r="G1251" s="16"/>
      <c r="H1251" s="16"/>
      <c r="I1251" s="16"/>
      <c r="J1251" s="16"/>
      <c r="K1251" s="16"/>
      <c r="L1251" s="16"/>
      <c r="M1251" s="16"/>
      <c r="N1251" s="16"/>
      <c r="O1251" s="16"/>
      <c r="P1251" s="16"/>
      <c r="Q1251" s="16"/>
      <c r="R1251" s="16"/>
      <c r="S1251" s="16"/>
      <c r="T1251" s="16"/>
      <c r="U1251" s="16"/>
      <c r="V1251" s="16"/>
      <c r="W1251" s="16"/>
      <c r="X1251" s="16"/>
      <c r="Y1251" s="16"/>
      <c r="Z1251" s="16"/>
    </row>
    <row r="1252">
      <c r="A1252" s="16" t="str">
        <f>IFERROR(__xludf.DUMMYFUNCTION("""COMPUTED_VALUE"""),"Eggplant")</f>
        <v>Eggplant</v>
      </c>
      <c r="B1252" s="16" t="str">
        <f>IFERROR(__xludf.DUMMYFUNCTION("""COMPUTED_VALUE"""),"10 hunger")</f>
        <v>10 hunger</v>
      </c>
      <c r="C1252" s="16" t="str">
        <f>IFERROR(__xludf.DUMMYFUNCTION("""COMPUTED_VALUE"""),"Crop")</f>
        <v>Crop</v>
      </c>
      <c r="D1252" s="16"/>
      <c r="E1252" s="16"/>
      <c r="F1252" s="16"/>
      <c r="G1252" s="16"/>
      <c r="H1252" s="16"/>
      <c r="I1252" s="16"/>
      <c r="J1252" s="16"/>
      <c r="K1252" s="16"/>
      <c r="L1252" s="16"/>
      <c r="M1252" s="16"/>
      <c r="N1252" s="16"/>
      <c r="O1252" s="16"/>
      <c r="P1252" s="16"/>
      <c r="Q1252" s="16"/>
      <c r="R1252" s="16"/>
      <c r="S1252" s="16"/>
      <c r="T1252" s="16"/>
      <c r="U1252" s="16"/>
      <c r="V1252" s="16"/>
      <c r="W1252" s="16"/>
      <c r="X1252" s="16"/>
      <c r="Y1252" s="16"/>
      <c r="Z1252" s="16"/>
    </row>
    <row r="1253">
      <c r="A1253" s="16" t="str">
        <f>IFERROR(__xludf.DUMMYFUNCTION("""COMPUTED_VALUE"""),"Sweet Potato")</f>
        <v>Sweet Potato</v>
      </c>
      <c r="B1253" s="16" t="str">
        <f>IFERROR(__xludf.DUMMYFUNCTION("""COMPUTED_VALUE"""),"5 hunger")</f>
        <v>5 hunger</v>
      </c>
      <c r="C1253" s="16" t="str">
        <f>IFERROR(__xludf.DUMMYFUNCTION("""COMPUTED_VALUE"""),"Crop")</f>
        <v>Crop</v>
      </c>
      <c r="D1253" s="16"/>
      <c r="E1253" s="16"/>
      <c r="F1253" s="16"/>
      <c r="G1253" s="16"/>
      <c r="H1253" s="16"/>
      <c r="I1253" s="16"/>
      <c r="J1253" s="16"/>
      <c r="K1253" s="16"/>
      <c r="L1253" s="16"/>
      <c r="M1253" s="16"/>
      <c r="N1253" s="16"/>
      <c r="O1253" s="16"/>
      <c r="P1253" s="16"/>
      <c r="Q1253" s="16"/>
      <c r="R1253" s="16"/>
      <c r="S1253" s="16"/>
      <c r="T1253" s="16"/>
      <c r="U1253" s="16"/>
      <c r="V1253" s="16"/>
      <c r="W1253" s="16"/>
      <c r="X1253" s="16"/>
      <c r="Y1253" s="16"/>
      <c r="Z1253" s="16"/>
    </row>
    <row r="1254">
      <c r="A1254" s="16" t="str">
        <f>IFERROR(__xludf.DUMMYFUNCTION("""COMPUTED_VALUE"""),"Turnip")</f>
        <v>Turnip</v>
      </c>
      <c r="B1254" s="16" t="str">
        <f>IFERROR(__xludf.DUMMYFUNCTION("""COMPUTED_VALUE"""),"5 hunger")</f>
        <v>5 hunger</v>
      </c>
      <c r="C1254" s="16" t="str">
        <f>IFERROR(__xludf.DUMMYFUNCTION("""COMPUTED_VALUE"""),"Crop")</f>
        <v>Crop</v>
      </c>
      <c r="D1254" s="16"/>
      <c r="E1254" s="16"/>
      <c r="F1254" s="16"/>
      <c r="G1254" s="16"/>
      <c r="H1254" s="16"/>
      <c r="I1254" s="16"/>
      <c r="J1254" s="16"/>
      <c r="K1254" s="16"/>
      <c r="L1254" s="16"/>
      <c r="M1254" s="16"/>
      <c r="N1254" s="16"/>
      <c r="O1254" s="16"/>
      <c r="P1254" s="16"/>
      <c r="Q1254" s="16"/>
      <c r="R1254" s="16"/>
      <c r="S1254" s="16"/>
      <c r="T1254" s="16"/>
      <c r="U1254" s="16"/>
      <c r="V1254" s="16"/>
      <c r="W1254" s="16"/>
      <c r="X1254" s="16"/>
      <c r="Y1254" s="16"/>
      <c r="Z1254" s="16"/>
    </row>
    <row r="1255">
      <c r="A1255" s="16" t="str">
        <f>IFERROR(__xludf.DUMMYFUNCTION("""COMPUTED_VALUE"""),"Green Chilli")</f>
        <v>Green Chilli</v>
      </c>
      <c r="B1255" s="16" t="str">
        <f>IFERROR(__xludf.DUMMYFUNCTION("""COMPUTED_VALUE"""),"5 hunger")</f>
        <v>5 hunger</v>
      </c>
      <c r="C1255" s="16" t="str">
        <f>IFERROR(__xludf.DUMMYFUNCTION("""COMPUTED_VALUE"""),"Crop")</f>
        <v>Crop</v>
      </c>
      <c r="D1255" s="16"/>
      <c r="E1255" s="16"/>
      <c r="F1255" s="16"/>
      <c r="G1255" s="16"/>
      <c r="H1255" s="16"/>
      <c r="I1255" s="16"/>
      <c r="J1255" s="16"/>
      <c r="K1255" s="16"/>
      <c r="L1255" s="16"/>
      <c r="M1255" s="16"/>
      <c r="N1255" s="16"/>
      <c r="O1255" s="16"/>
      <c r="P1255" s="16"/>
      <c r="Q1255" s="16"/>
      <c r="R1255" s="16"/>
      <c r="S1255" s="16"/>
      <c r="T1255" s="16"/>
      <c r="U1255" s="16"/>
      <c r="V1255" s="16"/>
      <c r="W1255" s="16"/>
      <c r="X1255" s="16"/>
      <c r="Y1255" s="16"/>
      <c r="Z1255" s="16"/>
    </row>
    <row r="1256">
      <c r="A1256" s="16" t="str">
        <f>IFERROR(__xludf.DUMMYFUNCTION("""COMPUTED_VALUE"""),"Onion")</f>
        <v>Onion</v>
      </c>
      <c r="B1256" s="16" t="str">
        <f>IFERROR(__xludf.DUMMYFUNCTION("""COMPUTED_VALUE"""),"5 hunger, 50% Blindness 3 during the next battle.")</f>
        <v>5 hunger, 50% Blindness 3 during the next battle.</v>
      </c>
      <c r="C1256" s="16" t="str">
        <f>IFERROR(__xludf.DUMMYFUNCTION("""COMPUTED_VALUE"""),"Crop")</f>
        <v>Crop</v>
      </c>
      <c r="D1256" s="16"/>
      <c r="E1256" s="16"/>
      <c r="F1256" s="16"/>
      <c r="G1256" s="16"/>
      <c r="H1256" s="16"/>
      <c r="I1256" s="16"/>
      <c r="J1256" s="16"/>
      <c r="K1256" s="16"/>
      <c r="L1256" s="16"/>
      <c r="M1256" s="16"/>
      <c r="N1256" s="16"/>
      <c r="O1256" s="16"/>
      <c r="P1256" s="16"/>
      <c r="Q1256" s="16"/>
      <c r="R1256" s="16"/>
      <c r="S1256" s="16"/>
      <c r="T1256" s="16"/>
      <c r="U1256" s="16"/>
      <c r="V1256" s="16"/>
      <c r="W1256" s="16"/>
      <c r="X1256" s="16"/>
      <c r="Y1256" s="16"/>
      <c r="Z1256" s="16"/>
    </row>
    <row r="1257">
      <c r="A1257" s="16" t="str">
        <f>IFERROR(__xludf.DUMMYFUNCTION("""COMPUTED_VALUE"""),"Lettuce")</f>
        <v>Lettuce</v>
      </c>
      <c r="B1257" s="16" t="str">
        <f>IFERROR(__xludf.DUMMYFUNCTION("""COMPUTED_VALUE"""),"5 hunger")</f>
        <v>5 hunger</v>
      </c>
      <c r="C1257" s="16" t="str">
        <f>IFERROR(__xludf.DUMMYFUNCTION("""COMPUTED_VALUE"""),"Crop")</f>
        <v>Crop</v>
      </c>
      <c r="D1257" s="16"/>
      <c r="E1257" s="16"/>
      <c r="F1257" s="16"/>
      <c r="G1257" s="16"/>
      <c r="H1257" s="16"/>
      <c r="I1257" s="16"/>
      <c r="J1257" s="16"/>
      <c r="K1257" s="16"/>
      <c r="L1257" s="16"/>
      <c r="M1257" s="16"/>
      <c r="N1257" s="16"/>
      <c r="O1257" s="16"/>
      <c r="P1257" s="16"/>
      <c r="Q1257" s="16"/>
      <c r="R1257" s="16"/>
      <c r="S1257" s="16"/>
      <c r="T1257" s="16"/>
      <c r="U1257" s="16"/>
      <c r="V1257" s="16"/>
      <c r="W1257" s="16"/>
      <c r="X1257" s="16"/>
      <c r="Y1257" s="16"/>
      <c r="Z1257" s="16"/>
    </row>
    <row r="1258">
      <c r="A1258" s="16" t="str">
        <f>IFERROR(__xludf.DUMMYFUNCTION("""COMPUTED_VALUE"""),"Radish")</f>
        <v>Radish</v>
      </c>
      <c r="B1258" s="16" t="str">
        <f>IFERROR(__xludf.DUMMYFUNCTION("""COMPUTED_VALUE"""),"5 hunger")</f>
        <v>5 hunger</v>
      </c>
      <c r="C1258" s="16" t="str">
        <f>IFERROR(__xludf.DUMMYFUNCTION("""COMPUTED_VALUE"""),"Crop")</f>
        <v>Crop</v>
      </c>
      <c r="D1258" s="16"/>
      <c r="E1258" s="16"/>
      <c r="F1258" s="16"/>
      <c r="G1258" s="16"/>
      <c r="H1258" s="16"/>
      <c r="I1258" s="16"/>
      <c r="J1258" s="16"/>
      <c r="K1258" s="16"/>
      <c r="L1258" s="16"/>
      <c r="M1258" s="16"/>
      <c r="N1258" s="16"/>
      <c r="O1258" s="16"/>
      <c r="P1258" s="16"/>
      <c r="Q1258" s="16"/>
      <c r="R1258" s="16"/>
      <c r="S1258" s="16"/>
      <c r="T1258" s="16"/>
      <c r="U1258" s="16"/>
      <c r="V1258" s="16"/>
      <c r="W1258" s="16"/>
      <c r="X1258" s="16"/>
      <c r="Y1258" s="16"/>
      <c r="Z1258" s="16"/>
    </row>
    <row r="1259">
      <c r="A1259" s="16" t="str">
        <f>IFERROR(__xludf.DUMMYFUNCTION("""COMPUTED_VALUE"""),"Peas")</f>
        <v>Peas</v>
      </c>
      <c r="B1259" s="16" t="str">
        <f>IFERROR(__xludf.DUMMYFUNCTION("""COMPUTED_VALUE"""),"5 hunger")</f>
        <v>5 hunger</v>
      </c>
      <c r="C1259" s="16" t="str">
        <f>IFERROR(__xludf.DUMMYFUNCTION("""COMPUTED_VALUE"""),"Crop")</f>
        <v>Crop</v>
      </c>
      <c r="D1259" s="16"/>
      <c r="E1259" s="16"/>
      <c r="F1259" s="16"/>
      <c r="G1259" s="16"/>
      <c r="H1259" s="16"/>
      <c r="I1259" s="16"/>
      <c r="J1259" s="16"/>
      <c r="K1259" s="16"/>
      <c r="L1259" s="16"/>
      <c r="M1259" s="16"/>
      <c r="N1259" s="16"/>
      <c r="O1259" s="16"/>
      <c r="P1259" s="16"/>
      <c r="Q1259" s="16"/>
      <c r="R1259" s="16"/>
      <c r="S1259" s="16"/>
      <c r="T1259" s="16"/>
      <c r="U1259" s="16"/>
      <c r="V1259" s="16"/>
      <c r="W1259" s="16"/>
      <c r="X1259" s="16"/>
      <c r="Y1259" s="16"/>
      <c r="Z1259" s="16"/>
    </row>
    <row r="1260">
      <c r="A1260" s="16" t="str">
        <f>IFERROR(__xludf.DUMMYFUNCTION("""COMPUTED_VALUE"""),"Asparagus")</f>
        <v>Asparagus</v>
      </c>
      <c r="B1260" s="16" t="str">
        <f>IFERROR(__xludf.DUMMYFUNCTION("""COMPUTED_VALUE"""),"5 hunger")</f>
        <v>5 hunger</v>
      </c>
      <c r="C1260" s="16" t="str">
        <f>IFERROR(__xludf.DUMMYFUNCTION("""COMPUTED_VALUE"""),"Crop")</f>
        <v>Crop</v>
      </c>
      <c r="D1260" s="16"/>
      <c r="E1260" s="16"/>
      <c r="F1260" s="16"/>
      <c r="G1260" s="16"/>
      <c r="H1260" s="16"/>
      <c r="I1260" s="16"/>
      <c r="J1260" s="16"/>
      <c r="K1260" s="16"/>
      <c r="L1260" s="16"/>
      <c r="M1260" s="16"/>
      <c r="N1260" s="16"/>
      <c r="O1260" s="16"/>
      <c r="P1260" s="16"/>
      <c r="Q1260" s="16"/>
      <c r="R1260" s="16"/>
      <c r="S1260" s="16"/>
      <c r="T1260" s="16"/>
      <c r="U1260" s="16"/>
      <c r="V1260" s="16"/>
      <c r="W1260" s="16"/>
      <c r="X1260" s="16"/>
      <c r="Y1260" s="16"/>
      <c r="Z1260" s="16"/>
    </row>
    <row r="1261">
      <c r="A1261" s="16" t="str">
        <f>IFERROR(__xludf.DUMMYFUNCTION("""COMPUTED_VALUE"""),"Celery")</f>
        <v>Celery</v>
      </c>
      <c r="B1261" s="16" t="str">
        <f>IFERROR(__xludf.DUMMYFUNCTION("""COMPUTED_VALUE"""),"5 hunger")</f>
        <v>5 hunger</v>
      </c>
      <c r="C1261" s="16" t="str">
        <f>IFERROR(__xludf.DUMMYFUNCTION("""COMPUTED_VALUE"""),"Crop")</f>
        <v>Crop</v>
      </c>
      <c r="D1261" s="16"/>
      <c r="E1261" s="16"/>
      <c r="F1261" s="16"/>
      <c r="G1261" s="16"/>
      <c r="H1261" s="16"/>
      <c r="I1261" s="16"/>
      <c r="J1261" s="16"/>
      <c r="K1261" s="16"/>
      <c r="L1261" s="16"/>
      <c r="M1261" s="16"/>
      <c r="N1261" s="16"/>
      <c r="O1261" s="16"/>
      <c r="P1261" s="16"/>
      <c r="Q1261" s="16"/>
      <c r="R1261" s="16"/>
      <c r="S1261" s="16"/>
      <c r="T1261" s="16"/>
      <c r="U1261" s="16"/>
      <c r="V1261" s="16"/>
      <c r="W1261" s="16"/>
      <c r="X1261" s="16"/>
      <c r="Y1261" s="16"/>
      <c r="Z1261" s="16"/>
    </row>
    <row r="1262">
      <c r="A1262" s="16" t="str">
        <f>IFERROR(__xludf.DUMMYFUNCTION("""COMPUTED_VALUE"""),"Green Pepper")</f>
        <v>Green Pepper</v>
      </c>
      <c r="B1262" s="16" t="str">
        <f>IFERROR(__xludf.DUMMYFUNCTION("""COMPUTED_VALUE"""),"5 hunger")</f>
        <v>5 hunger</v>
      </c>
      <c r="C1262" s="16" t="str">
        <f>IFERROR(__xludf.DUMMYFUNCTION("""COMPUTED_VALUE"""),"Crop")</f>
        <v>Crop</v>
      </c>
      <c r="D1262" s="16"/>
      <c r="E1262" s="16"/>
      <c r="F1262" s="16"/>
      <c r="G1262" s="16"/>
      <c r="H1262" s="16"/>
      <c r="I1262" s="16"/>
      <c r="J1262" s="16"/>
      <c r="K1262" s="16"/>
      <c r="L1262" s="16"/>
      <c r="M1262" s="16"/>
      <c r="N1262" s="16"/>
      <c r="O1262" s="16"/>
      <c r="P1262" s="16"/>
      <c r="Q1262" s="16"/>
      <c r="R1262" s="16"/>
      <c r="S1262" s="16"/>
      <c r="T1262" s="16"/>
      <c r="U1262" s="16"/>
      <c r="V1262" s="16"/>
      <c r="W1262" s="16"/>
      <c r="X1262" s="16"/>
      <c r="Y1262" s="16"/>
      <c r="Z1262" s="16"/>
    </row>
    <row r="1263">
      <c r="A1263" s="16" t="str">
        <f>IFERROR(__xludf.DUMMYFUNCTION("""COMPUTED_VALUE"""),"French Beans")</f>
        <v>French Beans</v>
      </c>
      <c r="B1263" s="16" t="str">
        <f>IFERROR(__xludf.DUMMYFUNCTION("""COMPUTED_VALUE"""),"5 hunger")</f>
        <v>5 hunger</v>
      </c>
      <c r="C1263" s="16" t="str">
        <f>IFERROR(__xludf.DUMMYFUNCTION("""COMPUTED_VALUE"""),"Crop")</f>
        <v>Crop</v>
      </c>
      <c r="D1263" s="16"/>
      <c r="E1263" s="16"/>
      <c r="F1263" s="16"/>
      <c r="G1263" s="16"/>
      <c r="H1263" s="16"/>
      <c r="I1263" s="16"/>
      <c r="J1263" s="16"/>
      <c r="K1263" s="16"/>
      <c r="L1263" s="16"/>
      <c r="M1263" s="16"/>
      <c r="N1263" s="16"/>
      <c r="O1263" s="16"/>
      <c r="P1263" s="16"/>
      <c r="Q1263" s="16"/>
      <c r="R1263" s="16"/>
      <c r="S1263" s="16"/>
      <c r="T1263" s="16"/>
      <c r="U1263" s="16"/>
      <c r="V1263" s="16"/>
      <c r="W1263" s="16"/>
      <c r="X1263" s="16"/>
      <c r="Y1263" s="16"/>
      <c r="Z1263" s="16"/>
    </row>
    <row r="1264">
      <c r="A1264" s="16" t="str">
        <f>IFERROR(__xludf.DUMMYFUNCTION("""COMPUTED_VALUE"""),"Spinach")</f>
        <v>Spinach</v>
      </c>
      <c r="B1264" s="16" t="str">
        <f>IFERROR(__xludf.DUMMYFUNCTION("""COMPUTED_VALUE"""),"5 hunger")</f>
        <v>5 hunger</v>
      </c>
      <c r="C1264" s="16" t="str">
        <f>IFERROR(__xludf.DUMMYFUNCTION("""COMPUTED_VALUE"""),"Crop")</f>
        <v>Crop</v>
      </c>
      <c r="D1264" s="16"/>
      <c r="E1264" s="16"/>
      <c r="F1264" s="16"/>
      <c r="G1264" s="16"/>
      <c r="H1264" s="16"/>
      <c r="I1264" s="16"/>
      <c r="J1264" s="16"/>
      <c r="K1264" s="16"/>
      <c r="L1264" s="16"/>
      <c r="M1264" s="16"/>
      <c r="N1264" s="16"/>
      <c r="O1264" s="16"/>
      <c r="P1264" s="16"/>
      <c r="Q1264" s="16"/>
      <c r="R1264" s="16"/>
      <c r="S1264" s="16"/>
      <c r="T1264" s="16"/>
      <c r="U1264" s="16"/>
      <c r="V1264" s="16"/>
      <c r="W1264" s="16"/>
      <c r="X1264" s="16"/>
      <c r="Y1264" s="16"/>
      <c r="Z1264" s="16"/>
    </row>
    <row r="1265">
      <c r="A1265" s="16" t="str">
        <f>IFERROR(__xludf.DUMMYFUNCTION("""COMPUTED_VALUE"""),"Beetroot")</f>
        <v>Beetroot</v>
      </c>
      <c r="B1265" s="16" t="str">
        <f>IFERROR(__xludf.DUMMYFUNCTION("""COMPUTED_VALUE"""),"5 hunger")</f>
        <v>5 hunger</v>
      </c>
      <c r="C1265" s="16" t="str">
        <f>IFERROR(__xludf.DUMMYFUNCTION("""COMPUTED_VALUE"""),"Crop")</f>
        <v>Crop</v>
      </c>
      <c r="D1265" s="16"/>
      <c r="E1265" s="16"/>
      <c r="F1265" s="16"/>
      <c r="G1265" s="16"/>
      <c r="H1265" s="16"/>
      <c r="I1265" s="16"/>
      <c r="J1265" s="16"/>
      <c r="K1265" s="16"/>
      <c r="L1265" s="16"/>
      <c r="M1265" s="16"/>
      <c r="N1265" s="16"/>
      <c r="O1265" s="16"/>
      <c r="P1265" s="16"/>
      <c r="Q1265" s="16"/>
      <c r="R1265" s="16"/>
      <c r="S1265" s="16"/>
      <c r="T1265" s="16"/>
      <c r="U1265" s="16"/>
      <c r="V1265" s="16"/>
      <c r="W1265" s="16"/>
      <c r="X1265" s="16"/>
      <c r="Y1265" s="16"/>
      <c r="Z1265" s="16"/>
    </row>
    <row r="1266">
      <c r="A1266" s="16" t="str">
        <f>IFERROR(__xludf.DUMMYFUNCTION("""COMPUTED_VALUE"""),"Red Chili Peppers ")</f>
        <v>Red Chili Peppers </v>
      </c>
      <c r="B1266" s="16" t="str">
        <f>IFERROR(__xludf.DUMMYFUNCTION("""COMPUTED_VALUE"""),"5 hunger")</f>
        <v>5 hunger</v>
      </c>
      <c r="C1266" s="16" t="str">
        <f>IFERROR(__xludf.DUMMYFUNCTION("""COMPUTED_VALUE"""),"Crop")</f>
        <v>Crop</v>
      </c>
      <c r="D1266" s="16"/>
      <c r="E1266" s="16"/>
      <c r="F1266" s="16"/>
      <c r="G1266" s="16"/>
      <c r="H1266" s="16"/>
      <c r="I1266" s="16"/>
      <c r="J1266" s="16"/>
      <c r="K1266" s="16"/>
      <c r="L1266" s="16"/>
      <c r="M1266" s="16"/>
      <c r="N1266" s="16"/>
      <c r="O1266" s="16"/>
      <c r="P1266" s="16"/>
      <c r="Q1266" s="16"/>
      <c r="R1266" s="16"/>
      <c r="S1266" s="16"/>
      <c r="T1266" s="16"/>
      <c r="U1266" s="16"/>
      <c r="V1266" s="16"/>
      <c r="W1266" s="16"/>
      <c r="X1266" s="16"/>
      <c r="Y1266" s="16"/>
      <c r="Z1266" s="16"/>
    </row>
    <row r="1267">
      <c r="A1267" s="16" t="str">
        <f>IFERROR(__xludf.DUMMYFUNCTION("""COMPUTED_VALUE"""),"Crystal Apple")</f>
        <v>Crystal Apple</v>
      </c>
      <c r="B1267" s="16" t="str">
        <f>IFERROR(__xludf.DUMMYFUNCTION("""COMPUTED_VALUE"""),"When consumed X2 additional Damage towards the users weapons. (Can only use 1 per battle)")</f>
        <v>When consumed X2 additional Damage towards the users weapons. (Can only use 1 per battle)</v>
      </c>
      <c r="C1267" s="16" t="str">
        <f>IFERROR(__xludf.DUMMYFUNCTION("""COMPUTED_VALUE"""),"Item")</f>
        <v>Item</v>
      </c>
      <c r="D1267" s="16"/>
      <c r="E1267" s="16"/>
      <c r="F1267" s="16"/>
      <c r="G1267" s="16"/>
      <c r="H1267" s="16"/>
      <c r="I1267" s="16"/>
      <c r="J1267" s="16"/>
      <c r="K1267" s="16"/>
      <c r="L1267" s="16"/>
      <c r="M1267" s="16"/>
      <c r="N1267" s="16"/>
      <c r="O1267" s="16"/>
      <c r="P1267" s="16"/>
      <c r="Q1267" s="16"/>
      <c r="R1267" s="16"/>
      <c r="S1267" s="16"/>
      <c r="T1267" s="16"/>
      <c r="U1267" s="16"/>
      <c r="V1267" s="16"/>
      <c r="W1267" s="16"/>
      <c r="X1267" s="16"/>
      <c r="Y1267" s="16"/>
      <c r="Z1267" s="16"/>
    </row>
    <row r="1268">
      <c r="A1268" s="16" t="str">
        <f>IFERROR(__xludf.DUMMYFUNCTION("""COMPUTED_VALUE"""),"Dark Crystal Shard")</f>
        <v>Dark Crystal Shard</v>
      </c>
      <c r="B1268" s="16" t="str">
        <f>IFERROR(__xludf.DUMMYFUNCTION("""COMPUTED_VALUE"""),"Quest item, Crafting Material, roll a d20 to see how many you get if this is a loot drop.")</f>
        <v>Quest item, Crafting Material, roll a d20 to see how many you get if this is a loot drop.</v>
      </c>
      <c r="C1268" s="16" t="str">
        <f>IFERROR(__xludf.DUMMYFUNCTION("""COMPUTED_VALUE"""),"Item")</f>
        <v>Item</v>
      </c>
      <c r="D1268" s="16"/>
      <c r="E1268" s="16"/>
      <c r="F1268" s="16"/>
      <c r="G1268" s="16"/>
      <c r="H1268" s="16"/>
      <c r="I1268" s="16"/>
      <c r="J1268" s="16"/>
      <c r="K1268" s="16"/>
      <c r="L1268" s="16"/>
      <c r="M1268" s="16"/>
      <c r="N1268" s="16"/>
      <c r="O1268" s="16"/>
      <c r="P1268" s="16"/>
      <c r="Q1268" s="16"/>
      <c r="R1268" s="16"/>
      <c r="S1268" s="16"/>
      <c r="T1268" s="16"/>
      <c r="U1268" s="16"/>
      <c r="V1268" s="16"/>
      <c r="W1268" s="16"/>
      <c r="X1268" s="16"/>
      <c r="Y1268" s="16"/>
      <c r="Z1268" s="16"/>
    </row>
    <row r="1269">
      <c r="A1269" s="16" t="str">
        <f>IFERROR(__xludf.DUMMYFUNCTION("""COMPUTED_VALUE"""),"Small Fuel Canister")</f>
        <v>Small Fuel Canister</v>
      </c>
      <c r="B1269" s="16" t="str">
        <f>IFERROR(__xludf.DUMMYFUNCTION("""COMPUTED_VALUE"""),"Restores 100 Fuel")</f>
        <v>Restores 100 Fuel</v>
      </c>
      <c r="C1269" s="16" t="str">
        <f>IFERROR(__xludf.DUMMYFUNCTION("""COMPUTED_VALUE"""),"Item")</f>
        <v>Item</v>
      </c>
      <c r="D1269" s="16"/>
      <c r="E1269" s="16"/>
      <c r="F1269" s="16"/>
      <c r="G1269" s="16"/>
      <c r="H1269" s="16"/>
      <c r="I1269" s="16"/>
      <c r="J1269" s="16"/>
      <c r="K1269" s="16"/>
      <c r="L1269" s="16"/>
      <c r="M1269" s="16"/>
      <c r="N1269" s="16"/>
      <c r="O1269" s="16"/>
      <c r="P1269" s="16"/>
      <c r="Q1269" s="16"/>
      <c r="R1269" s="16"/>
      <c r="S1269" s="16"/>
      <c r="T1269" s="16"/>
      <c r="U1269" s="16"/>
      <c r="V1269" s="16"/>
      <c r="W1269" s="16"/>
      <c r="X1269" s="16"/>
      <c r="Y1269" s="16"/>
      <c r="Z1269" s="16"/>
    </row>
    <row r="1270">
      <c r="A1270" s="16" t="str">
        <f>IFERROR(__xludf.DUMMYFUNCTION("""COMPUTED_VALUE"""),"Medium Fuel Canister")</f>
        <v>Medium Fuel Canister</v>
      </c>
      <c r="B1270" s="16" t="str">
        <f>IFERROR(__xludf.DUMMYFUNCTION("""COMPUTED_VALUE"""),"Restores 250 Fuel")</f>
        <v>Restores 250 Fuel</v>
      </c>
      <c r="C1270" s="16" t="str">
        <f>IFERROR(__xludf.DUMMYFUNCTION("""COMPUTED_VALUE"""),"Item")</f>
        <v>Item</v>
      </c>
      <c r="D1270" s="16"/>
      <c r="E1270" s="16"/>
      <c r="F1270" s="16"/>
      <c r="G1270" s="16"/>
      <c r="H1270" s="16"/>
      <c r="I1270" s="16"/>
      <c r="J1270" s="16"/>
      <c r="K1270" s="16"/>
      <c r="L1270" s="16"/>
      <c r="M1270" s="16"/>
      <c r="N1270" s="16"/>
      <c r="O1270" s="16"/>
      <c r="P1270" s="16"/>
      <c r="Q1270" s="16"/>
      <c r="R1270" s="16"/>
      <c r="S1270" s="16"/>
      <c r="T1270" s="16"/>
      <c r="U1270" s="16"/>
      <c r="V1270" s="16"/>
      <c r="W1270" s="16"/>
      <c r="X1270" s="16"/>
      <c r="Y1270" s="16"/>
      <c r="Z1270" s="16"/>
    </row>
    <row r="1271">
      <c r="A1271" s="16" t="str">
        <f>IFERROR(__xludf.DUMMYFUNCTION("""COMPUTED_VALUE"""),"Large Fuel Canister")</f>
        <v>Large Fuel Canister</v>
      </c>
      <c r="B1271" s="16" t="str">
        <f>IFERROR(__xludf.DUMMYFUNCTION("""COMPUTED_VALUE"""),"Restores 500 Fuel")</f>
        <v>Restores 500 Fuel</v>
      </c>
      <c r="C1271" s="16" t="str">
        <f>IFERROR(__xludf.DUMMYFUNCTION("""COMPUTED_VALUE"""),"Item")</f>
        <v>Item</v>
      </c>
      <c r="D1271" s="16"/>
      <c r="E1271" s="16"/>
      <c r="F1271" s="16"/>
      <c r="G1271" s="16"/>
      <c r="H1271" s="16"/>
      <c r="I1271" s="16"/>
      <c r="J1271" s="16"/>
      <c r="K1271" s="16"/>
      <c r="L1271" s="16"/>
      <c r="M1271" s="16"/>
      <c r="N1271" s="16"/>
      <c r="O1271" s="16"/>
      <c r="P1271" s="16"/>
      <c r="Q1271" s="16"/>
      <c r="R1271" s="16"/>
      <c r="S1271" s="16"/>
      <c r="T1271" s="16"/>
      <c r="U1271" s="16"/>
      <c r="V1271" s="16"/>
      <c r="W1271" s="16"/>
      <c r="X1271" s="16"/>
      <c r="Y1271" s="16"/>
      <c r="Z1271" s="16"/>
    </row>
    <row r="1272">
      <c r="A1272" s="16" t="str">
        <f>IFERROR(__xludf.DUMMYFUNCTION("""COMPUTED_VALUE"""),"Letter from the Lord of Spira")</f>
        <v>Letter from the Lord of Spira</v>
      </c>
      <c r="B1272" s="16" t="str">
        <f>IFERROR(__xludf.DUMMYFUNCTION("""COMPUTED_VALUE"""),"Absolved from all crimes whitin The Land of Spira. Can only be used once, Cannot be duplicated")</f>
        <v>Absolved from all crimes whitin The Land of Spira. Can only be used once, Cannot be duplicated</v>
      </c>
      <c r="C1272" s="16" t="str">
        <f>IFERROR(__xludf.DUMMYFUNCTION("""COMPUTED_VALUE"""),"Item")</f>
        <v>Item</v>
      </c>
      <c r="D1272" s="16"/>
      <c r="E1272" s="16"/>
      <c r="F1272" s="16"/>
      <c r="G1272" s="16"/>
      <c r="H1272" s="16"/>
      <c r="I1272" s="16"/>
      <c r="J1272" s="16"/>
      <c r="K1272" s="16"/>
      <c r="L1272" s="16"/>
      <c r="M1272" s="16"/>
      <c r="N1272" s="16"/>
      <c r="O1272" s="16"/>
      <c r="P1272" s="16"/>
      <c r="Q1272" s="16"/>
      <c r="R1272" s="16"/>
      <c r="S1272" s="16"/>
      <c r="T1272" s="16"/>
      <c r="U1272" s="16"/>
      <c r="V1272" s="16"/>
      <c r="W1272" s="16"/>
      <c r="X1272" s="16"/>
      <c r="Y1272" s="16"/>
      <c r="Z1272" s="16"/>
    </row>
    <row r="1273">
      <c r="A1273" s="16" t="str">
        <f>IFERROR(__xludf.DUMMYFUNCTION("""COMPUTED_VALUE"""),"Scroll of Bad Dreams")</f>
        <v>Scroll of Bad Dreams</v>
      </c>
      <c r="B1273" s="16" t="str">
        <f>IFERROR(__xludf.DUMMYFUNCTION("""COMPUTED_VALUE"""),"if you can learn the power you may absorb it and put it in your spell book, otherwise you can read the scroll to use the power once")</f>
        <v>if you can learn the power you may absorb it and put it in your spell book, otherwise you can read the scroll to use the power once</v>
      </c>
      <c r="C1273" s="16" t="str">
        <f>IFERROR(__xludf.DUMMYFUNCTION("""COMPUTED_VALUE"""),"Item")</f>
        <v>Item</v>
      </c>
      <c r="D1273" s="16"/>
      <c r="E1273" s="16"/>
      <c r="F1273" s="16"/>
      <c r="G1273" s="16"/>
      <c r="H1273" s="16"/>
      <c r="I1273" s="16"/>
      <c r="J1273" s="16"/>
      <c r="K1273" s="16"/>
      <c r="L1273" s="16"/>
      <c r="M1273" s="16"/>
      <c r="N1273" s="16"/>
      <c r="O1273" s="16"/>
      <c r="P1273" s="16"/>
      <c r="Q1273" s="16"/>
      <c r="R1273" s="16"/>
      <c r="S1273" s="16"/>
      <c r="T1273" s="16"/>
      <c r="U1273" s="16"/>
      <c r="V1273" s="16"/>
      <c r="W1273" s="16"/>
      <c r="X1273" s="16"/>
      <c r="Y1273" s="16"/>
      <c r="Z1273" s="16"/>
    </row>
    <row r="1274">
      <c r="A1274" s="16" t="str">
        <f>IFERROR(__xludf.DUMMYFUNCTION("""COMPUTED_VALUE"""),"A Jar of Blood")</f>
        <v>A Jar of Blood</v>
      </c>
      <c r="B1274" s="16" t="str">
        <f>IFERROR(__xludf.DUMMYFUNCTION("""COMPUTED_VALUE"""),"Crafting Material, roll a d20 to see how many you get if this is a loot drop.")</f>
        <v>Crafting Material, roll a d20 to see how many you get if this is a loot drop.</v>
      </c>
      <c r="C1274" s="16" t="str">
        <f>IFERROR(__xludf.DUMMYFUNCTION("""COMPUTED_VALUE"""),"Item")</f>
        <v>Item</v>
      </c>
      <c r="D1274" s="16"/>
      <c r="E1274" s="16"/>
      <c r="F1274" s="16"/>
      <c r="G1274" s="16"/>
      <c r="H1274" s="16"/>
      <c r="I1274" s="16"/>
      <c r="J1274" s="16"/>
      <c r="K1274" s="16"/>
      <c r="L1274" s="16"/>
      <c r="M1274" s="16"/>
      <c r="N1274" s="16"/>
      <c r="O1274" s="16"/>
      <c r="P1274" s="16"/>
      <c r="Q1274" s="16"/>
      <c r="R1274" s="16"/>
      <c r="S1274" s="16"/>
      <c r="T1274" s="16"/>
      <c r="U1274" s="16"/>
      <c r="V1274" s="16"/>
      <c r="W1274" s="16"/>
      <c r="X1274" s="16"/>
      <c r="Y1274" s="16"/>
      <c r="Z1274" s="16"/>
    </row>
    <row r="1275">
      <c r="A1275" s="16" t="str">
        <f>IFERROR(__xludf.DUMMYFUNCTION("""COMPUTED_VALUE"""),"Demon Blood")</f>
        <v>Demon Blood</v>
      </c>
      <c r="B1275" s="16" t="str">
        <f>IFERROR(__xludf.DUMMYFUNCTION("""COMPUTED_VALUE"""),"Crafting Material, roll a d20 to see how many you get if this is a loot drop.")</f>
        <v>Crafting Material, roll a d20 to see how many you get if this is a loot drop.</v>
      </c>
      <c r="C1275" s="16" t="str">
        <f>IFERROR(__xludf.DUMMYFUNCTION("""COMPUTED_VALUE"""),"Item")</f>
        <v>Item</v>
      </c>
      <c r="D1275" s="16"/>
      <c r="E1275" s="16"/>
      <c r="F1275" s="16"/>
      <c r="G1275" s="16"/>
      <c r="H1275" s="16"/>
      <c r="I1275" s="16"/>
      <c r="J1275" s="16"/>
      <c r="K1275" s="16"/>
      <c r="L1275" s="16"/>
      <c r="M1275" s="16"/>
      <c r="N1275" s="16"/>
      <c r="O1275" s="16"/>
      <c r="P1275" s="16"/>
      <c r="Q1275" s="16"/>
      <c r="R1275" s="16"/>
      <c r="S1275" s="16"/>
      <c r="T1275" s="16"/>
      <c r="U1275" s="16"/>
      <c r="V1275" s="16"/>
      <c r="W1275" s="16"/>
      <c r="X1275" s="16"/>
      <c r="Y1275" s="16"/>
      <c r="Z1275" s="16"/>
    </row>
    <row r="1276">
      <c r="A1276" s="16" t="str">
        <f>IFERROR(__xludf.DUMMYFUNCTION("""COMPUTED_VALUE"""),"Demon Skull")</f>
        <v>Demon Skull</v>
      </c>
      <c r="B1276" s="16" t="str">
        <f>IFERROR(__xludf.DUMMYFUNCTION("""COMPUTED_VALUE"""),"Crafting Material, roll a d20 to see how many you get if this is a loot drop.")</f>
        <v>Crafting Material, roll a d20 to see how many you get if this is a loot drop.</v>
      </c>
      <c r="C1276" s="16" t="str">
        <f>IFERROR(__xludf.DUMMYFUNCTION("""COMPUTED_VALUE"""),"Item")</f>
        <v>Item</v>
      </c>
      <c r="D1276" s="16"/>
      <c r="E1276" s="16"/>
      <c r="F1276" s="16"/>
      <c r="G1276" s="16"/>
      <c r="H1276" s="16"/>
      <c r="I1276" s="16"/>
      <c r="J1276" s="16"/>
      <c r="K1276" s="16"/>
      <c r="L1276" s="16"/>
      <c r="M1276" s="16"/>
      <c r="N1276" s="16"/>
      <c r="O1276" s="16"/>
      <c r="P1276" s="16"/>
      <c r="Q1276" s="16"/>
      <c r="R1276" s="16"/>
      <c r="S1276" s="16"/>
      <c r="T1276" s="16"/>
      <c r="U1276" s="16"/>
      <c r="V1276" s="16"/>
      <c r="W1276" s="16"/>
      <c r="X1276" s="16"/>
      <c r="Y1276" s="16"/>
      <c r="Z1276" s="16"/>
    </row>
    <row r="1277">
      <c r="A1277" s="16" t="str">
        <f>IFERROR(__xludf.DUMMYFUNCTION("""COMPUTED_VALUE"""),"Volcanic Teeth")</f>
        <v>Volcanic Teeth</v>
      </c>
      <c r="B1277" s="16" t="str">
        <f>IFERROR(__xludf.DUMMYFUNCTION("""COMPUTED_VALUE"""),"Crafting Material, roll a d20 to see how many you get if this is a loot drop.")</f>
        <v>Crafting Material, roll a d20 to see how many you get if this is a loot drop.</v>
      </c>
      <c r="C1277" s="16" t="str">
        <f>IFERROR(__xludf.DUMMYFUNCTION("""COMPUTED_VALUE"""),"Item")</f>
        <v>Item</v>
      </c>
      <c r="D1277" s="16"/>
      <c r="E1277" s="16"/>
      <c r="F1277" s="16"/>
      <c r="G1277" s="16"/>
      <c r="H1277" s="16"/>
      <c r="I1277" s="16"/>
      <c r="J1277" s="16"/>
      <c r="K1277" s="16"/>
      <c r="L1277" s="16"/>
      <c r="M1277" s="16"/>
      <c r="N1277" s="16"/>
      <c r="O1277" s="16"/>
      <c r="P1277" s="16"/>
      <c r="Q1277" s="16"/>
      <c r="R1277" s="16"/>
      <c r="S1277" s="16"/>
      <c r="T1277" s="16"/>
      <c r="U1277" s="16"/>
      <c r="V1277" s="16"/>
      <c r="W1277" s="16"/>
      <c r="X1277" s="16"/>
      <c r="Y1277" s="16"/>
      <c r="Z1277" s="16"/>
    </row>
    <row r="1278">
      <c r="A1278" s="16" t="str">
        <f>IFERROR(__xludf.DUMMYFUNCTION("""COMPUTED_VALUE"""),"Volcanic Serpent Teeth ")</f>
        <v>Volcanic Serpent Teeth </v>
      </c>
      <c r="B1278" s="16" t="str">
        <f>IFERROR(__xludf.DUMMYFUNCTION("""COMPUTED_VALUE"""),"Crafting Material, roll a d20 to see how many you get if this is a loot drop.")</f>
        <v>Crafting Material, roll a d20 to see how many you get if this is a loot drop.</v>
      </c>
      <c r="C1278" s="16" t="str">
        <f>IFERROR(__xludf.DUMMYFUNCTION("""COMPUTED_VALUE"""),"Item")</f>
        <v>Item</v>
      </c>
      <c r="D1278" s="16"/>
      <c r="E1278" s="16"/>
      <c r="F1278" s="16"/>
      <c r="G1278" s="16"/>
      <c r="H1278" s="16"/>
      <c r="I1278" s="16"/>
      <c r="J1278" s="16"/>
      <c r="K1278" s="16"/>
      <c r="L1278" s="16"/>
      <c r="M1278" s="16"/>
      <c r="N1278" s="16"/>
      <c r="O1278" s="16"/>
      <c r="P1278" s="16"/>
      <c r="Q1278" s="16"/>
      <c r="R1278" s="16"/>
      <c r="S1278" s="16"/>
      <c r="T1278" s="16"/>
      <c r="U1278" s="16"/>
      <c r="V1278" s="16"/>
      <c r="W1278" s="16"/>
      <c r="X1278" s="16"/>
      <c r="Y1278" s="16"/>
      <c r="Z1278" s="16"/>
    </row>
    <row r="1279">
      <c r="A1279" s="16" t="str">
        <f>IFERROR(__xludf.DUMMYFUNCTION("""COMPUTED_VALUE"""),"Volcanic Serpent Scales")</f>
        <v>Volcanic Serpent Scales</v>
      </c>
      <c r="B1279" s="16" t="str">
        <f>IFERROR(__xludf.DUMMYFUNCTION("""COMPUTED_VALUE"""),"Crafting Material, roll a d20 to see how many you get if this is a loot drop.")</f>
        <v>Crafting Material, roll a d20 to see how many you get if this is a loot drop.</v>
      </c>
      <c r="C1279" s="16" t="str">
        <f>IFERROR(__xludf.DUMMYFUNCTION("""COMPUTED_VALUE"""),"Item")</f>
        <v>Item</v>
      </c>
      <c r="D1279" s="16"/>
      <c r="E1279" s="16"/>
      <c r="F1279" s="16"/>
      <c r="G1279" s="16"/>
      <c r="H1279" s="16"/>
      <c r="I1279" s="16"/>
      <c r="J1279" s="16"/>
      <c r="K1279" s="16"/>
      <c r="L1279" s="16"/>
      <c r="M1279" s="16"/>
      <c r="N1279" s="16"/>
      <c r="O1279" s="16"/>
      <c r="P1279" s="16"/>
      <c r="Q1279" s="16"/>
      <c r="R1279" s="16"/>
      <c r="S1279" s="16"/>
      <c r="T1279" s="16"/>
      <c r="U1279" s="16"/>
      <c r="V1279" s="16"/>
      <c r="W1279" s="16"/>
      <c r="X1279" s="16"/>
      <c r="Y1279" s="16"/>
      <c r="Z1279" s="16"/>
    </row>
    <row r="1280">
      <c r="A1280" s="16" t="str">
        <f>IFERROR(__xludf.DUMMYFUNCTION("""COMPUTED_VALUE"""),"Lava Panther Leather")</f>
        <v>Lava Panther Leather</v>
      </c>
      <c r="B1280" s="16" t="str">
        <f>IFERROR(__xludf.DUMMYFUNCTION("""COMPUTED_VALUE"""),"Crafting Material, roll a d20 to see how many you get if this is a loot drop.")</f>
        <v>Crafting Material, roll a d20 to see how many you get if this is a loot drop.</v>
      </c>
      <c r="C1280" s="16" t="str">
        <f>IFERROR(__xludf.DUMMYFUNCTION("""COMPUTED_VALUE"""),"Item")</f>
        <v>Item</v>
      </c>
      <c r="D1280" s="16"/>
      <c r="E1280" s="16"/>
      <c r="F1280" s="16"/>
      <c r="G1280" s="16"/>
      <c r="H1280" s="16"/>
      <c r="I1280" s="16"/>
      <c r="J1280" s="16"/>
      <c r="K1280" s="16"/>
      <c r="L1280" s="16"/>
      <c r="M1280" s="16"/>
      <c r="N1280" s="16"/>
      <c r="O1280" s="16"/>
      <c r="P1280" s="16"/>
      <c r="Q1280" s="16"/>
      <c r="R1280" s="16"/>
      <c r="S1280" s="16"/>
      <c r="T1280" s="16"/>
      <c r="U1280" s="16"/>
      <c r="V1280" s="16"/>
      <c r="W1280" s="16"/>
      <c r="X1280" s="16"/>
      <c r="Y1280" s="16"/>
      <c r="Z1280" s="16"/>
    </row>
    <row r="1281">
      <c r="A1281" s="16" t="str">
        <f>IFERROR(__xludf.DUMMYFUNCTION("""COMPUTED_VALUE"""),"Endless Dark Core")</f>
        <v>Endless Dark Core</v>
      </c>
      <c r="B1281" s="16" t="str">
        <f>IFERROR(__xludf.DUMMYFUNCTION("""COMPUTED_VALUE"""),"Return a banished character from banishment without having to fight the Keeper of the Banished. (1 use)")</f>
        <v>Return a banished character from banishment without having to fight the Keeper of the Banished. (1 use)</v>
      </c>
      <c r="C1281" s="16" t="str">
        <f>IFERROR(__xludf.DUMMYFUNCTION("""COMPUTED_VALUE"""),"Item")</f>
        <v>Item</v>
      </c>
      <c r="D1281" s="16"/>
      <c r="E1281" s="16"/>
      <c r="F1281" s="16"/>
      <c r="G1281" s="16"/>
      <c r="H1281" s="16"/>
      <c r="I1281" s="16"/>
      <c r="J1281" s="16"/>
      <c r="K1281" s="16"/>
      <c r="L1281" s="16"/>
      <c r="M1281" s="16"/>
      <c r="N1281" s="16"/>
      <c r="O1281" s="16"/>
      <c r="P1281" s="16"/>
      <c r="Q1281" s="16"/>
      <c r="R1281" s="16"/>
      <c r="S1281" s="16"/>
      <c r="T1281" s="16"/>
      <c r="U1281" s="16"/>
      <c r="V1281" s="16"/>
      <c r="W1281" s="16"/>
      <c r="X1281" s="16"/>
      <c r="Y1281" s="16"/>
      <c r="Z1281" s="16"/>
    </row>
    <row r="1282">
      <c r="A1282" s="16" t="str">
        <f>IFERROR(__xludf.DUMMYFUNCTION("""COMPUTED_VALUE"""),"Endless Dark Dragon Scales")</f>
        <v>Endless Dark Dragon Scales</v>
      </c>
      <c r="B1282" s="16" t="str">
        <f>IFERROR(__xludf.DUMMYFUNCTION("""COMPUTED_VALUE"""),"Crafting Material, roll a d20 to see how many you get if this is a loot drop.")</f>
        <v>Crafting Material, roll a d20 to see how many you get if this is a loot drop.</v>
      </c>
      <c r="C1282" s="16" t="str">
        <f>IFERROR(__xludf.DUMMYFUNCTION("""COMPUTED_VALUE"""),"Item")</f>
        <v>Item</v>
      </c>
      <c r="D1282" s="16"/>
      <c r="E1282" s="16"/>
      <c r="F1282" s="16"/>
      <c r="G1282" s="16"/>
      <c r="H1282" s="16"/>
      <c r="I1282" s="16"/>
      <c r="J1282" s="16"/>
      <c r="K1282" s="16"/>
      <c r="L1282" s="16"/>
      <c r="M1282" s="16"/>
      <c r="N1282" s="16"/>
      <c r="O1282" s="16"/>
      <c r="P1282" s="16"/>
      <c r="Q1282" s="16"/>
      <c r="R1282" s="16"/>
      <c r="S1282" s="16"/>
      <c r="T1282" s="16"/>
      <c r="U1282" s="16"/>
      <c r="V1282" s="16"/>
      <c r="W1282" s="16"/>
      <c r="X1282" s="16"/>
      <c r="Y1282" s="16"/>
      <c r="Z1282" s="16"/>
    </row>
    <row r="1283">
      <c r="A1283" s="16" t="str">
        <f>IFERROR(__xludf.DUMMYFUNCTION("""COMPUTED_VALUE"""),"Magma Stone")</f>
        <v>Magma Stone</v>
      </c>
      <c r="B1283" s="16" t="str">
        <f>IFERROR(__xludf.DUMMYFUNCTION("""COMPUTED_VALUE"""),"Crafting Material, roll a d20 to see how many you get if this is a loot drop.")</f>
        <v>Crafting Material, roll a d20 to see how many you get if this is a loot drop.</v>
      </c>
      <c r="C1283" s="16" t="str">
        <f>IFERROR(__xludf.DUMMYFUNCTION("""COMPUTED_VALUE"""),"Item")</f>
        <v>Item</v>
      </c>
      <c r="D1283" s="16"/>
      <c r="E1283" s="16"/>
      <c r="F1283" s="16"/>
      <c r="G1283" s="16"/>
      <c r="H1283" s="16"/>
      <c r="I1283" s="16"/>
      <c r="J1283" s="16"/>
      <c r="K1283" s="16"/>
      <c r="L1283" s="16"/>
      <c r="M1283" s="16"/>
      <c r="N1283" s="16"/>
      <c r="O1283" s="16"/>
      <c r="P1283" s="16"/>
      <c r="Q1283" s="16"/>
      <c r="R1283" s="16"/>
      <c r="S1283" s="16"/>
      <c r="T1283" s="16"/>
      <c r="U1283" s="16"/>
      <c r="V1283" s="16"/>
      <c r="W1283" s="16"/>
      <c r="X1283" s="16"/>
      <c r="Y1283" s="16"/>
      <c r="Z1283" s="16"/>
    </row>
    <row r="1284">
      <c r="A1284" s="16" t="str">
        <f>IFERROR(__xludf.DUMMYFUNCTION("""COMPUTED_VALUE"""),"Inferno Feather")</f>
        <v>Inferno Feather</v>
      </c>
      <c r="B1284" s="16" t="str">
        <f>IFERROR(__xludf.DUMMYFUNCTION("""COMPUTED_VALUE"""),"Crafting Material, roll a d20 to see how many you get if this is a loot drop.")</f>
        <v>Crafting Material, roll a d20 to see how many you get if this is a loot drop.</v>
      </c>
      <c r="C1284" s="16" t="str">
        <f>IFERROR(__xludf.DUMMYFUNCTION("""COMPUTED_VALUE"""),"Item")</f>
        <v>Item</v>
      </c>
      <c r="D1284" s="16"/>
      <c r="E1284" s="16"/>
      <c r="F1284" s="16"/>
      <c r="G1284" s="16"/>
      <c r="H1284" s="16"/>
      <c r="I1284" s="16"/>
      <c r="J1284" s="16"/>
      <c r="K1284" s="16"/>
      <c r="L1284" s="16"/>
      <c r="M1284" s="16"/>
      <c r="N1284" s="16"/>
      <c r="O1284" s="16"/>
      <c r="P1284" s="16"/>
      <c r="Q1284" s="16"/>
      <c r="R1284" s="16"/>
      <c r="S1284" s="16"/>
      <c r="T1284" s="16"/>
      <c r="U1284" s="16"/>
      <c r="V1284" s="16"/>
      <c r="W1284" s="16"/>
      <c r="X1284" s="16"/>
      <c r="Y1284" s="16"/>
      <c r="Z1284" s="16"/>
    </row>
    <row r="1285">
      <c r="A1285" s="16" t="str">
        <f>IFERROR(__xludf.DUMMYFUNCTION("""COMPUTED_VALUE"""),"Ancient Stone Medallion")</f>
        <v>Ancient Stone Medallion</v>
      </c>
      <c r="B1285" s="16" t="str">
        <f>IFERROR(__xludf.DUMMYFUNCTION("""COMPUTED_VALUE"""),"Allows access to the Ruins of Mana.")</f>
        <v>Allows access to the Ruins of Mana.</v>
      </c>
      <c r="C1285" s="16" t="str">
        <f>IFERROR(__xludf.DUMMYFUNCTION("""COMPUTED_VALUE"""),"Item")</f>
        <v>Item</v>
      </c>
      <c r="D1285" s="16"/>
      <c r="E1285" s="16"/>
      <c r="F1285" s="16"/>
      <c r="G1285" s="16"/>
      <c r="H1285" s="16"/>
      <c r="I1285" s="16"/>
      <c r="J1285" s="16"/>
      <c r="K1285" s="16"/>
      <c r="L1285" s="16"/>
      <c r="M1285" s="16"/>
      <c r="N1285" s="16"/>
      <c r="O1285" s="16"/>
      <c r="P1285" s="16"/>
      <c r="Q1285" s="16"/>
      <c r="R1285" s="16"/>
      <c r="S1285" s="16"/>
      <c r="T1285" s="16"/>
      <c r="U1285" s="16"/>
      <c r="V1285" s="16"/>
      <c r="W1285" s="16"/>
      <c r="X1285" s="16"/>
      <c r="Y1285" s="16"/>
      <c r="Z1285" s="16"/>
    </row>
    <row r="1286">
      <c r="A1286" s="16" t="str">
        <f>IFERROR(__xludf.DUMMYFUNCTION("""COMPUTED_VALUE"""),"Vial of Unknown Liquid")</f>
        <v>Vial of Unknown Liquid</v>
      </c>
      <c r="B1286" s="16" t="str">
        <f>IFERROR(__xludf.DUMMYFUNCTION("""COMPUTED_VALUE"""),"When consumed, roll a d20. For the next 3 rounds, lose the result d20x100 health and gain the result d20x500SP.")</f>
        <v>When consumed, roll a d20. For the next 3 rounds, lose the result d20x100 health and gain the result d20x500SP.</v>
      </c>
      <c r="C1286" s="16" t="str">
        <f>IFERROR(__xludf.DUMMYFUNCTION("""COMPUTED_VALUE"""),"Item")</f>
        <v>Item</v>
      </c>
      <c r="D1286" s="16"/>
      <c r="E1286" s="16"/>
      <c r="F1286" s="16"/>
      <c r="G1286" s="16"/>
      <c r="H1286" s="16"/>
      <c r="I1286" s="16"/>
      <c r="J1286" s="16"/>
      <c r="K1286" s="16"/>
      <c r="L1286" s="16"/>
      <c r="M1286" s="16"/>
      <c r="N1286" s="16"/>
      <c r="O1286" s="16"/>
      <c r="P1286" s="16"/>
      <c r="Q1286" s="16"/>
      <c r="R1286" s="16"/>
      <c r="S1286" s="16"/>
      <c r="T1286" s="16"/>
      <c r="U1286" s="16"/>
      <c r="V1286" s="16"/>
      <c r="W1286" s="16"/>
      <c r="X1286" s="16"/>
      <c r="Y1286" s="16"/>
      <c r="Z1286" s="16"/>
    </row>
    <row r="1287">
      <c r="A1287" s="16" t="str">
        <f>IFERROR(__xludf.DUMMYFUNCTION("""COMPUTED_VALUE"""),"Diamond Fishing Pole ")</f>
        <v>Diamond Fishing Pole </v>
      </c>
      <c r="B1287" s="16" t="str">
        <f>IFERROR(__xludf.DUMMYFUNCTION("""COMPUTED_VALUE"""),"100/100 Uses. Used for fishing.")</f>
        <v>100/100 Uses. Used for fishing.</v>
      </c>
      <c r="C1287" s="16" t="str">
        <f>IFERROR(__xludf.DUMMYFUNCTION("""COMPUTED_VALUE"""),"Item")</f>
        <v>Item</v>
      </c>
      <c r="D1287" s="16"/>
      <c r="E1287" s="16"/>
      <c r="F1287" s="16"/>
      <c r="G1287" s="16"/>
      <c r="H1287" s="16"/>
      <c r="I1287" s="16"/>
      <c r="J1287" s="16"/>
      <c r="K1287" s="16"/>
      <c r="L1287" s="16"/>
      <c r="M1287" s="16"/>
      <c r="N1287" s="16"/>
      <c r="O1287" s="16"/>
      <c r="P1287" s="16"/>
      <c r="Q1287" s="16"/>
      <c r="R1287" s="16"/>
      <c r="S1287" s="16"/>
      <c r="T1287" s="16"/>
      <c r="U1287" s="16"/>
      <c r="V1287" s="16"/>
      <c r="W1287" s="16"/>
      <c r="X1287" s="16"/>
      <c r="Y1287" s="16"/>
      <c r="Z1287" s="16"/>
    </row>
    <row r="1288">
      <c r="A1288" s="16" t="str">
        <f>IFERROR(__xludf.DUMMYFUNCTION("""COMPUTED_VALUE"""),"Obsidian Fishing Pole ")</f>
        <v>Obsidian Fishing Pole </v>
      </c>
      <c r="B1288" s="16" t="str">
        <f>IFERROR(__xludf.DUMMYFUNCTION("""COMPUTED_VALUE"""),"120/120 Uses. Used for fishing.")</f>
        <v>120/120 Uses. Used for fishing.</v>
      </c>
      <c r="C1288" s="16" t="str">
        <f>IFERROR(__xludf.DUMMYFUNCTION("""COMPUTED_VALUE"""),"Item")</f>
        <v>Item</v>
      </c>
      <c r="D1288" s="16"/>
      <c r="E1288" s="16"/>
      <c r="F1288" s="16"/>
      <c r="G1288" s="16"/>
      <c r="H1288" s="16"/>
      <c r="I1288" s="16"/>
      <c r="J1288" s="16"/>
      <c r="K1288" s="16"/>
      <c r="L1288" s="16"/>
      <c r="M1288" s="16"/>
      <c r="N1288" s="16"/>
      <c r="O1288" s="16"/>
      <c r="P1288" s="16"/>
      <c r="Q1288" s="16"/>
      <c r="R1288" s="16"/>
      <c r="S1288" s="16"/>
      <c r="T1288" s="16"/>
      <c r="U1288" s="16"/>
      <c r="V1288" s="16"/>
      <c r="W1288" s="16"/>
      <c r="X1288" s="16"/>
      <c r="Y1288" s="16"/>
      <c r="Z1288" s="16"/>
    </row>
    <row r="1289">
      <c r="A1289" s="16" t="str">
        <f>IFERROR(__xludf.DUMMYFUNCTION("""COMPUTED_VALUE"""),"Golden Pickaxe")</f>
        <v>Golden Pickaxe</v>
      </c>
      <c r="B1289" s="16" t="str">
        <f>IFERROR(__xludf.DUMMYFUNCTION("""COMPUTED_VALUE"""),"80/80 Uses. Used for mining.")</f>
        <v>80/80 Uses. Used for mining.</v>
      </c>
      <c r="C1289" s="16" t="str">
        <f>IFERROR(__xludf.DUMMYFUNCTION("""COMPUTED_VALUE"""),"Item")</f>
        <v>Item</v>
      </c>
      <c r="D1289" s="16"/>
      <c r="E1289" s="16"/>
      <c r="F1289" s="16"/>
      <c r="G1289" s="16"/>
      <c r="H1289" s="16"/>
      <c r="I1289" s="16"/>
      <c r="J1289" s="16"/>
      <c r="K1289" s="16"/>
      <c r="L1289" s="16"/>
      <c r="M1289" s="16"/>
      <c r="N1289" s="16"/>
      <c r="O1289" s="16"/>
      <c r="P1289" s="16"/>
      <c r="Q1289" s="16"/>
      <c r="R1289" s="16"/>
      <c r="S1289" s="16"/>
      <c r="T1289" s="16"/>
      <c r="U1289" s="16"/>
      <c r="V1289" s="16"/>
      <c r="W1289" s="16"/>
      <c r="X1289" s="16"/>
      <c r="Y1289" s="16"/>
      <c r="Z1289" s="16"/>
    </row>
    <row r="1290">
      <c r="A1290" s="16" t="str">
        <f>IFERROR(__xludf.DUMMYFUNCTION("""COMPUTED_VALUE"""),"Wooden Pickaxe")</f>
        <v>Wooden Pickaxe</v>
      </c>
      <c r="B1290" s="16" t="str">
        <f>IFERROR(__xludf.DUMMYFUNCTION("""COMPUTED_VALUE"""),"10/10 Uses. Used for mining.")</f>
        <v>10/10 Uses. Used for mining.</v>
      </c>
      <c r="C1290" s="16" t="str">
        <f>IFERROR(__xludf.DUMMYFUNCTION("""COMPUTED_VALUE"""),"Item")</f>
        <v>Item</v>
      </c>
      <c r="D1290" s="16"/>
      <c r="E1290" s="16"/>
      <c r="F1290" s="16"/>
      <c r="G1290" s="16"/>
      <c r="H1290" s="16"/>
      <c r="I1290" s="16"/>
      <c r="J1290" s="16"/>
      <c r="K1290" s="16"/>
      <c r="L1290" s="16"/>
      <c r="M1290" s="16"/>
      <c r="N1290" s="16"/>
      <c r="O1290" s="16"/>
      <c r="P1290" s="16"/>
      <c r="Q1290" s="16"/>
      <c r="R1290" s="16"/>
      <c r="S1290" s="16"/>
      <c r="T1290" s="16"/>
      <c r="U1290" s="16"/>
      <c r="V1290" s="16"/>
      <c r="W1290" s="16"/>
      <c r="X1290" s="16"/>
      <c r="Y1290" s="16"/>
      <c r="Z1290" s="16"/>
    </row>
    <row r="1291">
      <c r="A1291" s="16" t="str">
        <f>IFERROR(__xludf.DUMMYFUNCTION("""COMPUTED_VALUE"""),"Iron Pickaxe")</f>
        <v>Iron Pickaxe</v>
      </c>
      <c r="B1291" s="16" t="str">
        <f>IFERROR(__xludf.DUMMYFUNCTION("""COMPUTED_VALUE"""),"20/20 Uses. Used for mining.")</f>
        <v>20/20 Uses. Used for mining.</v>
      </c>
      <c r="C1291" s="16" t="str">
        <f>IFERROR(__xludf.DUMMYFUNCTION("""COMPUTED_VALUE"""),"Item")</f>
        <v>Item</v>
      </c>
      <c r="D1291" s="16"/>
      <c r="E1291" s="16"/>
      <c r="F1291" s="16"/>
      <c r="G1291" s="16"/>
      <c r="H1291" s="16"/>
      <c r="I1291" s="16"/>
      <c r="J1291" s="16"/>
      <c r="K1291" s="16"/>
      <c r="L1291" s="16"/>
      <c r="M1291" s="16"/>
      <c r="N1291" s="16"/>
      <c r="O1291" s="16"/>
      <c r="P1291" s="16"/>
      <c r="Q1291" s="16"/>
      <c r="R1291" s="16"/>
      <c r="S1291" s="16"/>
      <c r="T1291" s="16"/>
      <c r="U1291" s="16"/>
      <c r="V1291" s="16"/>
      <c r="W1291" s="16"/>
      <c r="X1291" s="16"/>
      <c r="Y1291" s="16"/>
      <c r="Z1291" s="16"/>
    </row>
    <row r="1292">
      <c r="A1292" s="16" t="str">
        <f>IFERROR(__xludf.DUMMYFUNCTION("""COMPUTED_VALUE"""),"Silver Pickaxe")</f>
        <v>Silver Pickaxe</v>
      </c>
      <c r="B1292" s="16" t="str">
        <f>IFERROR(__xludf.DUMMYFUNCTION("""COMPUTED_VALUE"""),"60/60 Uses. Used for mining.")</f>
        <v>60/60 Uses. Used for mining.</v>
      </c>
      <c r="C1292" s="16" t="str">
        <f>IFERROR(__xludf.DUMMYFUNCTION("""COMPUTED_VALUE"""),"Item")</f>
        <v>Item</v>
      </c>
      <c r="D1292" s="16"/>
      <c r="E1292" s="16"/>
      <c r="F1292" s="16"/>
      <c r="G1292" s="16"/>
      <c r="H1292" s="16"/>
      <c r="I1292" s="16"/>
      <c r="J1292" s="16"/>
      <c r="K1292" s="16"/>
      <c r="L1292" s="16"/>
      <c r="M1292" s="16"/>
      <c r="N1292" s="16"/>
      <c r="O1292" s="16"/>
      <c r="P1292" s="16"/>
      <c r="Q1292" s="16"/>
      <c r="R1292" s="16"/>
      <c r="S1292" s="16"/>
      <c r="T1292" s="16"/>
      <c r="U1292" s="16"/>
      <c r="V1292" s="16"/>
      <c r="W1292" s="16"/>
      <c r="X1292" s="16"/>
      <c r="Y1292" s="16"/>
      <c r="Z1292" s="16"/>
    </row>
    <row r="1293">
      <c r="A1293" s="16" t="str">
        <f>IFERROR(__xludf.DUMMYFUNCTION("""COMPUTED_VALUE"""),"Diamond Pickaxe")</f>
        <v>Diamond Pickaxe</v>
      </c>
      <c r="B1293" s="16" t="str">
        <f>IFERROR(__xludf.DUMMYFUNCTION("""COMPUTED_VALUE"""),"100/100 Uses. Used for mining.")</f>
        <v>100/100 Uses. Used for mining.</v>
      </c>
      <c r="C1293" s="16" t="str">
        <f>IFERROR(__xludf.DUMMYFUNCTION("""COMPUTED_VALUE"""),"Item")</f>
        <v>Item</v>
      </c>
      <c r="D1293" s="16"/>
      <c r="E1293" s="16"/>
      <c r="F1293" s="16"/>
      <c r="G1293" s="16"/>
      <c r="H1293" s="16"/>
      <c r="I1293" s="16"/>
      <c r="J1293" s="16"/>
      <c r="K1293" s="16"/>
      <c r="L1293" s="16"/>
      <c r="M1293" s="16"/>
      <c r="N1293" s="16"/>
      <c r="O1293" s="16"/>
      <c r="P1293" s="16"/>
      <c r="Q1293" s="16"/>
      <c r="R1293" s="16"/>
      <c r="S1293" s="16"/>
      <c r="T1293" s="16"/>
      <c r="U1293" s="16"/>
      <c r="V1293" s="16"/>
      <c r="W1293" s="16"/>
      <c r="X1293" s="16"/>
      <c r="Y1293" s="16"/>
      <c r="Z1293" s="16"/>
    </row>
    <row r="1294">
      <c r="A1294" s="16" t="str">
        <f>IFERROR(__xludf.DUMMYFUNCTION("""COMPUTED_VALUE"""),"Obsidian Pickaxe")</f>
        <v>Obsidian Pickaxe</v>
      </c>
      <c r="B1294" s="16" t="str">
        <f>IFERROR(__xludf.DUMMYFUNCTION("""COMPUTED_VALUE"""),"120/120 Uses. Used for mining.")</f>
        <v>120/120 Uses. Used for mining.</v>
      </c>
      <c r="C1294" s="16" t="str">
        <f>IFERROR(__xludf.DUMMYFUNCTION("""COMPUTED_VALUE"""),"Item")</f>
        <v>Item</v>
      </c>
      <c r="D1294" s="16"/>
      <c r="E1294" s="16"/>
      <c r="F1294" s="16"/>
      <c r="G1294" s="16"/>
      <c r="H1294" s="16"/>
      <c r="I1294" s="16"/>
      <c r="J1294" s="16"/>
      <c r="K1294" s="16"/>
      <c r="L1294" s="16"/>
      <c r="M1294" s="16"/>
      <c r="N1294" s="16"/>
      <c r="O1294" s="16"/>
      <c r="P1294" s="16"/>
      <c r="Q1294" s="16"/>
      <c r="R1294" s="16"/>
      <c r="S1294" s="16"/>
      <c r="T1294" s="16"/>
      <c r="U1294" s="16"/>
      <c r="V1294" s="16"/>
      <c r="W1294" s="16"/>
      <c r="X1294" s="16"/>
      <c r="Y1294" s="16"/>
      <c r="Z1294" s="16"/>
    </row>
    <row r="1295">
      <c r="A1295" s="16" t="str">
        <f>IFERROR(__xludf.DUMMYFUNCTION("""COMPUTED_VALUE"""),"Fire Fishing Pole ")</f>
        <v>Fire Fishing Pole </v>
      </c>
      <c r="B1295" s="16" t="str">
        <f>IFERROR(__xludf.DUMMYFUNCTION("""COMPUTED_VALUE"""),"Made out of Iron. 20/20 Uses. Will cook fish caught giving them an additional hunger. Used for fishing.")</f>
        <v>Made out of Iron. 20/20 Uses. Will cook fish caught giving them an additional hunger. Used for fishing.</v>
      </c>
      <c r="C1295" s="16" t="str">
        <f>IFERROR(__xludf.DUMMYFUNCTION("""COMPUTED_VALUE"""),"Crop")</f>
        <v>Crop</v>
      </c>
      <c r="D1295" s="16"/>
      <c r="E1295" s="16"/>
      <c r="F1295" s="16"/>
      <c r="G1295" s="16"/>
      <c r="H1295" s="16"/>
      <c r="I1295" s="16"/>
      <c r="J1295" s="16"/>
      <c r="K1295" s="16"/>
      <c r="L1295" s="16"/>
      <c r="M1295" s="16"/>
      <c r="N1295" s="16"/>
      <c r="O1295" s="16"/>
      <c r="P1295" s="16"/>
      <c r="Q1295" s="16"/>
      <c r="R1295" s="16"/>
      <c r="S1295" s="16"/>
      <c r="T1295" s="16"/>
      <c r="U1295" s="16"/>
      <c r="V1295" s="16"/>
      <c r="W1295" s="16"/>
      <c r="X1295" s="16"/>
      <c r="Y1295" s="16"/>
      <c r="Z1295" s="16"/>
    </row>
    <row r="1296">
      <c r="A1296" s="16" t="str">
        <f>IFERROR(__xludf.DUMMYFUNCTION("""COMPUTED_VALUE"""),"Golden Fishing Pole ")</f>
        <v>Golden Fishing Pole </v>
      </c>
      <c r="B1296" s="16" t="str">
        <f>IFERROR(__xludf.DUMMYFUNCTION("""COMPUTED_VALUE"""),"80/80 uses. Used for fishing.")</f>
        <v>80/80 uses. Used for fishing.</v>
      </c>
      <c r="C1296" s="16" t="str">
        <f>IFERROR(__xludf.DUMMYFUNCTION("""COMPUTED_VALUE"""),"Item")</f>
        <v>Item</v>
      </c>
      <c r="D1296" s="16"/>
      <c r="E1296" s="16"/>
      <c r="F1296" s="16"/>
      <c r="G1296" s="16"/>
      <c r="H1296" s="16"/>
      <c r="I1296" s="16"/>
      <c r="J1296" s="16"/>
      <c r="K1296" s="16"/>
      <c r="L1296" s="16"/>
      <c r="M1296" s="16"/>
      <c r="N1296" s="16"/>
      <c r="O1296" s="16"/>
      <c r="P1296" s="16"/>
      <c r="Q1296" s="16"/>
      <c r="R1296" s="16"/>
      <c r="S1296" s="16"/>
      <c r="T1296" s="16"/>
      <c r="U1296" s="16"/>
      <c r="V1296" s="16"/>
      <c r="W1296" s="16"/>
      <c r="X1296" s="16"/>
      <c r="Y1296" s="16"/>
      <c r="Z1296" s="16"/>
    </row>
    <row r="1297">
      <c r="A1297" s="16" t="str">
        <f>IFERROR(__xludf.DUMMYFUNCTION("""COMPUTED_VALUE"""),"Wooden Fishing Pole ")</f>
        <v>Wooden Fishing Pole </v>
      </c>
      <c r="B1297" s="16" t="str">
        <f>IFERROR(__xludf.DUMMYFUNCTION("""COMPUTED_VALUE"""),"10/10 uses. Used for fishing.")</f>
        <v>10/10 uses. Used for fishing.</v>
      </c>
      <c r="C1297" s="16" t="str">
        <f>IFERROR(__xludf.DUMMYFUNCTION("""COMPUTED_VALUE"""),"Item")</f>
        <v>Item</v>
      </c>
      <c r="D1297" s="16"/>
      <c r="E1297" s="16"/>
      <c r="F1297" s="16"/>
      <c r="G1297" s="16"/>
      <c r="H1297" s="16"/>
      <c r="I1297" s="16"/>
      <c r="J1297" s="16"/>
      <c r="K1297" s="16"/>
      <c r="L1297" s="16"/>
      <c r="M1297" s="16"/>
      <c r="N1297" s="16"/>
      <c r="O1297" s="16"/>
      <c r="P1297" s="16"/>
      <c r="Q1297" s="16"/>
      <c r="R1297" s="16"/>
      <c r="S1297" s="16"/>
      <c r="T1297" s="16"/>
      <c r="U1297" s="16"/>
      <c r="V1297" s="16"/>
      <c r="W1297" s="16"/>
      <c r="X1297" s="16"/>
      <c r="Y1297" s="16"/>
      <c r="Z1297" s="16"/>
    </row>
    <row r="1298">
      <c r="A1298" s="16" t="str">
        <f>IFERROR(__xludf.DUMMYFUNCTION("""COMPUTED_VALUE"""),"Steel Fishing Pole ")</f>
        <v>Steel Fishing Pole </v>
      </c>
      <c r="B1298" s="16" t="str">
        <f>IFERROR(__xludf.DUMMYFUNCTION("""COMPUTED_VALUE"""),"40/40 Uses. Used for fishing.")</f>
        <v>40/40 Uses. Used for fishing.</v>
      </c>
      <c r="C1298" s="16" t="str">
        <f>IFERROR(__xludf.DUMMYFUNCTION("""COMPUTED_VALUE"""),"Item")</f>
        <v>Item</v>
      </c>
      <c r="D1298" s="16"/>
      <c r="E1298" s="16"/>
      <c r="F1298" s="16"/>
      <c r="G1298" s="16"/>
      <c r="H1298" s="16"/>
      <c r="I1298" s="16"/>
      <c r="J1298" s="16"/>
      <c r="K1298" s="16"/>
      <c r="L1298" s="16"/>
      <c r="M1298" s="16"/>
      <c r="N1298" s="16"/>
      <c r="O1298" s="16"/>
      <c r="P1298" s="16"/>
      <c r="Q1298" s="16"/>
      <c r="R1298" s="16"/>
      <c r="S1298" s="16"/>
      <c r="T1298" s="16"/>
      <c r="U1298" s="16"/>
      <c r="V1298" s="16"/>
      <c r="W1298" s="16"/>
      <c r="X1298" s="16"/>
      <c r="Y1298" s="16"/>
      <c r="Z1298" s="16"/>
    </row>
    <row r="1299">
      <c r="A1299" s="16" t="str">
        <f>IFERROR(__xludf.DUMMYFUNCTION("""COMPUTED_VALUE"""),"Silver Fishing Pole ")</f>
        <v>Silver Fishing Pole </v>
      </c>
      <c r="B1299" s="16" t="str">
        <f>IFERROR(__xludf.DUMMYFUNCTION("""COMPUTED_VALUE"""),"60/60 Uses. Used for fishing.")</f>
        <v>60/60 Uses. Used for fishing.</v>
      </c>
      <c r="C1299" s="16" t="str">
        <f>IFERROR(__xludf.DUMMYFUNCTION("""COMPUTED_VALUE"""),"Item")</f>
        <v>Item</v>
      </c>
      <c r="D1299" s="16"/>
      <c r="E1299" s="16"/>
      <c r="F1299" s="16"/>
      <c r="G1299" s="16"/>
      <c r="H1299" s="16"/>
      <c r="I1299" s="16"/>
      <c r="J1299" s="16"/>
      <c r="K1299" s="16"/>
      <c r="L1299" s="16"/>
      <c r="M1299" s="16"/>
      <c r="N1299" s="16"/>
      <c r="O1299" s="16"/>
      <c r="P1299" s="16"/>
      <c r="Q1299" s="16"/>
      <c r="R1299" s="16"/>
      <c r="S1299" s="16"/>
      <c r="T1299" s="16"/>
      <c r="U1299" s="16"/>
      <c r="V1299" s="16"/>
      <c r="W1299" s="16"/>
      <c r="X1299" s="16"/>
      <c r="Y1299" s="16"/>
      <c r="Z1299" s="16"/>
    </row>
    <row r="1300">
      <c r="A1300" s="16" t="str">
        <f>IFERROR(__xludf.DUMMYFUNCTION("""COMPUTED_VALUE"""),"Iron Fishing Pole ")</f>
        <v>Iron Fishing Pole </v>
      </c>
      <c r="B1300" s="16" t="str">
        <f>IFERROR(__xludf.DUMMYFUNCTION("""COMPUTED_VALUE"""),"20/20 Uses. Used for fishing.")</f>
        <v>20/20 Uses. Used for fishing.</v>
      </c>
      <c r="C1300" s="16" t="str">
        <f>IFERROR(__xludf.DUMMYFUNCTION("""COMPUTED_VALUE"""),"Item")</f>
        <v>Item</v>
      </c>
      <c r="D1300" s="16"/>
      <c r="E1300" s="16"/>
      <c r="F1300" s="16"/>
      <c r="G1300" s="16"/>
      <c r="H1300" s="16"/>
      <c r="I1300" s="16"/>
      <c r="J1300" s="16"/>
      <c r="K1300" s="16"/>
      <c r="L1300" s="16"/>
      <c r="M1300" s="16"/>
      <c r="N1300" s="16"/>
      <c r="O1300" s="16"/>
      <c r="P1300" s="16"/>
      <c r="Q1300" s="16"/>
      <c r="R1300" s="16"/>
      <c r="S1300" s="16"/>
      <c r="T1300" s="16"/>
      <c r="U1300" s="16"/>
      <c r="V1300" s="16"/>
      <c r="W1300" s="16"/>
      <c r="X1300" s="16"/>
      <c r="Y1300" s="16"/>
      <c r="Z1300" s="16"/>
    </row>
    <row r="1301">
      <c r="A1301" s="16" t="str">
        <f>IFERROR(__xludf.DUMMYFUNCTION("""COMPUTED_VALUE"""),"Elemental Crystal")</f>
        <v>Elemental Crystal</v>
      </c>
      <c r="B1301" s="16" t="str">
        <f>IFERROR(__xludf.DUMMYFUNCTION("""COMPUTED_VALUE"""),"Crafting Material, roll a d20 to see how many you get if this is a loot drop.")</f>
        <v>Crafting Material, roll a d20 to see how many you get if this is a loot drop.</v>
      </c>
      <c r="C1301" s="16" t="str">
        <f>IFERROR(__xludf.DUMMYFUNCTION("""COMPUTED_VALUE"""),"Item")</f>
        <v>Item</v>
      </c>
      <c r="D1301" s="16"/>
      <c r="E1301" s="16"/>
      <c r="F1301" s="16"/>
      <c r="G1301" s="16"/>
      <c r="H1301" s="16"/>
      <c r="I1301" s="16"/>
      <c r="J1301" s="16"/>
      <c r="K1301" s="16"/>
      <c r="L1301" s="16"/>
      <c r="M1301" s="16"/>
      <c r="N1301" s="16"/>
      <c r="O1301" s="16"/>
      <c r="P1301" s="16"/>
      <c r="Q1301" s="16"/>
      <c r="R1301" s="16"/>
      <c r="S1301" s="16"/>
      <c r="T1301" s="16"/>
      <c r="U1301" s="16"/>
      <c r="V1301" s="16"/>
      <c r="W1301" s="16"/>
      <c r="X1301" s="16"/>
      <c r="Y1301" s="16"/>
      <c r="Z1301" s="16"/>
    </row>
    <row r="1302">
      <c r="A1302" s="16" t="str">
        <f>IFERROR(__xludf.DUMMYFUNCTION("""COMPUTED_VALUE"""),"Leather")</f>
        <v>Leather</v>
      </c>
      <c r="B1302" s="16" t="str">
        <f>IFERROR(__xludf.DUMMYFUNCTION("""COMPUTED_VALUE"""),"Crafting Material, roll a d20 to see how many you get if this is a loot drop.")</f>
        <v>Crafting Material, roll a d20 to see how many you get if this is a loot drop.</v>
      </c>
      <c r="C1302" s="16" t="str">
        <f>IFERROR(__xludf.DUMMYFUNCTION("""COMPUTED_VALUE"""),"Item")</f>
        <v>Item</v>
      </c>
      <c r="D1302" s="16"/>
      <c r="E1302" s="16"/>
      <c r="F1302" s="16"/>
      <c r="G1302" s="16"/>
      <c r="H1302" s="16"/>
      <c r="I1302" s="16"/>
      <c r="J1302" s="16"/>
      <c r="K1302" s="16"/>
      <c r="L1302" s="16"/>
      <c r="M1302" s="16"/>
      <c r="N1302" s="16"/>
      <c r="O1302" s="16"/>
      <c r="P1302" s="16"/>
      <c r="Q1302" s="16"/>
      <c r="R1302" s="16"/>
      <c r="S1302" s="16"/>
      <c r="T1302" s="16"/>
      <c r="U1302" s="16"/>
      <c r="V1302" s="16"/>
      <c r="W1302" s="16"/>
      <c r="X1302" s="16"/>
      <c r="Y1302" s="16"/>
      <c r="Z1302" s="16"/>
    </row>
    <row r="1303">
      <c r="A1303" s="16" t="str">
        <f>IFERROR(__xludf.DUMMYFUNCTION("""COMPUTED_VALUE"""),"Pearlescent Fishing Rod ")</f>
        <v>Pearlescent Fishing Rod </v>
      </c>
      <c r="B1303" s="16" t="str">
        <f>IFERROR(__xludf.DUMMYFUNCTION("""COMPUTED_VALUE"""),"Allows lava fishing, Unbreakable.")</f>
        <v>Allows lava fishing, Unbreakable.</v>
      </c>
      <c r="C1303" s="16" t="str">
        <f>IFERROR(__xludf.DUMMYFUNCTION("""COMPUTED_VALUE"""),"Item")</f>
        <v>Item</v>
      </c>
      <c r="D1303" s="16"/>
      <c r="E1303" s="16"/>
      <c r="F1303" s="16"/>
      <c r="G1303" s="16"/>
      <c r="H1303" s="16"/>
      <c r="I1303" s="16"/>
      <c r="J1303" s="16"/>
      <c r="K1303" s="16"/>
      <c r="L1303" s="16"/>
      <c r="M1303" s="16"/>
      <c r="N1303" s="16"/>
      <c r="O1303" s="16"/>
      <c r="P1303" s="16"/>
      <c r="Q1303" s="16"/>
      <c r="R1303" s="16"/>
      <c r="S1303" s="16"/>
      <c r="T1303" s="16"/>
      <c r="U1303" s="16"/>
      <c r="V1303" s="16"/>
      <c r="W1303" s="16"/>
      <c r="X1303" s="16"/>
      <c r="Y1303" s="16"/>
      <c r="Z1303" s="16"/>
    </row>
    <row r="1304">
      <c r="A1304" s="16" t="str">
        <f>IFERROR(__xludf.DUMMYFUNCTION("""COMPUTED_VALUE"""),"Mithril")</f>
        <v>Mithril</v>
      </c>
      <c r="B1304" s="16" t="str">
        <f>IFERROR(__xludf.DUMMYFUNCTION("""COMPUTED_VALUE"""),"Crafting Material, roll a d20 to see how many you get if this is a loot drop. A celestial stone holding minor heavenly power.")</f>
        <v>Crafting Material, roll a d20 to see how many you get if this is a loot drop. A celestial stone holding minor heavenly power.</v>
      </c>
      <c r="C1304" s="16" t="str">
        <f>IFERROR(__xludf.DUMMYFUNCTION("""COMPUTED_VALUE"""),"Item")</f>
        <v>Item</v>
      </c>
      <c r="D1304" s="16"/>
      <c r="E1304" s="16"/>
      <c r="F1304" s="16"/>
      <c r="G1304" s="16"/>
      <c r="H1304" s="16"/>
      <c r="I1304" s="16"/>
      <c r="J1304" s="16"/>
      <c r="K1304" s="16"/>
      <c r="L1304" s="16"/>
      <c r="M1304" s="16"/>
      <c r="N1304" s="16"/>
      <c r="O1304" s="16"/>
      <c r="P1304" s="16"/>
      <c r="Q1304" s="16"/>
      <c r="R1304" s="16"/>
      <c r="S1304" s="16"/>
      <c r="T1304" s="16"/>
      <c r="U1304" s="16"/>
      <c r="V1304" s="16"/>
      <c r="W1304" s="16"/>
      <c r="X1304" s="16"/>
      <c r="Y1304" s="16"/>
      <c r="Z1304" s="16"/>
    </row>
    <row r="1305">
      <c r="A1305" s="16" t="str">
        <f>IFERROR(__xludf.DUMMYFUNCTION("""COMPUTED_VALUE"""),"Enchanted Leather")</f>
        <v>Enchanted Leather</v>
      </c>
      <c r="B1305" s="16" t="str">
        <f>IFERROR(__xludf.DUMMYFUNCTION("""COMPUTED_VALUE"""),"Crafting Material, roll a d20 to see how many you get if this is a loot drop.")</f>
        <v>Crafting Material, roll a d20 to see how many you get if this is a loot drop.</v>
      </c>
      <c r="C1305" s="16" t="str">
        <f>IFERROR(__xludf.DUMMYFUNCTION("""COMPUTED_VALUE"""),"Item")</f>
        <v>Item</v>
      </c>
      <c r="D1305" s="16"/>
      <c r="E1305" s="16"/>
      <c r="F1305" s="16"/>
      <c r="G1305" s="16"/>
      <c r="H1305" s="16"/>
      <c r="I1305" s="16"/>
      <c r="J1305" s="16"/>
      <c r="K1305" s="16"/>
      <c r="L1305" s="16"/>
      <c r="M1305" s="16"/>
      <c r="N1305" s="16"/>
      <c r="O1305" s="16"/>
      <c r="P1305" s="16"/>
      <c r="Q1305" s="16"/>
      <c r="R1305" s="16"/>
      <c r="S1305" s="16"/>
      <c r="T1305" s="16"/>
      <c r="U1305" s="16"/>
      <c r="V1305" s="16"/>
      <c r="W1305" s="16"/>
      <c r="X1305" s="16"/>
      <c r="Y1305" s="16"/>
      <c r="Z1305" s="16"/>
    </row>
    <row r="1306">
      <c r="A1306" s="16" t="str">
        <f>IFERROR(__xludf.DUMMYFUNCTION("""COMPUTED_VALUE"""),"Dart")</f>
        <v>Dart</v>
      </c>
      <c r="B1306" s="16" t="str">
        <f>IFERROR(__xludf.DUMMYFUNCTION("""COMPUTED_VALUE"""),"Ammo")</f>
        <v>Ammo</v>
      </c>
      <c r="C1306" s="16" t="str">
        <f>IFERROR(__xludf.DUMMYFUNCTION("""COMPUTED_VALUE"""),"Item")</f>
        <v>Item</v>
      </c>
      <c r="D1306" s="16"/>
      <c r="E1306" s="16"/>
      <c r="F1306" s="16"/>
      <c r="G1306" s="16"/>
      <c r="H1306" s="16"/>
      <c r="I1306" s="16"/>
      <c r="J1306" s="16"/>
      <c r="K1306" s="16"/>
      <c r="L1306" s="16"/>
      <c r="M1306" s="16"/>
      <c r="N1306" s="16"/>
      <c r="O1306" s="16"/>
      <c r="P1306" s="16"/>
      <c r="Q1306" s="16"/>
      <c r="R1306" s="16"/>
      <c r="S1306" s="16"/>
      <c r="T1306" s="16"/>
      <c r="U1306" s="16"/>
      <c r="V1306" s="16"/>
      <c r="W1306" s="16"/>
      <c r="X1306" s="16"/>
      <c r="Y1306" s="16"/>
      <c r="Z1306" s="16"/>
    </row>
    <row r="1307">
      <c r="A1307" s="16" t="str">
        <f>IFERROR(__xludf.DUMMYFUNCTION("""COMPUTED_VALUE"""),"Golden Coin")</f>
        <v>Golden Coin</v>
      </c>
      <c r="B1307" s="16" t="str">
        <f>IFERROR(__xludf.DUMMYFUNCTION("""COMPUTED_VALUE"""),"Flip: If heads 11-20 gain +5 Wisdom and Evasion until the end of battle. If tails 1-10 Half evasion and Wisdom. This item can only be used once per Battle/RP action. Cannot be duplicated.")</f>
        <v>Flip: If heads 11-20 gain +5 Wisdom and Evasion until the end of battle. If tails 1-10 Half evasion and Wisdom. This item can only be used once per Battle/RP action. Cannot be duplicated.</v>
      </c>
      <c r="C1307" s="16" t="str">
        <f>IFERROR(__xludf.DUMMYFUNCTION("""COMPUTED_VALUE"""),"Item")</f>
        <v>Item</v>
      </c>
      <c r="D1307" s="16"/>
      <c r="E1307" s="16"/>
      <c r="F1307" s="16"/>
      <c r="G1307" s="16"/>
      <c r="H1307" s="16"/>
      <c r="I1307" s="16"/>
      <c r="J1307" s="16"/>
      <c r="K1307" s="16"/>
      <c r="L1307" s="16"/>
      <c r="M1307" s="16"/>
      <c r="N1307" s="16"/>
      <c r="O1307" s="16"/>
      <c r="P1307" s="16"/>
      <c r="Q1307" s="16"/>
      <c r="R1307" s="16"/>
      <c r="S1307" s="16"/>
      <c r="T1307" s="16"/>
      <c r="U1307" s="16"/>
      <c r="V1307" s="16"/>
      <c r="W1307" s="16"/>
      <c r="X1307" s="16"/>
      <c r="Y1307" s="16"/>
      <c r="Z1307" s="16"/>
    </row>
    <row r="1308">
      <c r="A1308" s="16" t="str">
        <f>IFERROR(__xludf.DUMMYFUNCTION("""COMPUTED_VALUE"""),"Oil lamp")</f>
        <v>Oil lamp</v>
      </c>
      <c r="B1308" s="16" t="str">
        <f>IFERROR(__xludf.DUMMYFUNCTION("""COMPUTED_VALUE"""),"Illuminates your path or any room your in")</f>
        <v>Illuminates your path or any room your in</v>
      </c>
      <c r="C1308" s="16" t="str">
        <f>IFERROR(__xludf.DUMMYFUNCTION("""COMPUTED_VALUE"""),"Item")</f>
        <v>Item</v>
      </c>
      <c r="D1308" s="16"/>
      <c r="E1308" s="16"/>
      <c r="F1308" s="16"/>
      <c r="G1308" s="16"/>
      <c r="H1308" s="16"/>
      <c r="I1308" s="16"/>
      <c r="J1308" s="16"/>
      <c r="K1308" s="16"/>
      <c r="L1308" s="16"/>
      <c r="M1308" s="16"/>
      <c r="N1308" s="16"/>
      <c r="O1308" s="16"/>
      <c r="P1308" s="16"/>
      <c r="Q1308" s="16"/>
      <c r="R1308" s="16"/>
      <c r="S1308" s="16"/>
      <c r="T1308" s="16"/>
      <c r="U1308" s="16"/>
      <c r="V1308" s="16"/>
      <c r="W1308" s="16"/>
      <c r="X1308" s="16"/>
      <c r="Y1308" s="16"/>
      <c r="Z1308" s="16"/>
    </row>
    <row r="1309">
      <c r="A1309" s="16" t="str">
        <f>IFERROR(__xludf.DUMMYFUNCTION("""COMPUTED_VALUE"""),"Seed")</f>
        <v>Seed</v>
      </c>
      <c r="B1309" s="16" t="str">
        <f>IFERROR(__xludf.DUMMYFUNCTION("""COMPUTED_VALUE"""),"Can harvest in X/X days.")</f>
        <v>Can harvest in X/X days.</v>
      </c>
      <c r="C1309" s="16" t="str">
        <f>IFERROR(__xludf.DUMMYFUNCTION("""COMPUTED_VALUE"""),"Item")</f>
        <v>Item</v>
      </c>
      <c r="D1309" s="16"/>
      <c r="E1309" s="16"/>
      <c r="F1309" s="16"/>
      <c r="G1309" s="16"/>
      <c r="H1309" s="16"/>
      <c r="I1309" s="16"/>
      <c r="J1309" s="16"/>
      <c r="K1309" s="16"/>
      <c r="L1309" s="16"/>
      <c r="M1309" s="16"/>
      <c r="N1309" s="16"/>
      <c r="O1309" s="16"/>
      <c r="P1309" s="16"/>
      <c r="Q1309" s="16"/>
      <c r="R1309" s="16"/>
      <c r="S1309" s="16"/>
      <c r="T1309" s="16"/>
      <c r="U1309" s="16"/>
      <c r="V1309" s="16"/>
      <c r="W1309" s="16"/>
      <c r="X1309" s="16"/>
      <c r="Y1309" s="16"/>
      <c r="Z1309" s="16"/>
    </row>
    <row r="1310">
      <c r="A1310" s="16" t="str">
        <f>IFERROR(__xludf.DUMMYFUNCTION("""COMPUTED_VALUE"""),"Potion of Cure Disease")</f>
        <v>Potion of Cure Disease</v>
      </c>
      <c r="B1310" s="16" t="str">
        <f>IFERROR(__xludf.DUMMYFUNCTION("""COMPUTED_VALUE"""),"Disease Antidote.")</f>
        <v>Disease Antidote.</v>
      </c>
      <c r="C1310" s="16" t="str">
        <f>IFERROR(__xludf.DUMMYFUNCTION("""COMPUTED_VALUE"""),"Item")</f>
        <v>Item</v>
      </c>
      <c r="D1310" s="16"/>
      <c r="E1310" s="16"/>
      <c r="F1310" s="16"/>
      <c r="G1310" s="16"/>
      <c r="H1310" s="16"/>
      <c r="I1310" s="16"/>
      <c r="J1310" s="16"/>
      <c r="K1310" s="16"/>
      <c r="L1310" s="16"/>
      <c r="M1310" s="16"/>
      <c r="N1310" s="16"/>
      <c r="O1310" s="16"/>
      <c r="P1310" s="16"/>
      <c r="Q1310" s="16"/>
      <c r="R1310" s="16"/>
      <c r="S1310" s="16"/>
      <c r="T1310" s="16"/>
      <c r="U1310" s="16"/>
      <c r="V1310" s="16"/>
      <c r="W1310" s="16"/>
      <c r="X1310" s="16"/>
      <c r="Y1310" s="16"/>
      <c r="Z1310" s="16"/>
    </row>
    <row r="1311">
      <c r="A1311" s="16" t="str">
        <f>IFERROR(__xludf.DUMMYFUNCTION("""COMPUTED_VALUE"""),"Poison Vial")</f>
        <v>Poison Vial</v>
      </c>
      <c r="B1311" s="16" t="str">
        <f>IFERROR(__xludf.DUMMYFUNCTION("""COMPUTED_VALUE"""),"Using this will make all your weapon or natural attacks inflict an enemy with Poison 500 for 3 rounds.")</f>
        <v>Using this will make all your weapon or natural attacks inflict an enemy with Poison 500 for 3 rounds.</v>
      </c>
      <c r="C1311" s="16" t="str">
        <f>IFERROR(__xludf.DUMMYFUNCTION("""COMPUTED_VALUE"""),"Item")</f>
        <v>Item</v>
      </c>
      <c r="D1311" s="16"/>
      <c r="E1311" s="16"/>
      <c r="F1311" s="16"/>
      <c r="G1311" s="16"/>
      <c r="H1311" s="16"/>
      <c r="I1311" s="16"/>
      <c r="J1311" s="16"/>
      <c r="K1311" s="16"/>
      <c r="L1311" s="16"/>
      <c r="M1311" s="16"/>
      <c r="N1311" s="16"/>
      <c r="O1311" s="16"/>
      <c r="P1311" s="16"/>
      <c r="Q1311" s="16"/>
      <c r="R1311" s="16"/>
      <c r="S1311" s="16"/>
      <c r="T1311" s="16"/>
      <c r="U1311" s="16"/>
      <c r="V1311" s="16"/>
      <c r="W1311" s="16"/>
      <c r="X1311" s="16"/>
      <c r="Y1311" s="16"/>
      <c r="Z1311" s="16"/>
    </row>
    <row r="1312">
      <c r="A1312" s="16" t="str">
        <f>IFERROR(__xludf.DUMMYFUNCTION("""COMPUTED_VALUE"""),"Stag Meat")</f>
        <v>Stag Meat</v>
      </c>
      <c r="B1312" s="16" t="str">
        <f>IFERROR(__xludf.DUMMYFUNCTION("""COMPUTED_VALUE"""),"Restores 20 hunger")</f>
        <v>Restores 20 hunger</v>
      </c>
      <c r="C1312" s="16" t="str">
        <f>IFERROR(__xludf.DUMMYFUNCTION("""COMPUTED_VALUE"""),"Crop")</f>
        <v>Crop</v>
      </c>
      <c r="D1312" s="16"/>
      <c r="E1312" s="16"/>
      <c r="F1312" s="16"/>
      <c r="G1312" s="16"/>
      <c r="H1312" s="16"/>
      <c r="I1312" s="16"/>
      <c r="J1312" s="16"/>
      <c r="K1312" s="16"/>
      <c r="L1312" s="16"/>
      <c r="M1312" s="16"/>
      <c r="N1312" s="16"/>
      <c r="O1312" s="16"/>
      <c r="P1312" s="16"/>
      <c r="Q1312" s="16"/>
      <c r="R1312" s="16"/>
      <c r="S1312" s="16"/>
      <c r="T1312" s="16"/>
      <c r="U1312" s="16"/>
      <c r="V1312" s="16"/>
      <c r="W1312" s="16"/>
      <c r="X1312" s="16"/>
      <c r="Y1312" s="16"/>
      <c r="Z1312" s="16"/>
    </row>
    <row r="1313">
      <c r="A1313" s="16" t="str">
        <f>IFERROR(__xludf.DUMMYFUNCTION("""COMPUTED_VALUE"""),"Steed Meat")</f>
        <v>Steed Meat</v>
      </c>
      <c r="B1313" s="16" t="str">
        <f>IFERROR(__xludf.DUMMYFUNCTION("""COMPUTED_VALUE"""),"Restores 20 hunger")</f>
        <v>Restores 20 hunger</v>
      </c>
      <c r="C1313" s="16" t="str">
        <f>IFERROR(__xludf.DUMMYFUNCTION("""COMPUTED_VALUE"""),"Crop")</f>
        <v>Crop</v>
      </c>
      <c r="D1313" s="16"/>
      <c r="E1313" s="16"/>
      <c r="F1313" s="16"/>
      <c r="G1313" s="16"/>
      <c r="H1313" s="16"/>
      <c r="I1313" s="16"/>
      <c r="J1313" s="16"/>
      <c r="K1313" s="16"/>
      <c r="L1313" s="16"/>
      <c r="M1313" s="16"/>
      <c r="N1313" s="16"/>
      <c r="O1313" s="16"/>
      <c r="P1313" s="16"/>
      <c r="Q1313" s="16"/>
      <c r="R1313" s="16"/>
      <c r="S1313" s="16"/>
      <c r="T1313" s="16"/>
      <c r="U1313" s="16"/>
      <c r="V1313" s="16"/>
      <c r="W1313" s="16"/>
      <c r="X1313" s="16"/>
      <c r="Y1313" s="16"/>
      <c r="Z1313" s="16"/>
    </row>
    <row r="1314">
      <c r="A1314" s="16" t="str">
        <f>IFERROR(__xludf.DUMMYFUNCTION("""COMPUTED_VALUE"""),"Moonstone")</f>
        <v>Moonstone</v>
      </c>
      <c r="B1314" s="16" t="str">
        <f>IFERROR(__xludf.DUMMYFUNCTION("""COMPUTED_VALUE"""),"Crafting Material, roll a d20 to see how many you get if this is a loot drop.")</f>
        <v>Crafting Material, roll a d20 to see how many you get if this is a loot drop.</v>
      </c>
      <c r="C1314" s="16" t="str">
        <f>IFERROR(__xludf.DUMMYFUNCTION("""COMPUTED_VALUE"""),"Item")</f>
        <v>Item</v>
      </c>
      <c r="D1314" s="16"/>
      <c r="E1314" s="16"/>
      <c r="F1314" s="16"/>
      <c r="G1314" s="16"/>
      <c r="H1314" s="16"/>
      <c r="I1314" s="16"/>
      <c r="J1314" s="16"/>
      <c r="K1314" s="16"/>
      <c r="L1314" s="16"/>
      <c r="M1314" s="16"/>
      <c r="N1314" s="16"/>
      <c r="O1314" s="16"/>
      <c r="P1314" s="16"/>
      <c r="Q1314" s="16"/>
      <c r="R1314" s="16"/>
      <c r="S1314" s="16"/>
      <c r="T1314" s="16"/>
      <c r="U1314" s="16"/>
      <c r="V1314" s="16"/>
      <c r="W1314" s="16"/>
      <c r="X1314" s="16"/>
      <c r="Y1314" s="16"/>
      <c r="Z1314" s="16"/>
    </row>
    <row r="1315">
      <c r="A1315" s="16" t="str">
        <f>IFERROR(__xludf.DUMMYFUNCTION("""COMPUTED_VALUE"""),"Sunstone")</f>
        <v>Sunstone</v>
      </c>
      <c r="B1315" s="16" t="str">
        <f>IFERROR(__xludf.DUMMYFUNCTION("""COMPUTED_VALUE"""),"Crafting Material, roll a d20 to see how many you get if this is a loot drop.")</f>
        <v>Crafting Material, roll a d20 to see how many you get if this is a loot drop.</v>
      </c>
      <c r="C1315" s="16" t="str">
        <f>IFERROR(__xludf.DUMMYFUNCTION("""COMPUTED_VALUE"""),"Item")</f>
        <v>Item</v>
      </c>
      <c r="D1315" s="16"/>
      <c r="E1315" s="16"/>
      <c r="F1315" s="16"/>
      <c r="G1315" s="16"/>
      <c r="H1315" s="16"/>
      <c r="I1315" s="16"/>
      <c r="J1315" s="16"/>
      <c r="K1315" s="16"/>
      <c r="L1315" s="16"/>
      <c r="M1315" s="16"/>
      <c r="N1315" s="16"/>
      <c r="O1315" s="16"/>
      <c r="P1315" s="16"/>
      <c r="Q1315" s="16"/>
      <c r="R1315" s="16"/>
      <c r="S1315" s="16"/>
      <c r="T1315" s="16"/>
      <c r="U1315" s="16"/>
      <c r="V1315" s="16"/>
      <c r="W1315" s="16"/>
      <c r="X1315" s="16"/>
      <c r="Y1315" s="16"/>
      <c r="Z1315" s="16"/>
    </row>
    <row r="1316">
      <c r="A1316" s="16" t="str">
        <f>IFERROR(__xludf.DUMMYFUNCTION("""COMPUTED_VALUE"""),"Tier 1 Treasure Chest (Non-Magical)")</f>
        <v>Tier 1 Treasure Chest (Non-Magical)</v>
      </c>
      <c r="B1316" s="16" t="str">
        <f>IFERROR(__xludf.DUMMYFUNCTION("""COMPUTED_VALUE"""),"Requires a Treasure Chest key to open")</f>
        <v>Requires a Treasure Chest key to open</v>
      </c>
      <c r="C1316" s="16" t="str">
        <f>IFERROR(__xludf.DUMMYFUNCTION("""COMPUTED_VALUE"""),"Item")</f>
        <v>Item</v>
      </c>
      <c r="D1316" s="16"/>
      <c r="E1316" s="16"/>
      <c r="F1316" s="16"/>
      <c r="G1316" s="16"/>
      <c r="H1316" s="16"/>
      <c r="I1316" s="16"/>
      <c r="J1316" s="16"/>
      <c r="K1316" s="16"/>
      <c r="L1316" s="16"/>
      <c r="M1316" s="16"/>
      <c r="N1316" s="16"/>
      <c r="O1316" s="16"/>
      <c r="P1316" s="16"/>
      <c r="Q1316" s="16"/>
      <c r="R1316" s="16"/>
      <c r="S1316" s="16"/>
      <c r="T1316" s="16"/>
      <c r="U1316" s="16"/>
      <c r="V1316" s="16"/>
      <c r="W1316" s="16"/>
      <c r="X1316" s="16"/>
      <c r="Y1316" s="16"/>
      <c r="Z1316" s="16"/>
    </row>
    <row r="1317">
      <c r="A1317" s="16" t="str">
        <f>IFERROR(__xludf.DUMMYFUNCTION("""COMPUTED_VALUE"""),"Tier 2 Treasure Chest (Non-Magical)")</f>
        <v>Tier 2 Treasure Chest (Non-Magical)</v>
      </c>
      <c r="B1317" s="16" t="str">
        <f>IFERROR(__xludf.DUMMYFUNCTION("""COMPUTED_VALUE"""),"Requires a Treasure Chest key to open")</f>
        <v>Requires a Treasure Chest key to open</v>
      </c>
      <c r="C1317" s="16" t="str">
        <f>IFERROR(__xludf.DUMMYFUNCTION("""COMPUTED_VALUE"""),"Item")</f>
        <v>Item</v>
      </c>
      <c r="D1317" s="16"/>
      <c r="E1317" s="16"/>
      <c r="F1317" s="16"/>
      <c r="G1317" s="16"/>
      <c r="H1317" s="16"/>
      <c r="I1317" s="16"/>
      <c r="J1317" s="16"/>
      <c r="K1317" s="16"/>
      <c r="L1317" s="16"/>
      <c r="M1317" s="16"/>
      <c r="N1317" s="16"/>
      <c r="O1317" s="16"/>
      <c r="P1317" s="16"/>
      <c r="Q1317" s="16"/>
      <c r="R1317" s="16"/>
      <c r="S1317" s="16"/>
      <c r="T1317" s="16"/>
      <c r="U1317" s="16"/>
      <c r="V1317" s="16"/>
      <c r="W1317" s="16"/>
      <c r="X1317" s="16"/>
      <c r="Y1317" s="16"/>
      <c r="Z1317" s="16"/>
    </row>
    <row r="1318">
      <c r="A1318" s="16" t="str">
        <f>IFERROR(__xludf.DUMMYFUNCTION("""COMPUTED_VALUE"""),"Tier 3 Treasure Chest (Non-Magical)")</f>
        <v>Tier 3 Treasure Chest (Non-Magical)</v>
      </c>
      <c r="B1318" s="16" t="str">
        <f>IFERROR(__xludf.DUMMYFUNCTION("""COMPUTED_VALUE"""),"Requires a Treasure Chest key to open")</f>
        <v>Requires a Treasure Chest key to open</v>
      </c>
      <c r="C1318" s="16" t="str">
        <f>IFERROR(__xludf.DUMMYFUNCTION("""COMPUTED_VALUE"""),"Item")</f>
        <v>Item</v>
      </c>
      <c r="D1318" s="16"/>
      <c r="E1318" s="16"/>
      <c r="F1318" s="16"/>
      <c r="G1318" s="16"/>
      <c r="H1318" s="16"/>
      <c r="I1318" s="16"/>
      <c r="J1318" s="16"/>
      <c r="K1318" s="16"/>
      <c r="L1318" s="16"/>
      <c r="M1318" s="16"/>
      <c r="N1318" s="16"/>
      <c r="O1318" s="16"/>
      <c r="P1318" s="16"/>
      <c r="Q1318" s="16"/>
      <c r="R1318" s="16"/>
      <c r="S1318" s="16"/>
      <c r="T1318" s="16"/>
      <c r="U1318" s="16"/>
      <c r="V1318" s="16"/>
      <c r="W1318" s="16"/>
      <c r="X1318" s="16"/>
      <c r="Y1318" s="16"/>
      <c r="Z1318" s="16"/>
    </row>
    <row r="1319">
      <c r="A1319" s="16" t="str">
        <f>IFERROR(__xludf.DUMMYFUNCTION("""COMPUTED_VALUE"""),"Treasure Chest Key (Non-Magical)")</f>
        <v>Treasure Chest Key (Non-Magical)</v>
      </c>
      <c r="B1319" s="16" t="str">
        <f>IFERROR(__xludf.DUMMYFUNCTION("""COMPUTED_VALUE"""),"Unlocks Tier 1-3 Treasure Chests.")</f>
        <v>Unlocks Tier 1-3 Treasure Chests.</v>
      </c>
      <c r="C1319" s="16" t="str">
        <f>IFERROR(__xludf.DUMMYFUNCTION("""COMPUTED_VALUE"""),"Item")</f>
        <v>Item</v>
      </c>
      <c r="D1319" s="16"/>
      <c r="E1319" s="16"/>
      <c r="F1319" s="16"/>
      <c r="G1319" s="16"/>
      <c r="H1319" s="16"/>
      <c r="I1319" s="16"/>
      <c r="J1319" s="16"/>
      <c r="K1319" s="16"/>
      <c r="L1319" s="16"/>
      <c r="M1319" s="16"/>
      <c r="N1319" s="16"/>
      <c r="O1319" s="16"/>
      <c r="P1319" s="16"/>
      <c r="Q1319" s="16"/>
      <c r="R1319" s="16"/>
      <c r="S1319" s="16"/>
      <c r="T1319" s="16"/>
      <c r="U1319" s="16"/>
      <c r="V1319" s="16"/>
      <c r="W1319" s="16"/>
      <c r="X1319" s="16"/>
      <c r="Y1319" s="16"/>
      <c r="Z1319" s="16"/>
    </row>
    <row r="1320">
      <c r="A1320" s="16" t="str">
        <f>IFERROR(__xludf.DUMMYFUNCTION("""COMPUTED_VALUE"""),"Random Dragon Egg")</f>
        <v>Random Dragon Egg</v>
      </c>
      <c r="B1320" s="16" t="str">
        <f>IFERROR(__xludf.DUMMYFUNCTION("""COMPUTED_VALUE"""),"determined by DM/GM")</f>
        <v>determined by DM/GM</v>
      </c>
      <c r="C1320" s="16" t="str">
        <f>IFERROR(__xludf.DUMMYFUNCTION("""COMPUTED_VALUE"""),"Item")</f>
        <v>Item</v>
      </c>
      <c r="D1320" s="16"/>
      <c r="E1320" s="16"/>
      <c r="F1320" s="16"/>
      <c r="G1320" s="16"/>
      <c r="H1320" s="16"/>
      <c r="I1320" s="16"/>
      <c r="J1320" s="16"/>
      <c r="K1320" s="16"/>
      <c r="L1320" s="16"/>
      <c r="M1320" s="16"/>
      <c r="N1320" s="16"/>
      <c r="O1320" s="16"/>
      <c r="P1320" s="16"/>
      <c r="Q1320" s="16"/>
      <c r="R1320" s="16"/>
      <c r="S1320" s="16"/>
      <c r="T1320" s="16"/>
      <c r="U1320" s="16"/>
      <c r="V1320" s="16"/>
      <c r="W1320" s="16"/>
      <c r="X1320" s="16"/>
      <c r="Y1320" s="16"/>
      <c r="Z1320" s="16"/>
    </row>
    <row r="1321">
      <c r="A1321" s="16" t="str">
        <f>IFERROR(__xludf.DUMMYFUNCTION("""COMPUTED_VALUE"""),"Poisoned Bolts")</f>
        <v>Poisoned Bolts</v>
      </c>
      <c r="B1321" s="16" t="str">
        <f>IFERROR(__xludf.DUMMYFUNCTION("""COMPUTED_VALUE"""),"+5000 poison damage per round for 3 rounds")</f>
        <v>+5000 poison damage per round for 3 rounds</v>
      </c>
      <c r="C1321" s="16" t="str">
        <f>IFERROR(__xludf.DUMMYFUNCTION("""COMPUTED_VALUE"""),"Item")</f>
        <v>Item</v>
      </c>
      <c r="D1321" s="16"/>
      <c r="E1321" s="16"/>
      <c r="F1321" s="16"/>
      <c r="G1321" s="16"/>
      <c r="H1321" s="16"/>
      <c r="I1321" s="16"/>
      <c r="J1321" s="16"/>
      <c r="K1321" s="16"/>
      <c r="L1321" s="16"/>
      <c r="M1321" s="16"/>
      <c r="N1321" s="16"/>
      <c r="O1321" s="16"/>
      <c r="P1321" s="16"/>
      <c r="Q1321" s="16"/>
      <c r="R1321" s="16"/>
      <c r="S1321" s="16"/>
      <c r="T1321" s="16"/>
      <c r="U1321" s="16"/>
      <c r="V1321" s="16"/>
      <c r="W1321" s="16"/>
      <c r="X1321" s="16"/>
      <c r="Y1321" s="16"/>
      <c r="Z1321" s="16"/>
    </row>
    <row r="1322">
      <c r="A1322" s="16" t="str">
        <f>IFERROR(__xludf.DUMMYFUNCTION("""COMPUTED_VALUE"""),"Standard Missile")</f>
        <v>Standard Missile</v>
      </c>
      <c r="B1322" s="16" t="str">
        <f>IFERROR(__xludf.DUMMYFUNCTION("""COMPUTED_VALUE"""),"Missile Turret Ammunition.+50,000 Damage. +50,000 Fire Damage. roll a d5 to see how many you get if this is a loot drop.")</f>
        <v>Missile Turret Ammunition.+50,000 Damage. +50,000 Fire Damage. roll a d5 to see how many you get if this is a loot drop.</v>
      </c>
      <c r="C1322" s="16" t="str">
        <f>IFERROR(__xludf.DUMMYFUNCTION("""COMPUTED_VALUE"""),"Item")</f>
        <v>Item</v>
      </c>
      <c r="D1322" s="16"/>
      <c r="E1322" s="16"/>
      <c r="F1322" s="16"/>
      <c r="G1322" s="16"/>
      <c r="H1322" s="16"/>
      <c r="I1322" s="16"/>
      <c r="J1322" s="16"/>
      <c r="K1322" s="16"/>
      <c r="L1322" s="16"/>
      <c r="M1322" s="16"/>
      <c r="N1322" s="16"/>
      <c r="O1322" s="16"/>
      <c r="P1322" s="16"/>
      <c r="Q1322" s="16"/>
      <c r="R1322" s="16"/>
      <c r="S1322" s="16"/>
      <c r="T1322" s="16"/>
      <c r="U1322" s="16"/>
      <c r="V1322" s="16"/>
      <c r="W1322" s="16"/>
      <c r="X1322" s="16"/>
      <c r="Y1322" s="16"/>
      <c r="Z1322" s="16"/>
    </row>
    <row r="1323">
      <c r="A1323" s="16" t="str">
        <f>IFERROR(__xludf.DUMMYFUNCTION("""COMPUTED_VALUE"""),"Nuclear Missile")</f>
        <v>Nuclear Missile</v>
      </c>
      <c r="B1323" s="16" t="str">
        <f>IFERROR(__xludf.DUMMYFUNCTION("""COMPUTED_VALUE"""),"Missile Turret Ammunition.+100,000 Damage. +100,000 Fire Damage. +Burn 10,000. +Poison 10,000. roll a d5 to see how many you get if this is a loot drop.")</f>
        <v>Missile Turret Ammunition.+100,000 Damage. +100,000 Fire Damage. +Burn 10,000. +Poison 10,000. roll a d5 to see how many you get if this is a loot drop.</v>
      </c>
      <c r="C1323" s="16" t="str">
        <f>IFERROR(__xludf.DUMMYFUNCTION("""COMPUTED_VALUE"""),"Item")</f>
        <v>Item</v>
      </c>
      <c r="D1323" s="16"/>
      <c r="E1323" s="16"/>
      <c r="F1323" s="16"/>
      <c r="G1323" s="16"/>
      <c r="H1323" s="16"/>
      <c r="I1323" s="16"/>
      <c r="J1323" s="16"/>
      <c r="K1323" s="16"/>
      <c r="L1323" s="16"/>
      <c r="M1323" s="16"/>
      <c r="N1323" s="16"/>
      <c r="O1323" s="16"/>
      <c r="P1323" s="16"/>
      <c r="Q1323" s="16"/>
      <c r="R1323" s="16"/>
      <c r="S1323" s="16"/>
      <c r="T1323" s="16"/>
      <c r="U1323" s="16"/>
      <c r="V1323" s="16"/>
      <c r="W1323" s="16"/>
      <c r="X1323" s="16"/>
      <c r="Y1323" s="16"/>
      <c r="Z1323" s="16"/>
    </row>
    <row r="1324">
      <c r="A1324" s="16" t="str">
        <f>IFERROR(__xludf.DUMMYFUNCTION("""COMPUTED_VALUE"""),"EMP Missile")</f>
        <v>EMP Missile</v>
      </c>
      <c r="B1324" s="16" t="str">
        <f>IFERROR(__xludf.DUMMYFUNCTION("""COMPUTED_VALUE"""),"Missile Turret Ammunition. +50,000 Damage. +50,000 Storm Damage. +25% chance the target(s) losses it's next turn. roll a d5 to see how many you get if this is a loot drop.")</f>
        <v>Missile Turret Ammunition. +50,000 Damage. +50,000 Storm Damage. +25% chance the target(s) losses it's next turn. roll a d5 to see how many you get if this is a loot drop.</v>
      </c>
      <c r="C1324" s="16" t="str">
        <f>IFERROR(__xludf.DUMMYFUNCTION("""COMPUTED_VALUE"""),"Item")</f>
        <v>Item</v>
      </c>
      <c r="D1324" s="16"/>
      <c r="E1324" s="16"/>
      <c r="F1324" s="16"/>
      <c r="G1324" s="16"/>
      <c r="H1324" s="16"/>
      <c r="I1324" s="16"/>
      <c r="J1324" s="16"/>
      <c r="K1324" s="16"/>
      <c r="L1324" s="16"/>
      <c r="M1324" s="16"/>
      <c r="N1324" s="16"/>
      <c r="O1324" s="16"/>
      <c r="P1324" s="16"/>
      <c r="Q1324" s="16"/>
      <c r="R1324" s="16"/>
      <c r="S1324" s="16"/>
      <c r="T1324" s="16"/>
      <c r="U1324" s="16"/>
      <c r="V1324" s="16"/>
      <c r="W1324" s="16"/>
      <c r="X1324" s="16"/>
      <c r="Y1324" s="16"/>
      <c r="Z1324" s="16"/>
    </row>
    <row r="1325">
      <c r="A1325" s="16" t="str">
        <f>IFERROR(__xludf.DUMMYFUNCTION("""COMPUTED_VALUE"""),"Chaos Bullet")</f>
        <v>Chaos Bullet</v>
      </c>
      <c r="B1325" s="16" t="str">
        <f>IFERROR(__xludf.DUMMYFUNCTION("""COMPUTED_VALUE"""),"Firearm Ammunition. +100 chaos damage. roll a d20 to see how many you get if this is a loot drop.")</f>
        <v>Firearm Ammunition. +100 chaos damage. roll a d20 to see how many you get if this is a loot drop.</v>
      </c>
      <c r="C1325" s="16" t="str">
        <f>IFERROR(__xludf.DUMMYFUNCTION("""COMPUTED_VALUE"""),"Item")</f>
        <v>Item</v>
      </c>
      <c r="D1325" s="16"/>
      <c r="E1325" s="16"/>
      <c r="F1325" s="16"/>
      <c r="G1325" s="16"/>
      <c r="H1325" s="16"/>
      <c r="I1325" s="16"/>
      <c r="J1325" s="16"/>
      <c r="K1325" s="16"/>
      <c r="L1325" s="16"/>
      <c r="M1325" s="16"/>
      <c r="N1325" s="16"/>
      <c r="O1325" s="16"/>
      <c r="P1325" s="16"/>
      <c r="Q1325" s="16"/>
      <c r="R1325" s="16"/>
      <c r="S1325" s="16"/>
      <c r="T1325" s="16"/>
      <c r="U1325" s="16"/>
      <c r="V1325" s="16"/>
      <c r="W1325" s="16"/>
      <c r="X1325" s="16"/>
      <c r="Y1325" s="16"/>
      <c r="Z1325" s="16"/>
    </row>
    <row r="1326">
      <c r="A1326" s="16" t="str">
        <f>IFERROR(__xludf.DUMMYFUNCTION("""COMPUTED_VALUE"""),"Dark Bullet")</f>
        <v>Dark Bullet</v>
      </c>
      <c r="B1326" s="16" t="str">
        <f>IFERROR(__xludf.DUMMYFUNCTION("""COMPUTED_VALUE"""),"Firearm Ammunition. +100 dark damage. roll a d20 to see how many you get if this is a loot drop.")</f>
        <v>Firearm Ammunition. +100 dark damage. roll a d20 to see how many you get if this is a loot drop.</v>
      </c>
      <c r="C1326" s="16" t="str">
        <f>IFERROR(__xludf.DUMMYFUNCTION("""COMPUTED_VALUE"""),"Item")</f>
        <v>Item</v>
      </c>
      <c r="D1326" s="16"/>
      <c r="E1326" s="16"/>
      <c r="F1326" s="16"/>
      <c r="G1326" s="16"/>
      <c r="H1326" s="16"/>
      <c r="I1326" s="16"/>
      <c r="J1326" s="16"/>
      <c r="K1326" s="16"/>
      <c r="L1326" s="16"/>
      <c r="M1326" s="16"/>
      <c r="N1326" s="16"/>
      <c r="O1326" s="16"/>
      <c r="P1326" s="16"/>
      <c r="Q1326" s="16"/>
      <c r="R1326" s="16"/>
      <c r="S1326" s="16"/>
      <c r="T1326" s="16"/>
      <c r="U1326" s="16"/>
      <c r="V1326" s="16"/>
      <c r="W1326" s="16"/>
      <c r="X1326" s="16"/>
      <c r="Y1326" s="16"/>
      <c r="Z1326" s="16"/>
    </row>
    <row r="1327">
      <c r="A1327" s="16" t="str">
        <f>IFERROR(__xludf.DUMMYFUNCTION("""COMPUTED_VALUE"""),"Earth Bullet")</f>
        <v>Earth Bullet</v>
      </c>
      <c r="B1327" s="16" t="str">
        <f>IFERROR(__xludf.DUMMYFUNCTION("""COMPUTED_VALUE"""),"Firearm Ammunition. +100 earth damage. roll a d20 to see how many you get if this is a loot drop.")</f>
        <v>Firearm Ammunition. +100 earth damage. roll a d20 to see how many you get if this is a loot drop.</v>
      </c>
      <c r="C1327" s="16" t="str">
        <f>IFERROR(__xludf.DUMMYFUNCTION("""COMPUTED_VALUE"""),"Item")</f>
        <v>Item</v>
      </c>
      <c r="D1327" s="16"/>
      <c r="E1327" s="16"/>
      <c r="F1327" s="16"/>
      <c r="G1327" s="16"/>
      <c r="H1327" s="16"/>
      <c r="I1327" s="16"/>
      <c r="J1327" s="16"/>
      <c r="K1327" s="16"/>
      <c r="L1327" s="16"/>
      <c r="M1327" s="16"/>
      <c r="N1327" s="16"/>
      <c r="O1327" s="16"/>
      <c r="P1327" s="16"/>
      <c r="Q1327" s="16"/>
      <c r="R1327" s="16"/>
      <c r="S1327" s="16"/>
      <c r="T1327" s="16"/>
      <c r="U1327" s="16"/>
      <c r="V1327" s="16"/>
      <c r="W1327" s="16"/>
      <c r="X1327" s="16"/>
      <c r="Y1327" s="16"/>
      <c r="Z1327" s="16"/>
    </row>
    <row r="1328">
      <c r="A1328" s="16" t="str">
        <f>IFERROR(__xludf.DUMMYFUNCTION("""COMPUTED_VALUE"""),"Fire Bullet")</f>
        <v>Fire Bullet</v>
      </c>
      <c r="B1328" s="16" t="str">
        <f>IFERROR(__xludf.DUMMYFUNCTION("""COMPUTED_VALUE"""),"Firearm Ammunition. +100 fire damage. roll a d20 to see how many you get if this is a loot drop.")</f>
        <v>Firearm Ammunition. +100 fire damage. roll a d20 to see how many you get if this is a loot drop.</v>
      </c>
      <c r="C1328" s="16" t="str">
        <f>IFERROR(__xludf.DUMMYFUNCTION("""COMPUTED_VALUE"""),"Item")</f>
        <v>Item</v>
      </c>
      <c r="D1328" s="16"/>
      <c r="E1328" s="16"/>
      <c r="F1328" s="16"/>
      <c r="G1328" s="16"/>
      <c r="H1328" s="16"/>
      <c r="I1328" s="16"/>
      <c r="J1328" s="16"/>
      <c r="K1328" s="16"/>
      <c r="L1328" s="16"/>
      <c r="M1328" s="16"/>
      <c r="N1328" s="16"/>
      <c r="O1328" s="16"/>
      <c r="P1328" s="16"/>
      <c r="Q1328" s="16"/>
      <c r="R1328" s="16"/>
      <c r="S1328" s="16"/>
      <c r="T1328" s="16"/>
      <c r="U1328" s="16"/>
      <c r="V1328" s="16"/>
      <c r="W1328" s="16"/>
      <c r="X1328" s="16"/>
      <c r="Y1328" s="16"/>
      <c r="Z1328" s="16"/>
    </row>
    <row r="1329">
      <c r="A1329" s="16" t="str">
        <f>IFERROR(__xludf.DUMMYFUNCTION("""COMPUTED_VALUE"""),"Light Bullet")</f>
        <v>Light Bullet</v>
      </c>
      <c r="B1329" s="16" t="str">
        <f>IFERROR(__xludf.DUMMYFUNCTION("""COMPUTED_VALUE"""),"Firearm Ammunition. +100 light damage. roll a d20 to see how many you get if this is a loot drop.")</f>
        <v>Firearm Ammunition. +100 light damage. roll a d20 to see how many you get if this is a loot drop.</v>
      </c>
      <c r="C1329" s="16" t="str">
        <f>IFERROR(__xludf.DUMMYFUNCTION("""COMPUTED_VALUE"""),"Item")</f>
        <v>Item</v>
      </c>
      <c r="D1329" s="16"/>
      <c r="E1329" s="16"/>
      <c r="F1329" s="16"/>
      <c r="G1329" s="16"/>
      <c r="H1329" s="16"/>
      <c r="I1329" s="16"/>
      <c r="J1329" s="16"/>
      <c r="K1329" s="16"/>
      <c r="L1329" s="16"/>
      <c r="M1329" s="16"/>
      <c r="N1329" s="16"/>
      <c r="O1329" s="16"/>
      <c r="P1329" s="16"/>
      <c r="Q1329" s="16"/>
      <c r="R1329" s="16"/>
      <c r="S1329" s="16"/>
      <c r="T1329" s="16"/>
      <c r="U1329" s="16"/>
      <c r="V1329" s="16"/>
      <c r="W1329" s="16"/>
      <c r="X1329" s="16"/>
      <c r="Y1329" s="16"/>
      <c r="Z1329" s="16"/>
    </row>
    <row r="1330">
      <c r="A1330" s="16" t="str">
        <f>IFERROR(__xludf.DUMMYFUNCTION("""COMPUTED_VALUE"""),"Spectral Bullet")</f>
        <v>Spectral Bullet</v>
      </c>
      <c r="B1330" s="16" t="str">
        <f>IFERROR(__xludf.DUMMYFUNCTION("""COMPUTED_VALUE"""),"Firearm Ammunition. +100 spirit damage. roll a d20 to see how many you get if this is a loot drop.")</f>
        <v>Firearm Ammunition. +100 spirit damage. roll a d20 to see how many you get if this is a loot drop.</v>
      </c>
      <c r="C1330" s="16" t="str">
        <f>IFERROR(__xludf.DUMMYFUNCTION("""COMPUTED_VALUE"""),"Item")</f>
        <v>Item</v>
      </c>
      <c r="D1330" s="16"/>
      <c r="E1330" s="16"/>
      <c r="F1330" s="16"/>
      <c r="G1330" s="16"/>
      <c r="H1330" s="16"/>
      <c r="I1330" s="16"/>
      <c r="J1330" s="16"/>
      <c r="K1330" s="16"/>
      <c r="L1330" s="16"/>
      <c r="M1330" s="16"/>
      <c r="N1330" s="16"/>
      <c r="O1330" s="16"/>
      <c r="P1330" s="16"/>
      <c r="Q1330" s="16"/>
      <c r="R1330" s="16"/>
      <c r="S1330" s="16"/>
      <c r="T1330" s="16"/>
      <c r="U1330" s="16"/>
      <c r="V1330" s="16"/>
      <c r="W1330" s="16"/>
      <c r="X1330" s="16"/>
      <c r="Y1330" s="16"/>
      <c r="Z1330" s="16"/>
    </row>
    <row r="1331">
      <c r="A1331" s="16" t="str">
        <f>IFERROR(__xludf.DUMMYFUNCTION("""COMPUTED_VALUE"""),"Stunning Bullet")</f>
        <v>Stunning Bullet</v>
      </c>
      <c r="B1331" s="16" t="str">
        <f>IFERROR(__xludf.DUMMYFUNCTION("""COMPUTED_VALUE"""),"Firearm Ammunition. +100 storm damage. +25% chance of Stun 3 to the enemy if using no more than 1 bullet. roll a d20 to see how many you get if this is a loot drop.")</f>
        <v>Firearm Ammunition. +100 storm damage. +25% chance of Stun 3 to the enemy if using no more than 1 bullet. roll a d20 to see how many you get if this is a loot drop.</v>
      </c>
      <c r="C1331" s="16" t="str">
        <f>IFERROR(__xludf.DUMMYFUNCTION("""COMPUTED_VALUE"""),"Item")</f>
        <v>Item</v>
      </c>
      <c r="D1331" s="16"/>
      <c r="E1331" s="16"/>
      <c r="F1331" s="16"/>
      <c r="G1331" s="16"/>
      <c r="H1331" s="16"/>
      <c r="I1331" s="16"/>
      <c r="J1331" s="16"/>
      <c r="K1331" s="16"/>
      <c r="L1331" s="16"/>
      <c r="M1331" s="16"/>
      <c r="N1331" s="16"/>
      <c r="O1331" s="16"/>
      <c r="P1331" s="16"/>
      <c r="Q1331" s="16"/>
      <c r="R1331" s="16"/>
      <c r="S1331" s="16"/>
      <c r="T1331" s="16"/>
      <c r="U1331" s="16"/>
      <c r="V1331" s="16"/>
      <c r="W1331" s="16"/>
      <c r="X1331" s="16"/>
      <c r="Y1331" s="16"/>
      <c r="Z1331" s="16"/>
    </row>
    <row r="1332">
      <c r="A1332" s="16" t="str">
        <f>IFERROR(__xludf.DUMMYFUNCTION("""COMPUTED_VALUE"""),"Freezing Bullet")</f>
        <v>Freezing Bullet</v>
      </c>
      <c r="B1332" s="16" t="str">
        <f>IFERROR(__xludf.DUMMYFUNCTION("""COMPUTED_VALUE"""),"Firearm Ammunition. +100 fire damage. +25% chance of Freeze to the enemy if using no more than 1 bullet. roll a d20 to see how many you get if this is a loot drop.")</f>
        <v>Firearm Ammunition. +100 fire damage. +25% chance of Freeze to the enemy if using no more than 1 bullet. roll a d20 to see how many you get if this is a loot drop.</v>
      </c>
      <c r="C1332" s="16" t="str">
        <f>IFERROR(__xludf.DUMMYFUNCTION("""COMPUTED_VALUE"""),"Item")</f>
        <v>Item</v>
      </c>
      <c r="D1332" s="16"/>
      <c r="E1332" s="16"/>
      <c r="F1332" s="16"/>
      <c r="G1332" s="16"/>
      <c r="H1332" s="16"/>
      <c r="I1332" s="16"/>
      <c r="J1332" s="16"/>
      <c r="K1332" s="16"/>
      <c r="L1332" s="16"/>
      <c r="M1332" s="16"/>
      <c r="N1332" s="16"/>
      <c r="O1332" s="16"/>
      <c r="P1332" s="16"/>
      <c r="Q1332" s="16"/>
      <c r="R1332" s="16"/>
      <c r="S1332" s="16"/>
      <c r="T1332" s="16"/>
      <c r="U1332" s="16"/>
      <c r="V1332" s="16"/>
      <c r="W1332" s="16"/>
      <c r="X1332" s="16"/>
      <c r="Y1332" s="16"/>
      <c r="Z1332" s="16"/>
    </row>
    <row r="1333">
      <c r="A1333" s="16" t="str">
        <f>IFERROR(__xludf.DUMMYFUNCTION("""COMPUTED_VALUE"""),"Healing Bullet")</f>
        <v>Healing Bullet</v>
      </c>
      <c r="B1333" s="16" t="str">
        <f>IFERROR(__xludf.DUMMYFUNCTION("""COMPUTED_VALUE"""),"Firearm Ammunition. +Restores 1000 HP and SP to the target if using no more than 1 bullet. roll a d20 to see how many you get if this is a loot drop.")</f>
        <v>Firearm Ammunition. +Restores 1000 HP and SP to the target if using no more than 1 bullet. roll a d20 to see how many you get if this is a loot drop.</v>
      </c>
      <c r="C1333" s="16" t="str">
        <f>IFERROR(__xludf.DUMMYFUNCTION("""COMPUTED_VALUE"""),"Item")</f>
        <v>Item</v>
      </c>
      <c r="D1333" s="16"/>
      <c r="E1333" s="16"/>
      <c r="F1333" s="16"/>
      <c r="G1333" s="16"/>
      <c r="H1333" s="16"/>
      <c r="I1333" s="16"/>
      <c r="J1333" s="16"/>
      <c r="K1333" s="16"/>
      <c r="L1333" s="16"/>
      <c r="M1333" s="16"/>
      <c r="N1333" s="16"/>
      <c r="O1333" s="16"/>
      <c r="P1333" s="16"/>
      <c r="Q1333" s="16"/>
      <c r="R1333" s="16"/>
      <c r="S1333" s="16"/>
      <c r="T1333" s="16"/>
      <c r="U1333" s="16"/>
      <c r="V1333" s="16"/>
      <c r="W1333" s="16"/>
      <c r="X1333" s="16"/>
      <c r="Y1333" s="16"/>
      <c r="Z1333" s="16"/>
    </row>
    <row r="1334">
      <c r="A1334" s="16" t="str">
        <f>IFERROR(__xludf.DUMMYFUNCTION("""COMPUTED_VALUE"""),"Celestial Arrow")</f>
        <v>Celestial Arrow</v>
      </c>
      <c r="B1334" s="16" t="str">
        <f>IFERROR(__xludf.DUMMYFUNCTION("""COMPUTED_VALUE"""),"Bow Ammunition. +500 celestial damage. roll a d20 to see how many you get if this is a loot drop.")</f>
        <v>Bow Ammunition. +500 celestial damage. roll a d20 to see how many you get if this is a loot drop.</v>
      </c>
      <c r="C1334" s="16" t="str">
        <f>IFERROR(__xludf.DUMMYFUNCTION("""COMPUTED_VALUE"""),"Item")</f>
        <v>Item</v>
      </c>
      <c r="D1334" s="16"/>
      <c r="E1334" s="16"/>
      <c r="F1334" s="16"/>
      <c r="G1334" s="16"/>
      <c r="H1334" s="16"/>
      <c r="I1334" s="16"/>
      <c r="J1334" s="16"/>
      <c r="K1334" s="16"/>
      <c r="L1334" s="16"/>
      <c r="M1334" s="16"/>
      <c r="N1334" s="16"/>
      <c r="O1334" s="16"/>
      <c r="P1334" s="16"/>
      <c r="Q1334" s="16"/>
      <c r="R1334" s="16"/>
      <c r="S1334" s="16"/>
      <c r="T1334" s="16"/>
      <c r="U1334" s="16"/>
      <c r="V1334" s="16"/>
      <c r="W1334" s="16"/>
      <c r="X1334" s="16"/>
      <c r="Y1334" s="16"/>
      <c r="Z1334" s="16"/>
    </row>
    <row r="1335">
      <c r="A1335" s="16" t="str">
        <f>IFERROR(__xludf.DUMMYFUNCTION("""COMPUTED_VALUE"""),"Chaos Arrow")</f>
        <v>Chaos Arrow</v>
      </c>
      <c r="B1335" s="16" t="str">
        <f>IFERROR(__xludf.DUMMYFUNCTION("""COMPUTED_VALUE"""),"Bow Ammunition. +500 chaos damage. roll a d20 to see how many you get if this is a loot drop.")</f>
        <v>Bow Ammunition. +500 chaos damage. roll a d20 to see how many you get if this is a loot drop.</v>
      </c>
      <c r="C1335" s="16" t="str">
        <f>IFERROR(__xludf.DUMMYFUNCTION("""COMPUTED_VALUE"""),"Item")</f>
        <v>Item</v>
      </c>
      <c r="D1335" s="16"/>
      <c r="E1335" s="16"/>
      <c r="F1335" s="16"/>
      <c r="G1335" s="16"/>
      <c r="H1335" s="16"/>
      <c r="I1335" s="16"/>
      <c r="J1335" s="16"/>
      <c r="K1335" s="16"/>
      <c r="L1335" s="16"/>
      <c r="M1335" s="16"/>
      <c r="N1335" s="16"/>
      <c r="O1335" s="16"/>
      <c r="P1335" s="16"/>
      <c r="Q1335" s="16"/>
      <c r="R1335" s="16"/>
      <c r="S1335" s="16"/>
      <c r="T1335" s="16"/>
      <c r="U1335" s="16"/>
      <c r="V1335" s="16"/>
      <c r="W1335" s="16"/>
      <c r="X1335" s="16"/>
      <c r="Y1335" s="16"/>
      <c r="Z1335" s="16"/>
    </row>
    <row r="1336">
      <c r="A1336" s="16" t="str">
        <f>IFERROR(__xludf.DUMMYFUNCTION("""COMPUTED_VALUE"""),"Dark Arrow")</f>
        <v>Dark Arrow</v>
      </c>
      <c r="B1336" s="16" t="str">
        <f>IFERROR(__xludf.DUMMYFUNCTION("""COMPUTED_VALUE"""),"Bow Ammunition. +500 dark damage. roll a d20 to see how many you get if this is a loot drop.")</f>
        <v>Bow Ammunition. +500 dark damage. roll a d20 to see how many you get if this is a loot drop.</v>
      </c>
      <c r="C1336" s="16" t="str">
        <f>IFERROR(__xludf.DUMMYFUNCTION("""COMPUTED_VALUE"""),"Item")</f>
        <v>Item</v>
      </c>
      <c r="D1336" s="16"/>
      <c r="E1336" s="16"/>
      <c r="F1336" s="16"/>
      <c r="G1336" s="16"/>
      <c r="H1336" s="16"/>
      <c r="I1336" s="16"/>
      <c r="J1336" s="16"/>
      <c r="K1336" s="16"/>
      <c r="L1336" s="16"/>
      <c r="M1336" s="16"/>
      <c r="N1336" s="16"/>
      <c r="O1336" s="16"/>
      <c r="P1336" s="16"/>
      <c r="Q1336" s="16"/>
      <c r="R1336" s="16"/>
      <c r="S1336" s="16"/>
      <c r="T1336" s="16"/>
      <c r="U1336" s="16"/>
      <c r="V1336" s="16"/>
      <c r="W1336" s="16"/>
      <c r="X1336" s="16"/>
      <c r="Y1336" s="16"/>
      <c r="Z1336" s="16"/>
    </row>
    <row r="1337">
      <c r="A1337" s="16" t="str">
        <f>IFERROR(__xludf.DUMMYFUNCTION("""COMPUTED_VALUE"""),"Earth Arrow")</f>
        <v>Earth Arrow</v>
      </c>
      <c r="B1337" s="16" t="str">
        <f>IFERROR(__xludf.DUMMYFUNCTION("""COMPUTED_VALUE"""),"Bow Ammunition. +500 earth damage. roll a d20 to see how many you get if this is a loot drop.")</f>
        <v>Bow Ammunition. +500 earth damage. roll a d20 to see how many you get if this is a loot drop.</v>
      </c>
      <c r="C1337" s="16" t="str">
        <f>IFERROR(__xludf.DUMMYFUNCTION("""COMPUTED_VALUE"""),"Item")</f>
        <v>Item</v>
      </c>
      <c r="D1337" s="16"/>
      <c r="E1337" s="16"/>
      <c r="F1337" s="16"/>
      <c r="G1337" s="16"/>
      <c r="H1337" s="16"/>
      <c r="I1337" s="16"/>
      <c r="J1337" s="16"/>
      <c r="K1337" s="16"/>
      <c r="L1337" s="16"/>
      <c r="M1337" s="16"/>
      <c r="N1337" s="16"/>
      <c r="O1337" s="16"/>
      <c r="P1337" s="16"/>
      <c r="Q1337" s="16"/>
      <c r="R1337" s="16"/>
      <c r="S1337" s="16"/>
      <c r="T1337" s="16"/>
      <c r="U1337" s="16"/>
      <c r="V1337" s="16"/>
      <c r="W1337" s="16"/>
      <c r="X1337" s="16"/>
      <c r="Y1337" s="16"/>
      <c r="Z1337" s="16"/>
    </row>
    <row r="1338">
      <c r="A1338" s="16" t="str">
        <f>IFERROR(__xludf.DUMMYFUNCTION("""COMPUTED_VALUE"""),"Fire Arrow")</f>
        <v>Fire Arrow</v>
      </c>
      <c r="B1338" s="16" t="str">
        <f>IFERROR(__xludf.DUMMYFUNCTION("""COMPUTED_VALUE"""),"Bow Ammunition. +500 fire damage. roll a d20 to see how many you get if this is a loot drop.")</f>
        <v>Bow Ammunition. +500 fire damage. roll a d20 to see how many you get if this is a loot drop.</v>
      </c>
      <c r="C1338" s="16" t="str">
        <f>IFERROR(__xludf.DUMMYFUNCTION("""COMPUTED_VALUE"""),"Item")</f>
        <v>Item</v>
      </c>
      <c r="D1338" s="16"/>
      <c r="E1338" s="16"/>
      <c r="F1338" s="16"/>
      <c r="G1338" s="16"/>
      <c r="H1338" s="16"/>
      <c r="I1338" s="16"/>
      <c r="J1338" s="16"/>
      <c r="K1338" s="16"/>
      <c r="L1338" s="16"/>
      <c r="M1338" s="16"/>
      <c r="N1338" s="16"/>
      <c r="O1338" s="16"/>
      <c r="P1338" s="16"/>
      <c r="Q1338" s="16"/>
      <c r="R1338" s="16"/>
      <c r="S1338" s="16"/>
      <c r="T1338" s="16"/>
      <c r="U1338" s="16"/>
      <c r="V1338" s="16"/>
      <c r="W1338" s="16"/>
      <c r="X1338" s="16"/>
      <c r="Y1338" s="16"/>
      <c r="Z1338" s="16"/>
    </row>
    <row r="1339">
      <c r="A1339" s="16" t="str">
        <f>IFERROR(__xludf.DUMMYFUNCTION("""COMPUTED_VALUE"""),"Light Arrow")</f>
        <v>Light Arrow</v>
      </c>
      <c r="B1339" s="16" t="str">
        <f>IFERROR(__xludf.DUMMYFUNCTION("""COMPUTED_VALUE"""),"Bow Ammunition. +500 light damage. roll a d20 to see how many you get if this is a loot drop.")</f>
        <v>Bow Ammunition. +500 light damage. roll a d20 to see how many you get if this is a loot drop.</v>
      </c>
      <c r="C1339" s="16" t="str">
        <f>IFERROR(__xludf.DUMMYFUNCTION("""COMPUTED_VALUE"""),"Item")</f>
        <v>Item</v>
      </c>
      <c r="D1339" s="16"/>
      <c r="E1339" s="16"/>
      <c r="F1339" s="16"/>
      <c r="G1339" s="16"/>
      <c r="H1339" s="16"/>
      <c r="I1339" s="16"/>
      <c r="J1339" s="16"/>
      <c r="K1339" s="16"/>
      <c r="L1339" s="16"/>
      <c r="M1339" s="16"/>
      <c r="N1339" s="16"/>
      <c r="O1339" s="16"/>
      <c r="P1339" s="16"/>
      <c r="Q1339" s="16"/>
      <c r="R1339" s="16"/>
      <c r="S1339" s="16"/>
      <c r="T1339" s="16"/>
      <c r="U1339" s="16"/>
      <c r="V1339" s="16"/>
      <c r="W1339" s="16"/>
      <c r="X1339" s="16"/>
      <c r="Y1339" s="16"/>
      <c r="Z1339" s="16"/>
    </row>
    <row r="1340">
      <c r="A1340" s="16" t="str">
        <f>IFERROR(__xludf.DUMMYFUNCTION("""COMPUTED_VALUE"""),"Spectral Arrow")</f>
        <v>Spectral Arrow</v>
      </c>
      <c r="B1340" s="16" t="str">
        <f>IFERROR(__xludf.DUMMYFUNCTION("""COMPUTED_VALUE"""),"Bow Ammunition. +500 spirit damage. roll a d20 to see how many you get if this is a loot drop.")</f>
        <v>Bow Ammunition. +500 spirit damage. roll a d20 to see how many you get if this is a loot drop.</v>
      </c>
      <c r="C1340" s="16" t="str">
        <f>IFERROR(__xludf.DUMMYFUNCTION("""COMPUTED_VALUE"""),"Item")</f>
        <v>Item</v>
      </c>
      <c r="D1340" s="16"/>
      <c r="E1340" s="16"/>
      <c r="F1340" s="16"/>
      <c r="G1340" s="16"/>
      <c r="H1340" s="16"/>
      <c r="I1340" s="16"/>
      <c r="J1340" s="16"/>
      <c r="K1340" s="16"/>
      <c r="L1340" s="16"/>
      <c r="M1340" s="16"/>
      <c r="N1340" s="16"/>
      <c r="O1340" s="16"/>
      <c r="P1340" s="16"/>
      <c r="Q1340" s="16"/>
      <c r="R1340" s="16"/>
      <c r="S1340" s="16"/>
      <c r="T1340" s="16"/>
      <c r="U1340" s="16"/>
      <c r="V1340" s="16"/>
      <c r="W1340" s="16"/>
      <c r="X1340" s="16"/>
      <c r="Y1340" s="16"/>
      <c r="Z1340" s="16"/>
    </row>
    <row r="1341">
      <c r="A1341" s="16" t="str">
        <f>IFERROR(__xludf.DUMMYFUNCTION("""COMPUTED_VALUE"""),"Stunning Arrow")</f>
        <v>Stunning Arrow</v>
      </c>
      <c r="B1341" s="16" t="str">
        <f>IFERROR(__xludf.DUMMYFUNCTION("""COMPUTED_VALUE"""),"Bow Ammunition. +500 storm damage. +25% chance of Stun 3. roll a d20 to see how many you get if this is a loot drop.")</f>
        <v>Bow Ammunition. +500 storm damage. +25% chance of Stun 3. roll a d20 to see how many you get if this is a loot drop.</v>
      </c>
      <c r="C1341" s="16" t="str">
        <f>IFERROR(__xludf.DUMMYFUNCTION("""COMPUTED_VALUE"""),"Item")</f>
        <v>Item</v>
      </c>
      <c r="D1341" s="16"/>
      <c r="E1341" s="16"/>
      <c r="F1341" s="16"/>
      <c r="G1341" s="16"/>
      <c r="H1341" s="16"/>
      <c r="I1341" s="16"/>
      <c r="J1341" s="16"/>
      <c r="K1341" s="16"/>
      <c r="L1341" s="16"/>
      <c r="M1341" s="16"/>
      <c r="N1341" s="16"/>
      <c r="O1341" s="16"/>
      <c r="P1341" s="16"/>
      <c r="Q1341" s="16"/>
      <c r="R1341" s="16"/>
      <c r="S1341" s="16"/>
      <c r="T1341" s="16"/>
      <c r="U1341" s="16"/>
      <c r="V1341" s="16"/>
      <c r="W1341" s="16"/>
      <c r="X1341" s="16"/>
      <c r="Y1341" s="16"/>
      <c r="Z1341" s="16"/>
    </row>
    <row r="1342">
      <c r="A1342" s="16" t="str">
        <f>IFERROR(__xludf.DUMMYFUNCTION("""COMPUTED_VALUE"""),"Freezing Arrow")</f>
        <v>Freezing Arrow</v>
      </c>
      <c r="B1342" s="16" t="str">
        <f>IFERROR(__xludf.DUMMYFUNCTION("""COMPUTED_VALUE"""),"Bow Ammunition. +500 water damage. +25% chance of Freeze to the enemy. roll a d20 to see how many you get if this is a loot drop.")</f>
        <v>Bow Ammunition. +500 water damage. +25% chance of Freeze to the enemy. roll a d20 to see how many you get if this is a loot drop.</v>
      </c>
      <c r="C1342" s="16" t="str">
        <f>IFERROR(__xludf.DUMMYFUNCTION("""COMPUTED_VALUE"""),"Item")</f>
        <v>Item</v>
      </c>
      <c r="D1342" s="16"/>
      <c r="E1342" s="16"/>
      <c r="F1342" s="16"/>
      <c r="G1342" s="16"/>
      <c r="H1342" s="16"/>
      <c r="I1342" s="16"/>
      <c r="J1342" s="16"/>
      <c r="K1342" s="16"/>
      <c r="L1342" s="16"/>
      <c r="M1342" s="16"/>
      <c r="N1342" s="16"/>
      <c r="O1342" s="16"/>
      <c r="P1342" s="16"/>
      <c r="Q1342" s="16"/>
      <c r="R1342" s="16"/>
      <c r="S1342" s="16"/>
      <c r="T1342" s="16"/>
      <c r="U1342" s="16"/>
      <c r="V1342" s="16"/>
      <c r="W1342" s="16"/>
      <c r="X1342" s="16"/>
      <c r="Y1342" s="16"/>
      <c r="Z1342" s="16"/>
    </row>
    <row r="1343">
      <c r="A1343" s="16" t="str">
        <f>IFERROR(__xludf.DUMMYFUNCTION("""COMPUTED_VALUE"""),"Healing Arrow")</f>
        <v>Healing Arrow</v>
      </c>
      <c r="B1343" s="16" t="str">
        <f>IFERROR(__xludf.DUMMYFUNCTION("""COMPUTED_VALUE"""),"Bow Ammunition. +Restores 1000 HP and SP to the target. roll a d20 to see how many you get if this is a loot drop.")</f>
        <v>Bow Ammunition. +Restores 1000 HP and SP to the target. roll a d20 to see how many you get if this is a loot drop.</v>
      </c>
      <c r="C1343" s="16" t="str">
        <f>IFERROR(__xludf.DUMMYFUNCTION("""COMPUTED_VALUE"""),"Item")</f>
        <v>Item</v>
      </c>
      <c r="D1343" s="16"/>
      <c r="E1343" s="16"/>
      <c r="F1343" s="16"/>
      <c r="G1343" s="16"/>
      <c r="H1343" s="16"/>
      <c r="I1343" s="16"/>
      <c r="J1343" s="16"/>
      <c r="K1343" s="16"/>
      <c r="L1343" s="16"/>
      <c r="M1343" s="16"/>
      <c r="N1343" s="16"/>
      <c r="O1343" s="16"/>
      <c r="P1343" s="16"/>
      <c r="Q1343" s="16"/>
      <c r="R1343" s="16"/>
      <c r="S1343" s="16"/>
      <c r="T1343" s="16"/>
      <c r="U1343" s="16"/>
      <c r="V1343" s="16"/>
      <c r="W1343" s="16"/>
      <c r="X1343" s="16"/>
      <c r="Y1343" s="16"/>
      <c r="Z1343" s="16"/>
    </row>
    <row r="1344">
      <c r="A1344" s="16" t="str">
        <f>IFERROR(__xludf.DUMMYFUNCTION("""COMPUTED_VALUE"""),"Celestial Bullet")</f>
        <v>Celestial Bullet</v>
      </c>
      <c r="B1344" s="16" t="str">
        <f>IFERROR(__xludf.DUMMYFUNCTION("""COMPUTED_VALUE"""),"Firearm Ammunition. +100 celestial damage. roll a d20 to see how many you get if this is a loot drop.")</f>
        <v>Firearm Ammunition. +100 celestial damage. roll a d20 to see how many you get if this is a loot drop.</v>
      </c>
      <c r="C1344" s="16" t="str">
        <f>IFERROR(__xludf.DUMMYFUNCTION("""COMPUTED_VALUE"""),"Item")</f>
        <v>Item</v>
      </c>
      <c r="D1344" s="16"/>
      <c r="E1344" s="16"/>
      <c r="F1344" s="16"/>
      <c r="G1344" s="16"/>
      <c r="H1344" s="16"/>
      <c r="I1344" s="16"/>
      <c r="J1344" s="16"/>
      <c r="K1344" s="16"/>
      <c r="L1344" s="16"/>
      <c r="M1344" s="16"/>
      <c r="N1344" s="16"/>
      <c r="O1344" s="16"/>
      <c r="P1344" s="16"/>
      <c r="Q1344" s="16"/>
      <c r="R1344" s="16"/>
      <c r="S1344" s="16"/>
      <c r="T1344" s="16"/>
      <c r="U1344" s="16"/>
      <c r="V1344" s="16"/>
      <c r="W1344" s="16"/>
      <c r="X1344" s="16"/>
      <c r="Y1344" s="16"/>
      <c r="Z1344" s="16"/>
    </row>
    <row r="1345">
      <c r="A1345" s="16" t="str">
        <f>IFERROR(__xludf.DUMMYFUNCTION("""COMPUTED_VALUE"""),"Fire Cannon Ball")</f>
        <v>Fire Cannon Ball</v>
      </c>
      <c r="B1345" s="16" t="str">
        <f>IFERROR(__xludf.DUMMYFUNCTION("""COMPUTED_VALUE"""),"Fireball Cannon Ammunition, +5000 fire damage. roll a d20 to see how many you get if this is a loot drop.")</f>
        <v>Fireball Cannon Ammunition, +5000 fire damage. roll a d20 to see how many you get if this is a loot drop.</v>
      </c>
      <c r="C1345" s="16" t="str">
        <f>IFERROR(__xludf.DUMMYFUNCTION("""COMPUTED_VALUE"""),"Item")</f>
        <v>Item</v>
      </c>
      <c r="D1345" s="16"/>
      <c r="E1345" s="16"/>
      <c r="F1345" s="16"/>
      <c r="G1345" s="16"/>
      <c r="H1345" s="16"/>
      <c r="I1345" s="16"/>
      <c r="J1345" s="16"/>
      <c r="K1345" s="16"/>
      <c r="L1345" s="16"/>
      <c r="M1345" s="16"/>
      <c r="N1345" s="16"/>
      <c r="O1345" s="16"/>
      <c r="P1345" s="16"/>
      <c r="Q1345" s="16"/>
      <c r="R1345" s="16"/>
      <c r="S1345" s="16"/>
      <c r="T1345" s="16"/>
      <c r="U1345" s="16"/>
      <c r="V1345" s="16"/>
      <c r="W1345" s="16"/>
      <c r="X1345" s="16"/>
      <c r="Y1345" s="16"/>
      <c r="Z1345" s="16"/>
    </row>
    <row r="1346">
      <c r="A1346" s="16" t="str">
        <f>IFERROR(__xludf.DUMMYFUNCTION("""COMPUTED_VALUE"""),"Torpedo")</f>
        <v>Torpedo</v>
      </c>
      <c r="B1346" s="16" t="str">
        <f>IFERROR(__xludf.DUMMYFUNCTION("""COMPUTED_VALUE"""),"Torpedo Launcher Ammunition. +10,000 damage. roll a d20 to see how many you get if this is a loot drop.")</f>
        <v>Torpedo Launcher Ammunition. +10,000 damage. roll a d20 to see how many you get if this is a loot drop.</v>
      </c>
      <c r="C1346" s="16" t="str">
        <f>IFERROR(__xludf.DUMMYFUNCTION("""COMPUTED_VALUE"""),"Item")</f>
        <v>Item</v>
      </c>
      <c r="D1346" s="16"/>
      <c r="E1346" s="16"/>
      <c r="F1346" s="16"/>
      <c r="G1346" s="16"/>
      <c r="H1346" s="16"/>
      <c r="I1346" s="16"/>
      <c r="J1346" s="16"/>
      <c r="K1346" s="16"/>
      <c r="L1346" s="16"/>
      <c r="M1346" s="16"/>
      <c r="N1346" s="16"/>
      <c r="O1346" s="16"/>
      <c r="P1346" s="16"/>
      <c r="Q1346" s="16"/>
      <c r="R1346" s="16"/>
      <c r="S1346" s="16"/>
      <c r="T1346" s="16"/>
      <c r="U1346" s="16"/>
      <c r="V1346" s="16"/>
      <c r="W1346" s="16"/>
      <c r="X1346" s="16"/>
      <c r="Y1346" s="16"/>
      <c r="Z1346" s="16"/>
    </row>
    <row r="1347">
      <c r="A1347" s="16" t="str">
        <f>IFERROR(__xludf.DUMMYFUNCTION("""COMPUTED_VALUE"""),"Fragmentation Grenade")</f>
        <v>Fragmentation Grenade</v>
      </c>
      <c r="B1347" s="16" t="str">
        <f>IFERROR(__xludf.DUMMYFUNCTION("""COMPUTED_VALUE"""),"Deals 10000 damage to all enemies.")</f>
        <v>Deals 10000 damage to all enemies.</v>
      </c>
      <c r="C1347" s="16" t="str">
        <f>IFERROR(__xludf.DUMMYFUNCTION("""COMPUTED_VALUE"""),"Grenade")</f>
        <v>Grenade</v>
      </c>
      <c r="D1347" s="16"/>
      <c r="E1347" s="16"/>
      <c r="F1347" s="16"/>
      <c r="G1347" s="16"/>
      <c r="H1347" s="16"/>
      <c r="I1347" s="16"/>
      <c r="J1347" s="16"/>
      <c r="K1347" s="16"/>
      <c r="L1347" s="16"/>
      <c r="M1347" s="16"/>
      <c r="N1347" s="16"/>
      <c r="O1347" s="16"/>
      <c r="P1347" s="16"/>
      <c r="Q1347" s="16"/>
      <c r="R1347" s="16"/>
      <c r="S1347" s="16"/>
      <c r="T1347" s="16"/>
      <c r="U1347" s="16"/>
      <c r="V1347" s="16"/>
      <c r="W1347" s="16"/>
      <c r="X1347" s="16"/>
      <c r="Y1347" s="16"/>
      <c r="Z1347" s="16"/>
    </row>
    <row r="1348">
      <c r="A1348" s="16" t="str">
        <f>IFERROR(__xludf.DUMMYFUNCTION("""COMPUTED_VALUE"""),"Flashbang")</f>
        <v>Flashbang</v>
      </c>
      <c r="B1348" s="16" t="str">
        <f>IFERROR(__xludf.DUMMYFUNCTION("""COMPUTED_VALUE"""),"Deals 5000 Light damage and has a 15% chance to inflict Blindness 2 to all enemies.")</f>
        <v>Deals 5000 Light damage and has a 15% chance to inflict Blindness 2 to all enemies.</v>
      </c>
      <c r="C1348" s="16" t="str">
        <f>IFERROR(__xludf.DUMMYFUNCTION("""COMPUTED_VALUE"""),"Grenade")</f>
        <v>Grenade</v>
      </c>
      <c r="D1348" s="16"/>
      <c r="E1348" s="16"/>
      <c r="F1348" s="16"/>
      <c r="G1348" s="16"/>
      <c r="H1348" s="16"/>
      <c r="I1348" s="16"/>
      <c r="J1348" s="16"/>
      <c r="K1348" s="16"/>
      <c r="L1348" s="16"/>
      <c r="M1348" s="16"/>
      <c r="N1348" s="16"/>
      <c r="O1348" s="16"/>
      <c r="P1348" s="16"/>
      <c r="Q1348" s="16"/>
      <c r="R1348" s="16"/>
      <c r="S1348" s="16"/>
      <c r="T1348" s="16"/>
      <c r="U1348" s="16"/>
      <c r="V1348" s="16"/>
      <c r="W1348" s="16"/>
      <c r="X1348" s="16"/>
      <c r="Y1348" s="16"/>
      <c r="Z1348" s="16"/>
    </row>
    <row r="1349">
      <c r="A1349" s="16" t="str">
        <f>IFERROR(__xludf.DUMMYFUNCTION("""COMPUTED_VALUE"""),"Earth Golem Core")</f>
        <v>Earth Golem Core</v>
      </c>
      <c r="B1349" s="16" t="str">
        <f>IFERROR(__xludf.DUMMYFUNCTION("""COMPUTED_VALUE"""),"Summons an Earth Golem to battle (Can only be used once)")</f>
        <v>Summons an Earth Golem to battle (Can only be used once)</v>
      </c>
      <c r="C1349" s="16" t="str">
        <f>IFERROR(__xludf.DUMMYFUNCTION("""COMPUTED_VALUE"""),"Item")</f>
        <v>Item</v>
      </c>
      <c r="D1349" s="16"/>
      <c r="E1349" s="16"/>
      <c r="F1349" s="16"/>
      <c r="G1349" s="16"/>
      <c r="H1349" s="16"/>
      <c r="I1349" s="16"/>
      <c r="J1349" s="16"/>
      <c r="K1349" s="16"/>
      <c r="L1349" s="16"/>
      <c r="M1349" s="16"/>
      <c r="N1349" s="16"/>
      <c r="O1349" s="16"/>
      <c r="P1349" s="16"/>
      <c r="Q1349" s="16"/>
      <c r="R1349" s="16"/>
      <c r="S1349" s="16"/>
      <c r="T1349" s="16"/>
      <c r="U1349" s="16"/>
      <c r="V1349" s="16"/>
      <c r="W1349" s="16"/>
      <c r="X1349" s="16"/>
      <c r="Y1349" s="16"/>
      <c r="Z1349" s="16"/>
    </row>
    <row r="1350">
      <c r="A1350" s="16" t="str">
        <f>IFERROR(__xludf.DUMMYFUNCTION("""COMPUTED_VALUE"""),"Nailbomb")</f>
        <v>Nailbomb</v>
      </c>
      <c r="B1350" s="16" t="str">
        <f>IFERROR(__xludf.DUMMYFUNCTION("""COMPUTED_VALUE"""),"Deals 5000 bleed damage and has a 25% chance of inflicting bleed 2500 for 3 rounds to all enemies.")</f>
        <v>Deals 5000 bleed damage and has a 25% chance of inflicting bleed 2500 for 3 rounds to all enemies.</v>
      </c>
      <c r="C1350" s="16" t="str">
        <f>IFERROR(__xludf.DUMMYFUNCTION("""COMPUTED_VALUE"""),"Grenade")</f>
        <v>Grenade</v>
      </c>
      <c r="D1350" s="16"/>
      <c r="E1350" s="16"/>
      <c r="F1350" s="16"/>
      <c r="G1350" s="16"/>
      <c r="H1350" s="16"/>
      <c r="I1350" s="16"/>
      <c r="J1350" s="16"/>
      <c r="K1350" s="16"/>
      <c r="L1350" s="16"/>
      <c r="M1350" s="16"/>
      <c r="N1350" s="16"/>
      <c r="O1350" s="16"/>
      <c r="P1350" s="16"/>
      <c r="Q1350" s="16"/>
      <c r="R1350" s="16"/>
      <c r="S1350" s="16"/>
      <c r="T1350" s="16"/>
      <c r="U1350" s="16"/>
      <c r="V1350" s="16"/>
      <c r="W1350" s="16"/>
      <c r="X1350" s="16"/>
      <c r="Y1350" s="16"/>
      <c r="Z1350" s="16"/>
    </row>
    <row r="1351">
      <c r="A1351" s="16" t="str">
        <f>IFERROR(__xludf.DUMMYFUNCTION("""COMPUTED_VALUE"""),"Molotov")</f>
        <v>Molotov</v>
      </c>
      <c r="B1351" s="16" t="str">
        <f>IFERROR(__xludf.DUMMYFUNCTION("""COMPUTED_VALUE"""),"Deals 5000 fire damage and has a 25% chance of inflicting burn 2500 for 3 rounds to all enemies.")</f>
        <v>Deals 5000 fire damage and has a 25% chance of inflicting burn 2500 for 3 rounds to all enemies.</v>
      </c>
      <c r="C1351" s="16" t="str">
        <f>IFERROR(__xludf.DUMMYFUNCTION("""COMPUTED_VALUE"""),"Grenade")</f>
        <v>Grenade</v>
      </c>
      <c r="D1351" s="16"/>
      <c r="E1351" s="16"/>
      <c r="F1351" s="16"/>
      <c r="G1351" s="16"/>
      <c r="H1351" s="16"/>
      <c r="I1351" s="16"/>
      <c r="J1351" s="16"/>
      <c r="K1351" s="16"/>
      <c r="L1351" s="16"/>
      <c r="M1351" s="16"/>
      <c r="N1351" s="16"/>
      <c r="O1351" s="16"/>
      <c r="P1351" s="16"/>
      <c r="Q1351" s="16"/>
      <c r="R1351" s="16"/>
      <c r="S1351" s="16"/>
      <c r="T1351" s="16"/>
      <c r="U1351" s="16"/>
      <c r="V1351" s="16"/>
      <c r="W1351" s="16"/>
      <c r="X1351" s="16"/>
      <c r="Y1351" s="16"/>
      <c r="Z1351" s="16"/>
    </row>
    <row r="1352">
      <c r="A1352" s="16" t="str">
        <f>IFERROR(__xludf.DUMMYFUNCTION("""COMPUTED_VALUE"""),"Smoke Bomb")</f>
        <v>Smoke Bomb</v>
      </c>
      <c r="B1352" s="16" t="str">
        <f>IFERROR(__xludf.DUMMYFUNCTION("""COMPUTED_VALUE"""),"Conceals you and gives you +5 mobility when fleeing.")</f>
        <v>Conceals you and gives you +5 mobility when fleeing.</v>
      </c>
      <c r="C1352" s="16" t="str">
        <f>IFERROR(__xludf.DUMMYFUNCTION("""COMPUTED_VALUE"""),"Grenade")</f>
        <v>Grenade</v>
      </c>
      <c r="D1352" s="16"/>
      <c r="E1352" s="16"/>
      <c r="F1352" s="16"/>
      <c r="G1352" s="16"/>
      <c r="H1352" s="16"/>
      <c r="I1352" s="16"/>
      <c r="J1352" s="16"/>
      <c r="K1352" s="16"/>
      <c r="L1352" s="16"/>
      <c r="M1352" s="16"/>
      <c r="N1352" s="16"/>
      <c r="O1352" s="16"/>
      <c r="P1352" s="16"/>
      <c r="Q1352" s="16"/>
      <c r="R1352" s="16"/>
      <c r="S1352" s="16"/>
      <c r="T1352" s="16"/>
      <c r="U1352" s="16"/>
      <c r="V1352" s="16"/>
      <c r="W1352" s="16"/>
      <c r="X1352" s="16"/>
      <c r="Y1352" s="16"/>
      <c r="Z1352" s="16"/>
    </row>
    <row r="1353">
      <c r="A1353" s="16" t="str">
        <f>IFERROR(__xludf.DUMMYFUNCTION("""COMPUTED_VALUE"""),"Gas Grenade")</f>
        <v>Gas Grenade</v>
      </c>
      <c r="B1353" s="16" t="str">
        <f>IFERROR(__xludf.DUMMYFUNCTION("""COMPUTED_VALUE"""),"Inflicts poison 5000 for 3 rounds to all enemies.")</f>
        <v>Inflicts poison 5000 for 3 rounds to all enemies.</v>
      </c>
      <c r="C1353" s="16" t="str">
        <f>IFERROR(__xludf.DUMMYFUNCTION("""COMPUTED_VALUE"""),"Grenade")</f>
        <v>Grenade</v>
      </c>
      <c r="D1353" s="16"/>
      <c r="E1353" s="16"/>
      <c r="F1353" s="16"/>
      <c r="G1353" s="16"/>
      <c r="H1353" s="16"/>
      <c r="I1353" s="16"/>
      <c r="J1353" s="16"/>
      <c r="K1353" s="16"/>
      <c r="L1353" s="16"/>
      <c r="M1353" s="16"/>
      <c r="N1353" s="16"/>
      <c r="O1353" s="16"/>
      <c r="P1353" s="16"/>
      <c r="Q1353" s="16"/>
      <c r="R1353" s="16"/>
      <c r="S1353" s="16"/>
      <c r="T1353" s="16"/>
      <c r="U1353" s="16"/>
      <c r="V1353" s="16"/>
      <c r="W1353" s="16"/>
      <c r="X1353" s="16"/>
      <c r="Y1353" s="16"/>
      <c r="Z1353" s="16"/>
    </row>
    <row r="1354">
      <c r="A1354" s="16" t="str">
        <f>IFERROR(__xludf.DUMMYFUNCTION("""COMPUTED_VALUE"""),"Booze Bomb")</f>
        <v>Booze Bomb</v>
      </c>
      <c r="B1354" s="16" t="str">
        <f>IFERROR(__xludf.DUMMYFUNCTION("""COMPUTED_VALUE"""),"75% to inflict disoriented 5 to all enemies.")</f>
        <v>75% to inflict disoriented 5 to all enemies.</v>
      </c>
      <c r="C1354" s="16" t="str">
        <f>IFERROR(__xludf.DUMMYFUNCTION("""COMPUTED_VALUE"""),"Grenade")</f>
        <v>Grenade</v>
      </c>
      <c r="D1354" s="16"/>
      <c r="E1354" s="16"/>
      <c r="F1354" s="16"/>
      <c r="G1354" s="16"/>
      <c r="H1354" s="16"/>
      <c r="I1354" s="16"/>
      <c r="J1354" s="16"/>
      <c r="K1354" s="16"/>
      <c r="L1354" s="16"/>
      <c r="M1354" s="16"/>
      <c r="N1354" s="16"/>
      <c r="O1354" s="16"/>
      <c r="P1354" s="16"/>
      <c r="Q1354" s="16"/>
      <c r="R1354" s="16"/>
      <c r="S1354" s="16"/>
      <c r="T1354" s="16"/>
      <c r="U1354" s="16"/>
      <c r="V1354" s="16"/>
      <c r="W1354" s="16"/>
      <c r="X1354" s="16"/>
      <c r="Y1354" s="16"/>
      <c r="Z1354" s="16"/>
    </row>
    <row r="1355">
      <c r="A1355" s="16" t="str">
        <f>IFERROR(__xludf.DUMMYFUNCTION("""COMPUTED_VALUE"""),"Ice bomb")</f>
        <v>Ice bomb</v>
      </c>
      <c r="B1355" s="16" t="str">
        <f>IFERROR(__xludf.DUMMYFUNCTION("""COMPUTED_VALUE"""),"50% chance to freeze targets to all enemies.")</f>
        <v>50% chance to freeze targets to all enemies.</v>
      </c>
      <c r="C1355" s="16" t="str">
        <f>IFERROR(__xludf.DUMMYFUNCTION("""COMPUTED_VALUE"""),"Grenade")</f>
        <v>Grenade</v>
      </c>
      <c r="D1355" s="16"/>
      <c r="E1355" s="16"/>
      <c r="F1355" s="16"/>
      <c r="G1355" s="16"/>
      <c r="H1355" s="16"/>
      <c r="I1355" s="16"/>
      <c r="J1355" s="16"/>
      <c r="K1355" s="16"/>
      <c r="L1355" s="16"/>
      <c r="M1355" s="16"/>
      <c r="N1355" s="16"/>
      <c r="O1355" s="16"/>
      <c r="P1355" s="16"/>
      <c r="Q1355" s="16"/>
      <c r="R1355" s="16"/>
      <c r="S1355" s="16"/>
      <c r="T1355" s="16"/>
      <c r="U1355" s="16"/>
      <c r="V1355" s="16"/>
      <c r="W1355" s="16"/>
      <c r="X1355" s="16"/>
      <c r="Y1355" s="16"/>
      <c r="Z1355" s="16"/>
    </row>
    <row r="1356">
      <c r="A1356" s="16" t="str">
        <f>IFERROR(__xludf.DUMMYFUNCTION("""COMPUTED_VALUE"""),"Holy Water")</f>
        <v>Holy Water</v>
      </c>
      <c r="B1356" s="16" t="str">
        <f>IFERROR(__xludf.DUMMYFUNCTION("""COMPUTED_VALUE"""),"Deals 10000 Light Damage")</f>
        <v>Deals 10000 Light Damage</v>
      </c>
      <c r="C1356" s="16" t="str">
        <f>IFERROR(__xludf.DUMMYFUNCTION("""COMPUTED_VALUE"""),"Grenade")</f>
        <v>Grenade</v>
      </c>
      <c r="D1356" s="16"/>
      <c r="E1356" s="16"/>
      <c r="F1356" s="16"/>
      <c r="G1356" s="16"/>
      <c r="H1356" s="16"/>
      <c r="I1356" s="16"/>
      <c r="J1356" s="16"/>
      <c r="K1356" s="16"/>
      <c r="L1356" s="16"/>
      <c r="M1356" s="16"/>
      <c r="N1356" s="16"/>
      <c r="O1356" s="16"/>
      <c r="P1356" s="16"/>
      <c r="Q1356" s="16"/>
      <c r="R1356" s="16"/>
      <c r="S1356" s="16"/>
      <c r="T1356" s="16"/>
      <c r="U1356" s="16"/>
      <c r="V1356" s="16"/>
      <c r="W1356" s="16"/>
      <c r="X1356" s="16"/>
      <c r="Y1356" s="16"/>
      <c r="Z1356" s="16"/>
    </row>
    <row r="1357">
      <c r="A1357" s="16" t="str">
        <f>IFERROR(__xludf.DUMMYFUNCTION("""COMPUTED_VALUE"""),"Salve Grenade")</f>
        <v>Salve Grenade</v>
      </c>
      <c r="B1357" s="16" t="str">
        <f>IFERROR(__xludf.DUMMYFUNCTION("""COMPUTED_VALUE"""),"Heals 2500 Hp")</f>
        <v>Heals 2500 Hp</v>
      </c>
      <c r="C1357" s="16" t="str">
        <f>IFERROR(__xludf.DUMMYFUNCTION("""COMPUTED_VALUE"""),"Grenade")</f>
        <v>Grenade</v>
      </c>
      <c r="D1357" s="16"/>
      <c r="E1357" s="16"/>
      <c r="F1357" s="16"/>
      <c r="G1357" s="16"/>
      <c r="H1357" s="16"/>
      <c r="I1357" s="16"/>
      <c r="J1357" s="16"/>
      <c r="K1357" s="16"/>
      <c r="L1357" s="16"/>
      <c r="M1357" s="16"/>
      <c r="N1357" s="16"/>
      <c r="O1357" s="16"/>
      <c r="P1357" s="16"/>
      <c r="Q1357" s="16"/>
      <c r="R1357" s="16"/>
      <c r="S1357" s="16"/>
      <c r="T1357" s="16"/>
      <c r="U1357" s="16"/>
      <c r="V1357" s="16"/>
      <c r="W1357" s="16"/>
      <c r="X1357" s="16"/>
      <c r="Y1357" s="16"/>
      <c r="Z1357" s="16"/>
    </row>
    <row r="1358">
      <c r="A1358" s="16" t="str">
        <f>IFERROR(__xludf.DUMMYFUNCTION("""COMPUTED_VALUE"""),"Potion of Banishment")</f>
        <v>Potion of Banishment</v>
      </c>
      <c r="B1358" s="16" t="str">
        <f>IFERROR(__xludf.DUMMYFUNCTION("""COMPUTED_VALUE"""),"Banishes an enemy")</f>
        <v>Banishes an enemy</v>
      </c>
      <c r="C1358" s="16" t="str">
        <f>IFERROR(__xludf.DUMMYFUNCTION("""COMPUTED_VALUE"""),"Item")</f>
        <v>Item</v>
      </c>
      <c r="D1358" s="16"/>
      <c r="E1358" s="16"/>
      <c r="F1358" s="16"/>
      <c r="G1358" s="16"/>
      <c r="H1358" s="16"/>
      <c r="I1358" s="16"/>
      <c r="J1358" s="16"/>
      <c r="K1358" s="16"/>
      <c r="L1358" s="16"/>
      <c r="M1358" s="16"/>
      <c r="N1358" s="16"/>
      <c r="O1358" s="16"/>
      <c r="P1358" s="16"/>
      <c r="Q1358" s="16"/>
      <c r="R1358" s="16"/>
      <c r="S1358" s="16"/>
      <c r="T1358" s="16"/>
      <c r="U1358" s="16"/>
      <c r="V1358" s="16"/>
      <c r="W1358" s="16"/>
      <c r="X1358" s="16"/>
      <c r="Y1358" s="16"/>
      <c r="Z1358" s="16"/>
    </row>
    <row r="1359">
      <c r="A1359" s="16" t="str">
        <f>IFERROR(__xludf.DUMMYFUNCTION("""COMPUTED_VALUE"""),"Wooden Arrow")</f>
        <v>Wooden Arrow</v>
      </c>
      <c r="B1359" s="16" t="str">
        <f>IFERROR(__xludf.DUMMYFUNCTION("""COMPUTED_VALUE"""),"Bow Ammunition +50 Damage. roll a d20 to see how many you get if this is a loot drop.")</f>
        <v>Bow Ammunition +50 Damage. roll a d20 to see how many you get if this is a loot drop.</v>
      </c>
      <c r="C1359" s="16" t="str">
        <f>IFERROR(__xludf.DUMMYFUNCTION("""COMPUTED_VALUE"""),"Item")</f>
        <v>Item</v>
      </c>
      <c r="D1359" s="16"/>
      <c r="E1359" s="16"/>
      <c r="F1359" s="16"/>
      <c r="G1359" s="16"/>
      <c r="H1359" s="16"/>
      <c r="I1359" s="16"/>
      <c r="J1359" s="16"/>
      <c r="K1359" s="16"/>
      <c r="L1359" s="16"/>
      <c r="M1359" s="16"/>
      <c r="N1359" s="16"/>
      <c r="O1359" s="16"/>
      <c r="P1359" s="16"/>
      <c r="Q1359" s="16"/>
      <c r="R1359" s="16"/>
      <c r="S1359" s="16"/>
      <c r="T1359" s="16"/>
      <c r="U1359" s="16"/>
      <c r="V1359" s="16"/>
      <c r="W1359" s="16"/>
      <c r="X1359" s="16"/>
      <c r="Y1359" s="16"/>
      <c r="Z1359" s="16"/>
    </row>
    <row r="1360">
      <c r="A1360" s="16" t="str">
        <f>IFERROR(__xludf.DUMMYFUNCTION("""COMPUTED_VALUE"""),"Bone Tipped Arrow")</f>
        <v>Bone Tipped Arrow</v>
      </c>
      <c r="B1360" s="16" t="str">
        <f>IFERROR(__xludf.DUMMYFUNCTION("""COMPUTED_VALUE"""),"Bow Ammunition +250 Blood damage. roll a d20 to see how many you get if this is a loot drop")</f>
        <v>Bow Ammunition +250 Blood damage. roll a d20 to see how many you get if this is a loot drop</v>
      </c>
      <c r="C1360" s="16" t="str">
        <f>IFERROR(__xludf.DUMMYFUNCTION("""COMPUTED_VALUE"""),"Item")</f>
        <v>Item</v>
      </c>
      <c r="D1360" s="16"/>
      <c r="E1360" s="16"/>
      <c r="F1360" s="16"/>
      <c r="G1360" s="16"/>
      <c r="H1360" s="16"/>
      <c r="I1360" s="16"/>
      <c r="J1360" s="16"/>
      <c r="K1360" s="16"/>
      <c r="L1360" s="16"/>
      <c r="M1360" s="16"/>
      <c r="N1360" s="16"/>
      <c r="O1360" s="16"/>
      <c r="P1360" s="16"/>
      <c r="Q1360" s="16"/>
      <c r="R1360" s="16"/>
      <c r="S1360" s="16"/>
      <c r="T1360" s="16"/>
      <c r="U1360" s="16"/>
      <c r="V1360" s="16"/>
      <c r="W1360" s="16"/>
      <c r="X1360" s="16"/>
      <c r="Y1360" s="16"/>
      <c r="Z1360" s="16"/>
    </row>
    <row r="1361">
      <c r="A1361" s="16" t="str">
        <f>IFERROR(__xludf.DUMMYFUNCTION("""COMPUTED_VALUE"""),"Holy Arrow")</f>
        <v>Holy Arrow</v>
      </c>
      <c r="B1361" s="16" t="str">
        <f>IFERROR(__xludf.DUMMYFUNCTION("""COMPUTED_VALUE"""),"Bow Ammunition +250 light damage +20x damage against undead.roll a d20 to see how many you get if this is a loot drop")</f>
        <v>Bow Ammunition +250 light damage +20x damage against undead.roll a d20 to see how many you get if this is a loot drop</v>
      </c>
      <c r="C1361" s="16" t="str">
        <f>IFERROR(__xludf.DUMMYFUNCTION("""COMPUTED_VALUE"""),"Item")</f>
        <v>Item</v>
      </c>
      <c r="D1361" s="16"/>
      <c r="E1361" s="16"/>
      <c r="F1361" s="16"/>
      <c r="G1361" s="16"/>
      <c r="H1361" s="16"/>
      <c r="I1361" s="16"/>
      <c r="J1361" s="16"/>
      <c r="K1361" s="16"/>
      <c r="L1361" s="16"/>
      <c r="M1361" s="16"/>
      <c r="N1361" s="16"/>
      <c r="O1361" s="16"/>
      <c r="P1361" s="16"/>
      <c r="Q1361" s="16"/>
      <c r="R1361" s="16"/>
      <c r="S1361" s="16"/>
      <c r="T1361" s="16"/>
      <c r="U1361" s="16"/>
      <c r="V1361" s="16"/>
      <c r="W1361" s="16"/>
      <c r="X1361" s="16"/>
      <c r="Y1361" s="16"/>
      <c r="Z1361" s="16"/>
    </row>
    <row r="1362">
      <c r="A1362" s="16" t="str">
        <f>IFERROR(__xludf.DUMMYFUNCTION("""COMPUTED_VALUE"""),"Small Bang")</f>
        <v>Small Bang</v>
      </c>
      <c r="B1362" s="16" t="str">
        <f>IFERROR(__xludf.DUMMYFUNCTION("""COMPUTED_VALUE"""),"500,000 Damage")</f>
        <v>500,000 Damage</v>
      </c>
      <c r="C1362" s="16" t="str">
        <f>IFERROR(__xludf.DUMMYFUNCTION("""COMPUTED_VALUE"""),"Grenade")</f>
        <v>Grenade</v>
      </c>
      <c r="D1362" s="16"/>
      <c r="E1362" s="16"/>
      <c r="F1362" s="16"/>
      <c r="G1362" s="16"/>
      <c r="H1362" s="16"/>
      <c r="I1362" s="16"/>
      <c r="J1362" s="16"/>
      <c r="K1362" s="16"/>
      <c r="L1362" s="16"/>
      <c r="M1362" s="16"/>
      <c r="N1362" s="16"/>
      <c r="O1362" s="16"/>
      <c r="P1362" s="16"/>
      <c r="Q1362" s="16"/>
      <c r="R1362" s="16"/>
      <c r="S1362" s="16"/>
      <c r="T1362" s="16"/>
      <c r="U1362" s="16"/>
      <c r="V1362" s="16"/>
      <c r="W1362" s="16"/>
      <c r="X1362" s="16"/>
      <c r="Y1362" s="16"/>
      <c r="Z1362" s="16"/>
    </row>
    <row r="1363">
      <c r="A1363" s="16" t="str">
        <f>IFERROR(__xludf.DUMMYFUNCTION("""COMPUTED_VALUE"""),"Dragon Burst")</f>
        <v>Dragon Burst</v>
      </c>
      <c r="B1363" s="16" t="str">
        <f>IFERROR(__xludf.DUMMYFUNCTION("""COMPUTED_VALUE"""),"250,000 Damage")</f>
        <v>250,000 Damage</v>
      </c>
      <c r="C1363" s="16" t="str">
        <f>IFERROR(__xludf.DUMMYFUNCTION("""COMPUTED_VALUE"""),"Grenade")</f>
        <v>Grenade</v>
      </c>
      <c r="D1363" s="16"/>
      <c r="E1363" s="16"/>
      <c r="F1363" s="16"/>
      <c r="G1363" s="16"/>
      <c r="H1363" s="16"/>
      <c r="I1363" s="16"/>
      <c r="J1363" s="16"/>
      <c r="K1363" s="16"/>
      <c r="L1363" s="16"/>
      <c r="M1363" s="16"/>
      <c r="N1363" s="16"/>
      <c r="O1363" s="16"/>
      <c r="P1363" s="16"/>
      <c r="Q1363" s="16"/>
      <c r="R1363" s="16"/>
      <c r="S1363" s="16"/>
      <c r="T1363" s="16"/>
      <c r="U1363" s="16"/>
      <c r="V1363" s="16"/>
      <c r="W1363" s="16"/>
      <c r="X1363" s="16"/>
      <c r="Y1363" s="16"/>
      <c r="Z1363" s="16"/>
    </row>
    <row r="1364">
      <c r="A1364" s="16" t="str">
        <f>IFERROR(__xludf.DUMMYFUNCTION("""COMPUTED_VALUE"""),"Iguanian Assassin's Box")</f>
        <v>Iguanian Assassin's Box</v>
      </c>
      <c r="B1364" s="16" t="str">
        <f>IFERROR(__xludf.DUMMYFUNCTION("""COMPUTED_VALUE"""),"Grants a random piece of Iguanian Assassin's equipment (Roll 1d7 and take the corresponding item from the equipment finder)")</f>
        <v>Grants a random piece of Iguanian Assassin's equipment (Roll 1d7 and take the corresponding item from the equipment finder)</v>
      </c>
      <c r="C1364" s="16" t="str">
        <f>IFERROR(__xludf.DUMMYFUNCTION("""COMPUTED_VALUE"""),"Item")</f>
        <v>Item</v>
      </c>
      <c r="D1364" s="16"/>
      <c r="E1364" s="16"/>
      <c r="F1364" s="16"/>
      <c r="G1364" s="16"/>
      <c r="H1364" s="16"/>
      <c r="I1364" s="16"/>
      <c r="J1364" s="16"/>
      <c r="K1364" s="16"/>
      <c r="L1364" s="16"/>
      <c r="M1364" s="16"/>
      <c r="N1364" s="16"/>
      <c r="O1364" s="16"/>
      <c r="P1364" s="16"/>
      <c r="Q1364" s="16"/>
      <c r="R1364" s="16"/>
      <c r="S1364" s="16"/>
      <c r="T1364" s="16"/>
      <c r="U1364" s="16"/>
      <c r="V1364" s="16"/>
      <c r="W1364" s="16"/>
      <c r="X1364" s="16"/>
      <c r="Y1364" s="16"/>
      <c r="Z1364" s="16"/>
    </row>
    <row r="1365">
      <c r="A1365" s="16" t="str">
        <f>IFERROR(__xludf.DUMMYFUNCTION("""COMPUTED_VALUE"""),"Lizardfolk Warrior's Box")</f>
        <v>Lizardfolk Warrior's Box</v>
      </c>
      <c r="B1365" s="16" t="str">
        <f>IFERROR(__xludf.DUMMYFUNCTION("""COMPUTED_VALUE"""),"Grants a random piece of Lizard Warrior's equipment (Roll 1d9 and take the corresponding item from the equipment finder)")</f>
        <v>Grants a random piece of Lizard Warrior's equipment (Roll 1d9 and take the corresponding item from the equipment finder)</v>
      </c>
      <c r="C1365" s="16" t="str">
        <f>IFERROR(__xludf.DUMMYFUNCTION("""COMPUTED_VALUE"""),"Item")</f>
        <v>Item</v>
      </c>
      <c r="D1365" s="16"/>
      <c r="E1365" s="16"/>
      <c r="F1365" s="16"/>
      <c r="G1365" s="16"/>
      <c r="H1365" s="16"/>
      <c r="I1365" s="16"/>
      <c r="J1365" s="16"/>
      <c r="K1365" s="16"/>
      <c r="L1365" s="16"/>
      <c r="M1365" s="16"/>
      <c r="N1365" s="16"/>
      <c r="O1365" s="16"/>
      <c r="P1365" s="16"/>
      <c r="Q1365" s="16"/>
      <c r="R1365" s="16"/>
      <c r="S1365" s="16"/>
      <c r="T1365" s="16"/>
      <c r="U1365" s="16"/>
      <c r="V1365" s="16"/>
      <c r="W1365" s="16"/>
      <c r="X1365" s="16"/>
      <c r="Y1365" s="16"/>
      <c r="Z1365" s="16"/>
    </row>
    <row r="1366">
      <c r="A1366" s="16" t="str">
        <f>IFERROR(__xludf.DUMMYFUNCTION("""COMPUTED_VALUE"""),"Lizard Thief's Box")</f>
        <v>Lizard Thief's Box</v>
      </c>
      <c r="B1366" s="16" t="str">
        <f>IFERROR(__xludf.DUMMYFUNCTION("""COMPUTED_VALUE"""),"Grants a random piece of Lizard Thief's equipment (Roll 1d5 and take the corresponding item from the equipment finder)")</f>
        <v>Grants a random piece of Lizard Thief's equipment (Roll 1d5 and take the corresponding item from the equipment finder)</v>
      </c>
      <c r="C1366" s="16" t="str">
        <f>IFERROR(__xludf.DUMMYFUNCTION("""COMPUTED_VALUE"""),"Item")</f>
        <v>Item</v>
      </c>
      <c r="D1366" s="16"/>
      <c r="E1366" s="16"/>
      <c r="F1366" s="16"/>
      <c r="G1366" s="16"/>
      <c r="H1366" s="16"/>
      <c r="I1366" s="16"/>
      <c r="J1366" s="16"/>
      <c r="K1366" s="16"/>
      <c r="L1366" s="16"/>
      <c r="M1366" s="16"/>
      <c r="N1366" s="16"/>
      <c r="O1366" s="16"/>
      <c r="P1366" s="16"/>
      <c r="Q1366" s="16"/>
      <c r="R1366" s="16"/>
      <c r="S1366" s="16"/>
      <c r="T1366" s="16"/>
      <c r="U1366" s="16"/>
      <c r="V1366" s="16"/>
      <c r="W1366" s="16"/>
      <c r="X1366" s="16"/>
      <c r="Y1366" s="16"/>
      <c r="Z1366" s="16"/>
    </row>
    <row r="1367">
      <c r="A1367" s="16" t="str">
        <f>IFERROR(__xludf.DUMMYFUNCTION("""COMPUTED_VALUE"""),"Lizard Wizard's Box")</f>
        <v>Lizard Wizard's Box</v>
      </c>
      <c r="B1367" s="16" t="str">
        <f>IFERROR(__xludf.DUMMYFUNCTION("""COMPUTED_VALUE"""),"Grants a random piece of Lizard Wizard's equipment (Roll 1d6 and take the corresponding item from the equipment finder)")</f>
        <v>Grants a random piece of Lizard Wizard's equipment (Roll 1d6 and take the corresponding item from the equipment finder)</v>
      </c>
      <c r="C1367" s="16" t="str">
        <f>IFERROR(__xludf.DUMMYFUNCTION("""COMPUTED_VALUE"""),"Item")</f>
        <v>Item</v>
      </c>
      <c r="D1367" s="16"/>
      <c r="E1367" s="16"/>
      <c r="F1367" s="16"/>
      <c r="G1367" s="16"/>
      <c r="H1367" s="16"/>
      <c r="I1367" s="16"/>
      <c r="J1367" s="16"/>
      <c r="K1367" s="16"/>
      <c r="L1367" s="16"/>
      <c r="M1367" s="16"/>
      <c r="N1367" s="16"/>
      <c r="O1367" s="16"/>
      <c r="P1367" s="16"/>
      <c r="Q1367" s="16"/>
      <c r="R1367" s="16"/>
      <c r="S1367" s="16"/>
      <c r="T1367" s="16"/>
      <c r="U1367" s="16"/>
      <c r="V1367" s="16"/>
      <c r="W1367" s="16"/>
      <c r="X1367" s="16"/>
      <c r="Y1367" s="16"/>
      <c r="Z1367" s="16"/>
    </row>
    <row r="1368">
      <c r="A1368" s="16" t="str">
        <f>IFERROR(__xludf.DUMMYFUNCTION("""COMPUTED_VALUE"""),"Iguanian Brawler's Box")</f>
        <v>Iguanian Brawler's Box</v>
      </c>
      <c r="B1368" s="16" t="str">
        <f>IFERROR(__xludf.DUMMYFUNCTION("""COMPUTED_VALUE"""),"Grants a random piece of Iguanian Brawler's equipment (Roll 1d8 and take the corresponding item from the equipment finder)")</f>
        <v>Grants a random piece of Iguanian Brawler's equipment (Roll 1d8 and take the corresponding item from the equipment finder)</v>
      </c>
      <c r="C1368" s="16" t="str">
        <f>IFERROR(__xludf.DUMMYFUNCTION("""COMPUTED_VALUE"""),"Item")</f>
        <v>Item</v>
      </c>
      <c r="D1368" s="16"/>
      <c r="E1368" s="16"/>
      <c r="F1368" s="16"/>
      <c r="G1368" s="16"/>
      <c r="H1368" s="16"/>
      <c r="I1368" s="16"/>
      <c r="J1368" s="16"/>
      <c r="K1368" s="16"/>
      <c r="L1368" s="16"/>
      <c r="M1368" s="16"/>
      <c r="N1368" s="16"/>
      <c r="O1368" s="16"/>
      <c r="P1368" s="16"/>
      <c r="Q1368" s="16"/>
      <c r="R1368" s="16"/>
      <c r="S1368" s="16"/>
      <c r="T1368" s="16"/>
      <c r="U1368" s="16"/>
      <c r="V1368" s="16"/>
      <c r="W1368" s="16"/>
      <c r="X1368" s="16"/>
      <c r="Y1368" s="16"/>
      <c r="Z1368" s="16"/>
    </row>
    <row r="1369">
      <c r="A1369" s="16" t="str">
        <f>IFERROR(__xludf.DUMMYFUNCTION("""COMPUTED_VALUE"""),"Iguanian Mage's Box")</f>
        <v>Iguanian Mage's Box</v>
      </c>
      <c r="B1369" s="16" t="str">
        <f>IFERROR(__xludf.DUMMYFUNCTION("""COMPUTED_VALUE"""),"Grants a random piece of Iguanian Mage equipment (Roll 1d5 and take the corresponding item from the equipment finder)")</f>
        <v>Grants a random piece of Iguanian Mage equipment (Roll 1d5 and take the corresponding item from the equipment finder)</v>
      </c>
      <c r="C1369" s="16" t="str">
        <f>IFERROR(__xludf.DUMMYFUNCTION("""COMPUTED_VALUE"""),"Item")</f>
        <v>Item</v>
      </c>
      <c r="D1369" s="16"/>
      <c r="E1369" s="16"/>
      <c r="F1369" s="16"/>
      <c r="G1369" s="16"/>
      <c r="H1369" s="16"/>
      <c r="I1369" s="16"/>
      <c r="J1369" s="16"/>
      <c r="K1369" s="16"/>
      <c r="L1369" s="16"/>
      <c r="M1369" s="16"/>
      <c r="N1369" s="16"/>
      <c r="O1369" s="16"/>
      <c r="P1369" s="16"/>
      <c r="Q1369" s="16"/>
      <c r="R1369" s="16"/>
      <c r="S1369" s="16"/>
      <c r="T1369" s="16"/>
      <c r="U1369" s="16"/>
      <c r="V1369" s="16"/>
      <c r="W1369" s="16"/>
      <c r="X1369" s="16"/>
      <c r="Y1369" s="16"/>
      <c r="Z1369" s="16"/>
    </row>
    <row r="1370">
      <c r="A1370" s="16"/>
      <c r="B1370" s="16"/>
      <c r="C1370" s="16"/>
      <c r="D1370" s="16"/>
      <c r="E1370" s="16"/>
      <c r="F1370" s="16"/>
      <c r="G1370" s="16"/>
      <c r="H1370" s="16"/>
      <c r="I1370" s="16"/>
      <c r="J1370" s="16"/>
      <c r="K1370" s="16"/>
      <c r="L1370" s="16"/>
      <c r="M1370" s="16"/>
      <c r="N1370" s="16"/>
      <c r="O1370" s="16"/>
      <c r="P1370" s="16"/>
      <c r="Q1370" s="16"/>
      <c r="R1370" s="16"/>
      <c r="S1370" s="16"/>
      <c r="T1370" s="16"/>
      <c r="U1370" s="16"/>
      <c r="V1370" s="16"/>
      <c r="W1370" s="16"/>
      <c r="X1370" s="16"/>
      <c r="Y1370" s="16"/>
      <c r="Z1370" s="16"/>
    </row>
    <row r="1371">
      <c r="A1371" s="16"/>
      <c r="B1371" s="16"/>
      <c r="C1371" s="16"/>
      <c r="D1371" s="16"/>
      <c r="E1371" s="16"/>
      <c r="F1371" s="16"/>
      <c r="G1371" s="16"/>
      <c r="H1371" s="16"/>
      <c r="I1371" s="16"/>
      <c r="J1371" s="16"/>
      <c r="K1371" s="16"/>
      <c r="L1371" s="16"/>
      <c r="M1371" s="16"/>
      <c r="N1371" s="16"/>
      <c r="O1371" s="16"/>
      <c r="P1371" s="16"/>
      <c r="Q1371" s="16"/>
      <c r="R1371" s="16"/>
      <c r="S1371" s="16"/>
      <c r="T1371" s="16"/>
      <c r="U1371" s="16"/>
      <c r="V1371" s="16"/>
      <c r="W1371" s="16"/>
      <c r="X1371" s="16"/>
      <c r="Y1371" s="16"/>
      <c r="Z1371" s="16"/>
    </row>
    <row r="1372">
      <c r="A1372" s="16"/>
      <c r="B1372" s="16"/>
      <c r="C1372" s="16"/>
      <c r="D1372" s="16"/>
      <c r="E1372" s="16"/>
      <c r="F1372" s="16"/>
      <c r="G1372" s="16"/>
      <c r="H1372" s="16"/>
      <c r="I1372" s="16"/>
      <c r="J1372" s="16"/>
      <c r="K1372" s="16"/>
      <c r="L1372" s="16"/>
      <c r="M1372" s="16"/>
      <c r="N1372" s="16"/>
      <c r="O1372" s="16"/>
      <c r="P1372" s="16"/>
      <c r="Q1372" s="16"/>
      <c r="R1372" s="16"/>
      <c r="S1372" s="16"/>
      <c r="T1372" s="16"/>
      <c r="U1372" s="16"/>
      <c r="V1372" s="16"/>
      <c r="W1372" s="16"/>
      <c r="X1372" s="16"/>
      <c r="Y1372" s="16"/>
      <c r="Z1372" s="16"/>
    </row>
    <row r="1373">
      <c r="A1373" s="16"/>
      <c r="B1373" s="16"/>
      <c r="C1373" s="16"/>
      <c r="D1373" s="16"/>
      <c r="E1373" s="16"/>
      <c r="F1373" s="16"/>
      <c r="G1373" s="16"/>
      <c r="H1373" s="16"/>
      <c r="I1373" s="16"/>
      <c r="J1373" s="16"/>
      <c r="K1373" s="16"/>
      <c r="L1373" s="16"/>
      <c r="M1373" s="16"/>
      <c r="N1373" s="16"/>
      <c r="O1373" s="16"/>
      <c r="P1373" s="16"/>
      <c r="Q1373" s="16"/>
      <c r="R1373" s="16"/>
      <c r="S1373" s="16"/>
      <c r="T1373" s="16"/>
      <c r="U1373" s="16"/>
      <c r="V1373" s="16"/>
      <c r="W1373" s="16"/>
      <c r="X1373" s="16"/>
      <c r="Y1373" s="16"/>
      <c r="Z1373" s="16"/>
    </row>
    <row r="1374">
      <c r="A1374" s="16"/>
      <c r="B1374" s="16"/>
      <c r="C1374" s="16"/>
      <c r="D1374" s="16"/>
      <c r="E1374" s="16"/>
      <c r="F1374" s="16"/>
      <c r="G1374" s="16"/>
      <c r="H1374" s="16"/>
      <c r="I1374" s="16"/>
      <c r="J1374" s="16"/>
      <c r="K1374" s="16"/>
      <c r="L1374" s="16"/>
      <c r="M1374" s="16"/>
      <c r="N1374" s="16"/>
      <c r="O1374" s="16"/>
      <c r="P1374" s="16"/>
      <c r="Q1374" s="16"/>
      <c r="R1374" s="16"/>
      <c r="S1374" s="16"/>
      <c r="T1374" s="16"/>
      <c r="U1374" s="16"/>
      <c r="V1374" s="16"/>
      <c r="W1374" s="16"/>
      <c r="X1374" s="16"/>
      <c r="Y1374" s="16"/>
      <c r="Z1374" s="16"/>
    </row>
    <row r="1375">
      <c r="A1375" s="16"/>
      <c r="B1375" s="16"/>
      <c r="C1375" s="16"/>
      <c r="D1375" s="16"/>
      <c r="E1375" s="16"/>
      <c r="F1375" s="16"/>
      <c r="G1375" s="16"/>
      <c r="H1375" s="16"/>
      <c r="I1375" s="16"/>
      <c r="J1375" s="16"/>
      <c r="K1375" s="16"/>
      <c r="L1375" s="16"/>
      <c r="M1375" s="16"/>
      <c r="N1375" s="16"/>
      <c r="O1375" s="16"/>
      <c r="P1375" s="16"/>
      <c r="Q1375" s="16"/>
      <c r="R1375" s="16"/>
      <c r="S1375" s="16"/>
      <c r="T1375" s="16"/>
      <c r="U1375" s="16"/>
      <c r="V1375" s="16"/>
      <c r="W1375" s="16"/>
      <c r="X1375" s="16"/>
      <c r="Y1375" s="16"/>
      <c r="Z1375" s="16"/>
    </row>
    <row r="1376">
      <c r="A1376" s="16"/>
      <c r="B1376" s="16"/>
      <c r="C1376" s="16"/>
      <c r="D1376" s="16"/>
      <c r="E1376" s="16"/>
      <c r="F1376" s="16"/>
      <c r="G1376" s="16"/>
      <c r="H1376" s="16"/>
      <c r="I1376" s="16"/>
      <c r="J1376" s="16"/>
      <c r="K1376" s="16"/>
      <c r="L1376" s="16"/>
      <c r="M1376" s="16"/>
      <c r="N1376" s="16"/>
      <c r="O1376" s="16"/>
      <c r="P1376" s="16"/>
      <c r="Q1376" s="16"/>
      <c r="R1376" s="16"/>
      <c r="S1376" s="16"/>
      <c r="T1376" s="16"/>
      <c r="U1376" s="16"/>
      <c r="V1376" s="16"/>
      <c r="W1376" s="16"/>
      <c r="X1376" s="16"/>
      <c r="Y1376" s="16"/>
      <c r="Z1376" s="16"/>
    </row>
    <row r="1377">
      <c r="A1377" s="16"/>
      <c r="B1377" s="16"/>
      <c r="C1377" s="16"/>
      <c r="D1377" s="16"/>
      <c r="E1377" s="16"/>
      <c r="F1377" s="16"/>
      <c r="G1377" s="16"/>
      <c r="H1377" s="16"/>
      <c r="I1377" s="16"/>
      <c r="J1377" s="16"/>
      <c r="K1377" s="16"/>
      <c r="L1377" s="16"/>
      <c r="M1377" s="16"/>
      <c r="N1377" s="16"/>
      <c r="O1377" s="16"/>
      <c r="P1377" s="16"/>
      <c r="Q1377" s="16"/>
      <c r="R1377" s="16"/>
      <c r="S1377" s="16"/>
      <c r="T1377" s="16"/>
      <c r="U1377" s="16"/>
      <c r="V1377" s="16"/>
      <c r="W1377" s="16"/>
      <c r="X1377" s="16"/>
      <c r="Y1377" s="16"/>
      <c r="Z1377" s="16"/>
    </row>
    <row r="1378">
      <c r="A1378" s="16"/>
      <c r="B1378" s="16"/>
      <c r="C1378" s="16"/>
      <c r="D1378" s="16"/>
      <c r="E1378" s="16"/>
      <c r="F1378" s="16"/>
      <c r="G1378" s="16"/>
      <c r="H1378" s="16"/>
      <c r="I1378" s="16"/>
      <c r="J1378" s="16"/>
      <c r="K1378" s="16"/>
      <c r="L1378" s="16"/>
      <c r="M1378" s="16"/>
      <c r="N1378" s="16"/>
      <c r="O1378" s="16"/>
      <c r="P1378" s="16"/>
      <c r="Q1378" s="16"/>
      <c r="R1378" s="16"/>
      <c r="S1378" s="16"/>
      <c r="T1378" s="16"/>
      <c r="U1378" s="16"/>
      <c r="V1378" s="16"/>
      <c r="W1378" s="16"/>
      <c r="X1378" s="16"/>
      <c r="Y1378" s="16"/>
      <c r="Z1378" s="16"/>
    </row>
    <row r="1379">
      <c r="A1379" s="16"/>
      <c r="B1379" s="16"/>
      <c r="C1379" s="16"/>
      <c r="D1379" s="16"/>
      <c r="E1379" s="16"/>
      <c r="F1379" s="16"/>
      <c r="G1379" s="16"/>
      <c r="H1379" s="16"/>
      <c r="I1379" s="16"/>
      <c r="J1379" s="16"/>
      <c r="K1379" s="16"/>
      <c r="L1379" s="16"/>
      <c r="M1379" s="16"/>
      <c r="N1379" s="16"/>
      <c r="O1379" s="16"/>
      <c r="P1379" s="16"/>
      <c r="Q1379" s="16"/>
      <c r="R1379" s="16"/>
      <c r="S1379" s="16"/>
      <c r="T1379" s="16"/>
      <c r="U1379" s="16"/>
      <c r="V1379" s="16"/>
      <c r="W1379" s="16"/>
      <c r="X1379" s="16"/>
      <c r="Y1379" s="16"/>
      <c r="Z1379" s="16"/>
    </row>
    <row r="1380">
      <c r="A1380" s="16"/>
      <c r="B1380" s="16"/>
      <c r="C1380" s="16"/>
      <c r="D1380" s="16"/>
      <c r="E1380" s="16"/>
      <c r="F1380" s="16"/>
      <c r="G1380" s="16"/>
      <c r="H1380" s="16"/>
      <c r="I1380" s="16"/>
      <c r="J1380" s="16"/>
      <c r="K1380" s="16"/>
      <c r="L1380" s="16"/>
      <c r="M1380" s="16"/>
      <c r="N1380" s="16"/>
      <c r="O1380" s="16"/>
      <c r="P1380" s="16"/>
      <c r="Q1380" s="16"/>
      <c r="R1380" s="16"/>
      <c r="S1380" s="16"/>
      <c r="T1380" s="16"/>
      <c r="U1380" s="16"/>
      <c r="V1380" s="16"/>
      <c r="W1380" s="16"/>
      <c r="X1380" s="16"/>
      <c r="Y1380" s="16"/>
      <c r="Z1380" s="16"/>
    </row>
    <row r="1381">
      <c r="A1381" s="16"/>
      <c r="B1381" s="16"/>
      <c r="C1381" s="16"/>
      <c r="D1381" s="16"/>
      <c r="E1381" s="16"/>
      <c r="F1381" s="16"/>
      <c r="G1381" s="16"/>
      <c r="H1381" s="16"/>
      <c r="I1381" s="16"/>
      <c r="J1381" s="16"/>
      <c r="K1381" s="16"/>
      <c r="L1381" s="16"/>
      <c r="M1381" s="16"/>
      <c r="N1381" s="16"/>
      <c r="O1381" s="16"/>
      <c r="P1381" s="16"/>
      <c r="Q1381" s="16"/>
      <c r="R1381" s="16"/>
      <c r="S1381" s="16"/>
      <c r="T1381" s="16"/>
      <c r="U1381" s="16"/>
      <c r="V1381" s="16"/>
      <c r="W1381" s="16"/>
      <c r="X1381" s="16"/>
      <c r="Y1381" s="16"/>
      <c r="Z1381" s="16"/>
    </row>
    <row r="1382">
      <c r="A1382" s="16"/>
      <c r="B1382" s="16"/>
      <c r="C1382" s="16"/>
      <c r="D1382" s="16"/>
      <c r="E1382" s="16"/>
      <c r="F1382" s="16"/>
      <c r="G1382" s="16"/>
      <c r="H1382" s="16"/>
      <c r="I1382" s="16"/>
      <c r="J1382" s="16"/>
      <c r="K1382" s="16"/>
      <c r="L1382" s="16"/>
      <c r="M1382" s="16"/>
      <c r="N1382" s="16"/>
      <c r="O1382" s="16"/>
      <c r="P1382" s="16"/>
      <c r="Q1382" s="16"/>
      <c r="R1382" s="16"/>
      <c r="S1382" s="16"/>
      <c r="T1382" s="16"/>
      <c r="U1382" s="16"/>
      <c r="V1382" s="16"/>
      <c r="W1382" s="16"/>
      <c r="X1382" s="16"/>
      <c r="Y1382" s="16"/>
      <c r="Z1382" s="16"/>
    </row>
    <row r="1383">
      <c r="A1383" s="16"/>
      <c r="B1383" s="16"/>
      <c r="C1383" s="16"/>
      <c r="D1383" s="16"/>
      <c r="E1383" s="16"/>
      <c r="F1383" s="16"/>
      <c r="G1383" s="16"/>
      <c r="H1383" s="16"/>
      <c r="I1383" s="16"/>
      <c r="J1383" s="16"/>
      <c r="K1383" s="16"/>
      <c r="L1383" s="16"/>
      <c r="M1383" s="16"/>
      <c r="N1383" s="16"/>
      <c r="O1383" s="16"/>
      <c r="P1383" s="16"/>
      <c r="Q1383" s="16"/>
      <c r="R1383" s="16"/>
      <c r="S1383" s="16"/>
      <c r="T1383" s="16"/>
      <c r="U1383" s="16"/>
      <c r="V1383" s="16"/>
      <c r="W1383" s="16"/>
      <c r="X1383" s="16"/>
      <c r="Y1383" s="16"/>
      <c r="Z1383" s="16"/>
    </row>
    <row r="1384">
      <c r="A1384" s="16"/>
      <c r="B1384" s="16"/>
      <c r="C1384" s="16"/>
      <c r="D1384" s="16"/>
      <c r="E1384" s="16"/>
      <c r="F1384" s="16"/>
      <c r="G1384" s="16"/>
      <c r="H1384" s="16"/>
      <c r="I1384" s="16"/>
      <c r="J1384" s="16"/>
      <c r="K1384" s="16"/>
      <c r="L1384" s="16"/>
      <c r="M1384" s="16"/>
      <c r="N1384" s="16"/>
      <c r="O1384" s="16"/>
      <c r="P1384" s="16"/>
      <c r="Q1384" s="16"/>
      <c r="R1384" s="16"/>
      <c r="S1384" s="16"/>
      <c r="T1384" s="16"/>
      <c r="U1384" s="16"/>
      <c r="V1384" s="16"/>
      <c r="W1384" s="16"/>
      <c r="X1384" s="16"/>
      <c r="Y1384" s="16"/>
      <c r="Z1384" s="16"/>
    </row>
    <row r="1385">
      <c r="A1385" s="16"/>
      <c r="B1385" s="16"/>
      <c r="C1385" s="16"/>
      <c r="D1385" s="16"/>
      <c r="E1385" s="16"/>
      <c r="F1385" s="16"/>
      <c r="G1385" s="16"/>
      <c r="H1385" s="16"/>
      <c r="I1385" s="16"/>
      <c r="J1385" s="16"/>
      <c r="K1385" s="16"/>
      <c r="L1385" s="16"/>
      <c r="M1385" s="16"/>
      <c r="N1385" s="16"/>
      <c r="O1385" s="16"/>
      <c r="P1385" s="16"/>
      <c r="Q1385" s="16"/>
      <c r="R1385" s="16"/>
      <c r="S1385" s="16"/>
      <c r="T1385" s="16"/>
      <c r="U1385" s="16"/>
      <c r="V1385" s="16"/>
      <c r="W1385" s="16"/>
      <c r="X1385" s="16"/>
      <c r="Y1385" s="16"/>
      <c r="Z1385" s="16"/>
    </row>
    <row r="1386">
      <c r="A1386" s="16"/>
      <c r="B1386" s="16"/>
      <c r="C1386" s="16"/>
      <c r="D1386" s="16"/>
      <c r="E1386" s="16"/>
      <c r="F1386" s="16"/>
      <c r="G1386" s="16"/>
      <c r="H1386" s="16"/>
      <c r="I1386" s="16"/>
      <c r="J1386" s="16"/>
      <c r="K1386" s="16"/>
      <c r="L1386" s="16"/>
      <c r="M1386" s="16"/>
      <c r="N1386" s="16"/>
      <c r="O1386" s="16"/>
      <c r="P1386" s="16"/>
      <c r="Q1386" s="16"/>
      <c r="R1386" s="16"/>
      <c r="S1386" s="16"/>
      <c r="T1386" s="16"/>
      <c r="U1386" s="16"/>
      <c r="V1386" s="16"/>
      <c r="W1386" s="16"/>
      <c r="X1386" s="16"/>
      <c r="Y1386" s="16"/>
      <c r="Z1386" s="16"/>
    </row>
    <row r="1387">
      <c r="A1387" s="16"/>
      <c r="B1387" s="16"/>
      <c r="C1387" s="16"/>
      <c r="D1387" s="16"/>
      <c r="E1387" s="16"/>
      <c r="F1387" s="16"/>
      <c r="G1387" s="16"/>
      <c r="H1387" s="16"/>
      <c r="I1387" s="16"/>
      <c r="J1387" s="16"/>
      <c r="K1387" s="16"/>
      <c r="L1387" s="16"/>
      <c r="M1387" s="16"/>
      <c r="N1387" s="16"/>
      <c r="O1387" s="16"/>
      <c r="P1387" s="16"/>
      <c r="Q1387" s="16"/>
      <c r="R1387" s="16"/>
      <c r="S1387" s="16"/>
      <c r="T1387" s="16"/>
      <c r="U1387" s="16"/>
      <c r="V1387" s="16"/>
      <c r="W1387" s="16"/>
      <c r="X1387" s="16"/>
      <c r="Y1387" s="16"/>
      <c r="Z1387" s="16"/>
    </row>
    <row r="1388">
      <c r="A1388" s="16"/>
      <c r="B1388" s="16"/>
      <c r="C1388" s="16"/>
      <c r="D1388" s="16"/>
      <c r="E1388" s="16"/>
      <c r="F1388" s="16"/>
      <c r="G1388" s="16"/>
      <c r="H1388" s="16"/>
      <c r="I1388" s="16"/>
      <c r="J1388" s="16"/>
      <c r="K1388" s="16"/>
      <c r="L1388" s="16"/>
      <c r="M1388" s="16"/>
      <c r="N1388" s="16"/>
      <c r="O1388" s="16"/>
      <c r="P1388" s="16"/>
      <c r="Q1388" s="16"/>
      <c r="R1388" s="16"/>
      <c r="S1388" s="16"/>
      <c r="T1388" s="16"/>
      <c r="U1388" s="16"/>
      <c r="V1388" s="16"/>
      <c r="W1388" s="16"/>
      <c r="X1388" s="16"/>
      <c r="Y1388" s="16"/>
      <c r="Z1388" s="16"/>
    </row>
    <row r="1389">
      <c r="A1389" s="16"/>
      <c r="B1389" s="16"/>
      <c r="C1389" s="16"/>
      <c r="D1389" s="16"/>
      <c r="E1389" s="16"/>
      <c r="F1389" s="16"/>
      <c r="G1389" s="16"/>
      <c r="H1389" s="16"/>
      <c r="I1389" s="16"/>
      <c r="J1389" s="16"/>
      <c r="K1389" s="16"/>
      <c r="L1389" s="16"/>
      <c r="M1389" s="16"/>
      <c r="N1389" s="16"/>
      <c r="O1389" s="16"/>
      <c r="P1389" s="16"/>
      <c r="Q1389" s="16"/>
      <c r="R1389" s="16"/>
      <c r="S1389" s="16"/>
      <c r="T1389" s="16"/>
      <c r="U1389" s="16"/>
      <c r="V1389" s="16"/>
      <c r="W1389" s="16"/>
      <c r="X1389" s="16"/>
      <c r="Y1389" s="16"/>
      <c r="Z1389" s="16"/>
    </row>
    <row r="1390">
      <c r="A1390" s="16"/>
      <c r="B1390" s="16"/>
      <c r="C1390" s="16"/>
      <c r="D1390" s="16"/>
      <c r="E1390" s="16"/>
      <c r="F1390" s="16"/>
      <c r="G1390" s="16"/>
      <c r="H1390" s="16"/>
      <c r="I1390" s="16"/>
      <c r="J1390" s="16"/>
      <c r="K1390" s="16"/>
      <c r="L1390" s="16"/>
      <c r="M1390" s="16"/>
      <c r="N1390" s="16"/>
      <c r="O1390" s="16"/>
      <c r="P1390" s="16"/>
      <c r="Q1390" s="16"/>
      <c r="R1390" s="16"/>
      <c r="S1390" s="16"/>
      <c r="T1390" s="16"/>
      <c r="U1390" s="16"/>
      <c r="V1390" s="16"/>
      <c r="W1390" s="16"/>
      <c r="X1390" s="16"/>
      <c r="Y1390" s="16"/>
      <c r="Z1390" s="16"/>
    </row>
    <row r="1391">
      <c r="A1391" s="16"/>
      <c r="B1391" s="16"/>
      <c r="C1391" s="16"/>
      <c r="D1391" s="16"/>
      <c r="E1391" s="16"/>
      <c r="F1391" s="16"/>
      <c r="G1391" s="16"/>
      <c r="H1391" s="16"/>
      <c r="I1391" s="16"/>
      <c r="J1391" s="16"/>
      <c r="K1391" s="16"/>
      <c r="L1391" s="16"/>
      <c r="M1391" s="16"/>
      <c r="N1391" s="16"/>
      <c r="O1391" s="16"/>
      <c r="P1391" s="16"/>
      <c r="Q1391" s="16"/>
      <c r="R1391" s="16"/>
      <c r="S1391" s="16"/>
      <c r="T1391" s="16"/>
      <c r="U1391" s="16"/>
      <c r="V1391" s="16"/>
      <c r="W1391" s="16"/>
      <c r="X1391" s="16"/>
      <c r="Y1391" s="16"/>
      <c r="Z1391" s="16"/>
    </row>
    <row r="1392">
      <c r="A1392" s="16"/>
      <c r="B1392" s="16"/>
      <c r="C1392" s="16"/>
      <c r="D1392" s="16"/>
      <c r="E1392" s="16"/>
      <c r="F1392" s="16"/>
      <c r="G1392" s="16"/>
      <c r="H1392" s="16"/>
      <c r="I1392" s="16"/>
      <c r="J1392" s="16"/>
      <c r="K1392" s="16"/>
      <c r="L1392" s="16"/>
      <c r="M1392" s="16"/>
      <c r="N1392" s="16"/>
      <c r="O1392" s="16"/>
      <c r="P1392" s="16"/>
      <c r="Q1392" s="16"/>
      <c r="R1392" s="16"/>
      <c r="S1392" s="16"/>
      <c r="T1392" s="16"/>
      <c r="U1392" s="16"/>
      <c r="V1392" s="16"/>
      <c r="W1392" s="16"/>
      <c r="X1392" s="16"/>
      <c r="Y1392" s="16"/>
      <c r="Z1392" s="16"/>
    </row>
    <row r="1393">
      <c r="A1393" s="16"/>
      <c r="B1393" s="16"/>
      <c r="C1393" s="16"/>
      <c r="D1393" s="16"/>
      <c r="E1393" s="16"/>
      <c r="F1393" s="16"/>
      <c r="G1393" s="16"/>
      <c r="H1393" s="16"/>
      <c r="I1393" s="16"/>
      <c r="J1393" s="16"/>
      <c r="K1393" s="16"/>
      <c r="L1393" s="16"/>
      <c r="M1393" s="16"/>
      <c r="N1393" s="16"/>
      <c r="O1393" s="16"/>
      <c r="P1393" s="16"/>
      <c r="Q1393" s="16"/>
      <c r="R1393" s="16"/>
      <c r="S1393" s="16"/>
      <c r="T1393" s="16"/>
      <c r="U1393" s="16"/>
      <c r="V1393" s="16"/>
      <c r="W1393" s="16"/>
      <c r="X1393" s="16"/>
      <c r="Y1393" s="16"/>
      <c r="Z1393" s="16"/>
    </row>
    <row r="1394">
      <c r="A1394" s="16"/>
      <c r="B1394" s="16"/>
      <c r="C1394" s="16"/>
      <c r="D1394" s="16"/>
      <c r="E1394" s="16"/>
      <c r="F1394" s="16"/>
      <c r="G1394" s="16"/>
      <c r="H1394" s="16"/>
      <c r="I1394" s="16"/>
      <c r="J1394" s="16"/>
      <c r="K1394" s="16"/>
      <c r="L1394" s="16"/>
      <c r="M1394" s="16"/>
      <c r="N1394" s="16"/>
      <c r="O1394" s="16"/>
      <c r="P1394" s="16"/>
      <c r="Q1394" s="16"/>
      <c r="R1394" s="16"/>
      <c r="S1394" s="16"/>
      <c r="T1394" s="16"/>
      <c r="U1394" s="16"/>
      <c r="V1394" s="16"/>
      <c r="W1394" s="16"/>
      <c r="X1394" s="16"/>
      <c r="Y1394" s="16"/>
      <c r="Z1394" s="16"/>
    </row>
    <row r="1395">
      <c r="A1395" s="16"/>
      <c r="B1395" s="16"/>
      <c r="C1395" s="16"/>
      <c r="D1395" s="16"/>
      <c r="E1395" s="16"/>
      <c r="F1395" s="16"/>
      <c r="G1395" s="16"/>
      <c r="H1395" s="16"/>
      <c r="I1395" s="16"/>
      <c r="J1395" s="16"/>
      <c r="K1395" s="16"/>
      <c r="L1395" s="16"/>
      <c r="M1395" s="16"/>
      <c r="N1395" s="16"/>
      <c r="O1395" s="16"/>
      <c r="P1395" s="16"/>
      <c r="Q1395" s="16"/>
      <c r="R1395" s="16"/>
      <c r="S1395" s="16"/>
      <c r="T1395" s="16"/>
      <c r="U1395" s="16"/>
      <c r="V1395" s="16"/>
      <c r="W1395" s="16"/>
      <c r="X1395" s="16"/>
      <c r="Y1395" s="16"/>
      <c r="Z1395" s="16"/>
    </row>
    <row r="1396">
      <c r="A1396" s="16"/>
      <c r="B1396" s="16"/>
      <c r="C1396" s="16"/>
      <c r="D1396" s="16"/>
      <c r="E1396" s="16"/>
      <c r="F1396" s="16"/>
      <c r="G1396" s="16"/>
      <c r="H1396" s="16"/>
      <c r="I1396" s="16"/>
      <c r="J1396" s="16"/>
      <c r="K1396" s="16"/>
      <c r="L1396" s="16"/>
      <c r="M1396" s="16"/>
      <c r="N1396" s="16"/>
      <c r="O1396" s="16"/>
      <c r="P1396" s="16"/>
      <c r="Q1396" s="16"/>
      <c r="R1396" s="16"/>
      <c r="S1396" s="16"/>
      <c r="T1396" s="16"/>
      <c r="U1396" s="16"/>
      <c r="V1396" s="16"/>
      <c r="W1396" s="16"/>
      <c r="X1396" s="16"/>
      <c r="Y1396" s="16"/>
      <c r="Z1396" s="16"/>
    </row>
    <row r="1397">
      <c r="A1397" s="16"/>
      <c r="B1397" s="16"/>
      <c r="C1397" s="16"/>
      <c r="D1397" s="16"/>
      <c r="E1397" s="16"/>
      <c r="F1397" s="16"/>
      <c r="G1397" s="16"/>
      <c r="H1397" s="16"/>
      <c r="I1397" s="16"/>
      <c r="J1397" s="16"/>
      <c r="K1397" s="16"/>
      <c r="L1397" s="16"/>
      <c r="M1397" s="16"/>
      <c r="N1397" s="16"/>
      <c r="O1397" s="16"/>
      <c r="P1397" s="16"/>
      <c r="Q1397" s="16"/>
      <c r="R1397" s="16"/>
      <c r="S1397" s="16"/>
      <c r="T1397" s="16"/>
      <c r="U1397" s="16"/>
      <c r="V1397" s="16"/>
      <c r="W1397" s="16"/>
      <c r="X1397" s="16"/>
      <c r="Y1397" s="16"/>
      <c r="Z1397" s="16"/>
    </row>
    <row r="1398">
      <c r="A1398" s="16"/>
      <c r="B1398" s="16"/>
      <c r="C1398" s="16"/>
      <c r="D1398" s="16"/>
      <c r="E1398" s="16"/>
      <c r="F1398" s="16"/>
      <c r="G1398" s="16"/>
      <c r="H1398" s="16"/>
      <c r="I1398" s="16"/>
      <c r="J1398" s="16"/>
      <c r="K1398" s="16"/>
      <c r="L1398" s="16"/>
      <c r="M1398" s="16"/>
      <c r="N1398" s="16"/>
      <c r="O1398" s="16"/>
      <c r="P1398" s="16"/>
      <c r="Q1398" s="16"/>
      <c r="R1398" s="16"/>
      <c r="S1398" s="16"/>
      <c r="T1398" s="16"/>
      <c r="U1398" s="16"/>
      <c r="V1398" s="16"/>
      <c r="W1398" s="16"/>
      <c r="X1398" s="16"/>
      <c r="Y1398" s="16"/>
      <c r="Z1398" s="16"/>
    </row>
    <row r="1399">
      <c r="A1399" s="16"/>
      <c r="B1399" s="16"/>
      <c r="C1399" s="16"/>
      <c r="D1399" s="16"/>
      <c r="E1399" s="16"/>
      <c r="F1399" s="16"/>
      <c r="G1399" s="16"/>
      <c r="H1399" s="16"/>
      <c r="I1399" s="16"/>
      <c r="J1399" s="16"/>
      <c r="K1399" s="16"/>
      <c r="L1399" s="16"/>
      <c r="M1399" s="16"/>
      <c r="N1399" s="16"/>
      <c r="O1399" s="16"/>
      <c r="P1399" s="16"/>
      <c r="Q1399" s="16"/>
      <c r="R1399" s="16"/>
      <c r="S1399" s="16"/>
      <c r="T1399" s="16"/>
      <c r="U1399" s="16"/>
      <c r="V1399" s="16"/>
      <c r="W1399" s="16"/>
      <c r="X1399" s="16"/>
      <c r="Y1399" s="16"/>
      <c r="Z1399" s="16"/>
    </row>
    <row r="1400">
      <c r="A1400" s="16"/>
      <c r="B1400" s="16"/>
      <c r="C1400" s="16"/>
      <c r="D1400" s="16"/>
      <c r="E1400" s="16"/>
      <c r="F1400" s="16"/>
      <c r="G1400" s="16"/>
      <c r="H1400" s="16"/>
      <c r="I1400" s="16"/>
      <c r="J1400" s="16"/>
      <c r="K1400" s="16"/>
      <c r="L1400" s="16"/>
      <c r="M1400" s="16"/>
      <c r="N1400" s="16"/>
      <c r="O1400" s="16"/>
      <c r="P1400" s="16"/>
      <c r="Q1400" s="16"/>
      <c r="R1400" s="16"/>
      <c r="S1400" s="16"/>
      <c r="T1400" s="16"/>
      <c r="U1400" s="16"/>
      <c r="V1400" s="16"/>
      <c r="W1400" s="16"/>
      <c r="X1400" s="16"/>
      <c r="Y1400" s="16"/>
      <c r="Z1400" s="16"/>
    </row>
    <row r="1401">
      <c r="A1401" s="16"/>
      <c r="B1401" s="16"/>
      <c r="C1401" s="16"/>
      <c r="D1401" s="16"/>
      <c r="E1401" s="16"/>
      <c r="F1401" s="16"/>
      <c r="G1401" s="16"/>
      <c r="H1401" s="16"/>
      <c r="I1401" s="16"/>
      <c r="J1401" s="16"/>
      <c r="K1401" s="16"/>
      <c r="L1401" s="16"/>
      <c r="M1401" s="16"/>
      <c r="N1401" s="16"/>
      <c r="O1401" s="16"/>
      <c r="P1401" s="16"/>
      <c r="Q1401" s="16"/>
      <c r="R1401" s="16"/>
      <c r="S1401" s="16"/>
      <c r="T1401" s="16"/>
      <c r="U1401" s="16"/>
      <c r="V1401" s="16"/>
      <c r="W1401" s="16"/>
      <c r="X1401" s="16"/>
      <c r="Y1401" s="16"/>
      <c r="Z1401" s="16"/>
    </row>
    <row r="1402">
      <c r="A1402" s="16"/>
      <c r="B1402" s="16"/>
      <c r="C1402" s="16"/>
      <c r="D1402" s="16"/>
      <c r="E1402" s="16"/>
      <c r="F1402" s="16"/>
      <c r="G1402" s="16"/>
      <c r="H1402" s="16"/>
      <c r="I1402" s="16"/>
      <c r="J1402" s="16"/>
      <c r="K1402" s="16"/>
      <c r="L1402" s="16"/>
      <c r="M1402" s="16"/>
      <c r="N1402" s="16"/>
      <c r="O1402" s="16"/>
      <c r="P1402" s="16"/>
      <c r="Q1402" s="16"/>
      <c r="R1402" s="16"/>
      <c r="S1402" s="16"/>
      <c r="T1402" s="16"/>
      <c r="U1402" s="16"/>
      <c r="V1402" s="16"/>
      <c r="W1402" s="16"/>
      <c r="X1402" s="16"/>
      <c r="Y1402" s="16"/>
      <c r="Z1402" s="16"/>
    </row>
    <row r="1403">
      <c r="A1403" s="16"/>
      <c r="B1403" s="16"/>
      <c r="C1403" s="16"/>
      <c r="D1403" s="16"/>
      <c r="E1403" s="16"/>
      <c r="F1403" s="16"/>
      <c r="G1403" s="16"/>
      <c r="H1403" s="16"/>
      <c r="I1403" s="16"/>
      <c r="J1403" s="16"/>
      <c r="K1403" s="16"/>
      <c r="L1403" s="16"/>
      <c r="M1403" s="16"/>
      <c r="N1403" s="16"/>
      <c r="O1403" s="16"/>
      <c r="P1403" s="16"/>
      <c r="Q1403" s="16"/>
      <c r="R1403" s="16"/>
      <c r="S1403" s="16"/>
      <c r="T1403" s="16"/>
      <c r="U1403" s="16"/>
      <c r="V1403" s="16"/>
      <c r="W1403" s="16"/>
      <c r="X1403" s="16"/>
      <c r="Y1403" s="16"/>
      <c r="Z1403" s="16"/>
    </row>
    <row r="1404">
      <c r="A1404" s="16"/>
      <c r="B1404" s="16"/>
      <c r="C1404" s="16"/>
      <c r="D1404" s="16"/>
      <c r="E1404" s="16"/>
      <c r="F1404" s="16"/>
      <c r="G1404" s="16"/>
      <c r="H1404" s="16"/>
      <c r="I1404" s="16"/>
      <c r="J1404" s="16"/>
      <c r="K1404" s="16"/>
      <c r="L1404" s="16"/>
      <c r="M1404" s="16"/>
      <c r="N1404" s="16"/>
      <c r="O1404" s="16"/>
      <c r="P1404" s="16"/>
      <c r="Q1404" s="16"/>
      <c r="R1404" s="16"/>
      <c r="S1404" s="16"/>
      <c r="T1404" s="16"/>
      <c r="U1404" s="16"/>
      <c r="V1404" s="16"/>
      <c r="W1404" s="16"/>
      <c r="X1404" s="16"/>
      <c r="Y1404" s="16"/>
      <c r="Z1404" s="16"/>
    </row>
    <row r="1405">
      <c r="A1405" s="16"/>
      <c r="B1405" s="16"/>
      <c r="C1405" s="16"/>
      <c r="D1405" s="16"/>
      <c r="E1405" s="16"/>
      <c r="F1405" s="16"/>
      <c r="G1405" s="16"/>
      <c r="H1405" s="16"/>
      <c r="I1405" s="16"/>
      <c r="J1405" s="16"/>
      <c r="K1405" s="16"/>
      <c r="L1405" s="16"/>
      <c r="M1405" s="16"/>
      <c r="N1405" s="16"/>
      <c r="O1405" s="16"/>
      <c r="P1405" s="16"/>
      <c r="Q1405" s="16"/>
      <c r="R1405" s="16"/>
      <c r="S1405" s="16"/>
      <c r="T1405" s="16"/>
      <c r="U1405" s="16"/>
      <c r="V1405" s="16"/>
      <c r="W1405" s="16"/>
      <c r="X1405" s="16"/>
      <c r="Y1405" s="16"/>
      <c r="Z1405" s="16"/>
    </row>
    <row r="1406">
      <c r="A1406" s="16"/>
      <c r="B1406" s="16"/>
      <c r="C1406" s="16"/>
      <c r="D1406" s="16"/>
      <c r="E1406" s="16"/>
      <c r="F1406" s="16"/>
      <c r="G1406" s="16"/>
      <c r="H1406" s="16"/>
      <c r="I1406" s="16"/>
      <c r="J1406" s="16"/>
      <c r="K1406" s="16"/>
      <c r="L1406" s="16"/>
      <c r="M1406" s="16"/>
      <c r="N1406" s="16"/>
      <c r="O1406" s="16"/>
      <c r="P1406" s="16"/>
      <c r="Q1406" s="16"/>
      <c r="R1406" s="16"/>
      <c r="S1406" s="16"/>
      <c r="T1406" s="16"/>
      <c r="U1406" s="16"/>
      <c r="V1406" s="16"/>
      <c r="W1406" s="16"/>
      <c r="X1406" s="16"/>
      <c r="Y1406" s="16"/>
      <c r="Z1406" s="16"/>
    </row>
    <row r="1407">
      <c r="A1407" s="16"/>
      <c r="B1407" s="16"/>
      <c r="C1407" s="16"/>
      <c r="D1407" s="16"/>
      <c r="E1407" s="16"/>
      <c r="F1407" s="16"/>
      <c r="G1407" s="16"/>
      <c r="H1407" s="16"/>
      <c r="I1407" s="16"/>
      <c r="J1407" s="16"/>
      <c r="K1407" s="16"/>
      <c r="L1407" s="16"/>
      <c r="M1407" s="16"/>
      <c r="N1407" s="16"/>
      <c r="O1407" s="16"/>
      <c r="P1407" s="16"/>
      <c r="Q1407" s="16"/>
      <c r="R1407" s="16"/>
      <c r="S1407" s="16"/>
      <c r="T1407" s="16"/>
      <c r="U1407" s="16"/>
      <c r="V1407" s="16"/>
      <c r="W1407" s="16"/>
      <c r="X1407" s="16"/>
      <c r="Y1407" s="16"/>
      <c r="Z1407" s="16"/>
    </row>
    <row r="1408">
      <c r="A1408" s="16"/>
      <c r="B1408" s="16"/>
      <c r="C1408" s="16"/>
      <c r="D1408" s="16"/>
      <c r="E1408" s="16"/>
      <c r="F1408" s="16"/>
      <c r="G1408" s="16"/>
      <c r="H1408" s="16"/>
      <c r="I1408" s="16"/>
      <c r="J1408" s="16"/>
      <c r="K1408" s="16"/>
      <c r="L1408" s="16"/>
      <c r="M1408" s="16"/>
      <c r="N1408" s="16"/>
      <c r="O1408" s="16"/>
      <c r="P1408" s="16"/>
      <c r="Q1408" s="16"/>
      <c r="R1408" s="16"/>
      <c r="S1408" s="16"/>
      <c r="T1408" s="16"/>
      <c r="U1408" s="16"/>
      <c r="V1408" s="16"/>
      <c r="W1408" s="16"/>
      <c r="X1408" s="16"/>
      <c r="Y1408" s="16"/>
      <c r="Z1408" s="16"/>
    </row>
    <row r="1409">
      <c r="A1409" s="16"/>
      <c r="B1409" s="16"/>
      <c r="C1409" s="16"/>
      <c r="D1409" s="16"/>
      <c r="E1409" s="16"/>
      <c r="F1409" s="16"/>
      <c r="G1409" s="16"/>
      <c r="H1409" s="16"/>
      <c r="I1409" s="16"/>
      <c r="J1409" s="16"/>
      <c r="K1409" s="16"/>
      <c r="L1409" s="16"/>
      <c r="M1409" s="16"/>
      <c r="N1409" s="16"/>
      <c r="O1409" s="16"/>
      <c r="P1409" s="16"/>
      <c r="Q1409" s="16"/>
      <c r="R1409" s="16"/>
      <c r="S1409" s="16"/>
      <c r="T1409" s="16"/>
      <c r="U1409" s="16"/>
      <c r="V1409" s="16"/>
      <c r="W1409" s="16"/>
      <c r="X1409" s="16"/>
      <c r="Y1409" s="16"/>
      <c r="Z1409" s="16"/>
    </row>
    <row r="1410">
      <c r="A1410" s="16"/>
      <c r="B1410" s="16"/>
      <c r="C1410" s="16"/>
      <c r="D1410" s="16"/>
      <c r="E1410" s="16"/>
      <c r="F1410" s="16"/>
      <c r="G1410" s="16"/>
      <c r="H1410" s="16"/>
      <c r="I1410" s="16"/>
      <c r="J1410" s="16"/>
      <c r="K1410" s="16"/>
      <c r="L1410" s="16"/>
      <c r="M1410" s="16"/>
      <c r="N1410" s="16"/>
      <c r="O1410" s="16"/>
      <c r="P1410" s="16"/>
      <c r="Q1410" s="16"/>
      <c r="R1410" s="16"/>
      <c r="S1410" s="16"/>
      <c r="T1410" s="16"/>
      <c r="U1410" s="16"/>
      <c r="V1410" s="16"/>
      <c r="W1410" s="16"/>
      <c r="X1410" s="16"/>
      <c r="Y1410" s="16"/>
      <c r="Z1410" s="16"/>
    </row>
    <row r="1411">
      <c r="A1411" s="16"/>
      <c r="B1411" s="16"/>
      <c r="C1411" s="16"/>
      <c r="D1411" s="16"/>
      <c r="E1411" s="16"/>
      <c r="F1411" s="16"/>
      <c r="G1411" s="16"/>
      <c r="H1411" s="16"/>
      <c r="I1411" s="16"/>
      <c r="J1411" s="16"/>
      <c r="K1411" s="16"/>
      <c r="L1411" s="16"/>
      <c r="M1411" s="16"/>
      <c r="N1411" s="16"/>
      <c r="O1411" s="16"/>
      <c r="P1411" s="16"/>
      <c r="Q1411" s="16"/>
      <c r="R1411" s="16"/>
      <c r="S1411" s="16"/>
      <c r="T1411" s="16"/>
      <c r="U1411" s="16"/>
      <c r="V1411" s="16"/>
      <c r="W1411" s="16"/>
      <c r="X1411" s="16"/>
      <c r="Y1411" s="16"/>
      <c r="Z1411" s="16"/>
    </row>
    <row r="1412">
      <c r="A1412" s="16"/>
      <c r="B1412" s="16"/>
      <c r="C1412" s="16"/>
      <c r="D1412" s="16"/>
      <c r="E1412" s="16"/>
      <c r="F1412" s="16"/>
      <c r="G1412" s="16"/>
      <c r="H1412" s="16"/>
      <c r="I1412" s="16"/>
      <c r="J1412" s="16"/>
      <c r="K1412" s="16"/>
      <c r="L1412" s="16"/>
      <c r="M1412" s="16"/>
      <c r="N1412" s="16"/>
      <c r="O1412" s="16"/>
      <c r="P1412" s="16"/>
      <c r="Q1412" s="16"/>
      <c r="R1412" s="16"/>
      <c r="S1412" s="16"/>
      <c r="T1412" s="16"/>
      <c r="U1412" s="16"/>
      <c r="V1412" s="16"/>
      <c r="W1412" s="16"/>
      <c r="X1412" s="16"/>
      <c r="Y1412" s="16"/>
      <c r="Z1412" s="16"/>
    </row>
    <row r="1413">
      <c r="A1413" s="16"/>
      <c r="B1413" s="16"/>
      <c r="C1413" s="16"/>
      <c r="D1413" s="16"/>
      <c r="E1413" s="16"/>
      <c r="F1413" s="16"/>
      <c r="G1413" s="16"/>
      <c r="H1413" s="16"/>
      <c r="I1413" s="16"/>
      <c r="J1413" s="16"/>
      <c r="K1413" s="16"/>
      <c r="L1413" s="16"/>
      <c r="M1413" s="16"/>
      <c r="N1413" s="16"/>
      <c r="O1413" s="16"/>
      <c r="P1413" s="16"/>
      <c r="Q1413" s="16"/>
      <c r="R1413" s="16"/>
      <c r="S1413" s="16"/>
      <c r="T1413" s="16"/>
      <c r="U1413" s="16"/>
      <c r="V1413" s="16"/>
      <c r="W1413" s="16"/>
      <c r="X1413" s="16"/>
      <c r="Y1413" s="16"/>
      <c r="Z1413" s="16"/>
    </row>
    <row r="1414">
      <c r="A1414" s="16"/>
      <c r="B1414" s="16"/>
      <c r="C1414" s="16"/>
      <c r="D1414" s="16"/>
      <c r="E1414" s="16"/>
      <c r="F1414" s="16"/>
      <c r="G1414" s="16"/>
      <c r="H1414" s="16"/>
      <c r="I1414" s="16"/>
      <c r="J1414" s="16"/>
      <c r="K1414" s="16"/>
      <c r="L1414" s="16"/>
      <c r="M1414" s="16"/>
      <c r="N1414" s="16"/>
      <c r="O1414" s="16"/>
      <c r="P1414" s="16"/>
      <c r="Q1414" s="16"/>
      <c r="R1414" s="16"/>
      <c r="S1414" s="16"/>
      <c r="T1414" s="16"/>
      <c r="U1414" s="16"/>
      <c r="V1414" s="16"/>
      <c r="W1414" s="16"/>
      <c r="X1414" s="16"/>
      <c r="Y1414" s="16"/>
      <c r="Z1414" s="16"/>
    </row>
    <row r="1415">
      <c r="A1415" s="16"/>
      <c r="B1415" s="16"/>
      <c r="C1415" s="16"/>
      <c r="D1415" s="16"/>
      <c r="E1415" s="16"/>
      <c r="F1415" s="16"/>
      <c r="G1415" s="16"/>
      <c r="H1415" s="16"/>
      <c r="I1415" s="16"/>
      <c r="J1415" s="16"/>
      <c r="K1415" s="16"/>
      <c r="L1415" s="16"/>
      <c r="M1415" s="16"/>
      <c r="N1415" s="16"/>
      <c r="O1415" s="16"/>
      <c r="P1415" s="16"/>
      <c r="Q1415" s="16"/>
      <c r="R1415" s="16"/>
      <c r="S1415" s="16"/>
      <c r="T1415" s="16"/>
      <c r="U1415" s="16"/>
      <c r="V1415" s="16"/>
      <c r="W1415" s="16"/>
      <c r="X1415" s="16"/>
      <c r="Y1415" s="16"/>
      <c r="Z1415" s="16"/>
    </row>
    <row r="1416">
      <c r="A1416" s="16"/>
      <c r="B1416" s="16"/>
      <c r="C1416" s="16"/>
      <c r="D1416" s="16"/>
      <c r="E1416" s="16"/>
      <c r="F1416" s="16"/>
      <c r="G1416" s="16"/>
      <c r="H1416" s="16"/>
      <c r="I1416" s="16"/>
      <c r="J1416" s="16"/>
      <c r="K1416" s="16"/>
      <c r="L1416" s="16"/>
      <c r="M1416" s="16"/>
      <c r="N1416" s="16"/>
      <c r="O1416" s="16"/>
      <c r="P1416" s="16"/>
      <c r="Q1416" s="16"/>
      <c r="R1416" s="16"/>
      <c r="S1416" s="16"/>
      <c r="T1416" s="16"/>
      <c r="U1416" s="16"/>
      <c r="V1416" s="16"/>
      <c r="W1416" s="16"/>
      <c r="X1416" s="16"/>
      <c r="Y1416" s="16"/>
      <c r="Z1416" s="16"/>
    </row>
    <row r="1417">
      <c r="A1417" s="16"/>
      <c r="B1417" s="16"/>
      <c r="C1417" s="16"/>
      <c r="D1417" s="16"/>
      <c r="E1417" s="16"/>
      <c r="F1417" s="16"/>
      <c r="G1417" s="16"/>
      <c r="H1417" s="16"/>
      <c r="I1417" s="16"/>
      <c r="J1417" s="16"/>
      <c r="K1417" s="16"/>
      <c r="L1417" s="16"/>
      <c r="M1417" s="16"/>
      <c r="N1417" s="16"/>
      <c r="O1417" s="16"/>
      <c r="P1417" s="16"/>
      <c r="Q1417" s="16"/>
      <c r="R1417" s="16"/>
      <c r="S1417" s="16"/>
      <c r="T1417" s="16"/>
      <c r="U1417" s="16"/>
      <c r="V1417" s="16"/>
      <c r="W1417" s="16"/>
      <c r="X1417" s="16"/>
      <c r="Y1417" s="16"/>
      <c r="Z1417" s="16"/>
    </row>
    <row r="1418">
      <c r="A1418" s="16"/>
      <c r="B1418" s="16"/>
      <c r="C1418" s="16"/>
      <c r="D1418" s="16"/>
      <c r="E1418" s="16"/>
      <c r="F1418" s="16"/>
      <c r="G1418" s="16"/>
      <c r="H1418" s="16"/>
      <c r="I1418" s="16"/>
      <c r="J1418" s="16"/>
      <c r="K1418" s="16"/>
      <c r="L1418" s="16"/>
      <c r="M1418" s="16"/>
      <c r="N1418" s="16"/>
      <c r="O1418" s="16"/>
      <c r="P1418" s="16"/>
      <c r="Q1418" s="16"/>
      <c r="R1418" s="16"/>
      <c r="S1418" s="16"/>
      <c r="T1418" s="16"/>
      <c r="U1418" s="16"/>
      <c r="V1418" s="16"/>
      <c r="W1418" s="16"/>
      <c r="X1418" s="16"/>
      <c r="Y1418" s="16"/>
      <c r="Z1418" s="16"/>
    </row>
    <row r="1419">
      <c r="A1419" s="16"/>
      <c r="B1419" s="16"/>
      <c r="C1419" s="16"/>
      <c r="D1419" s="16"/>
      <c r="E1419" s="16"/>
      <c r="F1419" s="16"/>
      <c r="G1419" s="16"/>
      <c r="H1419" s="16"/>
      <c r="I1419" s="16"/>
      <c r="J1419" s="16"/>
      <c r="K1419" s="16"/>
      <c r="L1419" s="16"/>
      <c r="M1419" s="16"/>
      <c r="N1419" s="16"/>
      <c r="O1419" s="16"/>
      <c r="P1419" s="16"/>
      <c r="Q1419" s="16"/>
      <c r="R1419" s="16"/>
      <c r="S1419" s="16"/>
      <c r="T1419" s="16"/>
      <c r="U1419" s="16"/>
      <c r="V1419" s="16"/>
      <c r="W1419" s="16"/>
      <c r="X1419" s="16"/>
      <c r="Y1419" s="16"/>
      <c r="Z1419" s="16"/>
    </row>
    <row r="1420">
      <c r="A1420" s="16"/>
      <c r="B1420" s="16"/>
      <c r="C1420" s="16"/>
      <c r="D1420" s="16"/>
      <c r="E1420" s="16"/>
      <c r="F1420" s="16"/>
      <c r="G1420" s="16"/>
      <c r="H1420" s="16"/>
      <c r="I1420" s="16"/>
      <c r="J1420" s="16"/>
      <c r="K1420" s="16"/>
      <c r="L1420" s="16"/>
      <c r="M1420" s="16"/>
      <c r="N1420" s="16"/>
      <c r="O1420" s="16"/>
      <c r="P1420" s="16"/>
      <c r="Q1420" s="16"/>
      <c r="R1420" s="16"/>
      <c r="S1420" s="16"/>
      <c r="T1420" s="16"/>
      <c r="U1420" s="16"/>
      <c r="V1420" s="16"/>
      <c r="W1420" s="16"/>
      <c r="X1420" s="16"/>
      <c r="Y1420" s="16"/>
      <c r="Z1420" s="16"/>
    </row>
    <row r="1421">
      <c r="A1421" s="16"/>
      <c r="B1421" s="16"/>
      <c r="C1421" s="16"/>
      <c r="D1421" s="16"/>
      <c r="E1421" s="16"/>
      <c r="F1421" s="16"/>
      <c r="G1421" s="16"/>
      <c r="H1421" s="16"/>
      <c r="I1421" s="16"/>
      <c r="J1421" s="16"/>
      <c r="K1421" s="16"/>
      <c r="L1421" s="16"/>
      <c r="M1421" s="16"/>
      <c r="N1421" s="16"/>
      <c r="O1421" s="16"/>
      <c r="P1421" s="16"/>
      <c r="Q1421" s="16"/>
      <c r="R1421" s="16"/>
      <c r="S1421" s="16"/>
      <c r="T1421" s="16"/>
      <c r="U1421" s="16"/>
      <c r="V1421" s="16"/>
      <c r="W1421" s="16"/>
      <c r="X1421" s="16"/>
      <c r="Y1421" s="16"/>
      <c r="Z1421" s="16"/>
    </row>
    <row r="1422">
      <c r="A1422" s="16"/>
      <c r="B1422" s="16"/>
      <c r="C1422" s="16"/>
      <c r="D1422" s="16"/>
      <c r="E1422" s="16"/>
      <c r="F1422" s="16"/>
      <c r="G1422" s="16"/>
      <c r="H1422" s="16"/>
      <c r="I1422" s="16"/>
      <c r="J1422" s="16"/>
      <c r="K1422" s="16"/>
      <c r="L1422" s="16"/>
      <c r="M1422" s="16"/>
      <c r="N1422" s="16"/>
      <c r="O1422" s="16"/>
      <c r="P1422" s="16"/>
      <c r="Q1422" s="16"/>
      <c r="R1422" s="16"/>
      <c r="S1422" s="16"/>
      <c r="T1422" s="16"/>
      <c r="U1422" s="16"/>
      <c r="V1422" s="16"/>
      <c r="W1422" s="16"/>
      <c r="X1422" s="16"/>
      <c r="Y1422" s="16"/>
      <c r="Z1422" s="16"/>
    </row>
    <row r="1423">
      <c r="A1423" s="16"/>
      <c r="B1423" s="16"/>
      <c r="C1423" s="16"/>
      <c r="D1423" s="16"/>
      <c r="E1423" s="16"/>
      <c r="F1423" s="16"/>
      <c r="G1423" s="16"/>
      <c r="H1423" s="16"/>
      <c r="I1423" s="16"/>
      <c r="J1423" s="16"/>
      <c r="K1423" s="16"/>
      <c r="L1423" s="16"/>
      <c r="M1423" s="16"/>
      <c r="N1423" s="16"/>
      <c r="O1423" s="16"/>
      <c r="P1423" s="16"/>
      <c r="Q1423" s="16"/>
      <c r="R1423" s="16"/>
      <c r="S1423" s="16"/>
      <c r="T1423" s="16"/>
      <c r="U1423" s="16"/>
      <c r="V1423" s="16"/>
      <c r="W1423" s="16"/>
      <c r="X1423" s="16"/>
      <c r="Y1423" s="16"/>
      <c r="Z1423" s="16"/>
    </row>
    <row r="1424">
      <c r="A1424" s="16"/>
      <c r="B1424" s="16"/>
      <c r="C1424" s="16"/>
      <c r="D1424" s="16"/>
      <c r="E1424" s="16"/>
      <c r="F1424" s="16"/>
      <c r="G1424" s="16"/>
      <c r="H1424" s="16"/>
      <c r="I1424" s="16"/>
      <c r="J1424" s="16"/>
      <c r="K1424" s="16"/>
      <c r="L1424" s="16"/>
      <c r="M1424" s="16"/>
      <c r="N1424" s="16"/>
      <c r="O1424" s="16"/>
      <c r="P1424" s="16"/>
      <c r="Q1424" s="16"/>
      <c r="R1424" s="16"/>
      <c r="S1424" s="16"/>
      <c r="T1424" s="16"/>
      <c r="U1424" s="16"/>
      <c r="V1424" s="16"/>
      <c r="W1424" s="16"/>
      <c r="X1424" s="16"/>
      <c r="Y1424" s="16"/>
      <c r="Z1424" s="16"/>
    </row>
    <row r="1425">
      <c r="A1425" s="16"/>
      <c r="B1425" s="16"/>
      <c r="C1425" s="16"/>
      <c r="D1425" s="16"/>
      <c r="E1425" s="16"/>
      <c r="F1425" s="16"/>
      <c r="G1425" s="16"/>
      <c r="H1425" s="16"/>
      <c r="I1425" s="16"/>
      <c r="J1425" s="16"/>
      <c r="K1425" s="16"/>
      <c r="L1425" s="16"/>
      <c r="M1425" s="16"/>
      <c r="N1425" s="16"/>
      <c r="O1425" s="16"/>
      <c r="P1425" s="16"/>
      <c r="Q1425" s="16"/>
      <c r="R1425" s="16"/>
      <c r="S1425" s="16"/>
      <c r="T1425" s="16"/>
      <c r="U1425" s="16"/>
      <c r="V1425" s="16"/>
      <c r="W1425" s="16"/>
      <c r="X1425" s="16"/>
      <c r="Y1425" s="16"/>
      <c r="Z1425" s="16"/>
    </row>
    <row r="1426">
      <c r="A1426" s="16"/>
      <c r="B1426" s="16"/>
      <c r="C1426" s="16"/>
      <c r="D1426" s="16"/>
      <c r="E1426" s="16"/>
      <c r="F1426" s="16"/>
      <c r="G1426" s="16"/>
      <c r="H1426" s="16"/>
      <c r="I1426" s="16"/>
      <c r="J1426" s="16"/>
      <c r="K1426" s="16"/>
      <c r="L1426" s="16"/>
      <c r="M1426" s="16"/>
      <c r="N1426" s="16"/>
      <c r="O1426" s="16"/>
      <c r="P1426" s="16"/>
      <c r="Q1426" s="16"/>
      <c r="R1426" s="16"/>
      <c r="S1426" s="16"/>
      <c r="T1426" s="16"/>
      <c r="U1426" s="16"/>
      <c r="V1426" s="16"/>
      <c r="W1426" s="16"/>
      <c r="X1426" s="16"/>
      <c r="Y1426" s="16"/>
      <c r="Z1426" s="16"/>
    </row>
    <row r="1427">
      <c r="A1427" s="16"/>
      <c r="B1427" s="16"/>
      <c r="C1427" s="16"/>
      <c r="D1427" s="16"/>
      <c r="E1427" s="16"/>
      <c r="F1427" s="16"/>
      <c r="G1427" s="16"/>
      <c r="H1427" s="16"/>
      <c r="I1427" s="16"/>
      <c r="J1427" s="16"/>
      <c r="K1427" s="16"/>
      <c r="L1427" s="16"/>
      <c r="M1427" s="16"/>
      <c r="N1427" s="16"/>
      <c r="O1427" s="16"/>
      <c r="P1427" s="16"/>
      <c r="Q1427" s="16"/>
      <c r="R1427" s="16"/>
      <c r="S1427" s="16"/>
      <c r="T1427" s="16"/>
      <c r="U1427" s="16"/>
      <c r="V1427" s="16"/>
      <c r="W1427" s="16"/>
      <c r="X1427" s="16"/>
      <c r="Y1427" s="16"/>
      <c r="Z1427" s="16"/>
    </row>
    <row r="1428">
      <c r="A1428" s="16"/>
      <c r="B1428" s="16"/>
      <c r="C1428" s="16"/>
      <c r="D1428" s="16"/>
      <c r="E1428" s="16"/>
      <c r="F1428" s="16"/>
      <c r="G1428" s="16"/>
      <c r="H1428" s="16"/>
      <c r="I1428" s="16"/>
      <c r="J1428" s="16"/>
      <c r="K1428" s="16"/>
      <c r="L1428" s="16"/>
      <c r="M1428" s="16"/>
      <c r="N1428" s="16"/>
      <c r="O1428" s="16"/>
      <c r="P1428" s="16"/>
      <c r="Q1428" s="16"/>
      <c r="R1428" s="16"/>
      <c r="S1428" s="16"/>
      <c r="T1428" s="16"/>
      <c r="U1428" s="16"/>
      <c r="V1428" s="16"/>
      <c r="W1428" s="16"/>
      <c r="X1428" s="16"/>
      <c r="Y1428" s="16"/>
      <c r="Z1428" s="16"/>
    </row>
    <row r="1429">
      <c r="A1429" s="16"/>
      <c r="B1429" s="16"/>
      <c r="C1429" s="16"/>
      <c r="D1429" s="16"/>
      <c r="E1429" s="16"/>
      <c r="F1429" s="16"/>
      <c r="G1429" s="16"/>
      <c r="H1429" s="16"/>
      <c r="I1429" s="16"/>
      <c r="J1429" s="16"/>
      <c r="K1429" s="16"/>
      <c r="L1429" s="16"/>
      <c r="M1429" s="16"/>
      <c r="N1429" s="16"/>
      <c r="O1429" s="16"/>
      <c r="P1429" s="16"/>
      <c r="Q1429" s="16"/>
      <c r="R1429" s="16"/>
      <c r="S1429" s="16"/>
      <c r="T1429" s="16"/>
      <c r="U1429" s="16"/>
      <c r="V1429" s="16"/>
      <c r="W1429" s="16"/>
      <c r="X1429" s="16"/>
      <c r="Y1429" s="16"/>
      <c r="Z1429" s="16"/>
    </row>
    <row r="1430">
      <c r="A1430" s="16"/>
      <c r="B1430" s="16"/>
      <c r="C1430" s="16"/>
      <c r="D1430" s="16"/>
      <c r="E1430" s="16"/>
      <c r="F1430" s="16"/>
      <c r="G1430" s="16"/>
      <c r="H1430" s="16"/>
      <c r="I1430" s="16"/>
      <c r="J1430" s="16"/>
      <c r="K1430" s="16"/>
      <c r="L1430" s="16"/>
      <c r="M1430" s="16"/>
      <c r="N1430" s="16"/>
      <c r="O1430" s="16"/>
      <c r="P1430" s="16"/>
      <c r="Q1430" s="16"/>
      <c r="R1430" s="16"/>
      <c r="S1430" s="16"/>
      <c r="T1430" s="16"/>
      <c r="U1430" s="16"/>
      <c r="V1430" s="16"/>
      <c r="W1430" s="16"/>
      <c r="X1430" s="16"/>
      <c r="Y1430" s="16"/>
      <c r="Z1430" s="16"/>
    </row>
    <row r="1431">
      <c r="A1431" s="16"/>
      <c r="B1431" s="16"/>
      <c r="C1431" s="16"/>
      <c r="D1431" s="16"/>
      <c r="E1431" s="16"/>
      <c r="F1431" s="16"/>
      <c r="G1431" s="16"/>
      <c r="H1431" s="16"/>
      <c r="I1431" s="16"/>
      <c r="J1431" s="16"/>
      <c r="K1431" s="16"/>
      <c r="L1431" s="16"/>
      <c r="M1431" s="16"/>
      <c r="N1431" s="16"/>
      <c r="O1431" s="16"/>
      <c r="P1431" s="16"/>
      <c r="Q1431" s="16"/>
      <c r="R1431" s="16"/>
      <c r="S1431" s="16"/>
      <c r="T1431" s="16"/>
      <c r="U1431" s="16"/>
      <c r="V1431" s="16"/>
      <c r="W1431" s="16"/>
      <c r="X1431" s="16"/>
      <c r="Y1431" s="16"/>
      <c r="Z1431" s="16"/>
    </row>
    <row r="1432">
      <c r="A1432" s="16"/>
      <c r="B1432" s="16"/>
      <c r="C1432" s="16"/>
      <c r="D1432" s="16"/>
      <c r="E1432" s="16"/>
      <c r="F1432" s="16"/>
      <c r="G1432" s="16"/>
      <c r="H1432" s="16"/>
      <c r="I1432" s="16"/>
      <c r="J1432" s="16"/>
      <c r="K1432" s="16"/>
      <c r="L1432" s="16"/>
      <c r="M1432" s="16"/>
      <c r="N1432" s="16"/>
      <c r="O1432" s="16"/>
      <c r="P1432" s="16"/>
      <c r="Q1432" s="16"/>
      <c r="R1432" s="16"/>
      <c r="S1432" s="16"/>
      <c r="T1432" s="16"/>
      <c r="U1432" s="16"/>
      <c r="V1432" s="16"/>
      <c r="W1432" s="16"/>
      <c r="X1432" s="16"/>
      <c r="Y1432" s="16"/>
      <c r="Z1432" s="16"/>
    </row>
    <row r="1433">
      <c r="A1433" s="16"/>
      <c r="B1433" s="16"/>
      <c r="C1433" s="16"/>
      <c r="D1433" s="16"/>
      <c r="E1433" s="16"/>
      <c r="F1433" s="16"/>
      <c r="G1433" s="16"/>
      <c r="H1433" s="16"/>
      <c r="I1433" s="16"/>
      <c r="J1433" s="16"/>
      <c r="K1433" s="16"/>
      <c r="L1433" s="16"/>
      <c r="M1433" s="16"/>
      <c r="N1433" s="16"/>
      <c r="O1433" s="16"/>
      <c r="P1433" s="16"/>
      <c r="Q1433" s="16"/>
      <c r="R1433" s="16"/>
      <c r="S1433" s="16"/>
      <c r="T1433" s="16"/>
      <c r="U1433" s="16"/>
      <c r="V1433" s="16"/>
      <c r="W1433" s="16"/>
      <c r="X1433" s="16"/>
      <c r="Y1433" s="16"/>
      <c r="Z1433" s="16"/>
    </row>
    <row r="1434">
      <c r="A1434" s="16"/>
      <c r="B1434" s="16"/>
      <c r="C1434" s="16"/>
      <c r="D1434" s="16"/>
      <c r="E1434" s="16"/>
      <c r="F1434" s="16"/>
      <c r="G1434" s="16"/>
      <c r="H1434" s="16"/>
      <c r="I1434" s="16"/>
      <c r="J1434" s="16"/>
      <c r="K1434" s="16"/>
      <c r="L1434" s="16"/>
      <c r="M1434" s="16"/>
      <c r="N1434" s="16"/>
      <c r="O1434" s="16"/>
      <c r="P1434" s="16"/>
      <c r="Q1434" s="16"/>
      <c r="R1434" s="16"/>
      <c r="S1434" s="16"/>
      <c r="T1434" s="16"/>
      <c r="U1434" s="16"/>
      <c r="V1434" s="16"/>
      <c r="W1434" s="16"/>
      <c r="X1434" s="16"/>
      <c r="Y1434" s="16"/>
      <c r="Z1434" s="16"/>
    </row>
    <row r="1435">
      <c r="A1435" s="16"/>
      <c r="B1435" s="16"/>
      <c r="C1435" s="16"/>
      <c r="D1435" s="16"/>
      <c r="E1435" s="16"/>
      <c r="F1435" s="16"/>
      <c r="G1435" s="16"/>
      <c r="H1435" s="16"/>
      <c r="I1435" s="16"/>
      <c r="J1435" s="16"/>
      <c r="K1435" s="16"/>
      <c r="L1435" s="16"/>
      <c r="M1435" s="16"/>
      <c r="N1435" s="16"/>
      <c r="O1435" s="16"/>
      <c r="P1435" s="16"/>
      <c r="Q1435" s="16"/>
      <c r="R1435" s="16"/>
      <c r="S1435" s="16"/>
      <c r="T1435" s="16"/>
      <c r="U1435" s="16"/>
      <c r="V1435" s="16"/>
      <c r="W1435" s="16"/>
      <c r="X1435" s="16"/>
      <c r="Y1435" s="16"/>
      <c r="Z1435" s="16"/>
    </row>
    <row r="1436">
      <c r="A1436" s="16"/>
      <c r="B1436" s="16"/>
      <c r="C1436" s="16"/>
      <c r="D1436" s="16"/>
      <c r="E1436" s="16"/>
      <c r="F1436" s="16"/>
      <c r="G1436" s="16"/>
      <c r="H1436" s="16"/>
      <c r="I1436" s="16"/>
      <c r="J1436" s="16"/>
      <c r="K1436" s="16"/>
      <c r="L1436" s="16"/>
      <c r="M1436" s="16"/>
      <c r="N1436" s="16"/>
      <c r="O1436" s="16"/>
      <c r="P1436" s="16"/>
      <c r="Q1436" s="16"/>
      <c r="R1436" s="16"/>
      <c r="S1436" s="16"/>
      <c r="T1436" s="16"/>
      <c r="U1436" s="16"/>
      <c r="V1436" s="16"/>
      <c r="W1436" s="16"/>
      <c r="X1436" s="16"/>
      <c r="Y1436" s="16"/>
      <c r="Z1436" s="16"/>
    </row>
    <row r="1437">
      <c r="A1437" s="16"/>
      <c r="B1437" s="16"/>
      <c r="C1437" s="16"/>
      <c r="D1437" s="16"/>
      <c r="E1437" s="16"/>
      <c r="F1437" s="16"/>
      <c r="G1437" s="16"/>
      <c r="H1437" s="16"/>
      <c r="I1437" s="16"/>
      <c r="J1437" s="16"/>
      <c r="K1437" s="16"/>
      <c r="L1437" s="16"/>
      <c r="M1437" s="16"/>
      <c r="N1437" s="16"/>
      <c r="O1437" s="16"/>
      <c r="P1437" s="16"/>
      <c r="Q1437" s="16"/>
      <c r="R1437" s="16"/>
      <c r="S1437" s="16"/>
      <c r="T1437" s="16"/>
      <c r="U1437" s="16"/>
      <c r="V1437" s="16"/>
      <c r="W1437" s="16"/>
      <c r="X1437" s="16"/>
      <c r="Y1437" s="16"/>
      <c r="Z1437" s="16"/>
    </row>
    <row r="1438">
      <c r="A1438" s="16"/>
      <c r="B1438" s="16"/>
      <c r="C1438" s="16"/>
      <c r="D1438" s="16"/>
      <c r="E1438" s="16"/>
      <c r="F1438" s="16"/>
      <c r="G1438" s="16"/>
      <c r="H1438" s="16"/>
      <c r="I1438" s="16"/>
      <c r="J1438" s="16"/>
      <c r="K1438" s="16"/>
      <c r="L1438" s="16"/>
      <c r="M1438" s="16"/>
      <c r="N1438" s="16"/>
      <c r="O1438" s="16"/>
      <c r="P1438" s="16"/>
      <c r="Q1438" s="16"/>
      <c r="R1438" s="16"/>
      <c r="S1438" s="16"/>
      <c r="T1438" s="16"/>
      <c r="U1438" s="16"/>
      <c r="V1438" s="16"/>
      <c r="W1438" s="16"/>
      <c r="X1438" s="16"/>
      <c r="Y1438" s="16"/>
      <c r="Z1438" s="16"/>
    </row>
    <row r="1439">
      <c r="A1439" s="16"/>
      <c r="B1439" s="16"/>
      <c r="C1439" s="16"/>
      <c r="D1439" s="16"/>
      <c r="E1439" s="16"/>
      <c r="F1439" s="16"/>
      <c r="G1439" s="16"/>
      <c r="H1439" s="16"/>
      <c r="I1439" s="16"/>
      <c r="J1439" s="16"/>
      <c r="K1439" s="16"/>
      <c r="L1439" s="16"/>
      <c r="M1439" s="16"/>
      <c r="N1439" s="16"/>
      <c r="O1439" s="16"/>
      <c r="P1439" s="16"/>
      <c r="Q1439" s="16"/>
      <c r="R1439" s="16"/>
      <c r="S1439" s="16"/>
      <c r="T1439" s="16"/>
      <c r="U1439" s="16"/>
      <c r="V1439" s="16"/>
      <c r="W1439" s="16"/>
      <c r="X1439" s="16"/>
      <c r="Y1439" s="16"/>
      <c r="Z1439" s="16"/>
    </row>
    <row r="1440">
      <c r="A1440" s="16"/>
      <c r="B1440" s="16"/>
      <c r="C1440" s="16"/>
      <c r="D1440" s="16"/>
      <c r="E1440" s="16"/>
      <c r="F1440" s="16"/>
      <c r="G1440" s="16"/>
      <c r="H1440" s="16"/>
      <c r="I1440" s="16"/>
      <c r="J1440" s="16"/>
      <c r="K1440" s="16"/>
      <c r="L1440" s="16"/>
      <c r="M1440" s="16"/>
      <c r="N1440" s="16"/>
      <c r="O1440" s="16"/>
      <c r="P1440" s="16"/>
      <c r="Q1440" s="16"/>
      <c r="R1440" s="16"/>
      <c r="S1440" s="16"/>
      <c r="T1440" s="16"/>
      <c r="U1440" s="16"/>
      <c r="V1440" s="16"/>
      <c r="W1440" s="16"/>
      <c r="X1440" s="16"/>
      <c r="Y1440" s="16"/>
      <c r="Z1440" s="16"/>
    </row>
    <row r="1441">
      <c r="A1441" s="16"/>
      <c r="B1441" s="16"/>
      <c r="C1441" s="16"/>
      <c r="D1441" s="16"/>
      <c r="E1441" s="16"/>
      <c r="F1441" s="16"/>
      <c r="G1441" s="16"/>
      <c r="H1441" s="16"/>
      <c r="I1441" s="16"/>
      <c r="J1441" s="16"/>
      <c r="K1441" s="16"/>
      <c r="L1441" s="16"/>
      <c r="M1441" s="16"/>
      <c r="N1441" s="16"/>
      <c r="O1441" s="16"/>
      <c r="P1441" s="16"/>
      <c r="Q1441" s="16"/>
      <c r="R1441" s="16"/>
      <c r="S1441" s="16"/>
      <c r="T1441" s="16"/>
      <c r="U1441" s="16"/>
      <c r="V1441" s="16"/>
      <c r="W1441" s="16"/>
      <c r="X1441" s="16"/>
      <c r="Y1441" s="16"/>
      <c r="Z1441" s="16"/>
    </row>
    <row r="1442">
      <c r="A1442" s="16"/>
      <c r="B1442" s="16"/>
      <c r="C1442" s="16"/>
      <c r="D1442" s="16"/>
      <c r="E1442" s="16"/>
      <c r="F1442" s="16"/>
      <c r="G1442" s="16"/>
      <c r="H1442" s="16"/>
      <c r="I1442" s="16"/>
      <c r="J1442" s="16"/>
      <c r="K1442" s="16"/>
      <c r="L1442" s="16"/>
      <c r="M1442" s="16"/>
      <c r="N1442" s="16"/>
      <c r="O1442" s="16"/>
      <c r="P1442" s="16"/>
      <c r="Q1442" s="16"/>
      <c r="R1442" s="16"/>
      <c r="S1442" s="16"/>
      <c r="T1442" s="16"/>
      <c r="U1442" s="16"/>
      <c r="V1442" s="16"/>
      <c r="W1442" s="16"/>
      <c r="X1442" s="16"/>
      <c r="Y1442" s="16"/>
      <c r="Z1442" s="16"/>
    </row>
    <row r="1443">
      <c r="A1443" s="16"/>
      <c r="B1443" s="16"/>
      <c r="C1443" s="16"/>
      <c r="D1443" s="16"/>
      <c r="E1443" s="16"/>
      <c r="F1443" s="16"/>
      <c r="G1443" s="16"/>
      <c r="H1443" s="16"/>
      <c r="I1443" s="16"/>
      <c r="J1443" s="16"/>
      <c r="K1443" s="16"/>
      <c r="L1443" s="16"/>
      <c r="M1443" s="16"/>
      <c r="N1443" s="16"/>
      <c r="O1443" s="16"/>
      <c r="P1443" s="16"/>
      <c r="Q1443" s="16"/>
      <c r="R1443" s="16"/>
      <c r="S1443" s="16"/>
      <c r="T1443" s="16"/>
      <c r="U1443" s="16"/>
      <c r="V1443" s="16"/>
      <c r="W1443" s="16"/>
      <c r="X1443" s="16"/>
      <c r="Y1443" s="16"/>
      <c r="Z1443" s="16"/>
    </row>
    <row r="1444">
      <c r="A1444" s="16"/>
      <c r="B1444" s="16"/>
      <c r="C1444" s="16"/>
      <c r="D1444" s="16"/>
      <c r="E1444" s="16"/>
      <c r="F1444" s="16"/>
      <c r="G1444" s="16"/>
      <c r="H1444" s="16"/>
      <c r="I1444" s="16"/>
      <c r="J1444" s="16"/>
      <c r="K1444" s="16"/>
      <c r="L1444" s="16"/>
      <c r="M1444" s="16"/>
      <c r="N1444" s="16"/>
      <c r="O1444" s="16"/>
      <c r="P1444" s="16"/>
      <c r="Q1444" s="16"/>
      <c r="R1444" s="16"/>
      <c r="S1444" s="16"/>
      <c r="T1444" s="16"/>
      <c r="U1444" s="16"/>
      <c r="V1444" s="16"/>
      <c r="W1444" s="16"/>
      <c r="X1444" s="16"/>
      <c r="Y1444" s="16"/>
      <c r="Z1444" s="16"/>
    </row>
    <row r="1445">
      <c r="A1445" s="16"/>
      <c r="B1445" s="16"/>
      <c r="C1445" s="16"/>
      <c r="D1445" s="16"/>
      <c r="E1445" s="16"/>
      <c r="F1445" s="16"/>
      <c r="G1445" s="16"/>
      <c r="H1445" s="16"/>
      <c r="I1445" s="16"/>
      <c r="J1445" s="16"/>
      <c r="K1445" s="16"/>
      <c r="L1445" s="16"/>
      <c r="M1445" s="16"/>
      <c r="N1445" s="16"/>
      <c r="O1445" s="16"/>
      <c r="P1445" s="16"/>
      <c r="Q1445" s="16"/>
      <c r="R1445" s="16"/>
      <c r="S1445" s="16"/>
      <c r="T1445" s="16"/>
      <c r="U1445" s="16"/>
      <c r="V1445" s="16"/>
      <c r="W1445" s="16"/>
      <c r="X1445" s="16"/>
      <c r="Y1445" s="16"/>
      <c r="Z1445" s="16"/>
    </row>
    <row r="1446">
      <c r="A1446" s="16"/>
      <c r="B1446" s="16"/>
      <c r="C1446" s="16"/>
      <c r="D1446" s="16"/>
      <c r="E1446" s="16"/>
      <c r="F1446" s="16"/>
      <c r="G1446" s="16"/>
      <c r="H1446" s="16"/>
      <c r="I1446" s="16"/>
      <c r="J1446" s="16"/>
      <c r="K1446" s="16"/>
      <c r="L1446" s="16"/>
      <c r="M1446" s="16"/>
      <c r="N1446" s="16"/>
      <c r="O1446" s="16"/>
      <c r="P1446" s="16"/>
      <c r="Q1446" s="16"/>
      <c r="R1446" s="16"/>
      <c r="S1446" s="16"/>
      <c r="T1446" s="16"/>
      <c r="U1446" s="16"/>
      <c r="V1446" s="16"/>
      <c r="W1446" s="16"/>
      <c r="X1446" s="16"/>
      <c r="Y1446" s="16"/>
      <c r="Z1446" s="16"/>
    </row>
    <row r="1447">
      <c r="A1447" s="16"/>
      <c r="B1447" s="16"/>
      <c r="C1447" s="16"/>
      <c r="D1447" s="16"/>
      <c r="E1447" s="16"/>
      <c r="F1447" s="16"/>
      <c r="G1447" s="16"/>
      <c r="H1447" s="16"/>
      <c r="I1447" s="16"/>
      <c r="J1447" s="16"/>
      <c r="K1447" s="16"/>
      <c r="L1447" s="16"/>
      <c r="M1447" s="16"/>
      <c r="N1447" s="16"/>
      <c r="O1447" s="16"/>
      <c r="P1447" s="16"/>
      <c r="Q1447" s="16"/>
      <c r="R1447" s="16"/>
      <c r="S1447" s="16"/>
      <c r="T1447" s="16"/>
      <c r="U1447" s="16"/>
      <c r="V1447" s="16"/>
      <c r="W1447" s="16"/>
      <c r="X1447" s="16"/>
      <c r="Y1447" s="16"/>
      <c r="Z1447" s="16"/>
    </row>
    <row r="1448">
      <c r="A1448" s="16"/>
      <c r="B1448" s="16"/>
      <c r="C1448" s="16"/>
      <c r="D1448" s="16"/>
      <c r="E1448" s="16"/>
      <c r="F1448" s="16"/>
      <c r="G1448" s="16"/>
      <c r="H1448" s="16"/>
      <c r="I1448" s="16"/>
      <c r="J1448" s="16"/>
      <c r="K1448" s="16"/>
      <c r="L1448" s="16"/>
      <c r="M1448" s="16"/>
      <c r="N1448" s="16"/>
      <c r="O1448" s="16"/>
      <c r="P1448" s="16"/>
      <c r="Q1448" s="16"/>
      <c r="R1448" s="16"/>
      <c r="S1448" s="16"/>
      <c r="T1448" s="16"/>
      <c r="U1448" s="16"/>
      <c r="V1448" s="16"/>
      <c r="W1448" s="16"/>
      <c r="X1448" s="16"/>
      <c r="Y1448" s="16"/>
      <c r="Z1448" s="16"/>
    </row>
    <row r="1449">
      <c r="A1449" s="16"/>
      <c r="B1449" s="16"/>
      <c r="C1449" s="16"/>
      <c r="D1449" s="16"/>
      <c r="E1449" s="16"/>
      <c r="F1449" s="16"/>
      <c r="G1449" s="16"/>
      <c r="H1449" s="16"/>
      <c r="I1449" s="16"/>
      <c r="J1449" s="16"/>
      <c r="K1449" s="16"/>
      <c r="L1449" s="16"/>
      <c r="M1449" s="16"/>
      <c r="N1449" s="16"/>
      <c r="O1449" s="16"/>
      <c r="P1449" s="16"/>
      <c r="Q1449" s="16"/>
      <c r="R1449" s="16"/>
      <c r="S1449" s="16"/>
      <c r="T1449" s="16"/>
      <c r="U1449" s="16"/>
      <c r="V1449" s="16"/>
      <c r="W1449" s="16"/>
      <c r="X1449" s="16"/>
      <c r="Y1449" s="16"/>
      <c r="Z1449" s="16"/>
    </row>
    <row r="1450">
      <c r="A1450" s="16"/>
      <c r="B1450" s="16"/>
      <c r="C1450" s="16"/>
      <c r="D1450" s="16"/>
      <c r="E1450" s="16"/>
      <c r="F1450" s="16"/>
      <c r="G1450" s="16"/>
      <c r="H1450" s="16"/>
      <c r="I1450" s="16"/>
      <c r="J1450" s="16"/>
      <c r="K1450" s="16"/>
      <c r="L1450" s="16"/>
      <c r="M1450" s="16"/>
      <c r="N1450" s="16"/>
      <c r="O1450" s="16"/>
      <c r="P1450" s="16"/>
      <c r="Q1450" s="16"/>
      <c r="R1450" s="16"/>
      <c r="S1450" s="16"/>
      <c r="T1450" s="16"/>
      <c r="U1450" s="16"/>
      <c r="V1450" s="16"/>
      <c r="W1450" s="16"/>
      <c r="X1450" s="16"/>
      <c r="Y1450" s="16"/>
      <c r="Z1450" s="16"/>
    </row>
    <row r="1451">
      <c r="A1451" s="16"/>
      <c r="B1451" s="16"/>
      <c r="C1451" s="16"/>
      <c r="D1451" s="16"/>
      <c r="E1451" s="16"/>
      <c r="F1451" s="16"/>
      <c r="G1451" s="16"/>
      <c r="H1451" s="16"/>
      <c r="I1451" s="16"/>
      <c r="J1451" s="16"/>
      <c r="K1451" s="16"/>
      <c r="L1451" s="16"/>
      <c r="M1451" s="16"/>
      <c r="N1451" s="16"/>
      <c r="O1451" s="16"/>
      <c r="P1451" s="16"/>
      <c r="Q1451" s="16"/>
      <c r="R1451" s="16"/>
      <c r="S1451" s="16"/>
      <c r="T1451" s="16"/>
      <c r="U1451" s="16"/>
      <c r="V1451" s="16"/>
      <c r="W1451" s="16"/>
      <c r="X1451" s="16"/>
      <c r="Y1451" s="16"/>
      <c r="Z1451" s="16"/>
    </row>
    <row r="1452">
      <c r="A1452" s="16"/>
      <c r="B1452" s="16"/>
      <c r="C1452" s="16"/>
      <c r="D1452" s="16"/>
      <c r="E1452" s="16"/>
      <c r="F1452" s="16"/>
      <c r="G1452" s="16"/>
      <c r="H1452" s="16"/>
      <c r="I1452" s="16"/>
      <c r="J1452" s="16"/>
      <c r="K1452" s="16"/>
      <c r="L1452" s="16"/>
      <c r="M1452" s="16"/>
      <c r="N1452" s="16"/>
      <c r="O1452" s="16"/>
      <c r="P1452" s="16"/>
      <c r="Q1452" s="16"/>
      <c r="R1452" s="16"/>
      <c r="S1452" s="16"/>
      <c r="T1452" s="16"/>
      <c r="U1452" s="16"/>
      <c r="V1452" s="16"/>
      <c r="W1452" s="16"/>
      <c r="X1452" s="16"/>
      <c r="Y1452" s="16"/>
      <c r="Z1452" s="16"/>
    </row>
    <row r="1453">
      <c r="A1453" s="16"/>
      <c r="B1453" s="16"/>
      <c r="C1453" s="16"/>
      <c r="D1453" s="16"/>
      <c r="E1453" s="16"/>
      <c r="F1453" s="16"/>
      <c r="G1453" s="16"/>
      <c r="H1453" s="16"/>
      <c r="I1453" s="16"/>
      <c r="J1453" s="16"/>
      <c r="K1453" s="16"/>
      <c r="L1453" s="16"/>
      <c r="M1453" s="16"/>
      <c r="N1453" s="16"/>
      <c r="O1453" s="16"/>
      <c r="P1453" s="16"/>
      <c r="Q1453" s="16"/>
      <c r="R1453" s="16"/>
      <c r="S1453" s="16"/>
      <c r="T1453" s="16"/>
      <c r="U1453" s="16"/>
      <c r="V1453" s="16"/>
      <c r="W1453" s="16"/>
      <c r="X1453" s="16"/>
      <c r="Y1453" s="16"/>
      <c r="Z1453" s="16"/>
    </row>
    <row r="1454">
      <c r="A1454" s="16"/>
      <c r="B1454" s="16"/>
      <c r="C1454" s="16"/>
      <c r="D1454" s="16"/>
      <c r="E1454" s="16"/>
      <c r="F1454" s="16"/>
      <c r="G1454" s="16"/>
      <c r="H1454" s="16"/>
      <c r="I1454" s="16"/>
      <c r="J1454" s="16"/>
      <c r="K1454" s="16"/>
      <c r="L1454" s="16"/>
      <c r="M1454" s="16"/>
      <c r="N1454" s="16"/>
      <c r="O1454" s="16"/>
      <c r="P1454" s="16"/>
      <c r="Q1454" s="16"/>
      <c r="R1454" s="16"/>
      <c r="S1454" s="16"/>
      <c r="T1454" s="16"/>
      <c r="U1454" s="16"/>
      <c r="V1454" s="16"/>
      <c r="W1454" s="16"/>
      <c r="X1454" s="16"/>
      <c r="Y1454" s="16"/>
      <c r="Z1454" s="16"/>
    </row>
    <row r="1455">
      <c r="A1455" s="16"/>
      <c r="B1455" s="16"/>
      <c r="C1455" s="16"/>
      <c r="D1455" s="16"/>
      <c r="E1455" s="16"/>
      <c r="F1455" s="16"/>
      <c r="G1455" s="16"/>
      <c r="H1455" s="16"/>
      <c r="I1455" s="16"/>
      <c r="J1455" s="16"/>
      <c r="K1455" s="16"/>
      <c r="L1455" s="16"/>
      <c r="M1455" s="16"/>
      <c r="N1455" s="16"/>
      <c r="O1455" s="16"/>
      <c r="P1455" s="16"/>
      <c r="Q1455" s="16"/>
      <c r="R1455" s="16"/>
      <c r="S1455" s="16"/>
      <c r="T1455" s="16"/>
      <c r="U1455" s="16"/>
      <c r="V1455" s="16"/>
      <c r="W1455" s="16"/>
      <c r="X1455" s="16"/>
      <c r="Y1455" s="16"/>
      <c r="Z1455" s="16"/>
    </row>
    <row r="1456">
      <c r="A1456" s="16"/>
      <c r="B1456" s="16"/>
      <c r="C1456" s="16"/>
      <c r="D1456" s="16"/>
      <c r="E1456" s="16"/>
      <c r="F1456" s="16"/>
      <c r="G1456" s="16"/>
      <c r="H1456" s="16"/>
      <c r="I1456" s="16"/>
      <c r="J1456" s="16"/>
      <c r="K1456" s="16"/>
      <c r="L1456" s="16"/>
      <c r="M1456" s="16"/>
      <c r="N1456" s="16"/>
      <c r="O1456" s="16"/>
      <c r="P1456" s="16"/>
      <c r="Q1456" s="16"/>
      <c r="R1456" s="16"/>
      <c r="S1456" s="16"/>
      <c r="T1456" s="16"/>
      <c r="U1456" s="16"/>
      <c r="V1456" s="16"/>
      <c r="W1456" s="16"/>
      <c r="X1456" s="16"/>
      <c r="Y1456" s="16"/>
      <c r="Z1456" s="16"/>
    </row>
    <row r="1457">
      <c r="A1457" s="16"/>
      <c r="B1457" s="16"/>
      <c r="C1457" s="16"/>
      <c r="D1457" s="16"/>
      <c r="E1457" s="16"/>
      <c r="F1457" s="16"/>
      <c r="G1457" s="16"/>
      <c r="H1457" s="16"/>
      <c r="I1457" s="16"/>
      <c r="J1457" s="16"/>
      <c r="K1457" s="16"/>
      <c r="L1457" s="16"/>
      <c r="M1457" s="16"/>
      <c r="N1457" s="16"/>
      <c r="O1457" s="16"/>
      <c r="P1457" s="16"/>
      <c r="Q1457" s="16"/>
      <c r="R1457" s="16"/>
      <c r="S1457" s="16"/>
      <c r="T1457" s="16"/>
      <c r="U1457" s="16"/>
      <c r="V1457" s="16"/>
      <c r="W1457" s="16"/>
      <c r="X1457" s="16"/>
      <c r="Y1457" s="16"/>
      <c r="Z1457" s="16"/>
    </row>
    <row r="1458">
      <c r="A1458" s="16"/>
      <c r="B1458" s="16"/>
      <c r="C1458" s="16"/>
      <c r="D1458" s="16"/>
      <c r="E1458" s="16"/>
      <c r="F1458" s="16"/>
      <c r="G1458" s="16"/>
      <c r="H1458" s="16"/>
      <c r="I1458" s="16"/>
      <c r="J1458" s="16"/>
      <c r="K1458" s="16"/>
      <c r="L1458" s="16"/>
      <c r="M1458" s="16"/>
      <c r="N1458" s="16"/>
      <c r="O1458" s="16"/>
      <c r="P1458" s="16"/>
      <c r="Q1458" s="16"/>
      <c r="R1458" s="16"/>
      <c r="S1458" s="16"/>
      <c r="T1458" s="16"/>
      <c r="U1458" s="16"/>
      <c r="V1458" s="16"/>
      <c r="W1458" s="16"/>
      <c r="X1458" s="16"/>
      <c r="Y1458" s="16"/>
      <c r="Z1458" s="16"/>
    </row>
    <row r="1459">
      <c r="A1459" s="16"/>
      <c r="B1459" s="16"/>
      <c r="C1459" s="16"/>
      <c r="D1459" s="16"/>
      <c r="E1459" s="16"/>
      <c r="F1459" s="16"/>
      <c r="G1459" s="16"/>
      <c r="H1459" s="16"/>
      <c r="I1459" s="16"/>
      <c r="J1459" s="16"/>
      <c r="K1459" s="16"/>
      <c r="L1459" s="16"/>
      <c r="M1459" s="16"/>
      <c r="N1459" s="16"/>
      <c r="O1459" s="16"/>
      <c r="P1459" s="16"/>
      <c r="Q1459" s="16"/>
      <c r="R1459" s="16"/>
      <c r="S1459" s="16"/>
      <c r="T1459" s="16"/>
      <c r="U1459" s="16"/>
      <c r="V1459" s="16"/>
      <c r="W1459" s="16"/>
      <c r="X1459" s="16"/>
      <c r="Y1459" s="16"/>
      <c r="Z1459" s="16"/>
    </row>
    <row r="1460">
      <c r="A1460" s="16"/>
      <c r="B1460" s="16"/>
      <c r="C1460" s="16"/>
      <c r="D1460" s="16"/>
      <c r="E1460" s="16"/>
      <c r="F1460" s="16"/>
      <c r="G1460" s="16"/>
      <c r="H1460" s="16"/>
      <c r="I1460" s="16"/>
      <c r="J1460" s="16"/>
      <c r="K1460" s="16"/>
      <c r="L1460" s="16"/>
      <c r="M1460" s="16"/>
      <c r="N1460" s="16"/>
      <c r="O1460" s="16"/>
      <c r="P1460" s="16"/>
      <c r="Q1460" s="16"/>
      <c r="R1460" s="16"/>
      <c r="S1460" s="16"/>
      <c r="T1460" s="16"/>
      <c r="U1460" s="16"/>
      <c r="V1460" s="16"/>
      <c r="W1460" s="16"/>
      <c r="X1460" s="16"/>
      <c r="Y1460" s="16"/>
      <c r="Z1460" s="16"/>
    </row>
    <row r="1461">
      <c r="A1461" s="16"/>
      <c r="B1461" s="16"/>
      <c r="C1461" s="16"/>
      <c r="D1461" s="16"/>
      <c r="E1461" s="16"/>
      <c r="F1461" s="16"/>
      <c r="G1461" s="16"/>
      <c r="H1461" s="16"/>
      <c r="I1461" s="16"/>
      <c r="J1461" s="16"/>
      <c r="K1461" s="16"/>
      <c r="L1461" s="16"/>
      <c r="M1461" s="16"/>
      <c r="N1461" s="16"/>
      <c r="O1461" s="16"/>
      <c r="P1461" s="16"/>
      <c r="Q1461" s="16"/>
      <c r="R1461" s="16"/>
      <c r="S1461" s="16"/>
      <c r="T1461" s="16"/>
      <c r="U1461" s="16"/>
      <c r="V1461" s="16"/>
      <c r="W1461" s="16"/>
      <c r="X1461" s="16"/>
      <c r="Y1461" s="16"/>
      <c r="Z1461" s="16"/>
    </row>
    <row r="1462">
      <c r="A1462" s="16"/>
      <c r="B1462" s="16"/>
      <c r="C1462" s="16"/>
      <c r="D1462" s="16"/>
      <c r="E1462" s="16"/>
      <c r="F1462" s="16"/>
      <c r="G1462" s="16"/>
      <c r="H1462" s="16"/>
      <c r="I1462" s="16"/>
      <c r="J1462" s="16"/>
      <c r="K1462" s="16"/>
      <c r="L1462" s="16"/>
      <c r="M1462" s="16"/>
      <c r="N1462" s="16"/>
      <c r="O1462" s="16"/>
      <c r="P1462" s="16"/>
      <c r="Q1462" s="16"/>
      <c r="R1462" s="16"/>
      <c r="S1462" s="16"/>
      <c r="T1462" s="16"/>
      <c r="U1462" s="16"/>
      <c r="V1462" s="16"/>
      <c r="W1462" s="16"/>
      <c r="X1462" s="16"/>
      <c r="Y1462" s="16"/>
      <c r="Z1462" s="16"/>
    </row>
    <row r="1463">
      <c r="A1463" s="16"/>
      <c r="B1463" s="16"/>
      <c r="C1463" s="16"/>
      <c r="D1463" s="16"/>
      <c r="E1463" s="16"/>
      <c r="F1463" s="16"/>
      <c r="G1463" s="16"/>
      <c r="H1463" s="16"/>
      <c r="I1463" s="16"/>
      <c r="J1463" s="16"/>
      <c r="K1463" s="16"/>
      <c r="L1463" s="16"/>
      <c r="M1463" s="16"/>
      <c r="N1463" s="16"/>
      <c r="O1463" s="16"/>
      <c r="P1463" s="16"/>
      <c r="Q1463" s="16"/>
      <c r="R1463" s="16"/>
      <c r="S1463" s="16"/>
      <c r="T1463" s="16"/>
      <c r="U1463" s="16"/>
      <c r="V1463" s="16"/>
      <c r="W1463" s="16"/>
      <c r="X1463" s="16"/>
      <c r="Y1463" s="16"/>
      <c r="Z1463" s="16"/>
    </row>
    <row r="1464">
      <c r="A1464" s="16"/>
      <c r="B1464" s="16"/>
      <c r="C1464" s="16"/>
      <c r="D1464" s="16"/>
      <c r="E1464" s="16"/>
      <c r="F1464" s="16"/>
      <c r="G1464" s="16"/>
      <c r="H1464" s="16"/>
      <c r="I1464" s="16"/>
      <c r="J1464" s="16"/>
      <c r="K1464" s="16"/>
      <c r="L1464" s="16"/>
      <c r="M1464" s="16"/>
      <c r="N1464" s="16"/>
      <c r="O1464" s="16"/>
      <c r="P1464" s="16"/>
      <c r="Q1464" s="16"/>
      <c r="R1464" s="16"/>
      <c r="S1464" s="16"/>
      <c r="T1464" s="16"/>
      <c r="U1464" s="16"/>
      <c r="V1464" s="16"/>
      <c r="W1464" s="16"/>
      <c r="X1464" s="16"/>
      <c r="Y1464" s="16"/>
      <c r="Z1464" s="16"/>
    </row>
    <row r="1465">
      <c r="A1465" s="16"/>
      <c r="B1465" s="16"/>
      <c r="C1465" s="16"/>
      <c r="D1465" s="16"/>
      <c r="E1465" s="16"/>
      <c r="F1465" s="16"/>
      <c r="G1465" s="16"/>
      <c r="H1465" s="16"/>
      <c r="I1465" s="16"/>
      <c r="J1465" s="16"/>
      <c r="K1465" s="16"/>
      <c r="L1465" s="16"/>
      <c r="M1465" s="16"/>
      <c r="N1465" s="16"/>
      <c r="O1465" s="16"/>
      <c r="P1465" s="16"/>
      <c r="Q1465" s="16"/>
      <c r="R1465" s="16"/>
      <c r="S1465" s="16"/>
      <c r="T1465" s="16"/>
      <c r="U1465" s="16"/>
      <c r="V1465" s="16"/>
      <c r="W1465" s="16"/>
      <c r="X1465" s="16"/>
      <c r="Y1465" s="16"/>
      <c r="Z1465" s="16"/>
    </row>
    <row r="1466">
      <c r="A1466" s="16"/>
      <c r="B1466" s="16"/>
      <c r="C1466" s="16"/>
      <c r="D1466" s="16"/>
      <c r="E1466" s="16"/>
      <c r="F1466" s="16"/>
      <c r="G1466" s="16"/>
      <c r="H1466" s="16"/>
      <c r="I1466" s="16"/>
      <c r="J1466" s="16"/>
      <c r="K1466" s="16"/>
      <c r="L1466" s="16"/>
      <c r="M1466" s="16"/>
      <c r="N1466" s="16"/>
      <c r="O1466" s="16"/>
      <c r="P1466" s="16"/>
      <c r="Q1466" s="16"/>
      <c r="R1466" s="16"/>
      <c r="S1466" s="16"/>
      <c r="T1466" s="16"/>
      <c r="U1466" s="16"/>
      <c r="V1466" s="16"/>
      <c r="W1466" s="16"/>
      <c r="X1466" s="16"/>
      <c r="Y1466" s="16"/>
      <c r="Z1466" s="16"/>
    </row>
    <row r="1467">
      <c r="A1467" s="16"/>
      <c r="B1467" s="16"/>
      <c r="C1467" s="16"/>
      <c r="D1467" s="16"/>
      <c r="E1467" s="16"/>
      <c r="F1467" s="16"/>
      <c r="G1467" s="16"/>
      <c r="H1467" s="16"/>
      <c r="I1467" s="16"/>
      <c r="J1467" s="16"/>
      <c r="K1467" s="16"/>
      <c r="L1467" s="16"/>
      <c r="M1467" s="16"/>
      <c r="N1467" s="16"/>
      <c r="O1467" s="16"/>
      <c r="P1467" s="16"/>
      <c r="Q1467" s="16"/>
      <c r="R1467" s="16"/>
      <c r="S1467" s="16"/>
      <c r="T1467" s="16"/>
      <c r="U1467" s="16"/>
      <c r="V1467" s="16"/>
      <c r="W1467" s="16"/>
      <c r="X1467" s="16"/>
      <c r="Y1467" s="16"/>
      <c r="Z1467" s="16"/>
    </row>
    <row r="1468">
      <c r="A1468" s="16"/>
      <c r="B1468" s="16"/>
      <c r="C1468" s="16"/>
      <c r="D1468" s="16"/>
      <c r="E1468" s="16"/>
      <c r="F1468" s="16"/>
      <c r="G1468" s="16"/>
      <c r="H1468" s="16"/>
      <c r="I1468" s="16"/>
      <c r="J1468" s="16"/>
      <c r="K1468" s="16"/>
      <c r="L1468" s="16"/>
      <c r="M1468" s="16"/>
      <c r="N1468" s="16"/>
      <c r="O1468" s="16"/>
      <c r="P1468" s="16"/>
      <c r="Q1468" s="16"/>
      <c r="R1468" s="16"/>
      <c r="S1468" s="16"/>
      <c r="T1468" s="16"/>
      <c r="U1468" s="16"/>
      <c r="V1468" s="16"/>
      <c r="W1468" s="16"/>
      <c r="X1468" s="16"/>
      <c r="Y1468" s="16"/>
      <c r="Z1468" s="16"/>
    </row>
    <row r="1469">
      <c r="A1469" s="16"/>
      <c r="B1469" s="16"/>
      <c r="C1469" s="16"/>
      <c r="D1469" s="16"/>
      <c r="E1469" s="16"/>
      <c r="F1469" s="16"/>
      <c r="G1469" s="16"/>
      <c r="H1469" s="16"/>
      <c r="I1469" s="16"/>
      <c r="J1469" s="16"/>
      <c r="K1469" s="16"/>
      <c r="L1469" s="16"/>
      <c r="M1469" s="16"/>
      <c r="N1469" s="16"/>
      <c r="O1469" s="16"/>
      <c r="P1469" s="16"/>
      <c r="Q1469" s="16"/>
      <c r="R1469" s="16"/>
      <c r="S1469" s="16"/>
      <c r="T1469" s="16"/>
      <c r="U1469" s="16"/>
      <c r="V1469" s="16"/>
      <c r="W1469" s="16"/>
      <c r="X1469" s="16"/>
      <c r="Y1469" s="16"/>
      <c r="Z1469" s="16"/>
    </row>
    <row r="1470">
      <c r="A1470" s="16"/>
      <c r="B1470" s="16"/>
      <c r="C1470" s="16"/>
      <c r="D1470" s="16"/>
      <c r="E1470" s="16"/>
      <c r="F1470" s="16"/>
      <c r="G1470" s="16"/>
      <c r="H1470" s="16"/>
      <c r="I1470" s="16"/>
      <c r="J1470" s="16"/>
      <c r="K1470" s="16"/>
      <c r="L1470" s="16"/>
      <c r="M1470" s="16"/>
      <c r="N1470" s="16"/>
      <c r="O1470" s="16"/>
      <c r="P1470" s="16"/>
      <c r="Q1470" s="16"/>
      <c r="R1470" s="16"/>
      <c r="S1470" s="16"/>
      <c r="T1470" s="16"/>
      <c r="U1470" s="16"/>
      <c r="V1470" s="16"/>
      <c r="W1470" s="16"/>
      <c r="X1470" s="16"/>
      <c r="Y1470" s="16"/>
      <c r="Z1470" s="16"/>
    </row>
    <row r="1471">
      <c r="A1471" s="16"/>
      <c r="B1471" s="16"/>
      <c r="C1471" s="16"/>
      <c r="D1471" s="16"/>
      <c r="E1471" s="16"/>
      <c r="F1471" s="16"/>
      <c r="G1471" s="16"/>
      <c r="H1471" s="16"/>
      <c r="I1471" s="16"/>
      <c r="J1471" s="16"/>
      <c r="K1471" s="16"/>
      <c r="L1471" s="16"/>
      <c r="M1471" s="16"/>
      <c r="N1471" s="16"/>
      <c r="O1471" s="16"/>
      <c r="P1471" s="16"/>
      <c r="Q1471" s="16"/>
      <c r="R1471" s="16"/>
      <c r="S1471" s="16"/>
      <c r="T1471" s="16"/>
      <c r="U1471" s="16"/>
      <c r="V1471" s="16"/>
      <c r="W1471" s="16"/>
      <c r="X1471" s="16"/>
      <c r="Y1471" s="16"/>
      <c r="Z1471" s="16"/>
    </row>
    <row r="1472">
      <c r="A1472" s="16"/>
      <c r="B1472" s="16"/>
      <c r="C1472" s="16"/>
      <c r="D1472" s="16"/>
      <c r="E1472" s="16"/>
      <c r="F1472" s="16"/>
      <c r="G1472" s="16"/>
      <c r="H1472" s="16"/>
      <c r="I1472" s="16"/>
      <c r="J1472" s="16"/>
      <c r="K1472" s="16"/>
      <c r="L1472" s="16"/>
      <c r="M1472" s="16"/>
      <c r="N1472" s="16"/>
      <c r="O1472" s="16"/>
      <c r="P1472" s="16"/>
      <c r="Q1472" s="16"/>
      <c r="R1472" s="16"/>
      <c r="S1472" s="16"/>
      <c r="T1472" s="16"/>
      <c r="U1472" s="16"/>
      <c r="V1472" s="16"/>
      <c r="W1472" s="16"/>
      <c r="X1472" s="16"/>
      <c r="Y1472" s="16"/>
      <c r="Z1472" s="16"/>
    </row>
    <row r="1473">
      <c r="A1473" s="16"/>
      <c r="B1473" s="16"/>
      <c r="C1473" s="16"/>
      <c r="D1473" s="16"/>
      <c r="E1473" s="16"/>
      <c r="F1473" s="16"/>
      <c r="G1473" s="16"/>
      <c r="H1473" s="16"/>
      <c r="I1473" s="16"/>
      <c r="J1473" s="16"/>
      <c r="K1473" s="16"/>
      <c r="L1473" s="16"/>
      <c r="M1473" s="16"/>
      <c r="N1473" s="16"/>
      <c r="O1473" s="16"/>
      <c r="P1473" s="16"/>
      <c r="Q1473" s="16"/>
      <c r="R1473" s="16"/>
      <c r="S1473" s="16"/>
      <c r="T1473" s="16"/>
      <c r="U1473" s="16"/>
      <c r="V1473" s="16"/>
      <c r="W1473" s="16"/>
      <c r="X1473" s="16"/>
      <c r="Y1473" s="16"/>
      <c r="Z1473" s="16"/>
    </row>
    <row r="1474">
      <c r="A1474" s="16"/>
      <c r="B1474" s="16"/>
      <c r="C1474" s="16"/>
      <c r="D1474" s="16"/>
      <c r="E1474" s="16"/>
      <c r="F1474" s="16"/>
      <c r="G1474" s="16"/>
      <c r="H1474" s="16"/>
      <c r="I1474" s="16"/>
      <c r="J1474" s="16"/>
      <c r="K1474" s="16"/>
      <c r="L1474" s="16"/>
      <c r="M1474" s="16"/>
      <c r="N1474" s="16"/>
      <c r="O1474" s="16"/>
      <c r="P1474" s="16"/>
      <c r="Q1474" s="16"/>
      <c r="R1474" s="16"/>
      <c r="S1474" s="16"/>
      <c r="T1474" s="16"/>
      <c r="U1474" s="16"/>
      <c r="V1474" s="16"/>
      <c r="W1474" s="16"/>
      <c r="X1474" s="16"/>
      <c r="Y1474" s="16"/>
      <c r="Z1474" s="16"/>
    </row>
    <row r="1475">
      <c r="A1475" s="16"/>
      <c r="B1475" s="16"/>
      <c r="C1475" s="16"/>
      <c r="D1475" s="16"/>
      <c r="E1475" s="16"/>
      <c r="F1475" s="16"/>
      <c r="G1475" s="16"/>
      <c r="H1475" s="16"/>
      <c r="I1475" s="16"/>
      <c r="J1475" s="16"/>
      <c r="K1475" s="16"/>
      <c r="L1475" s="16"/>
      <c r="M1475" s="16"/>
      <c r="N1475" s="16"/>
      <c r="O1475" s="16"/>
      <c r="P1475" s="16"/>
      <c r="Q1475" s="16"/>
      <c r="R1475" s="16"/>
      <c r="S1475" s="16"/>
      <c r="T1475" s="16"/>
      <c r="U1475" s="16"/>
      <c r="V1475" s="16"/>
      <c r="W1475" s="16"/>
      <c r="X1475" s="16"/>
      <c r="Y1475" s="16"/>
      <c r="Z1475" s="16"/>
    </row>
    <row r="1476">
      <c r="A1476" s="16"/>
      <c r="B1476" s="16"/>
      <c r="C1476" s="16"/>
      <c r="D1476" s="16"/>
      <c r="E1476" s="16"/>
      <c r="F1476" s="16"/>
      <c r="G1476" s="16"/>
      <c r="H1476" s="16"/>
      <c r="I1476" s="16"/>
      <c r="J1476" s="16"/>
      <c r="K1476" s="16"/>
      <c r="L1476" s="16"/>
      <c r="M1476" s="16"/>
      <c r="N1476" s="16"/>
      <c r="O1476" s="16"/>
      <c r="P1476" s="16"/>
      <c r="Q1476" s="16"/>
      <c r="R1476" s="16"/>
      <c r="S1476" s="16"/>
      <c r="T1476" s="16"/>
      <c r="U1476" s="16"/>
      <c r="V1476" s="16"/>
      <c r="W1476" s="16"/>
      <c r="X1476" s="16"/>
      <c r="Y1476" s="16"/>
      <c r="Z1476" s="16"/>
    </row>
    <row r="1477">
      <c r="A1477" s="16"/>
      <c r="B1477" s="16"/>
      <c r="C1477" s="16"/>
      <c r="D1477" s="16"/>
      <c r="E1477" s="16"/>
      <c r="F1477" s="16"/>
      <c r="G1477" s="16"/>
      <c r="H1477" s="16"/>
      <c r="I1477" s="16"/>
      <c r="J1477" s="16"/>
      <c r="K1477" s="16"/>
      <c r="L1477" s="16"/>
      <c r="M1477" s="16"/>
      <c r="N1477" s="16"/>
      <c r="O1477" s="16"/>
      <c r="P1477" s="16"/>
      <c r="Q1477" s="16"/>
      <c r="R1477" s="16"/>
      <c r="S1477" s="16"/>
      <c r="T1477" s="16"/>
      <c r="U1477" s="16"/>
      <c r="V1477" s="16"/>
      <c r="W1477" s="16"/>
      <c r="X1477" s="16"/>
      <c r="Y1477" s="16"/>
      <c r="Z1477" s="16"/>
    </row>
    <row r="1478">
      <c r="A1478" s="16"/>
      <c r="B1478" s="16"/>
      <c r="C1478" s="16"/>
      <c r="D1478" s="16"/>
      <c r="E1478" s="16"/>
      <c r="F1478" s="16"/>
      <c r="G1478" s="16"/>
      <c r="H1478" s="16"/>
      <c r="I1478" s="16"/>
      <c r="J1478" s="16"/>
      <c r="K1478" s="16"/>
      <c r="L1478" s="16"/>
      <c r="M1478" s="16"/>
      <c r="N1478" s="16"/>
      <c r="O1478" s="16"/>
      <c r="P1478" s="16"/>
      <c r="Q1478" s="16"/>
      <c r="R1478" s="16"/>
      <c r="S1478" s="16"/>
      <c r="T1478" s="16"/>
      <c r="U1478" s="16"/>
      <c r="V1478" s="16"/>
      <c r="W1478" s="16"/>
      <c r="X1478" s="16"/>
      <c r="Y1478" s="16"/>
      <c r="Z1478" s="16"/>
    </row>
    <row r="1479">
      <c r="A1479" s="16"/>
      <c r="B1479" s="16"/>
      <c r="C1479" s="16"/>
      <c r="D1479" s="16"/>
      <c r="E1479" s="16"/>
      <c r="F1479" s="16"/>
      <c r="G1479" s="16"/>
      <c r="H1479" s="16"/>
      <c r="I1479" s="16"/>
      <c r="J1479" s="16"/>
      <c r="K1479" s="16"/>
      <c r="L1479" s="16"/>
      <c r="M1479" s="16"/>
      <c r="N1479" s="16"/>
      <c r="O1479" s="16"/>
      <c r="P1479" s="16"/>
      <c r="Q1479" s="16"/>
      <c r="R1479" s="16"/>
      <c r="S1479" s="16"/>
      <c r="T1479" s="16"/>
      <c r="U1479" s="16"/>
      <c r="V1479" s="16"/>
      <c r="W1479" s="16"/>
      <c r="X1479" s="16"/>
      <c r="Y1479" s="16"/>
      <c r="Z1479" s="16"/>
    </row>
    <row r="1480">
      <c r="A1480" s="16"/>
      <c r="B1480" s="16"/>
      <c r="C1480" s="16"/>
      <c r="D1480" s="16"/>
      <c r="E1480" s="16"/>
      <c r="F1480" s="16"/>
      <c r="G1480" s="16"/>
      <c r="H1480" s="16"/>
      <c r="I1480" s="16"/>
      <c r="J1480" s="16"/>
      <c r="K1480" s="16"/>
      <c r="L1480" s="16"/>
      <c r="M1480" s="16"/>
      <c r="N1480" s="16"/>
      <c r="O1480" s="16"/>
      <c r="P1480" s="16"/>
      <c r="Q1480" s="16"/>
      <c r="R1480" s="16"/>
      <c r="S1480" s="16"/>
      <c r="T1480" s="16"/>
      <c r="U1480" s="16"/>
      <c r="V1480" s="16"/>
      <c r="W1480" s="16"/>
      <c r="X1480" s="16"/>
      <c r="Y1480" s="16"/>
      <c r="Z1480" s="16"/>
    </row>
    <row r="1481">
      <c r="A1481" s="16"/>
      <c r="B1481" s="16"/>
      <c r="C1481" s="16"/>
      <c r="D1481" s="16"/>
      <c r="E1481" s="16"/>
      <c r="F1481" s="16"/>
      <c r="G1481" s="16"/>
      <c r="H1481" s="16"/>
      <c r="I1481" s="16"/>
      <c r="J1481" s="16"/>
      <c r="K1481" s="16"/>
      <c r="L1481" s="16"/>
      <c r="M1481" s="16"/>
      <c r="N1481" s="16"/>
      <c r="O1481" s="16"/>
      <c r="P1481" s="16"/>
      <c r="Q1481" s="16"/>
      <c r="R1481" s="16"/>
      <c r="S1481" s="16"/>
      <c r="T1481" s="16"/>
      <c r="U1481" s="16"/>
      <c r="V1481" s="16"/>
      <c r="W1481" s="16"/>
      <c r="X1481" s="16"/>
      <c r="Y1481" s="16"/>
      <c r="Z1481" s="16"/>
    </row>
    <row r="1482">
      <c r="A1482" s="16"/>
      <c r="B1482" s="16"/>
      <c r="C1482" s="16"/>
      <c r="D1482" s="16"/>
      <c r="E1482" s="16"/>
      <c r="F1482" s="16"/>
      <c r="G1482" s="16"/>
      <c r="H1482" s="16"/>
      <c r="I1482" s="16"/>
      <c r="J1482" s="16"/>
      <c r="K1482" s="16"/>
      <c r="L1482" s="16"/>
      <c r="M1482" s="16"/>
      <c r="N1482" s="16"/>
      <c r="O1482" s="16"/>
      <c r="P1482" s="16"/>
      <c r="Q1482" s="16"/>
      <c r="R1482" s="16"/>
      <c r="S1482" s="16"/>
      <c r="T1482" s="16"/>
      <c r="U1482" s="16"/>
      <c r="V1482" s="16"/>
      <c r="W1482" s="16"/>
      <c r="X1482" s="16"/>
      <c r="Y1482" s="16"/>
      <c r="Z1482" s="16"/>
    </row>
    <row r="1483">
      <c r="A1483" s="16"/>
      <c r="B1483" s="16"/>
      <c r="C1483" s="16"/>
      <c r="D1483" s="16"/>
      <c r="E1483" s="16"/>
      <c r="F1483" s="16"/>
      <c r="G1483" s="16"/>
      <c r="H1483" s="16"/>
      <c r="I1483" s="16"/>
      <c r="J1483" s="16"/>
      <c r="K1483" s="16"/>
      <c r="L1483" s="16"/>
      <c r="M1483" s="16"/>
      <c r="N1483" s="16"/>
      <c r="O1483" s="16"/>
      <c r="P1483" s="16"/>
      <c r="Q1483" s="16"/>
      <c r="R1483" s="16"/>
      <c r="S1483" s="16"/>
      <c r="T1483" s="16"/>
      <c r="U1483" s="16"/>
      <c r="V1483" s="16"/>
      <c r="W1483" s="16"/>
      <c r="X1483" s="16"/>
      <c r="Y1483" s="16"/>
      <c r="Z1483" s="16"/>
    </row>
    <row r="1484">
      <c r="A1484" s="16"/>
      <c r="B1484" s="16"/>
      <c r="C1484" s="16"/>
      <c r="D1484" s="16"/>
      <c r="E1484" s="16"/>
      <c r="F1484" s="16"/>
      <c r="G1484" s="16"/>
      <c r="H1484" s="16"/>
      <c r="I1484" s="16"/>
      <c r="J1484" s="16"/>
      <c r="K1484" s="16"/>
      <c r="L1484" s="16"/>
      <c r="M1484" s="16"/>
      <c r="N1484" s="16"/>
      <c r="O1484" s="16"/>
      <c r="P1484" s="16"/>
      <c r="Q1484" s="16"/>
      <c r="R1484" s="16"/>
      <c r="S1484" s="16"/>
      <c r="T1484" s="16"/>
      <c r="U1484" s="16"/>
      <c r="V1484" s="16"/>
      <c r="W1484" s="16"/>
      <c r="X1484" s="16"/>
      <c r="Y1484" s="16"/>
      <c r="Z1484" s="16"/>
    </row>
    <row r="1485">
      <c r="A1485" s="16"/>
      <c r="B1485" s="16"/>
      <c r="C1485" s="16"/>
      <c r="D1485" s="16"/>
      <c r="E1485" s="16"/>
      <c r="F1485" s="16"/>
      <c r="G1485" s="16"/>
      <c r="H1485" s="16"/>
      <c r="I1485" s="16"/>
      <c r="J1485" s="16"/>
      <c r="K1485" s="16"/>
      <c r="L1485" s="16"/>
      <c r="M1485" s="16"/>
      <c r="N1485" s="16"/>
      <c r="O1485" s="16"/>
      <c r="P1485" s="16"/>
      <c r="Q1485" s="16"/>
      <c r="R1485" s="16"/>
      <c r="S1485" s="16"/>
      <c r="T1485" s="16"/>
      <c r="U1485" s="16"/>
      <c r="V1485" s="16"/>
      <c r="W1485" s="16"/>
      <c r="X1485" s="16"/>
      <c r="Y1485" s="16"/>
      <c r="Z1485" s="16"/>
    </row>
    <row r="1486">
      <c r="A1486" s="16"/>
      <c r="B1486" s="16"/>
      <c r="C1486" s="16"/>
      <c r="D1486" s="16"/>
      <c r="E1486" s="16"/>
      <c r="F1486" s="16"/>
      <c r="G1486" s="16"/>
      <c r="H1486" s="16"/>
      <c r="I1486" s="16"/>
      <c r="J1486" s="16"/>
      <c r="K1486" s="16"/>
      <c r="L1486" s="16"/>
      <c r="M1486" s="16"/>
      <c r="N1486" s="16"/>
      <c r="O1486" s="16"/>
      <c r="P1486" s="16"/>
      <c r="Q1486" s="16"/>
      <c r="R1486" s="16"/>
      <c r="S1486" s="16"/>
      <c r="T1486" s="16"/>
      <c r="U1486" s="16"/>
      <c r="V1486" s="16"/>
      <c r="W1486" s="16"/>
      <c r="X1486" s="16"/>
      <c r="Y1486" s="16"/>
      <c r="Z1486" s="16"/>
    </row>
    <row r="1487">
      <c r="A1487" s="16"/>
      <c r="B1487" s="16"/>
      <c r="C1487" s="16"/>
      <c r="D1487" s="16"/>
      <c r="E1487" s="16"/>
      <c r="F1487" s="16"/>
      <c r="G1487" s="16"/>
      <c r="H1487" s="16"/>
      <c r="I1487" s="16"/>
      <c r="J1487" s="16"/>
      <c r="K1487" s="16"/>
      <c r="L1487" s="16"/>
      <c r="M1487" s="16"/>
      <c r="N1487" s="16"/>
      <c r="O1487" s="16"/>
      <c r="P1487" s="16"/>
      <c r="Q1487" s="16"/>
      <c r="R1487" s="16"/>
      <c r="S1487" s="16"/>
      <c r="T1487" s="16"/>
      <c r="U1487" s="16"/>
      <c r="V1487" s="16"/>
      <c r="W1487" s="16"/>
      <c r="X1487" s="16"/>
      <c r="Y1487" s="16"/>
      <c r="Z1487" s="16"/>
    </row>
    <row r="1488">
      <c r="A1488" s="16"/>
      <c r="B1488" s="16"/>
      <c r="C1488" s="16"/>
      <c r="D1488" s="16"/>
      <c r="E1488" s="16"/>
      <c r="F1488" s="16"/>
      <c r="G1488" s="16"/>
      <c r="H1488" s="16"/>
      <c r="I1488" s="16"/>
      <c r="J1488" s="16"/>
      <c r="K1488" s="16"/>
      <c r="L1488" s="16"/>
      <c r="M1488" s="16"/>
      <c r="N1488" s="16"/>
      <c r="O1488" s="16"/>
      <c r="P1488" s="16"/>
      <c r="Q1488" s="16"/>
      <c r="R1488" s="16"/>
      <c r="S1488" s="16"/>
      <c r="T1488" s="16"/>
      <c r="U1488" s="16"/>
      <c r="V1488" s="16"/>
      <c r="W1488" s="16"/>
      <c r="X1488" s="16"/>
      <c r="Y1488" s="16"/>
      <c r="Z1488" s="16"/>
    </row>
    <row r="1489">
      <c r="A1489" s="16"/>
      <c r="B1489" s="16"/>
      <c r="C1489" s="16"/>
      <c r="D1489" s="16"/>
      <c r="E1489" s="16"/>
      <c r="F1489" s="16"/>
      <c r="G1489" s="16"/>
      <c r="H1489" s="16"/>
      <c r="I1489" s="16"/>
      <c r="J1489" s="16"/>
      <c r="K1489" s="16"/>
      <c r="L1489" s="16"/>
      <c r="M1489" s="16"/>
      <c r="N1489" s="16"/>
      <c r="O1489" s="16"/>
      <c r="P1489" s="16"/>
      <c r="Q1489" s="16"/>
      <c r="R1489" s="16"/>
      <c r="S1489" s="16"/>
      <c r="T1489" s="16"/>
      <c r="U1489" s="16"/>
      <c r="V1489" s="16"/>
      <c r="W1489" s="16"/>
      <c r="X1489" s="16"/>
      <c r="Y1489" s="16"/>
      <c r="Z1489" s="16"/>
    </row>
    <row r="1490">
      <c r="A1490" s="16"/>
      <c r="B1490" s="16"/>
      <c r="C1490" s="16"/>
      <c r="D1490" s="16"/>
      <c r="E1490" s="16"/>
      <c r="F1490" s="16"/>
      <c r="G1490" s="16"/>
      <c r="H1490" s="16"/>
      <c r="I1490" s="16"/>
      <c r="J1490" s="16"/>
      <c r="K1490" s="16"/>
      <c r="L1490" s="16"/>
      <c r="M1490" s="16"/>
      <c r="N1490" s="16"/>
      <c r="O1490" s="16"/>
      <c r="P1490" s="16"/>
      <c r="Q1490" s="16"/>
      <c r="R1490" s="16"/>
      <c r="S1490" s="16"/>
      <c r="T1490" s="16"/>
      <c r="U1490" s="16"/>
      <c r="V1490" s="16"/>
      <c r="W1490" s="16"/>
      <c r="X1490" s="16"/>
      <c r="Y1490" s="16"/>
      <c r="Z1490" s="16"/>
    </row>
    <row r="1491">
      <c r="A1491" s="16"/>
      <c r="B1491" s="16"/>
      <c r="C1491" s="16"/>
      <c r="D1491" s="16"/>
      <c r="E1491" s="16"/>
      <c r="F1491" s="16"/>
      <c r="G1491" s="16"/>
      <c r="H1491" s="16"/>
      <c r="I1491" s="16"/>
      <c r="J1491" s="16"/>
      <c r="K1491" s="16"/>
      <c r="L1491" s="16"/>
      <c r="M1491" s="16"/>
      <c r="N1491" s="16"/>
      <c r="O1491" s="16"/>
      <c r="P1491" s="16"/>
      <c r="Q1491" s="16"/>
      <c r="R1491" s="16"/>
      <c r="S1491" s="16"/>
      <c r="T1491" s="16"/>
      <c r="U1491" s="16"/>
      <c r="V1491" s="16"/>
      <c r="W1491" s="16"/>
      <c r="X1491" s="16"/>
      <c r="Y1491" s="16"/>
      <c r="Z1491" s="16"/>
    </row>
    <row r="1492">
      <c r="A1492" s="16"/>
      <c r="B1492" s="16"/>
      <c r="C1492" s="16"/>
      <c r="D1492" s="16"/>
      <c r="E1492" s="16"/>
      <c r="F1492" s="16"/>
      <c r="G1492" s="16"/>
      <c r="H1492" s="16"/>
      <c r="I1492" s="16"/>
      <c r="J1492" s="16"/>
      <c r="K1492" s="16"/>
      <c r="L1492" s="16"/>
      <c r="M1492" s="16"/>
      <c r="N1492" s="16"/>
      <c r="O1492" s="16"/>
      <c r="P1492" s="16"/>
      <c r="Q1492" s="16"/>
      <c r="R1492" s="16"/>
      <c r="S1492" s="16"/>
      <c r="T1492" s="16"/>
      <c r="U1492" s="16"/>
      <c r="V1492" s="16"/>
      <c r="W1492" s="16"/>
      <c r="X1492" s="16"/>
      <c r="Y1492" s="16"/>
      <c r="Z1492" s="16"/>
    </row>
    <row r="1493">
      <c r="A1493" s="16"/>
      <c r="B1493" s="16"/>
      <c r="C1493" s="16"/>
      <c r="D1493" s="16"/>
      <c r="E1493" s="16"/>
      <c r="F1493" s="16"/>
      <c r="G1493" s="16"/>
      <c r="H1493" s="16"/>
      <c r="I1493" s="16"/>
      <c r="J1493" s="16"/>
      <c r="K1493" s="16"/>
      <c r="L1493" s="16"/>
      <c r="M1493" s="16"/>
      <c r="N1493" s="16"/>
      <c r="O1493" s="16"/>
      <c r="P1493" s="16"/>
      <c r="Q1493" s="16"/>
      <c r="R1493" s="16"/>
      <c r="S1493" s="16"/>
      <c r="T1493" s="16"/>
      <c r="U1493" s="16"/>
      <c r="V1493" s="16"/>
      <c r="W1493" s="16"/>
      <c r="X1493" s="16"/>
      <c r="Y1493" s="16"/>
      <c r="Z1493" s="16"/>
    </row>
    <row r="1494">
      <c r="A1494" s="16"/>
      <c r="B1494" s="16"/>
      <c r="C1494" s="16"/>
      <c r="D1494" s="16"/>
      <c r="E1494" s="16"/>
      <c r="F1494" s="16"/>
      <c r="G1494" s="16"/>
      <c r="H1494" s="16"/>
      <c r="I1494" s="16"/>
      <c r="J1494" s="16"/>
      <c r="K1494" s="16"/>
      <c r="L1494" s="16"/>
      <c r="M1494" s="16"/>
      <c r="N1494" s="16"/>
      <c r="O1494" s="16"/>
      <c r="P1494" s="16"/>
      <c r="Q1494" s="16"/>
      <c r="R1494" s="16"/>
      <c r="S1494" s="16"/>
      <c r="T1494" s="16"/>
      <c r="U1494" s="16"/>
      <c r="V1494" s="16"/>
      <c r="W1494" s="16"/>
      <c r="X1494" s="16"/>
      <c r="Y1494" s="16"/>
      <c r="Z1494" s="16"/>
    </row>
    <row r="1495">
      <c r="A1495" s="16"/>
      <c r="B1495" s="16"/>
      <c r="C1495" s="16"/>
      <c r="D1495" s="16"/>
      <c r="E1495" s="16"/>
      <c r="F1495" s="16"/>
      <c r="G1495" s="16"/>
      <c r="H1495" s="16"/>
      <c r="I1495" s="16"/>
      <c r="J1495" s="16"/>
      <c r="K1495" s="16"/>
      <c r="L1495" s="16"/>
      <c r="M1495" s="16"/>
      <c r="N1495" s="16"/>
      <c r="O1495" s="16"/>
      <c r="P1495" s="16"/>
      <c r="Q1495" s="16"/>
      <c r="R1495" s="16"/>
      <c r="S1495" s="16"/>
      <c r="T1495" s="16"/>
      <c r="U1495" s="16"/>
      <c r="V1495" s="16"/>
      <c r="W1495" s="16"/>
      <c r="X1495" s="16"/>
      <c r="Y1495" s="16"/>
      <c r="Z1495" s="16"/>
    </row>
    <row r="1496">
      <c r="A1496" s="16"/>
      <c r="B1496" s="16"/>
      <c r="C1496" s="16"/>
      <c r="D1496" s="16"/>
      <c r="E1496" s="16"/>
      <c r="F1496" s="16"/>
      <c r="G1496" s="16"/>
      <c r="H1496" s="16"/>
      <c r="I1496" s="16"/>
      <c r="J1496" s="16"/>
      <c r="K1496" s="16"/>
      <c r="L1496" s="16"/>
      <c r="M1496" s="16"/>
      <c r="N1496" s="16"/>
      <c r="O1496" s="16"/>
      <c r="P1496" s="16"/>
      <c r="Q1496" s="16"/>
      <c r="R1496" s="16"/>
      <c r="S1496" s="16"/>
      <c r="T1496" s="16"/>
      <c r="U1496" s="16"/>
      <c r="V1496" s="16"/>
      <c r="W1496" s="16"/>
      <c r="X1496" s="16"/>
      <c r="Y1496" s="16"/>
      <c r="Z1496" s="16"/>
    </row>
    <row r="1497">
      <c r="A1497" s="16"/>
      <c r="B1497" s="16"/>
      <c r="C1497" s="16"/>
      <c r="D1497" s="16"/>
      <c r="E1497" s="16"/>
      <c r="F1497" s="16"/>
      <c r="G1497" s="16"/>
      <c r="H1497" s="16"/>
      <c r="I1497" s="16"/>
      <c r="J1497" s="16"/>
      <c r="K1497" s="16"/>
      <c r="L1497" s="16"/>
      <c r="M1497" s="16"/>
      <c r="N1497" s="16"/>
      <c r="O1497" s="16"/>
      <c r="P1497" s="16"/>
      <c r="Q1497" s="16"/>
      <c r="R1497" s="16"/>
      <c r="S1497" s="16"/>
      <c r="T1497" s="16"/>
      <c r="U1497" s="16"/>
      <c r="V1497" s="16"/>
      <c r="W1497" s="16"/>
      <c r="X1497" s="16"/>
      <c r="Y1497" s="16"/>
      <c r="Z1497" s="16"/>
    </row>
    <row r="1498">
      <c r="A1498" s="16"/>
      <c r="B1498" s="16"/>
      <c r="C1498" s="16"/>
      <c r="D1498" s="16"/>
      <c r="E1498" s="16"/>
      <c r="F1498" s="16"/>
      <c r="G1498" s="16"/>
      <c r="H1498" s="16"/>
      <c r="I1498" s="16"/>
      <c r="J1498" s="16"/>
      <c r="K1498" s="16"/>
      <c r="L1498" s="16"/>
      <c r="M1498" s="16"/>
      <c r="N1498" s="16"/>
      <c r="O1498" s="16"/>
      <c r="P1498" s="16"/>
      <c r="Q1498" s="16"/>
      <c r="R1498" s="16"/>
      <c r="S1498" s="16"/>
      <c r="T1498" s="16"/>
      <c r="U1498" s="16"/>
      <c r="V1498" s="16"/>
      <c r="W1498" s="16"/>
      <c r="X1498" s="16"/>
      <c r="Y1498" s="16"/>
      <c r="Z1498" s="16"/>
    </row>
    <row r="1499">
      <c r="A1499" s="16"/>
      <c r="B1499" s="16"/>
      <c r="C1499" s="16"/>
      <c r="D1499" s="16"/>
      <c r="E1499" s="16"/>
      <c r="F1499" s="16"/>
      <c r="G1499" s="16"/>
      <c r="H1499" s="16"/>
      <c r="I1499" s="16"/>
      <c r="J1499" s="16"/>
      <c r="K1499" s="16"/>
      <c r="L1499" s="16"/>
      <c r="M1499" s="16"/>
      <c r="N1499" s="16"/>
      <c r="O1499" s="16"/>
      <c r="P1499" s="16"/>
      <c r="Q1499" s="16"/>
      <c r="R1499" s="16"/>
      <c r="S1499" s="16"/>
      <c r="T1499" s="16"/>
      <c r="U1499" s="16"/>
      <c r="V1499" s="16"/>
      <c r="W1499" s="16"/>
      <c r="X1499" s="16"/>
      <c r="Y1499" s="16"/>
      <c r="Z1499" s="16"/>
    </row>
    <row r="1500">
      <c r="A1500" s="16"/>
      <c r="B1500" s="16"/>
      <c r="C1500" s="16"/>
      <c r="D1500" s="16"/>
      <c r="E1500" s="16"/>
      <c r="F1500" s="16"/>
      <c r="G1500" s="16"/>
      <c r="H1500" s="16"/>
      <c r="I1500" s="16"/>
      <c r="J1500" s="16"/>
      <c r="K1500" s="16"/>
      <c r="L1500" s="16"/>
      <c r="M1500" s="16"/>
      <c r="N1500" s="16"/>
      <c r="O1500" s="16"/>
      <c r="P1500" s="16"/>
      <c r="Q1500" s="16"/>
      <c r="R1500" s="16"/>
      <c r="S1500" s="16"/>
      <c r="T1500" s="16"/>
      <c r="U1500" s="16"/>
      <c r="V1500" s="16"/>
      <c r="W1500" s="16"/>
      <c r="X1500" s="16"/>
      <c r="Y1500" s="16"/>
      <c r="Z1500" s="16"/>
    </row>
    <row r="1501">
      <c r="A1501" s="16"/>
      <c r="B1501" s="16"/>
      <c r="C1501" s="16"/>
      <c r="D1501" s="16"/>
      <c r="E1501" s="16"/>
      <c r="F1501" s="16"/>
      <c r="G1501" s="16"/>
      <c r="H1501" s="16"/>
      <c r="I1501" s="16"/>
      <c r="J1501" s="16"/>
      <c r="K1501" s="16"/>
      <c r="L1501" s="16"/>
      <c r="M1501" s="16"/>
      <c r="N1501" s="16"/>
      <c r="O1501" s="16"/>
      <c r="P1501" s="16"/>
      <c r="Q1501" s="16"/>
      <c r="R1501" s="16"/>
      <c r="S1501" s="16"/>
      <c r="T1501" s="16"/>
      <c r="U1501" s="16"/>
      <c r="V1501" s="16"/>
      <c r="W1501" s="16"/>
      <c r="X1501" s="16"/>
      <c r="Y1501" s="16"/>
      <c r="Z1501" s="16"/>
    </row>
    <row r="1502">
      <c r="A1502" s="16"/>
      <c r="B1502" s="16"/>
      <c r="C1502" s="16"/>
      <c r="D1502" s="16"/>
      <c r="E1502" s="16"/>
      <c r="F1502" s="16"/>
      <c r="G1502" s="16"/>
      <c r="H1502" s="16"/>
      <c r="I1502" s="16"/>
      <c r="J1502" s="16"/>
      <c r="K1502" s="16"/>
      <c r="L1502" s="16"/>
      <c r="M1502" s="16"/>
      <c r="N1502" s="16"/>
      <c r="O1502" s="16"/>
      <c r="P1502" s="16"/>
      <c r="Q1502" s="16"/>
      <c r="R1502" s="16"/>
      <c r="S1502" s="16"/>
      <c r="T1502" s="16"/>
      <c r="U1502" s="16"/>
      <c r="V1502" s="16"/>
      <c r="W1502" s="16"/>
      <c r="X1502" s="16"/>
      <c r="Y1502" s="16"/>
      <c r="Z1502" s="16"/>
    </row>
  </sheetData>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91" t="str">
        <f>IFERROR(__xludf.DUMMYFUNCTION("IMPORTRANGE(""https://docs.google.com/spreadsheets/d/""&amp;Config!B1,""Alignment!A:D"")"),"Alignments")</f>
        <v>Alignments</v>
      </c>
      <c r="B1" s="16"/>
      <c r="C1" s="16"/>
      <c r="D1" s="16"/>
    </row>
    <row r="2">
      <c r="A2" s="16" t="str">
        <f>IFERROR(__xludf.DUMMYFUNCTION("""COMPUTED_VALUE"""),"Lawful Good")</f>
        <v>Lawful Good</v>
      </c>
      <c r="B2" s="16"/>
      <c r="C2" s="16"/>
      <c r="D2" s="16"/>
    </row>
    <row r="3">
      <c r="A3" s="16" t="str">
        <f>IFERROR(__xludf.DUMMYFUNCTION("""COMPUTED_VALUE"""),"Neutral Good")</f>
        <v>Neutral Good</v>
      </c>
      <c r="B3" s="16"/>
      <c r="C3" s="16"/>
      <c r="D3" s="16"/>
    </row>
    <row r="4">
      <c r="A4" s="16" t="str">
        <f>IFERROR(__xludf.DUMMYFUNCTION("""COMPUTED_VALUE"""),"Chaotic Good")</f>
        <v>Chaotic Good</v>
      </c>
      <c r="B4" s="16"/>
      <c r="C4" s="16"/>
      <c r="D4" s="16"/>
    </row>
    <row r="5">
      <c r="A5" s="16" t="str">
        <f>IFERROR(__xludf.DUMMYFUNCTION("""COMPUTED_VALUE"""),"Lawful Neutral")</f>
        <v>Lawful Neutral</v>
      </c>
      <c r="B5" s="16"/>
      <c r="C5" s="16"/>
      <c r="D5" s="16"/>
    </row>
    <row r="6">
      <c r="A6" s="16" t="str">
        <f>IFERROR(__xludf.DUMMYFUNCTION("""COMPUTED_VALUE"""),"True Neutral")</f>
        <v>True Neutral</v>
      </c>
      <c r="B6" s="16"/>
      <c r="C6" s="16"/>
      <c r="D6" s="16"/>
    </row>
    <row r="7">
      <c r="A7" s="16" t="str">
        <f>IFERROR(__xludf.DUMMYFUNCTION("""COMPUTED_VALUE"""),"Chaotic Neutral")</f>
        <v>Chaotic Neutral</v>
      </c>
      <c r="B7" s="16"/>
      <c r="C7" s="16"/>
      <c r="D7" s="16"/>
    </row>
    <row r="8">
      <c r="A8" s="16" t="str">
        <f>IFERROR(__xludf.DUMMYFUNCTION("""COMPUTED_VALUE"""),"Lawful Evil")</f>
        <v>Lawful Evil</v>
      </c>
      <c r="B8" s="16"/>
      <c r="C8" s="16"/>
      <c r="D8" s="16"/>
    </row>
    <row r="9">
      <c r="A9" s="16" t="str">
        <f>IFERROR(__xludf.DUMMYFUNCTION("""COMPUTED_VALUE"""),"Neutral Evil")</f>
        <v>Neutral Evil</v>
      </c>
      <c r="B9" s="16"/>
      <c r="C9" s="16"/>
      <c r="D9" s="16"/>
    </row>
    <row r="10">
      <c r="A10" s="16" t="str">
        <f>IFERROR(__xludf.DUMMYFUNCTION("""COMPUTED_VALUE"""),"Chaotic Evil")</f>
        <v>Chaotic Evil</v>
      </c>
      <c r="B10" s="16"/>
      <c r="C10" s="16"/>
      <c r="D10" s="16"/>
    </row>
    <row r="11">
      <c r="A11" s="16"/>
      <c r="B11" s="16"/>
      <c r="C11" s="16"/>
      <c r="D11" s="16"/>
    </row>
    <row r="12">
      <c r="A12" s="16"/>
      <c r="B12" s="16"/>
      <c r="C12" s="16"/>
      <c r="D12" s="16"/>
    </row>
    <row r="13">
      <c r="A13" s="16"/>
      <c r="B13" s="16"/>
      <c r="C13" s="16"/>
      <c r="D13" s="16"/>
    </row>
    <row r="14">
      <c r="A14" s="16"/>
      <c r="B14" s="16"/>
      <c r="C14" s="16"/>
      <c r="D14" s="16"/>
    </row>
    <row r="15">
      <c r="A15" s="16"/>
      <c r="B15" s="16"/>
      <c r="C15" s="16"/>
      <c r="D15" s="16"/>
    </row>
    <row r="16">
      <c r="A16" s="16"/>
      <c r="B16" s="16"/>
      <c r="C16" s="16"/>
      <c r="D16" s="16"/>
    </row>
    <row r="17">
      <c r="A17" s="16"/>
      <c r="B17" s="16"/>
      <c r="C17" s="16"/>
      <c r="D17" s="16"/>
    </row>
    <row r="18">
      <c r="A18" s="16"/>
      <c r="B18" s="16"/>
      <c r="C18" s="16"/>
      <c r="D18" s="16"/>
    </row>
    <row r="19">
      <c r="A19" s="16"/>
      <c r="B19" s="16"/>
      <c r="C19" s="16"/>
      <c r="D19" s="16"/>
    </row>
    <row r="20">
      <c r="A20" s="16"/>
      <c r="B20" s="16"/>
      <c r="C20" s="16"/>
      <c r="D20" s="16"/>
    </row>
    <row r="21">
      <c r="A21" s="16"/>
      <c r="B21" s="16"/>
      <c r="C21" s="16"/>
      <c r="D21" s="16"/>
    </row>
    <row r="22">
      <c r="A22" s="16"/>
      <c r="B22" s="16"/>
      <c r="C22" s="16"/>
      <c r="D22" s="16"/>
    </row>
    <row r="23">
      <c r="A23" s="16"/>
      <c r="B23" s="16"/>
      <c r="C23" s="16"/>
      <c r="D23" s="16"/>
    </row>
    <row r="24">
      <c r="A24" s="16"/>
      <c r="B24" s="16"/>
      <c r="C24" s="16"/>
      <c r="D24" s="16"/>
    </row>
    <row r="25">
      <c r="A25" s="16"/>
      <c r="B25" s="16"/>
      <c r="C25" s="16"/>
      <c r="D25" s="16"/>
    </row>
    <row r="26">
      <c r="A26" s="16"/>
      <c r="B26" s="16"/>
      <c r="C26" s="16"/>
      <c r="D26" s="16"/>
    </row>
    <row r="27">
      <c r="A27" s="16"/>
      <c r="B27" s="16"/>
      <c r="C27" s="16"/>
      <c r="D27" s="16"/>
    </row>
    <row r="28">
      <c r="A28" s="16"/>
      <c r="B28" s="16"/>
      <c r="C28" s="16"/>
      <c r="D28" s="16"/>
    </row>
    <row r="29">
      <c r="A29" s="16"/>
      <c r="B29" s="16"/>
      <c r="C29" s="16"/>
      <c r="D29" s="16"/>
    </row>
    <row r="30">
      <c r="A30" s="16"/>
      <c r="B30" s="16"/>
      <c r="C30" s="16"/>
      <c r="D30" s="16"/>
    </row>
    <row r="31">
      <c r="A31" s="16"/>
      <c r="B31" s="16"/>
      <c r="C31" s="16"/>
      <c r="D31" s="16"/>
    </row>
    <row r="32">
      <c r="A32" s="16"/>
      <c r="B32" s="16"/>
      <c r="C32" s="16"/>
      <c r="D32" s="16"/>
    </row>
    <row r="33">
      <c r="A33" s="16"/>
      <c r="B33" s="16"/>
      <c r="C33" s="16"/>
      <c r="D33" s="16"/>
    </row>
    <row r="34">
      <c r="A34" s="16"/>
      <c r="B34" s="16"/>
      <c r="C34" s="16"/>
      <c r="D34" s="16"/>
    </row>
    <row r="35">
      <c r="A35" s="16"/>
      <c r="B35" s="16"/>
      <c r="C35" s="16"/>
      <c r="D35" s="16"/>
    </row>
    <row r="36">
      <c r="A36" s="16"/>
      <c r="B36" s="16"/>
      <c r="C36" s="16"/>
      <c r="D36" s="16"/>
    </row>
    <row r="37">
      <c r="A37" s="16"/>
      <c r="B37" s="16"/>
      <c r="C37" s="16"/>
      <c r="D37" s="16"/>
    </row>
    <row r="38">
      <c r="A38" s="16"/>
      <c r="B38" s="16"/>
      <c r="C38" s="16"/>
      <c r="D38" s="16"/>
    </row>
    <row r="39">
      <c r="A39" s="16"/>
      <c r="B39" s="16"/>
      <c r="C39" s="16"/>
      <c r="D39" s="16"/>
    </row>
    <row r="40">
      <c r="A40" s="16"/>
      <c r="B40" s="16"/>
      <c r="C40" s="16"/>
      <c r="D40" s="16"/>
    </row>
    <row r="41">
      <c r="A41" s="16"/>
      <c r="B41" s="16"/>
      <c r="C41" s="16"/>
      <c r="D41" s="16"/>
    </row>
    <row r="42">
      <c r="A42" s="16"/>
      <c r="B42" s="16"/>
      <c r="C42" s="16"/>
      <c r="D42" s="16"/>
    </row>
    <row r="43">
      <c r="A43" s="16"/>
      <c r="B43" s="16"/>
      <c r="C43" s="16"/>
      <c r="D43" s="16"/>
    </row>
    <row r="44">
      <c r="A44" s="16"/>
      <c r="B44" s="16"/>
      <c r="C44" s="16"/>
      <c r="D44" s="16"/>
    </row>
    <row r="45">
      <c r="A45" s="16"/>
      <c r="B45" s="16"/>
      <c r="C45" s="16"/>
      <c r="D45" s="16"/>
    </row>
    <row r="46">
      <c r="A46" s="16"/>
      <c r="B46" s="16"/>
      <c r="C46" s="16"/>
      <c r="D46" s="16"/>
    </row>
    <row r="47">
      <c r="A47" s="16"/>
      <c r="B47" s="16"/>
      <c r="C47" s="16"/>
      <c r="D47" s="16"/>
    </row>
    <row r="48">
      <c r="A48" s="16"/>
      <c r="B48" s="16"/>
      <c r="C48" s="16"/>
      <c r="D48" s="16"/>
    </row>
    <row r="49">
      <c r="A49" s="16"/>
      <c r="B49" s="16"/>
      <c r="C49" s="16"/>
      <c r="D49" s="16"/>
    </row>
    <row r="50">
      <c r="A50" s="16"/>
      <c r="B50" s="16"/>
      <c r="C50" s="16"/>
      <c r="D50" s="16"/>
    </row>
    <row r="51">
      <c r="A51" s="16"/>
      <c r="B51" s="16"/>
      <c r="C51" s="16"/>
      <c r="D51" s="16"/>
    </row>
    <row r="52">
      <c r="A52" s="16"/>
      <c r="B52" s="16"/>
      <c r="C52" s="16"/>
      <c r="D52" s="16"/>
    </row>
    <row r="53">
      <c r="A53" s="16"/>
      <c r="B53" s="16"/>
      <c r="C53" s="16"/>
      <c r="D53" s="16"/>
    </row>
    <row r="54">
      <c r="A54" s="16"/>
      <c r="B54" s="16"/>
      <c r="C54" s="16"/>
      <c r="D54" s="16"/>
    </row>
    <row r="55">
      <c r="A55" s="16"/>
      <c r="B55" s="16"/>
      <c r="C55" s="16"/>
      <c r="D55" s="16"/>
    </row>
    <row r="56">
      <c r="A56" s="16"/>
      <c r="B56" s="16"/>
      <c r="C56" s="16"/>
      <c r="D56" s="16"/>
    </row>
    <row r="57">
      <c r="A57" s="16"/>
      <c r="B57" s="16"/>
      <c r="C57" s="16"/>
      <c r="D57" s="16"/>
    </row>
    <row r="58">
      <c r="A58" s="16"/>
      <c r="B58" s="16"/>
      <c r="C58" s="16"/>
      <c r="D58" s="16"/>
    </row>
    <row r="59">
      <c r="A59" s="16"/>
      <c r="B59" s="16"/>
      <c r="C59" s="16"/>
      <c r="D59" s="16"/>
    </row>
    <row r="60">
      <c r="A60" s="16"/>
      <c r="B60" s="16"/>
      <c r="C60" s="16"/>
      <c r="D60" s="16"/>
    </row>
    <row r="61">
      <c r="A61" s="16"/>
      <c r="B61" s="16"/>
      <c r="C61" s="16"/>
      <c r="D61" s="16"/>
    </row>
    <row r="62">
      <c r="A62" s="16"/>
      <c r="B62" s="16"/>
      <c r="C62" s="16"/>
      <c r="D62" s="16"/>
    </row>
    <row r="63">
      <c r="A63" s="16"/>
      <c r="B63" s="16"/>
      <c r="C63" s="16"/>
      <c r="D63" s="16"/>
    </row>
    <row r="64">
      <c r="A64" s="16"/>
      <c r="B64" s="16"/>
      <c r="C64" s="16"/>
      <c r="D64" s="16"/>
    </row>
    <row r="65">
      <c r="A65" s="16"/>
      <c r="B65" s="16"/>
      <c r="C65" s="16"/>
      <c r="D65" s="16"/>
    </row>
    <row r="66">
      <c r="A66" s="16"/>
      <c r="B66" s="16"/>
      <c r="C66" s="16"/>
      <c r="D66" s="16"/>
    </row>
    <row r="67">
      <c r="A67" s="16"/>
      <c r="B67" s="16"/>
      <c r="C67" s="16"/>
      <c r="D67" s="16"/>
    </row>
    <row r="68">
      <c r="A68" s="16"/>
      <c r="B68" s="16"/>
      <c r="C68" s="16"/>
      <c r="D68" s="16"/>
    </row>
    <row r="69">
      <c r="A69" s="16"/>
      <c r="B69" s="16"/>
      <c r="C69" s="16"/>
      <c r="D69" s="16"/>
    </row>
    <row r="70">
      <c r="A70" s="16"/>
      <c r="B70" s="16"/>
      <c r="C70" s="16"/>
      <c r="D70" s="16"/>
    </row>
    <row r="71">
      <c r="A71" s="16"/>
      <c r="B71" s="16"/>
      <c r="C71" s="16"/>
      <c r="D71" s="16"/>
    </row>
    <row r="72">
      <c r="A72" s="16"/>
      <c r="B72" s="16"/>
      <c r="C72" s="16"/>
      <c r="D72" s="16"/>
    </row>
    <row r="73">
      <c r="A73" s="16"/>
      <c r="B73" s="16"/>
      <c r="C73" s="16"/>
      <c r="D73" s="16"/>
    </row>
    <row r="74">
      <c r="A74" s="16"/>
      <c r="B74" s="16"/>
      <c r="C74" s="16"/>
      <c r="D74" s="16"/>
    </row>
    <row r="75">
      <c r="A75" s="16"/>
      <c r="B75" s="16"/>
      <c r="C75" s="16"/>
      <c r="D75" s="16"/>
    </row>
    <row r="76">
      <c r="A76" s="16"/>
      <c r="B76" s="16"/>
      <c r="C76" s="16"/>
      <c r="D76" s="16"/>
    </row>
    <row r="77">
      <c r="A77" s="16"/>
      <c r="B77" s="16"/>
      <c r="C77" s="16"/>
      <c r="D77" s="16"/>
    </row>
    <row r="78">
      <c r="A78" s="16"/>
      <c r="B78" s="16"/>
      <c r="C78" s="16"/>
      <c r="D78" s="16"/>
    </row>
    <row r="79">
      <c r="A79" s="16"/>
      <c r="B79" s="16"/>
      <c r="C79" s="16"/>
      <c r="D79" s="16"/>
    </row>
    <row r="80">
      <c r="A80" s="16"/>
      <c r="B80" s="16"/>
      <c r="C80" s="16"/>
      <c r="D80" s="16"/>
    </row>
    <row r="81">
      <c r="A81" s="16"/>
      <c r="B81" s="16"/>
      <c r="C81" s="16"/>
      <c r="D81" s="16"/>
    </row>
    <row r="82">
      <c r="A82" s="16"/>
      <c r="B82" s="16"/>
      <c r="C82" s="16"/>
      <c r="D82" s="16"/>
    </row>
    <row r="83">
      <c r="A83" s="16"/>
      <c r="B83" s="16"/>
      <c r="C83" s="16"/>
      <c r="D83" s="16"/>
    </row>
    <row r="84">
      <c r="A84" s="16"/>
      <c r="B84" s="16"/>
      <c r="C84" s="16"/>
      <c r="D84" s="16"/>
    </row>
    <row r="85">
      <c r="A85" s="16"/>
      <c r="B85" s="16"/>
      <c r="C85" s="16"/>
      <c r="D85" s="16"/>
    </row>
    <row r="86">
      <c r="A86" s="16"/>
      <c r="B86" s="16"/>
      <c r="C86" s="16"/>
      <c r="D86" s="16"/>
    </row>
    <row r="87">
      <c r="A87" s="16"/>
      <c r="B87" s="16"/>
      <c r="C87" s="16"/>
      <c r="D87" s="16"/>
    </row>
    <row r="88">
      <c r="A88" s="16"/>
      <c r="B88" s="16"/>
      <c r="C88" s="16"/>
      <c r="D88" s="16"/>
    </row>
    <row r="89">
      <c r="A89" s="16"/>
      <c r="B89" s="16"/>
      <c r="C89" s="16"/>
      <c r="D89" s="16"/>
    </row>
    <row r="90">
      <c r="A90" s="16"/>
      <c r="B90" s="16"/>
      <c r="C90" s="16"/>
      <c r="D90" s="16"/>
    </row>
    <row r="91">
      <c r="A91" s="16"/>
      <c r="B91" s="16"/>
      <c r="C91" s="16"/>
      <c r="D91" s="16"/>
    </row>
    <row r="92">
      <c r="A92" s="16"/>
      <c r="B92" s="16"/>
      <c r="C92" s="16"/>
      <c r="D92" s="16"/>
    </row>
    <row r="93">
      <c r="A93" s="16"/>
      <c r="B93" s="16"/>
      <c r="C93" s="16"/>
      <c r="D93" s="16"/>
    </row>
    <row r="94">
      <c r="A94" s="16"/>
      <c r="B94" s="16"/>
      <c r="C94" s="16"/>
      <c r="D94" s="16"/>
    </row>
    <row r="95">
      <c r="A95" s="16"/>
      <c r="B95" s="16"/>
      <c r="C95" s="16"/>
      <c r="D95" s="16"/>
    </row>
    <row r="96">
      <c r="A96" s="16"/>
      <c r="B96" s="16"/>
      <c r="C96" s="16"/>
      <c r="D96" s="16"/>
    </row>
    <row r="97">
      <c r="A97" s="16"/>
      <c r="B97" s="16"/>
      <c r="C97" s="16"/>
      <c r="D97" s="16"/>
    </row>
    <row r="98">
      <c r="A98" s="16"/>
      <c r="B98" s="16"/>
      <c r="C98" s="16"/>
      <c r="D98" s="16"/>
    </row>
    <row r="99">
      <c r="A99" s="16"/>
      <c r="B99" s="16"/>
      <c r="C99" s="16"/>
      <c r="D99" s="16"/>
    </row>
    <row r="100">
      <c r="A100" s="16"/>
      <c r="B100" s="16"/>
      <c r="C100" s="16"/>
      <c r="D100" s="16"/>
    </row>
    <row r="101">
      <c r="A101" s="16"/>
      <c r="B101" s="16"/>
      <c r="C101" s="16"/>
      <c r="D101" s="16"/>
    </row>
    <row r="102">
      <c r="A102" s="16"/>
      <c r="B102" s="16"/>
      <c r="C102" s="16"/>
      <c r="D102" s="16"/>
    </row>
    <row r="103">
      <c r="A103" s="16"/>
      <c r="B103" s="16"/>
      <c r="C103" s="16"/>
      <c r="D103" s="16"/>
    </row>
    <row r="104">
      <c r="A104" s="16"/>
      <c r="B104" s="16"/>
      <c r="C104" s="16"/>
      <c r="D104" s="16"/>
    </row>
    <row r="105">
      <c r="A105" s="16"/>
      <c r="B105" s="16"/>
      <c r="C105" s="16"/>
      <c r="D105" s="16"/>
    </row>
    <row r="106">
      <c r="A106" s="16"/>
      <c r="B106" s="16"/>
      <c r="C106" s="16"/>
      <c r="D106" s="16"/>
    </row>
    <row r="107">
      <c r="A107" s="16"/>
      <c r="B107" s="16"/>
      <c r="C107" s="16"/>
      <c r="D107" s="16"/>
    </row>
    <row r="108">
      <c r="A108" s="16"/>
      <c r="B108" s="16"/>
      <c r="C108" s="16"/>
      <c r="D108" s="16"/>
    </row>
    <row r="109">
      <c r="A109" s="16"/>
      <c r="B109" s="16"/>
      <c r="C109" s="16"/>
      <c r="D109" s="16"/>
    </row>
    <row r="110">
      <c r="A110" s="16"/>
      <c r="B110" s="16"/>
      <c r="C110" s="16"/>
      <c r="D110" s="16"/>
    </row>
    <row r="111">
      <c r="A111" s="16"/>
      <c r="B111" s="16"/>
      <c r="C111" s="16"/>
      <c r="D111" s="16"/>
    </row>
    <row r="112">
      <c r="A112" s="16"/>
      <c r="B112" s="16"/>
      <c r="C112" s="16"/>
      <c r="D112" s="16"/>
    </row>
    <row r="113">
      <c r="A113" s="16"/>
      <c r="B113" s="16"/>
      <c r="C113" s="16"/>
      <c r="D113" s="16"/>
    </row>
    <row r="114">
      <c r="A114" s="16"/>
      <c r="B114" s="16"/>
      <c r="C114" s="16"/>
      <c r="D114" s="16"/>
    </row>
    <row r="115">
      <c r="A115" s="16"/>
      <c r="B115" s="16"/>
      <c r="C115" s="16"/>
      <c r="D115" s="16"/>
    </row>
    <row r="116">
      <c r="A116" s="16"/>
      <c r="B116" s="16"/>
      <c r="C116" s="16"/>
      <c r="D116" s="16"/>
    </row>
    <row r="117">
      <c r="A117" s="16"/>
      <c r="B117" s="16"/>
      <c r="C117" s="16"/>
      <c r="D117" s="16"/>
    </row>
    <row r="118">
      <c r="A118" s="16"/>
      <c r="B118" s="16"/>
      <c r="C118" s="16"/>
      <c r="D118" s="16"/>
    </row>
    <row r="119">
      <c r="A119" s="16"/>
      <c r="B119" s="16"/>
      <c r="C119" s="16"/>
      <c r="D119" s="16"/>
    </row>
    <row r="120">
      <c r="A120" s="16"/>
      <c r="B120" s="16"/>
      <c r="C120" s="16"/>
      <c r="D120" s="16"/>
    </row>
    <row r="121">
      <c r="A121" s="16"/>
      <c r="B121" s="16"/>
      <c r="C121" s="16"/>
      <c r="D121" s="16"/>
    </row>
    <row r="122">
      <c r="A122" s="16"/>
      <c r="B122" s="16"/>
      <c r="C122" s="16"/>
      <c r="D122" s="16"/>
    </row>
    <row r="123">
      <c r="A123" s="16"/>
      <c r="B123" s="16"/>
      <c r="C123" s="16"/>
      <c r="D123" s="16"/>
    </row>
    <row r="124">
      <c r="A124" s="16"/>
      <c r="B124" s="16"/>
      <c r="C124" s="16"/>
      <c r="D124" s="16"/>
    </row>
    <row r="125">
      <c r="A125" s="16"/>
      <c r="B125" s="16"/>
      <c r="C125" s="16"/>
      <c r="D125" s="16"/>
    </row>
    <row r="126">
      <c r="A126" s="16"/>
      <c r="B126" s="16"/>
      <c r="C126" s="16"/>
      <c r="D126" s="16"/>
    </row>
    <row r="127">
      <c r="A127" s="16"/>
      <c r="B127" s="16"/>
      <c r="C127" s="16"/>
      <c r="D127" s="16"/>
    </row>
    <row r="128">
      <c r="A128" s="16"/>
      <c r="B128" s="16"/>
      <c r="C128" s="16"/>
      <c r="D128" s="16"/>
    </row>
    <row r="129">
      <c r="A129" s="16"/>
      <c r="B129" s="16"/>
      <c r="C129" s="16"/>
      <c r="D129" s="16"/>
    </row>
    <row r="130">
      <c r="A130" s="16"/>
      <c r="B130" s="16"/>
      <c r="C130" s="16"/>
      <c r="D130" s="16"/>
    </row>
    <row r="131">
      <c r="A131" s="16"/>
      <c r="B131" s="16"/>
      <c r="C131" s="16"/>
      <c r="D131" s="16"/>
    </row>
    <row r="132">
      <c r="A132" s="16"/>
      <c r="B132" s="16"/>
      <c r="C132" s="16"/>
      <c r="D132" s="16"/>
    </row>
    <row r="133">
      <c r="A133" s="16"/>
      <c r="B133" s="16"/>
      <c r="C133" s="16"/>
      <c r="D133" s="16"/>
    </row>
    <row r="134">
      <c r="A134" s="16"/>
      <c r="B134" s="16"/>
      <c r="C134" s="16"/>
      <c r="D134" s="16"/>
    </row>
    <row r="135">
      <c r="A135" s="16"/>
      <c r="B135" s="16"/>
      <c r="C135" s="16"/>
      <c r="D135" s="16"/>
    </row>
    <row r="136">
      <c r="A136" s="16"/>
      <c r="B136" s="16"/>
      <c r="C136" s="16"/>
      <c r="D136" s="16"/>
    </row>
    <row r="137">
      <c r="A137" s="16"/>
      <c r="B137" s="16"/>
      <c r="C137" s="16"/>
      <c r="D137" s="16"/>
    </row>
    <row r="138">
      <c r="A138" s="16"/>
      <c r="B138" s="16"/>
      <c r="C138" s="16"/>
      <c r="D138" s="16"/>
    </row>
    <row r="139">
      <c r="A139" s="16"/>
      <c r="B139" s="16"/>
      <c r="C139" s="16"/>
      <c r="D139" s="16"/>
    </row>
    <row r="140">
      <c r="A140" s="16"/>
      <c r="B140" s="16"/>
      <c r="C140" s="16"/>
      <c r="D140" s="16"/>
    </row>
    <row r="141">
      <c r="A141" s="16"/>
      <c r="B141" s="16"/>
      <c r="C141" s="16"/>
      <c r="D141" s="16"/>
    </row>
    <row r="142">
      <c r="A142" s="16"/>
      <c r="B142" s="16"/>
      <c r="C142" s="16"/>
      <c r="D142" s="16"/>
    </row>
    <row r="143">
      <c r="A143" s="16"/>
      <c r="B143" s="16"/>
      <c r="C143" s="16"/>
      <c r="D143" s="16"/>
    </row>
    <row r="144">
      <c r="A144" s="16"/>
      <c r="B144" s="16"/>
      <c r="C144" s="16"/>
      <c r="D144" s="16"/>
    </row>
    <row r="145">
      <c r="A145" s="16"/>
      <c r="B145" s="16"/>
      <c r="C145" s="16"/>
      <c r="D145" s="16"/>
    </row>
    <row r="146">
      <c r="A146" s="16"/>
      <c r="B146" s="16"/>
      <c r="C146" s="16"/>
      <c r="D146" s="16"/>
    </row>
    <row r="147">
      <c r="A147" s="16"/>
      <c r="B147" s="16"/>
      <c r="C147" s="16"/>
      <c r="D147" s="16"/>
    </row>
    <row r="148">
      <c r="A148" s="16"/>
      <c r="B148" s="16"/>
      <c r="C148" s="16"/>
      <c r="D148" s="16"/>
    </row>
    <row r="149">
      <c r="A149" s="16"/>
      <c r="B149" s="16"/>
      <c r="C149" s="16"/>
      <c r="D149" s="16"/>
    </row>
    <row r="150">
      <c r="A150" s="16"/>
      <c r="B150" s="16"/>
      <c r="C150" s="16"/>
      <c r="D150" s="16"/>
    </row>
    <row r="151">
      <c r="A151" s="16"/>
      <c r="B151" s="16"/>
      <c r="C151" s="16"/>
      <c r="D151" s="16"/>
    </row>
    <row r="152">
      <c r="A152" s="16"/>
      <c r="B152" s="16"/>
      <c r="C152" s="16"/>
      <c r="D152" s="16"/>
    </row>
    <row r="153">
      <c r="A153" s="16"/>
      <c r="B153" s="16"/>
      <c r="C153" s="16"/>
      <c r="D153" s="16"/>
    </row>
    <row r="154">
      <c r="A154" s="16"/>
      <c r="B154" s="16"/>
      <c r="C154" s="16"/>
      <c r="D154" s="16"/>
    </row>
    <row r="155">
      <c r="A155" s="16"/>
      <c r="B155" s="16"/>
      <c r="C155" s="16"/>
      <c r="D155" s="16"/>
    </row>
    <row r="156">
      <c r="A156" s="16"/>
      <c r="B156" s="16"/>
      <c r="C156" s="16"/>
      <c r="D156" s="16"/>
    </row>
    <row r="157">
      <c r="A157" s="16"/>
      <c r="B157" s="16"/>
      <c r="C157" s="16"/>
      <c r="D157" s="16"/>
    </row>
    <row r="158">
      <c r="A158" s="16"/>
      <c r="B158" s="16"/>
      <c r="C158" s="16"/>
      <c r="D158" s="16"/>
    </row>
    <row r="159">
      <c r="A159" s="16"/>
      <c r="B159" s="16"/>
      <c r="C159" s="16"/>
      <c r="D159" s="16"/>
    </row>
    <row r="160">
      <c r="A160" s="16"/>
      <c r="B160" s="16"/>
      <c r="C160" s="16"/>
      <c r="D160" s="16"/>
    </row>
    <row r="161">
      <c r="A161" s="16"/>
      <c r="B161" s="16"/>
      <c r="C161" s="16"/>
      <c r="D161" s="16"/>
    </row>
    <row r="162">
      <c r="A162" s="16"/>
      <c r="B162" s="16"/>
      <c r="C162" s="16"/>
      <c r="D162" s="16"/>
    </row>
    <row r="163">
      <c r="A163" s="16"/>
      <c r="B163" s="16"/>
      <c r="C163" s="16"/>
      <c r="D163" s="16"/>
    </row>
    <row r="164">
      <c r="A164" s="16"/>
      <c r="B164" s="16"/>
      <c r="C164" s="16"/>
      <c r="D164" s="16"/>
    </row>
    <row r="165">
      <c r="A165" s="16"/>
      <c r="B165" s="16"/>
      <c r="C165" s="16"/>
      <c r="D165" s="16"/>
    </row>
    <row r="166">
      <c r="A166" s="16"/>
      <c r="B166" s="16"/>
      <c r="C166" s="16"/>
      <c r="D166" s="16"/>
    </row>
    <row r="167">
      <c r="A167" s="16"/>
      <c r="B167" s="16"/>
      <c r="C167" s="16"/>
      <c r="D167" s="16"/>
    </row>
    <row r="168">
      <c r="A168" s="16"/>
      <c r="B168" s="16"/>
      <c r="C168" s="16"/>
      <c r="D168" s="16"/>
    </row>
    <row r="169">
      <c r="A169" s="16"/>
      <c r="B169" s="16"/>
      <c r="C169" s="16"/>
      <c r="D169" s="16"/>
    </row>
    <row r="170">
      <c r="A170" s="16"/>
      <c r="B170" s="16"/>
      <c r="C170" s="16"/>
      <c r="D170" s="16"/>
    </row>
    <row r="171">
      <c r="A171" s="16"/>
      <c r="B171" s="16"/>
      <c r="C171" s="16"/>
      <c r="D171" s="16"/>
    </row>
    <row r="172">
      <c r="A172" s="16"/>
      <c r="B172" s="16"/>
      <c r="C172" s="16"/>
      <c r="D172" s="16"/>
    </row>
    <row r="173">
      <c r="A173" s="16"/>
      <c r="B173" s="16"/>
      <c r="C173" s="16"/>
      <c r="D173" s="16"/>
    </row>
    <row r="174">
      <c r="A174" s="16"/>
      <c r="B174" s="16"/>
      <c r="C174" s="16"/>
      <c r="D174" s="16"/>
    </row>
    <row r="175">
      <c r="A175" s="16"/>
      <c r="B175" s="16"/>
      <c r="C175" s="16"/>
      <c r="D175" s="16"/>
    </row>
    <row r="176">
      <c r="A176" s="16"/>
      <c r="B176" s="16"/>
      <c r="C176" s="16"/>
      <c r="D176" s="16"/>
    </row>
    <row r="177">
      <c r="A177" s="16"/>
      <c r="B177" s="16"/>
      <c r="C177" s="16"/>
      <c r="D177" s="16"/>
    </row>
    <row r="178">
      <c r="A178" s="16"/>
      <c r="B178" s="16"/>
      <c r="C178" s="16"/>
      <c r="D178" s="16"/>
    </row>
    <row r="179">
      <c r="A179" s="16"/>
      <c r="B179" s="16"/>
      <c r="C179" s="16"/>
      <c r="D179" s="16"/>
    </row>
    <row r="180">
      <c r="A180" s="16"/>
      <c r="B180" s="16"/>
      <c r="C180" s="16"/>
      <c r="D180" s="16"/>
    </row>
    <row r="181">
      <c r="A181" s="16"/>
      <c r="B181" s="16"/>
      <c r="C181" s="16"/>
      <c r="D181" s="16"/>
    </row>
    <row r="182">
      <c r="A182" s="16"/>
      <c r="B182" s="16"/>
      <c r="C182" s="16"/>
      <c r="D182" s="16"/>
    </row>
    <row r="183">
      <c r="A183" s="16"/>
      <c r="B183" s="16"/>
      <c r="C183" s="16"/>
      <c r="D183" s="16"/>
    </row>
    <row r="184">
      <c r="A184" s="16"/>
      <c r="B184" s="16"/>
      <c r="C184" s="16"/>
      <c r="D184" s="16"/>
    </row>
    <row r="185">
      <c r="A185" s="16"/>
      <c r="B185" s="16"/>
      <c r="C185" s="16"/>
      <c r="D185" s="16"/>
    </row>
    <row r="186">
      <c r="A186" s="16"/>
      <c r="B186" s="16"/>
      <c r="C186" s="16"/>
      <c r="D186" s="16"/>
    </row>
    <row r="187">
      <c r="A187" s="16"/>
      <c r="B187" s="16"/>
      <c r="C187" s="16"/>
      <c r="D187" s="16"/>
    </row>
    <row r="188">
      <c r="A188" s="16"/>
      <c r="B188" s="16"/>
      <c r="C188" s="16"/>
      <c r="D188" s="16"/>
    </row>
    <row r="189">
      <c r="A189" s="16"/>
      <c r="B189" s="16"/>
      <c r="C189" s="16"/>
      <c r="D189" s="16"/>
    </row>
    <row r="190">
      <c r="A190" s="16"/>
      <c r="B190" s="16"/>
      <c r="C190" s="16"/>
      <c r="D190" s="16"/>
    </row>
    <row r="191">
      <c r="A191" s="16"/>
      <c r="B191" s="16"/>
      <c r="C191" s="16"/>
      <c r="D191" s="16"/>
    </row>
    <row r="192">
      <c r="A192" s="16"/>
      <c r="B192" s="16"/>
      <c r="C192" s="16"/>
      <c r="D192" s="16"/>
    </row>
    <row r="193">
      <c r="A193" s="16"/>
      <c r="B193" s="16"/>
      <c r="C193" s="16"/>
      <c r="D193" s="16"/>
    </row>
    <row r="194">
      <c r="A194" s="16"/>
      <c r="B194" s="16"/>
      <c r="C194" s="16"/>
      <c r="D194" s="16"/>
    </row>
    <row r="195">
      <c r="A195" s="16"/>
      <c r="B195" s="16"/>
      <c r="C195" s="16"/>
      <c r="D195" s="16"/>
    </row>
    <row r="196">
      <c r="A196" s="16"/>
      <c r="B196" s="16"/>
      <c r="C196" s="16"/>
      <c r="D196" s="16"/>
    </row>
    <row r="197">
      <c r="A197" s="16"/>
      <c r="B197" s="16"/>
      <c r="C197" s="16"/>
      <c r="D197" s="16"/>
    </row>
    <row r="198">
      <c r="A198" s="16"/>
      <c r="B198" s="16"/>
      <c r="C198" s="16"/>
      <c r="D198" s="16"/>
    </row>
    <row r="199">
      <c r="A199" s="16"/>
      <c r="B199" s="16"/>
      <c r="C199" s="16"/>
      <c r="D199" s="16"/>
    </row>
    <row r="200">
      <c r="A200" s="16"/>
      <c r="B200" s="16"/>
      <c r="C200" s="16"/>
      <c r="D200" s="16"/>
    </row>
    <row r="201">
      <c r="A201" s="16"/>
      <c r="B201" s="16"/>
      <c r="C201" s="16"/>
      <c r="D201" s="16"/>
    </row>
    <row r="202">
      <c r="A202" s="16"/>
      <c r="B202" s="16"/>
      <c r="C202" s="16"/>
      <c r="D202" s="16"/>
    </row>
    <row r="203">
      <c r="A203" s="16"/>
      <c r="B203" s="16"/>
      <c r="C203" s="16"/>
      <c r="D203" s="16"/>
    </row>
    <row r="204">
      <c r="A204" s="16"/>
      <c r="B204" s="16"/>
      <c r="C204" s="16"/>
      <c r="D204" s="16"/>
    </row>
    <row r="205">
      <c r="A205" s="16"/>
      <c r="B205" s="16"/>
      <c r="C205" s="16"/>
      <c r="D205" s="16"/>
    </row>
    <row r="206">
      <c r="A206" s="16"/>
      <c r="B206" s="16"/>
      <c r="C206" s="16"/>
      <c r="D206" s="16"/>
    </row>
    <row r="207">
      <c r="A207" s="16"/>
      <c r="B207" s="16"/>
      <c r="C207" s="16"/>
      <c r="D207" s="16"/>
    </row>
    <row r="208">
      <c r="A208" s="16"/>
      <c r="B208" s="16"/>
      <c r="C208" s="16"/>
      <c r="D208" s="16"/>
    </row>
    <row r="209">
      <c r="A209" s="16"/>
      <c r="B209" s="16"/>
      <c r="C209" s="16"/>
      <c r="D209" s="16"/>
    </row>
    <row r="210">
      <c r="A210" s="16"/>
      <c r="B210" s="16"/>
      <c r="C210" s="16"/>
      <c r="D210" s="16"/>
    </row>
    <row r="211">
      <c r="A211" s="16"/>
      <c r="B211" s="16"/>
      <c r="C211" s="16"/>
      <c r="D211" s="16"/>
    </row>
    <row r="212">
      <c r="A212" s="16"/>
      <c r="B212" s="16"/>
      <c r="C212" s="16"/>
      <c r="D212" s="16"/>
    </row>
    <row r="213">
      <c r="A213" s="16"/>
      <c r="B213" s="16"/>
      <c r="C213" s="16"/>
      <c r="D213" s="16"/>
    </row>
    <row r="214">
      <c r="A214" s="16"/>
      <c r="B214" s="16"/>
      <c r="C214" s="16"/>
      <c r="D214" s="16"/>
    </row>
    <row r="215">
      <c r="A215" s="16"/>
      <c r="B215" s="16"/>
      <c r="C215" s="16"/>
      <c r="D215" s="16"/>
    </row>
    <row r="216">
      <c r="A216" s="16"/>
      <c r="B216" s="16"/>
      <c r="C216" s="16"/>
      <c r="D216" s="16"/>
    </row>
    <row r="217">
      <c r="A217" s="16"/>
      <c r="B217" s="16"/>
      <c r="C217" s="16"/>
      <c r="D217" s="16"/>
    </row>
    <row r="218">
      <c r="A218" s="16"/>
      <c r="B218" s="16"/>
      <c r="C218" s="16"/>
      <c r="D218" s="16"/>
    </row>
    <row r="219">
      <c r="A219" s="16"/>
      <c r="B219" s="16"/>
      <c r="C219" s="16"/>
      <c r="D219" s="16"/>
    </row>
    <row r="220">
      <c r="A220" s="16"/>
      <c r="B220" s="16"/>
      <c r="C220" s="16"/>
      <c r="D220" s="16"/>
    </row>
    <row r="221">
      <c r="A221" s="16"/>
      <c r="B221" s="16"/>
      <c r="C221" s="16"/>
      <c r="D221" s="16"/>
    </row>
    <row r="222">
      <c r="A222" s="16"/>
      <c r="B222" s="16"/>
      <c r="C222" s="16"/>
      <c r="D222" s="16"/>
    </row>
    <row r="223">
      <c r="A223" s="16"/>
      <c r="B223" s="16"/>
      <c r="C223" s="16"/>
      <c r="D223" s="16"/>
    </row>
    <row r="224">
      <c r="A224" s="16"/>
      <c r="B224" s="16"/>
      <c r="C224" s="16"/>
      <c r="D224" s="16"/>
    </row>
    <row r="225">
      <c r="A225" s="16"/>
      <c r="B225" s="16"/>
      <c r="C225" s="16"/>
      <c r="D225" s="16"/>
    </row>
    <row r="226">
      <c r="A226" s="16"/>
      <c r="B226" s="16"/>
      <c r="C226" s="16"/>
      <c r="D226" s="16"/>
    </row>
    <row r="227">
      <c r="A227" s="16"/>
      <c r="B227" s="16"/>
      <c r="C227" s="16"/>
      <c r="D227" s="16"/>
    </row>
    <row r="228">
      <c r="A228" s="16"/>
      <c r="B228" s="16"/>
      <c r="C228" s="16"/>
      <c r="D228" s="16"/>
    </row>
    <row r="229">
      <c r="A229" s="16"/>
      <c r="B229" s="16"/>
      <c r="C229" s="16"/>
      <c r="D229" s="16"/>
    </row>
    <row r="230">
      <c r="A230" s="16"/>
      <c r="B230" s="16"/>
      <c r="C230" s="16"/>
      <c r="D230" s="16"/>
    </row>
    <row r="231">
      <c r="A231" s="16"/>
      <c r="B231" s="16"/>
      <c r="C231" s="16"/>
      <c r="D231" s="16"/>
    </row>
    <row r="232">
      <c r="A232" s="16"/>
      <c r="B232" s="16"/>
      <c r="C232" s="16"/>
      <c r="D232" s="16"/>
    </row>
    <row r="233">
      <c r="A233" s="16"/>
      <c r="B233" s="16"/>
      <c r="C233" s="16"/>
      <c r="D233" s="16"/>
    </row>
    <row r="234">
      <c r="A234" s="16"/>
      <c r="B234" s="16"/>
      <c r="C234" s="16"/>
      <c r="D234" s="16"/>
    </row>
    <row r="235">
      <c r="A235" s="16"/>
      <c r="B235" s="16"/>
      <c r="C235" s="16"/>
      <c r="D235" s="16"/>
    </row>
    <row r="236">
      <c r="A236" s="16"/>
      <c r="B236" s="16"/>
      <c r="C236" s="16"/>
      <c r="D236" s="16"/>
    </row>
    <row r="237">
      <c r="A237" s="16"/>
      <c r="B237" s="16"/>
      <c r="C237" s="16"/>
      <c r="D237" s="16"/>
    </row>
    <row r="238">
      <c r="A238" s="16"/>
      <c r="B238" s="16"/>
      <c r="C238" s="16"/>
      <c r="D238" s="16"/>
    </row>
    <row r="239">
      <c r="A239" s="16"/>
      <c r="B239" s="16"/>
      <c r="C239" s="16"/>
      <c r="D239" s="16"/>
    </row>
    <row r="240">
      <c r="A240" s="16"/>
      <c r="B240" s="16"/>
      <c r="C240" s="16"/>
      <c r="D240" s="16"/>
    </row>
    <row r="241">
      <c r="A241" s="16"/>
      <c r="B241" s="16"/>
      <c r="C241" s="16"/>
      <c r="D241" s="16"/>
    </row>
    <row r="242">
      <c r="A242" s="16"/>
      <c r="B242" s="16"/>
      <c r="C242" s="16"/>
      <c r="D242" s="16"/>
    </row>
    <row r="243">
      <c r="A243" s="16"/>
      <c r="B243" s="16"/>
      <c r="C243" s="16"/>
      <c r="D243" s="16"/>
    </row>
    <row r="244">
      <c r="A244" s="16"/>
      <c r="B244" s="16"/>
      <c r="C244" s="16"/>
      <c r="D244" s="16"/>
    </row>
    <row r="245">
      <c r="A245" s="16"/>
      <c r="B245" s="16"/>
      <c r="C245" s="16"/>
      <c r="D245" s="16"/>
    </row>
    <row r="246">
      <c r="A246" s="16"/>
      <c r="B246" s="16"/>
      <c r="C246" s="16"/>
      <c r="D246" s="16"/>
    </row>
    <row r="247">
      <c r="A247" s="16"/>
      <c r="B247" s="16"/>
      <c r="C247" s="16"/>
      <c r="D247" s="16"/>
    </row>
    <row r="248">
      <c r="A248" s="16"/>
      <c r="B248" s="16"/>
      <c r="C248" s="16"/>
      <c r="D248" s="16"/>
    </row>
    <row r="249">
      <c r="A249" s="16"/>
      <c r="B249" s="16"/>
      <c r="C249" s="16"/>
      <c r="D249" s="16"/>
    </row>
    <row r="250">
      <c r="A250" s="16"/>
      <c r="B250" s="16"/>
      <c r="C250" s="16"/>
      <c r="D250" s="16"/>
    </row>
    <row r="251">
      <c r="A251" s="16"/>
      <c r="B251" s="16"/>
      <c r="C251" s="16"/>
      <c r="D251" s="16"/>
    </row>
    <row r="252">
      <c r="A252" s="16"/>
      <c r="B252" s="16"/>
      <c r="C252" s="16"/>
      <c r="D252" s="16"/>
    </row>
    <row r="253">
      <c r="A253" s="16"/>
      <c r="B253" s="16"/>
      <c r="C253" s="16"/>
      <c r="D253" s="16"/>
    </row>
    <row r="254">
      <c r="A254" s="16"/>
      <c r="B254" s="16"/>
      <c r="C254" s="16"/>
      <c r="D254" s="16"/>
    </row>
    <row r="255">
      <c r="A255" s="16"/>
      <c r="B255" s="16"/>
      <c r="C255" s="16"/>
      <c r="D255" s="16"/>
    </row>
    <row r="256">
      <c r="A256" s="16"/>
      <c r="B256" s="16"/>
      <c r="C256" s="16"/>
      <c r="D256" s="16"/>
    </row>
    <row r="257">
      <c r="A257" s="16"/>
      <c r="B257" s="16"/>
      <c r="C257" s="16"/>
      <c r="D257" s="16"/>
    </row>
    <row r="258">
      <c r="A258" s="16"/>
      <c r="B258" s="16"/>
      <c r="C258" s="16"/>
      <c r="D258" s="16"/>
    </row>
    <row r="259">
      <c r="A259" s="16"/>
      <c r="B259" s="16"/>
      <c r="C259" s="16"/>
      <c r="D259" s="16"/>
    </row>
    <row r="260">
      <c r="A260" s="16"/>
      <c r="B260" s="16"/>
      <c r="C260" s="16"/>
      <c r="D260" s="16"/>
    </row>
    <row r="261">
      <c r="A261" s="16"/>
      <c r="B261" s="16"/>
      <c r="C261" s="16"/>
      <c r="D261" s="16"/>
    </row>
    <row r="262">
      <c r="A262" s="16"/>
      <c r="B262" s="16"/>
      <c r="C262" s="16"/>
      <c r="D262" s="16"/>
    </row>
    <row r="263">
      <c r="A263" s="16"/>
      <c r="B263" s="16"/>
      <c r="C263" s="16"/>
      <c r="D263" s="16"/>
    </row>
    <row r="264">
      <c r="A264" s="16"/>
      <c r="B264" s="16"/>
      <c r="C264" s="16"/>
      <c r="D264" s="16"/>
    </row>
    <row r="265">
      <c r="A265" s="16"/>
      <c r="B265" s="16"/>
      <c r="C265" s="16"/>
      <c r="D265" s="16"/>
    </row>
    <row r="266">
      <c r="A266" s="16"/>
      <c r="B266" s="16"/>
      <c r="C266" s="16"/>
      <c r="D266" s="16"/>
    </row>
    <row r="267">
      <c r="A267" s="16"/>
      <c r="B267" s="16"/>
      <c r="C267" s="16"/>
      <c r="D267" s="16"/>
    </row>
    <row r="268">
      <c r="A268" s="16"/>
      <c r="B268" s="16"/>
      <c r="C268" s="16"/>
      <c r="D268" s="16"/>
    </row>
    <row r="269">
      <c r="A269" s="16"/>
      <c r="B269" s="16"/>
      <c r="C269" s="16"/>
      <c r="D269" s="16"/>
    </row>
    <row r="270">
      <c r="A270" s="16"/>
      <c r="B270" s="16"/>
      <c r="C270" s="16"/>
      <c r="D270" s="16"/>
    </row>
    <row r="271">
      <c r="A271" s="16"/>
      <c r="B271" s="16"/>
      <c r="C271" s="16"/>
      <c r="D271" s="16"/>
    </row>
    <row r="272">
      <c r="A272" s="16"/>
      <c r="B272" s="16"/>
      <c r="C272" s="16"/>
      <c r="D272" s="16"/>
    </row>
    <row r="273">
      <c r="A273" s="16"/>
      <c r="B273" s="16"/>
      <c r="C273" s="16"/>
      <c r="D273" s="16"/>
    </row>
    <row r="274">
      <c r="A274" s="16"/>
      <c r="B274" s="16"/>
      <c r="C274" s="16"/>
      <c r="D274" s="16"/>
    </row>
    <row r="275">
      <c r="A275" s="16"/>
      <c r="B275" s="16"/>
      <c r="C275" s="16"/>
      <c r="D275" s="16"/>
    </row>
    <row r="276">
      <c r="A276" s="16"/>
      <c r="B276" s="16"/>
      <c r="C276" s="16"/>
      <c r="D276" s="16"/>
    </row>
    <row r="277">
      <c r="A277" s="16"/>
      <c r="B277" s="16"/>
      <c r="C277" s="16"/>
      <c r="D277" s="16"/>
    </row>
    <row r="278">
      <c r="A278" s="16"/>
      <c r="B278" s="16"/>
      <c r="C278" s="16"/>
      <c r="D278" s="16"/>
    </row>
    <row r="279">
      <c r="A279" s="16"/>
      <c r="B279" s="16"/>
      <c r="C279" s="16"/>
      <c r="D279" s="16"/>
    </row>
    <row r="280">
      <c r="A280" s="16"/>
      <c r="B280" s="16"/>
      <c r="C280" s="16"/>
      <c r="D280" s="16"/>
    </row>
    <row r="281">
      <c r="A281" s="16"/>
      <c r="B281" s="16"/>
      <c r="C281" s="16"/>
      <c r="D281" s="16"/>
    </row>
    <row r="282">
      <c r="A282" s="16"/>
      <c r="B282" s="16"/>
      <c r="C282" s="16"/>
      <c r="D282" s="16"/>
    </row>
    <row r="283">
      <c r="A283" s="16"/>
      <c r="B283" s="16"/>
      <c r="C283" s="16"/>
      <c r="D283" s="16"/>
    </row>
    <row r="284">
      <c r="A284" s="16"/>
      <c r="B284" s="16"/>
      <c r="C284" s="16"/>
      <c r="D284" s="16"/>
    </row>
    <row r="285">
      <c r="A285" s="16"/>
      <c r="B285" s="16"/>
      <c r="C285" s="16"/>
      <c r="D285" s="16"/>
    </row>
    <row r="286">
      <c r="A286" s="16"/>
      <c r="B286" s="16"/>
      <c r="C286" s="16"/>
      <c r="D286" s="16"/>
    </row>
    <row r="287">
      <c r="A287" s="16"/>
      <c r="B287" s="16"/>
      <c r="C287" s="16"/>
      <c r="D287" s="16"/>
    </row>
    <row r="288">
      <c r="A288" s="16"/>
      <c r="B288" s="16"/>
      <c r="C288" s="16"/>
      <c r="D288" s="16"/>
    </row>
    <row r="289">
      <c r="A289" s="16"/>
      <c r="B289" s="16"/>
      <c r="C289" s="16"/>
      <c r="D289" s="16"/>
    </row>
    <row r="290">
      <c r="A290" s="16"/>
      <c r="B290" s="16"/>
      <c r="C290" s="16"/>
      <c r="D290" s="16"/>
    </row>
    <row r="291">
      <c r="A291" s="16"/>
      <c r="B291" s="16"/>
      <c r="C291" s="16"/>
      <c r="D291" s="16"/>
    </row>
    <row r="292">
      <c r="A292" s="16"/>
      <c r="B292" s="16"/>
      <c r="C292" s="16"/>
      <c r="D292" s="16"/>
    </row>
    <row r="293">
      <c r="A293" s="16"/>
      <c r="B293" s="16"/>
      <c r="C293" s="16"/>
      <c r="D293" s="16"/>
    </row>
    <row r="294">
      <c r="A294" s="16"/>
      <c r="B294" s="16"/>
      <c r="C294" s="16"/>
      <c r="D294" s="16"/>
    </row>
    <row r="295">
      <c r="A295" s="16"/>
      <c r="B295" s="16"/>
      <c r="C295" s="16"/>
      <c r="D295" s="16"/>
    </row>
    <row r="296">
      <c r="A296" s="16"/>
      <c r="B296" s="16"/>
      <c r="C296" s="16"/>
      <c r="D296" s="16"/>
    </row>
    <row r="297">
      <c r="A297" s="16"/>
      <c r="B297" s="16"/>
      <c r="C297" s="16"/>
      <c r="D297" s="16"/>
    </row>
    <row r="298">
      <c r="A298" s="16"/>
      <c r="B298" s="16"/>
      <c r="C298" s="16"/>
      <c r="D298" s="16"/>
    </row>
    <row r="299">
      <c r="A299" s="16"/>
      <c r="B299" s="16"/>
      <c r="C299" s="16"/>
      <c r="D299" s="16"/>
    </row>
    <row r="300">
      <c r="A300" s="16"/>
      <c r="B300" s="16"/>
      <c r="C300" s="16"/>
      <c r="D300" s="16"/>
    </row>
    <row r="301">
      <c r="A301" s="16"/>
      <c r="B301" s="16"/>
      <c r="C301" s="16"/>
      <c r="D301" s="16"/>
    </row>
    <row r="302">
      <c r="A302" s="16"/>
      <c r="B302" s="16"/>
      <c r="C302" s="16"/>
      <c r="D302" s="16"/>
    </row>
    <row r="303">
      <c r="A303" s="16"/>
      <c r="B303" s="16"/>
      <c r="C303" s="16"/>
      <c r="D303" s="16"/>
    </row>
    <row r="304">
      <c r="A304" s="16"/>
      <c r="B304" s="16"/>
      <c r="C304" s="16"/>
      <c r="D304" s="16"/>
    </row>
    <row r="305">
      <c r="A305" s="16"/>
      <c r="B305" s="16"/>
      <c r="C305" s="16"/>
      <c r="D305" s="16"/>
    </row>
    <row r="306">
      <c r="A306" s="16"/>
      <c r="B306" s="16"/>
      <c r="C306" s="16"/>
      <c r="D306" s="16"/>
    </row>
    <row r="307">
      <c r="A307" s="16"/>
      <c r="B307" s="16"/>
      <c r="C307" s="16"/>
      <c r="D307" s="16"/>
    </row>
    <row r="308">
      <c r="A308" s="16"/>
      <c r="B308" s="16"/>
      <c r="C308" s="16"/>
      <c r="D308" s="16"/>
    </row>
    <row r="309">
      <c r="A309" s="16"/>
      <c r="B309" s="16"/>
      <c r="C309" s="16"/>
      <c r="D309" s="16"/>
    </row>
    <row r="310">
      <c r="A310" s="16"/>
      <c r="B310" s="16"/>
      <c r="C310" s="16"/>
      <c r="D310" s="16"/>
    </row>
    <row r="311">
      <c r="A311" s="16"/>
      <c r="B311" s="16"/>
      <c r="C311" s="16"/>
      <c r="D311" s="16"/>
    </row>
    <row r="312">
      <c r="A312" s="16"/>
      <c r="B312" s="16"/>
      <c r="C312" s="16"/>
      <c r="D312" s="16"/>
    </row>
    <row r="313">
      <c r="A313" s="16"/>
      <c r="B313" s="16"/>
      <c r="C313" s="16"/>
      <c r="D313" s="16"/>
    </row>
    <row r="314">
      <c r="A314" s="16"/>
      <c r="B314" s="16"/>
      <c r="C314" s="16"/>
      <c r="D314" s="16"/>
    </row>
    <row r="315">
      <c r="A315" s="16"/>
      <c r="B315" s="16"/>
      <c r="C315" s="16"/>
      <c r="D315" s="16"/>
    </row>
    <row r="316">
      <c r="A316" s="16"/>
      <c r="B316" s="16"/>
      <c r="C316" s="16"/>
      <c r="D316" s="16"/>
    </row>
    <row r="317">
      <c r="A317" s="16"/>
      <c r="B317" s="16"/>
      <c r="C317" s="16"/>
      <c r="D317" s="16"/>
    </row>
    <row r="318">
      <c r="A318" s="16"/>
      <c r="B318" s="16"/>
      <c r="C318" s="16"/>
      <c r="D318" s="16"/>
    </row>
    <row r="319">
      <c r="A319" s="16"/>
      <c r="B319" s="16"/>
      <c r="C319" s="16"/>
      <c r="D319" s="16"/>
    </row>
    <row r="320">
      <c r="A320" s="16"/>
      <c r="B320" s="16"/>
      <c r="C320" s="16"/>
      <c r="D320" s="16"/>
    </row>
    <row r="321">
      <c r="A321" s="16"/>
      <c r="B321" s="16"/>
      <c r="C321" s="16"/>
      <c r="D321" s="16"/>
    </row>
    <row r="322">
      <c r="A322" s="16"/>
      <c r="B322" s="16"/>
      <c r="C322" s="16"/>
      <c r="D322" s="16"/>
    </row>
    <row r="323">
      <c r="A323" s="16"/>
      <c r="B323" s="16"/>
      <c r="C323" s="16"/>
      <c r="D323" s="16"/>
    </row>
    <row r="324">
      <c r="A324" s="16"/>
      <c r="B324" s="16"/>
      <c r="C324" s="16"/>
      <c r="D324" s="16"/>
    </row>
    <row r="325">
      <c r="A325" s="16"/>
      <c r="B325" s="16"/>
      <c r="C325" s="16"/>
      <c r="D325" s="16"/>
    </row>
    <row r="326">
      <c r="A326" s="16"/>
      <c r="B326" s="16"/>
      <c r="C326" s="16"/>
      <c r="D326" s="16"/>
    </row>
    <row r="327">
      <c r="A327" s="16"/>
      <c r="B327" s="16"/>
      <c r="C327" s="16"/>
      <c r="D327" s="16"/>
    </row>
    <row r="328">
      <c r="A328" s="16"/>
      <c r="B328" s="16"/>
      <c r="C328" s="16"/>
      <c r="D328" s="16"/>
    </row>
    <row r="329">
      <c r="A329" s="16"/>
      <c r="B329" s="16"/>
      <c r="C329" s="16"/>
      <c r="D329" s="16"/>
    </row>
    <row r="330">
      <c r="A330" s="16"/>
      <c r="B330" s="16"/>
      <c r="C330" s="16"/>
      <c r="D330" s="16"/>
    </row>
    <row r="331">
      <c r="A331" s="16"/>
      <c r="B331" s="16"/>
      <c r="C331" s="16"/>
      <c r="D331" s="16"/>
    </row>
    <row r="332">
      <c r="A332" s="16"/>
      <c r="B332" s="16"/>
      <c r="C332" s="16"/>
      <c r="D332" s="16"/>
    </row>
    <row r="333">
      <c r="A333" s="16"/>
      <c r="B333" s="16"/>
      <c r="C333" s="16"/>
      <c r="D333" s="16"/>
    </row>
    <row r="334">
      <c r="A334" s="16"/>
      <c r="B334" s="16"/>
      <c r="C334" s="16"/>
      <c r="D334" s="16"/>
    </row>
    <row r="335">
      <c r="A335" s="16"/>
      <c r="B335" s="16"/>
      <c r="C335" s="16"/>
      <c r="D335" s="16"/>
    </row>
    <row r="336">
      <c r="A336" s="16"/>
      <c r="B336" s="16"/>
      <c r="C336" s="16"/>
      <c r="D336" s="16"/>
    </row>
    <row r="337">
      <c r="A337" s="16"/>
      <c r="B337" s="16"/>
      <c r="C337" s="16"/>
      <c r="D337" s="16"/>
    </row>
    <row r="338">
      <c r="A338" s="16"/>
      <c r="B338" s="16"/>
      <c r="C338" s="16"/>
      <c r="D338" s="16"/>
    </row>
    <row r="339">
      <c r="A339" s="16"/>
      <c r="B339" s="16"/>
      <c r="C339" s="16"/>
      <c r="D339" s="16"/>
    </row>
    <row r="340">
      <c r="A340" s="16"/>
      <c r="B340" s="16"/>
      <c r="C340" s="16"/>
      <c r="D340" s="16"/>
    </row>
    <row r="341">
      <c r="A341" s="16"/>
      <c r="B341" s="16"/>
      <c r="C341" s="16"/>
      <c r="D341" s="16"/>
    </row>
    <row r="342">
      <c r="A342" s="16"/>
      <c r="B342" s="16"/>
      <c r="C342" s="16"/>
      <c r="D342" s="16"/>
    </row>
    <row r="343">
      <c r="A343" s="16"/>
      <c r="B343" s="16"/>
      <c r="C343" s="16"/>
      <c r="D343" s="16"/>
    </row>
    <row r="344">
      <c r="A344" s="16"/>
      <c r="B344" s="16"/>
      <c r="C344" s="16"/>
      <c r="D344" s="16"/>
    </row>
    <row r="345">
      <c r="A345" s="16"/>
      <c r="B345" s="16"/>
      <c r="C345" s="16"/>
      <c r="D345" s="16"/>
    </row>
    <row r="346">
      <c r="A346" s="16"/>
      <c r="B346" s="16"/>
      <c r="C346" s="16"/>
      <c r="D346" s="16"/>
    </row>
    <row r="347">
      <c r="A347" s="16"/>
      <c r="B347" s="16"/>
      <c r="C347" s="16"/>
      <c r="D347" s="16"/>
    </row>
    <row r="348">
      <c r="A348" s="16"/>
      <c r="B348" s="16"/>
      <c r="C348" s="16"/>
      <c r="D348" s="16"/>
    </row>
    <row r="349">
      <c r="A349" s="16"/>
      <c r="B349" s="16"/>
      <c r="C349" s="16"/>
      <c r="D349" s="16"/>
    </row>
    <row r="350">
      <c r="A350" s="16"/>
      <c r="B350" s="16"/>
      <c r="C350" s="16"/>
      <c r="D350" s="16"/>
    </row>
    <row r="351">
      <c r="A351" s="16"/>
      <c r="B351" s="16"/>
      <c r="C351" s="16"/>
      <c r="D351" s="16"/>
    </row>
    <row r="352">
      <c r="A352" s="16"/>
      <c r="B352" s="16"/>
      <c r="C352" s="16"/>
      <c r="D352" s="16"/>
    </row>
    <row r="353">
      <c r="A353" s="16"/>
      <c r="B353" s="16"/>
      <c r="C353" s="16"/>
      <c r="D353" s="16"/>
    </row>
    <row r="354">
      <c r="A354" s="16"/>
      <c r="B354" s="16"/>
      <c r="C354" s="16"/>
      <c r="D354" s="16"/>
    </row>
    <row r="355">
      <c r="A355" s="16"/>
      <c r="B355" s="16"/>
      <c r="C355" s="16"/>
      <c r="D355" s="16"/>
    </row>
    <row r="356">
      <c r="A356" s="16"/>
      <c r="B356" s="16"/>
      <c r="C356" s="16"/>
      <c r="D356" s="16"/>
    </row>
    <row r="357">
      <c r="A357" s="16"/>
      <c r="B357" s="16"/>
      <c r="C357" s="16"/>
      <c r="D357" s="16"/>
    </row>
    <row r="358">
      <c r="A358" s="16"/>
      <c r="B358" s="16"/>
      <c r="C358" s="16"/>
      <c r="D358" s="16"/>
    </row>
    <row r="359">
      <c r="A359" s="16"/>
      <c r="B359" s="16"/>
      <c r="C359" s="16"/>
      <c r="D359" s="16"/>
    </row>
    <row r="360">
      <c r="A360" s="16"/>
      <c r="B360" s="16"/>
      <c r="C360" s="16"/>
      <c r="D360" s="16"/>
    </row>
    <row r="361">
      <c r="A361" s="16"/>
      <c r="B361" s="16"/>
      <c r="C361" s="16"/>
      <c r="D361" s="16"/>
    </row>
    <row r="362">
      <c r="A362" s="16"/>
      <c r="B362" s="16"/>
      <c r="C362" s="16"/>
      <c r="D362" s="16"/>
    </row>
    <row r="363">
      <c r="A363" s="16"/>
      <c r="B363" s="16"/>
      <c r="C363" s="16"/>
      <c r="D363" s="16"/>
    </row>
    <row r="364">
      <c r="A364" s="16"/>
      <c r="B364" s="16"/>
      <c r="C364" s="16"/>
      <c r="D364" s="16"/>
    </row>
    <row r="365">
      <c r="A365" s="16"/>
      <c r="B365" s="16"/>
      <c r="C365" s="16"/>
      <c r="D365" s="16"/>
    </row>
    <row r="366">
      <c r="A366" s="16"/>
      <c r="B366" s="16"/>
      <c r="C366" s="16"/>
      <c r="D366" s="16"/>
    </row>
    <row r="367">
      <c r="A367" s="16"/>
      <c r="B367" s="16"/>
      <c r="C367" s="16"/>
      <c r="D367" s="16"/>
    </row>
    <row r="368">
      <c r="A368" s="16"/>
      <c r="B368" s="16"/>
      <c r="C368" s="16"/>
      <c r="D368" s="16"/>
    </row>
    <row r="369">
      <c r="A369" s="16"/>
      <c r="B369" s="16"/>
      <c r="C369" s="16"/>
      <c r="D369" s="16"/>
    </row>
    <row r="370">
      <c r="A370" s="16"/>
      <c r="B370" s="16"/>
      <c r="C370" s="16"/>
      <c r="D370" s="16"/>
    </row>
    <row r="371">
      <c r="A371" s="16"/>
      <c r="B371" s="16"/>
      <c r="C371" s="16"/>
      <c r="D371" s="16"/>
    </row>
    <row r="372">
      <c r="A372" s="16"/>
      <c r="B372" s="16"/>
      <c r="C372" s="16"/>
      <c r="D372" s="16"/>
    </row>
    <row r="373">
      <c r="A373" s="16"/>
      <c r="B373" s="16"/>
      <c r="C373" s="16"/>
      <c r="D373" s="16"/>
    </row>
    <row r="374">
      <c r="A374" s="16"/>
      <c r="B374" s="16"/>
      <c r="C374" s="16"/>
      <c r="D374" s="16"/>
    </row>
    <row r="375">
      <c r="A375" s="16"/>
      <c r="B375" s="16"/>
      <c r="C375" s="16"/>
      <c r="D375" s="16"/>
    </row>
    <row r="376">
      <c r="A376" s="16"/>
      <c r="B376" s="16"/>
      <c r="C376" s="16"/>
      <c r="D376" s="16"/>
    </row>
    <row r="377">
      <c r="A377" s="16"/>
      <c r="B377" s="16"/>
      <c r="C377" s="16"/>
      <c r="D377" s="16"/>
    </row>
    <row r="378">
      <c r="A378" s="16"/>
      <c r="B378" s="16"/>
      <c r="C378" s="16"/>
      <c r="D378" s="16"/>
    </row>
    <row r="379">
      <c r="A379" s="16"/>
      <c r="B379" s="16"/>
      <c r="C379" s="16"/>
      <c r="D379" s="16"/>
    </row>
    <row r="380">
      <c r="A380" s="16"/>
      <c r="B380" s="16"/>
      <c r="C380" s="16"/>
      <c r="D380" s="16"/>
    </row>
    <row r="381">
      <c r="A381" s="16"/>
      <c r="B381" s="16"/>
      <c r="C381" s="16"/>
      <c r="D381" s="16"/>
    </row>
    <row r="382">
      <c r="A382" s="16"/>
      <c r="B382" s="16"/>
      <c r="C382" s="16"/>
      <c r="D382" s="16"/>
    </row>
    <row r="383">
      <c r="A383" s="16"/>
      <c r="B383" s="16"/>
      <c r="C383" s="16"/>
      <c r="D383" s="16"/>
    </row>
    <row r="384">
      <c r="A384" s="16"/>
      <c r="B384" s="16"/>
      <c r="C384" s="16"/>
      <c r="D384" s="16"/>
    </row>
    <row r="385">
      <c r="A385" s="16"/>
      <c r="B385" s="16"/>
      <c r="C385" s="16"/>
      <c r="D385" s="16"/>
    </row>
    <row r="386">
      <c r="A386" s="16"/>
      <c r="B386" s="16"/>
      <c r="C386" s="16"/>
      <c r="D386" s="16"/>
    </row>
    <row r="387">
      <c r="A387" s="16"/>
      <c r="B387" s="16"/>
      <c r="C387" s="16"/>
      <c r="D387" s="16"/>
    </row>
    <row r="388">
      <c r="A388" s="16"/>
      <c r="B388" s="16"/>
      <c r="C388" s="16"/>
      <c r="D388" s="16"/>
    </row>
    <row r="389">
      <c r="A389" s="16"/>
      <c r="B389" s="16"/>
      <c r="C389" s="16"/>
      <c r="D389" s="16"/>
    </row>
    <row r="390">
      <c r="A390" s="16"/>
      <c r="B390" s="16"/>
      <c r="C390" s="16"/>
      <c r="D390" s="16"/>
    </row>
    <row r="391">
      <c r="A391" s="16"/>
      <c r="B391" s="16"/>
      <c r="C391" s="16"/>
      <c r="D391" s="16"/>
    </row>
    <row r="392">
      <c r="A392" s="16"/>
      <c r="B392" s="16"/>
      <c r="C392" s="16"/>
      <c r="D392" s="16"/>
    </row>
    <row r="393">
      <c r="A393" s="16"/>
      <c r="B393" s="16"/>
      <c r="C393" s="16"/>
      <c r="D393" s="16"/>
    </row>
    <row r="394">
      <c r="A394" s="16"/>
      <c r="B394" s="16"/>
      <c r="C394" s="16"/>
      <c r="D394" s="16"/>
    </row>
    <row r="395">
      <c r="A395" s="16"/>
      <c r="B395" s="16"/>
      <c r="C395" s="16"/>
      <c r="D395" s="16"/>
    </row>
    <row r="396">
      <c r="A396" s="16"/>
      <c r="B396" s="16"/>
      <c r="C396" s="16"/>
      <c r="D396" s="16"/>
    </row>
    <row r="397">
      <c r="A397" s="16"/>
      <c r="B397" s="16"/>
      <c r="C397" s="16"/>
      <c r="D397" s="16"/>
    </row>
    <row r="398">
      <c r="A398" s="16"/>
      <c r="B398" s="16"/>
      <c r="C398" s="16"/>
      <c r="D398" s="16"/>
    </row>
    <row r="399">
      <c r="A399" s="16"/>
      <c r="B399" s="16"/>
      <c r="C399" s="16"/>
      <c r="D399" s="16"/>
    </row>
    <row r="400">
      <c r="A400" s="16"/>
      <c r="B400" s="16"/>
      <c r="C400" s="16"/>
      <c r="D400" s="16"/>
    </row>
    <row r="401">
      <c r="A401" s="16"/>
      <c r="B401" s="16"/>
      <c r="C401" s="16"/>
      <c r="D401" s="16"/>
    </row>
    <row r="402">
      <c r="A402" s="16"/>
      <c r="B402" s="16"/>
      <c r="C402" s="16"/>
      <c r="D402" s="16"/>
    </row>
    <row r="403">
      <c r="A403" s="16"/>
      <c r="B403" s="16"/>
      <c r="C403" s="16"/>
      <c r="D403" s="16"/>
    </row>
    <row r="404">
      <c r="A404" s="16"/>
      <c r="B404" s="16"/>
      <c r="C404" s="16"/>
      <c r="D404" s="16"/>
    </row>
    <row r="405">
      <c r="A405" s="16"/>
      <c r="B405" s="16"/>
      <c r="C405" s="16"/>
      <c r="D405" s="16"/>
    </row>
    <row r="406">
      <c r="A406" s="16"/>
      <c r="B406" s="16"/>
      <c r="C406" s="16"/>
      <c r="D406" s="16"/>
    </row>
    <row r="407">
      <c r="A407" s="16"/>
      <c r="B407" s="16"/>
      <c r="C407" s="16"/>
      <c r="D407" s="16"/>
    </row>
    <row r="408">
      <c r="A408" s="16"/>
      <c r="B408" s="16"/>
      <c r="C408" s="16"/>
      <c r="D408" s="16"/>
    </row>
    <row r="409">
      <c r="A409" s="16"/>
      <c r="B409" s="16"/>
      <c r="C409" s="16"/>
      <c r="D409" s="16"/>
    </row>
    <row r="410">
      <c r="A410" s="16"/>
      <c r="B410" s="16"/>
      <c r="C410" s="16"/>
      <c r="D410" s="16"/>
    </row>
    <row r="411">
      <c r="A411" s="16"/>
      <c r="B411" s="16"/>
      <c r="C411" s="16"/>
      <c r="D411" s="16"/>
    </row>
    <row r="412">
      <c r="A412" s="16"/>
      <c r="B412" s="16"/>
      <c r="C412" s="16"/>
      <c r="D412" s="16"/>
    </row>
    <row r="413">
      <c r="A413" s="16"/>
      <c r="B413" s="16"/>
      <c r="C413" s="16"/>
      <c r="D413" s="16"/>
    </row>
    <row r="414">
      <c r="A414" s="16"/>
      <c r="B414" s="16"/>
      <c r="C414" s="16"/>
      <c r="D414" s="16"/>
    </row>
    <row r="415">
      <c r="A415" s="16"/>
      <c r="B415" s="16"/>
      <c r="C415" s="16"/>
      <c r="D415" s="16"/>
    </row>
    <row r="416">
      <c r="A416" s="16"/>
      <c r="B416" s="16"/>
      <c r="C416" s="16"/>
      <c r="D416" s="16"/>
    </row>
    <row r="417">
      <c r="A417" s="16"/>
      <c r="B417" s="16"/>
      <c r="C417" s="16"/>
      <c r="D417" s="16"/>
    </row>
    <row r="418">
      <c r="A418" s="16"/>
      <c r="B418" s="16"/>
      <c r="C418" s="16"/>
      <c r="D418" s="16"/>
    </row>
    <row r="419">
      <c r="A419" s="16"/>
      <c r="B419" s="16"/>
      <c r="C419" s="16"/>
      <c r="D419" s="16"/>
    </row>
    <row r="420">
      <c r="A420" s="16"/>
      <c r="B420" s="16"/>
      <c r="C420" s="16"/>
      <c r="D420" s="16"/>
    </row>
    <row r="421">
      <c r="A421" s="16"/>
      <c r="B421" s="16"/>
      <c r="C421" s="16"/>
      <c r="D421" s="16"/>
    </row>
    <row r="422">
      <c r="A422" s="16"/>
      <c r="B422" s="16"/>
      <c r="C422" s="16"/>
      <c r="D422" s="16"/>
    </row>
    <row r="423">
      <c r="A423" s="16"/>
      <c r="B423" s="16"/>
      <c r="C423" s="16"/>
      <c r="D423" s="16"/>
    </row>
    <row r="424">
      <c r="A424" s="16"/>
      <c r="B424" s="16"/>
      <c r="C424" s="16"/>
      <c r="D424" s="16"/>
    </row>
    <row r="425">
      <c r="A425" s="16"/>
      <c r="B425" s="16"/>
      <c r="C425" s="16"/>
      <c r="D425" s="16"/>
    </row>
    <row r="426">
      <c r="A426" s="16"/>
      <c r="B426" s="16"/>
      <c r="C426" s="16"/>
      <c r="D426" s="16"/>
    </row>
    <row r="427">
      <c r="A427" s="16"/>
      <c r="B427" s="16"/>
      <c r="C427" s="16"/>
      <c r="D427" s="16"/>
    </row>
    <row r="428">
      <c r="A428" s="16"/>
      <c r="B428" s="16"/>
      <c r="C428" s="16"/>
      <c r="D428" s="16"/>
    </row>
    <row r="429">
      <c r="A429" s="16"/>
      <c r="B429" s="16"/>
      <c r="C429" s="16"/>
      <c r="D429" s="16"/>
    </row>
    <row r="430">
      <c r="A430" s="16"/>
      <c r="B430" s="16"/>
      <c r="C430" s="16"/>
      <c r="D430" s="16"/>
    </row>
    <row r="431">
      <c r="A431" s="16"/>
      <c r="B431" s="16"/>
      <c r="C431" s="16"/>
      <c r="D431" s="16"/>
    </row>
    <row r="432">
      <c r="A432" s="16"/>
      <c r="B432" s="16"/>
      <c r="C432" s="16"/>
      <c r="D432" s="16"/>
    </row>
    <row r="433">
      <c r="A433" s="16"/>
      <c r="B433" s="16"/>
      <c r="C433" s="16"/>
      <c r="D433" s="16"/>
    </row>
    <row r="434">
      <c r="A434" s="16"/>
      <c r="B434" s="16"/>
      <c r="C434" s="16"/>
      <c r="D434" s="16"/>
    </row>
    <row r="435">
      <c r="A435" s="16"/>
      <c r="B435" s="16"/>
      <c r="C435" s="16"/>
      <c r="D435" s="16"/>
    </row>
    <row r="436">
      <c r="A436" s="16"/>
      <c r="B436" s="16"/>
      <c r="C436" s="16"/>
      <c r="D436" s="16"/>
    </row>
    <row r="437">
      <c r="A437" s="16"/>
      <c r="B437" s="16"/>
      <c r="C437" s="16"/>
      <c r="D437" s="16"/>
    </row>
    <row r="438">
      <c r="A438" s="16"/>
      <c r="B438" s="16"/>
      <c r="C438" s="16"/>
      <c r="D438" s="16"/>
    </row>
    <row r="439">
      <c r="A439" s="16"/>
      <c r="B439" s="16"/>
      <c r="C439" s="16"/>
      <c r="D439" s="16"/>
    </row>
    <row r="440">
      <c r="A440" s="16"/>
      <c r="B440" s="16"/>
      <c r="C440" s="16"/>
      <c r="D440" s="16"/>
    </row>
    <row r="441">
      <c r="A441" s="16"/>
      <c r="B441" s="16"/>
      <c r="C441" s="16"/>
      <c r="D441" s="16"/>
    </row>
    <row r="442">
      <c r="A442" s="16"/>
      <c r="B442" s="16"/>
      <c r="C442" s="16"/>
      <c r="D442" s="16"/>
    </row>
    <row r="443">
      <c r="A443" s="16"/>
      <c r="B443" s="16"/>
      <c r="C443" s="16"/>
      <c r="D443" s="16"/>
    </row>
    <row r="444">
      <c r="A444" s="16"/>
      <c r="B444" s="16"/>
      <c r="C444" s="16"/>
      <c r="D444" s="16"/>
    </row>
    <row r="445">
      <c r="A445" s="16"/>
      <c r="B445" s="16"/>
      <c r="C445" s="16"/>
      <c r="D445" s="16"/>
    </row>
    <row r="446">
      <c r="A446" s="16"/>
      <c r="B446" s="16"/>
      <c r="C446" s="16"/>
      <c r="D446" s="16"/>
    </row>
    <row r="447">
      <c r="A447" s="16"/>
      <c r="B447" s="16"/>
      <c r="C447" s="16"/>
      <c r="D447" s="16"/>
    </row>
    <row r="448">
      <c r="A448" s="16"/>
      <c r="B448" s="16"/>
      <c r="C448" s="16"/>
      <c r="D448" s="16"/>
    </row>
    <row r="449">
      <c r="A449" s="16"/>
      <c r="B449" s="16"/>
      <c r="C449" s="16"/>
      <c r="D449" s="16"/>
    </row>
    <row r="450">
      <c r="A450" s="16"/>
      <c r="B450" s="16"/>
      <c r="C450" s="16"/>
      <c r="D450" s="16"/>
    </row>
    <row r="451">
      <c r="A451" s="16"/>
      <c r="B451" s="16"/>
      <c r="C451" s="16"/>
      <c r="D451" s="16"/>
    </row>
    <row r="452">
      <c r="A452" s="16"/>
      <c r="B452" s="16"/>
      <c r="C452" s="16"/>
      <c r="D452" s="16"/>
    </row>
    <row r="453">
      <c r="A453" s="16"/>
      <c r="B453" s="16"/>
      <c r="C453" s="16"/>
      <c r="D453" s="16"/>
    </row>
    <row r="454">
      <c r="A454" s="16"/>
      <c r="B454" s="16"/>
      <c r="C454" s="16"/>
      <c r="D454" s="16"/>
    </row>
    <row r="455">
      <c r="A455" s="16"/>
      <c r="B455" s="16"/>
      <c r="C455" s="16"/>
      <c r="D455" s="16"/>
    </row>
    <row r="456">
      <c r="A456" s="16"/>
      <c r="B456" s="16"/>
      <c r="C456" s="16"/>
      <c r="D456" s="16"/>
    </row>
    <row r="457">
      <c r="A457" s="16"/>
      <c r="B457" s="16"/>
      <c r="C457" s="16"/>
      <c r="D457" s="16"/>
    </row>
    <row r="458">
      <c r="A458" s="16"/>
      <c r="B458" s="16"/>
      <c r="C458" s="16"/>
      <c r="D458" s="16"/>
    </row>
    <row r="459">
      <c r="A459" s="16"/>
      <c r="B459" s="16"/>
      <c r="C459" s="16"/>
      <c r="D459" s="16"/>
    </row>
    <row r="460">
      <c r="A460" s="16"/>
      <c r="B460" s="16"/>
      <c r="C460" s="16"/>
      <c r="D460" s="16"/>
    </row>
    <row r="461">
      <c r="A461" s="16"/>
      <c r="B461" s="16"/>
      <c r="C461" s="16"/>
      <c r="D461" s="16"/>
    </row>
    <row r="462">
      <c r="A462" s="16"/>
      <c r="B462" s="16"/>
      <c r="C462" s="16"/>
      <c r="D462" s="16"/>
    </row>
    <row r="463">
      <c r="A463" s="16"/>
      <c r="B463" s="16"/>
      <c r="C463" s="16"/>
      <c r="D463" s="16"/>
    </row>
    <row r="464">
      <c r="A464" s="16"/>
      <c r="B464" s="16"/>
      <c r="C464" s="16"/>
      <c r="D464" s="16"/>
    </row>
    <row r="465">
      <c r="A465" s="16"/>
      <c r="B465" s="16"/>
      <c r="C465" s="16"/>
      <c r="D465" s="16"/>
    </row>
    <row r="466">
      <c r="A466" s="16"/>
      <c r="B466" s="16"/>
      <c r="C466" s="16"/>
      <c r="D466" s="16"/>
    </row>
    <row r="467">
      <c r="A467" s="16"/>
      <c r="B467" s="16"/>
      <c r="C467" s="16"/>
      <c r="D467" s="16"/>
    </row>
    <row r="468">
      <c r="A468" s="16"/>
      <c r="B468" s="16"/>
      <c r="C468" s="16"/>
      <c r="D468" s="16"/>
    </row>
    <row r="469">
      <c r="A469" s="16"/>
      <c r="B469" s="16"/>
      <c r="C469" s="16"/>
      <c r="D469" s="16"/>
    </row>
    <row r="470">
      <c r="A470" s="16"/>
      <c r="B470" s="16"/>
      <c r="C470" s="16"/>
      <c r="D470" s="16"/>
    </row>
    <row r="471">
      <c r="A471" s="16"/>
      <c r="B471" s="16"/>
      <c r="C471" s="16"/>
      <c r="D471" s="16"/>
    </row>
    <row r="472">
      <c r="A472" s="16"/>
      <c r="B472" s="16"/>
      <c r="C472" s="16"/>
      <c r="D472" s="16"/>
    </row>
    <row r="473">
      <c r="A473" s="16"/>
      <c r="B473" s="16"/>
      <c r="C473" s="16"/>
      <c r="D473" s="16"/>
    </row>
    <row r="474">
      <c r="A474" s="16"/>
      <c r="B474" s="16"/>
      <c r="C474" s="16"/>
      <c r="D474" s="16"/>
    </row>
    <row r="475">
      <c r="A475" s="16"/>
      <c r="B475" s="16"/>
      <c r="C475" s="16"/>
      <c r="D475" s="16"/>
    </row>
    <row r="476">
      <c r="A476" s="16"/>
      <c r="B476" s="16"/>
      <c r="C476" s="16"/>
      <c r="D476" s="16"/>
    </row>
    <row r="477">
      <c r="A477" s="16"/>
      <c r="B477" s="16"/>
      <c r="C477" s="16"/>
      <c r="D477" s="16"/>
    </row>
    <row r="478">
      <c r="A478" s="16"/>
      <c r="B478" s="16"/>
      <c r="C478" s="16"/>
      <c r="D478" s="16"/>
    </row>
    <row r="479">
      <c r="A479" s="16"/>
      <c r="B479" s="16"/>
      <c r="C479" s="16"/>
      <c r="D479" s="16"/>
    </row>
    <row r="480">
      <c r="A480" s="16"/>
      <c r="B480" s="16"/>
      <c r="C480" s="16"/>
      <c r="D480" s="16"/>
    </row>
    <row r="481">
      <c r="A481" s="16"/>
      <c r="B481" s="16"/>
      <c r="C481" s="16"/>
      <c r="D481" s="16"/>
    </row>
    <row r="482">
      <c r="A482" s="16"/>
      <c r="B482" s="16"/>
      <c r="C482" s="16"/>
      <c r="D482" s="16"/>
    </row>
    <row r="483">
      <c r="A483" s="16"/>
      <c r="B483" s="16"/>
      <c r="C483" s="16"/>
      <c r="D483" s="16"/>
    </row>
    <row r="484">
      <c r="A484" s="16"/>
      <c r="B484" s="16"/>
      <c r="C484" s="16"/>
      <c r="D484" s="16"/>
    </row>
    <row r="485">
      <c r="A485" s="16"/>
      <c r="B485" s="16"/>
      <c r="C485" s="16"/>
      <c r="D485" s="16"/>
    </row>
    <row r="486">
      <c r="A486" s="16"/>
      <c r="B486" s="16"/>
      <c r="C486" s="16"/>
      <c r="D486" s="16"/>
    </row>
    <row r="487">
      <c r="A487" s="16"/>
      <c r="B487" s="16"/>
      <c r="C487" s="16"/>
      <c r="D487" s="16"/>
    </row>
    <row r="488">
      <c r="A488" s="16"/>
      <c r="B488" s="16"/>
      <c r="C488" s="16"/>
      <c r="D488" s="16"/>
    </row>
    <row r="489">
      <c r="A489" s="16"/>
      <c r="B489" s="16"/>
      <c r="C489" s="16"/>
      <c r="D489" s="16"/>
    </row>
    <row r="490">
      <c r="A490" s="16"/>
      <c r="B490" s="16"/>
      <c r="C490" s="16"/>
      <c r="D490" s="16"/>
    </row>
    <row r="491">
      <c r="A491" s="16"/>
      <c r="B491" s="16"/>
      <c r="C491" s="16"/>
      <c r="D491" s="16"/>
    </row>
    <row r="492">
      <c r="A492" s="16"/>
      <c r="B492" s="16"/>
      <c r="C492" s="16"/>
      <c r="D492" s="16"/>
    </row>
    <row r="493">
      <c r="A493" s="16"/>
      <c r="B493" s="16"/>
      <c r="C493" s="16"/>
      <c r="D493" s="16"/>
    </row>
    <row r="494">
      <c r="A494" s="16"/>
      <c r="B494" s="16"/>
      <c r="C494" s="16"/>
      <c r="D494" s="16"/>
    </row>
    <row r="495">
      <c r="A495" s="16"/>
      <c r="B495" s="16"/>
      <c r="C495" s="16"/>
      <c r="D495" s="16"/>
    </row>
    <row r="496">
      <c r="A496" s="16"/>
      <c r="B496" s="16"/>
      <c r="C496" s="16"/>
      <c r="D496" s="16"/>
    </row>
    <row r="497">
      <c r="A497" s="16"/>
      <c r="B497" s="16"/>
      <c r="C497" s="16"/>
      <c r="D497" s="16"/>
    </row>
    <row r="498">
      <c r="A498" s="16"/>
      <c r="B498" s="16"/>
      <c r="C498" s="16"/>
      <c r="D498" s="16"/>
    </row>
    <row r="499">
      <c r="A499" s="16"/>
      <c r="B499" s="16"/>
      <c r="C499" s="16"/>
      <c r="D499" s="16"/>
    </row>
    <row r="500">
      <c r="A500" s="16"/>
      <c r="B500" s="16"/>
      <c r="C500" s="16"/>
      <c r="D500" s="16"/>
    </row>
    <row r="501">
      <c r="A501" s="16"/>
      <c r="B501" s="16"/>
      <c r="C501" s="16"/>
      <c r="D501" s="16"/>
    </row>
    <row r="502">
      <c r="A502" s="16"/>
      <c r="B502" s="16"/>
      <c r="C502" s="16"/>
      <c r="D502" s="16"/>
    </row>
    <row r="503">
      <c r="A503" s="16"/>
      <c r="B503" s="16"/>
      <c r="C503" s="16"/>
      <c r="D503" s="16"/>
    </row>
    <row r="504">
      <c r="A504" s="16"/>
      <c r="B504" s="16"/>
      <c r="C504" s="16"/>
      <c r="D504" s="16"/>
    </row>
    <row r="505">
      <c r="A505" s="16"/>
      <c r="B505" s="16"/>
      <c r="C505" s="16"/>
      <c r="D505" s="16"/>
    </row>
    <row r="506">
      <c r="A506" s="16"/>
      <c r="B506" s="16"/>
      <c r="C506" s="16"/>
      <c r="D506" s="16"/>
    </row>
    <row r="507">
      <c r="A507" s="16"/>
      <c r="B507" s="16"/>
      <c r="C507" s="16"/>
      <c r="D507" s="16"/>
    </row>
    <row r="508">
      <c r="A508" s="16"/>
      <c r="B508" s="16"/>
      <c r="C508" s="16"/>
      <c r="D508" s="16"/>
    </row>
    <row r="509">
      <c r="A509" s="16"/>
      <c r="B509" s="16"/>
      <c r="C509" s="16"/>
      <c r="D509" s="16"/>
    </row>
    <row r="510">
      <c r="A510" s="16"/>
      <c r="B510" s="16"/>
      <c r="C510" s="16"/>
      <c r="D510" s="16"/>
    </row>
    <row r="511">
      <c r="A511" s="16"/>
      <c r="B511" s="16"/>
      <c r="C511" s="16"/>
      <c r="D511" s="16"/>
    </row>
    <row r="512">
      <c r="A512" s="16"/>
      <c r="B512" s="16"/>
      <c r="C512" s="16"/>
      <c r="D512" s="16"/>
    </row>
    <row r="513">
      <c r="A513" s="16"/>
      <c r="B513" s="16"/>
      <c r="C513" s="16"/>
      <c r="D513" s="16"/>
    </row>
    <row r="514">
      <c r="A514" s="16"/>
      <c r="B514" s="16"/>
      <c r="C514" s="16"/>
      <c r="D514" s="16"/>
    </row>
    <row r="515">
      <c r="A515" s="16"/>
      <c r="B515" s="16"/>
      <c r="C515" s="16"/>
      <c r="D515" s="16"/>
    </row>
    <row r="516">
      <c r="A516" s="16"/>
      <c r="B516" s="16"/>
      <c r="C516" s="16"/>
      <c r="D516" s="16"/>
    </row>
    <row r="517">
      <c r="A517" s="16"/>
      <c r="B517" s="16"/>
      <c r="C517" s="16"/>
      <c r="D517" s="16"/>
    </row>
    <row r="518">
      <c r="A518" s="16"/>
      <c r="B518" s="16"/>
      <c r="C518" s="16"/>
      <c r="D518" s="16"/>
    </row>
    <row r="519">
      <c r="A519" s="16"/>
      <c r="B519" s="16"/>
      <c r="C519" s="16"/>
      <c r="D519" s="16"/>
    </row>
    <row r="520">
      <c r="A520" s="16"/>
      <c r="B520" s="16"/>
      <c r="C520" s="16"/>
      <c r="D520" s="16"/>
    </row>
    <row r="521">
      <c r="A521" s="16"/>
      <c r="B521" s="16"/>
      <c r="C521" s="16"/>
      <c r="D521" s="16"/>
    </row>
    <row r="522">
      <c r="A522" s="16"/>
      <c r="B522" s="16"/>
      <c r="C522" s="16"/>
      <c r="D522" s="16"/>
    </row>
    <row r="523">
      <c r="A523" s="16"/>
      <c r="B523" s="16"/>
      <c r="C523" s="16"/>
      <c r="D523" s="16"/>
    </row>
    <row r="524">
      <c r="A524" s="16"/>
      <c r="B524" s="16"/>
      <c r="C524" s="16"/>
      <c r="D524" s="16"/>
    </row>
    <row r="525">
      <c r="A525" s="16"/>
      <c r="B525" s="16"/>
      <c r="C525" s="16"/>
      <c r="D525" s="16"/>
    </row>
    <row r="526">
      <c r="A526" s="16"/>
      <c r="B526" s="16"/>
      <c r="C526" s="16"/>
      <c r="D526" s="16"/>
    </row>
    <row r="527">
      <c r="A527" s="16"/>
      <c r="B527" s="16"/>
      <c r="C527" s="16"/>
      <c r="D527" s="16"/>
    </row>
    <row r="528">
      <c r="A528" s="16"/>
      <c r="B528" s="16"/>
      <c r="C528" s="16"/>
      <c r="D528" s="16"/>
    </row>
    <row r="529">
      <c r="A529" s="16"/>
      <c r="B529" s="16"/>
      <c r="C529" s="16"/>
      <c r="D529" s="16"/>
    </row>
    <row r="530">
      <c r="A530" s="16"/>
      <c r="B530" s="16"/>
      <c r="C530" s="16"/>
      <c r="D530" s="16"/>
    </row>
    <row r="531">
      <c r="A531" s="16"/>
      <c r="B531" s="16"/>
      <c r="C531" s="16"/>
      <c r="D531" s="16"/>
    </row>
    <row r="532">
      <c r="A532" s="16"/>
      <c r="B532" s="16"/>
      <c r="C532" s="16"/>
      <c r="D532" s="16"/>
    </row>
    <row r="533">
      <c r="A533" s="16"/>
      <c r="B533" s="16"/>
      <c r="C533" s="16"/>
      <c r="D533" s="16"/>
    </row>
    <row r="534">
      <c r="A534" s="16"/>
      <c r="B534" s="16"/>
      <c r="C534" s="16"/>
      <c r="D534" s="16"/>
    </row>
    <row r="535">
      <c r="A535" s="16"/>
      <c r="B535" s="16"/>
      <c r="C535" s="16"/>
      <c r="D535" s="16"/>
    </row>
    <row r="536">
      <c r="A536" s="16"/>
      <c r="B536" s="16"/>
      <c r="C536" s="16"/>
      <c r="D536" s="16"/>
    </row>
    <row r="537">
      <c r="A537" s="16"/>
      <c r="B537" s="16"/>
      <c r="C537" s="16"/>
      <c r="D537" s="16"/>
    </row>
    <row r="538">
      <c r="A538" s="16"/>
      <c r="B538" s="16"/>
      <c r="C538" s="16"/>
      <c r="D538" s="16"/>
    </row>
    <row r="539">
      <c r="A539" s="16"/>
      <c r="B539" s="16"/>
      <c r="C539" s="16"/>
      <c r="D539" s="16"/>
    </row>
    <row r="540">
      <c r="A540" s="16"/>
      <c r="B540" s="16"/>
      <c r="C540" s="16"/>
      <c r="D540" s="16"/>
    </row>
    <row r="541">
      <c r="A541" s="16"/>
      <c r="B541" s="16"/>
      <c r="C541" s="16"/>
      <c r="D541" s="16"/>
    </row>
    <row r="542">
      <c r="A542" s="16"/>
      <c r="B542" s="16"/>
      <c r="C542" s="16"/>
      <c r="D542" s="16"/>
    </row>
    <row r="543">
      <c r="A543" s="16"/>
      <c r="B543" s="16"/>
      <c r="C543" s="16"/>
      <c r="D543" s="16"/>
    </row>
    <row r="544">
      <c r="A544" s="16"/>
      <c r="B544" s="16"/>
      <c r="C544" s="16"/>
      <c r="D544" s="16"/>
    </row>
    <row r="545">
      <c r="A545" s="16"/>
      <c r="B545" s="16"/>
      <c r="C545" s="16"/>
      <c r="D545" s="16"/>
    </row>
    <row r="546">
      <c r="A546" s="16"/>
      <c r="B546" s="16"/>
      <c r="C546" s="16"/>
      <c r="D546" s="16"/>
    </row>
    <row r="547">
      <c r="A547" s="16"/>
      <c r="B547" s="16"/>
      <c r="C547" s="16"/>
      <c r="D547" s="16"/>
    </row>
    <row r="548">
      <c r="A548" s="16"/>
      <c r="B548" s="16"/>
      <c r="C548" s="16"/>
      <c r="D548" s="16"/>
    </row>
    <row r="549">
      <c r="A549" s="16"/>
      <c r="B549" s="16"/>
      <c r="C549" s="16"/>
      <c r="D549" s="16"/>
    </row>
    <row r="550">
      <c r="A550" s="16"/>
      <c r="B550" s="16"/>
      <c r="C550" s="16"/>
      <c r="D550" s="16"/>
    </row>
    <row r="551">
      <c r="A551" s="16"/>
      <c r="B551" s="16"/>
      <c r="C551" s="16"/>
      <c r="D551" s="16"/>
    </row>
    <row r="552">
      <c r="A552" s="16"/>
      <c r="B552" s="16"/>
      <c r="C552" s="16"/>
      <c r="D552" s="16"/>
    </row>
    <row r="553">
      <c r="A553" s="16"/>
      <c r="B553" s="16"/>
      <c r="C553" s="16"/>
      <c r="D553" s="16"/>
    </row>
    <row r="554">
      <c r="A554" s="16"/>
      <c r="B554" s="16"/>
      <c r="C554" s="16"/>
      <c r="D554" s="16"/>
    </row>
    <row r="555">
      <c r="A555" s="16"/>
      <c r="B555" s="16"/>
      <c r="C555" s="16"/>
      <c r="D555" s="16"/>
    </row>
    <row r="556">
      <c r="A556" s="16"/>
      <c r="B556" s="16"/>
      <c r="C556" s="16"/>
      <c r="D556" s="16"/>
    </row>
    <row r="557">
      <c r="A557" s="16"/>
      <c r="B557" s="16"/>
      <c r="C557" s="16"/>
      <c r="D557" s="16"/>
    </row>
    <row r="558">
      <c r="A558" s="16"/>
      <c r="B558" s="16"/>
      <c r="C558" s="16"/>
      <c r="D558" s="16"/>
    </row>
    <row r="559">
      <c r="A559" s="16"/>
      <c r="B559" s="16"/>
      <c r="C559" s="16"/>
      <c r="D559" s="16"/>
    </row>
    <row r="560">
      <c r="A560" s="16"/>
      <c r="B560" s="16"/>
      <c r="C560" s="16"/>
      <c r="D560" s="16"/>
    </row>
    <row r="561">
      <c r="A561" s="16"/>
      <c r="B561" s="16"/>
      <c r="C561" s="16"/>
      <c r="D561" s="16"/>
    </row>
    <row r="562">
      <c r="A562" s="16"/>
      <c r="B562" s="16"/>
      <c r="C562" s="16"/>
      <c r="D562" s="16"/>
    </row>
    <row r="563">
      <c r="A563" s="16"/>
      <c r="B563" s="16"/>
      <c r="C563" s="16"/>
      <c r="D563" s="16"/>
    </row>
    <row r="564">
      <c r="A564" s="16"/>
      <c r="B564" s="16"/>
      <c r="C564" s="16"/>
      <c r="D564" s="16"/>
    </row>
    <row r="565">
      <c r="A565" s="16"/>
      <c r="B565" s="16"/>
      <c r="C565" s="16"/>
      <c r="D565" s="16"/>
    </row>
    <row r="566">
      <c r="A566" s="16"/>
      <c r="B566" s="16"/>
      <c r="C566" s="16"/>
      <c r="D566" s="16"/>
    </row>
    <row r="567">
      <c r="A567" s="16"/>
      <c r="B567" s="16"/>
      <c r="C567" s="16"/>
      <c r="D567" s="16"/>
    </row>
    <row r="568">
      <c r="A568" s="16"/>
      <c r="B568" s="16"/>
      <c r="C568" s="16"/>
      <c r="D568" s="16"/>
    </row>
    <row r="569">
      <c r="A569" s="16"/>
      <c r="B569" s="16"/>
      <c r="C569" s="16"/>
      <c r="D569" s="16"/>
    </row>
    <row r="570">
      <c r="A570" s="16"/>
      <c r="B570" s="16"/>
      <c r="C570" s="16"/>
      <c r="D570" s="16"/>
    </row>
    <row r="571">
      <c r="A571" s="16"/>
      <c r="B571" s="16"/>
      <c r="C571" s="16"/>
      <c r="D571" s="16"/>
    </row>
    <row r="572">
      <c r="A572" s="16"/>
      <c r="B572" s="16"/>
      <c r="C572" s="16"/>
      <c r="D572" s="16"/>
    </row>
    <row r="573">
      <c r="A573" s="16"/>
      <c r="B573" s="16"/>
      <c r="C573" s="16"/>
      <c r="D573" s="16"/>
    </row>
    <row r="574">
      <c r="A574" s="16"/>
      <c r="B574" s="16"/>
      <c r="C574" s="16"/>
      <c r="D574" s="16"/>
    </row>
    <row r="575">
      <c r="A575" s="16"/>
      <c r="B575" s="16"/>
      <c r="C575" s="16"/>
      <c r="D575" s="16"/>
    </row>
    <row r="576">
      <c r="A576" s="16"/>
      <c r="B576" s="16"/>
      <c r="C576" s="16"/>
      <c r="D576" s="16"/>
    </row>
    <row r="577">
      <c r="A577" s="16"/>
      <c r="B577" s="16"/>
      <c r="C577" s="16"/>
      <c r="D577" s="16"/>
    </row>
    <row r="578">
      <c r="A578" s="16"/>
      <c r="B578" s="16"/>
      <c r="C578" s="16"/>
      <c r="D578" s="16"/>
    </row>
    <row r="579">
      <c r="A579" s="16"/>
      <c r="B579" s="16"/>
      <c r="C579" s="16"/>
      <c r="D579" s="16"/>
    </row>
    <row r="580">
      <c r="A580" s="16"/>
      <c r="B580" s="16"/>
      <c r="C580" s="16"/>
      <c r="D580" s="16"/>
    </row>
    <row r="581">
      <c r="A581" s="16"/>
      <c r="B581" s="16"/>
      <c r="C581" s="16"/>
      <c r="D581" s="16"/>
    </row>
    <row r="582">
      <c r="A582" s="16"/>
      <c r="B582" s="16"/>
      <c r="C582" s="16"/>
      <c r="D582" s="16"/>
    </row>
    <row r="583">
      <c r="A583" s="16"/>
      <c r="B583" s="16"/>
      <c r="C583" s="16"/>
      <c r="D583" s="16"/>
    </row>
    <row r="584">
      <c r="A584" s="16"/>
      <c r="B584" s="16"/>
      <c r="C584" s="16"/>
      <c r="D584" s="16"/>
    </row>
    <row r="585">
      <c r="A585" s="16"/>
      <c r="B585" s="16"/>
      <c r="C585" s="16"/>
      <c r="D585" s="16"/>
    </row>
    <row r="586">
      <c r="A586" s="16"/>
      <c r="B586" s="16"/>
      <c r="C586" s="16"/>
      <c r="D586" s="16"/>
    </row>
    <row r="587">
      <c r="A587" s="16"/>
      <c r="B587" s="16"/>
      <c r="C587" s="16"/>
      <c r="D587" s="16"/>
    </row>
    <row r="588">
      <c r="A588" s="16"/>
      <c r="B588" s="16"/>
      <c r="C588" s="16"/>
      <c r="D588" s="16"/>
    </row>
    <row r="589">
      <c r="A589" s="16"/>
      <c r="B589" s="16"/>
      <c r="C589" s="16"/>
      <c r="D589" s="16"/>
    </row>
    <row r="590">
      <c r="A590" s="16"/>
      <c r="B590" s="16"/>
      <c r="C590" s="16"/>
      <c r="D590" s="16"/>
    </row>
    <row r="591">
      <c r="A591" s="16"/>
      <c r="B591" s="16"/>
      <c r="C591" s="16"/>
      <c r="D591" s="16"/>
    </row>
    <row r="592">
      <c r="A592" s="16"/>
      <c r="B592" s="16"/>
      <c r="C592" s="16"/>
      <c r="D592" s="16"/>
    </row>
    <row r="593">
      <c r="A593" s="16"/>
      <c r="B593" s="16"/>
      <c r="C593" s="16"/>
      <c r="D593" s="16"/>
    </row>
    <row r="594">
      <c r="A594" s="16"/>
      <c r="B594" s="16"/>
      <c r="C594" s="16"/>
      <c r="D594" s="16"/>
    </row>
    <row r="595">
      <c r="A595" s="16"/>
      <c r="B595" s="16"/>
      <c r="C595" s="16"/>
      <c r="D595" s="16"/>
    </row>
    <row r="596">
      <c r="A596" s="16"/>
      <c r="B596" s="16"/>
      <c r="C596" s="16"/>
      <c r="D596" s="16"/>
    </row>
    <row r="597">
      <c r="A597" s="16"/>
      <c r="B597" s="16"/>
      <c r="C597" s="16"/>
      <c r="D597" s="16"/>
    </row>
    <row r="598">
      <c r="A598" s="16"/>
      <c r="B598" s="16"/>
      <c r="C598" s="16"/>
      <c r="D598" s="16"/>
    </row>
    <row r="599">
      <c r="A599" s="16"/>
      <c r="B599" s="16"/>
      <c r="C599" s="16"/>
      <c r="D599" s="16"/>
    </row>
    <row r="600">
      <c r="A600" s="16"/>
      <c r="B600" s="16"/>
      <c r="C600" s="16"/>
      <c r="D600" s="16"/>
    </row>
    <row r="601">
      <c r="A601" s="16"/>
      <c r="B601" s="16"/>
      <c r="C601" s="16"/>
      <c r="D601" s="16"/>
    </row>
    <row r="602">
      <c r="A602" s="16"/>
      <c r="B602" s="16"/>
      <c r="C602" s="16"/>
      <c r="D602" s="16"/>
    </row>
    <row r="603">
      <c r="A603" s="16"/>
      <c r="B603" s="16"/>
      <c r="C603" s="16"/>
      <c r="D603" s="16"/>
    </row>
    <row r="604">
      <c r="A604" s="16"/>
      <c r="B604" s="16"/>
      <c r="C604" s="16"/>
      <c r="D604" s="16"/>
    </row>
    <row r="605">
      <c r="A605" s="16"/>
      <c r="B605" s="16"/>
      <c r="C605" s="16"/>
      <c r="D605" s="16"/>
    </row>
    <row r="606">
      <c r="A606" s="16"/>
      <c r="B606" s="16"/>
      <c r="C606" s="16"/>
      <c r="D606" s="16"/>
    </row>
    <row r="607">
      <c r="A607" s="16"/>
      <c r="B607" s="16"/>
      <c r="C607" s="16"/>
      <c r="D607" s="16"/>
    </row>
    <row r="608">
      <c r="A608" s="16"/>
      <c r="B608" s="16"/>
      <c r="C608" s="16"/>
      <c r="D608" s="16"/>
    </row>
    <row r="609">
      <c r="A609" s="16"/>
      <c r="B609" s="16"/>
      <c r="C609" s="16"/>
      <c r="D609" s="16"/>
    </row>
    <row r="610">
      <c r="A610" s="16"/>
      <c r="B610" s="16"/>
      <c r="C610" s="16"/>
      <c r="D610" s="16"/>
    </row>
    <row r="611">
      <c r="A611" s="16"/>
      <c r="B611" s="16"/>
      <c r="C611" s="16"/>
      <c r="D611" s="16"/>
    </row>
    <row r="612">
      <c r="A612" s="16"/>
      <c r="B612" s="16"/>
      <c r="C612" s="16"/>
      <c r="D612" s="16"/>
    </row>
    <row r="613">
      <c r="A613" s="16"/>
      <c r="B613" s="16"/>
      <c r="C613" s="16"/>
      <c r="D613" s="16"/>
    </row>
    <row r="614">
      <c r="A614" s="16"/>
      <c r="B614" s="16"/>
      <c r="C614" s="16"/>
      <c r="D614" s="16"/>
    </row>
    <row r="615">
      <c r="A615" s="16"/>
      <c r="B615" s="16"/>
      <c r="C615" s="16"/>
      <c r="D615" s="16"/>
    </row>
    <row r="616">
      <c r="A616" s="16"/>
      <c r="B616" s="16"/>
      <c r="C616" s="16"/>
      <c r="D616" s="16"/>
    </row>
    <row r="617">
      <c r="A617" s="16"/>
      <c r="B617" s="16"/>
      <c r="C617" s="16"/>
      <c r="D617" s="16"/>
    </row>
    <row r="618">
      <c r="A618" s="16"/>
      <c r="B618" s="16"/>
      <c r="C618" s="16"/>
      <c r="D618" s="16"/>
    </row>
    <row r="619">
      <c r="A619" s="16"/>
      <c r="B619" s="16"/>
      <c r="C619" s="16"/>
      <c r="D619" s="16"/>
    </row>
    <row r="620">
      <c r="A620" s="16"/>
      <c r="B620" s="16"/>
      <c r="C620" s="16"/>
      <c r="D620" s="16"/>
    </row>
    <row r="621">
      <c r="A621" s="16"/>
      <c r="B621" s="16"/>
      <c r="C621" s="16"/>
      <c r="D621" s="16"/>
    </row>
    <row r="622">
      <c r="A622" s="16"/>
      <c r="B622" s="16"/>
      <c r="C622" s="16"/>
      <c r="D622" s="16"/>
    </row>
    <row r="623">
      <c r="A623" s="16"/>
      <c r="B623" s="16"/>
      <c r="C623" s="16"/>
      <c r="D623" s="16"/>
    </row>
    <row r="624">
      <c r="A624" s="16"/>
      <c r="B624" s="16"/>
      <c r="C624" s="16"/>
      <c r="D624" s="16"/>
    </row>
    <row r="625">
      <c r="A625" s="16"/>
      <c r="B625" s="16"/>
      <c r="C625" s="16"/>
      <c r="D625" s="16"/>
    </row>
    <row r="626">
      <c r="A626" s="16"/>
      <c r="B626" s="16"/>
      <c r="C626" s="16"/>
      <c r="D626" s="16"/>
    </row>
    <row r="627">
      <c r="A627" s="16"/>
      <c r="B627" s="16"/>
      <c r="C627" s="16"/>
      <c r="D627" s="16"/>
    </row>
    <row r="628">
      <c r="A628" s="16"/>
      <c r="B628" s="16"/>
      <c r="C628" s="16"/>
      <c r="D628" s="16"/>
    </row>
    <row r="629">
      <c r="A629" s="16"/>
      <c r="B629" s="16"/>
      <c r="C629" s="16"/>
      <c r="D629" s="16"/>
    </row>
    <row r="630">
      <c r="A630" s="16"/>
      <c r="B630" s="16"/>
      <c r="C630" s="16"/>
      <c r="D630" s="16"/>
    </row>
    <row r="631">
      <c r="A631" s="16"/>
      <c r="B631" s="16"/>
      <c r="C631" s="16"/>
      <c r="D631" s="16"/>
    </row>
    <row r="632">
      <c r="A632" s="16"/>
      <c r="B632" s="16"/>
      <c r="C632" s="16"/>
      <c r="D632" s="16"/>
    </row>
    <row r="633">
      <c r="A633" s="16"/>
      <c r="B633" s="16"/>
      <c r="C633" s="16"/>
      <c r="D633" s="16"/>
    </row>
    <row r="634">
      <c r="A634" s="16"/>
      <c r="B634" s="16"/>
      <c r="C634" s="16"/>
      <c r="D634" s="16"/>
    </row>
    <row r="635">
      <c r="A635" s="16"/>
      <c r="B635" s="16"/>
      <c r="C635" s="16"/>
      <c r="D635" s="16"/>
    </row>
    <row r="636">
      <c r="A636" s="16"/>
      <c r="B636" s="16"/>
      <c r="C636" s="16"/>
      <c r="D636" s="16"/>
    </row>
    <row r="637">
      <c r="A637" s="16"/>
      <c r="B637" s="16"/>
      <c r="C637" s="16"/>
      <c r="D637" s="16"/>
    </row>
    <row r="638">
      <c r="A638" s="16"/>
      <c r="B638" s="16"/>
      <c r="C638" s="16"/>
      <c r="D638" s="16"/>
    </row>
    <row r="639">
      <c r="A639" s="16"/>
      <c r="B639" s="16"/>
      <c r="C639" s="16"/>
      <c r="D639" s="16"/>
    </row>
    <row r="640">
      <c r="A640" s="16"/>
      <c r="B640" s="16"/>
      <c r="C640" s="16"/>
      <c r="D640" s="16"/>
    </row>
    <row r="641">
      <c r="A641" s="16"/>
      <c r="B641" s="16"/>
      <c r="C641" s="16"/>
      <c r="D641" s="16"/>
    </row>
    <row r="642">
      <c r="A642" s="16"/>
      <c r="B642" s="16"/>
      <c r="C642" s="16"/>
      <c r="D642" s="16"/>
    </row>
    <row r="643">
      <c r="A643" s="16"/>
      <c r="B643" s="16"/>
      <c r="C643" s="16"/>
      <c r="D643" s="16"/>
    </row>
    <row r="644">
      <c r="A644" s="16"/>
      <c r="B644" s="16"/>
      <c r="C644" s="16"/>
      <c r="D644" s="16"/>
    </row>
    <row r="645">
      <c r="A645" s="16"/>
      <c r="B645" s="16"/>
      <c r="C645" s="16"/>
      <c r="D645" s="16"/>
    </row>
    <row r="646">
      <c r="A646" s="16"/>
      <c r="B646" s="16"/>
      <c r="C646" s="16"/>
      <c r="D646" s="16"/>
    </row>
    <row r="647">
      <c r="A647" s="16"/>
      <c r="B647" s="16"/>
      <c r="C647" s="16"/>
      <c r="D647" s="16"/>
    </row>
    <row r="648">
      <c r="A648" s="16"/>
      <c r="B648" s="16"/>
      <c r="C648" s="16"/>
      <c r="D648" s="16"/>
    </row>
    <row r="649">
      <c r="A649" s="16"/>
      <c r="B649" s="16"/>
      <c r="C649" s="16"/>
      <c r="D649" s="16"/>
    </row>
    <row r="650">
      <c r="A650" s="16"/>
      <c r="B650" s="16"/>
      <c r="C650" s="16"/>
      <c r="D650" s="16"/>
    </row>
    <row r="651">
      <c r="A651" s="16"/>
      <c r="B651" s="16"/>
      <c r="C651" s="16"/>
      <c r="D651" s="16"/>
    </row>
    <row r="652">
      <c r="A652" s="16"/>
      <c r="B652" s="16"/>
      <c r="C652" s="16"/>
      <c r="D652" s="16"/>
    </row>
    <row r="653">
      <c r="A653" s="16"/>
      <c r="B653" s="16"/>
      <c r="C653" s="16"/>
      <c r="D653" s="16"/>
    </row>
    <row r="654">
      <c r="A654" s="16"/>
      <c r="B654" s="16"/>
      <c r="C654" s="16"/>
      <c r="D654" s="16"/>
    </row>
    <row r="655">
      <c r="A655" s="16"/>
      <c r="B655" s="16"/>
      <c r="C655" s="16"/>
      <c r="D655" s="16"/>
    </row>
    <row r="656">
      <c r="A656" s="16"/>
      <c r="B656" s="16"/>
      <c r="C656" s="16"/>
      <c r="D656" s="16"/>
    </row>
    <row r="657">
      <c r="A657" s="16"/>
      <c r="B657" s="16"/>
      <c r="C657" s="16"/>
      <c r="D657" s="16"/>
    </row>
    <row r="658">
      <c r="A658" s="16"/>
      <c r="B658" s="16"/>
      <c r="C658" s="16"/>
      <c r="D658" s="16"/>
    </row>
    <row r="659">
      <c r="A659" s="16"/>
      <c r="B659" s="16"/>
      <c r="C659" s="16"/>
      <c r="D659" s="16"/>
    </row>
    <row r="660">
      <c r="A660" s="16"/>
      <c r="B660" s="16"/>
      <c r="C660" s="16"/>
      <c r="D660" s="16"/>
    </row>
    <row r="661">
      <c r="A661" s="16"/>
      <c r="B661" s="16"/>
      <c r="C661" s="16"/>
      <c r="D661" s="16"/>
    </row>
    <row r="662">
      <c r="A662" s="16"/>
      <c r="B662" s="16"/>
      <c r="C662" s="16"/>
      <c r="D662" s="16"/>
    </row>
    <row r="663">
      <c r="A663" s="16"/>
      <c r="B663" s="16"/>
      <c r="C663" s="16"/>
      <c r="D663" s="16"/>
    </row>
    <row r="664">
      <c r="A664" s="16"/>
      <c r="B664" s="16"/>
      <c r="C664" s="16"/>
      <c r="D664" s="16"/>
    </row>
    <row r="665">
      <c r="A665" s="16"/>
      <c r="B665" s="16"/>
      <c r="C665" s="16"/>
      <c r="D665" s="16"/>
    </row>
    <row r="666">
      <c r="A666" s="16"/>
      <c r="B666" s="16"/>
      <c r="C666" s="16"/>
      <c r="D666" s="16"/>
    </row>
    <row r="667">
      <c r="A667" s="16"/>
      <c r="B667" s="16"/>
      <c r="C667" s="16"/>
      <c r="D667" s="16"/>
    </row>
    <row r="668">
      <c r="A668" s="16"/>
      <c r="B668" s="16"/>
      <c r="C668" s="16"/>
      <c r="D668" s="16"/>
    </row>
    <row r="669">
      <c r="A669" s="16"/>
      <c r="B669" s="16"/>
      <c r="C669" s="16"/>
      <c r="D669" s="16"/>
    </row>
    <row r="670">
      <c r="A670" s="16"/>
      <c r="B670" s="16"/>
      <c r="C670" s="16"/>
      <c r="D670" s="16"/>
    </row>
    <row r="671">
      <c r="A671" s="16"/>
      <c r="B671" s="16"/>
      <c r="C671" s="16"/>
      <c r="D671" s="16"/>
    </row>
    <row r="672">
      <c r="A672" s="16"/>
      <c r="B672" s="16"/>
      <c r="C672" s="16"/>
      <c r="D672" s="16"/>
    </row>
    <row r="673">
      <c r="A673" s="16"/>
      <c r="B673" s="16"/>
      <c r="C673" s="16"/>
      <c r="D673" s="16"/>
    </row>
    <row r="674">
      <c r="A674" s="16"/>
      <c r="B674" s="16"/>
      <c r="C674" s="16"/>
      <c r="D674" s="16"/>
    </row>
    <row r="675">
      <c r="A675" s="16"/>
      <c r="B675" s="16"/>
      <c r="C675" s="16"/>
      <c r="D675" s="16"/>
    </row>
    <row r="676">
      <c r="A676" s="16"/>
      <c r="B676" s="16"/>
      <c r="C676" s="16"/>
      <c r="D676" s="16"/>
    </row>
    <row r="677">
      <c r="A677" s="16"/>
      <c r="B677" s="16"/>
      <c r="C677" s="16"/>
      <c r="D677" s="16"/>
    </row>
    <row r="678">
      <c r="A678" s="16"/>
      <c r="B678" s="16"/>
      <c r="C678" s="16"/>
      <c r="D678" s="16"/>
    </row>
    <row r="679">
      <c r="A679" s="16"/>
      <c r="B679" s="16"/>
      <c r="C679" s="16"/>
      <c r="D679" s="16"/>
    </row>
    <row r="680">
      <c r="A680" s="16"/>
      <c r="B680" s="16"/>
      <c r="C680" s="16"/>
      <c r="D680" s="16"/>
    </row>
    <row r="681">
      <c r="A681" s="16"/>
      <c r="B681" s="16"/>
      <c r="C681" s="16"/>
      <c r="D681" s="16"/>
    </row>
    <row r="682">
      <c r="A682" s="16"/>
      <c r="B682" s="16"/>
      <c r="C682" s="16"/>
      <c r="D682" s="16"/>
    </row>
    <row r="683">
      <c r="A683" s="16"/>
      <c r="B683" s="16"/>
      <c r="C683" s="16"/>
      <c r="D683" s="16"/>
    </row>
    <row r="684">
      <c r="A684" s="16"/>
      <c r="B684" s="16"/>
      <c r="C684" s="16"/>
      <c r="D684" s="16"/>
    </row>
    <row r="685">
      <c r="A685" s="16"/>
      <c r="B685" s="16"/>
      <c r="C685" s="16"/>
      <c r="D685" s="16"/>
    </row>
    <row r="686">
      <c r="A686" s="16"/>
      <c r="B686" s="16"/>
      <c r="C686" s="16"/>
      <c r="D686" s="16"/>
    </row>
    <row r="687">
      <c r="A687" s="16"/>
      <c r="B687" s="16"/>
      <c r="C687" s="16"/>
      <c r="D687" s="16"/>
    </row>
    <row r="688">
      <c r="A688" s="16"/>
      <c r="B688" s="16"/>
      <c r="C688" s="16"/>
      <c r="D688" s="16"/>
    </row>
    <row r="689">
      <c r="A689" s="16"/>
      <c r="B689" s="16"/>
      <c r="C689" s="16"/>
      <c r="D689" s="16"/>
    </row>
    <row r="690">
      <c r="A690" s="16"/>
      <c r="B690" s="16"/>
      <c r="C690" s="16"/>
      <c r="D690" s="16"/>
    </row>
    <row r="691">
      <c r="A691" s="16"/>
      <c r="B691" s="16"/>
      <c r="C691" s="16"/>
      <c r="D691" s="16"/>
    </row>
    <row r="692">
      <c r="A692" s="16"/>
      <c r="B692" s="16"/>
      <c r="C692" s="16"/>
      <c r="D692" s="16"/>
    </row>
    <row r="693">
      <c r="A693" s="16"/>
      <c r="B693" s="16"/>
      <c r="C693" s="16"/>
      <c r="D693" s="16"/>
    </row>
    <row r="694">
      <c r="A694" s="16"/>
      <c r="B694" s="16"/>
      <c r="C694" s="16"/>
      <c r="D694" s="16"/>
    </row>
    <row r="695">
      <c r="A695" s="16"/>
      <c r="B695" s="16"/>
      <c r="C695" s="16"/>
      <c r="D695" s="16"/>
    </row>
    <row r="696">
      <c r="A696" s="16"/>
      <c r="B696" s="16"/>
      <c r="C696" s="16"/>
      <c r="D696" s="16"/>
    </row>
    <row r="697">
      <c r="A697" s="16"/>
      <c r="B697" s="16"/>
      <c r="C697" s="16"/>
      <c r="D697" s="16"/>
    </row>
    <row r="698">
      <c r="A698" s="16"/>
      <c r="B698" s="16"/>
      <c r="C698" s="16"/>
      <c r="D698" s="16"/>
    </row>
    <row r="699">
      <c r="A699" s="16"/>
      <c r="B699" s="16"/>
      <c r="C699" s="16"/>
      <c r="D699" s="16"/>
    </row>
    <row r="700">
      <c r="A700" s="16"/>
      <c r="B700" s="16"/>
      <c r="C700" s="16"/>
      <c r="D700" s="16"/>
    </row>
    <row r="701">
      <c r="A701" s="16"/>
      <c r="B701" s="16"/>
      <c r="C701" s="16"/>
      <c r="D701" s="16"/>
    </row>
    <row r="702">
      <c r="A702" s="16"/>
      <c r="B702" s="16"/>
      <c r="C702" s="16"/>
      <c r="D702" s="16"/>
    </row>
    <row r="703">
      <c r="A703" s="16"/>
      <c r="B703" s="16"/>
      <c r="C703" s="16"/>
      <c r="D703" s="16"/>
    </row>
    <row r="704">
      <c r="A704" s="16"/>
      <c r="B704" s="16"/>
      <c r="C704" s="16"/>
      <c r="D704" s="16"/>
    </row>
    <row r="705">
      <c r="A705" s="16"/>
      <c r="B705" s="16"/>
      <c r="C705" s="16"/>
      <c r="D705" s="16"/>
    </row>
    <row r="706">
      <c r="A706" s="16"/>
      <c r="B706" s="16"/>
      <c r="C706" s="16"/>
      <c r="D706" s="16"/>
    </row>
    <row r="707">
      <c r="A707" s="16"/>
      <c r="B707" s="16"/>
      <c r="C707" s="16"/>
      <c r="D707" s="16"/>
    </row>
    <row r="708">
      <c r="A708" s="16"/>
      <c r="B708" s="16"/>
      <c r="C708" s="16"/>
      <c r="D708" s="16"/>
    </row>
    <row r="709">
      <c r="A709" s="16"/>
      <c r="B709" s="16"/>
      <c r="C709" s="16"/>
      <c r="D709" s="16"/>
    </row>
    <row r="710">
      <c r="A710" s="16"/>
      <c r="B710" s="16"/>
      <c r="C710" s="16"/>
      <c r="D710" s="16"/>
    </row>
    <row r="711">
      <c r="A711" s="16"/>
      <c r="B711" s="16"/>
      <c r="C711" s="16"/>
      <c r="D711" s="16"/>
    </row>
    <row r="712">
      <c r="A712" s="16"/>
      <c r="B712" s="16"/>
      <c r="C712" s="16"/>
      <c r="D712" s="16"/>
    </row>
    <row r="713">
      <c r="A713" s="16"/>
      <c r="B713" s="16"/>
      <c r="C713" s="16"/>
      <c r="D713" s="16"/>
    </row>
    <row r="714">
      <c r="A714" s="16"/>
      <c r="B714" s="16"/>
      <c r="C714" s="16"/>
      <c r="D714" s="16"/>
    </row>
    <row r="715">
      <c r="A715" s="16"/>
      <c r="B715" s="16"/>
      <c r="C715" s="16"/>
      <c r="D715" s="16"/>
    </row>
    <row r="716">
      <c r="A716" s="16"/>
      <c r="B716" s="16"/>
      <c r="C716" s="16"/>
      <c r="D716" s="16"/>
    </row>
    <row r="717">
      <c r="A717" s="16"/>
      <c r="B717" s="16"/>
      <c r="C717" s="16"/>
      <c r="D717" s="16"/>
    </row>
    <row r="718">
      <c r="A718" s="16"/>
      <c r="B718" s="16"/>
      <c r="C718" s="16"/>
      <c r="D718" s="16"/>
    </row>
    <row r="719">
      <c r="A719" s="16"/>
      <c r="B719" s="16"/>
      <c r="C719" s="16"/>
      <c r="D719" s="16"/>
    </row>
    <row r="720">
      <c r="A720" s="16"/>
      <c r="B720" s="16"/>
      <c r="C720" s="16"/>
      <c r="D720" s="16"/>
    </row>
    <row r="721">
      <c r="A721" s="16"/>
      <c r="B721" s="16"/>
      <c r="C721" s="16"/>
      <c r="D721" s="16"/>
    </row>
    <row r="722">
      <c r="A722" s="16"/>
      <c r="B722" s="16"/>
      <c r="C722" s="16"/>
      <c r="D722" s="16"/>
    </row>
    <row r="723">
      <c r="A723" s="16"/>
      <c r="B723" s="16"/>
      <c r="C723" s="16"/>
      <c r="D723" s="16"/>
    </row>
    <row r="724">
      <c r="A724" s="16"/>
      <c r="B724" s="16"/>
      <c r="C724" s="16"/>
      <c r="D724" s="16"/>
    </row>
    <row r="725">
      <c r="A725" s="16"/>
      <c r="B725" s="16"/>
      <c r="C725" s="16"/>
      <c r="D725" s="16"/>
    </row>
    <row r="726">
      <c r="A726" s="16"/>
      <c r="B726" s="16"/>
      <c r="C726" s="16"/>
      <c r="D726" s="16"/>
    </row>
    <row r="727">
      <c r="A727" s="16"/>
      <c r="B727" s="16"/>
      <c r="C727" s="16"/>
      <c r="D727" s="16"/>
    </row>
    <row r="728">
      <c r="A728" s="16"/>
      <c r="B728" s="16"/>
      <c r="C728" s="16"/>
      <c r="D728" s="16"/>
    </row>
    <row r="729">
      <c r="A729" s="16"/>
      <c r="B729" s="16"/>
      <c r="C729" s="16"/>
      <c r="D729" s="16"/>
    </row>
    <row r="730">
      <c r="A730" s="16"/>
      <c r="B730" s="16"/>
      <c r="C730" s="16"/>
      <c r="D730" s="16"/>
    </row>
    <row r="731">
      <c r="A731" s="16"/>
      <c r="B731" s="16"/>
      <c r="C731" s="16"/>
      <c r="D731" s="16"/>
    </row>
    <row r="732">
      <c r="A732" s="16"/>
      <c r="B732" s="16"/>
      <c r="C732" s="16"/>
      <c r="D732" s="16"/>
    </row>
    <row r="733">
      <c r="A733" s="16"/>
      <c r="B733" s="16"/>
      <c r="C733" s="16"/>
      <c r="D733" s="16"/>
    </row>
    <row r="734">
      <c r="A734" s="16"/>
      <c r="B734" s="16"/>
      <c r="C734" s="16"/>
      <c r="D734" s="16"/>
    </row>
    <row r="735">
      <c r="A735" s="16"/>
      <c r="B735" s="16"/>
      <c r="C735" s="16"/>
      <c r="D735" s="16"/>
    </row>
    <row r="736">
      <c r="A736" s="16"/>
      <c r="B736" s="16"/>
      <c r="C736" s="16"/>
      <c r="D736" s="16"/>
    </row>
    <row r="737">
      <c r="A737" s="16"/>
      <c r="B737" s="16"/>
      <c r="C737" s="16"/>
      <c r="D737" s="16"/>
    </row>
    <row r="738">
      <c r="A738" s="16"/>
      <c r="B738" s="16"/>
      <c r="C738" s="16"/>
      <c r="D738" s="16"/>
    </row>
    <row r="739">
      <c r="A739" s="16"/>
      <c r="B739" s="16"/>
      <c r="C739" s="16"/>
      <c r="D739" s="16"/>
    </row>
    <row r="740">
      <c r="A740" s="16"/>
      <c r="B740" s="16"/>
      <c r="C740" s="16"/>
      <c r="D740" s="16"/>
    </row>
    <row r="741">
      <c r="A741" s="16"/>
      <c r="B741" s="16"/>
      <c r="C741" s="16"/>
      <c r="D741" s="16"/>
    </row>
    <row r="742">
      <c r="A742" s="16"/>
      <c r="B742" s="16"/>
      <c r="C742" s="16"/>
      <c r="D742" s="16"/>
    </row>
    <row r="743">
      <c r="A743" s="16"/>
      <c r="B743" s="16"/>
      <c r="C743" s="16"/>
      <c r="D743" s="16"/>
    </row>
    <row r="744">
      <c r="A744" s="16"/>
      <c r="B744" s="16"/>
      <c r="C744" s="16"/>
      <c r="D744" s="16"/>
    </row>
    <row r="745">
      <c r="A745" s="16"/>
      <c r="B745" s="16"/>
      <c r="C745" s="16"/>
      <c r="D745" s="16"/>
    </row>
    <row r="746">
      <c r="A746" s="16"/>
      <c r="B746" s="16"/>
      <c r="C746" s="16"/>
      <c r="D746" s="16"/>
    </row>
    <row r="747">
      <c r="A747" s="16"/>
      <c r="B747" s="16"/>
      <c r="C747" s="16"/>
      <c r="D747" s="16"/>
    </row>
    <row r="748">
      <c r="A748" s="16"/>
      <c r="B748" s="16"/>
      <c r="C748" s="16"/>
      <c r="D748" s="16"/>
    </row>
    <row r="749">
      <c r="A749" s="16"/>
      <c r="B749" s="16"/>
      <c r="C749" s="16"/>
      <c r="D749" s="16"/>
    </row>
    <row r="750">
      <c r="A750" s="16"/>
      <c r="B750" s="16"/>
      <c r="C750" s="16"/>
      <c r="D750" s="16"/>
    </row>
    <row r="751">
      <c r="A751" s="16"/>
      <c r="B751" s="16"/>
      <c r="C751" s="16"/>
      <c r="D751" s="16"/>
    </row>
    <row r="752">
      <c r="A752" s="16"/>
      <c r="B752" s="16"/>
      <c r="C752" s="16"/>
      <c r="D752" s="16"/>
    </row>
    <row r="753">
      <c r="A753" s="16"/>
      <c r="B753" s="16"/>
      <c r="C753" s="16"/>
      <c r="D753" s="16"/>
    </row>
    <row r="754">
      <c r="A754" s="16"/>
      <c r="B754" s="16"/>
      <c r="C754" s="16"/>
      <c r="D754" s="16"/>
    </row>
    <row r="755">
      <c r="A755" s="16"/>
      <c r="B755" s="16"/>
      <c r="C755" s="16"/>
      <c r="D755" s="16"/>
    </row>
    <row r="756">
      <c r="A756" s="16"/>
      <c r="B756" s="16"/>
      <c r="C756" s="16"/>
      <c r="D756" s="16"/>
    </row>
    <row r="757">
      <c r="A757" s="16"/>
      <c r="B757" s="16"/>
      <c r="C757" s="16"/>
      <c r="D757" s="16"/>
    </row>
    <row r="758">
      <c r="A758" s="16"/>
      <c r="B758" s="16"/>
      <c r="C758" s="16"/>
      <c r="D758" s="16"/>
    </row>
    <row r="759">
      <c r="A759" s="16"/>
      <c r="B759" s="16"/>
      <c r="C759" s="16"/>
      <c r="D759" s="16"/>
    </row>
    <row r="760">
      <c r="A760" s="16"/>
      <c r="B760" s="16"/>
      <c r="C760" s="16"/>
      <c r="D760" s="16"/>
    </row>
    <row r="761">
      <c r="A761" s="16"/>
      <c r="B761" s="16"/>
      <c r="C761" s="16"/>
      <c r="D761" s="16"/>
    </row>
    <row r="762">
      <c r="A762" s="16"/>
      <c r="B762" s="16"/>
      <c r="C762" s="16"/>
      <c r="D762" s="16"/>
    </row>
    <row r="763">
      <c r="A763" s="16"/>
      <c r="B763" s="16"/>
      <c r="C763" s="16"/>
      <c r="D763" s="16"/>
    </row>
    <row r="764">
      <c r="A764" s="16"/>
      <c r="B764" s="16"/>
      <c r="C764" s="16"/>
      <c r="D764" s="16"/>
    </row>
    <row r="765">
      <c r="A765" s="16"/>
      <c r="B765" s="16"/>
      <c r="C765" s="16"/>
      <c r="D765" s="16"/>
    </row>
    <row r="766">
      <c r="A766" s="16"/>
      <c r="B766" s="16"/>
      <c r="C766" s="16"/>
      <c r="D766" s="16"/>
    </row>
    <row r="767">
      <c r="A767" s="16"/>
      <c r="B767" s="16"/>
      <c r="C767" s="16"/>
      <c r="D767" s="16"/>
    </row>
    <row r="768">
      <c r="A768" s="16"/>
      <c r="B768" s="16"/>
      <c r="C768" s="16"/>
      <c r="D768" s="16"/>
    </row>
    <row r="769">
      <c r="A769" s="16"/>
      <c r="B769" s="16"/>
      <c r="C769" s="16"/>
      <c r="D769" s="16"/>
    </row>
    <row r="770">
      <c r="A770" s="16"/>
      <c r="B770" s="16"/>
      <c r="C770" s="16"/>
      <c r="D770" s="16"/>
    </row>
    <row r="771">
      <c r="A771" s="16"/>
      <c r="B771" s="16"/>
      <c r="C771" s="16"/>
      <c r="D771" s="16"/>
    </row>
    <row r="772">
      <c r="A772" s="16"/>
      <c r="B772" s="16"/>
      <c r="C772" s="16"/>
      <c r="D772" s="16"/>
    </row>
    <row r="773">
      <c r="A773" s="16"/>
      <c r="B773" s="16"/>
      <c r="C773" s="16"/>
      <c r="D773" s="16"/>
    </row>
    <row r="774">
      <c r="A774" s="16"/>
      <c r="B774" s="16"/>
      <c r="C774" s="16"/>
      <c r="D774" s="16"/>
    </row>
    <row r="775">
      <c r="A775" s="16"/>
      <c r="B775" s="16"/>
      <c r="C775" s="16"/>
      <c r="D775" s="16"/>
    </row>
    <row r="776">
      <c r="A776" s="16"/>
      <c r="B776" s="16"/>
      <c r="C776" s="16"/>
      <c r="D776" s="16"/>
    </row>
    <row r="777">
      <c r="A777" s="16"/>
      <c r="B777" s="16"/>
      <c r="C777" s="16"/>
      <c r="D777" s="16"/>
    </row>
    <row r="778">
      <c r="A778" s="16"/>
      <c r="B778" s="16"/>
      <c r="C778" s="16"/>
      <c r="D778" s="16"/>
    </row>
    <row r="779">
      <c r="A779" s="16"/>
      <c r="B779" s="16"/>
      <c r="C779" s="16"/>
      <c r="D779" s="16"/>
    </row>
    <row r="780">
      <c r="A780" s="16"/>
      <c r="B780" s="16"/>
      <c r="C780" s="16"/>
      <c r="D780" s="16"/>
    </row>
    <row r="781">
      <c r="A781" s="16"/>
      <c r="B781" s="16"/>
      <c r="C781" s="16"/>
      <c r="D781" s="16"/>
    </row>
    <row r="782">
      <c r="A782" s="16"/>
      <c r="B782" s="16"/>
      <c r="C782" s="16"/>
      <c r="D782" s="16"/>
    </row>
    <row r="783">
      <c r="A783" s="16"/>
      <c r="B783" s="16"/>
      <c r="C783" s="16"/>
      <c r="D783" s="16"/>
    </row>
    <row r="784">
      <c r="A784" s="16"/>
      <c r="B784" s="16"/>
      <c r="C784" s="16"/>
      <c r="D784" s="16"/>
    </row>
    <row r="785">
      <c r="A785" s="16"/>
      <c r="B785" s="16"/>
      <c r="C785" s="16"/>
      <c r="D785" s="16"/>
    </row>
    <row r="786">
      <c r="A786" s="16"/>
      <c r="B786" s="16"/>
      <c r="C786" s="16"/>
      <c r="D786" s="16"/>
    </row>
    <row r="787">
      <c r="A787" s="16"/>
      <c r="B787" s="16"/>
      <c r="C787" s="16"/>
      <c r="D787" s="16"/>
    </row>
    <row r="788">
      <c r="A788" s="16"/>
      <c r="B788" s="16"/>
      <c r="C788" s="16"/>
      <c r="D788" s="16"/>
    </row>
    <row r="789">
      <c r="A789" s="16"/>
      <c r="B789" s="16"/>
      <c r="C789" s="16"/>
      <c r="D789" s="16"/>
    </row>
    <row r="790">
      <c r="A790" s="16"/>
      <c r="B790" s="16"/>
      <c r="C790" s="16"/>
      <c r="D790" s="16"/>
    </row>
    <row r="791">
      <c r="A791" s="16"/>
      <c r="B791" s="16"/>
      <c r="C791" s="16"/>
      <c r="D791" s="16"/>
    </row>
    <row r="792">
      <c r="A792" s="16"/>
      <c r="B792" s="16"/>
      <c r="C792" s="16"/>
      <c r="D792" s="16"/>
    </row>
    <row r="793">
      <c r="A793" s="16"/>
      <c r="B793" s="16"/>
      <c r="C793" s="16"/>
      <c r="D793" s="16"/>
    </row>
    <row r="794">
      <c r="A794" s="16"/>
      <c r="B794" s="16"/>
      <c r="C794" s="16"/>
      <c r="D794" s="16"/>
    </row>
    <row r="795">
      <c r="A795" s="16"/>
      <c r="B795" s="16"/>
      <c r="C795" s="16"/>
      <c r="D795" s="16"/>
    </row>
    <row r="796">
      <c r="A796" s="16"/>
      <c r="B796" s="16"/>
      <c r="C796" s="16"/>
      <c r="D796" s="16"/>
    </row>
    <row r="797">
      <c r="A797" s="16"/>
      <c r="B797" s="16"/>
      <c r="C797" s="16"/>
      <c r="D797" s="16"/>
    </row>
    <row r="798">
      <c r="A798" s="16"/>
      <c r="B798" s="16"/>
      <c r="C798" s="16"/>
      <c r="D798" s="16"/>
    </row>
    <row r="799">
      <c r="A799" s="16"/>
      <c r="B799" s="16"/>
      <c r="C799" s="16"/>
      <c r="D799" s="16"/>
    </row>
    <row r="800">
      <c r="A800" s="16"/>
      <c r="B800" s="16"/>
      <c r="C800" s="16"/>
      <c r="D800" s="16"/>
    </row>
    <row r="801">
      <c r="A801" s="16"/>
      <c r="B801" s="16"/>
      <c r="C801" s="16"/>
      <c r="D801" s="16"/>
    </row>
    <row r="802">
      <c r="A802" s="16"/>
      <c r="B802" s="16"/>
      <c r="C802" s="16"/>
      <c r="D802" s="16"/>
    </row>
    <row r="803">
      <c r="A803" s="16"/>
      <c r="B803" s="16"/>
      <c r="C803" s="16"/>
      <c r="D803" s="16"/>
    </row>
    <row r="804">
      <c r="A804" s="16"/>
      <c r="B804" s="16"/>
      <c r="C804" s="16"/>
      <c r="D804" s="16"/>
    </row>
    <row r="805">
      <c r="A805" s="16"/>
      <c r="B805" s="16"/>
      <c r="C805" s="16"/>
      <c r="D805" s="16"/>
    </row>
    <row r="806">
      <c r="A806" s="16"/>
      <c r="B806" s="16"/>
      <c r="C806" s="16"/>
      <c r="D806" s="16"/>
    </row>
    <row r="807">
      <c r="A807" s="16"/>
      <c r="B807" s="16"/>
      <c r="C807" s="16"/>
      <c r="D807" s="16"/>
    </row>
    <row r="808">
      <c r="A808" s="16"/>
      <c r="B808" s="16"/>
      <c r="C808" s="16"/>
      <c r="D808" s="16"/>
    </row>
    <row r="809">
      <c r="A809" s="16"/>
      <c r="B809" s="16"/>
      <c r="C809" s="16"/>
      <c r="D809" s="16"/>
    </row>
    <row r="810">
      <c r="A810" s="16"/>
      <c r="B810" s="16"/>
      <c r="C810" s="16"/>
      <c r="D810" s="16"/>
    </row>
    <row r="811">
      <c r="A811" s="16"/>
      <c r="B811" s="16"/>
      <c r="C811" s="16"/>
      <c r="D811" s="16"/>
    </row>
    <row r="812">
      <c r="A812" s="16"/>
      <c r="B812" s="16"/>
      <c r="C812" s="16"/>
      <c r="D812" s="16"/>
    </row>
    <row r="813">
      <c r="A813" s="16"/>
      <c r="B813" s="16"/>
      <c r="C813" s="16"/>
      <c r="D813" s="16"/>
    </row>
    <row r="814">
      <c r="A814" s="16"/>
      <c r="B814" s="16"/>
      <c r="C814" s="16"/>
      <c r="D814" s="16"/>
    </row>
    <row r="815">
      <c r="A815" s="16"/>
      <c r="B815" s="16"/>
      <c r="C815" s="16"/>
      <c r="D815" s="16"/>
    </row>
    <row r="816">
      <c r="A816" s="16"/>
      <c r="B816" s="16"/>
      <c r="C816" s="16"/>
      <c r="D816" s="16"/>
    </row>
    <row r="817">
      <c r="A817" s="16"/>
      <c r="B817" s="16"/>
      <c r="C817" s="16"/>
      <c r="D817" s="16"/>
    </row>
    <row r="818">
      <c r="A818" s="16"/>
      <c r="B818" s="16"/>
      <c r="C818" s="16"/>
      <c r="D818" s="16"/>
    </row>
    <row r="819">
      <c r="A819" s="16"/>
      <c r="B819" s="16"/>
      <c r="C819" s="16"/>
      <c r="D819" s="16"/>
    </row>
    <row r="820">
      <c r="A820" s="16"/>
      <c r="B820" s="16"/>
      <c r="C820" s="16"/>
      <c r="D820" s="16"/>
    </row>
    <row r="821">
      <c r="A821" s="16"/>
      <c r="B821" s="16"/>
      <c r="C821" s="16"/>
      <c r="D821" s="16"/>
    </row>
    <row r="822">
      <c r="A822" s="16"/>
      <c r="B822" s="16"/>
      <c r="C822" s="16"/>
      <c r="D822" s="16"/>
    </row>
    <row r="823">
      <c r="A823" s="16"/>
      <c r="B823" s="16"/>
      <c r="C823" s="16"/>
      <c r="D823" s="16"/>
    </row>
    <row r="824">
      <c r="A824" s="16"/>
      <c r="B824" s="16"/>
      <c r="C824" s="16"/>
      <c r="D824" s="16"/>
    </row>
    <row r="825">
      <c r="A825" s="16"/>
      <c r="B825" s="16"/>
      <c r="C825" s="16"/>
      <c r="D825" s="16"/>
    </row>
    <row r="826">
      <c r="A826" s="16"/>
      <c r="B826" s="16"/>
      <c r="C826" s="16"/>
      <c r="D826" s="16"/>
    </row>
    <row r="827">
      <c r="A827" s="16"/>
      <c r="B827" s="16"/>
      <c r="C827" s="16"/>
      <c r="D827" s="16"/>
    </row>
    <row r="828">
      <c r="A828" s="16"/>
      <c r="B828" s="16"/>
      <c r="C828" s="16"/>
      <c r="D828" s="16"/>
    </row>
    <row r="829">
      <c r="A829" s="16"/>
      <c r="B829" s="16"/>
      <c r="C829" s="16"/>
      <c r="D829" s="16"/>
    </row>
    <row r="830">
      <c r="A830" s="16"/>
      <c r="B830" s="16"/>
      <c r="C830" s="16"/>
      <c r="D830" s="16"/>
    </row>
    <row r="831">
      <c r="A831" s="16"/>
      <c r="B831" s="16"/>
      <c r="C831" s="16"/>
      <c r="D831" s="16"/>
    </row>
    <row r="832">
      <c r="A832" s="16"/>
      <c r="B832" s="16"/>
      <c r="C832" s="16"/>
      <c r="D832" s="16"/>
    </row>
    <row r="833">
      <c r="A833" s="16"/>
      <c r="B833" s="16"/>
      <c r="C833" s="16"/>
      <c r="D833" s="16"/>
    </row>
    <row r="834">
      <c r="A834" s="16"/>
      <c r="B834" s="16"/>
      <c r="C834" s="16"/>
      <c r="D834" s="16"/>
    </row>
    <row r="835">
      <c r="A835" s="16"/>
      <c r="B835" s="16"/>
      <c r="C835" s="16"/>
      <c r="D835" s="16"/>
    </row>
    <row r="836">
      <c r="A836" s="16"/>
      <c r="B836" s="16"/>
      <c r="C836" s="16"/>
      <c r="D836" s="16"/>
    </row>
    <row r="837">
      <c r="A837" s="16"/>
      <c r="B837" s="16"/>
      <c r="C837" s="16"/>
      <c r="D837" s="16"/>
    </row>
    <row r="838">
      <c r="A838" s="16"/>
      <c r="B838" s="16"/>
      <c r="C838" s="16"/>
      <c r="D838" s="16"/>
    </row>
    <row r="839">
      <c r="A839" s="16"/>
      <c r="B839" s="16"/>
      <c r="C839" s="16"/>
      <c r="D839" s="16"/>
    </row>
    <row r="840">
      <c r="A840" s="16"/>
      <c r="B840" s="16"/>
      <c r="C840" s="16"/>
      <c r="D840" s="16"/>
    </row>
    <row r="841">
      <c r="A841" s="16"/>
      <c r="B841" s="16"/>
      <c r="C841" s="16"/>
      <c r="D841" s="16"/>
    </row>
    <row r="842">
      <c r="A842" s="16"/>
      <c r="B842" s="16"/>
      <c r="C842" s="16"/>
      <c r="D842" s="16"/>
    </row>
    <row r="843">
      <c r="A843" s="16"/>
      <c r="B843" s="16"/>
      <c r="C843" s="16"/>
      <c r="D843" s="16"/>
    </row>
    <row r="844">
      <c r="A844" s="16"/>
      <c r="B844" s="16"/>
      <c r="C844" s="16"/>
      <c r="D844" s="16"/>
    </row>
    <row r="845">
      <c r="A845" s="16"/>
      <c r="B845" s="16"/>
      <c r="C845" s="16"/>
      <c r="D845" s="16"/>
    </row>
    <row r="846">
      <c r="A846" s="16"/>
      <c r="B846" s="16"/>
      <c r="C846" s="16"/>
      <c r="D846" s="16"/>
    </row>
    <row r="847">
      <c r="A847" s="16"/>
      <c r="B847" s="16"/>
      <c r="C847" s="16"/>
      <c r="D847" s="16"/>
    </row>
    <row r="848">
      <c r="A848" s="16"/>
      <c r="B848" s="16"/>
      <c r="C848" s="16"/>
      <c r="D848" s="16"/>
    </row>
    <row r="849">
      <c r="A849" s="16"/>
      <c r="B849" s="16"/>
      <c r="C849" s="16"/>
      <c r="D849" s="16"/>
    </row>
    <row r="850">
      <c r="A850" s="16"/>
      <c r="B850" s="16"/>
      <c r="C850" s="16"/>
      <c r="D850" s="16"/>
    </row>
    <row r="851">
      <c r="A851" s="16"/>
      <c r="B851" s="16"/>
      <c r="C851" s="16"/>
      <c r="D851" s="16"/>
    </row>
    <row r="852">
      <c r="A852" s="16"/>
      <c r="B852" s="16"/>
      <c r="C852" s="16"/>
      <c r="D852" s="16"/>
    </row>
    <row r="853">
      <c r="A853" s="16"/>
      <c r="B853" s="16"/>
      <c r="C853" s="16"/>
      <c r="D853" s="16"/>
    </row>
    <row r="854">
      <c r="A854" s="16"/>
      <c r="B854" s="16"/>
      <c r="C854" s="16"/>
      <c r="D854" s="16"/>
    </row>
    <row r="855">
      <c r="A855" s="16"/>
      <c r="B855" s="16"/>
      <c r="C855" s="16"/>
      <c r="D855" s="16"/>
    </row>
    <row r="856">
      <c r="A856" s="16"/>
      <c r="B856" s="16"/>
      <c r="C856" s="16"/>
      <c r="D856" s="16"/>
    </row>
    <row r="857">
      <c r="A857" s="16"/>
      <c r="B857" s="16"/>
      <c r="C857" s="16"/>
      <c r="D857" s="16"/>
    </row>
    <row r="858">
      <c r="A858" s="16"/>
      <c r="B858" s="16"/>
      <c r="C858" s="16"/>
      <c r="D858" s="16"/>
    </row>
    <row r="859">
      <c r="A859" s="16"/>
      <c r="B859" s="16"/>
      <c r="C859" s="16"/>
      <c r="D859" s="16"/>
    </row>
    <row r="860">
      <c r="A860" s="16"/>
      <c r="B860" s="16"/>
      <c r="C860" s="16"/>
      <c r="D860" s="16"/>
    </row>
    <row r="861">
      <c r="A861" s="16"/>
      <c r="B861" s="16"/>
      <c r="C861" s="16"/>
      <c r="D861" s="16"/>
    </row>
    <row r="862">
      <c r="A862" s="16"/>
      <c r="B862" s="16"/>
      <c r="C862" s="16"/>
      <c r="D862" s="16"/>
    </row>
    <row r="863">
      <c r="A863" s="16"/>
      <c r="B863" s="16"/>
      <c r="C863" s="16"/>
      <c r="D863" s="16"/>
    </row>
    <row r="864">
      <c r="A864" s="16"/>
      <c r="B864" s="16"/>
      <c r="C864" s="16"/>
      <c r="D864" s="16"/>
    </row>
    <row r="865">
      <c r="A865" s="16"/>
      <c r="B865" s="16"/>
      <c r="C865" s="16"/>
      <c r="D865" s="16"/>
    </row>
    <row r="866">
      <c r="A866" s="16"/>
      <c r="B866" s="16"/>
      <c r="C866" s="16"/>
      <c r="D866" s="16"/>
    </row>
    <row r="867">
      <c r="A867" s="16"/>
      <c r="B867" s="16"/>
      <c r="C867" s="16"/>
      <c r="D867" s="16"/>
    </row>
    <row r="868">
      <c r="A868" s="16"/>
      <c r="B868" s="16"/>
      <c r="C868" s="16"/>
      <c r="D868" s="16"/>
    </row>
    <row r="869">
      <c r="A869" s="16"/>
      <c r="B869" s="16"/>
      <c r="C869" s="16"/>
      <c r="D869" s="16"/>
    </row>
    <row r="870">
      <c r="A870" s="16"/>
      <c r="B870" s="16"/>
      <c r="C870" s="16"/>
      <c r="D870" s="16"/>
    </row>
    <row r="871">
      <c r="A871" s="16"/>
      <c r="B871" s="16"/>
      <c r="C871" s="16"/>
      <c r="D871" s="16"/>
    </row>
    <row r="872">
      <c r="A872" s="16"/>
      <c r="B872" s="16"/>
      <c r="C872" s="16"/>
      <c r="D872" s="16"/>
    </row>
    <row r="873">
      <c r="A873" s="16"/>
      <c r="B873" s="16"/>
      <c r="C873" s="16"/>
      <c r="D873" s="16"/>
    </row>
    <row r="874">
      <c r="A874" s="16"/>
      <c r="B874" s="16"/>
      <c r="C874" s="16"/>
      <c r="D874" s="16"/>
    </row>
    <row r="875">
      <c r="A875" s="16"/>
      <c r="B875" s="16"/>
      <c r="C875" s="16"/>
      <c r="D875" s="16"/>
    </row>
    <row r="876">
      <c r="A876" s="16"/>
      <c r="B876" s="16"/>
      <c r="C876" s="16"/>
      <c r="D876" s="16"/>
    </row>
    <row r="877">
      <c r="A877" s="16"/>
      <c r="B877" s="16"/>
      <c r="C877" s="16"/>
      <c r="D877" s="16"/>
    </row>
    <row r="878">
      <c r="A878" s="16"/>
      <c r="B878" s="16"/>
      <c r="C878" s="16"/>
      <c r="D878" s="16"/>
    </row>
    <row r="879">
      <c r="A879" s="16"/>
      <c r="B879" s="16"/>
      <c r="C879" s="16"/>
      <c r="D879" s="16"/>
    </row>
    <row r="880">
      <c r="A880" s="16"/>
      <c r="B880" s="16"/>
      <c r="C880" s="16"/>
      <c r="D880" s="16"/>
    </row>
    <row r="881">
      <c r="A881" s="16"/>
      <c r="B881" s="16"/>
      <c r="C881" s="16"/>
      <c r="D881" s="16"/>
    </row>
    <row r="882">
      <c r="A882" s="16"/>
      <c r="B882" s="16"/>
      <c r="C882" s="16"/>
      <c r="D882" s="16"/>
    </row>
    <row r="883">
      <c r="A883" s="16"/>
      <c r="B883" s="16"/>
      <c r="C883" s="16"/>
      <c r="D883" s="16"/>
    </row>
    <row r="884">
      <c r="A884" s="16"/>
      <c r="B884" s="16"/>
      <c r="C884" s="16"/>
      <c r="D884" s="16"/>
    </row>
    <row r="885">
      <c r="A885" s="16"/>
      <c r="B885" s="16"/>
      <c r="C885" s="16"/>
      <c r="D885" s="16"/>
    </row>
    <row r="886">
      <c r="A886" s="16"/>
      <c r="B886" s="16"/>
      <c r="C886" s="16"/>
      <c r="D886" s="16"/>
    </row>
    <row r="887">
      <c r="A887" s="16"/>
      <c r="B887" s="16"/>
      <c r="C887" s="16"/>
      <c r="D887" s="16"/>
    </row>
    <row r="888">
      <c r="A888" s="16"/>
      <c r="B888" s="16"/>
      <c r="C888" s="16"/>
      <c r="D888" s="16"/>
    </row>
    <row r="889">
      <c r="A889" s="16"/>
      <c r="B889" s="16"/>
      <c r="C889" s="16"/>
      <c r="D889" s="16"/>
    </row>
    <row r="890">
      <c r="A890" s="16"/>
      <c r="B890" s="16"/>
      <c r="C890" s="16"/>
      <c r="D890" s="16"/>
    </row>
    <row r="891">
      <c r="A891" s="16"/>
      <c r="B891" s="16"/>
      <c r="C891" s="16"/>
      <c r="D891" s="16"/>
    </row>
    <row r="892">
      <c r="A892" s="16"/>
      <c r="B892" s="16"/>
      <c r="C892" s="16"/>
      <c r="D892" s="16"/>
    </row>
    <row r="893">
      <c r="A893" s="16"/>
      <c r="B893" s="16"/>
      <c r="C893" s="16"/>
      <c r="D893" s="16"/>
    </row>
    <row r="894">
      <c r="A894" s="16"/>
      <c r="B894" s="16"/>
      <c r="C894" s="16"/>
      <c r="D894" s="16"/>
    </row>
    <row r="895">
      <c r="A895" s="16"/>
      <c r="B895" s="16"/>
      <c r="C895" s="16"/>
      <c r="D895" s="16"/>
    </row>
    <row r="896">
      <c r="A896" s="16"/>
      <c r="B896" s="16"/>
      <c r="C896" s="16"/>
      <c r="D896" s="16"/>
    </row>
    <row r="897">
      <c r="A897" s="16"/>
      <c r="B897" s="16"/>
      <c r="C897" s="16"/>
      <c r="D897" s="16"/>
    </row>
    <row r="898">
      <c r="A898" s="16"/>
      <c r="B898" s="16"/>
      <c r="C898" s="16"/>
      <c r="D898" s="16"/>
    </row>
    <row r="899">
      <c r="A899" s="16"/>
      <c r="B899" s="16"/>
      <c r="C899" s="16"/>
      <c r="D899" s="16"/>
    </row>
    <row r="900">
      <c r="A900" s="16"/>
      <c r="B900" s="16"/>
      <c r="C900" s="16"/>
      <c r="D900" s="16"/>
    </row>
    <row r="901">
      <c r="A901" s="16"/>
      <c r="B901" s="16"/>
      <c r="C901" s="16"/>
      <c r="D901" s="16"/>
    </row>
    <row r="902">
      <c r="A902" s="16"/>
      <c r="B902" s="16"/>
      <c r="C902" s="16"/>
      <c r="D902" s="16"/>
    </row>
    <row r="903">
      <c r="A903" s="16"/>
      <c r="B903" s="16"/>
      <c r="C903" s="16"/>
      <c r="D903" s="16"/>
    </row>
    <row r="904">
      <c r="A904" s="16"/>
      <c r="B904" s="16"/>
      <c r="C904" s="16"/>
      <c r="D904" s="16"/>
    </row>
    <row r="905">
      <c r="A905" s="16"/>
      <c r="B905" s="16"/>
      <c r="C905" s="16"/>
      <c r="D905" s="16"/>
    </row>
    <row r="906">
      <c r="A906" s="16"/>
      <c r="B906" s="16"/>
      <c r="C906" s="16"/>
      <c r="D906" s="16"/>
    </row>
    <row r="907">
      <c r="A907" s="16"/>
      <c r="B907" s="16"/>
      <c r="C907" s="16"/>
      <c r="D907" s="16"/>
    </row>
    <row r="908">
      <c r="A908" s="16"/>
      <c r="B908" s="16"/>
      <c r="C908" s="16"/>
      <c r="D908" s="16"/>
    </row>
    <row r="909">
      <c r="A909" s="16"/>
      <c r="B909" s="16"/>
      <c r="C909" s="16"/>
      <c r="D909" s="16"/>
    </row>
    <row r="910">
      <c r="A910" s="16"/>
      <c r="B910" s="16"/>
      <c r="C910" s="16"/>
      <c r="D910" s="16"/>
    </row>
    <row r="911">
      <c r="A911" s="16"/>
      <c r="B911" s="16"/>
      <c r="C911" s="16"/>
      <c r="D911" s="16"/>
    </row>
    <row r="912">
      <c r="A912" s="16"/>
      <c r="B912" s="16"/>
      <c r="C912" s="16"/>
      <c r="D912" s="16"/>
    </row>
    <row r="913">
      <c r="A913" s="16"/>
      <c r="B913" s="16"/>
      <c r="C913" s="16"/>
      <c r="D913" s="16"/>
    </row>
    <row r="914">
      <c r="A914" s="16"/>
      <c r="B914" s="16"/>
      <c r="C914" s="16"/>
      <c r="D914" s="16"/>
    </row>
    <row r="915">
      <c r="A915" s="16"/>
      <c r="B915" s="16"/>
      <c r="C915" s="16"/>
      <c r="D915" s="16"/>
    </row>
    <row r="916">
      <c r="A916" s="16"/>
      <c r="B916" s="16"/>
      <c r="C916" s="16"/>
      <c r="D916" s="16"/>
    </row>
    <row r="917">
      <c r="A917" s="16"/>
      <c r="B917" s="16"/>
      <c r="C917" s="16"/>
      <c r="D917" s="16"/>
    </row>
    <row r="918">
      <c r="A918" s="16"/>
      <c r="B918" s="16"/>
      <c r="C918" s="16"/>
      <c r="D918" s="16"/>
    </row>
    <row r="919">
      <c r="A919" s="16"/>
      <c r="B919" s="16"/>
      <c r="C919" s="16"/>
      <c r="D919" s="16"/>
    </row>
    <row r="920">
      <c r="A920" s="16"/>
      <c r="B920" s="16"/>
      <c r="C920" s="16"/>
      <c r="D920" s="16"/>
    </row>
    <row r="921">
      <c r="A921" s="16"/>
      <c r="B921" s="16"/>
      <c r="C921" s="16"/>
      <c r="D921" s="16"/>
    </row>
    <row r="922">
      <c r="A922" s="16"/>
      <c r="B922" s="16"/>
      <c r="C922" s="16"/>
      <c r="D922" s="16"/>
    </row>
    <row r="923">
      <c r="A923" s="16"/>
      <c r="B923" s="16"/>
      <c r="C923" s="16"/>
      <c r="D923" s="16"/>
    </row>
    <row r="924">
      <c r="A924" s="16"/>
      <c r="B924" s="16"/>
      <c r="C924" s="16"/>
      <c r="D924" s="16"/>
    </row>
    <row r="925">
      <c r="A925" s="16"/>
      <c r="B925" s="16"/>
      <c r="C925" s="16"/>
      <c r="D925" s="16"/>
    </row>
    <row r="926">
      <c r="A926" s="16"/>
      <c r="B926" s="16"/>
      <c r="C926" s="16"/>
      <c r="D926" s="16"/>
    </row>
    <row r="927">
      <c r="A927" s="16"/>
      <c r="B927" s="16"/>
      <c r="C927" s="16"/>
      <c r="D927" s="16"/>
    </row>
    <row r="928">
      <c r="A928" s="16"/>
      <c r="B928" s="16"/>
      <c r="C928" s="16"/>
      <c r="D928" s="16"/>
    </row>
    <row r="929">
      <c r="A929" s="16"/>
      <c r="B929" s="16"/>
      <c r="C929" s="16"/>
      <c r="D929" s="16"/>
    </row>
    <row r="930">
      <c r="A930" s="16"/>
      <c r="B930" s="16"/>
      <c r="C930" s="16"/>
      <c r="D930" s="16"/>
    </row>
    <row r="931">
      <c r="A931" s="16"/>
      <c r="B931" s="16"/>
      <c r="C931" s="16"/>
      <c r="D931" s="16"/>
    </row>
    <row r="932">
      <c r="A932" s="16"/>
      <c r="B932" s="16"/>
      <c r="C932" s="16"/>
      <c r="D932" s="16"/>
    </row>
    <row r="933">
      <c r="A933" s="16"/>
      <c r="B933" s="16"/>
      <c r="C933" s="16"/>
      <c r="D933" s="16"/>
    </row>
    <row r="934">
      <c r="A934" s="16"/>
      <c r="B934" s="16"/>
      <c r="C934" s="16"/>
      <c r="D934" s="16"/>
    </row>
    <row r="935">
      <c r="A935" s="16"/>
      <c r="B935" s="16"/>
      <c r="C935" s="16"/>
      <c r="D935" s="16"/>
    </row>
    <row r="936">
      <c r="A936" s="16"/>
      <c r="B936" s="16"/>
      <c r="C936" s="16"/>
      <c r="D936" s="16"/>
    </row>
    <row r="937">
      <c r="A937" s="16"/>
      <c r="B937" s="16"/>
      <c r="C937" s="16"/>
      <c r="D937" s="16"/>
    </row>
    <row r="938">
      <c r="A938" s="16"/>
      <c r="B938" s="16"/>
      <c r="C938" s="16"/>
      <c r="D938" s="16"/>
    </row>
    <row r="939">
      <c r="A939" s="16"/>
      <c r="B939" s="16"/>
      <c r="C939" s="16"/>
      <c r="D939" s="16"/>
    </row>
    <row r="940">
      <c r="A940" s="16"/>
      <c r="B940" s="16"/>
      <c r="C940" s="16"/>
      <c r="D940" s="16"/>
    </row>
    <row r="941">
      <c r="A941" s="16"/>
      <c r="B941" s="16"/>
      <c r="C941" s="16"/>
      <c r="D941" s="16"/>
    </row>
    <row r="942">
      <c r="A942" s="16"/>
      <c r="B942" s="16"/>
      <c r="C942" s="16"/>
      <c r="D942" s="16"/>
    </row>
    <row r="943">
      <c r="A943" s="16"/>
      <c r="B943" s="16"/>
      <c r="C943" s="16"/>
      <c r="D943" s="16"/>
    </row>
    <row r="944">
      <c r="A944" s="16"/>
      <c r="B944" s="16"/>
      <c r="C944" s="16"/>
      <c r="D944" s="16"/>
    </row>
    <row r="945">
      <c r="A945" s="16"/>
      <c r="B945" s="16"/>
      <c r="C945" s="16"/>
      <c r="D945" s="16"/>
    </row>
    <row r="946">
      <c r="A946" s="16"/>
      <c r="B946" s="16"/>
      <c r="C946" s="16"/>
      <c r="D946" s="16"/>
    </row>
    <row r="947">
      <c r="A947" s="16"/>
      <c r="B947" s="16"/>
      <c r="C947" s="16"/>
      <c r="D947" s="16"/>
    </row>
    <row r="948">
      <c r="A948" s="16"/>
      <c r="B948" s="16"/>
      <c r="C948" s="16"/>
      <c r="D948" s="16"/>
    </row>
    <row r="949">
      <c r="A949" s="16"/>
      <c r="B949" s="16"/>
      <c r="C949" s="16"/>
      <c r="D949" s="16"/>
    </row>
    <row r="950">
      <c r="A950" s="16"/>
      <c r="B950" s="16"/>
      <c r="C950" s="16"/>
      <c r="D950" s="16"/>
    </row>
    <row r="951">
      <c r="A951" s="16"/>
      <c r="B951" s="16"/>
      <c r="C951" s="16"/>
      <c r="D951" s="16"/>
    </row>
    <row r="952">
      <c r="A952" s="16"/>
      <c r="B952" s="16"/>
      <c r="C952" s="16"/>
      <c r="D952" s="16"/>
    </row>
    <row r="953">
      <c r="A953" s="16"/>
      <c r="B953" s="16"/>
      <c r="C953" s="16"/>
      <c r="D953" s="16"/>
    </row>
    <row r="954">
      <c r="A954" s="16"/>
      <c r="B954" s="16"/>
      <c r="C954" s="16"/>
      <c r="D954" s="16"/>
    </row>
    <row r="955">
      <c r="A955" s="16"/>
      <c r="B955" s="16"/>
      <c r="C955" s="16"/>
      <c r="D955" s="16"/>
    </row>
    <row r="956">
      <c r="A956" s="16"/>
      <c r="B956" s="16"/>
      <c r="C956" s="16"/>
      <c r="D956" s="16"/>
    </row>
    <row r="957">
      <c r="A957" s="16"/>
      <c r="B957" s="16"/>
      <c r="C957" s="16"/>
      <c r="D957" s="16"/>
    </row>
    <row r="958">
      <c r="A958" s="16"/>
      <c r="B958" s="16"/>
      <c r="C958" s="16"/>
      <c r="D958" s="16"/>
    </row>
    <row r="959">
      <c r="A959" s="16"/>
      <c r="B959" s="16"/>
      <c r="C959" s="16"/>
      <c r="D959" s="16"/>
    </row>
    <row r="960">
      <c r="A960" s="16"/>
      <c r="B960" s="16"/>
      <c r="C960" s="16"/>
      <c r="D960" s="16"/>
    </row>
    <row r="961">
      <c r="A961" s="16"/>
      <c r="B961" s="16"/>
      <c r="C961" s="16"/>
      <c r="D961" s="16"/>
    </row>
    <row r="962">
      <c r="A962" s="16"/>
      <c r="B962" s="16"/>
      <c r="C962" s="16"/>
      <c r="D962" s="16"/>
    </row>
    <row r="963">
      <c r="A963" s="16"/>
      <c r="B963" s="16"/>
      <c r="C963" s="16"/>
      <c r="D963" s="16"/>
    </row>
    <row r="964">
      <c r="A964" s="16"/>
      <c r="B964" s="16"/>
      <c r="C964" s="16"/>
      <c r="D964" s="16"/>
    </row>
    <row r="965">
      <c r="A965" s="16"/>
      <c r="B965" s="16"/>
      <c r="C965" s="16"/>
      <c r="D965" s="16"/>
    </row>
    <row r="966">
      <c r="A966" s="16"/>
      <c r="B966" s="16"/>
      <c r="C966" s="16"/>
      <c r="D966" s="16"/>
    </row>
    <row r="967">
      <c r="A967" s="16"/>
      <c r="B967" s="16"/>
      <c r="C967" s="16"/>
      <c r="D967" s="16"/>
    </row>
    <row r="968">
      <c r="A968" s="16"/>
      <c r="B968" s="16"/>
      <c r="C968" s="16"/>
      <c r="D968" s="16"/>
    </row>
    <row r="969">
      <c r="A969" s="16"/>
      <c r="B969" s="16"/>
      <c r="C969" s="16"/>
      <c r="D969" s="16"/>
    </row>
    <row r="970">
      <c r="A970" s="16"/>
      <c r="B970" s="16"/>
      <c r="C970" s="16"/>
      <c r="D970" s="16"/>
    </row>
    <row r="971">
      <c r="A971" s="16"/>
      <c r="B971" s="16"/>
      <c r="C971" s="16"/>
      <c r="D971" s="16"/>
    </row>
    <row r="972">
      <c r="A972" s="16"/>
      <c r="B972" s="16"/>
      <c r="C972" s="16"/>
      <c r="D972" s="16"/>
    </row>
    <row r="973">
      <c r="A973" s="16"/>
      <c r="B973" s="16"/>
      <c r="C973" s="16"/>
      <c r="D973" s="16"/>
    </row>
    <row r="974">
      <c r="A974" s="16"/>
      <c r="B974" s="16"/>
      <c r="C974" s="16"/>
      <c r="D974" s="16"/>
    </row>
    <row r="975">
      <c r="A975" s="16"/>
      <c r="B975" s="16"/>
      <c r="C975" s="16"/>
      <c r="D975" s="16"/>
    </row>
    <row r="976">
      <c r="A976" s="16"/>
      <c r="B976" s="16"/>
      <c r="C976" s="16"/>
      <c r="D976" s="16"/>
    </row>
    <row r="977">
      <c r="A977" s="16"/>
      <c r="B977" s="16"/>
      <c r="C977" s="16"/>
      <c r="D977" s="16"/>
    </row>
    <row r="978">
      <c r="A978" s="16"/>
      <c r="B978" s="16"/>
      <c r="C978" s="16"/>
      <c r="D978" s="16"/>
    </row>
    <row r="979">
      <c r="A979" s="16"/>
      <c r="B979" s="16"/>
      <c r="C979" s="16"/>
      <c r="D979" s="16"/>
    </row>
    <row r="980">
      <c r="A980" s="16"/>
      <c r="B980" s="16"/>
      <c r="C980" s="16"/>
      <c r="D980" s="16"/>
    </row>
    <row r="981">
      <c r="A981" s="16"/>
      <c r="B981" s="16"/>
      <c r="C981" s="16"/>
      <c r="D981" s="16"/>
    </row>
    <row r="982">
      <c r="A982" s="16"/>
      <c r="B982" s="16"/>
      <c r="C982" s="16"/>
      <c r="D982" s="16"/>
    </row>
    <row r="983">
      <c r="A983" s="16"/>
      <c r="B983" s="16"/>
      <c r="C983" s="16"/>
      <c r="D983" s="16"/>
    </row>
    <row r="984">
      <c r="A984" s="16"/>
      <c r="B984" s="16"/>
      <c r="C984" s="16"/>
      <c r="D984" s="16"/>
    </row>
    <row r="985">
      <c r="A985" s="16"/>
      <c r="B985" s="16"/>
      <c r="C985" s="16"/>
      <c r="D985" s="16"/>
    </row>
    <row r="986">
      <c r="A986" s="16"/>
      <c r="B986" s="16"/>
      <c r="C986" s="16"/>
      <c r="D986" s="16"/>
    </row>
    <row r="987">
      <c r="A987" s="16"/>
      <c r="B987" s="16"/>
      <c r="C987" s="16"/>
      <c r="D987" s="16"/>
    </row>
    <row r="988">
      <c r="A988" s="16"/>
      <c r="B988" s="16"/>
      <c r="C988" s="16"/>
      <c r="D988" s="16"/>
    </row>
    <row r="989">
      <c r="A989" s="16"/>
      <c r="B989" s="16"/>
      <c r="C989" s="16"/>
      <c r="D989" s="16"/>
    </row>
    <row r="990">
      <c r="A990" s="16"/>
      <c r="B990" s="16"/>
      <c r="C990" s="16"/>
      <c r="D990" s="16"/>
    </row>
    <row r="991">
      <c r="A991" s="16"/>
      <c r="B991" s="16"/>
      <c r="C991" s="16"/>
      <c r="D991" s="16"/>
    </row>
    <row r="992">
      <c r="A992" s="16"/>
      <c r="B992" s="16"/>
      <c r="C992" s="16"/>
      <c r="D992" s="16"/>
    </row>
    <row r="993">
      <c r="A993" s="16"/>
      <c r="B993" s="16"/>
      <c r="C993" s="16"/>
      <c r="D993" s="16"/>
    </row>
    <row r="994">
      <c r="A994" s="16"/>
      <c r="B994" s="16"/>
      <c r="C994" s="16"/>
      <c r="D994" s="16"/>
    </row>
    <row r="995">
      <c r="A995" s="16"/>
      <c r="B995" s="16"/>
      <c r="C995" s="16"/>
      <c r="D995" s="16"/>
    </row>
    <row r="996">
      <c r="A996" s="16"/>
      <c r="B996" s="16"/>
      <c r="C996" s="16"/>
      <c r="D996" s="16"/>
    </row>
    <row r="997">
      <c r="A997" s="16"/>
      <c r="B997" s="16"/>
      <c r="C997" s="16"/>
      <c r="D997" s="16"/>
    </row>
    <row r="998">
      <c r="A998" s="16"/>
      <c r="B998" s="16"/>
      <c r="C998" s="16"/>
      <c r="D998" s="16"/>
    </row>
    <row r="999">
      <c r="A999" s="16"/>
      <c r="B999" s="16"/>
      <c r="C999" s="16"/>
      <c r="D999" s="16"/>
    </row>
    <row r="1000">
      <c r="A1000" s="16"/>
      <c r="B1000" s="16"/>
      <c r="C1000" s="16"/>
      <c r="D1000" s="16"/>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4.75"/>
  </cols>
  <sheetData>
    <row r="1">
      <c r="A1" s="16" t="str">
        <f>IFERROR(__xludf.DUMMYFUNCTION("IMPORTRANGE(""https://docs.google.com/spreadsheets/d/""&amp;Config!B4,""NotorietyCombined!A:AX"")"),"Character")</f>
        <v>Character</v>
      </c>
      <c r="B1" s="16" t="str">
        <f>IFERROR(__xludf.DUMMYFUNCTION("""COMPUTED_VALUE"""),"Title")</f>
        <v>Title</v>
      </c>
      <c r="C1" s="16" t="str">
        <f>IFERROR(__xludf.DUMMYFUNCTION("""COMPUTED_VALUE"""),"Description")</f>
        <v>Description</v>
      </c>
      <c r="D1" s="16" t="str">
        <f>IFERROR(__xludf.DUMMYFUNCTION("""COMPUTED_VALUE"""),"Good/Bad")</f>
        <v>Good/Bad</v>
      </c>
      <c r="E1" s="98" t="str">
        <f>IFERROR(__xludf.DUMMYFUNCTION("""COMPUTED_VALUE"""),"Bounty")</f>
        <v>Bounty</v>
      </c>
      <c r="F1" s="16" t="str">
        <f>IFERROR(__xludf.DUMMYFUNCTION("""COMPUTED_VALUE"""),"Town")</f>
        <v>Town</v>
      </c>
      <c r="G1" s="16" t="str">
        <f>IFERROR(__xludf.DUMMYFUNCTION("""COMPUTED_VALUE"""),"Person")</f>
        <v>Person</v>
      </c>
      <c r="H1" s="16"/>
      <c r="I1" s="16"/>
      <c r="J1" s="16"/>
      <c r="K1" s="16"/>
      <c r="L1" s="16"/>
      <c r="M1" s="16"/>
      <c r="N1" s="16"/>
      <c r="O1" s="16"/>
      <c r="P1" s="16"/>
      <c r="Q1" s="16"/>
      <c r="R1" s="16"/>
      <c r="S1" s="16"/>
      <c r="T1" s="16"/>
      <c r="U1" s="16"/>
      <c r="V1" s="16"/>
      <c r="W1" s="16"/>
      <c r="X1" s="16"/>
      <c r="Y1" s="16"/>
      <c r="Z1" s="16"/>
    </row>
    <row r="2">
      <c r="A2" s="16" t="str">
        <f>IFERROR(__xludf.DUMMYFUNCTION("""COMPUTED_VALUE"""),"""mittenz""")</f>
        <v>"mittenz"</v>
      </c>
      <c r="B2" s="16" t="str">
        <f>IFERROR(__xludf.DUMMYFUNCTION("""COMPUTED_VALUE"""),"Guardian of Nature's Balance")</f>
        <v>Guardian of Nature's Balance</v>
      </c>
      <c r="C2" s="16" t="str">
        <f>IFERROR(__xludf.DUMMYFUNCTION("""COMPUTED_VALUE"""),"A protector of the natural world, this individual is recognized for their efforts in preserving ecosystems and ensuring the balance between civilization and nature. They are often seen as a steward of the environment.")</f>
        <v>A protector of the natural world, this individual is recognized for their efforts in preserving ecosystems and ensuring the balance between civilization and nature. They are often seen as a steward of the environment.</v>
      </c>
      <c r="D2" s="16" t="str">
        <f>IFERROR(__xludf.DUMMYFUNCTION("""COMPUTED_VALUE"""),"Good")</f>
        <v>Good</v>
      </c>
      <c r="E2" s="98">
        <f>IFERROR(__xludf.DUMMYFUNCTION("""COMPUTED_VALUE"""),0.0)</f>
        <v>0</v>
      </c>
      <c r="F2" s="16"/>
      <c r="G2" s="16"/>
      <c r="H2" s="16"/>
      <c r="I2" s="16"/>
      <c r="J2" s="16"/>
      <c r="K2" s="16"/>
      <c r="L2" s="16"/>
      <c r="M2" s="16"/>
      <c r="N2" s="16"/>
      <c r="O2" s="16"/>
      <c r="P2" s="16"/>
      <c r="Q2" s="16"/>
      <c r="R2" s="16"/>
      <c r="S2" s="16"/>
      <c r="T2" s="16"/>
      <c r="U2" s="16"/>
      <c r="V2" s="16"/>
      <c r="W2" s="16"/>
      <c r="X2" s="16"/>
      <c r="Y2" s="16"/>
      <c r="Z2" s="16"/>
    </row>
    <row r="3">
      <c r="A3" s="16" t="str">
        <f>IFERROR(__xludf.DUMMYFUNCTION("""COMPUTED_VALUE"""),"""Pedro Pascel""")</f>
        <v>"Pedro Pascel"</v>
      </c>
      <c r="B3" s="16" t="str">
        <f>IFERROR(__xludf.DUMMYFUNCTION("""COMPUTED_VALUE"""),"Bourgeoisie Home Owner")</f>
        <v>Bourgeoisie Home Owner</v>
      </c>
      <c r="C3" s="16" t="str">
        <f>IFERROR(__xludf.DUMMYFUNCTION("""COMPUTED_VALUE"""),"Bought a house or shop worth at least 1,000,000,000 Gilders")</f>
        <v>Bought a house or shop worth at least 1,000,000,000 Gilders</v>
      </c>
      <c r="D3" s="16" t="str">
        <f>IFERROR(__xludf.DUMMYFUNCTION("""COMPUTED_VALUE"""),"Good")</f>
        <v>Good</v>
      </c>
      <c r="E3" s="98">
        <f>IFERROR(__xludf.DUMMYFUNCTION("""COMPUTED_VALUE"""),0.0)</f>
        <v>0</v>
      </c>
      <c r="F3" s="16"/>
      <c r="G3" s="16"/>
      <c r="H3" s="16"/>
      <c r="I3" s="16"/>
      <c r="J3" s="16"/>
      <c r="K3" s="16"/>
      <c r="L3" s="16"/>
      <c r="M3" s="16"/>
      <c r="N3" s="16"/>
      <c r="O3" s="16"/>
      <c r="P3" s="16"/>
      <c r="Q3" s="16"/>
      <c r="R3" s="16"/>
      <c r="S3" s="16"/>
      <c r="T3" s="16"/>
      <c r="U3" s="16"/>
      <c r="V3" s="16"/>
      <c r="W3" s="16"/>
      <c r="X3" s="16"/>
      <c r="Y3" s="16"/>
      <c r="Z3" s="16"/>
    </row>
    <row r="4">
      <c r="A4" s="16" t="str">
        <f>IFERROR(__xludf.DUMMYFUNCTION("""COMPUTED_VALUE"""),"""Pedro Pascel""")</f>
        <v>"Pedro Pascel"</v>
      </c>
      <c r="B4" s="16" t="str">
        <f>IFERROR(__xludf.DUMMYFUNCTION("""COMPUTED_VALUE"""),"Detective Lanford's Gratitude")</f>
        <v>Detective Lanford's Gratitude</v>
      </c>
      <c r="C4" s="16" t="str">
        <f>IFERROR(__xludf.DUMMYFUNCTION("""COMPUTED_VALUE"""),"The city of Mekana recognizes your heroism and investigative skills, earning you respect and gratitude from its residents. Establish a rapport with Detective Lanford, who becomes a valuable contact for future adventures and investigations. He might provid"&amp;"e information, resources, or assistance in the future.")</f>
        <v>The city of Mekana recognizes your heroism and investigative skills, earning you respect and gratitude from its residents. Establish a rapport with Detective Lanford, who becomes a valuable contact for future adventures and investigations. He might provide information, resources, or assistance in the future.</v>
      </c>
      <c r="D4" s="16" t="str">
        <f>IFERROR(__xludf.DUMMYFUNCTION("""COMPUTED_VALUE"""),"Good")</f>
        <v>Good</v>
      </c>
      <c r="E4" s="98">
        <f>IFERROR(__xludf.DUMMYFUNCTION("""COMPUTED_VALUE"""),0.0)</f>
        <v>0</v>
      </c>
      <c r="F4" s="16" t="str">
        <f>IFERROR(__xludf.DUMMYFUNCTION("""COMPUTED_VALUE"""),"Mekana")</f>
        <v>Mekana</v>
      </c>
      <c r="G4" s="16" t="str">
        <f>IFERROR(__xludf.DUMMYFUNCTION("""COMPUTED_VALUE"""),"Detective Lanford")</f>
        <v>Detective Lanford</v>
      </c>
      <c r="H4" s="16"/>
      <c r="I4" s="16"/>
      <c r="J4" s="16"/>
      <c r="K4" s="16"/>
      <c r="L4" s="16"/>
      <c r="M4" s="16"/>
      <c r="N4" s="16"/>
      <c r="O4" s="16"/>
      <c r="P4" s="16"/>
      <c r="Q4" s="16"/>
      <c r="R4" s="16"/>
      <c r="S4" s="16"/>
      <c r="T4" s="16"/>
      <c r="U4" s="16"/>
      <c r="V4" s="16"/>
      <c r="W4" s="16"/>
      <c r="X4" s="16"/>
      <c r="Y4" s="16"/>
      <c r="Z4" s="16"/>
    </row>
    <row r="5">
      <c r="A5" s="16" t="str">
        <f>IFERROR(__xludf.DUMMYFUNCTION("""COMPUTED_VALUE"""),"""Mephistopheles""")</f>
        <v>"Mephistopheles"</v>
      </c>
      <c r="B5" s="16" t="str">
        <f>IFERROR(__xludf.DUMMYFUNCTION("""COMPUTED_VALUE"""),"Detective Lanford's Gratitude")</f>
        <v>Detective Lanford's Gratitude</v>
      </c>
      <c r="C5" s="16" t="str">
        <f>IFERROR(__xludf.DUMMYFUNCTION("""COMPUTED_VALUE"""),"The city of Mekana recognizes your heroism and investigative skills, earning you respect and gratitude from its residents. Establish a rapport with Detective Lanford, who becomes a valuable contact for future adventures and investigations. He might provid"&amp;"e information, resources, or assistance in the future.")</f>
        <v>The city of Mekana recognizes your heroism and investigative skills, earning you respect and gratitude from its residents. Establish a rapport with Detective Lanford, who becomes a valuable contact for future adventures and investigations. He might provide information, resources, or assistance in the future.</v>
      </c>
      <c r="D5" s="16" t="str">
        <f>IFERROR(__xludf.DUMMYFUNCTION("""COMPUTED_VALUE"""),"Good")</f>
        <v>Good</v>
      </c>
      <c r="E5" s="98">
        <f>IFERROR(__xludf.DUMMYFUNCTION("""COMPUTED_VALUE"""),0.0)</f>
        <v>0</v>
      </c>
      <c r="F5" s="16" t="str">
        <f>IFERROR(__xludf.DUMMYFUNCTION("""COMPUTED_VALUE"""),"Mekana")</f>
        <v>Mekana</v>
      </c>
      <c r="G5" s="16" t="str">
        <f>IFERROR(__xludf.DUMMYFUNCTION("""COMPUTED_VALUE"""),"Detective Lanford")</f>
        <v>Detective Lanford</v>
      </c>
      <c r="H5" s="16"/>
      <c r="I5" s="16"/>
      <c r="J5" s="16"/>
      <c r="K5" s="16"/>
      <c r="L5" s="16"/>
      <c r="M5" s="16"/>
      <c r="N5" s="16"/>
      <c r="O5" s="16"/>
      <c r="P5" s="16"/>
      <c r="Q5" s="16"/>
      <c r="R5" s="16"/>
      <c r="S5" s="16"/>
      <c r="T5" s="16"/>
      <c r="U5" s="16"/>
      <c r="V5" s="16"/>
      <c r="W5" s="16"/>
      <c r="X5" s="16"/>
      <c r="Y5" s="16"/>
      <c r="Z5" s="16"/>
    </row>
    <row r="6">
      <c r="A6" s="16" t="str">
        <f>IFERROR(__xludf.DUMMYFUNCTION("""COMPUTED_VALUE"""),"""Adriana""")</f>
        <v>"Adriana"</v>
      </c>
      <c r="B6" s="16" t="str">
        <f>IFERROR(__xludf.DUMMYFUNCTION("""COMPUTED_VALUE"""),"Detective Lanford's Gratitude")</f>
        <v>Detective Lanford's Gratitude</v>
      </c>
      <c r="C6" s="16" t="str">
        <f>IFERROR(__xludf.DUMMYFUNCTION("""COMPUTED_VALUE"""),"The city of Mekana recognizes your heroism and investigative skills, earning you respect and gratitude from its residents. Establish a rapport with Detective Lanford, who becomes a valuable contact for future adventures and investigations. He might provid"&amp;"e information, resources, or assistance in the future.")</f>
        <v>The city of Mekana recognizes your heroism and investigative skills, earning you respect and gratitude from its residents. Establish a rapport with Detective Lanford, who becomes a valuable contact for future adventures and investigations. He might provide information, resources, or assistance in the future.</v>
      </c>
      <c r="D6" s="16" t="str">
        <f>IFERROR(__xludf.DUMMYFUNCTION("""COMPUTED_VALUE"""),"Good")</f>
        <v>Good</v>
      </c>
      <c r="E6" s="98">
        <f>IFERROR(__xludf.DUMMYFUNCTION("""COMPUTED_VALUE"""),0.0)</f>
        <v>0</v>
      </c>
      <c r="F6" s="16" t="str">
        <f>IFERROR(__xludf.DUMMYFUNCTION("""COMPUTED_VALUE"""),"Mekana")</f>
        <v>Mekana</v>
      </c>
      <c r="G6" s="16" t="str">
        <f>IFERROR(__xludf.DUMMYFUNCTION("""COMPUTED_VALUE"""),"Detective Lanford")</f>
        <v>Detective Lanford</v>
      </c>
      <c r="H6" s="16"/>
      <c r="I6" s="16"/>
      <c r="J6" s="16"/>
      <c r="K6" s="16"/>
      <c r="L6" s="16"/>
      <c r="M6" s="16"/>
      <c r="N6" s="16"/>
      <c r="O6" s="16"/>
      <c r="P6" s="16"/>
      <c r="Q6" s="16"/>
      <c r="R6" s="16"/>
      <c r="S6" s="16"/>
      <c r="T6" s="16"/>
      <c r="U6" s="16"/>
      <c r="V6" s="16"/>
      <c r="W6" s="16"/>
      <c r="X6" s="16"/>
      <c r="Y6" s="16"/>
      <c r="Z6" s="16"/>
    </row>
    <row r="7">
      <c r="A7" s="16" t="str">
        <f>IFERROR(__xludf.DUMMYFUNCTION("""COMPUTED_VALUE"""),"""Dreadful Roger The lll""")</f>
        <v>"Dreadful Roger The lll"</v>
      </c>
      <c r="B7" s="16" t="str">
        <f>IFERROR(__xludf.DUMMYFUNCTION("""COMPUTED_VALUE"""),"Detective Lanford's Gratitude")</f>
        <v>Detective Lanford's Gratitude</v>
      </c>
      <c r="C7" s="16" t="str">
        <f>IFERROR(__xludf.DUMMYFUNCTION("""COMPUTED_VALUE"""),"The city of Mekana recognizes your heroism and investigative skills, earning you respect and gratitude from its residents. Establish a rapport with Detective Lanford, who becomes a valuable contact for future adventures and investigations. He might provid"&amp;"e information, resources, or assistance in the future.")</f>
        <v>The city of Mekana recognizes your heroism and investigative skills, earning you respect and gratitude from its residents. Establish a rapport with Detective Lanford, who becomes a valuable contact for future adventures and investigations. He might provide information, resources, or assistance in the future.</v>
      </c>
      <c r="D7" s="16" t="str">
        <f>IFERROR(__xludf.DUMMYFUNCTION("""COMPUTED_VALUE"""),"Good")</f>
        <v>Good</v>
      </c>
      <c r="E7" s="98">
        <f>IFERROR(__xludf.DUMMYFUNCTION("""COMPUTED_VALUE"""),0.0)</f>
        <v>0</v>
      </c>
      <c r="F7" s="16" t="str">
        <f>IFERROR(__xludf.DUMMYFUNCTION("""COMPUTED_VALUE"""),"Mekana")</f>
        <v>Mekana</v>
      </c>
      <c r="G7" s="16" t="str">
        <f>IFERROR(__xludf.DUMMYFUNCTION("""COMPUTED_VALUE"""),"Detective Lanford")</f>
        <v>Detective Lanford</v>
      </c>
      <c r="H7" s="16"/>
      <c r="I7" s="16"/>
      <c r="J7" s="16"/>
      <c r="K7" s="16"/>
      <c r="L7" s="16"/>
      <c r="M7" s="16"/>
      <c r="N7" s="16"/>
      <c r="O7" s="16"/>
      <c r="P7" s="16"/>
      <c r="Q7" s="16"/>
      <c r="R7" s="16"/>
      <c r="S7" s="16"/>
      <c r="T7" s="16"/>
      <c r="U7" s="16"/>
      <c r="V7" s="16"/>
      <c r="W7" s="16"/>
      <c r="X7" s="16"/>
      <c r="Y7" s="16"/>
      <c r="Z7" s="16"/>
    </row>
    <row r="8">
      <c r="A8" s="16" t="str">
        <f>IFERROR(__xludf.DUMMYFUNCTION("""COMPUTED_VALUE"""),"""Jinx II""")</f>
        <v>"Jinx II"</v>
      </c>
      <c r="B8" s="16" t="str">
        <f>IFERROR(__xludf.DUMMYFUNCTION("""COMPUTED_VALUE"""),"Dragonia's Gratitude")</f>
        <v>Dragonia's Gratitude</v>
      </c>
      <c r="C8" s="16" t="str">
        <f>IFERROR(__xludf.DUMMYFUNCTION("""COMPUTED_VALUE"""),"The people of Dragonia are immensely grateful for your efforts and may offer monetary rewards, gifts, or discounts on goods and services within the city.
25% off all shops in The Grand City of Dragonia.")</f>
        <v>The people of Dragonia are immensely grateful for your efforts and may offer monetary rewards, gifts, or discounts on goods and services within the city.
25% off all shops in The Grand City of Dragonia.</v>
      </c>
      <c r="D8" s="16" t="str">
        <f>IFERROR(__xludf.DUMMYFUNCTION("""COMPUTED_VALUE"""),"Good")</f>
        <v>Good</v>
      </c>
      <c r="E8" s="98">
        <f>IFERROR(__xludf.DUMMYFUNCTION("""COMPUTED_VALUE"""),0.0)</f>
        <v>0</v>
      </c>
      <c r="F8" s="16" t="str">
        <f>IFERROR(__xludf.DUMMYFUNCTION("""COMPUTED_VALUE"""),"The Grand City of Dragonia")</f>
        <v>The Grand City of Dragonia</v>
      </c>
      <c r="G8" s="16" t="str">
        <f>IFERROR(__xludf.DUMMYFUNCTION("""COMPUTED_VALUE"""),"The Grand City of Dragonia Council")</f>
        <v>The Grand City of Dragonia Council</v>
      </c>
      <c r="H8" s="16"/>
      <c r="I8" s="16"/>
      <c r="J8" s="16"/>
      <c r="K8" s="16"/>
      <c r="L8" s="16"/>
      <c r="M8" s="16"/>
      <c r="N8" s="16"/>
      <c r="O8" s="16"/>
      <c r="P8" s="16"/>
      <c r="Q8" s="16"/>
      <c r="R8" s="16"/>
      <c r="S8" s="16"/>
      <c r="T8" s="16"/>
      <c r="U8" s="16"/>
      <c r="V8" s="16"/>
      <c r="W8" s="16"/>
      <c r="X8" s="16"/>
      <c r="Y8" s="16"/>
      <c r="Z8" s="16"/>
    </row>
    <row r="9">
      <c r="A9" s="16" t="str">
        <f>IFERROR(__xludf.DUMMYFUNCTION("""COMPUTED_VALUE"""),"""Guinevere Buchanon""")</f>
        <v>"Guinevere Buchanon"</v>
      </c>
      <c r="B9" s="16" t="str">
        <f>IFERROR(__xludf.DUMMYFUNCTION("""COMPUTED_VALUE"""),"Dragonia's Gratitude")</f>
        <v>Dragonia's Gratitude</v>
      </c>
      <c r="C9" s="16" t="str">
        <f>IFERROR(__xludf.DUMMYFUNCTION("""COMPUTED_VALUE"""),"The people of Dragonia are immensely grateful for your efforts and may offer monetary rewards, gifts, or discounts on goods and services within the city.
25% off all shops in The Grand City of Dragonia.")</f>
        <v>The people of Dragonia are immensely grateful for your efforts and may offer monetary rewards, gifts, or discounts on goods and services within the city.
25% off all shops in The Grand City of Dragonia.</v>
      </c>
      <c r="D9" s="16" t="str">
        <f>IFERROR(__xludf.DUMMYFUNCTION("""COMPUTED_VALUE"""),"Good")</f>
        <v>Good</v>
      </c>
      <c r="E9" s="98">
        <f>IFERROR(__xludf.DUMMYFUNCTION("""COMPUTED_VALUE"""),0.0)</f>
        <v>0</v>
      </c>
      <c r="F9" s="16" t="str">
        <f>IFERROR(__xludf.DUMMYFUNCTION("""COMPUTED_VALUE"""),"The Grand City of Dragonia")</f>
        <v>The Grand City of Dragonia</v>
      </c>
      <c r="G9" s="16" t="str">
        <f>IFERROR(__xludf.DUMMYFUNCTION("""COMPUTED_VALUE"""),"The Grand City of Dragonia Council")</f>
        <v>The Grand City of Dragonia Council</v>
      </c>
      <c r="H9" s="16"/>
      <c r="I9" s="16"/>
      <c r="J9" s="16"/>
      <c r="K9" s="16"/>
      <c r="L9" s="16"/>
      <c r="M9" s="16"/>
      <c r="N9" s="16"/>
      <c r="O9" s="16"/>
      <c r="P9" s="16"/>
      <c r="Q9" s="16"/>
      <c r="R9" s="16"/>
      <c r="S9" s="16"/>
      <c r="T9" s="16"/>
      <c r="U9" s="16"/>
      <c r="V9" s="16"/>
      <c r="W9" s="16"/>
      <c r="X9" s="16"/>
      <c r="Y9" s="16"/>
      <c r="Z9" s="16"/>
    </row>
    <row r="10">
      <c r="A10" s="16" t="str">
        <f>IFERROR(__xludf.DUMMYFUNCTION("""COMPUTED_VALUE"""),"""Dreadful Roger The lll""")</f>
        <v>"Dreadful Roger The lll"</v>
      </c>
      <c r="B10" s="16" t="str">
        <f>IFERROR(__xludf.DUMMYFUNCTION("""COMPUTED_VALUE"""),"Dragonia's Gratitude")</f>
        <v>Dragonia's Gratitude</v>
      </c>
      <c r="C10" s="16" t="str">
        <f>IFERROR(__xludf.DUMMYFUNCTION("""COMPUTED_VALUE"""),"The people of Dragonia are immensely grateful for your efforts and may offer monetary rewards, gifts, or discounts on goods and services within the city.
25% off all shops in The Grand City of Dragonia.")</f>
        <v>The people of Dragonia are immensely grateful for your efforts and may offer monetary rewards, gifts, or discounts on goods and services within the city.
25% off all shops in The Grand City of Dragonia.</v>
      </c>
      <c r="D10" s="16" t="str">
        <f>IFERROR(__xludf.DUMMYFUNCTION("""COMPUTED_VALUE"""),"Good")</f>
        <v>Good</v>
      </c>
      <c r="E10" s="98">
        <f>IFERROR(__xludf.DUMMYFUNCTION("""COMPUTED_VALUE"""),0.0)</f>
        <v>0</v>
      </c>
      <c r="F10" s="16" t="str">
        <f>IFERROR(__xludf.DUMMYFUNCTION("""COMPUTED_VALUE"""),"The Grand City of Dragonia")</f>
        <v>The Grand City of Dragonia</v>
      </c>
      <c r="G10" s="16" t="str">
        <f>IFERROR(__xludf.DUMMYFUNCTION("""COMPUTED_VALUE"""),"The Grand City of Dragonia Council")</f>
        <v>The Grand City of Dragonia Council</v>
      </c>
      <c r="H10" s="16"/>
      <c r="I10" s="16"/>
      <c r="J10" s="16"/>
      <c r="K10" s="16"/>
      <c r="L10" s="16"/>
      <c r="M10" s="16"/>
      <c r="N10" s="16"/>
      <c r="O10" s="16"/>
      <c r="P10" s="16"/>
      <c r="Q10" s="16"/>
      <c r="R10" s="16"/>
      <c r="S10" s="16"/>
      <c r="T10" s="16"/>
      <c r="U10" s="16"/>
      <c r="V10" s="16"/>
      <c r="W10" s="16"/>
      <c r="X10" s="16"/>
      <c r="Y10" s="16"/>
      <c r="Z10" s="16"/>
    </row>
    <row r="11">
      <c r="A11" s="16"/>
      <c r="B11" s="16"/>
      <c r="C11" s="16"/>
      <c r="D11" s="16"/>
      <c r="E11" s="98"/>
      <c r="F11" s="16"/>
      <c r="G11" s="16"/>
      <c r="H11" s="16"/>
      <c r="I11" s="16"/>
      <c r="J11" s="16"/>
      <c r="K11" s="16"/>
      <c r="L11" s="16"/>
      <c r="M11" s="16"/>
      <c r="N11" s="16"/>
      <c r="O11" s="16"/>
      <c r="P11" s="16"/>
      <c r="Q11" s="16"/>
      <c r="R11" s="16"/>
      <c r="S11" s="16"/>
      <c r="T11" s="16"/>
      <c r="U11" s="16"/>
      <c r="V11" s="16"/>
      <c r="W11" s="16"/>
      <c r="X11" s="16"/>
      <c r="Y11" s="16"/>
      <c r="Z11" s="16"/>
    </row>
    <row r="12">
      <c r="A12" s="16"/>
      <c r="B12" s="16"/>
      <c r="C12" s="16"/>
      <c r="D12" s="16"/>
      <c r="E12" s="98"/>
      <c r="F12" s="16"/>
      <c r="G12" s="16"/>
      <c r="H12" s="16"/>
      <c r="I12" s="16"/>
      <c r="J12" s="16"/>
      <c r="K12" s="16"/>
      <c r="L12" s="16"/>
      <c r="M12" s="16"/>
      <c r="N12" s="16"/>
      <c r="O12" s="16"/>
      <c r="P12" s="16"/>
      <c r="Q12" s="16"/>
      <c r="R12" s="16"/>
      <c r="S12" s="16"/>
      <c r="T12" s="16"/>
      <c r="U12" s="16"/>
      <c r="V12" s="16"/>
      <c r="W12" s="16"/>
      <c r="X12" s="16"/>
      <c r="Y12" s="16"/>
      <c r="Z12" s="16"/>
    </row>
    <row r="13">
      <c r="A13" s="16"/>
      <c r="B13" s="16"/>
      <c r="C13" s="16"/>
      <c r="D13" s="16"/>
      <c r="E13" s="98"/>
      <c r="F13" s="16"/>
      <c r="G13" s="16"/>
      <c r="H13" s="16"/>
      <c r="I13" s="16"/>
      <c r="J13" s="16"/>
      <c r="K13" s="16"/>
      <c r="L13" s="16"/>
      <c r="M13" s="16"/>
      <c r="N13" s="16"/>
      <c r="O13" s="16"/>
      <c r="P13" s="16"/>
      <c r="Q13" s="16"/>
      <c r="R13" s="16"/>
      <c r="S13" s="16"/>
      <c r="T13" s="16"/>
      <c r="U13" s="16"/>
      <c r="V13" s="16"/>
      <c r="W13" s="16"/>
      <c r="X13" s="16"/>
      <c r="Y13" s="16"/>
      <c r="Z13" s="16"/>
    </row>
    <row r="14">
      <c r="A14" s="16"/>
      <c r="B14" s="16"/>
      <c r="C14" s="16"/>
      <c r="D14" s="16"/>
      <c r="E14" s="98"/>
      <c r="F14" s="16"/>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98"/>
      <c r="F15" s="16"/>
      <c r="G15" s="16"/>
      <c r="H15" s="16"/>
      <c r="I15" s="16"/>
      <c r="J15" s="16"/>
      <c r="K15" s="16"/>
      <c r="L15" s="16"/>
      <c r="M15" s="16"/>
      <c r="N15" s="16"/>
      <c r="O15" s="16"/>
      <c r="P15" s="16"/>
      <c r="Q15" s="16"/>
      <c r="R15" s="16"/>
      <c r="S15" s="16"/>
      <c r="T15" s="16"/>
      <c r="U15" s="16"/>
      <c r="V15" s="16"/>
      <c r="W15" s="16"/>
      <c r="X15" s="16"/>
      <c r="Y15" s="16"/>
      <c r="Z15" s="16"/>
    </row>
    <row r="16">
      <c r="A16" s="16"/>
      <c r="B16" s="16"/>
      <c r="C16" s="16"/>
      <c r="D16" s="16"/>
      <c r="E16" s="98"/>
      <c r="F16" s="16"/>
      <c r="G16" s="16"/>
      <c r="H16" s="16"/>
      <c r="I16" s="16"/>
      <c r="J16" s="16"/>
      <c r="K16" s="16"/>
      <c r="L16" s="16"/>
      <c r="M16" s="16"/>
      <c r="N16" s="16"/>
      <c r="O16" s="16"/>
      <c r="P16" s="16"/>
      <c r="Q16" s="16"/>
      <c r="R16" s="16"/>
      <c r="S16" s="16"/>
      <c r="T16" s="16"/>
      <c r="U16" s="16"/>
      <c r="V16" s="16"/>
      <c r="W16" s="16"/>
      <c r="X16" s="16"/>
      <c r="Y16" s="16"/>
      <c r="Z16" s="16"/>
    </row>
    <row r="17">
      <c r="A17" s="16"/>
      <c r="B17" s="16"/>
      <c r="C17" s="16"/>
      <c r="D17" s="16"/>
      <c r="E17" s="98"/>
      <c r="F17" s="16"/>
      <c r="G17" s="16"/>
      <c r="H17" s="16"/>
      <c r="I17" s="16"/>
      <c r="J17" s="16"/>
      <c r="K17" s="16"/>
      <c r="L17" s="16"/>
      <c r="M17" s="16"/>
      <c r="N17" s="16"/>
      <c r="O17" s="16"/>
      <c r="P17" s="16"/>
      <c r="Q17" s="16"/>
      <c r="R17" s="16"/>
      <c r="S17" s="16"/>
      <c r="T17" s="16"/>
      <c r="U17" s="16"/>
      <c r="V17" s="16"/>
      <c r="W17" s="16"/>
      <c r="X17" s="16"/>
      <c r="Y17" s="16"/>
      <c r="Z17" s="16"/>
    </row>
    <row r="18">
      <c r="A18" s="16"/>
      <c r="B18" s="16"/>
      <c r="C18" s="16"/>
      <c r="D18" s="16"/>
      <c r="E18" s="98"/>
      <c r="F18" s="16"/>
      <c r="G18" s="16"/>
      <c r="H18" s="16"/>
      <c r="I18" s="16"/>
      <c r="J18" s="16"/>
      <c r="K18" s="16"/>
      <c r="L18" s="16"/>
      <c r="M18" s="16"/>
      <c r="N18" s="16"/>
      <c r="O18" s="16"/>
      <c r="P18" s="16"/>
      <c r="Q18" s="16"/>
      <c r="R18" s="16"/>
      <c r="S18" s="16"/>
      <c r="T18" s="16"/>
      <c r="U18" s="16"/>
      <c r="V18" s="16"/>
      <c r="W18" s="16"/>
      <c r="X18" s="16"/>
      <c r="Y18" s="16"/>
      <c r="Z18" s="16"/>
    </row>
    <row r="19">
      <c r="A19" s="16"/>
      <c r="B19" s="16"/>
      <c r="C19" s="16"/>
      <c r="D19" s="16"/>
      <c r="E19" s="98"/>
      <c r="F19" s="16"/>
      <c r="G19" s="16"/>
      <c r="H19" s="16"/>
      <c r="I19" s="16"/>
      <c r="J19" s="16"/>
      <c r="K19" s="16"/>
      <c r="L19" s="16"/>
      <c r="M19" s="16"/>
      <c r="N19" s="16"/>
      <c r="O19" s="16"/>
      <c r="P19" s="16"/>
      <c r="Q19" s="16"/>
      <c r="R19" s="16"/>
      <c r="S19" s="16"/>
      <c r="T19" s="16"/>
      <c r="U19" s="16"/>
      <c r="V19" s="16"/>
      <c r="W19" s="16"/>
      <c r="X19" s="16"/>
      <c r="Y19" s="16"/>
      <c r="Z19" s="16"/>
    </row>
    <row r="20">
      <c r="A20" s="16"/>
      <c r="B20" s="16"/>
      <c r="C20" s="16"/>
      <c r="D20" s="16"/>
      <c r="E20" s="98"/>
      <c r="F20" s="16"/>
      <c r="G20" s="16"/>
      <c r="H20" s="16"/>
      <c r="I20" s="16"/>
      <c r="J20" s="16"/>
      <c r="K20" s="16"/>
      <c r="L20" s="16"/>
      <c r="M20" s="16"/>
      <c r="N20" s="16"/>
      <c r="O20" s="16"/>
      <c r="P20" s="16"/>
      <c r="Q20" s="16"/>
      <c r="R20" s="16"/>
      <c r="S20" s="16"/>
      <c r="T20" s="16"/>
      <c r="U20" s="16"/>
      <c r="V20" s="16"/>
      <c r="W20" s="16"/>
      <c r="X20" s="16"/>
      <c r="Y20" s="16"/>
      <c r="Z20" s="16"/>
    </row>
    <row r="21">
      <c r="A21" s="16"/>
      <c r="B21" s="16"/>
      <c r="C21" s="16"/>
      <c r="D21" s="16"/>
      <c r="E21" s="98"/>
      <c r="F21" s="16"/>
      <c r="G21" s="16"/>
      <c r="H21" s="16"/>
      <c r="I21" s="16"/>
      <c r="J21" s="16"/>
      <c r="K21" s="16"/>
      <c r="L21" s="16"/>
      <c r="M21" s="16"/>
      <c r="N21" s="16"/>
      <c r="O21" s="16"/>
      <c r="P21" s="16"/>
      <c r="Q21" s="16"/>
      <c r="R21" s="16"/>
      <c r="S21" s="16"/>
      <c r="T21" s="16"/>
      <c r="U21" s="16"/>
      <c r="V21" s="16"/>
      <c r="W21" s="16"/>
      <c r="X21" s="16"/>
      <c r="Y21" s="16"/>
      <c r="Z21" s="16"/>
    </row>
    <row r="22">
      <c r="A22" s="16"/>
      <c r="B22" s="16"/>
      <c r="C22" s="16"/>
      <c r="D22" s="16"/>
      <c r="E22" s="98"/>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98"/>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98"/>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98"/>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98"/>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98"/>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98"/>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98"/>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98"/>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98"/>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98"/>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98"/>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98"/>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98"/>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98"/>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98"/>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98"/>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98"/>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98"/>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98"/>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98"/>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98"/>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98"/>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98"/>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98"/>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98"/>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98"/>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98"/>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98"/>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98"/>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98"/>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98"/>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98"/>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98"/>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98"/>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98"/>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98"/>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98"/>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98"/>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98"/>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98"/>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98"/>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98"/>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98"/>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98"/>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98"/>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98"/>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98"/>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98"/>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98"/>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98"/>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98"/>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98"/>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98"/>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98"/>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98"/>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98"/>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98"/>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98"/>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98"/>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98"/>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98"/>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98"/>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98"/>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98"/>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98"/>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98"/>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98"/>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98"/>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98"/>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98"/>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98"/>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98"/>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98"/>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98"/>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98"/>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98"/>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98"/>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98"/>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98"/>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98"/>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98"/>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98"/>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98"/>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98"/>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98"/>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98"/>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98"/>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98"/>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98"/>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98"/>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98"/>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98"/>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98"/>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98"/>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98"/>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98"/>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98"/>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98"/>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98"/>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98"/>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98"/>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98"/>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98"/>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98"/>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98"/>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98"/>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98"/>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98"/>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98"/>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98"/>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98"/>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98"/>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98"/>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98"/>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98"/>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98"/>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98"/>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98"/>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98"/>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98"/>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98"/>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98"/>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98"/>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98"/>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98"/>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98"/>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98"/>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98"/>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98"/>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98"/>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98"/>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98"/>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98"/>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98"/>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98"/>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98"/>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98"/>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98"/>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98"/>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98"/>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98"/>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98"/>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98"/>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98"/>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98"/>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98"/>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98"/>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98"/>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98"/>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98"/>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98"/>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98"/>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98"/>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98"/>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98"/>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98"/>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98"/>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98"/>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98"/>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98"/>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98"/>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98"/>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98"/>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98"/>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98"/>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98"/>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98"/>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98"/>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98"/>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98"/>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98"/>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98"/>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98"/>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98"/>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98"/>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98"/>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98"/>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98"/>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98"/>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98"/>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98"/>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98"/>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98"/>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98"/>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98"/>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98"/>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98"/>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98"/>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98"/>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98"/>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98"/>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98"/>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98"/>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98"/>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98"/>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98"/>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98"/>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98"/>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98"/>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98"/>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98"/>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98"/>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98"/>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98"/>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98"/>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98"/>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98"/>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98"/>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98"/>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98"/>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98"/>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98"/>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98"/>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98"/>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98"/>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98"/>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98"/>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98"/>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98"/>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98"/>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98"/>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98"/>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98"/>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98"/>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98"/>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98"/>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98"/>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98"/>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98"/>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98"/>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98"/>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98"/>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98"/>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98"/>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98"/>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98"/>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98"/>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98"/>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98"/>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98"/>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98"/>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98"/>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98"/>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98"/>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98"/>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98"/>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98"/>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98"/>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98"/>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98"/>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98"/>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98"/>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98"/>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98"/>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98"/>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98"/>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98"/>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98"/>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98"/>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98"/>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98"/>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98"/>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98"/>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98"/>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98"/>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98"/>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98"/>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98"/>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98"/>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98"/>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98"/>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98"/>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98"/>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98"/>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98"/>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98"/>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98"/>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98"/>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98"/>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98"/>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98"/>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98"/>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98"/>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98"/>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98"/>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98"/>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98"/>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98"/>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98"/>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98"/>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98"/>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98"/>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98"/>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98"/>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98"/>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98"/>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98"/>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98"/>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98"/>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98"/>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98"/>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98"/>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98"/>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98"/>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98"/>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98"/>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98"/>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98"/>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98"/>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98"/>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98"/>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98"/>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98"/>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98"/>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98"/>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98"/>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98"/>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98"/>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98"/>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98"/>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98"/>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98"/>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98"/>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98"/>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98"/>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98"/>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98"/>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98"/>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98"/>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98"/>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98"/>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98"/>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98"/>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98"/>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98"/>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98"/>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98"/>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98"/>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98"/>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98"/>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98"/>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98"/>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98"/>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98"/>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98"/>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98"/>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98"/>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98"/>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98"/>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98"/>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98"/>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98"/>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98"/>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98"/>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98"/>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98"/>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98"/>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98"/>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98"/>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98"/>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98"/>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98"/>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98"/>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98"/>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98"/>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98"/>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98"/>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98"/>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98"/>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98"/>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98"/>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98"/>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98"/>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98"/>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98"/>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98"/>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98"/>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98"/>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98"/>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98"/>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98"/>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98"/>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98"/>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98"/>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98"/>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98"/>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98"/>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98"/>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98"/>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98"/>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98"/>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98"/>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98"/>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98"/>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98"/>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98"/>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98"/>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98"/>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98"/>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98"/>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98"/>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98"/>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98"/>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98"/>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98"/>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98"/>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98"/>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98"/>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98"/>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98"/>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98"/>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98"/>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98"/>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98"/>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98"/>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98"/>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98"/>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98"/>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98"/>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98"/>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98"/>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98"/>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98"/>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98"/>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98"/>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98"/>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98"/>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98"/>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98"/>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98"/>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98"/>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98"/>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98"/>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98"/>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98"/>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98"/>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98"/>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98"/>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98"/>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98"/>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98"/>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98"/>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98"/>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98"/>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98"/>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98"/>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98"/>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98"/>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98"/>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98"/>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98"/>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98"/>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98"/>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98"/>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98"/>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98"/>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98"/>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98"/>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98"/>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98"/>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98"/>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98"/>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98"/>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98"/>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98"/>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98"/>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98"/>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98"/>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98"/>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98"/>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98"/>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98"/>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98"/>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98"/>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98"/>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98"/>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98"/>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98"/>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98"/>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98"/>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98"/>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98"/>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98"/>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98"/>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98"/>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98"/>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98"/>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98"/>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98"/>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98"/>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98"/>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98"/>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98"/>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98"/>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98"/>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98"/>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98"/>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98"/>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98"/>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98"/>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98"/>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98"/>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98"/>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98"/>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98"/>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98"/>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98"/>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98"/>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98"/>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98"/>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98"/>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98"/>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98"/>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98"/>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98"/>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98"/>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98"/>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98"/>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98"/>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98"/>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98"/>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98"/>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98"/>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98"/>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98"/>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98"/>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98"/>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98"/>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98"/>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98"/>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98"/>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98"/>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98"/>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98"/>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98"/>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98"/>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98"/>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98"/>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98"/>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98"/>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98"/>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98"/>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98"/>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98"/>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98"/>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98"/>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98"/>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98"/>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98"/>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98"/>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98"/>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98"/>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98"/>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98"/>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98"/>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98"/>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98"/>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98"/>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98"/>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98"/>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98"/>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98"/>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98"/>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98"/>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98"/>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98"/>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98"/>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98"/>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98"/>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98"/>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98"/>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98"/>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98"/>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98"/>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98"/>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98"/>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98"/>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98"/>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98"/>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98"/>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98"/>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98"/>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98"/>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98"/>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98"/>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98"/>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98"/>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98"/>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98"/>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98"/>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98"/>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98"/>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98"/>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98"/>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98"/>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98"/>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98"/>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98"/>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98"/>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98"/>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98"/>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98"/>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98"/>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98"/>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98"/>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98"/>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98"/>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98"/>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98"/>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98"/>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98"/>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98"/>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98"/>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98"/>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98"/>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98"/>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98"/>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98"/>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98"/>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98"/>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98"/>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98"/>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98"/>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98"/>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98"/>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98"/>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98"/>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98"/>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98"/>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98"/>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98"/>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98"/>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98"/>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98"/>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98"/>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98"/>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98"/>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98"/>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98"/>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98"/>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98"/>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98"/>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98"/>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98"/>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98"/>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98"/>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98"/>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98"/>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98"/>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98"/>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98"/>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98"/>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98"/>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98"/>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98"/>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98"/>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98"/>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98"/>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98"/>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98"/>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98"/>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98"/>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98"/>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98"/>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98"/>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98"/>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98"/>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98"/>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98"/>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98"/>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98"/>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98"/>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98"/>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98"/>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98"/>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98"/>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98"/>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98"/>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98"/>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98"/>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98"/>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98"/>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98"/>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98"/>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98"/>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98"/>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98"/>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98"/>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98"/>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98"/>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98"/>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98"/>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98"/>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98"/>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98"/>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98"/>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98"/>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98"/>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98"/>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98"/>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98"/>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98"/>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98"/>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98"/>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98"/>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98"/>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98"/>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98"/>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98"/>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98"/>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98"/>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98"/>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98"/>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98"/>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98"/>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98"/>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98"/>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98"/>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98"/>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98"/>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98"/>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98"/>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98"/>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98"/>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98"/>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98"/>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98"/>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98"/>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98"/>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98"/>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98"/>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98"/>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98"/>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98"/>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98"/>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98"/>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98"/>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98"/>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98"/>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98"/>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98"/>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98"/>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98"/>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98"/>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98"/>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98"/>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98"/>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98"/>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98"/>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98"/>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98"/>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98"/>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98"/>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98"/>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98"/>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98"/>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98"/>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98"/>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98"/>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98"/>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98"/>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98"/>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98"/>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98"/>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98"/>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98"/>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98"/>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98"/>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98"/>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98"/>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98"/>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98"/>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98"/>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98"/>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98"/>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98"/>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98"/>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98"/>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98"/>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98"/>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98"/>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98"/>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98"/>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98"/>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98"/>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98"/>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98"/>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98"/>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98"/>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98"/>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98"/>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98"/>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98"/>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98"/>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98"/>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98"/>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98"/>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98"/>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98"/>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98"/>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98"/>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98"/>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98"/>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98"/>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98"/>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98"/>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98"/>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98"/>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98"/>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98"/>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98"/>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98"/>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98"/>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98"/>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98"/>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98"/>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98"/>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98"/>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98"/>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98"/>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98"/>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98"/>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98"/>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98"/>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98"/>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98"/>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98"/>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98"/>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98"/>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98"/>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98"/>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98"/>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98"/>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98"/>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98"/>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98"/>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98"/>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98"/>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98"/>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98"/>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98"/>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98"/>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98"/>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98"/>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98"/>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98"/>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98"/>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98"/>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98"/>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98"/>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98"/>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98"/>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98"/>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98"/>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98"/>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98"/>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98"/>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98"/>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98"/>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98"/>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98"/>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98"/>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98"/>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98"/>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98"/>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98"/>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98"/>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98"/>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98"/>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98"/>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98"/>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98"/>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98"/>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98"/>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98"/>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98"/>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98"/>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98"/>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98"/>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98"/>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98"/>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98"/>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98"/>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98"/>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98"/>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98"/>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98"/>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98"/>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98"/>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98"/>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98"/>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98"/>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98"/>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98"/>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98"/>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98"/>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98"/>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98"/>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98"/>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98"/>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98"/>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98"/>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98"/>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98"/>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98"/>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98"/>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98"/>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98"/>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98"/>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98"/>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98"/>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98"/>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98"/>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98"/>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98"/>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98"/>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98"/>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98"/>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98"/>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98"/>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98"/>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98"/>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98"/>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98"/>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98"/>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98"/>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98"/>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98"/>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98"/>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98"/>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98"/>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98"/>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98"/>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98"/>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98"/>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98"/>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98"/>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98"/>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98"/>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98"/>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98"/>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98"/>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98"/>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98"/>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98"/>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98"/>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98"/>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98"/>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98"/>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98"/>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98"/>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98"/>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98"/>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98"/>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98"/>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98"/>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98"/>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98"/>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98"/>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98"/>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98"/>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98"/>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98"/>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98"/>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98"/>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98"/>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98"/>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98"/>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98"/>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98"/>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98"/>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98"/>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98"/>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98"/>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98"/>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98"/>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98"/>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98"/>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5.75"/>
  </cols>
  <sheetData>
    <row r="1">
      <c r="A1" s="16" t="str">
        <f>IFERROR(__xludf.DUMMYFUNCTION("IMPORTRANGE(""https://docs.google.com/spreadsheets/d/""&amp;Config!B2,""Towns!$A:$AX"")"),"Name")</f>
        <v>Name</v>
      </c>
      <c r="B1" s="16" t="str">
        <f>IFERROR(__xludf.DUMMYFUNCTION("""COMPUTED_VALUE"""),"Description")</f>
        <v>Description</v>
      </c>
      <c r="C1" s="16" t="str">
        <f>IFERROR(__xludf.DUMMYFUNCTION("""COMPUTED_VALUE"""),"World")</f>
        <v>World</v>
      </c>
      <c r="D1" s="16" t="str">
        <f>IFERROR(__xludf.DUMMYFUNCTION("""COMPUTED_VALUE"""),"Link to Town Market/Bank")</f>
        <v>Link to Town Market/Bank</v>
      </c>
      <c r="E1" s="16" t="str">
        <f>IFERROR(__xludf.DUMMYFUNCTION("""COMPUTED_VALUE"""),"Bank Vault")</f>
        <v>Bank Vault</v>
      </c>
      <c r="F1" s="16" t="str">
        <f>IFERROR(__xludf.DUMMYFUNCTION("""COMPUTED_VALUE"""),"Bank Currency Type")</f>
        <v>Bank Currency Type</v>
      </c>
      <c r="G1" s="16"/>
      <c r="H1" s="16"/>
      <c r="I1" s="16"/>
      <c r="J1" s="16"/>
      <c r="K1" s="16"/>
      <c r="L1" s="16"/>
      <c r="M1" s="16"/>
      <c r="N1" s="16"/>
      <c r="O1" s="16"/>
      <c r="P1" s="16"/>
      <c r="Q1" s="16"/>
      <c r="R1" s="16"/>
      <c r="S1" s="16"/>
      <c r="T1" s="16"/>
      <c r="U1" s="16"/>
      <c r="V1" s="16"/>
      <c r="W1" s="16"/>
      <c r="X1" s="16"/>
      <c r="Y1" s="16"/>
      <c r="Z1" s="16"/>
    </row>
    <row r="2">
      <c r="A2" s="16" t="str">
        <f>IFERROR(__xludf.DUMMYFUNCTION("""COMPUTED_VALUE"""),"Blackhorn")</f>
        <v>Blackhorn</v>
      </c>
      <c r="B2" s="16" t="str">
        <f>IFERROR(__xludf.DUMMYFUNCTION("""COMPUTED_VALUE"""),"A city of undead protected by a ward that makes any non undead creature leave their body and become a soul if they pass through the ward. Once a soul you have a limited ammount of time to make your way back to your body before you get trapped in the city "&amp;"for eternity.")</f>
        <v>A city of undead protected by a ward that makes any non undead creature leave their body and become a soul if they pass through the ward. Once a soul you have a limited ammount of time to make your way back to your body before you get trapped in the city for eternity.</v>
      </c>
      <c r="C2" s="16" t="str">
        <f>IFERROR(__xludf.DUMMYFUNCTION("""COMPUTED_VALUE"""),"Land of Spira")</f>
        <v>Land of Spira</v>
      </c>
      <c r="D2" s="16"/>
      <c r="E2" s="98">
        <f>IFERROR(__xludf.DUMMYFUNCTION("""COMPUTED_VALUE"""),1.05E9)</f>
        <v>1050000000</v>
      </c>
      <c r="F2" s="16" t="str">
        <f>IFERROR(__xludf.DUMMYFUNCTION("""COMPUTED_VALUE"""),"Gilder")</f>
        <v>Gilder</v>
      </c>
      <c r="G2" s="16"/>
      <c r="H2" s="16"/>
      <c r="I2" s="16"/>
      <c r="J2" s="16"/>
      <c r="K2" s="16"/>
      <c r="L2" s="16"/>
      <c r="M2" s="16"/>
      <c r="N2" s="16"/>
      <c r="O2" s="16"/>
      <c r="P2" s="16"/>
      <c r="Q2" s="16"/>
      <c r="R2" s="16"/>
      <c r="S2" s="16"/>
      <c r="T2" s="16"/>
      <c r="U2" s="16"/>
      <c r="V2" s="16"/>
      <c r="W2" s="16"/>
      <c r="X2" s="16"/>
      <c r="Y2" s="16"/>
      <c r="Z2" s="16"/>
    </row>
    <row r="3">
      <c r="A3" s="16" t="str">
        <f>IFERROR(__xludf.DUMMYFUNCTION("""COMPUTED_VALUE"""),"Chaotic Seas")</f>
        <v>Chaotic Seas</v>
      </c>
      <c r="B3" s="16" t="str">
        <f>IFERROR(__xludf.DUMMYFUNCTION("""COMPUTED_VALUE"""),"A deadly patch of waters within the Land Of Spira that captains are feared to even travel near. Its said that you may be able to find a sacred tower lying within the Chaotic Seas if you are even able to survive its deadly current.")</f>
        <v>A deadly patch of waters within the Land Of Spira that captains are feared to even travel near. Its said that you may be able to find a sacred tower lying within the Chaotic Seas if you are even able to survive its deadly current.</v>
      </c>
      <c r="C3" s="16" t="str">
        <f>IFERROR(__xludf.DUMMYFUNCTION("""COMPUTED_VALUE"""),"Land of Spira")</f>
        <v>Land of Spira</v>
      </c>
      <c r="D3" s="16"/>
      <c r="E3" s="98">
        <f>IFERROR(__xludf.DUMMYFUNCTION("""COMPUTED_VALUE"""),1.0E9)</f>
        <v>1000000000</v>
      </c>
      <c r="F3" s="16" t="str">
        <f>IFERROR(__xludf.DUMMYFUNCTION("""COMPUTED_VALUE"""),"Gilder")</f>
        <v>Gilder</v>
      </c>
      <c r="G3" s="16"/>
      <c r="H3" s="16"/>
      <c r="I3" s="16"/>
      <c r="J3" s="16"/>
      <c r="K3" s="16"/>
      <c r="L3" s="16"/>
      <c r="M3" s="16"/>
      <c r="N3" s="16"/>
      <c r="O3" s="16"/>
      <c r="P3" s="16"/>
      <c r="Q3" s="16"/>
      <c r="R3" s="16"/>
      <c r="S3" s="16"/>
      <c r="T3" s="16"/>
      <c r="U3" s="16"/>
      <c r="V3" s="16"/>
      <c r="W3" s="16"/>
      <c r="X3" s="16"/>
      <c r="Y3" s="16"/>
      <c r="Z3" s="16"/>
    </row>
    <row r="4">
      <c r="A4" s="16" t="str">
        <f>IFERROR(__xludf.DUMMYFUNCTION("""COMPUTED_VALUE"""),"Civille")</f>
        <v>Civille</v>
      </c>
      <c r="B4" s="16" t="str">
        <f>IFERROR(__xludf.DUMMYFUNCTION("""COMPUTED_VALUE"""),"One of the oldest and most popular cities of spira famous for the amount of people that travel in and out of the city.")</f>
        <v>One of the oldest and most popular cities of spira famous for the amount of people that travel in and out of the city.</v>
      </c>
      <c r="C4" s="16" t="str">
        <f>IFERROR(__xludf.DUMMYFUNCTION("""COMPUTED_VALUE"""),"Land of Spira")</f>
        <v>Land of Spira</v>
      </c>
      <c r="D4" s="16"/>
      <c r="E4" s="98">
        <f>IFERROR(__xludf.DUMMYFUNCTION("""COMPUTED_VALUE"""),1.00401E9)</f>
        <v>1004010000</v>
      </c>
      <c r="F4" s="16" t="str">
        <f>IFERROR(__xludf.DUMMYFUNCTION("""COMPUTED_VALUE"""),"Gilder")</f>
        <v>Gilder</v>
      </c>
      <c r="G4" s="16"/>
      <c r="H4" s="16"/>
      <c r="I4" s="16"/>
      <c r="J4" s="16"/>
      <c r="K4" s="16"/>
      <c r="L4" s="16"/>
      <c r="M4" s="16"/>
      <c r="N4" s="16"/>
      <c r="O4" s="16"/>
      <c r="P4" s="16"/>
      <c r="Q4" s="16"/>
      <c r="R4" s="16"/>
      <c r="S4" s="16"/>
      <c r="T4" s="16"/>
      <c r="U4" s="16"/>
      <c r="V4" s="16"/>
      <c r="W4" s="16"/>
      <c r="X4" s="16"/>
      <c r="Y4" s="16"/>
      <c r="Z4" s="16"/>
    </row>
    <row r="5">
      <c r="A5" s="16" t="str">
        <f>IFERROR(__xludf.DUMMYFUNCTION("""COMPUTED_VALUE"""),"Crystal Cave")</f>
        <v>Crystal Cave</v>
      </c>
      <c r="B5" s="16" t="str">
        <f>IFERROR(__xludf.DUMMYFUNCTION("""COMPUTED_VALUE"""),"A cavern city made of gemstones and mostly crystals. Home to The Crystal King and undead Citizens.")</f>
        <v>A cavern city made of gemstones and mostly crystals. Home to The Crystal King and undead Citizens.</v>
      </c>
      <c r="C5" s="16" t="str">
        <f>IFERROR(__xludf.DUMMYFUNCTION("""COMPUTED_VALUE"""),"Land of Spira")</f>
        <v>Land of Spira</v>
      </c>
      <c r="D5" s="16"/>
      <c r="E5" s="98">
        <f>IFERROR(__xludf.DUMMYFUNCTION("""COMPUTED_VALUE"""),1.0E9)</f>
        <v>1000000000</v>
      </c>
      <c r="F5" s="16" t="str">
        <f>IFERROR(__xludf.DUMMYFUNCTION("""COMPUTED_VALUE"""),"Gilder")</f>
        <v>Gilder</v>
      </c>
      <c r="G5" s="16"/>
      <c r="H5" s="16"/>
      <c r="I5" s="16"/>
      <c r="J5" s="16"/>
      <c r="K5" s="16"/>
      <c r="L5" s="16"/>
      <c r="M5" s="16"/>
      <c r="N5" s="16"/>
      <c r="O5" s="16"/>
      <c r="P5" s="16"/>
      <c r="Q5" s="16"/>
      <c r="R5" s="16"/>
      <c r="S5" s="16"/>
      <c r="T5" s="16"/>
      <c r="U5" s="16"/>
      <c r="V5" s="16"/>
      <c r="W5" s="16"/>
      <c r="X5" s="16"/>
      <c r="Y5" s="16"/>
      <c r="Z5" s="16"/>
    </row>
    <row r="6">
      <c r="A6" s="16" t="str">
        <f>IFERROR(__xludf.DUMMYFUNCTION("""COMPUTED_VALUE"""),"Cursed Iceland")</f>
        <v>Cursed Iceland</v>
      </c>
      <c r="B6" s="16" t="str">
        <f>IFERROR(__xludf.DUMMYFUNCTION("""COMPUTED_VALUE"""),"A cursed area that is said to freeze you permanantly if you step on the wrong path of ice, 10% chance of permanant death.")</f>
        <v>A cursed area that is said to freeze you permanantly if you step on the wrong path of ice, 10% chance of permanant death.</v>
      </c>
      <c r="C6" s="16" t="str">
        <f>IFERROR(__xludf.DUMMYFUNCTION("""COMPUTED_VALUE"""),"Land of Spira")</f>
        <v>Land of Spira</v>
      </c>
      <c r="D6" s="16"/>
      <c r="E6" s="98">
        <f>IFERROR(__xludf.DUMMYFUNCTION("""COMPUTED_VALUE"""),1.0E9)</f>
        <v>1000000000</v>
      </c>
      <c r="F6" s="16" t="str">
        <f>IFERROR(__xludf.DUMMYFUNCTION("""COMPUTED_VALUE"""),"Gilder")</f>
        <v>Gilder</v>
      </c>
      <c r="G6" s="16"/>
      <c r="H6" s="16"/>
      <c r="I6" s="16"/>
      <c r="J6" s="16"/>
      <c r="K6" s="16"/>
      <c r="L6" s="16"/>
      <c r="M6" s="16"/>
      <c r="N6" s="16"/>
      <c r="O6" s="16"/>
      <c r="P6" s="16"/>
      <c r="Q6" s="16"/>
      <c r="R6" s="16"/>
      <c r="S6" s="16"/>
      <c r="T6" s="16"/>
      <c r="U6" s="16"/>
      <c r="V6" s="16"/>
      <c r="W6" s="16"/>
      <c r="X6" s="16"/>
      <c r="Y6" s="16"/>
      <c r="Z6" s="16"/>
    </row>
    <row r="7">
      <c r="A7" s="16" t="str">
        <f>IFERROR(__xludf.DUMMYFUNCTION("""COMPUTED_VALUE"""),"Dead Forest")</f>
        <v>Dead Forest</v>
      </c>
      <c r="B7" s="16" t="str">
        <f>IFERROR(__xludf.DUMMYFUNCTION("""COMPUTED_VALUE"""),"A forest of dead trees surrounded by undead and a hidden city beneath the forest.")</f>
        <v>A forest of dead trees surrounded by undead and a hidden city beneath the forest.</v>
      </c>
      <c r="C7" s="16" t="str">
        <f>IFERROR(__xludf.DUMMYFUNCTION("""COMPUTED_VALUE"""),"Land of Spira")</f>
        <v>Land of Spira</v>
      </c>
      <c r="D7" s="16"/>
      <c r="E7" s="98">
        <f>IFERROR(__xludf.DUMMYFUNCTION("""COMPUTED_VALUE"""),1.0E9)</f>
        <v>1000000000</v>
      </c>
      <c r="F7" s="16" t="str">
        <f>IFERROR(__xludf.DUMMYFUNCTION("""COMPUTED_VALUE"""),"Gilder")</f>
        <v>Gilder</v>
      </c>
      <c r="G7" s="16"/>
      <c r="H7" s="16"/>
      <c r="I7" s="16"/>
      <c r="J7" s="16"/>
      <c r="K7" s="16"/>
      <c r="L7" s="16"/>
      <c r="M7" s="16"/>
      <c r="N7" s="16"/>
      <c r="O7" s="16"/>
      <c r="P7" s="16"/>
      <c r="Q7" s="16"/>
      <c r="R7" s="16"/>
      <c r="S7" s="16"/>
      <c r="T7" s="16"/>
      <c r="U7" s="16"/>
      <c r="V7" s="16"/>
      <c r="W7" s="16"/>
      <c r="X7" s="16"/>
      <c r="Y7" s="16"/>
      <c r="Z7" s="16"/>
    </row>
    <row r="8">
      <c r="A8" s="16" t="str">
        <f>IFERROR(__xludf.DUMMYFUNCTION("""COMPUTED_VALUE"""),"Desert island")</f>
        <v>Desert island</v>
      </c>
      <c r="B8" s="16" t="str">
        <f>IFERROR(__xludf.DUMMYFUNCTION("""COMPUTED_VALUE"""),"Founded and Ruled by King Zorgod. A very powerful kingdom for its size that is protected by giant sand worms.")</f>
        <v>Founded and Ruled by King Zorgod. A very powerful kingdom for its size that is protected by giant sand worms.</v>
      </c>
      <c r="C8" s="16" t="str">
        <f>IFERROR(__xludf.DUMMYFUNCTION("""COMPUTED_VALUE"""),"Land of Spira")</f>
        <v>Land of Spira</v>
      </c>
      <c r="D8" s="16"/>
      <c r="E8" s="98">
        <f>IFERROR(__xludf.DUMMYFUNCTION("""COMPUTED_VALUE"""),1.0E9)</f>
        <v>1000000000</v>
      </c>
      <c r="F8" s="16" t="str">
        <f>IFERROR(__xludf.DUMMYFUNCTION("""COMPUTED_VALUE"""),"Gilder")</f>
        <v>Gilder</v>
      </c>
      <c r="G8" s="16"/>
      <c r="H8" s="16"/>
      <c r="I8" s="16"/>
      <c r="J8" s="16"/>
      <c r="K8" s="16"/>
      <c r="L8" s="16"/>
      <c r="M8" s="16"/>
      <c r="N8" s="16"/>
      <c r="O8" s="16"/>
      <c r="P8" s="16"/>
      <c r="Q8" s="16"/>
      <c r="R8" s="16"/>
      <c r="S8" s="16"/>
      <c r="T8" s="16"/>
      <c r="U8" s="16"/>
      <c r="V8" s="16"/>
      <c r="W8" s="16"/>
      <c r="X8" s="16"/>
      <c r="Y8" s="16"/>
      <c r="Z8" s="16"/>
    </row>
    <row r="9">
      <c r="A9" s="16" t="str">
        <f>IFERROR(__xludf.DUMMYFUNCTION("""COMPUTED_VALUE"""),"Docile Plains")</f>
        <v>Docile Plains</v>
      </c>
      <c r="B9" s="16" t="str">
        <f>IFERROR(__xludf.DUMMYFUNCTION("""COMPUTED_VALUE"""),"An area that is unknown by many, Whenever people have passed threw this area they have said it was calm and quiet and that nothing distubed them. When traveling threw this area a bad day of travel becomes good.")</f>
        <v>An area that is unknown by many, Whenever people have passed threw this area they have said it was calm and quiet and that nothing distubed them. When traveling threw this area a bad day of travel becomes good.</v>
      </c>
      <c r="C9" s="16" t="str">
        <f>IFERROR(__xludf.DUMMYFUNCTION("""COMPUTED_VALUE"""),"Land of Spira")</f>
        <v>Land of Spira</v>
      </c>
      <c r="D9" s="16"/>
      <c r="E9" s="98">
        <f>IFERROR(__xludf.DUMMYFUNCTION("""COMPUTED_VALUE"""),1.0E9)</f>
        <v>1000000000</v>
      </c>
      <c r="F9" s="16" t="str">
        <f>IFERROR(__xludf.DUMMYFUNCTION("""COMPUTED_VALUE"""),"Gilder")</f>
        <v>Gilder</v>
      </c>
      <c r="G9" s="16"/>
      <c r="H9" s="16"/>
      <c r="I9" s="16"/>
      <c r="J9" s="16"/>
      <c r="K9" s="16"/>
      <c r="L9" s="16"/>
      <c r="M9" s="16"/>
      <c r="N9" s="16"/>
      <c r="O9" s="16"/>
      <c r="P9" s="16"/>
      <c r="Q9" s="16"/>
      <c r="R9" s="16"/>
      <c r="S9" s="16"/>
      <c r="T9" s="16"/>
      <c r="U9" s="16"/>
      <c r="V9" s="16"/>
      <c r="W9" s="16"/>
      <c r="X9" s="16"/>
      <c r="Y9" s="16"/>
      <c r="Z9" s="16"/>
    </row>
    <row r="10">
      <c r="A10" s="16" t="str">
        <f>IFERROR(__xludf.DUMMYFUNCTION("""COMPUTED_VALUE"""),"Dryland Desert")</f>
        <v>Dryland Desert</v>
      </c>
      <c r="B10" s="16" t="str">
        <f>IFERROR(__xludf.DUMMYFUNCTION("""COMPUTED_VALUE"""),"The Largest Desert city located near the Dryland Messa known for its many markets and merchants in The Land Of Spira.")</f>
        <v>The Largest Desert city located near the Dryland Messa known for its many markets and merchants in The Land Of Spira.</v>
      </c>
      <c r="C10" s="16" t="str">
        <f>IFERROR(__xludf.DUMMYFUNCTION("""COMPUTED_VALUE"""),"Land of Spira")</f>
        <v>Land of Spira</v>
      </c>
      <c r="D10" s="16"/>
      <c r="E10" s="98">
        <f>IFERROR(__xludf.DUMMYFUNCTION("""COMPUTED_VALUE"""),1.0E9)</f>
        <v>1000000000</v>
      </c>
      <c r="F10" s="16" t="str">
        <f>IFERROR(__xludf.DUMMYFUNCTION("""COMPUTED_VALUE"""),"Gilder")</f>
        <v>Gilder</v>
      </c>
      <c r="G10" s="16"/>
      <c r="H10" s="16"/>
      <c r="I10" s="16"/>
      <c r="J10" s="16"/>
      <c r="K10" s="16"/>
      <c r="L10" s="16"/>
      <c r="M10" s="16"/>
      <c r="N10" s="16"/>
      <c r="O10" s="16"/>
      <c r="P10" s="16"/>
      <c r="Q10" s="16"/>
      <c r="R10" s="16"/>
      <c r="S10" s="16"/>
      <c r="T10" s="16"/>
      <c r="U10" s="16"/>
      <c r="V10" s="16"/>
      <c r="W10" s="16"/>
      <c r="X10" s="16"/>
      <c r="Y10" s="16"/>
      <c r="Z10" s="16"/>
    </row>
    <row r="11">
      <c r="A11" s="16" t="str">
        <f>IFERROR(__xludf.DUMMYFUNCTION("""COMPUTED_VALUE"""),"Dryland Mesa")</f>
        <v>Dryland Mesa</v>
      </c>
      <c r="B11" s="16" t="str">
        <f>IFERROR(__xludf.DUMMYFUNCTION("""COMPUTED_VALUE"""),"Centuries ago, when portals between dimensions cracked open, explorers and pioneers from different corners of Spira found themselves drawn to a vast, arid plateau. The convergence of ley lines and magical currents in this region created an unstable but po"&amp;"tent magical nexus. This nexus not only attracted settlers but also infused the land with an otherworldly aura, turning it into a place where reality and magic coexist in intriguing ways.
The first inhabitants, led by a charismatic adventurer named Syl"&amp;"as Emberwind, were enchanted by the untapped potential of the magical energies emanating from the mesa. Sylas, a skilled mage with a love for exploration, recognized the opportunity to create a haven where magic-users and non-magic folk could coexist harm"&amp;"oniously. With the help of earth and fire magic, he shaped the terrain, conjuring structures from the very rocks of the mesa to establish Dryland Mesa.
The town flourished as a melting pot of cultures, attracting spellcasters and gunslingers alike. The"&amp;" magical aura of the mesa influenced the development of peculiar enchantments, such as levitating boardwalks and self-watering crops that sustained the community in the arid environment. In this mystical wild west, saloons coexisted with arcane academies,"&amp;" and the local sheriff might be just as skilled with a wand as with a six-shooter.
As the town prospered, so did the interest of magical scholars and explorers seeking to unlock the secrets of the unique magical convergence. However, the potent energie"&amp;"s also drew the attention of mystical creatures and nefarious entities from the outskirts of Spira. The settlers had to learn to defend themselves not only against bandits but also against magical anomalies and creatures that slipped through the magical r"&amp;"ifts.
In the present day, Dryland Mesa stands as a testament to the resilience of its inhabitants. The streets are a lively blend of enchantment and grit, where cowboys and sorcerers share tales over enchanted beverages in saloons that never close. The"&amp;" mesa's magical aura continues to attract both dreamers and those seeking the untapped mysteries of the magical wild west. The town remains a beacon of adventure and danger, a place where the line between the mundane and the magical is as thin as the swir"&amp;"ling dust on its enchanting streets.")</f>
        <v>Centuries ago, when portals between dimensions cracked open, explorers and pioneers from different corners of Spira found themselves drawn to a vast, arid plateau. The convergence of ley lines and magical currents in this region created an unstable but potent magical nexus. This nexus not only attracted settlers but also infused the land with an otherworldly aura, turning it into a place where reality and magic coexist in intriguing ways.
The first inhabitants, led by a charismatic adventurer named Sylas Emberwind, were enchanted by the untapped potential of the magical energies emanating from the mesa. Sylas, a skilled mage with a love for exploration, recognized the opportunity to create a haven where magic-users and non-magic folk could coexist harmoniously. With the help of earth and fire magic, he shaped the terrain, conjuring structures from the very rocks of the mesa to establish Dryland Mesa.
The town flourished as a melting pot of cultures, attracting spellcasters and gunslingers alike. The magical aura of the mesa influenced the development of peculiar enchantments, such as levitating boardwalks and self-watering crops that sustained the community in the arid environment. In this mystical wild west, saloons coexisted with arcane academies, and the local sheriff might be just as skilled with a wand as with a six-shooter.
As the town prospered, so did the interest of magical scholars and explorers seeking to unlock the secrets of the unique magical convergence. However, the potent energies also drew the attention of mystical creatures and nefarious entities from the outskirts of Spira. The settlers had to learn to defend themselves not only against bandits but also against magical anomalies and creatures that slipped through the magical rifts.
In the present day, Dryland Mesa stands as a testament to the resilience of its inhabitants. The streets are a lively blend of enchantment and grit, where cowboys and sorcerers share tales over enchanted beverages in saloons that never close. The mesa's magical aura continues to attract both dreamers and those seeking the untapped mysteries of the magical wild west. The town remains a beacon of adventure and danger, a place where the line between the mundane and the magical is as thin as the swirling dust on its enchanting streets.</v>
      </c>
      <c r="C11" s="16" t="str">
        <f>IFERROR(__xludf.DUMMYFUNCTION("""COMPUTED_VALUE"""),"Land of Spira")</f>
        <v>Land of Spira</v>
      </c>
      <c r="D11" s="16"/>
      <c r="E11" s="98">
        <f>IFERROR(__xludf.DUMMYFUNCTION("""COMPUTED_VALUE"""),1.0E9)</f>
        <v>1000000000</v>
      </c>
      <c r="F11" s="16" t="str">
        <f>IFERROR(__xludf.DUMMYFUNCTION("""COMPUTED_VALUE"""),"Gilder")</f>
        <v>Gilder</v>
      </c>
      <c r="G11" s="16"/>
      <c r="H11" s="16"/>
      <c r="I11" s="16"/>
      <c r="J11" s="16"/>
      <c r="K11" s="16"/>
      <c r="L11" s="16"/>
      <c r="M11" s="16"/>
      <c r="N11" s="16"/>
      <c r="O11" s="16"/>
      <c r="P11" s="16"/>
      <c r="Q11" s="16"/>
      <c r="R11" s="16"/>
      <c r="S11" s="16"/>
      <c r="T11" s="16"/>
      <c r="U11" s="16"/>
      <c r="V11" s="16"/>
      <c r="W11" s="16"/>
      <c r="X11" s="16"/>
      <c r="Y11" s="16"/>
      <c r="Z11" s="16"/>
    </row>
    <row r="12">
      <c r="A12" s="16" t="str">
        <f>IFERROR(__xludf.DUMMYFUNCTION("""COMPUTED_VALUE"""),"Fertile Plains")</f>
        <v>Fertile Plains</v>
      </c>
      <c r="B12" s="16" t="str">
        <f>IFERROR(__xludf.DUMMYFUNCTION("""COMPUTED_VALUE"""),"A long patch of land connected to Zhenmay where farmers grow crops to supply Zhenmay with fresh fruits and vegatables.")</f>
        <v>A long patch of land connected to Zhenmay where farmers grow crops to supply Zhenmay with fresh fruits and vegatables.</v>
      </c>
      <c r="C12" s="16" t="str">
        <f>IFERROR(__xludf.DUMMYFUNCTION("""COMPUTED_VALUE"""),"Land of Spira")</f>
        <v>Land of Spira</v>
      </c>
      <c r="D12" s="16"/>
      <c r="E12" s="98">
        <f>IFERROR(__xludf.DUMMYFUNCTION("""COMPUTED_VALUE"""),1.03E9)</f>
        <v>1030000000</v>
      </c>
      <c r="F12" s="16" t="str">
        <f>IFERROR(__xludf.DUMMYFUNCTION("""COMPUTED_VALUE"""),"Gilder")</f>
        <v>Gilder</v>
      </c>
      <c r="G12" s="16"/>
      <c r="H12" s="16"/>
      <c r="I12" s="16"/>
      <c r="J12" s="16"/>
      <c r="K12" s="16"/>
      <c r="L12" s="16"/>
      <c r="M12" s="16"/>
      <c r="N12" s="16"/>
      <c r="O12" s="16"/>
      <c r="P12" s="16"/>
      <c r="Q12" s="16"/>
      <c r="R12" s="16"/>
      <c r="S12" s="16"/>
      <c r="T12" s="16"/>
      <c r="U12" s="16"/>
      <c r="V12" s="16"/>
      <c r="W12" s="16"/>
      <c r="X12" s="16"/>
      <c r="Y12" s="16"/>
      <c r="Z12" s="16"/>
    </row>
    <row r="13">
      <c r="A13" s="16" t="str">
        <f>IFERROR(__xludf.DUMMYFUNCTION("""COMPUTED_VALUE"""),"Fire Tiki Mountain")</f>
        <v>Fire Tiki Mountain</v>
      </c>
      <c r="B13" s="16" t="str">
        <f>IFERROR(__xludf.DUMMYFUNCTION("""COMPUTED_VALUE"""),"Fire Tiki Mountain is an active volcano which houses Fire Tiki Fortress. Natives say to never disturb the Fortress otherwise you will be cursed by the shamans that lie within it")</f>
        <v>Fire Tiki Mountain is an active volcano which houses Fire Tiki Fortress. Natives say to never disturb the Fortress otherwise you will be cursed by the shamans that lie within it</v>
      </c>
      <c r="C13" s="16" t="str">
        <f>IFERROR(__xludf.DUMMYFUNCTION("""COMPUTED_VALUE"""),"Land of Spira")</f>
        <v>Land of Spira</v>
      </c>
      <c r="D13" s="16"/>
      <c r="E13" s="98">
        <f>IFERROR(__xludf.DUMMYFUNCTION("""COMPUTED_VALUE"""),1.0E9)</f>
        <v>1000000000</v>
      </c>
      <c r="F13" s="16" t="str">
        <f>IFERROR(__xludf.DUMMYFUNCTION("""COMPUTED_VALUE"""),"Gilder")</f>
        <v>Gilder</v>
      </c>
      <c r="G13" s="16"/>
      <c r="H13" s="16"/>
      <c r="I13" s="16"/>
      <c r="J13" s="16"/>
      <c r="K13" s="16"/>
      <c r="L13" s="16"/>
      <c r="M13" s="16"/>
      <c r="N13" s="16"/>
      <c r="O13" s="16"/>
      <c r="P13" s="16"/>
      <c r="Q13" s="16"/>
      <c r="R13" s="16"/>
      <c r="S13" s="16"/>
      <c r="T13" s="16"/>
      <c r="U13" s="16"/>
      <c r="V13" s="16"/>
      <c r="W13" s="16"/>
      <c r="X13" s="16"/>
      <c r="Y13" s="16"/>
      <c r="Z13" s="16"/>
    </row>
    <row r="14">
      <c r="A14" s="16" t="str">
        <f>IFERROR(__xludf.DUMMYFUNCTION("""COMPUTED_VALUE"""),"Forest View")</f>
        <v>Forest View</v>
      </c>
      <c r="B14" s="16" t="str">
        <f>IFERROR(__xludf.DUMMYFUNCTION("""COMPUTED_VALUE"""),"A forest like city almost everyone wants to set on fire.")</f>
        <v>A forest like city almost everyone wants to set on fire.</v>
      </c>
      <c r="C14" s="16" t="str">
        <f>IFERROR(__xludf.DUMMYFUNCTION("""COMPUTED_VALUE"""),"Land of Spira")</f>
        <v>Land of Spira</v>
      </c>
      <c r="D14" s="16"/>
      <c r="E14" s="98">
        <f>IFERROR(__xludf.DUMMYFUNCTION("""COMPUTED_VALUE"""),1.0511E9)</f>
        <v>1051100000</v>
      </c>
      <c r="F14" s="16" t="str">
        <f>IFERROR(__xludf.DUMMYFUNCTION("""COMPUTED_VALUE"""),"Gilder")</f>
        <v>Gilder</v>
      </c>
      <c r="G14" s="16"/>
      <c r="H14" s="16"/>
      <c r="I14" s="16"/>
      <c r="J14" s="16"/>
      <c r="K14" s="16"/>
      <c r="L14" s="16"/>
      <c r="M14" s="16"/>
      <c r="N14" s="16"/>
      <c r="O14" s="16"/>
      <c r="P14" s="16"/>
      <c r="Q14" s="16"/>
      <c r="R14" s="16"/>
      <c r="S14" s="16"/>
      <c r="T14" s="16"/>
      <c r="U14" s="16"/>
      <c r="V14" s="16"/>
      <c r="W14" s="16"/>
      <c r="X14" s="16"/>
      <c r="Y14" s="16"/>
      <c r="Z14" s="16"/>
    </row>
    <row r="15">
      <c r="A15" s="16"/>
      <c r="B15" s="16"/>
      <c r="C15" s="16"/>
      <c r="D15" s="16"/>
      <c r="E15" s="16"/>
      <c r="F15" s="16" t="str">
        <f>IFERROR(__xludf.DUMMYFUNCTION("""COMPUTED_VALUE"""),"Gilder")</f>
        <v>Gilder</v>
      </c>
      <c r="G15" s="16"/>
      <c r="H15" s="16"/>
      <c r="I15" s="16"/>
      <c r="J15" s="16"/>
      <c r="K15" s="16"/>
      <c r="L15" s="16"/>
      <c r="M15" s="16"/>
      <c r="N15" s="16"/>
      <c r="O15" s="16"/>
      <c r="P15" s="16"/>
      <c r="Q15" s="16"/>
      <c r="R15" s="16"/>
      <c r="S15" s="16"/>
      <c r="T15" s="16"/>
      <c r="U15" s="16"/>
      <c r="V15" s="16"/>
      <c r="W15" s="16"/>
      <c r="X15" s="16"/>
      <c r="Y15" s="16"/>
      <c r="Z15" s="16"/>
    </row>
    <row r="16">
      <c r="A16" s="16" t="str">
        <f>IFERROR(__xludf.DUMMYFUNCTION("""COMPUTED_VALUE"""),"Foul Night Swamp")</f>
        <v>Foul Night Swamp</v>
      </c>
      <c r="B16" s="16" t="str">
        <f>IFERROR(__xludf.DUMMYFUNCTION("""COMPUTED_VALUE"""),"Boadreing Hallowtown, Wildwood, and Docile Plains, Is the Foul Night Swamp, Full of Darkness and Mystery.")</f>
        <v>Boadreing Hallowtown, Wildwood, and Docile Plains, Is the Foul Night Swamp, Full of Darkness and Mystery.</v>
      </c>
      <c r="C16" s="16" t="str">
        <f>IFERROR(__xludf.DUMMYFUNCTION("""COMPUTED_VALUE"""),"Land of Spira")</f>
        <v>Land of Spira</v>
      </c>
      <c r="D16" s="16"/>
      <c r="E16" s="98">
        <f>IFERROR(__xludf.DUMMYFUNCTION("""COMPUTED_VALUE"""),2.0235E9)</f>
        <v>2023500000</v>
      </c>
      <c r="F16" s="16" t="str">
        <f>IFERROR(__xludf.DUMMYFUNCTION("""COMPUTED_VALUE"""),"Gilder")</f>
        <v>Gilder</v>
      </c>
      <c r="G16" s="16"/>
      <c r="H16" s="16"/>
      <c r="I16" s="16"/>
      <c r="J16" s="16"/>
      <c r="K16" s="16"/>
      <c r="L16" s="16"/>
      <c r="M16" s="16"/>
      <c r="N16" s="16"/>
      <c r="O16" s="16"/>
      <c r="P16" s="16"/>
      <c r="Q16" s="16"/>
      <c r="R16" s="16"/>
      <c r="S16" s="16"/>
      <c r="T16" s="16"/>
      <c r="U16" s="16"/>
      <c r="V16" s="16"/>
      <c r="W16" s="16"/>
      <c r="X16" s="16"/>
      <c r="Y16" s="16"/>
      <c r="Z16" s="16"/>
    </row>
    <row r="17">
      <c r="A17" s="16" t="str">
        <f>IFERROR(__xludf.DUMMYFUNCTION("""COMPUTED_VALUE"""),"Northern Frozen Terrain")</f>
        <v>Northern Frozen Terrain</v>
      </c>
      <c r="B17" s="16" t="str">
        <f>IFERROR(__xludf.DUMMYFUNCTION("""COMPUTED_VALUE"""),"The Northern, Western, and Eastern frozen terrains were once seperate from The Land Of Spira, One day the Lord Of Spira went to the Northern frozen terrain with a treaty which was accepted by the king and queen of the frozen terrains to become one with th"&amp;"e land of spira.")</f>
        <v>The Northern, Western, and Eastern frozen terrains were once seperate from The Land Of Spira, One day the Lord Of Spira went to the Northern frozen terrain with a treaty which was accepted by the king and queen of the frozen terrains to become one with the land of spira.</v>
      </c>
      <c r="C17" s="16" t="str">
        <f>IFERROR(__xludf.DUMMYFUNCTION("""COMPUTED_VALUE"""),"Land of Spira")</f>
        <v>Land of Spira</v>
      </c>
      <c r="D17" s="16"/>
      <c r="E17" s="98">
        <f>IFERROR(__xludf.DUMMYFUNCTION("""COMPUTED_VALUE"""),1.0E9)</f>
        <v>1000000000</v>
      </c>
      <c r="F17" s="16" t="str">
        <f>IFERROR(__xludf.DUMMYFUNCTION("""COMPUTED_VALUE"""),"Gilder")</f>
        <v>Gilder</v>
      </c>
      <c r="G17" s="16"/>
      <c r="H17" s="16"/>
      <c r="I17" s="16"/>
      <c r="J17" s="16"/>
      <c r="K17" s="16"/>
      <c r="L17" s="16"/>
      <c r="M17" s="16"/>
      <c r="N17" s="16"/>
      <c r="O17" s="16"/>
      <c r="P17" s="16"/>
      <c r="Q17" s="16"/>
      <c r="R17" s="16"/>
      <c r="S17" s="16"/>
      <c r="T17" s="16"/>
      <c r="U17" s="16"/>
      <c r="V17" s="16"/>
      <c r="W17" s="16"/>
      <c r="X17" s="16"/>
      <c r="Y17" s="16"/>
      <c r="Z17" s="16"/>
    </row>
    <row r="18">
      <c r="A18" s="16" t="str">
        <f>IFERROR(__xludf.DUMMYFUNCTION("""COMPUTED_VALUE"""),"Eastern Frozen Terrain")</f>
        <v>Eastern Frozen Terrain</v>
      </c>
      <c r="B18" s="16" t="str">
        <f>IFERROR(__xludf.DUMMYFUNCTION("""COMPUTED_VALUE"""),"Ruled by The King and Queen of the Northern Frozen Terrain.")</f>
        <v>Ruled by The King and Queen of the Northern Frozen Terrain.</v>
      </c>
      <c r="C18" s="16" t="str">
        <f>IFERROR(__xludf.DUMMYFUNCTION("""COMPUTED_VALUE"""),"Land of Spira")</f>
        <v>Land of Spira</v>
      </c>
      <c r="D18" s="16"/>
      <c r="E18" s="98">
        <f>IFERROR(__xludf.DUMMYFUNCTION("""COMPUTED_VALUE"""),1.0E9)</f>
        <v>1000000000</v>
      </c>
      <c r="F18" s="16" t="str">
        <f>IFERROR(__xludf.DUMMYFUNCTION("""COMPUTED_VALUE"""),"Gilder")</f>
        <v>Gilder</v>
      </c>
      <c r="G18" s="16"/>
      <c r="H18" s="16"/>
      <c r="I18" s="16"/>
      <c r="J18" s="16"/>
      <c r="K18" s="16"/>
      <c r="L18" s="16"/>
      <c r="M18" s="16"/>
      <c r="N18" s="16"/>
      <c r="O18" s="16"/>
      <c r="P18" s="16"/>
      <c r="Q18" s="16"/>
      <c r="R18" s="16"/>
      <c r="S18" s="16"/>
      <c r="T18" s="16"/>
      <c r="U18" s="16"/>
      <c r="V18" s="16"/>
      <c r="W18" s="16"/>
      <c r="X18" s="16"/>
      <c r="Y18" s="16"/>
      <c r="Z18" s="16"/>
    </row>
    <row r="19">
      <c r="A19" s="16" t="str">
        <f>IFERROR(__xludf.DUMMYFUNCTION("""COMPUTED_VALUE"""),"Western Frozen Terrain")</f>
        <v>Western Frozen Terrain</v>
      </c>
      <c r="B19" s="16" t="str">
        <f>IFERROR(__xludf.DUMMYFUNCTION("""COMPUTED_VALUE"""),"Ruled by The King and Queen of the Northern Frozen Terrain.")</f>
        <v>Ruled by The King and Queen of the Northern Frozen Terrain.</v>
      </c>
      <c r="C19" s="16" t="str">
        <f>IFERROR(__xludf.DUMMYFUNCTION("""COMPUTED_VALUE"""),"Land of Spira")</f>
        <v>Land of Spira</v>
      </c>
      <c r="D19" s="16"/>
      <c r="E19" s="98">
        <f>IFERROR(__xludf.DUMMYFUNCTION("""COMPUTED_VALUE"""),1.0E9)</f>
        <v>1000000000</v>
      </c>
      <c r="F19" s="16" t="str">
        <f>IFERROR(__xludf.DUMMYFUNCTION("""COMPUTED_VALUE"""),"Gilder")</f>
        <v>Gilder</v>
      </c>
      <c r="G19" s="16"/>
      <c r="H19" s="16"/>
      <c r="I19" s="16"/>
      <c r="J19" s="16"/>
      <c r="K19" s="16"/>
      <c r="L19" s="16"/>
      <c r="M19" s="16"/>
      <c r="N19" s="16"/>
      <c r="O19" s="16"/>
      <c r="P19" s="16"/>
      <c r="Q19" s="16"/>
      <c r="R19" s="16"/>
      <c r="S19" s="16"/>
      <c r="T19" s="16"/>
      <c r="U19" s="16"/>
      <c r="V19" s="16"/>
      <c r="W19" s="16"/>
      <c r="X19" s="16"/>
      <c r="Y19" s="16"/>
      <c r="Z19" s="16"/>
    </row>
    <row r="20">
      <c r="A20" s="16" t="str">
        <f>IFERROR(__xludf.DUMMYFUNCTION("""COMPUTED_VALUE"""),"Frozen Forest (Southern Frozen Terrain)")</f>
        <v>Frozen Forest (Southern Frozen Terrain)</v>
      </c>
      <c r="B20" s="16" t="str">
        <f>IFERROR(__xludf.DUMMYFUNCTION("""COMPUTED_VALUE"""),"A mystical frozen forest with a small city in the center Ruled by the queen of the frozen forest.")</f>
        <v>A mystical frozen forest with a small city in the center Ruled by the queen of the frozen forest.</v>
      </c>
      <c r="C20" s="16" t="str">
        <f>IFERROR(__xludf.DUMMYFUNCTION("""COMPUTED_VALUE"""),"Land of Spira")</f>
        <v>Land of Spira</v>
      </c>
      <c r="D20" s="16"/>
      <c r="E20" s="98">
        <f>IFERROR(__xludf.DUMMYFUNCTION("""COMPUTED_VALUE"""),1.0E9)</f>
        <v>1000000000</v>
      </c>
      <c r="F20" s="16" t="str">
        <f>IFERROR(__xludf.DUMMYFUNCTION("""COMPUTED_VALUE"""),"Gilder")</f>
        <v>Gilder</v>
      </c>
      <c r="G20" s="16"/>
      <c r="H20" s="16"/>
      <c r="I20" s="16"/>
      <c r="J20" s="16"/>
      <c r="K20" s="16"/>
      <c r="L20" s="16"/>
      <c r="M20" s="16"/>
      <c r="N20" s="16"/>
      <c r="O20" s="16"/>
      <c r="P20" s="16"/>
      <c r="Q20" s="16"/>
      <c r="R20" s="16"/>
      <c r="S20" s="16"/>
      <c r="T20" s="16"/>
      <c r="U20" s="16"/>
      <c r="V20" s="16"/>
      <c r="W20" s="16"/>
      <c r="X20" s="16"/>
      <c r="Y20" s="16"/>
      <c r="Z20" s="16"/>
    </row>
    <row r="21">
      <c r="A21" s="16" t="str">
        <f>IFERROR(__xludf.DUMMYFUNCTION("""COMPUTED_VALUE"""),"Hallowtown ")</f>
        <v>Hallowtown </v>
      </c>
      <c r="B21" s="16" t="str">
        <f>IFERROR(__xludf.DUMMYFUNCTION("""COMPUTED_VALUE"""),"A small and creepy town where a lot of people travel to celebrate halloween. Its said a young fellow named Nick came up with the word ""Spooky"" here before the town was founded.")</f>
        <v>A small and creepy town where a lot of people travel to celebrate halloween. Its said a young fellow named Nick came up with the word "Spooky" here before the town was founded.</v>
      </c>
      <c r="C21" s="16" t="str">
        <f>IFERROR(__xludf.DUMMYFUNCTION("""COMPUTED_VALUE"""),"Land of Spira")</f>
        <v>Land of Spira</v>
      </c>
      <c r="D21" s="16"/>
      <c r="E21" s="98">
        <f>IFERROR(__xludf.DUMMYFUNCTION("""COMPUTED_VALUE"""),1.05001E9)</f>
        <v>1050010000</v>
      </c>
      <c r="F21" s="16" t="str">
        <f>IFERROR(__xludf.DUMMYFUNCTION("""COMPUTED_VALUE"""),"Gilder")</f>
        <v>Gilder</v>
      </c>
      <c r="G21" s="16"/>
      <c r="H21" s="16"/>
      <c r="I21" s="16"/>
      <c r="J21" s="16"/>
      <c r="K21" s="16"/>
      <c r="L21" s="16"/>
      <c r="M21" s="16"/>
      <c r="N21" s="16"/>
      <c r="O21" s="16"/>
      <c r="P21" s="16"/>
      <c r="Q21" s="16"/>
      <c r="R21" s="16"/>
      <c r="S21" s="16"/>
      <c r="T21" s="16"/>
      <c r="U21" s="16"/>
      <c r="V21" s="16"/>
      <c r="W21" s="16"/>
      <c r="X21" s="16"/>
      <c r="Y21" s="16"/>
      <c r="Z21" s="16"/>
    </row>
    <row r="22">
      <c r="A22" s="16" t="str">
        <f>IFERROR(__xludf.DUMMYFUNCTION("""COMPUTED_VALUE"""),"Heatmore Jungle")</f>
        <v>Heatmore Jungle</v>
      </c>
      <c r="B22" s="16" t="str">
        <f>IFERROR(__xludf.DUMMYFUNCTION("""COMPUTED_VALUE"""),"A jungle engulfed in flames containing Fire Tiki Mountain within it. ")</f>
        <v>A jungle engulfed in flames containing Fire Tiki Mountain within it. </v>
      </c>
      <c r="C22" s="16" t="str">
        <f>IFERROR(__xludf.DUMMYFUNCTION("""COMPUTED_VALUE"""),"Land of Spira")</f>
        <v>Land of Spira</v>
      </c>
      <c r="D22" s="16"/>
      <c r="E22" s="98">
        <f>IFERROR(__xludf.DUMMYFUNCTION("""COMPUTED_VALUE"""),1.0E9)</f>
        <v>1000000000</v>
      </c>
      <c r="F22" s="16" t="str">
        <f>IFERROR(__xludf.DUMMYFUNCTION("""COMPUTED_VALUE"""),"Gilder")</f>
        <v>Gilder</v>
      </c>
      <c r="G22" s="16"/>
      <c r="H22" s="16"/>
      <c r="I22" s="16"/>
      <c r="J22" s="16"/>
      <c r="K22" s="16"/>
      <c r="L22" s="16"/>
      <c r="M22" s="16"/>
      <c r="N22" s="16"/>
      <c r="O22" s="16"/>
      <c r="P22" s="16"/>
      <c r="Q22" s="16"/>
      <c r="R22" s="16"/>
      <c r="S22" s="16"/>
      <c r="T22" s="16"/>
      <c r="U22" s="16"/>
      <c r="V22" s="16"/>
      <c r="W22" s="16"/>
      <c r="X22" s="16"/>
      <c r="Y22" s="16"/>
      <c r="Z22" s="16"/>
    </row>
    <row r="23">
      <c r="A23" s="16" t="str">
        <f>IFERROR(__xludf.DUMMYFUNCTION("""COMPUTED_VALUE"""),"Jungle Of Miss Direction")</f>
        <v>Jungle Of Miss Direction</v>
      </c>
      <c r="B23" s="16" t="str">
        <f>IFERROR(__xludf.DUMMYFUNCTION("""COMPUTED_VALUE"""),"The Most Damgerous Jungle in the land of Spira, Not for its casualties but due to how many people went missing here. It's said that one person deleted there character sheet because they couldn't get out.")</f>
        <v>The Most Damgerous Jungle in the land of Spira, Not for its casualties but due to how many people went missing here. It's said that one person deleted there character sheet because they couldn't get out.</v>
      </c>
      <c r="C23" s="16" t="str">
        <f>IFERROR(__xludf.DUMMYFUNCTION("""COMPUTED_VALUE"""),"Land of Spira")</f>
        <v>Land of Spira</v>
      </c>
      <c r="D23" s="16"/>
      <c r="E23" s="98">
        <f>IFERROR(__xludf.DUMMYFUNCTION("""COMPUTED_VALUE"""),1.0E9)</f>
        <v>1000000000</v>
      </c>
      <c r="F23" s="16" t="str">
        <f>IFERROR(__xludf.DUMMYFUNCTION("""COMPUTED_VALUE"""),"Gilder")</f>
        <v>Gilder</v>
      </c>
      <c r="G23" s="16"/>
      <c r="H23" s="16"/>
      <c r="I23" s="16"/>
      <c r="J23" s="16"/>
      <c r="K23" s="16"/>
      <c r="L23" s="16"/>
      <c r="M23" s="16"/>
      <c r="N23" s="16"/>
      <c r="O23" s="16"/>
      <c r="P23" s="16"/>
      <c r="Q23" s="16"/>
      <c r="R23" s="16"/>
      <c r="S23" s="16"/>
      <c r="T23" s="16"/>
      <c r="U23" s="16"/>
      <c r="V23" s="16"/>
      <c r="W23" s="16"/>
      <c r="X23" s="16"/>
      <c r="Y23" s="16"/>
      <c r="Z23" s="16"/>
    </row>
    <row r="24">
      <c r="A24" s="16" t="str">
        <f>IFERROR(__xludf.DUMMYFUNCTION("""COMPUTED_VALUE"""),"Jungle Of Shadows")</f>
        <v>Jungle Of Shadows</v>
      </c>
      <c r="B24" s="16" t="str">
        <f>IFERROR(__xludf.DUMMYFUNCTION("""COMPUTED_VALUE"""),"A jungle that is said to have swallowed shipments of items as well as actual people that have never been found.")</f>
        <v>A jungle that is said to have swallowed shipments of items as well as actual people that have never been found.</v>
      </c>
      <c r="C24" s="16" t="str">
        <f>IFERROR(__xludf.DUMMYFUNCTION("""COMPUTED_VALUE"""),"Land of Spira")</f>
        <v>Land of Spira</v>
      </c>
      <c r="D24" s="16"/>
      <c r="E24" s="98">
        <f>IFERROR(__xludf.DUMMYFUNCTION("""COMPUTED_VALUE"""),1.0E9)</f>
        <v>1000000000</v>
      </c>
      <c r="F24" s="16" t="str">
        <f>IFERROR(__xludf.DUMMYFUNCTION("""COMPUTED_VALUE"""),"Gilder")</f>
        <v>Gilder</v>
      </c>
      <c r="G24" s="16"/>
      <c r="H24" s="16"/>
      <c r="I24" s="16"/>
      <c r="J24" s="16"/>
      <c r="K24" s="16"/>
      <c r="L24" s="16"/>
      <c r="M24" s="16"/>
      <c r="N24" s="16"/>
      <c r="O24" s="16"/>
      <c r="P24" s="16"/>
      <c r="Q24" s="16"/>
      <c r="R24" s="16"/>
      <c r="S24" s="16"/>
      <c r="T24" s="16"/>
      <c r="U24" s="16"/>
      <c r="V24" s="16"/>
      <c r="W24" s="16"/>
      <c r="X24" s="16"/>
      <c r="Y24" s="16"/>
      <c r="Z24" s="16"/>
    </row>
    <row r="25">
      <c r="A25" s="16" t="str">
        <f>IFERROR(__xludf.DUMMYFUNCTION("""COMPUTED_VALUE"""),"Lake Town")</f>
        <v>Lake Town</v>
      </c>
      <c r="B25" s="16" t="str">
        <f>IFERROR(__xludf.DUMMYFUNCTION("""COMPUTED_VALUE"""),"A fishemans town where people come to buy and sell all sorts of different fish.")</f>
        <v>A fishemans town where people come to buy and sell all sorts of different fish.</v>
      </c>
      <c r="C25" s="16" t="str">
        <f>IFERROR(__xludf.DUMMYFUNCTION("""COMPUTED_VALUE"""),"Land of Spira")</f>
        <v>Land of Spira</v>
      </c>
      <c r="D25" s="16"/>
      <c r="E25" s="98">
        <f>IFERROR(__xludf.DUMMYFUNCTION("""COMPUTED_VALUE"""),1.0012E9)</f>
        <v>1001200000</v>
      </c>
      <c r="F25" s="16" t="str">
        <f>IFERROR(__xludf.DUMMYFUNCTION("""COMPUTED_VALUE"""),"Gilder")</f>
        <v>Gilder</v>
      </c>
      <c r="G25" s="16"/>
      <c r="H25" s="16"/>
      <c r="I25" s="16"/>
      <c r="J25" s="16"/>
      <c r="K25" s="16"/>
      <c r="L25" s="16"/>
      <c r="M25" s="16"/>
      <c r="N25" s="16"/>
      <c r="O25" s="16"/>
      <c r="P25" s="16"/>
      <c r="Q25" s="16"/>
      <c r="R25" s="16"/>
      <c r="S25" s="16"/>
      <c r="T25" s="16"/>
      <c r="U25" s="16"/>
      <c r="V25" s="16"/>
      <c r="W25" s="16"/>
      <c r="X25" s="16"/>
      <c r="Y25" s="16"/>
      <c r="Z25" s="16"/>
    </row>
    <row r="26">
      <c r="A26" s="16" t="str">
        <f>IFERROR(__xludf.DUMMYFUNCTION("""COMPUTED_VALUE"""),"Mekana")</f>
        <v>Mekana</v>
      </c>
      <c r="B26" s="16" t="str">
        <f>IFERROR(__xludf.DUMMYFUNCTION("""COMPUTED_VALUE"""),"Home to the Mekanians and Their Creator, A Steampunk like city filled with futuristic contraptions.")</f>
        <v>Home to the Mekanians and Their Creator, A Steampunk like city filled with futuristic contraptions.</v>
      </c>
      <c r="C26" s="16" t="str">
        <f>IFERROR(__xludf.DUMMYFUNCTION("""COMPUTED_VALUE"""),"Land of Spira")</f>
        <v>Land of Spira</v>
      </c>
      <c r="D26" s="16"/>
      <c r="E26" s="98">
        <f>IFERROR(__xludf.DUMMYFUNCTION("""COMPUTED_VALUE"""),1.05657E9)</f>
        <v>1056570000</v>
      </c>
      <c r="F26" s="16" t="str">
        <f>IFERROR(__xludf.DUMMYFUNCTION("""COMPUTED_VALUE"""),"Gilder")</f>
        <v>Gilder</v>
      </c>
      <c r="G26" s="16"/>
      <c r="H26" s="16"/>
      <c r="I26" s="16"/>
      <c r="J26" s="16"/>
      <c r="K26" s="16"/>
      <c r="L26" s="16"/>
      <c r="M26" s="16"/>
      <c r="N26" s="16"/>
      <c r="O26" s="16"/>
      <c r="P26" s="16"/>
      <c r="Q26" s="16"/>
      <c r="R26" s="16"/>
      <c r="S26" s="16"/>
      <c r="T26" s="16"/>
      <c r="U26" s="16"/>
      <c r="V26" s="16"/>
      <c r="W26" s="16"/>
      <c r="X26" s="16"/>
      <c r="Y26" s="16"/>
      <c r="Z26" s="16"/>
    </row>
    <row r="27">
      <c r="A27" s="16" t="str">
        <f>IFERROR(__xludf.DUMMYFUNCTION("""COMPUTED_VALUE"""),"Mountains Of Peace And Harmony")</f>
        <v>Mountains Of Peace And Harmony</v>
      </c>
      <c r="B27" s="16" t="str">
        <f>IFERROR(__xludf.DUMMYFUNCTION("""COMPUTED_VALUE"""),"A peacful mountain range that rests between lake Town and Civille.")</f>
        <v>A peacful mountain range that rests between lake Town and Civille.</v>
      </c>
      <c r="C27" s="16" t="str">
        <f>IFERROR(__xludf.DUMMYFUNCTION("""COMPUTED_VALUE"""),"Land of Spira")</f>
        <v>Land of Spira</v>
      </c>
      <c r="D27" s="16"/>
      <c r="E27" s="98">
        <f>IFERROR(__xludf.DUMMYFUNCTION("""COMPUTED_VALUE"""),1.0E9)</f>
        <v>1000000000</v>
      </c>
      <c r="F27" s="16" t="str">
        <f>IFERROR(__xludf.DUMMYFUNCTION("""COMPUTED_VALUE"""),"Gilder")</f>
        <v>Gilder</v>
      </c>
      <c r="G27" s="16"/>
      <c r="H27" s="16"/>
      <c r="I27" s="16"/>
      <c r="J27" s="16"/>
      <c r="K27" s="16"/>
      <c r="L27" s="16"/>
      <c r="M27" s="16"/>
      <c r="N27" s="16"/>
      <c r="O27" s="16"/>
      <c r="P27" s="16"/>
      <c r="Q27" s="16"/>
      <c r="R27" s="16"/>
      <c r="S27" s="16"/>
      <c r="T27" s="16"/>
      <c r="U27" s="16"/>
      <c r="V27" s="16"/>
      <c r="W27" s="16"/>
      <c r="X27" s="16"/>
      <c r="Y27" s="16"/>
      <c r="Z27" s="16"/>
    </row>
    <row r="28">
      <c r="A28" s="16" t="str">
        <f>IFERROR(__xludf.DUMMYFUNCTION("""COMPUTED_VALUE"""),"Mt. Fury (Locked)")</f>
        <v>Mt. Fury (Locked)</v>
      </c>
      <c r="B28" s="16" t="str">
        <f>IFERROR(__xludf.DUMMYFUNCTION("""COMPUTED_VALUE"""),"The Ancient Volcano Of Spira where one of the most powerful spira guardians remain.  Do not wake the beast or you will suffer its tremendous flames of suffering.")</f>
        <v>The Ancient Volcano Of Spira where one of the most powerful spira guardians remain.  Do not wake the beast or you will suffer its tremendous flames of suffering.</v>
      </c>
      <c r="C28" s="16" t="str">
        <f>IFERROR(__xludf.DUMMYFUNCTION("""COMPUTED_VALUE"""),"Land of Spira")</f>
        <v>Land of Spira</v>
      </c>
      <c r="D28" s="16"/>
      <c r="E28" s="98">
        <f>IFERROR(__xludf.DUMMYFUNCTION("""COMPUTED_VALUE"""),1.0E9)</f>
        <v>1000000000</v>
      </c>
      <c r="F28" s="16" t="str">
        <f>IFERROR(__xludf.DUMMYFUNCTION("""COMPUTED_VALUE"""),"Gilder")</f>
        <v>Gilder</v>
      </c>
      <c r="G28" s="16"/>
      <c r="H28" s="16"/>
      <c r="I28" s="16"/>
      <c r="J28" s="16"/>
      <c r="K28" s="16"/>
      <c r="L28" s="16"/>
      <c r="M28" s="16"/>
      <c r="N28" s="16"/>
      <c r="O28" s="16"/>
      <c r="P28" s="16"/>
      <c r="Q28" s="16"/>
      <c r="R28" s="16"/>
      <c r="S28" s="16"/>
      <c r="T28" s="16"/>
      <c r="U28" s="16"/>
      <c r="V28" s="16"/>
      <c r="W28" s="16"/>
      <c r="X28" s="16"/>
      <c r="Y28" s="16"/>
      <c r="Z28" s="16"/>
    </row>
    <row r="29">
      <c r="A29" s="16" t="str">
        <f>IFERROR(__xludf.DUMMYFUNCTION("""COMPUTED_VALUE"""),"Pond City")</f>
        <v>Pond City</v>
      </c>
      <c r="B29" s="16" t="str">
        <f>IFERROR(__xludf.DUMMYFUNCTION("""COMPUTED_VALUE"""),"Long ago, in the heart of The Land of Spira, a mystical and serene place known as Pond City emerged from the mists of time. The city's origins are steeped in legend and myth, making it a captivating and enigmatic location for adventurers to explore.
Anci"&amp;"ent Waters and the Founding:
Pond City was founded by an ancient order of druids who revered the water element. They believed that the ponds that naturally formed in the area were sacred, imbued with the power to heal and rejuvenate. These druids, led by"&amp;" a wise and powerful archdruid named Elowen, were drawn to the tranquil energy of the land. Guided by dreams and visions, they built their city in harmony with the natural landscape, ensuring that no harm would come to the precious ponds they considered t"&amp;"he lifeblood of their community.
The Elixir of Eternal Youth:
Over the centuries, Pond City's reputation grew far and wide. Travelers, healers, and adventurers journeyed to the city to seek the wisdom of the druids and the legendary Elixir of Eternal Yo"&amp;"uth, which was rumored to be brewed from the waters of the sacred ponds. However, gaining access to this elixir was no simple task. It was said that only those who proved their worth through noble deeds and selfless acts would be granted a vial of this el"&amp;"ixir.
Rival Factions and Intrigue:
As Pond City's fame spread, it also attracted the attention of rival factions and covetous individuals who sought to control the city's resources for their own gain. The most formidable of these adversaries was the sec"&amp;"retive Shadow Syndicate, a group of rogues and spies who operated in the shadows, seeking to uncover the secrets of the elixir and use it to gain power and immortality.
The Druid Council:
To protect their city from external threats and internal strife, "&amp;"the druids established a governing body known as the Druid Council. Led by a circle of elder druids and presided over by Elowen's descendants, the council ensured the city's survival and the preservation of the sacred ponds. They maintained a delicate bal"&amp;"ance between the needs of the city's inhabitants and the sanctity of their natural surroundings.
Present-Day Pond City:
Pond City stands as a city of wonder and intrigue. Its cobblestone streets wind their way around lush ponds filled with bioluminescen"&amp;"t plants, and the ancient architecture still bears the marks of Elowen's druidic influence. The city is a hub of trade, culture, and mysticism, attracting all manner of visitors, from adventurers in search of the Elixir of Eternal Youth to scholars seekin"&amp;"g the wisdom of the druids.
However, Pond City's future is uncertain. The Shadow Syndicate's influence is growing, and tensions between factions within the city threaten to disrupt the delicate balance that has been maintained for centuries. As adventure"&amp;"rs, your players will find themselves in a city where secrets and intrigue abound, with the fate of Pond City and its sacred ponds hanging in the balance. Will they choose to protect the city's ancient traditions or exploit its mystical resources for thei"&amp;"r own gain? The choice is theirs to make as they embark on their journey through the enigmatic Pond City in The Land of Spira.")</f>
        <v>Long ago, in the heart of The Land of Spira, a mystical and serene place known as Pond City emerged from the mists of time. The city's origins are steeped in legend and myth, making it a captivating and enigmatic location for adventurers to explore.
Ancient Waters and the Founding:
Pond City was founded by an ancient order of druids who revered the water element. They believed that the ponds that naturally formed in the area were sacred, imbued with the power to heal and rejuvenate. These druids, led by a wise and powerful archdruid named Elowen, were drawn to the tranquil energy of the land. Guided by dreams and visions, they built their city in harmony with the natural landscape, ensuring that no harm would come to the precious ponds they considered the lifeblood of their community.
The Elixir of Eternal Youth:
Over the centuries, Pond City's reputation grew far and wide. Travelers, healers, and adventurers journeyed to the city to seek the wisdom of the druids and the legendary Elixir of Eternal Youth, which was rumored to be brewed from the waters of the sacred ponds. However, gaining access to this elixir was no simple task. It was said that only those who proved their worth through noble deeds and selfless acts would be granted a vial of this elixir.
Rival Factions and Intrigue:
As Pond City's fame spread, it also attracted the attention of rival factions and covetous individuals who sought to control the city's resources for their own gain. The most formidable of these adversaries was the secretive Shadow Syndicate, a group of rogues and spies who operated in the shadows, seeking to uncover the secrets of the elixir and use it to gain power and immortality.
The Druid Council:
To protect their city from external threats and internal strife, the druids established a governing body known as the Druid Council. Led by a circle of elder druids and presided over by Elowen's descendants, the council ensured the city's survival and the preservation of the sacred ponds. They maintained a delicate balance between the needs of the city's inhabitants and the sanctity of their natural surroundings.
Present-Day Pond City:
Pond City stands as a city of wonder and intrigue. Its cobblestone streets wind their way around lush ponds filled with bioluminescent plants, and the ancient architecture still bears the marks of Elowen's druidic influence. The city is a hub of trade, culture, and mysticism, attracting all manner of visitors, from adventurers in search of the Elixir of Eternal Youth to scholars seeking the wisdom of the druids.
However, Pond City's future is uncertain. The Shadow Syndicate's influence is growing, and tensions between factions within the city threaten to disrupt the delicate balance that has been maintained for centuries. As adventurers, your players will find themselves in a city where secrets and intrigue abound, with the fate of Pond City and its sacred ponds hanging in the balance. Will they choose to protect the city's ancient traditions or exploit its mystical resources for their own gain? The choice is theirs to make as they embark on their journey through the enigmatic Pond City in The Land of Spira.</v>
      </c>
      <c r="C29" s="16" t="str">
        <f>IFERROR(__xludf.DUMMYFUNCTION("""COMPUTED_VALUE"""),"Land of Spira")</f>
        <v>Land of Spira</v>
      </c>
      <c r="D29" s="16"/>
      <c r="E29" s="98">
        <f>IFERROR(__xludf.DUMMYFUNCTION("""COMPUTED_VALUE"""),1.0E9)</f>
        <v>1000000000</v>
      </c>
      <c r="F29" s="16" t="str">
        <f>IFERROR(__xludf.DUMMYFUNCTION("""COMPUTED_VALUE"""),"Gilder")</f>
        <v>Gilder</v>
      </c>
      <c r="G29" s="16"/>
      <c r="H29" s="16"/>
      <c r="I29" s="16"/>
      <c r="J29" s="16"/>
      <c r="K29" s="16"/>
      <c r="L29" s="16"/>
      <c r="M29" s="16"/>
      <c r="N29" s="16"/>
      <c r="O29" s="16"/>
      <c r="P29" s="16"/>
      <c r="Q29" s="16"/>
      <c r="R29" s="16"/>
      <c r="S29" s="16"/>
      <c r="T29" s="16"/>
      <c r="U29" s="16"/>
      <c r="V29" s="16"/>
      <c r="W29" s="16"/>
      <c r="X29" s="16"/>
      <c r="Y29" s="16"/>
      <c r="Z29" s="16"/>
    </row>
    <row r="30">
      <c r="A30" s="16" t="str">
        <f>IFERROR(__xludf.DUMMYFUNCTION("""COMPUTED_VALUE"""),"Port Fawn")</f>
        <v>Port Fawn</v>
      </c>
      <c r="B30" s="16" t="str">
        <f>IFERROR(__xludf.DUMMYFUNCTION("""COMPUTED_VALUE"""),"A harbor town south west of Forest View famous for the most imports and exports around the land of spira.")</f>
        <v>A harbor town south west of Forest View famous for the most imports and exports around the land of spira.</v>
      </c>
      <c r="C30" s="16" t="str">
        <f>IFERROR(__xludf.DUMMYFUNCTION("""COMPUTED_VALUE"""),"Land of Spira")</f>
        <v>Land of Spira</v>
      </c>
      <c r="D30" s="16"/>
      <c r="E30" s="98">
        <f>IFERROR(__xludf.DUMMYFUNCTION("""COMPUTED_VALUE"""),1.056375E9)</f>
        <v>1056375000</v>
      </c>
      <c r="F30" s="16" t="str">
        <f>IFERROR(__xludf.DUMMYFUNCTION("""COMPUTED_VALUE"""),"Gilder")</f>
        <v>Gilder</v>
      </c>
      <c r="G30" s="16"/>
      <c r="H30" s="16"/>
      <c r="I30" s="16"/>
      <c r="J30" s="16"/>
      <c r="K30" s="16"/>
      <c r="L30" s="16"/>
      <c r="M30" s="16"/>
      <c r="N30" s="16"/>
      <c r="O30" s="16"/>
      <c r="P30" s="16"/>
      <c r="Q30" s="16"/>
      <c r="R30" s="16"/>
      <c r="S30" s="16"/>
      <c r="T30" s="16"/>
      <c r="U30" s="16"/>
      <c r="V30" s="16"/>
      <c r="W30" s="16"/>
      <c r="X30" s="16"/>
      <c r="Y30" s="16"/>
      <c r="Z30" s="16"/>
    </row>
    <row r="31">
      <c r="A31" s="16" t="str">
        <f>IFERROR(__xludf.DUMMYFUNCTION("""COMPUTED_VALUE"""),"Royal Woodlands")</f>
        <v>Royal Woodlands</v>
      </c>
      <c r="B31" s="16"/>
      <c r="C31" s="16" t="str">
        <f>IFERROR(__xludf.DUMMYFUNCTION("""COMPUTED_VALUE"""),"Land of Spira")</f>
        <v>Land of Spira</v>
      </c>
      <c r="D31" s="16"/>
      <c r="E31" s="98">
        <f>IFERROR(__xludf.DUMMYFUNCTION("""COMPUTED_VALUE"""),1.0E9)</f>
        <v>1000000000</v>
      </c>
      <c r="F31" s="16" t="str">
        <f>IFERROR(__xludf.DUMMYFUNCTION("""COMPUTED_VALUE"""),"Gilder")</f>
        <v>Gilder</v>
      </c>
      <c r="G31" s="16"/>
      <c r="H31" s="16"/>
      <c r="I31" s="16"/>
      <c r="J31" s="16"/>
      <c r="K31" s="16"/>
      <c r="L31" s="16"/>
      <c r="M31" s="16"/>
      <c r="N31" s="16"/>
      <c r="O31" s="16"/>
      <c r="P31" s="16"/>
      <c r="Q31" s="16"/>
      <c r="R31" s="16"/>
      <c r="S31" s="16"/>
      <c r="T31" s="16"/>
      <c r="U31" s="16"/>
      <c r="V31" s="16"/>
      <c r="W31" s="16"/>
      <c r="X31" s="16"/>
      <c r="Y31" s="16"/>
      <c r="Z31" s="16"/>
    </row>
    <row r="32">
      <c r="A32" s="16" t="str">
        <f>IFERROR(__xludf.DUMMYFUNCTION("""COMPUTED_VALUE"""),"Ruins Of Mana")</f>
        <v>Ruins Of Mana</v>
      </c>
      <c r="B32" s="16" t="str">
        <f>IFERROR(__xludf.DUMMYFUNCTION("""COMPUTED_VALUE"""),"An ancient temple built 100 centuries ago, There is a very powerful aura of energy always coming from the temple though no one really knows where that energy lies within the temple.")</f>
        <v>An ancient temple built 100 centuries ago, There is a very powerful aura of energy always coming from the temple though no one really knows where that energy lies within the temple.</v>
      </c>
      <c r="C32" s="16" t="str">
        <f>IFERROR(__xludf.DUMMYFUNCTION("""COMPUTED_VALUE"""),"Land of Spira")</f>
        <v>Land of Spira</v>
      </c>
      <c r="D32" s="16"/>
      <c r="E32" s="98">
        <f>IFERROR(__xludf.DUMMYFUNCTION("""COMPUTED_VALUE"""),1.0E9)</f>
        <v>1000000000</v>
      </c>
      <c r="F32" s="16" t="str">
        <f>IFERROR(__xludf.DUMMYFUNCTION("""COMPUTED_VALUE"""),"Gilder")</f>
        <v>Gilder</v>
      </c>
      <c r="G32" s="16"/>
      <c r="H32" s="16"/>
      <c r="I32" s="16"/>
      <c r="J32" s="16"/>
      <c r="K32" s="16"/>
      <c r="L32" s="16"/>
      <c r="M32" s="16"/>
      <c r="N32" s="16"/>
      <c r="O32" s="16"/>
      <c r="P32" s="16"/>
      <c r="Q32" s="16"/>
      <c r="R32" s="16"/>
      <c r="S32" s="16"/>
      <c r="T32" s="16"/>
      <c r="U32" s="16"/>
      <c r="V32" s="16"/>
      <c r="W32" s="16"/>
      <c r="X32" s="16"/>
      <c r="Y32" s="16"/>
      <c r="Z32" s="16"/>
    </row>
    <row r="33">
      <c r="A33" s="16" t="str">
        <f>IFERROR(__xludf.DUMMYFUNCTION("""COMPUTED_VALUE"""),"Ship Graveyard")</f>
        <v>Ship Graveyard</v>
      </c>
      <c r="B33" s="16" t="str">
        <f>IFERROR(__xludf.DUMMYFUNCTION("""COMPUTED_VALUE"""),"The ocean of Spira's deepest creatures hunt here.")</f>
        <v>The ocean of Spira's deepest creatures hunt here.</v>
      </c>
      <c r="C33" s="16" t="str">
        <f>IFERROR(__xludf.DUMMYFUNCTION("""COMPUTED_VALUE"""),"Land of Spira")</f>
        <v>Land of Spira</v>
      </c>
      <c r="D33" s="16"/>
      <c r="E33" s="98">
        <f>IFERROR(__xludf.DUMMYFUNCTION("""COMPUTED_VALUE"""),1.0E9)</f>
        <v>1000000000</v>
      </c>
      <c r="F33" s="16" t="str">
        <f>IFERROR(__xludf.DUMMYFUNCTION("""COMPUTED_VALUE"""),"Gilder")</f>
        <v>Gilder</v>
      </c>
      <c r="G33" s="16"/>
      <c r="H33" s="16"/>
      <c r="I33" s="16"/>
      <c r="J33" s="16"/>
      <c r="K33" s="16"/>
      <c r="L33" s="16"/>
      <c r="M33" s="16"/>
      <c r="N33" s="16"/>
      <c r="O33" s="16"/>
      <c r="P33" s="16"/>
      <c r="Q33" s="16"/>
      <c r="R33" s="16"/>
      <c r="S33" s="16"/>
      <c r="T33" s="16"/>
      <c r="U33" s="16"/>
      <c r="V33" s="16"/>
      <c r="W33" s="16"/>
      <c r="X33" s="16"/>
      <c r="Y33" s="16"/>
      <c r="Z33" s="16"/>
    </row>
    <row r="34">
      <c r="A34" s="16" t="str">
        <f>IFERROR(__xludf.DUMMYFUNCTION("""COMPUTED_VALUE"""),"Silence Edge Point")</f>
        <v>Silence Edge Point</v>
      </c>
      <c r="B34" s="16" t="str">
        <f>IFERROR(__xludf.DUMMYFUNCTION("""COMPUTED_VALUE"""),"A dark rocky mountain like terrain. The Tower Of Chaos, Also known as Lord Dreadful's Tower can be found here.")</f>
        <v>A dark rocky mountain like terrain. The Tower Of Chaos, Also known as Lord Dreadful's Tower can be found here.</v>
      </c>
      <c r="C34" s="16" t="str">
        <f>IFERROR(__xludf.DUMMYFUNCTION("""COMPUTED_VALUE"""),"Land of Spira")</f>
        <v>Land of Spira</v>
      </c>
      <c r="D34" s="16"/>
      <c r="E34" s="98">
        <f>IFERROR(__xludf.DUMMYFUNCTION("""COMPUTED_VALUE"""),1.0E9)</f>
        <v>1000000000</v>
      </c>
      <c r="F34" s="16" t="str">
        <f>IFERROR(__xludf.DUMMYFUNCTION("""COMPUTED_VALUE"""),"Gilder")</f>
        <v>Gilder</v>
      </c>
      <c r="G34" s="16"/>
      <c r="H34" s="16"/>
      <c r="I34" s="16"/>
      <c r="J34" s="16"/>
      <c r="K34" s="16"/>
      <c r="L34" s="16"/>
      <c r="M34" s="16"/>
      <c r="N34" s="16"/>
      <c r="O34" s="16"/>
      <c r="P34" s="16"/>
      <c r="Q34" s="16"/>
      <c r="R34" s="16"/>
      <c r="S34" s="16"/>
      <c r="T34" s="16"/>
      <c r="U34" s="16"/>
      <c r="V34" s="16"/>
      <c r="W34" s="16"/>
      <c r="X34" s="16"/>
      <c r="Y34" s="16"/>
      <c r="Z34" s="16"/>
    </row>
    <row r="35">
      <c r="A35" s="16" t="str">
        <f>IFERROR(__xludf.DUMMYFUNCTION("""COMPUTED_VALUE"""),"Swampville")</f>
        <v>Swampville</v>
      </c>
      <c r="B35" s="16" t="str">
        <f>IFERROR(__xludf.DUMMYFUNCTION("""COMPUTED_VALUE"""),"A swamp like village. Home to the most evil Cults Of Spira.")</f>
        <v>A swamp like village. Home to the most evil Cults Of Spira.</v>
      </c>
      <c r="C35" s="16" t="str">
        <f>IFERROR(__xludf.DUMMYFUNCTION("""COMPUTED_VALUE"""),"Land of Spira")</f>
        <v>Land of Spira</v>
      </c>
      <c r="D35" s="16"/>
      <c r="E35" s="98">
        <f>IFERROR(__xludf.DUMMYFUNCTION("""COMPUTED_VALUE"""),1.01E9)</f>
        <v>1010000000</v>
      </c>
      <c r="F35" s="16" t="str">
        <f>IFERROR(__xludf.DUMMYFUNCTION("""COMPUTED_VALUE"""),"Gilder")</f>
        <v>Gilder</v>
      </c>
      <c r="G35" s="16"/>
      <c r="H35" s="16"/>
      <c r="I35" s="16"/>
      <c r="J35" s="16"/>
      <c r="K35" s="16"/>
      <c r="L35" s="16"/>
      <c r="M35" s="16"/>
      <c r="N35" s="16"/>
      <c r="O35" s="16"/>
      <c r="P35" s="16"/>
      <c r="Q35" s="16"/>
      <c r="R35" s="16"/>
      <c r="S35" s="16"/>
      <c r="T35" s="16"/>
      <c r="U35" s="16"/>
      <c r="V35" s="16"/>
      <c r="W35" s="16"/>
      <c r="X35" s="16"/>
      <c r="Y35" s="16"/>
      <c r="Z35" s="16"/>
    </row>
    <row r="36">
      <c r="A36" s="16" t="str">
        <f>IFERROR(__xludf.DUMMYFUNCTION("""COMPUTED_VALUE"""),"Temple Of Dawn")</f>
        <v>Temple Of Dawn</v>
      </c>
      <c r="B36" s="16" t="str">
        <f>IFERROR(__xludf.DUMMYFUNCTION("""COMPUTED_VALUE"""),"Its said that when the sun starts to rise the temple doors open.")</f>
        <v>Its said that when the sun starts to rise the temple doors open.</v>
      </c>
      <c r="C36" s="16" t="str">
        <f>IFERROR(__xludf.DUMMYFUNCTION("""COMPUTED_VALUE"""),"Land of Spira")</f>
        <v>Land of Spira</v>
      </c>
      <c r="D36" s="16"/>
      <c r="E36" s="98">
        <f>IFERROR(__xludf.DUMMYFUNCTION("""COMPUTED_VALUE"""),1.0E9)</f>
        <v>1000000000</v>
      </c>
      <c r="F36" s="16" t="str">
        <f>IFERROR(__xludf.DUMMYFUNCTION("""COMPUTED_VALUE"""),"Gilder")</f>
        <v>Gilder</v>
      </c>
      <c r="G36" s="16"/>
      <c r="H36" s="16"/>
      <c r="I36" s="16"/>
      <c r="J36" s="16"/>
      <c r="K36" s="16"/>
      <c r="L36" s="16"/>
      <c r="M36" s="16"/>
      <c r="N36" s="16"/>
      <c r="O36" s="16"/>
      <c r="P36" s="16"/>
      <c r="Q36" s="16"/>
      <c r="R36" s="16"/>
      <c r="S36" s="16"/>
      <c r="T36" s="16"/>
      <c r="U36" s="16"/>
      <c r="V36" s="16"/>
      <c r="W36" s="16"/>
      <c r="X36" s="16"/>
      <c r="Y36" s="16"/>
      <c r="Z36" s="16"/>
    </row>
    <row r="37">
      <c r="A37" s="16" t="str">
        <f>IFERROR(__xludf.DUMMYFUNCTION("""COMPUTED_VALUE"""),"Temple Of The Rising Sun")</f>
        <v>Temple Of The Rising Sun</v>
      </c>
      <c r="B37" s="16" t="str">
        <f>IFERROR(__xludf.DUMMYFUNCTION("""COMPUTED_VALUE"""),"Its said that when the sun fully rises the temple doors open.")</f>
        <v>Its said that when the sun fully rises the temple doors open.</v>
      </c>
      <c r="C37" s="16" t="str">
        <f>IFERROR(__xludf.DUMMYFUNCTION("""COMPUTED_VALUE"""),"Land of Spira")</f>
        <v>Land of Spira</v>
      </c>
      <c r="D37" s="16"/>
      <c r="E37" s="98">
        <f>IFERROR(__xludf.DUMMYFUNCTION("""COMPUTED_VALUE"""),1.0E9)</f>
        <v>1000000000</v>
      </c>
      <c r="F37" s="16" t="str">
        <f>IFERROR(__xludf.DUMMYFUNCTION("""COMPUTED_VALUE"""),"Gilder")</f>
        <v>Gilder</v>
      </c>
      <c r="G37" s="16"/>
      <c r="H37" s="16"/>
      <c r="I37" s="16"/>
      <c r="J37" s="16"/>
      <c r="K37" s="16"/>
      <c r="L37" s="16"/>
      <c r="M37" s="16"/>
      <c r="N37" s="16"/>
      <c r="O37" s="16"/>
      <c r="P37" s="16"/>
      <c r="Q37" s="16"/>
      <c r="R37" s="16"/>
      <c r="S37" s="16"/>
      <c r="T37" s="16"/>
      <c r="U37" s="16"/>
      <c r="V37" s="16"/>
      <c r="W37" s="16"/>
      <c r="X37" s="16"/>
      <c r="Y37" s="16"/>
      <c r="Z37" s="16"/>
    </row>
    <row r="38">
      <c r="A38" s="16" t="str">
        <f>IFERROR(__xludf.DUMMYFUNCTION("""COMPUTED_VALUE"""),"Temple Of The Rising Moon")</f>
        <v>Temple Of The Rising Moon</v>
      </c>
      <c r="B38" s="16" t="str">
        <f>IFERROR(__xludf.DUMMYFUNCTION("""COMPUTED_VALUE"""),"Its said that when the moon fully rises the temple doors open.")</f>
        <v>Its said that when the moon fully rises the temple doors open.</v>
      </c>
      <c r="C38" s="16" t="str">
        <f>IFERROR(__xludf.DUMMYFUNCTION("""COMPUTED_VALUE"""),"Land of Spira")</f>
        <v>Land of Spira</v>
      </c>
      <c r="D38" s="16"/>
      <c r="E38" s="98">
        <f>IFERROR(__xludf.DUMMYFUNCTION("""COMPUTED_VALUE"""),1.0E9)</f>
        <v>1000000000</v>
      </c>
      <c r="F38" s="16" t="str">
        <f>IFERROR(__xludf.DUMMYFUNCTION("""COMPUTED_VALUE"""),"Gilder")</f>
        <v>Gilder</v>
      </c>
      <c r="G38" s="16"/>
      <c r="H38" s="16"/>
      <c r="I38" s="16"/>
      <c r="J38" s="16"/>
      <c r="K38" s="16"/>
      <c r="L38" s="16"/>
      <c r="M38" s="16"/>
      <c r="N38" s="16"/>
      <c r="O38" s="16"/>
      <c r="P38" s="16"/>
      <c r="Q38" s="16"/>
      <c r="R38" s="16"/>
      <c r="S38" s="16"/>
      <c r="T38" s="16"/>
      <c r="U38" s="16"/>
      <c r="V38" s="16"/>
      <c r="W38" s="16"/>
      <c r="X38" s="16"/>
      <c r="Y38" s="16"/>
      <c r="Z38" s="16"/>
    </row>
    <row r="39">
      <c r="A39" s="16" t="str">
        <f>IFERROR(__xludf.DUMMYFUNCTION("""COMPUTED_VALUE"""),"Temple Of Dusk")</f>
        <v>Temple Of Dusk</v>
      </c>
      <c r="B39" s="16" t="str">
        <f>IFERROR(__xludf.DUMMYFUNCTION("""COMPUTED_VALUE"""),"Its said that when the sun starts to set the temple doors open.")</f>
        <v>Its said that when the sun starts to set the temple doors open.</v>
      </c>
      <c r="C39" s="16" t="str">
        <f>IFERROR(__xludf.DUMMYFUNCTION("""COMPUTED_VALUE"""),"Land of Spira")</f>
        <v>Land of Spira</v>
      </c>
      <c r="D39" s="16"/>
      <c r="E39" s="98">
        <f>IFERROR(__xludf.DUMMYFUNCTION("""COMPUTED_VALUE"""),1.0E9)</f>
        <v>1000000000</v>
      </c>
      <c r="F39" s="16" t="str">
        <f>IFERROR(__xludf.DUMMYFUNCTION("""COMPUTED_VALUE"""),"Gilder")</f>
        <v>Gilder</v>
      </c>
      <c r="G39" s="16"/>
      <c r="H39" s="16"/>
      <c r="I39" s="16"/>
      <c r="J39" s="16"/>
      <c r="K39" s="16"/>
      <c r="L39" s="16"/>
      <c r="M39" s="16"/>
      <c r="N39" s="16"/>
      <c r="O39" s="16"/>
      <c r="P39" s="16"/>
      <c r="Q39" s="16"/>
      <c r="R39" s="16"/>
      <c r="S39" s="16"/>
      <c r="T39" s="16"/>
      <c r="U39" s="16"/>
      <c r="V39" s="16"/>
      <c r="W39" s="16"/>
      <c r="X39" s="16"/>
      <c r="Y39" s="16"/>
      <c r="Z39" s="16"/>
    </row>
    <row r="40">
      <c r="A40" s="16" t="str">
        <f>IFERROR(__xludf.DUMMYFUNCTION("""COMPUTED_VALUE"""),"The Corrupt Forest")</f>
        <v>The Corrupt Forest</v>
      </c>
      <c r="B40" s="16" t="str">
        <f>IFERROR(__xludf.DUMMYFUNCTION("""COMPUTED_VALUE"""),"A corrupt forest that makes it so anyone who travels within the forest must die to get out.")</f>
        <v>A corrupt forest that makes it so anyone who travels within the forest must die to get out.</v>
      </c>
      <c r="C40" s="16" t="str">
        <f>IFERROR(__xludf.DUMMYFUNCTION("""COMPUTED_VALUE"""),"Land of Spira")</f>
        <v>Land of Spira</v>
      </c>
      <c r="D40" s="16"/>
      <c r="E40" s="98">
        <f>IFERROR(__xludf.DUMMYFUNCTION("""COMPUTED_VALUE"""),1.0E9)</f>
        <v>1000000000</v>
      </c>
      <c r="F40" s="16" t="str">
        <f>IFERROR(__xludf.DUMMYFUNCTION("""COMPUTED_VALUE"""),"Gilder")</f>
        <v>Gilder</v>
      </c>
      <c r="G40" s="16"/>
      <c r="H40" s="16"/>
      <c r="I40" s="16"/>
      <c r="J40" s="16"/>
      <c r="K40" s="16"/>
      <c r="L40" s="16"/>
      <c r="M40" s="16"/>
      <c r="N40" s="16"/>
      <c r="O40" s="16"/>
      <c r="P40" s="16"/>
      <c r="Q40" s="16"/>
      <c r="R40" s="16"/>
      <c r="S40" s="16"/>
      <c r="T40" s="16"/>
      <c r="U40" s="16"/>
      <c r="V40" s="16"/>
      <c r="W40" s="16"/>
      <c r="X40" s="16"/>
      <c r="Y40" s="16"/>
      <c r="Z40" s="16"/>
    </row>
    <row r="41">
      <c r="A41" s="16" t="str">
        <f>IFERROR(__xludf.DUMMYFUNCTION("""COMPUTED_VALUE"""),"The Hidden Forest Of Celeste")</f>
        <v>The Hidden Forest Of Celeste</v>
      </c>
      <c r="B41" s="16" t="str">
        <f>IFERROR(__xludf.DUMMYFUNCTION("""COMPUTED_VALUE"""),"A sacred, magical, and hidden forest cared for by gnomes where Celestials are born. You must have a specific magical key to gain entry here.")</f>
        <v>A sacred, magical, and hidden forest cared for by gnomes where Celestials are born. You must have a specific magical key to gain entry here.</v>
      </c>
      <c r="C41" s="16" t="str">
        <f>IFERROR(__xludf.DUMMYFUNCTION("""COMPUTED_VALUE"""),"Land of Spira")</f>
        <v>Land of Spira</v>
      </c>
      <c r="D41" s="16"/>
      <c r="E41" s="98">
        <f>IFERROR(__xludf.DUMMYFUNCTION("""COMPUTED_VALUE"""),1.0E9)</f>
        <v>1000000000</v>
      </c>
      <c r="F41" s="16" t="str">
        <f>IFERROR(__xludf.DUMMYFUNCTION("""COMPUTED_VALUE"""),"Gilder")</f>
        <v>Gilder</v>
      </c>
      <c r="G41" s="16"/>
      <c r="H41" s="16"/>
      <c r="I41" s="16"/>
      <c r="J41" s="16"/>
      <c r="K41" s="16"/>
      <c r="L41" s="16"/>
      <c r="M41" s="16"/>
      <c r="N41" s="16"/>
      <c r="O41" s="16"/>
      <c r="P41" s="16"/>
      <c r="Q41" s="16"/>
      <c r="R41" s="16"/>
      <c r="S41" s="16"/>
      <c r="T41" s="16"/>
      <c r="U41" s="16"/>
      <c r="V41" s="16"/>
      <c r="W41" s="16"/>
      <c r="X41" s="16"/>
      <c r="Y41" s="16"/>
      <c r="Z41" s="16"/>
    </row>
    <row r="42">
      <c r="A42" s="16" t="str">
        <f>IFERROR(__xludf.DUMMYFUNCTION("""COMPUTED_VALUE"""),"The Red Sands")</f>
        <v>The Red Sands</v>
      </c>
      <c r="B42" s="16" t="str">
        <f>IFERROR(__xludf.DUMMYFUNCTION("""COMPUTED_VALUE"""),"Home to The Kingdom of Royal Knights and The Lord of Spira. This is where all of the guards of spira get trained before they become an actual guard and get dispatched to other towns and areas.")</f>
        <v>Home to The Kingdom of Royal Knights and The Lord of Spira. This is where all of the guards of spira get trained before they become an actual guard and get dispatched to other towns and areas.</v>
      </c>
      <c r="C42" s="16" t="str">
        <f>IFERROR(__xludf.DUMMYFUNCTION("""COMPUTED_VALUE"""),"Land of Spira")</f>
        <v>Land of Spira</v>
      </c>
      <c r="D42" s="16"/>
      <c r="E42" s="98">
        <f>IFERROR(__xludf.DUMMYFUNCTION("""COMPUTED_VALUE"""),1.0025E9)</f>
        <v>1002500000</v>
      </c>
      <c r="F42" s="16" t="str">
        <f>IFERROR(__xludf.DUMMYFUNCTION("""COMPUTED_VALUE"""),"Gilder")</f>
        <v>Gilder</v>
      </c>
      <c r="G42" s="16"/>
      <c r="H42" s="16"/>
      <c r="I42" s="16"/>
      <c r="J42" s="16"/>
      <c r="K42" s="16"/>
      <c r="L42" s="16"/>
      <c r="M42" s="16"/>
      <c r="N42" s="16"/>
      <c r="O42" s="16"/>
      <c r="P42" s="16"/>
      <c r="Q42" s="16"/>
      <c r="R42" s="16"/>
      <c r="S42" s="16"/>
      <c r="T42" s="16"/>
      <c r="U42" s="16"/>
      <c r="V42" s="16"/>
      <c r="W42" s="16"/>
      <c r="X42" s="16"/>
      <c r="Y42" s="16"/>
      <c r="Z42" s="16"/>
    </row>
    <row r="43">
      <c r="A43" s="16" t="str">
        <f>IFERROR(__xludf.DUMMYFUNCTION("""COMPUTED_VALUE"""),"The Submerged City Of Tritonoch")</f>
        <v>The Submerged City Of Tritonoch</v>
      </c>
      <c r="B43" s="16" t="str">
        <f>IFERROR(__xludf.DUMMYFUNCTION("""COMPUTED_VALUE"""),"An ancient underwater city ruled by the Kraken himself. ")</f>
        <v>An ancient underwater city ruled by the Kraken himself. </v>
      </c>
      <c r="C43" s="16" t="str">
        <f>IFERROR(__xludf.DUMMYFUNCTION("""COMPUTED_VALUE"""),"Land of Spira")</f>
        <v>Land of Spira</v>
      </c>
      <c r="D43" s="16"/>
      <c r="E43" s="98">
        <f>IFERROR(__xludf.DUMMYFUNCTION("""COMPUTED_VALUE"""),1.0E9)</f>
        <v>1000000000</v>
      </c>
      <c r="F43" s="16" t="str">
        <f>IFERROR(__xludf.DUMMYFUNCTION("""COMPUTED_VALUE"""),"Gilder")</f>
        <v>Gilder</v>
      </c>
      <c r="G43" s="16"/>
      <c r="H43" s="16"/>
      <c r="I43" s="16"/>
      <c r="J43" s="16"/>
      <c r="K43" s="16"/>
      <c r="L43" s="16"/>
      <c r="M43" s="16"/>
      <c r="N43" s="16"/>
      <c r="O43" s="16"/>
      <c r="P43" s="16"/>
      <c r="Q43" s="16"/>
      <c r="R43" s="16"/>
      <c r="S43" s="16"/>
      <c r="T43" s="16"/>
      <c r="U43" s="16"/>
      <c r="V43" s="16"/>
      <c r="W43" s="16"/>
      <c r="X43" s="16"/>
      <c r="Y43" s="16"/>
      <c r="Z43" s="16"/>
    </row>
    <row r="44">
      <c r="A44" s="16" t="str">
        <f>IFERROR(__xludf.DUMMYFUNCTION("""COMPUTED_VALUE"""),"Tower Of Secret Mages")</f>
        <v>Tower Of Secret Mages</v>
      </c>
      <c r="B44" s="16" t="str">
        <f>IFERROR(__xludf.DUMMYFUNCTION("""COMPUTED_VALUE"""),"Home to the Mages Of Spira, You can find a mage of each element here and the Grand Mage at the very top.")</f>
        <v>Home to the Mages Of Spira, You can find a mage of each element here and the Grand Mage at the very top.</v>
      </c>
      <c r="C44" s="16" t="str">
        <f>IFERROR(__xludf.DUMMYFUNCTION("""COMPUTED_VALUE"""),"Land of Spira")</f>
        <v>Land of Spira</v>
      </c>
      <c r="D44" s="16"/>
      <c r="E44" s="98">
        <f>IFERROR(__xludf.DUMMYFUNCTION("""COMPUTED_VALUE"""),1.0E9)</f>
        <v>1000000000</v>
      </c>
      <c r="F44" s="16" t="str">
        <f>IFERROR(__xludf.DUMMYFUNCTION("""COMPUTED_VALUE"""),"Gilder")</f>
        <v>Gilder</v>
      </c>
      <c r="G44" s="16"/>
      <c r="H44" s="16"/>
      <c r="I44" s="16"/>
      <c r="J44" s="16"/>
      <c r="K44" s="16"/>
      <c r="L44" s="16"/>
      <c r="M44" s="16"/>
      <c r="N44" s="16"/>
      <c r="O44" s="16"/>
      <c r="P44" s="16"/>
      <c r="Q44" s="16"/>
      <c r="R44" s="16"/>
      <c r="S44" s="16"/>
      <c r="T44" s="16"/>
      <c r="U44" s="16"/>
      <c r="V44" s="16"/>
      <c r="W44" s="16"/>
      <c r="X44" s="16"/>
      <c r="Y44" s="16"/>
      <c r="Z44" s="16"/>
    </row>
    <row r="45">
      <c r="A45" s="16" t="str">
        <f>IFERROR(__xludf.DUMMYFUNCTION("""COMPUTED_VALUE"""),"WildWood")</f>
        <v>WildWood</v>
      </c>
      <c r="B45" s="16" t="str">
        <f>IFERROR(__xludf.DUMMYFUNCTION("""COMPUTED_VALUE"""),"Wildwood, One of the few towns in Spira where the Spirit of the Wild is kept alive via its shamanisitic rituals and simplistic way of living. Wildwood is located in the far western region of Spira near the Foul Night Swamp and Hallowtown it hosts a deep a"&amp;"nd wild forest that is inhabited by many magical and mundane beasts.
Wildwood holds importance for many different walks of people In the land of Spira for Shamans it is the place where they first learn to harness the power of the spirit, For Cavaliers it"&amp;" is both the homeland of many Cavaliers and the land where the art of Beast Mastery was first created. Hunters come here to prove themselves, and Druids to hone the magic of the WildWood.")</f>
        <v>Wildwood, One of the few towns in Spira where the Spirit of the Wild is kept alive via its shamanisitic rituals and simplistic way of living. Wildwood is located in the far western region of Spira near the Foul Night Swamp and Hallowtown it hosts a deep and wild forest that is inhabited by many magical and mundane beasts.
Wildwood holds importance for many different walks of people In the land of Spira for Shamans it is the place where they first learn to harness the power of the spirit, For Cavaliers it is both the homeland of many Cavaliers and the land where the art of Beast Mastery was first created. Hunters come here to prove themselves, and Druids to hone the magic of the WildWood.</v>
      </c>
      <c r="C45" s="16" t="str">
        <f>IFERROR(__xludf.DUMMYFUNCTION("""COMPUTED_VALUE"""),"Land of Spira")</f>
        <v>Land of Spira</v>
      </c>
      <c r="D45" s="16"/>
      <c r="E45" s="98">
        <f>IFERROR(__xludf.DUMMYFUNCTION("""COMPUTED_VALUE"""),2.3078E9)</f>
        <v>2307800000</v>
      </c>
      <c r="F45" s="16" t="str">
        <f>IFERROR(__xludf.DUMMYFUNCTION("""COMPUTED_VALUE"""),"Gilder")</f>
        <v>Gilder</v>
      </c>
      <c r="G45" s="16"/>
      <c r="H45" s="16"/>
      <c r="I45" s="16"/>
      <c r="J45" s="16"/>
      <c r="K45" s="16"/>
      <c r="L45" s="16"/>
      <c r="M45" s="16"/>
      <c r="N45" s="16"/>
      <c r="O45" s="16"/>
      <c r="P45" s="16"/>
      <c r="Q45" s="16"/>
      <c r="R45" s="16"/>
      <c r="S45" s="16"/>
      <c r="T45" s="16"/>
      <c r="U45" s="16"/>
      <c r="V45" s="16"/>
      <c r="W45" s="16"/>
      <c r="X45" s="16"/>
      <c r="Y45" s="16"/>
      <c r="Z45" s="16"/>
    </row>
    <row r="46">
      <c r="A46" s="16" t="str">
        <f>IFERROR(__xludf.DUMMYFUNCTION("""COMPUTED_VALUE"""),"The World Tree of Spira")</f>
        <v>The World Tree of Spira</v>
      </c>
      <c r="B46" s="16" t="str">
        <f>IFERROR(__xludf.DUMMYFUNCTION("""COMPUTED_VALUE"""),"Deep within the heart of Spira, a mystical and colossal entity known as The World Tree stands as the linchpin connecting The Land of Spira, Abstara, and Solreach. This ancient arboreal wonder, woven into existence by the enigmatic Phantom of Spira many ce"&amp;"nturies ago, is not merely a tree but a cosmic nexus that binds the fates of these three worlds.
Key Elements of The World Tree:
Creation by The Phantom of Spira:
In a time long forgotten, The Phantom of Spira, a mysterious and powerful entity, wove The"&amp;" World Tree into existence. Its roots delved deep into the essence of Spira, its branches reaching out to touch the realms of Abstara and Solreach.
Guardian Spirits and Ancients:
The World Tree is not just a physical entity but a spiritual conduit. Guard"&amp;"ian spirits and ancient beings reside within its sacred groves, serving as protectors and stewards of the delicate balance it maintains among the three interconnected worlds.
Ethereal Lifeforce Threads:
Energy threads, like luminescent veins, extend from"&amp;" The World Tree into each realm. These threads carry the vital lifeforce that sustains the lands, ensuring harmony and preventing the descent into chaos.
The Heartwood Nexus:
At the center of The World Tree lies the Heartwood Nexus, a focal point of unim"&amp;"aginable power. It is here that the balance between realms is delicately maintained, and disruptions to this nexus could have catastrophic consequences for Spira, Abstara, and Solreach.
Celestial Guardians:
Celestial beings, drawn to the transcendent aur"&amp;"a of The World Tree, act as ethereal guardians. Their purpose is to ward off any malevolent forces seeking to exploit or disrupt the delicate equilibrium woven into the fabric of these interconnected worlds.
Ceremonial Gatherings:
Periodically, represent"&amp;"atives from each realm gather beneath The World Tree for ceremonial occasions. These gatherings foster understanding, cooperation, and the exchange of wisdom, reinforcing the interconnectedness of the three worlds.
Potential Threats:
While The World Tre"&amp;"e serves as a bastion of harmony, it is not immune to external threats. Malevolent forces, both mortal and supernatural, seek to exploit its power for their own nefarious purposes. Disrupting the lifeforce threads or corrupting the Heartwood Nexus could p"&amp;"lunge the three realms into chaos, unleashing untold consequences.
Adventurers, guided by the call of destiny, may find themselves tasked with safeguarding The World Tree from these looming threats. The fate of Spira, Abstara, and Solreach rests in the b"&amp;"alance, and only those with the courage to protect the nexus can prevent the impending catastrophe.")</f>
        <v>Deep within the heart of Spira, a mystical and colossal entity known as The World Tree stands as the linchpin connecting The Land of Spira, Abstara, and Solreach. This ancient arboreal wonder, woven into existence by the enigmatic Phantom of Spira many centuries ago, is not merely a tree but a cosmic nexus that binds the fates of these three worlds.
Key Elements of The World Tree:
Creation by The Phantom of Spira:
In a time long forgotten, The Phantom of Spira, a mysterious and powerful entity, wove The World Tree into existence. Its roots delved deep into the essence of Spira, its branches reaching out to touch the realms of Abstara and Solreach.
Guardian Spirits and Ancients:
The World Tree is not just a physical entity but a spiritual conduit. Guardian spirits and ancient beings reside within its sacred groves, serving as protectors and stewards of the delicate balance it maintains among the three interconnected worlds.
Ethereal Lifeforce Threads:
Energy threads, like luminescent veins, extend from The World Tree into each realm. These threads carry the vital lifeforce that sustains the lands, ensuring harmony and preventing the descent into chaos.
The Heartwood Nexus:
At the center of The World Tree lies the Heartwood Nexus, a focal point of unimaginable power. It is here that the balance between realms is delicately maintained, and disruptions to this nexus could have catastrophic consequences for Spira, Abstara, and Solreach.
Celestial Guardians:
Celestial beings, drawn to the transcendent aura of The World Tree, act as ethereal guardians. Their purpose is to ward off any malevolent forces seeking to exploit or disrupt the delicate equilibrium woven into the fabric of these interconnected worlds.
Ceremonial Gatherings:
Periodically, representatives from each realm gather beneath The World Tree for ceremonial occasions. These gatherings foster understanding, cooperation, and the exchange of wisdom, reinforcing the interconnectedness of the three worlds.
Potential Threats:
While The World Tree serves as a bastion of harmony, it is not immune to external threats. Malevolent forces, both mortal and supernatural, seek to exploit its power for their own nefarious purposes. Disrupting the lifeforce threads or corrupting the Heartwood Nexus could plunge the three realms into chaos, unleashing untold consequences.
Adventurers, guided by the call of destiny, may find themselves tasked with safeguarding The World Tree from these looming threats. The fate of Spira, Abstara, and Solreach rests in the balance, and only those with the courage to protect the nexus can prevent the impending catastrophe.</v>
      </c>
      <c r="C46" s="16" t="str">
        <f>IFERROR(__xludf.DUMMYFUNCTION("""COMPUTED_VALUE"""),"Land of Spira")</f>
        <v>Land of Spira</v>
      </c>
      <c r="D46" s="16"/>
      <c r="E46" s="98">
        <f>IFERROR(__xludf.DUMMYFUNCTION("""COMPUTED_VALUE"""),1.1032E9)</f>
        <v>1103200000</v>
      </c>
      <c r="F46" s="16" t="str">
        <f>IFERROR(__xludf.DUMMYFUNCTION("""COMPUTED_VALUE"""),"Gilder")</f>
        <v>Gilder</v>
      </c>
      <c r="G46" s="16"/>
      <c r="H46" s="16"/>
      <c r="I46" s="16"/>
      <c r="J46" s="16"/>
      <c r="K46" s="16"/>
      <c r="L46" s="16"/>
      <c r="M46" s="16"/>
      <c r="N46" s="16"/>
      <c r="O46" s="16"/>
      <c r="P46" s="16"/>
      <c r="Q46" s="16"/>
      <c r="R46" s="16"/>
      <c r="S46" s="16"/>
      <c r="T46" s="16"/>
      <c r="U46" s="16"/>
      <c r="V46" s="16"/>
      <c r="W46" s="16"/>
      <c r="X46" s="16"/>
      <c r="Y46" s="16"/>
      <c r="Z46" s="16"/>
    </row>
    <row r="47">
      <c r="A47" s="16" t="str">
        <f>IFERROR(__xludf.DUMMYFUNCTION("""COMPUTED_VALUE"""),"Zhenmay")</f>
        <v>Zhenmay</v>
      </c>
      <c r="B47" s="16" t="str">
        <f>IFERROR(__xludf.DUMMYFUNCTION("""COMPUTED_VALUE"""),"In the heart of the vast and mystical Spira lies the serene and enigmatic realm of Zhenmay. This Asian-inspired empire is a testament to the harmonious coexistence of tradition, spirituality, and martial prowess. Ruled by a wise and just emperor, Zhenmay "&amp;"stands as a beacon of balance and tranquility.
The core philosophy of Zhenmay revolves around the concept of Chi, the life force that flows through every living being and the world itself. Monks, revered as the spiritual guardians of the land, dedicate t"&amp;"heir lives to understanding and manipulating this ethereal energy to restore balance whenever disharmony threatens.
Key Features of Zhenmay:
Imperial Palace of Tranquil Wisdom: At the heart of Zhenmay, the Imperial Palace stands as a testament to ar"&amp;"chitectural splendor and spiritual enlightenment. The emperor, known for his sagacity, resides here, guiding the destiny of the empire with wisdom and fairness.
Monasteries of Chi Mastery: Scattered across the picturesque landscapes, the monasteries ar"&amp;"e hubs of spiritual training. Monks undergo rigorous discipline, learning martial arts, meditation, and Chi manipulation to serve as the guardians of Zhenmay's equilibrium.
Bamboo Forests of Whispers: The Bamboo Forests, a symbol of flexibility and str"&amp;"ength, envelop many regions of Zhenmay. The soft rustling of bamboo leaves is said to convey the whispers of ancient wisdom, guiding those who listen towards enlightenment.
Dragon Peaks of Ascension: Towering mountain ranges, known as the Dragon Peaks,"&amp;" punctuate the horizon. Monastic retreats perch on these peaks, serving as both sanctuaries and training grounds for monks seeking to elevate their connection with Chi.
Lantern-Lit Waterways: Zhenmay's cities are connected by intricate waterways adorne"&amp;"d with lanterns that illuminate the path of travelers. These waterways are not just conduits for trade but also serve as metaphors for the interconnected flow of Chi through the empire.
Festivals of Equilibrium: Zhenmay celebrates annual festivals wher"&amp;"e citizens and monks come together to honor the balance of Chi. These festivals involve elaborate ceremonies, martial arts displays, and communal meditation, fostering a sense of unity among the people.")</f>
        <v>In the heart of the vast and mystical Spira lies the serene and enigmatic realm of Zhenmay. This Asian-inspired empire is a testament to the harmonious coexistence of tradition, spirituality, and martial prowess. Ruled by a wise and just emperor, Zhenmay stands as a beacon of balance and tranquility.
The core philosophy of Zhenmay revolves around the concept of Chi, the life force that flows through every living being and the world itself. Monks, revered as the spiritual guardians of the land, dedicate their lives to understanding and manipulating this ethereal energy to restore balance whenever disharmony threatens.
Key Features of Zhenmay:
Imperial Palace of Tranquil Wisdom: At the heart of Zhenmay, the Imperial Palace stands as a testament to architectural splendor and spiritual enlightenment. The emperor, known for his sagacity, resides here, guiding the destiny of the empire with wisdom and fairness.
Monasteries of Chi Mastery: Scattered across the picturesque landscapes, the monasteries are hubs of spiritual training. Monks undergo rigorous discipline, learning martial arts, meditation, and Chi manipulation to serve as the guardians of Zhenmay's equilibrium.
Bamboo Forests of Whispers: The Bamboo Forests, a symbol of flexibility and strength, envelop many regions of Zhenmay. The soft rustling of bamboo leaves is said to convey the whispers of ancient wisdom, guiding those who listen towards enlightenment.
Dragon Peaks of Ascension: Towering mountain ranges, known as the Dragon Peaks, punctuate the horizon. Monastic retreats perch on these peaks, serving as both sanctuaries and training grounds for monks seeking to elevate their connection with Chi.
Lantern-Lit Waterways: Zhenmay's cities are connected by intricate waterways adorned with lanterns that illuminate the path of travelers. These waterways are not just conduits for trade but also serve as metaphors for the interconnected flow of Chi through the empire.
Festivals of Equilibrium: Zhenmay celebrates annual festivals where citizens and monks come together to honor the balance of Chi. These festivals involve elaborate ceremonies, martial arts displays, and communal meditation, fostering a sense of unity among the people.</v>
      </c>
      <c r="C47" s="16" t="str">
        <f>IFERROR(__xludf.DUMMYFUNCTION("""COMPUTED_VALUE"""),"Land of Spira")</f>
        <v>Land of Spira</v>
      </c>
      <c r="D47" s="16"/>
      <c r="E47" s="98">
        <f>IFERROR(__xludf.DUMMYFUNCTION("""COMPUTED_VALUE"""),1.53E9)</f>
        <v>1530000000</v>
      </c>
      <c r="F47" s="16" t="str">
        <f>IFERROR(__xludf.DUMMYFUNCTION("""COMPUTED_VALUE"""),"Gilder")</f>
        <v>Gilder</v>
      </c>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t="str">
        <f>IFERROR(__xludf.DUMMYFUNCTION("""COMPUTED_VALUE"""),"Abyssville")</f>
        <v>Abyssville</v>
      </c>
      <c r="B49" s="16" t="str">
        <f>IFERROR(__xludf.DUMMYFUNCTION("""COMPUTED_VALUE"""),"This city is unlike any other, as it's nestled within the depths of a vast and foreboding abyss that stretches deep within the heart of the underworld. The origins of Abyssville are steeped in ancient legends and forgotten tales, revealing a rich history "&amp;"that dates back to the earliest days of Abstara's existence.
In the primordial times, when the world was still young and its surface teemed with vibrant life, the gods of Abstara looked upon their creation with both wonder and concern. They observed the "&amp;"rise and fall of civilizations, the weaving tapestry of mortal ambitions, and the ever-present cycle of light and darkness. Yet, beneath the earth's surface, hidden from the watchful eyes of the gods, another realm thrived – the abyss.
The abyss was a ch"&amp;"asm that defied reason, a seemingly endless void that twisted and wound its way through the very core of Abstara. This chasm was born from the tumultuous energies that had shaped the world in its infancy, a scar in the fabric of reality that led to places"&amp;" both miraculous and terrifying.
As eons passed, a group of intrepid explorers, driven by insatiable curiosity and the desire for adventure, descended into the abyss. Among them was a visionary named Valeria, a sage with a heart full of wonder and a mind"&amp;" overflowing with knowledge. She was accompanied by a motley crew of scholars, artisans, and warriors, each seeking to unravel the mysteries of the abyss.
Upon reaching its depths, they discovered something astonishing – a shimmering, otherworldly expans"&amp;"e unlike anything they had ever seen. This was the heart of the abyss, a realm where time danced to its own rhythm, and the boundaries between reality and the ethereal blurred. Here, they decided to create a haven, a sanctuary where those who felt a deep "&amp;"connection to the abyss could gather and forge their own destinies.
With determination and the guidance of Valeria, the explorers shaped the abyss itself, using its unique energies to craft a city that defied the conventions of both the surface and the u"&amp;"nderworld. Towers of iridescent crystal reached towards the unknown above, while intricate passages wound their way through the chasm's depths. The city's architecture was a fusion of the natural and the supernatural, reflecting the profound connection it"&amp;"s inhabitants shared with the abyss.
Over time, Abyssville flourished. The city became a hub of knowledge, where scholars and mages delved into the secrets of the abyss, artisans crafted wondrous works of art inspired by its energies, and adventurers sou"&amp;"ght to uncover the truth hidden within its depths. The citizens of Abyssville came from all walks of life, united by their reverence for the abyss and their desire to unlock its potential.
As generations passed, the city's legacy grew. Valeria, once a mo"&amp;"rtal explorer, became an enigmatic figure, said to possess insights into the very nature of the abyss itself. Her wisdom was sought by all who called Abyssville home, and her guidance helped the city navigate challenges and embrace its destiny.
However, "&amp;"like any place shaped by diverse perspectives, Abyssville was not without its tensions. Different factions emerged, each with their own interpretation of the abyss's purpose and potential. Some believed in harnessing its energies for the betterment of Abs"&amp;"tara's surface world, while others advocated for preserving its mysteries, fearing the consequences of meddling with forces beyond mortal comprehension.
And so, as the present era dawns, Abyssville stands at a crossroads. Its history is a testament to th"&amp;"e power of curiosity, determination, and the eternal quest for understanding. Its future remains uncertain, as its inhabitants must navigate the complexities of their own ambitions, the conflicts that arise from differing viewpoints, and the enigmatic dep"&amp;"ths of the abyss that both shelters and challenges them.")</f>
        <v>This city is unlike any other, as it's nestled within the depths of a vast and foreboding abyss that stretches deep within the heart of the underworld. The origins of Abyssville are steeped in ancient legends and forgotten tales, revealing a rich history that dates back to the earliest days of Abstara's existence.
In the primordial times, when the world was still young and its surface teemed with vibrant life, the gods of Abstara looked upon their creation with both wonder and concern. They observed the rise and fall of civilizations, the weaving tapestry of mortal ambitions, and the ever-present cycle of light and darkness. Yet, beneath the earth's surface, hidden from the watchful eyes of the gods, another realm thrived – the abyss.
The abyss was a chasm that defied reason, a seemingly endless void that twisted and wound its way through the very core of Abstara. This chasm was born from the tumultuous energies that had shaped the world in its infancy, a scar in the fabric of reality that led to places both miraculous and terrifying.
As eons passed, a group of intrepid explorers, driven by insatiable curiosity and the desire for adventure, descended into the abyss. Among them was a visionary named Valeria, a sage with a heart full of wonder and a mind overflowing with knowledge. She was accompanied by a motley crew of scholars, artisans, and warriors, each seeking to unravel the mysteries of the abyss.
Upon reaching its depths, they discovered something astonishing – a shimmering, otherworldly expanse unlike anything they had ever seen. This was the heart of the abyss, a realm where time danced to its own rhythm, and the boundaries between reality and the ethereal blurred. Here, they decided to create a haven, a sanctuary where those who felt a deep connection to the abyss could gather and forge their own destinies.
With determination and the guidance of Valeria, the explorers shaped the abyss itself, using its unique energies to craft a city that defied the conventions of both the surface and the underworld. Towers of iridescent crystal reached towards the unknown above, while intricate passages wound their way through the chasm's depths. The city's architecture was a fusion of the natural and the supernatural, reflecting the profound connection its inhabitants shared with the abyss.
Over time, Abyssville flourished. The city became a hub of knowledge, where scholars and mages delved into the secrets of the abyss, artisans crafted wondrous works of art inspired by its energies, and adventurers sought to uncover the truth hidden within its depths. The citizens of Abyssville came from all walks of life, united by their reverence for the abyss and their desire to unlock its potential.
As generations passed, the city's legacy grew. Valeria, once a mortal explorer, became an enigmatic figure, said to possess insights into the very nature of the abyss itself. Her wisdom was sought by all who called Abyssville home, and her guidance helped the city navigate challenges and embrace its destiny.
However, like any place shaped by diverse perspectives, Abyssville was not without its tensions. Different factions emerged, each with their own interpretation of the abyss's purpose and potential. Some believed in harnessing its energies for the betterment of Abstara's surface world, while others advocated for preserving its mysteries, fearing the consequences of meddling with forces beyond mortal comprehension.
And so, as the present era dawns, Abyssville stands at a crossroads. Its history is a testament to the power of curiosity, determination, and the eternal quest for understanding. Its future remains uncertain, as its inhabitants must navigate the complexities of their own ambitions, the conflicts that arise from differing viewpoints, and the enigmatic depths of the abyss that both shelters and challenges them.</v>
      </c>
      <c r="C49" s="16" t="str">
        <f>IFERROR(__xludf.DUMMYFUNCTION("""COMPUTED_VALUE"""),"Abstara")</f>
        <v>Abstara</v>
      </c>
      <c r="D49" s="16"/>
      <c r="E49" s="98">
        <f>IFERROR(__xludf.DUMMYFUNCTION("""COMPUTED_VALUE"""),1.0E9)</f>
        <v>1000000000</v>
      </c>
      <c r="F49" s="16" t="str">
        <f>IFERROR(__xludf.DUMMYFUNCTION("""COMPUTED_VALUE"""),"UndeadCoin")</f>
        <v>UndeadCoin</v>
      </c>
      <c r="G49" s="16"/>
      <c r="H49" s="16"/>
      <c r="I49" s="16"/>
      <c r="J49" s="16"/>
      <c r="K49" s="16"/>
      <c r="L49" s="16"/>
      <c r="M49" s="16"/>
      <c r="N49" s="16"/>
      <c r="O49" s="16"/>
      <c r="P49" s="16"/>
      <c r="Q49" s="16"/>
      <c r="R49" s="16"/>
      <c r="S49" s="16"/>
      <c r="T49" s="16"/>
      <c r="U49" s="16"/>
      <c r="V49" s="16"/>
      <c r="W49" s="16"/>
      <c r="X49" s="16"/>
      <c r="Y49" s="16"/>
      <c r="Z49" s="16"/>
    </row>
    <row r="50">
      <c r="A50" s="16" t="str">
        <f>IFERROR(__xludf.DUMMYFUNCTION("""COMPUTED_VALUE"""),"Chaotic Village of Suffering")</f>
        <v>Chaotic Village of Suffering</v>
      </c>
      <c r="B50" s="16" t="str">
        <f>IFERROR(__xludf.DUMMYFUNCTION("""COMPUTED_VALUE"""),"This village is a haunting testament to the malevolence of a cruel and powerful being whose dark ambitions cast a pall over its once-tranquil existence. The origins of this village are a tale of heartbreak, torment, and the struggle of tortured souls agai"&amp;"nst the grip of an insidious force.
Abstara was once a realm of balance, where the cosmic energies of creation and destruction intertwined harmoniously. Among the cosmic entities that watched over this realm, there existed a being known as Varkul, an eni"&amp;"gmatic and powerful entity who held dominion over the forces of suffering and pain. Varkul's insatiable hunger for power and dominance led him down a treacherous path, one that drove him to feed upon the agony of mortal souls.
In a remote corner of Absta"&amp;"ra, nestled within a valley that seemed untouched by time itself, lay a peaceful village named Eldenbrook. Its residents lived in harmony with the land, cherishing the simple joys of life and embracing the natural world around them. However, their tranqui"&amp;"l existence would soon be shattered by the arrival of Varkul.
Varkul descended upon Eldenbrook with a maelstrom of darkness and cruelty. Using his malevolent powers, he subjected the villagers to unimaginable tortures that twisted their minds and souls, "&amp;"weaving a tapestry of despair and suffering. The once-cheerful Eldenbrook became the Chaotic Village of Suffering, a place where agony was etched into every stone, and the very air was thick with the echoes of torment.
As the village's inhabitants endure"&amp;"d untold pain, their anguish became a wellspring of power for Varkul. He reveled in their misery, feeding on their suffering and growing stronger with every anguished cry. The villagers' spirits were broken, their hope extinguished, and they existed in a "&amp;"perpetual state of torment, trapped between the realms of the living and the dead.
Amidst the darkness, a glimmer of resistance emerged. A small group of villagers, their will to survive unbroken, banded together to oppose Varkul's reign of terror. Led b"&amp;"y a determined and courageous figure named Elysia, this group sought a way to free their village from the malevolent clutches of Varkul. With ancient lore and forbidden rituals, they forged a bond with spirits of light and hope, channeling their strength "&amp;"to confront the darkness that had consumed Eldenbrook.
In a climactic battle that spanned both the physical and metaphysical realms, Elysia and her allies faced off against Varkul. Their determination and sacrifice managed to weaken his grasp on the vill"&amp;"age, allowing the spirits of light to pierce through the darkness. With a final surge of power, the group managed to banish Varkul from Eldenbrook, severing his connection to the tortured souls and freeing them from their eternal suffering.
While the vil"&amp;"lage was saved from Varkul's grasp, the scars of its tormented past remained. Elysia and her companions chose to stay behind, becoming guardians of the village and its history. They ensured that the stories of the suffering endured would be remembered, se"&amp;"rving as a grim reminder of the darkness that had once tainted the land.
Today, the Chaotic Village of Suffering stands as a testament to the resilience of those who fought against cruelty and a reminder that even in the bleakest of times, hope can still"&amp;" shine. Its streets and buildings bear the marks of the horrors that transpired, a somber landscape that serves as both a memorial and a warning. The village's tortured history is woven into the very fabric of Abstara, a tale of darkness and redemption th"&amp;"at echoes through the ages.")</f>
        <v>This village is a haunting testament to the malevolence of a cruel and powerful being whose dark ambitions cast a pall over its once-tranquil existence. The origins of this village are a tale of heartbreak, torment, and the struggle of tortured souls against the grip of an insidious force.
Abstara was once a realm of balance, where the cosmic energies of creation and destruction intertwined harmoniously. Among the cosmic entities that watched over this realm, there existed a being known as Varkul, an enigmatic and powerful entity who held dominion over the forces of suffering and pain. Varkul's insatiable hunger for power and dominance led him down a treacherous path, one that drove him to feed upon the agony of mortal souls.
In a remote corner of Abstara, nestled within a valley that seemed untouched by time itself, lay a peaceful village named Eldenbrook. Its residents lived in harmony with the land, cherishing the simple joys of life and embracing the natural world around them. However, their tranquil existence would soon be shattered by the arrival of Varkul.
Varkul descended upon Eldenbrook with a maelstrom of darkness and cruelty. Using his malevolent powers, he subjected the villagers to unimaginable tortures that twisted their minds and souls, weaving a tapestry of despair and suffering. The once-cheerful Eldenbrook became the Chaotic Village of Suffering, a place where agony was etched into every stone, and the very air was thick with the echoes of torment.
As the village's inhabitants endured untold pain, their anguish became a wellspring of power for Varkul. He reveled in their misery, feeding on their suffering and growing stronger with every anguished cry. The villagers' spirits were broken, their hope extinguished, and they existed in a perpetual state of torment, trapped between the realms of the living and the dead.
Amidst the darkness, a glimmer of resistance emerged. A small group of villagers, their will to survive unbroken, banded together to oppose Varkul's reign of terror. Led by a determined and courageous figure named Elysia, this group sought a way to free their village from the malevolent clutches of Varkul. With ancient lore and forbidden rituals, they forged a bond with spirits of light and hope, channeling their strength to confront the darkness that had consumed Eldenbrook.
In a climactic battle that spanned both the physical and metaphysical realms, Elysia and her allies faced off against Varkul. Their determination and sacrifice managed to weaken his grasp on the village, allowing the spirits of light to pierce through the darkness. With a final surge of power, the group managed to banish Varkul from Eldenbrook, severing his connection to the tortured souls and freeing them from their eternal suffering.
While the village was saved from Varkul's grasp, the scars of its tormented past remained. Elysia and her companions chose to stay behind, becoming guardians of the village and its history. They ensured that the stories of the suffering endured would be remembered, serving as a grim reminder of the darkness that had once tainted the land.
Today, the Chaotic Village of Suffering stands as a testament to the resilience of those who fought against cruelty and a reminder that even in the bleakest of times, hope can still shine. Its streets and buildings bear the marks of the horrors that transpired, a somber landscape that serves as both a memorial and a warning. The village's tortured history is woven into the very fabric of Abstara, a tale of darkness and redemption that echoes through the ages.</v>
      </c>
      <c r="C50" s="16" t="str">
        <f>IFERROR(__xludf.DUMMYFUNCTION("""COMPUTED_VALUE"""),"Abstara")</f>
        <v>Abstara</v>
      </c>
      <c r="D50" s="16"/>
      <c r="E50" s="98">
        <f>IFERROR(__xludf.DUMMYFUNCTION("""COMPUTED_VALUE"""),1.0E9)</f>
        <v>1000000000</v>
      </c>
      <c r="F50" s="16" t="str">
        <f>IFERROR(__xludf.DUMMYFUNCTION("""COMPUTED_VALUE"""),"UndeadCoin")</f>
        <v>UndeadCoin</v>
      </c>
      <c r="G50" s="16"/>
      <c r="H50" s="16"/>
      <c r="I50" s="16"/>
      <c r="J50" s="16"/>
      <c r="K50" s="16"/>
      <c r="L50" s="16"/>
      <c r="M50" s="16"/>
      <c r="N50" s="16"/>
      <c r="O50" s="16"/>
      <c r="P50" s="16"/>
      <c r="Q50" s="16"/>
      <c r="R50" s="16"/>
      <c r="S50" s="16"/>
      <c r="T50" s="16"/>
      <c r="U50" s="16"/>
      <c r="V50" s="16"/>
      <c r="W50" s="16"/>
      <c r="X50" s="16"/>
      <c r="Y50" s="16"/>
      <c r="Z50" s="16"/>
    </row>
    <row r="51">
      <c r="A51" s="16" t="str">
        <f>IFERROR(__xludf.DUMMYFUNCTION("""COMPUTED_VALUE"""),"City of Flames")</f>
        <v>City of Flames</v>
      </c>
      <c r="B51" s="16" t="str">
        <f>IFERROR(__xludf.DUMMYFUNCTION("""COMPUTED_VALUE"""),"This sprawling metropolis, forged entirely from roaring fire and molten stone, stands as a stark testament to the dominion of the Demon King and Demon Queen, the malevolent rulers who hold the realm in their fiery grasp. The origins of the City of Flames "&amp;"are a tale of rebellion, power, and the unforgiving allure of darkness.
Long before the City of Flames came into existence, Abstara was a realm of diverse landscapes and cosmic energies. It was a realm of both creation and destruction, where the forces o"&amp;"f light and darkness waged an eternal struggle. Among the entities that emerged from the shadows of the abyss were the Demon King and Demon Queen, powerful beings who sought to claim Abstara as their domain.
These two demonic figures, whose names have be"&amp;"en lost to time, possessed immense power over the flames and shadows that danced through the realm. Their ambitions were fueled by a thirst for dominance and the desire to reshape Abstara in their image. With dark sorcery and relentless cunning, they rall"&amp;"ied legions of lesser demons to their cause, waging war against the celestial forces of light that sought to maintain the balance.
As their forces clashed in a cataclysmic battle that shook the very foundations of Abstara, the Demon King and Queen unveil"&amp;"ed a plan that would forever alter the course of the realm's history. Drawing upon their mastery over fire, they summoned forth an inferno of such intensity that it consumed entire landscapes, leaving naught but ash in its wake. From the flames, they cons"&amp;"tructed the City of Flames, a city-size conflagration that defied the laws of nature and reality.
The City of Flames became a manifestation of their dominion, a place where fire danced through the air like living beings and molten stone formed labyrinthi"&amp;"ne streets. The buildings themselves were forged from the very essence of heat, their architecture both awe-inspiring and terrifying. Amidst the towering inferno, the Demon King and Queen established their thrones, ruling with a malevolent authority that "&amp;"sent shivers through the hearts of even the bravest souls.
As time passed, the City of Flames grew, fueled not only by the demonic power of its rulers but also by the pain and suffering of those who dared to oppose them. The Demon King and Queen claimed "&amp;"countless souls, bending their wills and fanning the flames of chaos to new heights. The city's streets echoed with cries of torment and the eerie howling of the damned, creating a symphony of suffering that bore witness to the dark rulers' dominance.
In"&amp;" the present day, the City of Flames stands as a testament to the unchecked power of darkness and the enduring struggle between light and shadow. The inferno burns eternal, a stark reminder of the cost of rebellion and the seductive allure of power. The C"&amp;"ity of Flames serves as a chilling backdrop to the realm of Abstara, a place where the fiery dance of destruction and creation plays out, and the malevolent rulers who forged its existence continue to exert their infernal control over their realm of flame"&amp;"s and shadows.")</f>
        <v>This sprawling metropolis, forged entirely from roaring fire and molten stone, stands as a stark testament to the dominion of the Demon King and Demon Queen, the malevolent rulers who hold the realm in their fiery grasp. The origins of the City of Flames are a tale of rebellion, power, and the unforgiving allure of darkness.
Long before the City of Flames came into existence, Abstara was a realm of diverse landscapes and cosmic energies. It was a realm of both creation and destruction, where the forces of light and darkness waged an eternal struggle. Among the entities that emerged from the shadows of the abyss were the Demon King and Demon Queen, powerful beings who sought to claim Abstara as their domain.
These two demonic figures, whose names have been lost to time, possessed immense power over the flames and shadows that danced through the realm. Their ambitions were fueled by a thirst for dominance and the desire to reshape Abstara in their image. With dark sorcery and relentless cunning, they rallied legions of lesser demons to their cause, waging war against the celestial forces of light that sought to maintain the balance.
As their forces clashed in a cataclysmic battle that shook the very foundations of Abstara, the Demon King and Queen unveiled a plan that would forever alter the course of the realm's history. Drawing upon their mastery over fire, they summoned forth an inferno of such intensity that it consumed entire landscapes, leaving naught but ash in its wake. From the flames, they constructed the City of Flames, a city-size conflagration that defied the laws of nature and reality.
The City of Flames became a manifestation of their dominion, a place where fire danced through the air like living beings and molten stone formed labyrinthine streets. The buildings themselves were forged from the very essence of heat, their architecture both awe-inspiring and terrifying. Amidst the towering inferno, the Demon King and Queen established their thrones, ruling with a malevolent authority that sent shivers through the hearts of even the bravest souls.
As time passed, the City of Flames grew, fueled not only by the demonic power of its rulers but also by the pain and suffering of those who dared to oppose them. The Demon King and Queen claimed countless souls, bending their wills and fanning the flames of chaos to new heights. The city's streets echoed with cries of torment and the eerie howling of the damned, creating a symphony of suffering that bore witness to the dark rulers' dominance.
In the present day, the City of Flames stands as a testament to the unchecked power of darkness and the enduring struggle between light and shadow. The inferno burns eternal, a stark reminder of the cost of rebellion and the seductive allure of power. The City of Flames serves as a chilling backdrop to the realm of Abstara, a place where the fiery dance of destruction and creation plays out, and the malevolent rulers who forged its existence continue to exert their infernal control over their realm of flames and shadows.</v>
      </c>
      <c r="C51" s="16" t="str">
        <f>IFERROR(__xludf.DUMMYFUNCTION("""COMPUTED_VALUE"""),"Abstara")</f>
        <v>Abstara</v>
      </c>
      <c r="D51" s="16"/>
      <c r="E51" s="98">
        <f>IFERROR(__xludf.DUMMYFUNCTION("""COMPUTED_VALUE"""),1.0E9)</f>
        <v>1000000000</v>
      </c>
      <c r="F51" s="16" t="str">
        <f>IFERROR(__xludf.DUMMYFUNCTION("""COMPUTED_VALUE"""),"UndeadCoin")</f>
        <v>UndeadCoin</v>
      </c>
      <c r="G51" s="16"/>
      <c r="H51" s="16"/>
      <c r="I51" s="16"/>
      <c r="J51" s="16"/>
      <c r="K51" s="16"/>
      <c r="L51" s="16"/>
      <c r="M51" s="16"/>
      <c r="N51" s="16"/>
      <c r="O51" s="16"/>
      <c r="P51" s="16"/>
      <c r="Q51" s="16"/>
      <c r="R51" s="16"/>
      <c r="S51" s="16"/>
      <c r="T51" s="16"/>
      <c r="U51" s="16"/>
      <c r="V51" s="16"/>
      <c r="W51" s="16"/>
      <c r="X51" s="16"/>
      <c r="Y51" s="16"/>
      <c r="Z51" s="16"/>
    </row>
    <row r="52">
      <c r="A52" s="16" t="str">
        <f>IFERROR(__xludf.DUMMYFUNCTION("""COMPUTED_VALUE"""),"City of Undying")</f>
        <v>City of Undying</v>
      </c>
      <c r="B52" s="16" t="str">
        <f>IFERROR(__xludf.DUMMYFUNCTION("""COMPUTED_VALUE"""),"This enigmatic city, hidden within the heart of Abstara's abyssal depths, holds secrets that reach back to the dawn of creation and offer glimpses into a future yet to unfold.
Long before the City of Undying came into existence, Abstara was a realm teemi"&amp;"ng with cosmic energies, a crucible of creation and destruction where forces of light and darkness interplayed. Amidst this eternal dance, a being of unparalleled power emerged, known simply as the Eternal Sovereign. This entity, whose true form remained "&amp;"veiled in enigma, sought to create a bastion that transcended the limitations of time and mortality.
Drawing upon the very essence of Abstara itself, the Eternal Sovereign orchestrated the creation of the City of Undying. This city would stand as a testa"&amp;"ment to the ambition of defying the cycle of life and death. Its construction was a feat of magic, weaving threads of reality together with strands of the eternal. As the city took shape, its buildings rose like ethereal spires from the abyssal depths, fo"&amp;"rming a mesmerizing skyline that seemed to touch the very heavens.
The City of Undying became a realm where the boundaries of existence and non-existence blurred. Time flowed differently within its confines, its denizens existing in a state of perpetual "&amp;"twilight. Mortals who wandered into its realm found their lifespans prolonged, their aging slowed, and their connection to time itself altered. Yet, with this gift came a price – the city's inhabitants became bound to the City of Undying, unable to leave "&amp;"its ethereal embrace.
As the centuries passed, the Eternal Sovereign revealed themselves as a being that embodied the convergence of past, present, and future. They guided the inhabitants of the City of Undying, sharing visions of events yet to come and "&amp;"weaving together the threads of fate. The city became a place of knowledge and enlightenment, where scholars, mystics, and seekers of wisdom congregated to learn the secrets of time and eternity.
However, not all embraced the city's gifts willingly. Some"&amp;" sought to escape its ethereal grasp, believing that true existence lay beyond its boundaries. A group of these rebels, known as the Forsaken, discovered ancient texts that hinted at the city's origins and the consequences of defying the cosmic order. Dri"&amp;"ven by their desire for freedom, they attempted to tear down the city's enchantments and release its inhabitants from their eternal bonds.
In response to the Forsaken's rebellion, the Eternal Sovereign's power surged. A cataclysmic clash between the defe"&amp;"nders of the city and the rebels tore through the fabric of reality itself, causing ripples that resonated throughout Abstara. The Forsaken were defeated, their aspirations of liberation shattered, and the city's defenses fortified. The Eternal Sovereign,"&amp;" their true nature still veiled, emerged as both protector and arbiter of the city's fate.
In the present era, the City of Undying remains a realm of twilight and enigma. Its streets are alive with the hum of arcane energies and the whispers of the futur"&amp;"e. The inhabitants, forever bound to the city's embrace, continue to seek knowledge and purpose in a world where time bends to their very will. The City of Undying stands as a convergence of past and future, a nexus where the threads of destiny are woven "&amp;"and the eternal dance of existence unfolds in ways that defy comprehension.")</f>
        <v>This enigmatic city, hidden within the heart of Abstara's abyssal depths, holds secrets that reach back to the dawn of creation and offer glimpses into a future yet to unfold.
Long before the City of Undying came into existence, Abstara was a realm teeming with cosmic energies, a crucible of creation and destruction where forces of light and darkness interplayed. Amidst this eternal dance, a being of unparalleled power emerged, known simply as the Eternal Sovereign. This entity, whose true form remained veiled in enigma, sought to create a bastion that transcended the limitations of time and mortality.
Drawing upon the very essence of Abstara itself, the Eternal Sovereign orchestrated the creation of the City of Undying. This city would stand as a testament to the ambition of defying the cycle of life and death. Its construction was a feat of magic, weaving threads of reality together with strands of the eternal. As the city took shape, its buildings rose like ethereal spires from the abyssal depths, forming a mesmerizing skyline that seemed to touch the very heavens.
The City of Undying became a realm where the boundaries of existence and non-existence blurred. Time flowed differently within its confines, its denizens existing in a state of perpetual twilight. Mortals who wandered into its realm found their lifespans prolonged, their aging slowed, and their connection to time itself altered. Yet, with this gift came a price – the city's inhabitants became bound to the City of Undying, unable to leave its ethereal embrace.
As the centuries passed, the Eternal Sovereign revealed themselves as a being that embodied the convergence of past, present, and future. They guided the inhabitants of the City of Undying, sharing visions of events yet to come and weaving together the threads of fate. The city became a place of knowledge and enlightenment, where scholars, mystics, and seekers of wisdom congregated to learn the secrets of time and eternity.
However, not all embraced the city's gifts willingly. Some sought to escape its ethereal grasp, believing that true existence lay beyond its boundaries. A group of these rebels, known as the Forsaken, discovered ancient texts that hinted at the city's origins and the consequences of defying the cosmic order. Driven by their desire for freedom, they attempted to tear down the city's enchantments and release its inhabitants from their eternal bonds.
In response to the Forsaken's rebellion, the Eternal Sovereign's power surged. A cataclysmic clash between the defenders of the city and the rebels tore through the fabric of reality itself, causing ripples that resonated throughout Abstara. The Forsaken were defeated, their aspirations of liberation shattered, and the city's defenses fortified. The Eternal Sovereign, their true nature still veiled, emerged as both protector and arbiter of the city's fate.
In the present era, the City of Undying remains a realm of twilight and enigma. Its streets are alive with the hum of arcane energies and the whispers of the future. The inhabitants, forever bound to the city's embrace, continue to seek knowledge and purpose in a world where time bends to their very will. The City of Undying stands as a convergence of past and future, a nexus where the threads of destiny are woven and the eternal dance of existence unfolds in ways that defy comprehension.</v>
      </c>
      <c r="C52" s="16" t="str">
        <f>IFERROR(__xludf.DUMMYFUNCTION("""COMPUTED_VALUE"""),"Abstara")</f>
        <v>Abstara</v>
      </c>
      <c r="D52" s="16"/>
      <c r="E52" s="98">
        <f>IFERROR(__xludf.DUMMYFUNCTION("""COMPUTED_VALUE"""),1.0E9)</f>
        <v>1000000000</v>
      </c>
      <c r="F52" s="16" t="str">
        <f>IFERROR(__xludf.DUMMYFUNCTION("""COMPUTED_VALUE"""),"UndeadCoin")</f>
        <v>UndeadCoin</v>
      </c>
      <c r="G52" s="16"/>
      <c r="H52" s="16"/>
      <c r="I52" s="16"/>
      <c r="J52" s="16"/>
      <c r="K52" s="16"/>
      <c r="L52" s="16"/>
      <c r="M52" s="16"/>
      <c r="N52" s="16"/>
      <c r="O52" s="16"/>
      <c r="P52" s="16"/>
      <c r="Q52" s="16"/>
      <c r="R52" s="16"/>
      <c r="S52" s="16"/>
      <c r="T52" s="16"/>
      <c r="U52" s="16"/>
      <c r="V52" s="16"/>
      <c r="W52" s="16"/>
      <c r="X52" s="16"/>
      <c r="Y52" s="16"/>
      <c r="Z52" s="16"/>
    </row>
    <row r="53">
      <c r="A53" s="16" t="str">
        <f>IFERROR(__xludf.DUMMYFUNCTION("""COMPUTED_VALUE"""),"Ember Ocean")</f>
        <v>Ember Ocean</v>
      </c>
      <c r="B53" s="16" t="str">
        <f>IFERROR(__xludf.DUMMYFUNCTION("""COMPUTED_VALUE"""),"This ocean of molten lava, a tumultuous sea of heat and destruction, holds the tales of both creation and cataclysm. At its heart lies a guardian unlike any other – a massive volcanic clam that embodies the balance between the ocean's relentless fury and "&amp;"the calm depths beneath.
In the earliest epochs of Abstara's existence, the world was an ever-changing canvas of raw elements. The Ember Ocean was born from the confluence of intense volcanic activity and the primal forces that shaped the landscape. Molt"&amp;"en rock and fire surged forth, carving out a vast expanse of fiery seas that burned with the intensity of a star's heart. This ocean of lava was a reflection of the world's volatile nature, a testament to its capacity for both beauty and devastation.
As "&amp;"the ages passed, Abstara's denizens learned to harness the Ember Ocean's heat for their own purposes. Ancient civilizations found a way to channel its energy, forging weapons and artifacts of unparalleled power. Yet, in their hubris, they also awakened do"&amp;"rmant forces that resided within the depths of the fiery ocean. These forces, primordial spirits of flame and chaos, began to stir, threatening to unleash untold destruction upon the realm.
In response to this growing threat, an order of elemental guardi"&amp;"ans arose. Among them, a powerful volcanic clam known as Pyroshell emerged as the protector of the Ember Ocean. Created by the fusion of ancient magic and the ocean's fiery essence, Pyroshell embodied the very nature of the ocean it guarded. Its massive s"&amp;"hell was adorned with patterns reminiscent of molten rock, and its interior glowed with an inner fire that could rival the sun.
Pyroshell's presence within the Ember Ocean brought a semblance of balance. Its guardianship ensured that the elemental forces"&amp;" remained in check, preventing catastrophic eruptions that could have reshaped the world. The clam's wisdom was sought by scholars and adventurers alike, those who wished to tap into the ocean's power while respecting its volatile nature.
However, as the"&amp;" eons passed, the Ember Ocean also became a place of intrigue for those who sought to harness its raw energy for their own purposes. Among them was a faction of mages who believed they could harness the ocean's power to reshape the realm according to thei"&amp;"r desires. These mages, known as the Flamebound Cabal, saw Pyroshell as an obstacle standing between them and their ambitions.
In a cataclysmic confrontation that spanned both the physical and metaphysical realms, the Flamebound Cabal sought to overpower"&amp;" Pyroshell's guardianship and seize control of the Ember Ocean. The ensuing clash unleashed a storm of fire and destruction that threatened to engulf Abstara itself. Pyroshell, fueled by its determination to protect the realm, fought back with a fury that"&amp;" rivaled the very ocean it guarded.
Ultimately, Pyroshell prevailed, banishing the Flamebound Cabal and reasserting its control over the Ember Ocean. The clam's valiant stand left an indelible mark on the ocean's fiery depths, ensuring that its guardians"&amp;"hip would never be questioned again. Today, the Ember Ocean stands as a testament to the elemental forces that shape Abstara's destiny, its molten waves and searing heat a reminder of both creation and destruction. And at its heart, Pyroshell continues it"&amp;"s eternal vigil, a guardian of balance and a symbol of the ocean's untamed power.")</f>
        <v>This ocean of molten lava, a tumultuous sea of heat and destruction, holds the tales of both creation and cataclysm. At its heart lies a guardian unlike any other – a massive volcanic clam that embodies the balance between the ocean's relentless fury and the calm depths beneath.
In the earliest epochs of Abstara's existence, the world was an ever-changing canvas of raw elements. The Ember Ocean was born from the confluence of intense volcanic activity and the primal forces that shaped the landscape. Molten rock and fire surged forth, carving out a vast expanse of fiery seas that burned with the intensity of a star's heart. This ocean of lava was a reflection of the world's volatile nature, a testament to its capacity for both beauty and devastation.
As the ages passed, Abstara's denizens learned to harness the Ember Ocean's heat for their own purposes. Ancient civilizations found a way to channel its energy, forging weapons and artifacts of unparalleled power. Yet, in their hubris, they also awakened dormant forces that resided within the depths of the fiery ocean. These forces, primordial spirits of flame and chaos, began to stir, threatening to unleash untold destruction upon the realm.
In response to this growing threat, an order of elemental guardians arose. Among them, a powerful volcanic clam known as Pyroshell emerged as the protector of the Ember Ocean. Created by the fusion of ancient magic and the ocean's fiery essence, Pyroshell embodied the very nature of the ocean it guarded. Its massive shell was adorned with patterns reminiscent of molten rock, and its interior glowed with an inner fire that could rival the sun.
Pyroshell's presence within the Ember Ocean brought a semblance of balance. Its guardianship ensured that the elemental forces remained in check, preventing catastrophic eruptions that could have reshaped the world. The clam's wisdom was sought by scholars and adventurers alike, those who wished to tap into the ocean's power while respecting its volatile nature.
However, as the eons passed, the Ember Ocean also became a place of intrigue for those who sought to harness its raw energy for their own purposes. Among them was a faction of mages who believed they could harness the ocean's power to reshape the realm according to their desires. These mages, known as the Flamebound Cabal, saw Pyroshell as an obstacle standing between them and their ambitions.
In a cataclysmic confrontation that spanned both the physical and metaphysical realms, the Flamebound Cabal sought to overpower Pyroshell's guardianship and seize control of the Ember Ocean. The ensuing clash unleashed a storm of fire and destruction that threatened to engulf Abstara itself. Pyroshell, fueled by its determination to protect the realm, fought back with a fury that rivaled the very ocean it guarded.
Ultimately, Pyroshell prevailed, banishing the Flamebound Cabal and reasserting its control over the Ember Ocean. The clam's valiant stand left an indelible mark on the ocean's fiery depths, ensuring that its guardianship would never be questioned again. Today, the Ember Ocean stands as a testament to the elemental forces that shape Abstara's destiny, its molten waves and searing heat a reminder of both creation and destruction. And at its heart, Pyroshell continues its eternal vigil, a guardian of balance and a symbol of the ocean's untamed power.</v>
      </c>
      <c r="C53" s="16" t="str">
        <f>IFERROR(__xludf.DUMMYFUNCTION("""COMPUTED_VALUE"""),"Abstara")</f>
        <v>Abstara</v>
      </c>
      <c r="D53" s="16"/>
      <c r="E53" s="98">
        <f>IFERROR(__xludf.DUMMYFUNCTION("""COMPUTED_VALUE"""),1.0E9)</f>
        <v>1000000000</v>
      </c>
      <c r="F53" s="16" t="str">
        <f>IFERROR(__xludf.DUMMYFUNCTION("""COMPUTED_VALUE"""),"UndeadCoin")</f>
        <v>UndeadCoin</v>
      </c>
      <c r="G53" s="16"/>
      <c r="H53" s="16"/>
      <c r="I53" s="16"/>
      <c r="J53" s="16"/>
      <c r="K53" s="16"/>
      <c r="L53" s="16"/>
      <c r="M53" s="16"/>
      <c r="N53" s="16"/>
      <c r="O53" s="16"/>
      <c r="P53" s="16"/>
      <c r="Q53" s="16"/>
      <c r="R53" s="16"/>
      <c r="S53" s="16"/>
      <c r="T53" s="16"/>
      <c r="U53" s="16"/>
      <c r="V53" s="16"/>
      <c r="W53" s="16"/>
      <c r="X53" s="16"/>
      <c r="Y53" s="16"/>
      <c r="Z53" s="16"/>
    </row>
    <row r="54">
      <c r="A54" s="16" t="str">
        <f>IFERROR(__xludf.DUMMYFUNCTION("""COMPUTED_VALUE"""),"Feral Empire")</f>
        <v>Feral Empire</v>
      </c>
      <c r="B54" s="16" t="str">
        <f>IFERROR(__xludf.DUMMYFUNCTION("""COMPUTED_VALUE"""),"This forsaken town stands as a testament to the insatiable hunger of creatures that walk the line between human and monster – werewolves and vampires. The Feral Empire's origins are steeped in blood, power, and the tragic intersection of two predatory spe"&amp;"cies.
Once, Abstara was a realm teeming with life and balance, a realm where both light and darkness coexisted in harmony. However, within the shadows lurked creatures of the night who hungered for more than mere sustenance. Among them were the werewolve"&amp;"s and vampires, two distinct species that had long been at odds.
As time passed, the tension between these two species reached a boiling point. A powerful vampire lord named Vaelar sought to claim dominion over the land, driven by a thirst for power and "&amp;"the desire to subjugate all who opposed him. Opposing Vaelar's ambitions were the lycanthropes, a proud and ferocious pack of werewolves led by their alpha, Lyssandra.
The conflict between the vampire lord and the lycanthropic pack erupted into a war tha"&amp;"t ravaged the land. The Feral Empire, a once-prosperous town that lay at the crossroads of both species' territories, became the epicenter of the battle. The town's streets were stained with the blood of both werewolves and vampires, its buildings reduced"&amp;" to rubble in the chaos.
Amidst the devastation, Lyssandra and Vaelar engaged in a final, cataclysmic confrontation. The clash of their powers shattered the very fabric of reality, tearing open a rift that merged their two species in ways neither had ant"&amp;"icipated. The town of Feral Empire was forever altered, becoming a place where the boundaries between werewolves and vampires blurred, creating hybrids who shared attributes of both species.
In the aftermath of the battle, the remnants of the town's popu"&amp;"lace found themselves transformed – no longer fully human, nor entirely monstrous. The Feral Empire became a place of perpetual night, where the moon's pale light and the glow of vampire eyes illuminated the darkened streets. The hybrids, driven by their "&amp;"dual natures, struggled to coexist and find their place in this new reality.
The Feral Empire quickly became a realm of chaos and survival, where both werewolves and vampires prowled the streets in search of prey. The town became a haven for those who em"&amp;"braced their predatory instincts, and a nightmare for those who sought to escape its grasp. The line between predator and prey grew thin, as the inhabitants of the Feral Empire found themselves both captors and captives in a never-ending cycle of hunting "&amp;"and being hunted.
In the present era, the Feral Empire stands as a twisted reflection of the war that birthed it. Its darkened streets are haunted by the echoes of battle and the scent of blood, a reminder of the price paid for power and dominance. Werew"&amp;"olves and vampires alike roam its shadows, driven by primal urges and the endless struggle for dominance. The Feral Empire is a realm of constant danger, where alliances shift like the moon's phases and survival is an ever-elusive prize. And amidst the ch"&amp;"aos, Lyssandra and Vaelar's legacy lives on, forever shaping the destiny of the Feral Empire and its tormented inhabitants.")</f>
        <v>This forsaken town stands as a testament to the insatiable hunger of creatures that walk the line between human and monster – werewolves and vampires. The Feral Empire's origins are steeped in blood, power, and the tragic intersection of two predatory species.
Once, Abstara was a realm teeming with life and balance, a realm where both light and darkness coexisted in harmony. However, within the shadows lurked creatures of the night who hungered for more than mere sustenance. Among them were the werewolves and vampires, two distinct species that had long been at odds.
As time passed, the tension between these two species reached a boiling point. A powerful vampire lord named Vaelar sought to claim dominion over the land, driven by a thirst for power and the desire to subjugate all who opposed him. Opposing Vaelar's ambitions were the lycanthropes, a proud and ferocious pack of werewolves led by their alpha, Lyssandra.
The conflict between the vampire lord and the lycanthropic pack erupted into a war that ravaged the land. The Feral Empire, a once-prosperous town that lay at the crossroads of both species' territories, became the epicenter of the battle. The town's streets were stained with the blood of both werewolves and vampires, its buildings reduced to rubble in the chaos.
Amidst the devastation, Lyssandra and Vaelar engaged in a final, cataclysmic confrontation. The clash of their powers shattered the very fabric of reality, tearing open a rift that merged their two species in ways neither had anticipated. The town of Feral Empire was forever altered, becoming a place where the boundaries between werewolves and vampires blurred, creating hybrids who shared attributes of both species.
In the aftermath of the battle, the remnants of the town's populace found themselves transformed – no longer fully human, nor entirely monstrous. The Feral Empire became a place of perpetual night, where the moon's pale light and the glow of vampire eyes illuminated the darkened streets. The hybrids, driven by their dual natures, struggled to coexist and find their place in this new reality.
The Feral Empire quickly became a realm of chaos and survival, where both werewolves and vampires prowled the streets in search of prey. The town became a haven for those who embraced their predatory instincts, and a nightmare for those who sought to escape its grasp. The line between predator and prey grew thin, as the inhabitants of the Feral Empire found themselves both captors and captives in a never-ending cycle of hunting and being hunted.
In the present era, the Feral Empire stands as a twisted reflection of the war that birthed it. Its darkened streets are haunted by the echoes of battle and the scent of blood, a reminder of the price paid for power and dominance. Werewolves and vampires alike roam its shadows, driven by primal urges and the endless struggle for dominance. The Feral Empire is a realm of constant danger, where alliances shift like the moon's phases and survival is an ever-elusive prize. And amidst the chaos, Lyssandra and Vaelar's legacy lives on, forever shaping the destiny of the Feral Empire and its tormented inhabitants.</v>
      </c>
      <c r="C54" s="16" t="str">
        <f>IFERROR(__xludf.DUMMYFUNCTION("""COMPUTED_VALUE"""),"Abstara")</f>
        <v>Abstara</v>
      </c>
      <c r="D54" s="16"/>
      <c r="E54" s="98">
        <f>IFERROR(__xludf.DUMMYFUNCTION("""COMPUTED_VALUE"""),1.0E9)</f>
        <v>1000000000</v>
      </c>
      <c r="F54" s="16" t="str">
        <f>IFERROR(__xludf.DUMMYFUNCTION("""COMPUTED_VALUE"""),"UndeadCoin")</f>
        <v>UndeadCoin</v>
      </c>
      <c r="G54" s="16"/>
      <c r="H54" s="16"/>
      <c r="I54" s="16"/>
      <c r="J54" s="16"/>
      <c r="K54" s="16"/>
      <c r="L54" s="16"/>
      <c r="M54" s="16"/>
      <c r="N54" s="16"/>
      <c r="O54" s="16"/>
      <c r="P54" s="16"/>
      <c r="Q54" s="16"/>
      <c r="R54" s="16"/>
      <c r="S54" s="16"/>
      <c r="T54" s="16"/>
      <c r="U54" s="16"/>
      <c r="V54" s="16"/>
      <c r="W54" s="16"/>
      <c r="X54" s="16"/>
      <c r="Y54" s="16"/>
      <c r="Z54" s="16"/>
    </row>
    <row r="55">
      <c r="A55" s="16" t="str">
        <f>IFERROR(__xludf.DUMMYFUNCTION("""COMPUTED_VALUE"""),"Gargoyle Fortress")</f>
        <v>Gargoyle Fortress</v>
      </c>
      <c r="B55" s="16" t="str">
        <f>IFERROR(__xludf.DUMMYFUNCTION("""COMPUTED_VALUE"""),"This remarkable city, nestled amidst the clouds and borne upon the wings of stone, is a testament to the guardianship of a unique and ancient species – the gargoyles. The origins of the Gargoyle Fortress are steeped in alliance, valor, and a deep-rooted c"&amp;"onnection to the realm's mystical forces.
In the early epochs of Abstara's existence, the world was a place of untamed magic and myriad wonders. It was during this time that the gargoyles, mystical creatures sculpted from enchanted stone, emerged as both"&amp;" defenders of the land and stewards of its natural harmony. Gifted with the ability to soar through the skies on mighty wings and gifted with a deep attunement to the realm's energies, the gargoyles quickly established themselves as guardians of Abstara's"&amp;" beauty.
As Abstara's landscape shifted and evolved, the gargoyles found their purpose in protecting its many landscapes and inhabitants. Their keen eyes and fierce loyalty made them natural sentinels, ever watchful for signs of encroaching danger. Throu"&amp;"gh centuries of dedication, the gargoyles forged a strong alliance with the land's inhabitants, humans and creatures alike, forming a bond that transcended species.
However, the harmony was not to last. An epoch of darkness and turmoil arose as malevolen"&amp;"t forces sought to unravel the balance that the gargoyles and their allies had worked so diligently to maintain. A formidable threat known as the Obsidian Cabal, a group of sorcerers who sought to harness the realm's magic for their own power-hungry ambit"&amp;"ions, emerged to challenge the guardians of Abstara.
In response to the rising threat, the gargoyles and their allies rallied together to form the Gargoyle Fortress. The fortress was a marvel of magical architecture, suspended amidst the clouds and carve"&amp;"d from the very essence of the realm. Its towering spires and intricate stonework melded seamlessly with the natural beauty of the skies. Here, the guardians of the realm united their strengths, forging a stronghold that served as a beacon of hope against"&amp;" the encroaching darkness.
The ensuing conflict between the Obsidian Cabal and the guardians of the Gargoyle Fortress was a cataclysmic clash of magic and might. The skies became a battleground, with gargoyles swooping through the clouds, their stone for"&amp;"ms pulsating with energy as they defied gravity itself. Their allies, armed with ancient artifacts and unwavering resolve, stood side by side with the guardians, channeling the very essence of Abstara's magic to repel the dark sorcery of the Cabal.
In a "&amp;"climactic confrontation that spanned the realms of the physical and the metaphysical, the Gargoyle Fortress emerged victorious. With a final, resounding surge of magic, the Obsidian Cabal was vanquished, their dark ambitions thwarted. The gargoyles and th"&amp;"eir allies had defended Abstara's balance once more, and the Gargoyle Fortress stood as a symbol of their unity and strength.
In the present era, the Gargoyle Fortress remains a beacon of protection and alliance. Its soaring spires and vigilant gargoyles"&amp;" patrol the skies, their watchful eyes scanning the horizon for any sign of trouble. The city stands as a testament to the power of unity and the unbreakable bond between the creatures of Abstara and their mystical guardians. It serves as a reminder that "&amp;"even in the face of darkness, harmony and valor can prevail, and the skies can be a sanctuary watched over by the steadfast guardians of the Gargoyle Fortress.")</f>
        <v>This remarkable city, nestled amidst the clouds and borne upon the wings of stone, is a testament to the guardianship of a unique and ancient species – the gargoyles. The origins of the Gargoyle Fortress are steeped in alliance, valor, and a deep-rooted connection to the realm's mystical forces.
In the early epochs of Abstara's existence, the world was a place of untamed magic and myriad wonders. It was during this time that the gargoyles, mystical creatures sculpted from enchanted stone, emerged as both defenders of the land and stewards of its natural harmony. Gifted with the ability to soar through the skies on mighty wings and gifted with a deep attunement to the realm's energies, the gargoyles quickly established themselves as guardians of Abstara's beauty.
As Abstara's landscape shifted and evolved, the gargoyles found their purpose in protecting its many landscapes and inhabitants. Their keen eyes and fierce loyalty made them natural sentinels, ever watchful for signs of encroaching danger. Through centuries of dedication, the gargoyles forged a strong alliance with the land's inhabitants, humans and creatures alike, forming a bond that transcended species.
However, the harmony was not to last. An epoch of darkness and turmoil arose as malevolent forces sought to unravel the balance that the gargoyles and their allies had worked so diligently to maintain. A formidable threat known as the Obsidian Cabal, a group of sorcerers who sought to harness the realm's magic for their own power-hungry ambitions, emerged to challenge the guardians of Abstara.
In response to the rising threat, the gargoyles and their allies rallied together to form the Gargoyle Fortress. The fortress was a marvel of magical architecture, suspended amidst the clouds and carved from the very essence of the realm. Its towering spires and intricate stonework melded seamlessly with the natural beauty of the skies. Here, the guardians of the realm united their strengths, forging a stronghold that served as a beacon of hope against the encroaching darkness.
The ensuing conflict between the Obsidian Cabal and the guardians of the Gargoyle Fortress was a cataclysmic clash of magic and might. The skies became a battleground, with gargoyles swooping through the clouds, their stone forms pulsating with energy as they defied gravity itself. Their allies, armed with ancient artifacts and unwavering resolve, stood side by side with the guardians, channeling the very essence of Abstara's magic to repel the dark sorcery of the Cabal.
In a climactic confrontation that spanned the realms of the physical and the metaphysical, the Gargoyle Fortress emerged victorious. With a final, resounding surge of magic, the Obsidian Cabal was vanquished, their dark ambitions thwarted. The gargoyles and their allies had defended Abstara's balance once more, and the Gargoyle Fortress stood as a symbol of their unity and strength.
In the present era, the Gargoyle Fortress remains a beacon of protection and alliance. Its soaring spires and vigilant gargoyles patrol the skies, their watchful eyes scanning the horizon for any sign of trouble. The city stands as a testament to the power of unity and the unbreakable bond between the creatures of Abstara and their mystical guardians. It serves as a reminder that even in the face of darkness, harmony and valor can prevail, and the skies can be a sanctuary watched over by the steadfast guardians of the Gargoyle Fortress.</v>
      </c>
      <c r="C55" s="16" t="str">
        <f>IFERROR(__xludf.DUMMYFUNCTION("""COMPUTED_VALUE"""),"Abstara")</f>
        <v>Abstara</v>
      </c>
      <c r="D55" s="16"/>
      <c r="E55" s="98">
        <f>IFERROR(__xludf.DUMMYFUNCTION("""COMPUTED_VALUE"""),1.0E9)</f>
        <v>1000000000</v>
      </c>
      <c r="F55" s="16" t="str">
        <f>IFERROR(__xludf.DUMMYFUNCTION("""COMPUTED_VALUE"""),"UndeadCoin")</f>
        <v>UndeadCoin</v>
      </c>
      <c r="G55" s="16"/>
      <c r="H55" s="16"/>
      <c r="I55" s="16"/>
      <c r="J55" s="16"/>
      <c r="K55" s="16"/>
      <c r="L55" s="16"/>
      <c r="M55" s="16"/>
      <c r="N55" s="16"/>
      <c r="O55" s="16"/>
      <c r="P55" s="16"/>
      <c r="Q55" s="16"/>
      <c r="R55" s="16"/>
      <c r="S55" s="16"/>
      <c r="T55" s="16"/>
      <c r="U55" s="16"/>
      <c r="V55" s="16"/>
      <c r="W55" s="16"/>
      <c r="X55" s="16"/>
      <c r="Y55" s="16"/>
      <c r="Z55" s="16"/>
    </row>
    <row r="56">
      <c r="A56" s="16" t="str">
        <f>IFERROR(__xludf.DUMMYFUNCTION("""COMPUTED_VALUE"""),"Land of The Banished")</f>
        <v>Land of The Banished</v>
      </c>
      <c r="B56" s="16" t="str">
        <f>IFERROR(__xludf.DUMMYFUNCTION("""COMPUTED_VALUE"""),"This forsaken expanse, shrouded in an eternal twilight, stands as a realm of exile and retribution, ruled by a mysterious and enigmatic figure known only as the Keeper of the Banished. The origins of this grim land are a tale of justice, punishment, and t"&amp;"he delicate balance between power and consequence.
In Abstara's earliest days, when the world's creation was still a symphony of cosmic energies, a being known as the Keeper of the Banished emerged. Possessing an ancient and ancient wisdom that spanned c"&amp;"ountless lifetimes, the Keeper took on the mantle of overseeing the realms where the exiled and the condemned would find themselves – the Land of The Banished.
The Land of The Banished was not a realm of traditional landscapes, but rather an ethereal lan"&amp;"dscape shaped by the thoughts and emotions of its inhabitants. It was a place beyond the boundaries of the known world, where the exiled and those who transgressed against the cosmic balance were cast. Here, their fates were intertwined, their stories wov"&amp;"en into the very fabric of the land itself.
The Keeper's crypt, a soul-bound sanctum, served as the heart of the Land of The Banished. Within its hallowed chambers, the Keeper held the souls of those banished, preserved in crystalline vials that bore wit"&amp;"ness to their deeds and transgressions. A vile necklace, encrusted with these vials, hung heavy around the Keeper's neck, a visible symbol of his authority and the weight of judgment he carried.
Over the ages, the Land of The Banished became a realm of r"&amp;"eflection and redemption, a place where souls were offered the opportunity to seek absolution for their misdeeds. The exiled found themselves navigating the shifting landscapes, facing trials and challenges that tested their resolve and illuminated the pa"&amp;"ths they had taken in their past lives. Some embraced the opportunity to atone, while others remained trapped in cycles of darkness and despair.
Yet, not all were content with their exile. In the shadows of the Land of The Banished, whispers of rebellion"&amp;" began to stir. A group of exiled beings, united by a shared desire to escape the realm's clutches, sought to challenge the Keeper's dominion and break free from their eternal confinement. They sought the power of the crystalline vials, believing that by "&amp;"possessing them, they could reshape their fates and reclaim their place in the world.
The confrontation between the rebels and the Keeper was a clash of wills that echoed through the ethereal landscape. The rebels, driven by desperation and a longing for"&amp;" freedom, challenged the Keeper's authority, seeking to shatter the vials and rewrite their destinies. The Keeper, bound by his duty to maintain the balance, confronted the rebels with a resolve that stemmed from millennia of experience.
In a final confr"&amp;"ontation that spanned the boundaries of time and reality, the Keeper faced the rebels in the heart of the soul-bound crypt. The clash of their powers reverberated through the Land of The Banished, the very land itself echoing their struggles. Ultimately, "&amp;"the Keeper emerged victorious, preserving the delicate balance between justice and redemption.
In the present era, the Land of The Banished remains a realm of exile and reflection. Its shifting landscapes and crystalline vials hold the stories of souls b"&amp;"oth condemned and seeking absolution. The Keeper of the Banished stands as a sentinel of balance, ensuring that the scales of justice remain unwavering. And as the exiled navigate the trials of the realm, they come to understand the intricate dance of fat"&amp;"e, choice, and the eternal quest for redemption in the Land of The Banished.")</f>
        <v>This forsaken expanse, shrouded in an eternal twilight, stands as a realm of exile and retribution, ruled by a mysterious and enigmatic figure known only as the Keeper of the Banished. The origins of this grim land are a tale of justice, punishment, and the delicate balance between power and consequence.
In Abstara's earliest days, when the world's creation was still a symphony of cosmic energies, a being known as the Keeper of the Banished emerged. Possessing an ancient and ancient wisdom that spanned countless lifetimes, the Keeper took on the mantle of overseeing the realms where the exiled and the condemned would find themselves – the Land of The Banished.
The Land of The Banished was not a realm of traditional landscapes, but rather an ethereal landscape shaped by the thoughts and emotions of its inhabitants. It was a place beyond the boundaries of the known world, where the exiled and those who transgressed against the cosmic balance were cast. Here, their fates were intertwined, their stories woven into the very fabric of the land itself.
The Keeper's crypt, a soul-bound sanctum, served as the heart of the Land of The Banished. Within its hallowed chambers, the Keeper held the souls of those banished, preserved in crystalline vials that bore witness to their deeds and transgressions. A vile necklace, encrusted with these vials, hung heavy around the Keeper's neck, a visible symbol of his authority and the weight of judgment he carried.
Over the ages, the Land of The Banished became a realm of reflection and redemption, a place where souls were offered the opportunity to seek absolution for their misdeeds. The exiled found themselves navigating the shifting landscapes, facing trials and challenges that tested their resolve and illuminated the paths they had taken in their past lives. Some embraced the opportunity to atone, while others remained trapped in cycles of darkness and despair.
Yet, not all were content with their exile. In the shadows of the Land of The Banished, whispers of rebellion began to stir. A group of exiled beings, united by a shared desire to escape the realm's clutches, sought to challenge the Keeper's dominion and break free from their eternal confinement. They sought the power of the crystalline vials, believing that by possessing them, they could reshape their fates and reclaim their place in the world.
The confrontation between the rebels and the Keeper was a clash of wills that echoed through the ethereal landscape. The rebels, driven by desperation and a longing for freedom, challenged the Keeper's authority, seeking to shatter the vials and rewrite their destinies. The Keeper, bound by his duty to maintain the balance, confronted the rebels with a resolve that stemmed from millennia of experience.
In a final confrontation that spanned the boundaries of time and reality, the Keeper faced the rebels in the heart of the soul-bound crypt. The clash of their powers reverberated through the Land of The Banished, the very land itself echoing their struggles. Ultimately, the Keeper emerged victorious, preserving the delicate balance between justice and redemption.
In the present era, the Land of The Banished remains a realm of exile and reflection. Its shifting landscapes and crystalline vials hold the stories of souls both condemned and seeking absolution. The Keeper of the Banished stands as a sentinel of balance, ensuring that the scales of justice remain unwavering. And as the exiled navigate the trials of the realm, they come to understand the intricate dance of fate, choice, and the eternal quest for redemption in the Land of The Banished.</v>
      </c>
      <c r="C56" s="16" t="str">
        <f>IFERROR(__xludf.DUMMYFUNCTION("""COMPUTED_VALUE"""),"Abstara")</f>
        <v>Abstara</v>
      </c>
      <c r="D56" s="16"/>
      <c r="E56" s="98">
        <f>IFERROR(__xludf.DUMMYFUNCTION("""COMPUTED_VALUE"""),1.0E9)</f>
        <v>1000000000</v>
      </c>
      <c r="F56" s="16" t="str">
        <f>IFERROR(__xludf.DUMMYFUNCTION("""COMPUTED_VALUE"""),"UndeadCoin")</f>
        <v>UndeadCoin</v>
      </c>
      <c r="G56" s="16"/>
      <c r="H56" s="16"/>
      <c r="I56" s="16"/>
      <c r="J56" s="16"/>
      <c r="K56" s="16"/>
      <c r="L56" s="16"/>
      <c r="M56" s="16"/>
      <c r="N56" s="16"/>
      <c r="O56" s="16"/>
      <c r="P56" s="16"/>
      <c r="Q56" s="16"/>
      <c r="R56" s="16"/>
      <c r="S56" s="16"/>
      <c r="T56" s="16"/>
      <c r="U56" s="16"/>
      <c r="V56" s="16"/>
      <c r="W56" s="16"/>
      <c r="X56" s="16"/>
      <c r="Y56" s="16"/>
      <c r="Z56" s="16"/>
    </row>
    <row r="57">
      <c r="A57" s="16" t="str">
        <f>IFERROR(__xludf.DUMMYFUNCTION("""COMPUTED_VALUE"""),"Land of The Demons")</f>
        <v>Land of The Demons</v>
      </c>
      <c r="B57" s="16" t="str">
        <f>IFERROR(__xludf.DUMMYFUNCTION("""COMPUTED_VALUE"""),"This accursed realm, a cauldron of hatred and revenge, stands as a crucible for the world's most formidable demons and entities. The origins of this nightmarish domain are a tale of corruption, power, and the insidious allure of darkness.
Long before the"&amp;" Land of The Demons emerged, Abstara was a realm of delicate balance, where the interplay between light and darkness defined the world's nature. Yet, even in the earliest epochs, the seeds of malevolence were sown in the hearts of certain entities. Among "&amp;"these entities, the most ancient and formidable were the demons, creatures born from the darkest abyss of the realm.
Over time, these demons grew in power and malevolence, driven by an insatiable hunger for dominance and control. As their strength and nu"&amp;"mbers multiplied, they sought to break free from the constraints of Abstara's balance and create a realm where their dark desires could reign supreme. Their combined malice festered, forming a nexus of hatred that birthed the Land of The Demons – a realm "&amp;"where malevolent energies ran wild and unchecked.
The Land of The Demons became a twisted landscape, where the very land bore the scars of corruption and the air was thick with the stench of maleficence. Its skies were forever shrouded in darkness, and i"&amp;"ts inhabitants reveled in the endless cycle of hatred and revenge. The most powerful demons and entities from across Abstara were drawn to this realm, their power growing stronger in the presence of the dark energies that permeated the land.
As the Land "&amp;"of The Demons solidified its grip on existence, a powerful entity known as the Archdemon rose to dominance. This entity, a malevolent force beyond comprehension, wielded the collective power of the demons as its own. Its form was a shifting mass of darkne"&amp;"ss and despair, its eyes gleaming with an infernal intelligence that sought to consume all in its path.
Under the rule of the Archdemon, the Land of The Demons became a nightmarish realm of chaos and destruction. The realm's inhabitants – a legion of dem"&amp;"ons and entities fueled by hatred and revenge – waged war upon one another, their conflicts echoing through the land in a symphony of suffering. The very fabric of the realm was scarred by the battles, and the landscape itself seemed to writhe in agony.
"&amp;"As the ages passed, the Land of The Demons grew in power and notoriety. Its malevolent energies bled into the surrounding realms, corrupting the lands and souls nearby. Heroes and adventurers who dared to enter the realm rarely returned, their fates seale"&amp;"d by the insidious forces that gripped the land. The Land of The Demons became a place of legends and cautionary tales, a realm where even the bravest feared to tread.
In the present day, the Land of The Demons stands as a realm of unrelenting darkness, "&amp;"its skies forever cloaked in shadow, and its land tainted by the festering hatred that defines it. The Archdemon's dominance remains unchallenged, and the realm continues to be a beacon of malevolence in Abstara. Its existence serves as a reminder of the "&amp;"eternal struggle between light and darkness, and the depths to which even the most powerful entities can fall under the allure of revenge and power in the Land of The Demons.")</f>
        <v>This accursed realm, a cauldron of hatred and revenge, stands as a crucible for the world's most formidable demons and entities. The origins of this nightmarish domain are a tale of corruption, power, and the insidious allure of darkness.
Long before the Land of The Demons emerged, Abstara was a realm of delicate balance, where the interplay between light and darkness defined the world's nature. Yet, even in the earliest epochs, the seeds of malevolence were sown in the hearts of certain entities. Among these entities, the most ancient and formidable were the demons, creatures born from the darkest abyss of the realm.
Over time, these demons grew in power and malevolence, driven by an insatiable hunger for dominance and control. As their strength and numbers multiplied, they sought to break free from the constraints of Abstara's balance and create a realm where their dark desires could reign supreme. Their combined malice festered, forming a nexus of hatred that birthed the Land of The Demons – a realm where malevolent energies ran wild and unchecked.
The Land of The Demons became a twisted landscape, where the very land bore the scars of corruption and the air was thick with the stench of maleficence. Its skies were forever shrouded in darkness, and its inhabitants reveled in the endless cycle of hatred and revenge. The most powerful demons and entities from across Abstara were drawn to this realm, their power growing stronger in the presence of the dark energies that permeated the land.
As the Land of The Demons solidified its grip on existence, a powerful entity known as the Archdemon rose to dominance. This entity, a malevolent force beyond comprehension, wielded the collective power of the demons as its own. Its form was a shifting mass of darkness and despair, its eyes gleaming with an infernal intelligence that sought to consume all in its path.
Under the rule of the Archdemon, the Land of The Demons became a nightmarish realm of chaos and destruction. The realm's inhabitants – a legion of demons and entities fueled by hatred and revenge – waged war upon one another, their conflicts echoing through the land in a symphony of suffering. The very fabric of the realm was scarred by the battles, and the landscape itself seemed to writhe in agony.
As the ages passed, the Land of The Demons grew in power and notoriety. Its malevolent energies bled into the surrounding realms, corrupting the lands and souls nearby. Heroes and adventurers who dared to enter the realm rarely returned, their fates sealed by the insidious forces that gripped the land. The Land of The Demons became a place of legends and cautionary tales, a realm where even the bravest feared to tread.
In the present day, the Land of The Demons stands as a realm of unrelenting darkness, its skies forever cloaked in shadow, and its land tainted by the festering hatred that defines it. The Archdemon's dominance remains unchallenged, and the realm continues to be a beacon of malevolence in Abstara. Its existence serves as a reminder of the eternal struggle between light and darkness, and the depths to which even the most powerful entities can fall under the allure of revenge and power in the Land of The Demons.</v>
      </c>
      <c r="C57" s="16" t="str">
        <f>IFERROR(__xludf.DUMMYFUNCTION("""COMPUTED_VALUE"""),"Abstara")</f>
        <v>Abstara</v>
      </c>
      <c r="D57" s="16"/>
      <c r="E57" s="98">
        <f>IFERROR(__xludf.DUMMYFUNCTION("""COMPUTED_VALUE"""),1.0E9)</f>
        <v>1000000000</v>
      </c>
      <c r="F57" s="16" t="str">
        <f>IFERROR(__xludf.DUMMYFUNCTION("""COMPUTED_VALUE"""),"UndeadCoin")</f>
        <v>UndeadCoin</v>
      </c>
      <c r="G57" s="16"/>
      <c r="H57" s="16"/>
      <c r="I57" s="16"/>
      <c r="J57" s="16"/>
      <c r="K57" s="16"/>
      <c r="L57" s="16"/>
      <c r="M57" s="16"/>
      <c r="N57" s="16"/>
      <c r="O57" s="16"/>
      <c r="P57" s="16"/>
      <c r="Q57" s="16"/>
      <c r="R57" s="16"/>
      <c r="S57" s="16"/>
      <c r="T57" s="16"/>
      <c r="U57" s="16"/>
      <c r="V57" s="16"/>
      <c r="W57" s="16"/>
      <c r="X57" s="16"/>
      <c r="Y57" s="16"/>
      <c r="Z57" s="16"/>
    </row>
    <row r="58">
      <c r="A58" s="16" t="str">
        <f>IFERROR(__xludf.DUMMYFUNCTION("""COMPUTED_VALUE"""),"Satanic City")</f>
        <v>Satanic City</v>
      </c>
      <c r="B58" s="16" t="str">
        <f>IFERROR(__xludf.DUMMYFUNCTION("""COMPUTED_VALUE"""),"This sprawling metropolis, a testament to the infernal might that can shape worlds, serves as a haven for those who revere the malevolent deity known as Satan. The city's origins are woven from rebellion, worship, and the symbiotic relationship between po"&amp;"wer and servitude.
Before the Satanic City's rise, Abstara was a realm of both light and darkness, a cosmic tapestry where opposing forces vied for dominion. Amid this struggle, there emerged an entity known as Satan, a deity of shadow and power who cast"&amp;" an irresistible allure over those drawn to his infernal energies. Those who sought his favor were granted forbidden knowledge and otherworldly abilities, their loyalty solidified in blood oaths and unholy pacts.
As time passed, the faithful of Satan gat"&amp;"hered in secret, drawn to the deity's promises of power and dominion over both the physical and spiritual realms. These disciples, known as the Coven of Shadows, sought to create a city where their devotion to Satan could thrive without fear of persecutio"&amp;"n. Guided by dark rituals and infernal magic, they fashioned the Satanic City from the very essence of the abyss itself.
The city's architecture reflected the dark beauty of its inhabitants' souls. Towers and spires soared into the heavens, adorned with "&amp;"demonic sigils and motifs that celebrated their allegiance to Satan. The streets were lined with shadows that danced to an otherworldly rhythm, and the air was thick with the aura of malevolence that permeated the realm. The city's very foundation seemed "&amp;"to pulse with the heartbeat of the infernal.
At the heart of the Satanic City lay the Infernal Citadel, a fortress of obsidian and flame that housed Satan himself. Within its shadowed halls, the faithful gathered to pay homage to their deity and seek his"&amp;" counsel. The guardians of the city, known as the Abyssal Wardens, were sworn to protect the Infernal Citadel and its malevolent ruler at all costs. These guardians were chosen for their unwavering loyalty and mastery of infernal arts, their powers woven "&amp;"from the very energies that defined their patron deity.
However, the power of the Satanic City did not go unnoticed by the cosmic forces that watched over Abstara. A coalition of celestial beings and champions of light, known as the Radiant Covenant, sou"&amp;"ght to purge the city of its infernal influence. The ensuing conflict between the Coven of Shadows and the Radiant Covenant became a battle that spanned realms, as celestial and infernal energies clashed in a cataclysmic confrontation.
The struggle reach"&amp;"ed its zenith in a clash of cosmic proportions within the very heart of the Satanic City. The skies themselves seemed to crack as the powers of light and darkness collided, their energies creating an inferno that threatened to consume all. In a final conf"&amp;"rontation that tested the limits of reality, the Radiant Covenant's champions managed to weaken the Coven of Shadows' hold on the city, breaking the infernal bonds that anchored it to the abyss.
In the aftermath of the conflict, the Satanic City was fore"&amp;"ver changed. The Infernal Citadel crumbled, and the Coven of Shadows was scattered. The Radiant Covenant's victory left a lingering mark on the city, its inhabitants now forced to reckon with the consequences of their allegiance to darkness.
In the prese"&amp;"nt era, the Satanic City stands as a fractured realm, its architecture scarred by the battle that transpired. The Abyssal Wardens, once fierce defenders of Satan's domain, now find themselves wrestling with their loyalties as the city grapples with its id"&amp;"entity in the wake of defeat. The city's streets are haunted by the memories of the cosmic clash that reshaped its fate, and the darkness that once thrived has been tempered by the victorious forces of light.
The Satanic City remains a place of conflict "&amp;"and contradiction, where the echoes of the infernal past mingle with the uncertain future. Its inhabitants navigate a realm marked by the balance between light and darkness, caught in the interplay of cosmic forces that define Abstara's destiny. And as th"&amp;"ey seek to redefine their city's purpose and allegiance, the Satanic City becomes a story of redemption and transformation in the ever-evolving world of Abstara.")</f>
        <v>This sprawling metropolis, a testament to the infernal might that can shape worlds, serves as a haven for those who revere the malevolent deity known as Satan. The city's origins are woven from rebellion, worship, and the symbiotic relationship between power and servitude.
Before the Satanic City's rise, Abstara was a realm of both light and darkness, a cosmic tapestry where opposing forces vied for dominion. Amid this struggle, there emerged an entity known as Satan, a deity of shadow and power who cast an irresistible allure over those drawn to his infernal energies. Those who sought his favor were granted forbidden knowledge and otherworldly abilities, their loyalty solidified in blood oaths and unholy pacts.
As time passed, the faithful of Satan gathered in secret, drawn to the deity's promises of power and dominion over both the physical and spiritual realms. These disciples, known as the Coven of Shadows, sought to create a city where their devotion to Satan could thrive without fear of persecution. Guided by dark rituals and infernal magic, they fashioned the Satanic City from the very essence of the abyss itself.
The city's architecture reflected the dark beauty of its inhabitants' souls. Towers and spires soared into the heavens, adorned with demonic sigils and motifs that celebrated their allegiance to Satan. The streets were lined with shadows that danced to an otherworldly rhythm, and the air was thick with the aura of malevolence that permeated the realm. The city's very foundation seemed to pulse with the heartbeat of the infernal.
At the heart of the Satanic City lay the Infernal Citadel, a fortress of obsidian and flame that housed Satan himself. Within its shadowed halls, the faithful gathered to pay homage to their deity and seek his counsel. The guardians of the city, known as the Abyssal Wardens, were sworn to protect the Infernal Citadel and its malevolent ruler at all costs. These guardians were chosen for their unwavering loyalty and mastery of infernal arts, their powers woven from the very energies that defined their patron deity.
However, the power of the Satanic City did not go unnoticed by the cosmic forces that watched over Abstara. A coalition of celestial beings and champions of light, known as the Radiant Covenant, sought to purge the city of its infernal influence. The ensuing conflict between the Coven of Shadows and the Radiant Covenant became a battle that spanned realms, as celestial and infernal energies clashed in a cataclysmic confrontation.
The struggle reached its zenith in a clash of cosmic proportions within the very heart of the Satanic City. The skies themselves seemed to crack as the powers of light and darkness collided, their energies creating an inferno that threatened to consume all. In a final confrontation that tested the limits of reality, the Radiant Covenant's champions managed to weaken the Coven of Shadows' hold on the city, breaking the infernal bonds that anchored it to the abyss.
In the aftermath of the conflict, the Satanic City was forever changed. The Infernal Citadel crumbled, and the Coven of Shadows was scattered. The Radiant Covenant's victory left a lingering mark on the city, its inhabitants now forced to reckon with the consequences of their allegiance to darkness.
In the present era, the Satanic City stands as a fractured realm, its architecture scarred by the battle that transpired. The Abyssal Wardens, once fierce defenders of Satan's domain, now find themselves wrestling with their loyalties as the city grapples with its identity in the wake of defeat. The city's streets are haunted by the memories of the cosmic clash that reshaped its fate, and the darkness that once thrived has been tempered by the victorious forces of light.
The Satanic City remains a place of conflict and contradiction, where the echoes of the infernal past mingle with the uncertain future. Its inhabitants navigate a realm marked by the balance between light and darkness, caught in the interplay of cosmic forces that define Abstara's destiny. And as they seek to redefine their city's purpose and allegiance, the Satanic City becomes a story of redemption and transformation in the ever-evolving world of Abstara.</v>
      </c>
      <c r="C58" s="16" t="str">
        <f>IFERROR(__xludf.DUMMYFUNCTION("""COMPUTED_VALUE"""),"Abstara")</f>
        <v>Abstara</v>
      </c>
      <c r="D58" s="16"/>
      <c r="E58" s="98">
        <f>IFERROR(__xludf.DUMMYFUNCTION("""COMPUTED_VALUE"""),1.0E9)</f>
        <v>1000000000</v>
      </c>
      <c r="F58" s="16" t="str">
        <f>IFERROR(__xludf.DUMMYFUNCTION("""COMPUTED_VALUE"""),"UndeadCoin")</f>
        <v>UndeadCoin</v>
      </c>
      <c r="G58" s="16"/>
      <c r="H58" s="16"/>
      <c r="I58" s="16"/>
      <c r="J58" s="16"/>
      <c r="K58" s="16"/>
      <c r="L58" s="16"/>
      <c r="M58" s="16"/>
      <c r="N58" s="16"/>
      <c r="O58" s="16"/>
      <c r="P58" s="16"/>
      <c r="Q58" s="16"/>
      <c r="R58" s="16"/>
      <c r="S58" s="16"/>
      <c r="T58" s="16"/>
      <c r="U58" s="16"/>
      <c r="V58" s="16"/>
      <c r="W58" s="16"/>
      <c r="X58" s="16"/>
      <c r="Y58" s="16"/>
      <c r="Z58" s="16"/>
    </row>
    <row r="59">
      <c r="A59" s="16" t="str">
        <f>IFERROR(__xludf.DUMMYFUNCTION("""COMPUTED_VALUE"""),"Smoldering Ocean")</f>
        <v>Smoldering Ocean</v>
      </c>
      <c r="B59" s="16" t="str">
        <f>IFERROR(__xludf.DUMMYFUNCTION("""COMPUTED_VALUE"""),"This ocean of volcanic ash and molten lava stands as a testament to the raw power of the realm's primal forces. Guarding its depths is an ancient and formidable sea creature, a guardian shaped by the very elements it calls home. The origins of the Smolder"&amp;"ing Ocean are forged in cataclysm and rebirth, a tale of creation, destruction, and the relentless cycle of elemental forces.
Long before the Smoldering Ocean emerged, Abstara was a realm defined by the dance of elements – fire, water, earth, and air. Th"&amp;"e realm's primal energies collided in a symphony of creation and destruction, shaping its landscapes and inhabitants in a perpetual cycle of rebirth. Within the heart of Abstara's fiery core, the seeds of the Smoldering Ocean were sown, as the molten fire"&amp;"s of the realm's volcanic heart met the cool embrace of the cosmic waters.
The clash of these opposing forces gave birth to the Smoldering Ocean – a realm where volcanic ash and molten lava churned and roiled, creating a fiery expanse that defied convent"&amp;"ional notions of an ocean. The waves of this ocean were a dance of flame and ash, and its depths glowed with an inner light that could rival the sun. The Smoldering Ocean's tumultuous waters held the power to reshape the land and sky, and its existence wa"&amp;"s both a testament to elemental chaos and an embodiment of creation's raw power.
Amidst the fiery waves and ash-laden skies, an ancient sea creature known as Pyrothar emerged as the guardian of the Smoldering Ocean. Born from the fusion of the realm's vo"&amp;"lcanic heart and the cosmic waters, Pyrothar embodied the convergence of elements in its very form. Its scales gleamed with the fiery hues of molten rock, and its eyes shone like smoldering embers. Towering above the waves, Pyrothar's presence exuded both"&amp;" power and a timeless wisdom drawn from eons of existence.
Pyrothar's role as guardian was forged from a symbiotic bond with the Smoldering Ocean itself. The creature's elemental essence was woven into the very fabric of the ocean, its movements shaping "&amp;"the currents and tides. Pyrothar's influence extended beyond the ocean's shores, affecting the very geology of the realm and determining the fate of volcanic landscapes that stretched beyond the horizon.
In ages past, a cataclysmic event known as the Bla"&amp;"ze Tidalwave swept across Abstara. A collision of cosmic forces triggered an infernal cataclysm that unleashed a wave of fiery devastation, threatening to engulf the entire realm. In the midst of this cataclysm, Pyrothar emerged as a beacon of resistance,"&amp;" channeling its elemental might to quell the Blaze Tidalwave's fury. Its sacrifice left an indelible mark on the realm, transforming the Smoldering Ocean into a sea of eternal fire.
In the present era, the Smoldering Ocean remains a realm of fiery beauty"&amp;" and danger. Its volcanic ash and molten waves are a testament to the primal forces that define Abstara's nature, and the glowing depths hold secrets of creation and cataclysm. Pyrothar's legacy lives on, an ancient guardian still towering above the fiery"&amp;" waves, its presence a reminder of the realm's unyielding cycle of destruction and rebirth. The Smoldering Ocean stands as a realm where the elements themselves are the architects of destiny, and where the guardians of fire and water shape the world's des"&amp;"tiny in ways that challenge understanding and ignite the imagination.")</f>
        <v>This ocean of volcanic ash and molten lava stands as a testament to the raw power of the realm's primal forces. Guarding its depths is an ancient and formidable sea creature, a guardian shaped by the very elements it calls home. The origins of the Smoldering Ocean are forged in cataclysm and rebirth, a tale of creation, destruction, and the relentless cycle of elemental forces.
Long before the Smoldering Ocean emerged, Abstara was a realm defined by the dance of elements – fire, water, earth, and air. The realm's primal energies collided in a symphony of creation and destruction, shaping its landscapes and inhabitants in a perpetual cycle of rebirth. Within the heart of Abstara's fiery core, the seeds of the Smoldering Ocean were sown, as the molten fires of the realm's volcanic heart met the cool embrace of the cosmic waters.
The clash of these opposing forces gave birth to the Smoldering Ocean – a realm where volcanic ash and molten lava churned and roiled, creating a fiery expanse that defied conventional notions of an ocean. The waves of this ocean were a dance of flame and ash, and its depths glowed with an inner light that could rival the sun. The Smoldering Ocean's tumultuous waters held the power to reshape the land and sky, and its existence was both a testament to elemental chaos and an embodiment of creation's raw power.
Amidst the fiery waves and ash-laden skies, an ancient sea creature known as Pyrothar emerged as the guardian of the Smoldering Ocean. Born from the fusion of the realm's volcanic heart and the cosmic waters, Pyrothar embodied the convergence of elements in its very form. Its scales gleamed with the fiery hues of molten rock, and its eyes shone like smoldering embers. Towering above the waves, Pyrothar's presence exuded both power and a timeless wisdom drawn from eons of existence.
Pyrothar's role as guardian was forged from a symbiotic bond with the Smoldering Ocean itself. The creature's elemental essence was woven into the very fabric of the ocean, its movements shaping the currents and tides. Pyrothar's influence extended beyond the ocean's shores, affecting the very geology of the realm and determining the fate of volcanic landscapes that stretched beyond the horizon.
In ages past, a cataclysmic event known as the Blaze Tidalwave swept across Abstara. A collision of cosmic forces triggered an infernal cataclysm that unleashed a wave of fiery devastation, threatening to engulf the entire realm. In the midst of this cataclysm, Pyrothar emerged as a beacon of resistance, channeling its elemental might to quell the Blaze Tidalwave's fury. Its sacrifice left an indelible mark on the realm, transforming the Smoldering Ocean into a sea of eternal fire.
In the present era, the Smoldering Ocean remains a realm of fiery beauty and danger. Its volcanic ash and molten waves are a testament to the primal forces that define Abstara's nature, and the glowing depths hold secrets of creation and cataclysm. Pyrothar's legacy lives on, an ancient guardian still towering above the fiery waves, its presence a reminder of the realm's unyielding cycle of destruction and rebirth. The Smoldering Ocean stands as a realm where the elements themselves are the architects of destiny, and where the guardians of fire and water shape the world's destiny in ways that challenge understanding and ignite the imagination.</v>
      </c>
      <c r="C59" s="16" t="str">
        <f>IFERROR(__xludf.DUMMYFUNCTION("""COMPUTED_VALUE"""),"Abstara")</f>
        <v>Abstara</v>
      </c>
      <c r="D59" s="16"/>
      <c r="E59" s="98">
        <f>IFERROR(__xludf.DUMMYFUNCTION("""COMPUTED_VALUE"""),1.0E9)</f>
        <v>1000000000</v>
      </c>
      <c r="F59" s="16" t="str">
        <f>IFERROR(__xludf.DUMMYFUNCTION("""COMPUTED_VALUE"""),"UndeadCoin")</f>
        <v>UndeadCoin</v>
      </c>
      <c r="G59" s="16"/>
      <c r="H59" s="16"/>
      <c r="I59" s="16"/>
      <c r="J59" s="16"/>
      <c r="K59" s="16"/>
      <c r="L59" s="16"/>
      <c r="M59" s="16"/>
      <c r="N59" s="16"/>
      <c r="O59" s="16"/>
      <c r="P59" s="16"/>
      <c r="Q59" s="16"/>
      <c r="R59" s="16"/>
      <c r="S59" s="16"/>
      <c r="T59" s="16"/>
      <c r="U59" s="16"/>
      <c r="V59" s="16"/>
      <c r="W59" s="16"/>
      <c r="X59" s="16"/>
      <c r="Y59" s="16"/>
      <c r="Z59" s="16"/>
    </row>
    <row r="60">
      <c r="A60" s="16" t="str">
        <f>IFERROR(__xludf.DUMMYFUNCTION("""COMPUTED_VALUE"""),"Soul Empire")</f>
        <v>Soul Empire</v>
      </c>
      <c r="B60" s="16" t="str">
        <f>IFERROR(__xludf.DUMMYFUNCTION("""COMPUTED_VALUE"""),"This enigmatic city of lost souls stands as a testament to the fragility of existence and the persistence of identity beyond the confines of mortality. Ruled by a being known as the King of Souls, this empire is a realm of ethereal mystery and boundless p"&amp;"ower. The origins of the Soul Empire are woven from tragedy, dominion, and the complex interplay between the realms of the living and the dead.
Long before the Soul Empire came into existence, Abstara was a realm where the balance between life and death "&amp;"was as delicate as a spider's thread. The energies that flowed through the realm's veins gave rise to souls, each a unique fragment of consciousness shaped by the experiences of the living. But as time passed, a malaise began to seep into the very fabric "&amp;"of Abstara, leading to an imbalance between the realms of the living and the dead.
Amidst the growing unrest, a figure emerged with the power to command the souls that wandered the borderlands between life and death. This being, known as the King of Soul"&amp;"s, possessed an enigmatic form that seemed to shift between the ethereal and the corporeal. With an iron will and an insatiable desire for dominion, the King of Souls sought to establish a realm where the lost souls of Abstara could find purpose and ident"&amp;"ity once more.
Using his mastery over the souls, the King of Souls shaped the Soul Empire from the memories, emotions, and regrets of those who had passed beyond the veil of mortality. The city that emerged was a haunting landscape where spectral streets"&amp;" twisted and turned, its buildings forged from echoes of a time long gone. The souls that roamed its alleys retained their individuality, yet their forms were ephemeral, shifting between moments of clarity and distortion.
At the heart of the Soul Empire,"&amp;" the King of Souls ruled from a grand citadel, a manifestation of his dominion over the realm's essence. His presence was both unsettling and mesmerizing, his eyes aflame with the collective knowledge and experiences of the countless souls that he command"&amp;"ed. His power over the souls granted him dominion over their pasts, their regrets, and their desires, and he wielded them like threads in a cosmic tapestry.
Over time, the King of Souls' influence spread, and the Soul Empire became a realm that drew in s"&amp;"ouls seeking solace, redemption, or purpose. Yet, with the promise of a second chance came a heavy price – the King of Souls' dominion over their destinies. Many willingly submitted to his rule, trading their autonomy for a chance to rewrite their stories"&amp;". Others resisted, driven by a refusal to bend to his will.
The Soul Empire became a realm of dichotomy, where the living and the dead intermingled, and the boundaries between reality and the ethereal were blurred. The King of Souls' influence extended b"&amp;"eyond his realm, influencing the fate of souls that traversed Abstara's vast expanse. His power grew, fueled by the choices and emotions of the souls he commanded, until his dominion seemed all-encompassing.
In the present era, the Soul Empire remains a "&amp;"realm of mystery and paradox. Its spectral streets are populated by souls both willing and unwilling to bend to the King's rule, each carrying the weight of their past experiences. The King of Souls' citadel stands as a testament to his power, and his gaz"&amp;"e continues to pierce through the veils of existence, influencing the lives of those who traverse Abstara.
The Soul Empire serves as a realm of reflection and contemplation, a place where the boundaries of identity and destiny are tested. As the living a"&amp;"nd the dead cross paths within its twisted streets, the Soul Empire stands as a poignant reminder that even in the face of death, the echoes of life's choices and emotions persist. And as the King of Souls' dominion remains unchallenged, the realm serves "&amp;"as a haunting exploration of the profound connection between the realms of the living and the dead in the world of Abstara.")</f>
        <v>This enigmatic city of lost souls stands as a testament to the fragility of existence and the persistence of identity beyond the confines of mortality. Ruled by a being known as the King of Souls, this empire is a realm of ethereal mystery and boundless power. The origins of the Soul Empire are woven from tragedy, dominion, and the complex interplay between the realms of the living and the dead.
Long before the Soul Empire came into existence, Abstara was a realm where the balance between life and death was as delicate as a spider's thread. The energies that flowed through the realm's veins gave rise to souls, each a unique fragment of consciousness shaped by the experiences of the living. But as time passed, a malaise began to seep into the very fabric of Abstara, leading to an imbalance between the realms of the living and the dead.
Amidst the growing unrest, a figure emerged with the power to command the souls that wandered the borderlands between life and death. This being, known as the King of Souls, possessed an enigmatic form that seemed to shift between the ethereal and the corporeal. With an iron will and an insatiable desire for dominion, the King of Souls sought to establish a realm where the lost souls of Abstara could find purpose and identity once more.
Using his mastery over the souls, the King of Souls shaped the Soul Empire from the memories, emotions, and regrets of those who had passed beyond the veil of mortality. The city that emerged was a haunting landscape where spectral streets twisted and turned, its buildings forged from echoes of a time long gone. The souls that roamed its alleys retained their individuality, yet their forms were ephemeral, shifting between moments of clarity and distortion.
At the heart of the Soul Empire, the King of Souls ruled from a grand citadel, a manifestation of his dominion over the realm's essence. His presence was both unsettling and mesmerizing, his eyes aflame with the collective knowledge and experiences of the countless souls that he commanded. His power over the souls granted him dominion over their pasts, their regrets, and their desires, and he wielded them like threads in a cosmic tapestry.
Over time, the King of Souls' influence spread, and the Soul Empire became a realm that drew in souls seeking solace, redemption, or purpose. Yet, with the promise of a second chance came a heavy price – the King of Souls' dominion over their destinies. Many willingly submitted to his rule, trading their autonomy for a chance to rewrite their stories. Others resisted, driven by a refusal to bend to his will.
The Soul Empire became a realm of dichotomy, where the living and the dead intermingled, and the boundaries between reality and the ethereal were blurred. The King of Souls' influence extended beyond his realm, influencing the fate of souls that traversed Abstara's vast expanse. His power grew, fueled by the choices and emotions of the souls he commanded, until his dominion seemed all-encompassing.
In the present era, the Soul Empire remains a realm of mystery and paradox. Its spectral streets are populated by souls both willing and unwilling to bend to the King's rule, each carrying the weight of their past experiences. The King of Souls' citadel stands as a testament to his power, and his gaze continues to pierce through the veils of existence, influencing the lives of those who traverse Abstara.
The Soul Empire serves as a realm of reflection and contemplation, a place where the boundaries of identity and destiny are tested. As the living and the dead cross paths within its twisted streets, the Soul Empire stands as a poignant reminder that even in the face of death, the echoes of life's choices and emotions persist. And as the King of Souls' dominion remains unchallenged, the realm serves as a haunting exploration of the profound connection between the realms of the living and the dead in the world of Abstara.</v>
      </c>
      <c r="C60" s="16" t="str">
        <f>IFERROR(__xludf.DUMMYFUNCTION("""COMPUTED_VALUE"""),"Abstara")</f>
        <v>Abstara</v>
      </c>
      <c r="D60" s="16"/>
      <c r="E60" s="98">
        <f>IFERROR(__xludf.DUMMYFUNCTION("""COMPUTED_VALUE"""),1.0E9)</f>
        <v>1000000000</v>
      </c>
      <c r="F60" s="16" t="str">
        <f>IFERROR(__xludf.DUMMYFUNCTION("""COMPUTED_VALUE"""),"UndeadCoin")</f>
        <v>UndeadCoin</v>
      </c>
      <c r="G60" s="16"/>
      <c r="H60" s="16"/>
      <c r="I60" s="16"/>
      <c r="J60" s="16"/>
      <c r="K60" s="16"/>
      <c r="L60" s="16"/>
      <c r="M60" s="16"/>
      <c r="N60" s="16"/>
      <c r="O60" s="16"/>
      <c r="P60" s="16"/>
      <c r="Q60" s="16"/>
      <c r="R60" s="16"/>
      <c r="S60" s="16"/>
      <c r="T60" s="16"/>
      <c r="U60" s="16"/>
      <c r="V60" s="16"/>
      <c r="W60" s="16"/>
      <c r="X60" s="16"/>
      <c r="Y60" s="16"/>
      <c r="Z60" s="16"/>
    </row>
    <row r="61">
      <c r="A61" s="16" t="str">
        <f>IFERROR(__xludf.DUMMYFUNCTION("""COMPUTED_VALUE"""),"The Black Lake")</f>
        <v>The Black Lake</v>
      </c>
      <c r="B61" s="16" t="str">
        <f>IFERROR(__xludf.DUMMYFUNCTION("""COMPUTED_VALUE"""),"This lake, shrouded in darkness and secrets, is a place of whispers and legends, a place where those who venture too close risk becoming a part of its eerie history. Guarding its depths is the ancient and fearsome Black Serpent Dragon, a creature whose po"&amp;"wer mirrors the mysteries of the lake itself. The origins of The Black Lake are veiled in darkness, tragedy, and the insatiable allure of the unknown.
Long before The Black Lake emerged as a haunting presence, Abstara was a realm of diverse landscapes an"&amp;"d magical energies. Within this realm, there existed a place of unparalleled beauty, a lush valley that cradled a serene lake. This body of water was a source of life and tranquility, its crystalline waters reflecting the beauty of the world around it.
H"&amp;"owever, the lake's tranquility was shattered by a series of inexplicable events. Whispers of a malevolent force lurking beneath the surface began to circulate among the inhabitants of the nearby settlements. Strange disappearances were reported, with thos"&amp;"e who ventured too close to the lake vanishing without a trace. Fear and unease settled over the valley, and the once-beloved lake became a place of dread.
It wasn't until an intrepid group of adventurers ventured into the heart of the valley that the tr"&amp;"ue nature of The Black Lake was revealed. The adventurers, determined to uncover the source of the lake's curse, found themselves drawn to the water's edge. One by one, they succumbed to an irresistible compulsion and stepped into the inky depths of the l"&amp;"ake.
As each adventurer submerged into the water, their forms began to shift and distort, becoming eerie shadows that mirrored the lake's dark surface. Their consciousness seemed to merge with the very essence of the lake, their voices and identities sil"&amp;"enced. The valley echoed with the chilling sound of their fading cries, and the lake's true nature was laid bare.
The transformation of the adventurers marked the awakening of the Black Serpent Dragon, an ancient and malevolent entity that had slumbered "&amp;"beneath the lake's surface for untold eons. The dragon's form was a coiling mass of darkness and shadow, its eyes glinting with an intelligence born of an existence steeped in mystery. As the dragon stirred, its power spread throughout the lake, its influ"&amp;"ence seeping into the very fabric of the realm.
The Black Serpent Dragon assumed its role as guardian of The Black Lake, a creature of darkness that ensured the lake's curse endured. Its mere presence twisted reality, transforming those who dared to appr"&amp;"oach into shadows of their former selves. The lake became a reflection of the dragon's power, a realm of darkness and lost souls where those who ventured too close were forever lost to its depths.
In the present era, The Black Lake stands as a haunting r"&amp;"eminder of the consequences of curiosity and the allure of the unknown. Its dark waters and eerie whispers continue to draw the unwary, tempting them with the promise of secrets that lie beneath the surface. The Black Serpent Dragon's watchful eyes remain"&amp;" fixed upon the realm, a guardian of shadows that ensures the lake's dark legacy endures.
The Black Lake serves as a realm of caution and mystery, a place where the line between reality and illusion blurs and where the power of an ancient guardian shapes"&amp;" the fates of those who dare to venture too close. As shadows dance upon its surface and the echoes of long-lost cries linger in the air, The Black Lake stands as a haunting testament to the dangers of curiosity and the enduring power of the unknown in th"&amp;"e world of Abstara.")</f>
        <v>This lake, shrouded in darkness and secrets, is a place of whispers and legends, a place where those who venture too close risk becoming a part of its eerie history. Guarding its depths is the ancient and fearsome Black Serpent Dragon, a creature whose power mirrors the mysteries of the lake itself. The origins of The Black Lake are veiled in darkness, tragedy, and the insatiable allure of the unknown.
Long before The Black Lake emerged as a haunting presence, Abstara was a realm of diverse landscapes and magical energies. Within this realm, there existed a place of unparalleled beauty, a lush valley that cradled a serene lake. This body of water was a source of life and tranquility, its crystalline waters reflecting the beauty of the world around it.
However, the lake's tranquility was shattered by a series of inexplicable events. Whispers of a malevolent force lurking beneath the surface began to circulate among the inhabitants of the nearby settlements. Strange disappearances were reported, with those who ventured too close to the lake vanishing without a trace. Fear and unease settled over the valley, and the once-beloved lake became a place of dread.
It wasn't until an intrepid group of adventurers ventured into the heart of the valley that the true nature of The Black Lake was revealed. The adventurers, determined to uncover the source of the lake's curse, found themselves drawn to the water's edge. One by one, they succumbed to an irresistible compulsion and stepped into the inky depths of the lake.
As each adventurer submerged into the water, their forms began to shift and distort, becoming eerie shadows that mirrored the lake's dark surface. Their consciousness seemed to merge with the very essence of the lake, their voices and identities silenced. The valley echoed with the chilling sound of their fading cries, and the lake's true nature was laid bare.
The transformation of the adventurers marked the awakening of the Black Serpent Dragon, an ancient and malevolent entity that had slumbered beneath the lake's surface for untold eons. The dragon's form was a coiling mass of darkness and shadow, its eyes glinting with an intelligence born of an existence steeped in mystery. As the dragon stirred, its power spread throughout the lake, its influence seeping into the very fabric of the realm.
The Black Serpent Dragon assumed its role as guardian of The Black Lake, a creature of darkness that ensured the lake's curse endured. Its mere presence twisted reality, transforming those who dared to approach into shadows of their former selves. The lake became a reflection of the dragon's power, a realm of darkness and lost souls where those who ventured too close were forever lost to its depths.
In the present era, The Black Lake stands as a haunting reminder of the consequences of curiosity and the allure of the unknown. Its dark waters and eerie whispers continue to draw the unwary, tempting them with the promise of secrets that lie beneath the surface. The Black Serpent Dragon's watchful eyes remain fixed upon the realm, a guardian of shadows that ensures the lake's dark legacy endures.
The Black Lake serves as a realm of caution and mystery, a place where the line between reality and illusion blurs and where the power of an ancient guardian shapes the fates of those who dare to venture too close. As shadows dance upon its surface and the echoes of long-lost cries linger in the air, The Black Lake stands as a haunting testament to the dangers of curiosity and the enduring power of the unknown in the world of Abstara.</v>
      </c>
      <c r="C61" s="16" t="str">
        <f>IFERROR(__xludf.DUMMYFUNCTION("""COMPUTED_VALUE"""),"Abstara")</f>
        <v>Abstara</v>
      </c>
      <c r="D61" s="16"/>
      <c r="E61" s="98">
        <f>IFERROR(__xludf.DUMMYFUNCTION("""COMPUTED_VALUE"""),1.0E9)</f>
        <v>1000000000</v>
      </c>
      <c r="F61" s="16" t="str">
        <f>IFERROR(__xludf.DUMMYFUNCTION("""COMPUTED_VALUE"""),"UndeadCoin")</f>
        <v>UndeadCoin</v>
      </c>
      <c r="G61" s="16"/>
      <c r="H61" s="16"/>
      <c r="I61" s="16"/>
      <c r="J61" s="16"/>
      <c r="K61" s="16"/>
      <c r="L61" s="16"/>
      <c r="M61" s="16"/>
      <c r="N61" s="16"/>
      <c r="O61" s="16"/>
      <c r="P61" s="16"/>
      <c r="Q61" s="16"/>
      <c r="R61" s="16"/>
      <c r="S61" s="16"/>
      <c r="T61" s="16"/>
      <c r="U61" s="16"/>
      <c r="V61" s="16"/>
      <c r="W61" s="16"/>
      <c r="X61" s="16"/>
      <c r="Y61" s="16"/>
      <c r="Z61" s="16"/>
    </row>
    <row r="62">
      <c r="A62" s="16" t="str">
        <f>IFERROR(__xludf.DUMMYFUNCTION("""COMPUTED_VALUE"""),"The Inferno Lake")</f>
        <v>The Inferno Lake</v>
      </c>
      <c r="B62" s="16" t="str">
        <f>IFERROR(__xludf.DUMMYFUNCTION("""COMPUTED_VALUE"""),"This extraordinary body of molten lava, both a deadly arena and a place of elemental wonder, defies conventional notions of land and water. Within its fiery depths resides the enigmatic Volcanic Serpent, a creature whose nature mirrors the dualities of it"&amp;"s fiery domain. The origins of The Inferno Lake are forged in cataclysm, transformation, and the ceaseless dance of elemental forces.
Long before The Inferno Lake emerged as a blazing arena, Abstara was a realm where the elemental forces reigned supreme,"&amp;" shaping its landscapes and defining its inhabitants. The clash of these primal energies gave birth to a convergence of fire and earth, a place where molten lava flowed like rivers and fiery geysers erupted into the skies. Amidst this volcanic landscape, "&amp;"the foundation of The Inferno Lake was laid.
The birth of The Inferno Lake was a cataclysmic event that saw the convergence of multiple volcanic eruptions, a cosmic dance that shaped the molten landscape and gave birth to an arena unlike any other. The l"&amp;"ava's flow formed a churning basin that reflected the fiery glow of the skies, a body of liquid flame that seemed to defy the boundaries of conventional reality.
As the volcanic energies coalesced, the Volcanic Serpent emerged from the molten depths. Thi"&amp;"s creature, a living embodiment of the fire and lava that defined its home, bore the form of a serpentine being wreathed in flames. Its scales glowed with an inner fire, its eyes burning with an ancient intelligence that transcended the elements themselve"&amp;"s. The Volcanic Serpent's existence was an eternal dance of creation and destruction, mirroring the fiery realm in which it dwelled.
With its emergence, the Volcanic Serpent claimed its role as both guardian and master of The Inferno Lake. The creature's"&amp;" power over the molten fires allowed it to manipulate the arena's landscape, shaping the currents of lava and crafting platforms that defied the flames' intensity. It transformed the lake into an arena where daring warriors, adventurers, and beings from a"&amp;"cross Abstara could test their mettle in the crucible of elemental chaos.
Legends of The Inferno Lake and its guardian spread across the realm, drawing the bravest and the boldest to its shores. These warriors sought the ultimate challenge, their motivat"&amp;"ions ranging from the pursuit of glory to the desire for dominion over the flames themselves. As each contender stepped onto the arena's molten shores, the Volcanic Serpent watched with an unblinking gaze, ready to witness the dance of life and death that"&amp;" unfolded before its fiery eyes.
In the present era, The Inferno Lake remains an arena of elemental fury and challenge. Its fiery currents and shifting platforms provide a crucible where only the strongest and most adaptable can survive. The Volcanic Ser"&amp;"pent's watchful presence continues to draw the brave and the reckless, offering them a chance to test their skills and courage against the raw power of the elements.
The Inferno Lake stands as a realm of transformation and triumph, a place where the boun"&amp;"daries of reality blur amidst the flames and where warriors prove their mettle amidst the elemental chaos. As the molten currents continue to churn and the Volcanic Serpent's fiery gaze remains unyielding, The Inferno Lake becomes a story of power and pro"&amp;"wess, where the dance of fire and life unfolds in a blazing symphony within the world of Abstara.")</f>
        <v>This extraordinary body of molten lava, both a deadly arena and a place of elemental wonder, defies conventional notions of land and water. Within its fiery depths resides the enigmatic Volcanic Serpent, a creature whose nature mirrors the dualities of its fiery domain. The origins of The Inferno Lake are forged in cataclysm, transformation, and the ceaseless dance of elemental forces.
Long before The Inferno Lake emerged as a blazing arena, Abstara was a realm where the elemental forces reigned supreme, shaping its landscapes and defining its inhabitants. The clash of these primal energies gave birth to a convergence of fire and earth, a place where molten lava flowed like rivers and fiery geysers erupted into the skies. Amidst this volcanic landscape, the foundation of The Inferno Lake was laid.
The birth of The Inferno Lake was a cataclysmic event that saw the convergence of multiple volcanic eruptions, a cosmic dance that shaped the molten landscape and gave birth to an arena unlike any other. The lava's flow formed a churning basin that reflected the fiery glow of the skies, a body of liquid flame that seemed to defy the boundaries of conventional reality.
As the volcanic energies coalesced, the Volcanic Serpent emerged from the molten depths. This creature, a living embodiment of the fire and lava that defined its home, bore the form of a serpentine being wreathed in flames. Its scales glowed with an inner fire, its eyes burning with an ancient intelligence that transcended the elements themselves. The Volcanic Serpent's existence was an eternal dance of creation and destruction, mirroring the fiery realm in which it dwelled.
With its emergence, the Volcanic Serpent claimed its role as both guardian and master of The Inferno Lake. The creature's power over the molten fires allowed it to manipulate the arena's landscape, shaping the currents of lava and crafting platforms that defied the flames' intensity. It transformed the lake into an arena where daring warriors, adventurers, and beings from across Abstara could test their mettle in the crucible of elemental chaos.
Legends of The Inferno Lake and its guardian spread across the realm, drawing the bravest and the boldest to its shores. These warriors sought the ultimate challenge, their motivations ranging from the pursuit of glory to the desire for dominion over the flames themselves. As each contender stepped onto the arena's molten shores, the Volcanic Serpent watched with an unblinking gaze, ready to witness the dance of life and death that unfolded before its fiery eyes.
In the present era, The Inferno Lake remains an arena of elemental fury and challenge. Its fiery currents and shifting platforms provide a crucible where only the strongest and most adaptable can survive. The Volcanic Serpent's watchful presence continues to draw the brave and the reckless, offering them a chance to test their skills and courage against the raw power of the elements.
The Inferno Lake stands as a realm of transformation and triumph, a place where the boundaries of reality blur amidst the flames and where warriors prove their mettle amidst the elemental chaos. As the molten currents continue to churn and the Volcanic Serpent's fiery gaze remains unyielding, The Inferno Lake becomes a story of power and prowess, where the dance of fire and life unfolds in a blazing symphony within the world of Abstara.</v>
      </c>
      <c r="C62" s="16" t="str">
        <f>IFERROR(__xludf.DUMMYFUNCTION("""COMPUTED_VALUE"""),"Abstara")</f>
        <v>Abstara</v>
      </c>
      <c r="D62" s="16"/>
      <c r="E62" s="98">
        <f>IFERROR(__xludf.DUMMYFUNCTION("""COMPUTED_VALUE"""),1.0E9)</f>
        <v>1000000000</v>
      </c>
      <c r="F62" s="16" t="str">
        <f>IFERROR(__xludf.DUMMYFUNCTION("""COMPUTED_VALUE"""),"UndeadCoin")</f>
        <v>UndeadCoin</v>
      </c>
      <c r="G62" s="16"/>
      <c r="H62" s="16"/>
      <c r="I62" s="16"/>
      <c r="J62" s="16"/>
      <c r="K62" s="16"/>
      <c r="L62" s="16"/>
      <c r="M62" s="16"/>
      <c r="N62" s="16"/>
      <c r="O62" s="16"/>
      <c r="P62" s="16"/>
      <c r="Q62" s="16"/>
      <c r="R62" s="16"/>
      <c r="S62" s="16"/>
      <c r="T62" s="16"/>
      <c r="U62" s="16"/>
      <c r="V62" s="16"/>
      <c r="W62" s="16"/>
      <c r="X62" s="16"/>
      <c r="Y62" s="16"/>
      <c r="Z62" s="16"/>
    </row>
    <row r="63">
      <c r="A63" s="16" t="str">
        <f>IFERROR(__xludf.DUMMYFUNCTION("""COMPUTED_VALUE"""),"The Night Region")</f>
        <v>The Night Region</v>
      </c>
      <c r="B63" s="16" t="str">
        <f>IFERROR(__xludf.DUMMYFUNCTION("""COMPUTED_VALUE"""),"This mystic expanse, with its glowing mushroom villages and night-blooming flora, stands as a realm of beauty and intrigue, where the ordinary becomes extraordinary and the unknown beckons to those who dare to explore. The origins of The Night Region are "&amp;"woven from magic, natural wonder, and the boundless possibilities that lie within the shadows.
Long before The Night Region came into existence, Abstara was a realm where magic and nature intermingled, giving rise to landscapes both wondrous and diverse."&amp;" Amidst the realm's verdant expanses and ethereal forests, the foundation of The Night Region was laid through the convergence of energies and the stirring of ancient forces.
The Night Region's emergence was marked by a convergence of cosmic events, an a"&amp;"lignment of energies that birthed a realm of perpetual twilight. The sun's rays kissed the horizon in an eternal embrace, casting a soft and gentle light that illuminated the land without overpowering it. In this unique balance between day and night, the "&amp;"seeds of magic took root, giving rise to the glowing mushroom villages and night plants that would define The Night Region.
The villages that sprung forth were a testament to the harmony between the inhabitants and the natural world. The villagers, known"&amp;" as the Luminescent Folk, embraced the magic of their realm, cultivating the glowing mushrooms and harnessing their light for various purposes. The mushrooms' gentle glow provided illumination during the realm's twilight hours, casting an ethereal radianc"&amp;"e that transformed the Night Region into a realm of serene beauty.
Within the heart of The Night Region, a towering tree known as the Celestial Elder stood as both a guardian and a source of wisdom. Its gnarled branches reached towards the sky, its leave"&amp;"s shimmering with a brilliance that echoed the stars themselves. The Luminescent Folk held the Celestial Elder in reverence, seeking its guidance in matters both magical and mundane. The tree's roots were said to tap into the very essence of the realm, co"&amp;"nnecting it to the cosmic energies that shaped Abstara's nature.
Over the years, The Night Region gained a reputation as a place of rare herbs and mystical flora. Adventurers and scholars from across Abstara journeyed to its glowing landscapes, drawn by "&amp;"the promise of discovering herbs with unique properties and magical potential. The night-blooming plants that thrived within the realm's embrace held secrets that echoed through the realms, their properties holding the promise of powerful potions and ench"&amp;"antments.
In the present era, The Night Region remains a realm of enchantment and wonder, its glowing mushroom villages and night plants serving as a beacon for those who seek to uncover the mysteries of the natural world. The Luminescent Folk continue t"&amp;"o tend to their mushroom homes and the Celestial Elder, their connection to the realm's magic deepening with each passing year.
The Night Region stands as a realm of balance and beauty, where the twilight hours offer a canvas for both the ordinary and th"&amp;"e extraordinary to coexist. As adventurers explore its glowing landscapes and scholars unravel the secrets of its night-blooming flora, The Night Region becomes a story of magic, nature, and the delicate harmony that can be found within the realm's twilig"&amp;"ht embrace in the world of Abstara.")</f>
        <v>This mystic expanse, with its glowing mushroom villages and night-blooming flora, stands as a realm of beauty and intrigue, where the ordinary becomes extraordinary and the unknown beckons to those who dare to explore. The origins of The Night Region are woven from magic, natural wonder, and the boundless possibilities that lie within the shadows.
Long before The Night Region came into existence, Abstara was a realm where magic and nature intermingled, giving rise to landscapes both wondrous and diverse. Amidst the realm's verdant expanses and ethereal forests, the foundation of The Night Region was laid through the convergence of energies and the stirring of ancient forces.
The Night Region's emergence was marked by a convergence of cosmic events, an alignment of energies that birthed a realm of perpetual twilight. The sun's rays kissed the horizon in an eternal embrace, casting a soft and gentle light that illuminated the land without overpowering it. In this unique balance between day and night, the seeds of magic took root, giving rise to the glowing mushroom villages and night plants that would define The Night Region.
The villages that sprung forth were a testament to the harmony between the inhabitants and the natural world. The villagers, known as the Luminescent Folk, embraced the magic of their realm, cultivating the glowing mushrooms and harnessing their light for various purposes. The mushrooms' gentle glow provided illumination during the realm's twilight hours, casting an ethereal radiance that transformed the Night Region into a realm of serene beauty.
Within the heart of The Night Region, a towering tree known as the Celestial Elder stood as both a guardian and a source of wisdom. Its gnarled branches reached towards the sky, its leaves shimmering with a brilliance that echoed the stars themselves. The Luminescent Folk held the Celestial Elder in reverence, seeking its guidance in matters both magical and mundane. The tree's roots were said to tap into the very essence of the realm, connecting it to the cosmic energies that shaped Abstara's nature.
Over the years, The Night Region gained a reputation as a place of rare herbs and mystical flora. Adventurers and scholars from across Abstara journeyed to its glowing landscapes, drawn by the promise of discovering herbs with unique properties and magical potential. The night-blooming plants that thrived within the realm's embrace held secrets that echoed through the realms, their properties holding the promise of powerful potions and enchantments.
In the present era, The Night Region remains a realm of enchantment and wonder, its glowing mushroom villages and night plants serving as a beacon for those who seek to uncover the mysteries of the natural world. The Luminescent Folk continue to tend to their mushroom homes and the Celestial Elder, their connection to the realm's magic deepening with each passing year.
The Night Region stands as a realm of balance and beauty, where the twilight hours offer a canvas for both the ordinary and the extraordinary to coexist. As adventurers explore its glowing landscapes and scholars unravel the secrets of its night-blooming flora, The Night Region becomes a story of magic, nature, and the delicate harmony that can be found within the realm's twilight embrace in the world of Abstara.</v>
      </c>
      <c r="C63" s="16" t="str">
        <f>IFERROR(__xludf.DUMMYFUNCTION("""COMPUTED_VALUE"""),"Abstara")</f>
        <v>Abstara</v>
      </c>
      <c r="D63" s="16"/>
      <c r="E63" s="98">
        <f>IFERROR(__xludf.DUMMYFUNCTION("""COMPUTED_VALUE"""),1.0E9)</f>
        <v>1000000000</v>
      </c>
      <c r="F63" s="16" t="str">
        <f>IFERROR(__xludf.DUMMYFUNCTION("""COMPUTED_VALUE"""),"UndeadCoin")</f>
        <v>UndeadCoin</v>
      </c>
      <c r="G63" s="16"/>
      <c r="H63" s="16"/>
      <c r="I63" s="16"/>
      <c r="J63" s="16"/>
      <c r="K63" s="16"/>
      <c r="L63" s="16"/>
      <c r="M63" s="16"/>
      <c r="N63" s="16"/>
      <c r="O63" s="16"/>
      <c r="P63" s="16"/>
      <c r="Q63" s="16"/>
      <c r="R63" s="16"/>
      <c r="S63" s="16"/>
      <c r="T63" s="16"/>
      <c r="U63" s="16"/>
      <c r="V63" s="16"/>
      <c r="W63" s="16"/>
      <c r="X63" s="16"/>
      <c r="Y63" s="16"/>
      <c r="Z63" s="16"/>
    </row>
    <row r="64">
      <c r="A64" s="16" t="str">
        <f>IFERROR(__xludf.DUMMYFUNCTION("""COMPUTED_VALUE"""),"The Nightmare Realm")</f>
        <v>The Nightmare Realm</v>
      </c>
      <c r="B64" s="16"/>
      <c r="C64" s="16" t="str">
        <f>IFERROR(__xludf.DUMMYFUNCTION("""COMPUTED_VALUE"""),"Abstara")</f>
        <v>Abstara</v>
      </c>
      <c r="D64" s="16"/>
      <c r="E64" s="98">
        <f>IFERROR(__xludf.DUMMYFUNCTION("""COMPUTED_VALUE"""),1.0E9)</f>
        <v>1000000000</v>
      </c>
      <c r="F64" s="16" t="str">
        <f>IFERROR(__xludf.DUMMYFUNCTION("""COMPUTED_VALUE"""),"UndeadCoin")</f>
        <v>UndeadCoin</v>
      </c>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98">
        <f>IFERROR(__xludf.DUMMYFUNCTION("""COMPUTED_VALUE"""),1.0E9)</f>
        <v>1000000000</v>
      </c>
      <c r="F65" s="16"/>
      <c r="G65" s="16"/>
      <c r="H65" s="16"/>
      <c r="I65" s="16"/>
      <c r="J65" s="16"/>
      <c r="K65" s="16"/>
      <c r="L65" s="16"/>
      <c r="M65" s="16"/>
      <c r="N65" s="16"/>
      <c r="O65" s="16"/>
      <c r="P65" s="16"/>
      <c r="Q65" s="16"/>
      <c r="R65" s="16"/>
      <c r="S65" s="16"/>
      <c r="T65" s="16"/>
      <c r="U65" s="16"/>
      <c r="V65" s="16"/>
      <c r="W65" s="16"/>
      <c r="X65" s="16"/>
      <c r="Y65" s="16"/>
      <c r="Z65" s="16"/>
    </row>
    <row r="66">
      <c r="A66" s="16" t="str">
        <f>IFERROR(__xludf.DUMMYFUNCTION("""COMPUTED_VALUE"""),"Cathedral of the Forsaken")</f>
        <v>Cathedral of the Forsaken</v>
      </c>
      <c r="B66" s="16" t="str">
        <f>IFERROR(__xludf.DUMMYFUNCTION("""COMPUTED_VALUE"""),"This immense cathedral, once the stronghold of Satan's rule, now stands as a chilling testament to the dominance of an even more malevolent being, Lord Dreadful. The origins of the Cathedral are etched in the history of power struggles, treacherous ambiti"&amp;"on, and the inexorable rise of the darkest forces within the world of Abstara.
Long before the Cathedral of the Forsaken emerged as a symbol of subjugation, Abstara was a realm perpetually caught between the clashing tides of good and evil. In this realm"&amp;" of intricate moral and cosmic complexities, Satan, a figure of shadow and authority, rose to power as a ruler of darkness. His dominion was epitomized by the Cathedral, a darkly grand structure of imposing spires, arcane symbolism, and an aura of malevol"&amp;"ence that pervaded the very air.
The cathedral's halls reverberated with dark rituals and sinister worship, attracting followers who sought the forbidden knowledge and promises of supremacy offered by Satan's rule. The Cathedral of the Forsaken became a "&amp;"focal point of devotion and control, a place where dark magic intertwined with infernal devotion, shaping the destiny of the realm itself.
Yet, the tides of power are ever-shifting, and from the depths of darkness emerged an even more sinister force: Lor"&amp;"d Dreadful. This malevolent being, draped in shadows and malice, wielded an unimaginable darkness that eclipsed even Satan's influence. Lord Dreadful's thirst for dominion over Abstara led him to challenge Satan's rule, and with a catastrophic confrontati"&amp;"on, the Cathedral of the Forsaken became a battleground of cosmic proportions.
In a cataclysmic clash that shook the very foundations of the cathedral and echoed through the realm, Lord Dreadful's overwhelming power cast Satan into the shadows and sealed"&amp;" his fate in hiding. The cathedral, once a sanctuary for darkness, now fell under the sinister control of Lord Dreadful, whose rule carved new depths of malevolence and cruelty into its very essence.
Under Lord Dreadful's reign, the Cathedral of the Fors"&amp;"aken underwent a transformation that mirrored the depths of his maleficence. The once-imposing architecture twisted and contorted, with spires curving in unnatural angles and dark energies coursing through its very stone. The air grew heavier with dread, "&amp;"and the cathedral's chambers were imbued with a chilling aura that echoed the ruthlessness of Lord Dreadful's dominion.
In the present era, the Cathedral of the Forsaken remains a realm steeped in darkness and fear, a place where the echoes of treacherou"&amp;"s ambitions resonate through the air. The cathedral's halls, once a sanctuary for the devout, have now become a place of dread, haunted by Lord Dreadful's ruthless rule and the shadows of the past.
The Cathedral of the Forsaken stands as a realm of conqu"&amp;"est and malevolence, a testament to the ever-shifting balance of power within the world of Abstara. As Lord Dreadful's rule grows more entrenched and the cathedral's history continues to unfold, it becomes a story of the insidious allure of darkness and t"&amp;"he depths to which beings can descend in their quest for supremacy within the enigmatic realms of Abstara.")</f>
        <v>This immense cathedral, once the stronghold of Satan's rule, now stands as a chilling testament to the dominance of an even more malevolent being, Lord Dreadful. The origins of the Cathedral are etched in the history of power struggles, treacherous ambition, and the inexorable rise of the darkest forces within the world of Abstara.
Long before the Cathedral of the Forsaken emerged as a symbol of subjugation, Abstara was a realm perpetually caught between the clashing tides of good and evil. In this realm of intricate moral and cosmic complexities, Satan, a figure of shadow and authority, rose to power as a ruler of darkness. His dominion was epitomized by the Cathedral, a darkly grand structure of imposing spires, arcane symbolism, and an aura of malevolence that pervaded the very air.
The cathedral's halls reverberated with dark rituals and sinister worship, attracting followers who sought the forbidden knowledge and promises of supremacy offered by Satan's rule. The Cathedral of the Forsaken became a focal point of devotion and control, a place where dark magic intertwined with infernal devotion, shaping the destiny of the realm itself.
Yet, the tides of power are ever-shifting, and from the depths of darkness emerged an even more sinister force: Lord Dreadful. This malevolent being, draped in shadows and malice, wielded an unimaginable darkness that eclipsed even Satan's influence. Lord Dreadful's thirst for dominion over Abstara led him to challenge Satan's rule, and with a catastrophic confrontation, the Cathedral of the Forsaken became a battleground of cosmic proportions.
In a cataclysmic clash that shook the very foundations of the cathedral and echoed through the realm, Lord Dreadful's overwhelming power cast Satan into the shadows and sealed his fate in hiding. The cathedral, once a sanctuary for darkness, now fell under the sinister control of Lord Dreadful, whose rule carved new depths of malevolence and cruelty into its very essence.
Under Lord Dreadful's reign, the Cathedral of the Forsaken underwent a transformation that mirrored the depths of his maleficence. The once-imposing architecture twisted and contorted, with spires curving in unnatural angles and dark energies coursing through its very stone. The air grew heavier with dread, and the cathedral's chambers were imbued with a chilling aura that echoed the ruthlessness of Lord Dreadful's dominion.
In the present era, the Cathedral of the Forsaken remains a realm steeped in darkness and fear, a place where the echoes of treacherous ambitions resonate through the air. The cathedral's halls, once a sanctuary for the devout, have now become a place of dread, haunted by Lord Dreadful's ruthless rule and the shadows of the past.
The Cathedral of the Forsaken stands as a realm of conquest and malevolence, a testament to the ever-shifting balance of power within the world of Abstara. As Lord Dreadful's rule grows more entrenched and the cathedral's history continues to unfold, it becomes a story of the insidious allure of darkness and the depths to which beings can descend in their quest for supremacy within the enigmatic realms of Abstara.</v>
      </c>
      <c r="C66" s="16" t="str">
        <f>IFERROR(__xludf.DUMMYFUNCTION("""COMPUTED_VALUE"""),"Abstara")</f>
        <v>Abstara</v>
      </c>
      <c r="D66" s="16"/>
      <c r="E66" s="98">
        <f>IFERROR(__xludf.DUMMYFUNCTION("""COMPUTED_VALUE"""),1.0E9)</f>
        <v>1000000000</v>
      </c>
      <c r="F66" s="16" t="str">
        <f>IFERROR(__xludf.DUMMYFUNCTION("""COMPUTED_VALUE"""),"UndeadCoin")</f>
        <v>UndeadCoin</v>
      </c>
      <c r="G66" s="16"/>
      <c r="H66" s="16"/>
      <c r="I66" s="16"/>
      <c r="J66" s="16"/>
      <c r="K66" s="16"/>
      <c r="L66" s="16"/>
      <c r="M66" s="16"/>
      <c r="N66" s="16"/>
      <c r="O66" s="16"/>
      <c r="P66" s="16"/>
      <c r="Q66" s="16"/>
      <c r="R66" s="16"/>
      <c r="S66" s="16"/>
      <c r="T66" s="16"/>
      <c r="U66" s="16"/>
      <c r="V66" s="16"/>
      <c r="W66" s="16"/>
      <c r="X66" s="16"/>
      <c r="Y66" s="16"/>
      <c r="Z66" s="16"/>
    </row>
    <row r="67">
      <c r="A67" s="16" t="str">
        <f>IFERROR(__xludf.DUMMYFUNCTION("""COMPUTED_VALUE"""),"The Ancient City of Jinnlar (Currently Unavailable)")</f>
        <v>The Ancient City of Jinnlar (Currently Unavailable)</v>
      </c>
      <c r="B67" s="16" t="str">
        <f>IFERROR(__xludf.DUMMYFUNCTION("""COMPUTED_VALUE"""),"This sprawling metropolis, cloaked in the veils of ancient mysticism, stands as a monument to the boundless power and ethereal beauty of the jinn – supernatural beings of elemental magic. The origins of the Ancient City are woven from the threads of magic"&amp;", ancient alliances, and the enduring legacy of the jinn within the world of Abstara.
Long before the Ancient City of Jinnlar became a beacon of mystical power, Abstara was a realm where the forces of nature and magic converged, giving rise to diverse "&amp;"landscapes and sentient beings. Amidst this tapestry of existence, the jinn emerged as entities of unparalleled magic, embodying the essence of the elements – fire, air, earth, and water – that shaped the world.
The formation of the Ancient City was a "&amp;"tale of profound alliance between the jinn and the forces of magic that governed Abstara. Over time, the jinn formed intricate bonds with the elemental energies that permeated the realm, their power resonating with the very fabric of the cosmos. As these "&amp;"supernatural beings solidified their existence, they sought a place where they could coexist in harmony and wield their elemental magic to shape the world around them.
Guided by their affinity for magic and the elements, the jinn crafted the Ancient Ci"&amp;"ty of Jinnlar. The city's architecture was a marvel of otherworldly beauty, with towering spires that reached towards the skies and intricate mosaics that shimmered with the hues of fire, air, earth, and water. The very streets and buildings seemed to pul"&amp;"se with elemental energy, resonating with the unique magic of each jinn who called the city home.
Within the heart of the city lay the Palace of Elements, a majestic structure that stood as a tribute to the jinn's mastery over the elemental forces. The"&amp;" palace's chambers were adorned with relics of cosmic significance, each artifact attuned to a different aspect of magic and nature. The jinn's rule was marked by a delicate balance between power and reverence, as they used their magic to shape the land a"&amp;"nd foster an existence that respected the forces that gave them life.
For centuries, the Ancient City of Jinnlar thrived as a haven of magic and wonder, a place where the jinn's bond with the elements created a realm of unparalleled beauty. The city wa"&amp;"s a testament to the jinn's mastery over their innate abilities, and it drew visitors from across Abstara who sought to witness the manifestations of elemental magic that echoed through its streets.
In the present era, the Ancient City of Jinnlar remai"&amp;"ns a realm of timeless magic, its streets echoing with the whispers of ancient enchantments. The jinn who call the city home continue to wield their elemental power, shaping the realm in accordance with their will and reverence for the cosmic forces that "&amp;"bind them. Visitors and adventurers who seek to explore its wonders find themselves immersed in a realm where the boundaries between magic, nature, and reality blur.
The Ancient City of Jinnlar stands as a realm of elemental harmony and enduring enchan"&amp;"tment, a place where the jinn's mastery over magic and the elements is celebrated in every corner. As the jinn continue to shape their city and the realm at large, it becomes a story of magic's boundless potential, the alliance between supernatural beings"&amp;" and cosmic forces, and the legacy of the jinn within the mystical world of Abstara.")</f>
        <v>This sprawling metropolis, cloaked in the veils of ancient mysticism, stands as a monument to the boundless power and ethereal beauty of the jinn – supernatural beings of elemental magic. The origins of the Ancient City are woven from the threads of magic, ancient alliances, and the enduring legacy of the jinn within the world of Abstara.
Long before the Ancient City of Jinnlar became a beacon of mystical power, Abstara was a realm where the forces of nature and magic converged, giving rise to diverse landscapes and sentient beings. Amidst this tapestry of existence, the jinn emerged as entities of unparalleled magic, embodying the essence of the elements – fire, air, earth, and water – that shaped the world.
The formation of the Ancient City was a tale of profound alliance between the jinn and the forces of magic that governed Abstara. Over time, the jinn formed intricate bonds with the elemental energies that permeated the realm, their power resonating with the very fabric of the cosmos. As these supernatural beings solidified their existence, they sought a place where they could coexist in harmony and wield their elemental magic to shape the world around them.
Guided by their affinity for magic and the elements, the jinn crafted the Ancient City of Jinnlar. The city's architecture was a marvel of otherworldly beauty, with towering spires that reached towards the skies and intricate mosaics that shimmered with the hues of fire, air, earth, and water. The very streets and buildings seemed to pulse with elemental energy, resonating with the unique magic of each jinn who called the city home.
Within the heart of the city lay the Palace of Elements, a majestic structure that stood as a tribute to the jinn's mastery over the elemental forces. The palace's chambers were adorned with relics of cosmic significance, each artifact attuned to a different aspect of magic and nature. The jinn's rule was marked by a delicate balance between power and reverence, as they used their magic to shape the land and foster an existence that respected the forces that gave them life.
For centuries, the Ancient City of Jinnlar thrived as a haven of magic and wonder, a place where the jinn's bond with the elements created a realm of unparalleled beauty. The city was a testament to the jinn's mastery over their innate abilities, and it drew visitors from across Abstara who sought to witness the manifestations of elemental magic that echoed through its streets.
In the present era, the Ancient City of Jinnlar remains a realm of timeless magic, its streets echoing with the whispers of ancient enchantments. The jinn who call the city home continue to wield their elemental power, shaping the realm in accordance with their will and reverence for the cosmic forces that bind them. Visitors and adventurers who seek to explore its wonders find themselves immersed in a realm where the boundaries between magic, nature, and reality blur.
The Ancient City of Jinnlar stands as a realm of elemental harmony and enduring enchantment, a place where the jinn's mastery over magic and the elements is celebrated in every corner. As the jinn continue to shape their city and the realm at large, it becomes a story of magic's boundless potential, the alliance between supernatural beings and cosmic forces, and the legacy of the jinn within the mystical world of Abstara.</v>
      </c>
      <c r="C67" s="16" t="str">
        <f>IFERROR(__xludf.DUMMYFUNCTION("""COMPUTED_VALUE"""),"Abstara")</f>
        <v>Abstara</v>
      </c>
      <c r="D67" s="16"/>
      <c r="E67" s="98">
        <f>IFERROR(__xludf.DUMMYFUNCTION("""COMPUTED_VALUE"""),1.0E9)</f>
        <v>1000000000</v>
      </c>
      <c r="F67" s="16" t="str">
        <f>IFERROR(__xludf.DUMMYFUNCTION("""COMPUTED_VALUE"""),"UndeadCoin")</f>
        <v>UndeadCoin</v>
      </c>
      <c r="G67" s="16"/>
      <c r="H67" s="16"/>
      <c r="I67" s="16"/>
      <c r="J67" s="16"/>
      <c r="K67" s="16"/>
      <c r="L67" s="16"/>
      <c r="M67" s="16"/>
      <c r="N67" s="16"/>
      <c r="O67" s="16"/>
      <c r="P67" s="16"/>
      <c r="Q67" s="16"/>
      <c r="R67" s="16"/>
      <c r="S67" s="16"/>
      <c r="T67" s="16"/>
      <c r="U67" s="16"/>
      <c r="V67" s="16"/>
      <c r="W67" s="16"/>
      <c r="X67" s="16"/>
      <c r="Y67" s="16"/>
      <c r="Z67" s="16"/>
    </row>
    <row r="68">
      <c r="A68" s="16" t="str">
        <f>IFERROR(__xludf.DUMMYFUNCTION("""COMPUTED_VALUE"""),"Chaotic Old Village")</f>
        <v>Chaotic Old Village</v>
      </c>
      <c r="B68" s="16"/>
      <c r="C68" s="16" t="str">
        <f>IFERROR(__xludf.DUMMYFUNCTION("""COMPUTED_VALUE"""),"Land of The Forgotten")</f>
        <v>Land of The Forgotten</v>
      </c>
      <c r="D68" s="16"/>
      <c r="E68" s="98">
        <f>IFERROR(__xludf.DUMMYFUNCTION("""COMPUTED_VALUE"""),1.0E9)</f>
        <v>1000000000</v>
      </c>
      <c r="F68" s="16" t="str">
        <f>IFERROR(__xludf.DUMMYFUNCTION("""COMPUTED_VALUE"""),"Gilder")</f>
        <v>Gilder</v>
      </c>
      <c r="G68" s="16"/>
      <c r="H68" s="16"/>
      <c r="I68" s="16"/>
      <c r="J68" s="16"/>
      <c r="K68" s="16"/>
      <c r="L68" s="16"/>
      <c r="M68" s="16"/>
      <c r="N68" s="16"/>
      <c r="O68" s="16"/>
      <c r="P68" s="16"/>
      <c r="Q68" s="16"/>
      <c r="R68" s="16"/>
      <c r="S68" s="16"/>
      <c r="T68" s="16"/>
      <c r="U68" s="16"/>
      <c r="V68" s="16"/>
      <c r="W68" s="16"/>
      <c r="X68" s="16"/>
      <c r="Y68" s="16"/>
      <c r="Z68" s="16"/>
    </row>
    <row r="69">
      <c r="A69" s="16" t="str">
        <f>IFERROR(__xludf.DUMMYFUNCTION("""COMPUTED_VALUE"""),"Puppet Masters Cave")</f>
        <v>Puppet Masters Cave</v>
      </c>
      <c r="B69" s="16"/>
      <c r="C69" s="16" t="str">
        <f>IFERROR(__xludf.DUMMYFUNCTION("""COMPUTED_VALUE"""),"Land of The Forgotten")</f>
        <v>Land of The Forgotten</v>
      </c>
      <c r="D69" s="16"/>
      <c r="E69" s="98">
        <f>IFERROR(__xludf.DUMMYFUNCTION("""COMPUTED_VALUE"""),1.0E9)</f>
        <v>1000000000</v>
      </c>
      <c r="F69" s="16" t="str">
        <f>IFERROR(__xludf.DUMMYFUNCTION("""COMPUTED_VALUE"""),"Gilder")</f>
        <v>Gilder</v>
      </c>
      <c r="G69" s="16"/>
      <c r="H69" s="16"/>
      <c r="I69" s="16"/>
      <c r="J69" s="16"/>
      <c r="K69" s="16"/>
      <c r="L69" s="16"/>
      <c r="M69" s="16"/>
      <c r="N69" s="16"/>
      <c r="O69" s="16"/>
      <c r="P69" s="16"/>
      <c r="Q69" s="16"/>
      <c r="R69" s="16"/>
      <c r="S69" s="16"/>
      <c r="T69" s="16"/>
      <c r="U69" s="16"/>
      <c r="V69" s="16"/>
      <c r="W69" s="16"/>
      <c r="X69" s="16"/>
      <c r="Y69" s="16"/>
      <c r="Z69" s="16"/>
    </row>
    <row r="70">
      <c r="A70" s="16" t="str">
        <f>IFERROR(__xludf.DUMMYFUNCTION("""COMPUTED_VALUE"""),"Puppet Masters Hedge Maze")</f>
        <v>Puppet Masters Hedge Maze</v>
      </c>
      <c r="B70" s="16"/>
      <c r="C70" s="16" t="str">
        <f>IFERROR(__xludf.DUMMYFUNCTION("""COMPUTED_VALUE"""),"Land of The Forgotten")</f>
        <v>Land of The Forgotten</v>
      </c>
      <c r="D70" s="16"/>
      <c r="E70" s="98">
        <f>IFERROR(__xludf.DUMMYFUNCTION("""COMPUTED_VALUE"""),1.0E9)</f>
        <v>1000000000</v>
      </c>
      <c r="F70" s="16" t="str">
        <f>IFERROR(__xludf.DUMMYFUNCTION("""COMPUTED_VALUE"""),"Gilder")</f>
        <v>Gilder</v>
      </c>
      <c r="G70" s="16"/>
      <c r="H70" s="16"/>
      <c r="I70" s="16"/>
      <c r="J70" s="16"/>
      <c r="K70" s="16"/>
      <c r="L70" s="16"/>
      <c r="M70" s="16"/>
      <c r="N70" s="16"/>
      <c r="O70" s="16"/>
      <c r="P70" s="16"/>
      <c r="Q70" s="16"/>
      <c r="R70" s="16"/>
      <c r="S70" s="16"/>
      <c r="T70" s="16"/>
      <c r="U70" s="16"/>
      <c r="V70" s="16"/>
      <c r="W70" s="16"/>
      <c r="X70" s="16"/>
      <c r="Y70" s="16"/>
      <c r="Z70" s="16"/>
    </row>
    <row r="71">
      <c r="A71" s="16" t="str">
        <f>IFERROR(__xludf.DUMMYFUNCTION("""COMPUTED_VALUE"""),"SerpentScale Village")</f>
        <v>SerpentScale Village</v>
      </c>
      <c r="B71" s="16" t="str">
        <f>IFERROR(__xludf.DUMMYFUNCTION("""COMPUTED_VALUE"""),"SerpentScale Village was founded over a century ago by a group of adventurers seeking refuge from the dangers of the open sea. The adventurers had been sailing for months on end, searching for new lands and treasures, when they stumbled upon a small, shel"&amp;"tered bay nestled between towering cliffs.
The bay was home to a colony of sea serpents, creatures known for their ferocity and cunning. The adventurers initially feared for their lives, but as they observed the serpents from a distance, they realized th"&amp;"at the creatures were fiercely protective of their bay and the surrounding waters.
The adventurers struck a deal with the serpents: in exchange for safe harbor and protection from other sea monsters, they would respect the serpents' domain and not harm t"&amp;"hem or their offspring. Over time, the adventurers built a small village on the shore of the bay, using the serpents' scales and bones to create sturdy, weather-resistant homes and fortifications.
As the village grew, more and more adventurers flocked to"&amp;" SerpentScale, seeking refuge from the dangers of the sea and the chance to trade with the serpents for their valuable scales and venom. The village became a bustling hub of commerce, with merchants and sailors from all over the world passing through its "&amp;"gates.
Despite the village's prosperity, the serpents remained fiercely protective of their territory, patrolling the waters around the bay and attacking any ships that tried to enter without permission. The villagers learned to live with their fearsome "&amp;"neighbors, respecting their boundaries and taking care not to anger them.
Today, SerpentScale Village remains a thriving center of trade and commerce, closely guarded by the fearsome sea serpents that call it home. The villagers have learned to coexist w"&amp;"ith the serpents, understanding that their safety and prosperity depend on maintaining a delicate balance of respect and cooperation.")</f>
        <v>SerpentScale Village was founded over a century ago by a group of adventurers seeking refuge from the dangers of the open sea. The adventurers had been sailing for months on end, searching for new lands and treasures, when they stumbled upon a small, sheltered bay nestled between towering cliffs.
The bay was home to a colony of sea serpents, creatures known for their ferocity and cunning. The adventurers initially feared for their lives, but as they observed the serpents from a distance, they realized that the creatures were fiercely protective of their bay and the surrounding waters.
The adventurers struck a deal with the serpents: in exchange for safe harbor and protection from other sea monsters, they would respect the serpents' domain and not harm them or their offspring. Over time, the adventurers built a small village on the shore of the bay, using the serpents' scales and bones to create sturdy, weather-resistant homes and fortifications.
As the village grew, more and more adventurers flocked to SerpentScale, seeking refuge from the dangers of the sea and the chance to trade with the serpents for their valuable scales and venom. The village became a bustling hub of commerce, with merchants and sailors from all over the world passing through its gates.
Despite the village's prosperity, the serpents remained fiercely protective of their territory, patrolling the waters around the bay and attacking any ships that tried to enter without permission. The villagers learned to live with their fearsome neighbors, respecting their boundaries and taking care not to anger them.
Today, SerpentScale Village remains a thriving center of trade and commerce, closely guarded by the fearsome sea serpents that call it home. The villagers have learned to coexist with the serpents, understanding that their safety and prosperity depend on maintaining a delicate balance of respect and cooperation.</v>
      </c>
      <c r="C71" s="16" t="str">
        <f>IFERROR(__xludf.DUMMYFUNCTION("""COMPUTED_VALUE"""),"Dragonscale Island")</f>
        <v>Dragonscale Island</v>
      </c>
      <c r="D71" s="16"/>
      <c r="E71" s="98">
        <f>IFERROR(__xludf.DUMMYFUNCTION("""COMPUTED_VALUE"""),1.0E9)</f>
        <v>1000000000</v>
      </c>
      <c r="F71" s="16" t="str">
        <f>IFERROR(__xludf.DUMMYFUNCTION("""COMPUTED_VALUE"""),"Gilder")</f>
        <v>Gilder</v>
      </c>
      <c r="G71" s="16"/>
      <c r="H71" s="16"/>
      <c r="I71" s="16"/>
      <c r="J71" s="16"/>
      <c r="K71" s="16"/>
      <c r="L71" s="16"/>
      <c r="M71" s="16"/>
      <c r="N71" s="16"/>
      <c r="O71" s="16"/>
      <c r="P71" s="16"/>
      <c r="Q71" s="16"/>
      <c r="R71" s="16"/>
      <c r="S71" s="16"/>
      <c r="T71" s="16"/>
      <c r="U71" s="16"/>
      <c r="V71" s="16"/>
      <c r="W71" s="16"/>
      <c r="X71" s="16"/>
      <c r="Y71" s="16"/>
      <c r="Z71" s="16"/>
    </row>
    <row r="72">
      <c r="A72" s="16" t="str">
        <f>IFERROR(__xludf.DUMMYFUNCTION("""COMPUTED_VALUE"""),"Mouth of The Dragon")</f>
        <v>Mouth of The Dragon</v>
      </c>
      <c r="B72" s="16" t="str">
        <f>IFERROR(__xludf.DUMMYFUNCTION("""COMPUTED_VALUE"""),"Mouth of the Dragon is a region of the world known for its fiery and hostile terrain, marked by a cluster of active volcanoes that erupt regularly. The region is home to a variety of dangerous creatures, including fire elementals, magma beasts, and lava d"&amp;"ragons.
Long ago, the area was inhabited by a powerful dragon named Galthar. Galthar was a massive creature, with scales as black as obsidian and eyes that glowed with an otherworldly light. He was known throughout the land for his incredible strength an"&amp;"d his ability to control the very forces of nature.
Galthar was a proud and solitary creature, and he viewed the other races of the world with suspicion and disdain. He hoarded great treasures in his lair at the heart of the Mouth of the Dragon, protecte"&amp;"d by traps and spells of his own devising.
Despite his power, Galthar was eventually slain by a group of adventurers who sought to claim his treasures for themselves. The adventurers braved the fiery terrain of the Mouth of the Dragon, fighting their way"&amp;" through hordes of Galthar's minions and overcoming his deadly traps.
When they finally reached Galthar's lair, they engaged the dragon in a fierce battle that lasted for days. In the end, Galthar was defeated, but not before he unleashed a terrible curs"&amp;"e upon the land. The curse caused the volcanoes of the region to become even more active, spewing forth lava and ash that covered the land in a fiery blanket.
Today, the Mouth of the Dragon remains a dangerous and treacherous region, haunted by the legac"&amp;"y of Galthar and the curse he wrought. Adventurers still journey to the area in search of riches and adventure, but they do so at great risk, knowing that the fires of the land could consume them at any moment.")</f>
        <v>Mouth of the Dragon is a region of the world known for its fiery and hostile terrain, marked by a cluster of active volcanoes that erupt regularly. The region is home to a variety of dangerous creatures, including fire elementals, magma beasts, and lava dragons.
Long ago, the area was inhabited by a powerful dragon named Galthar. Galthar was a massive creature, with scales as black as obsidian and eyes that glowed with an otherworldly light. He was known throughout the land for his incredible strength and his ability to control the very forces of nature.
Galthar was a proud and solitary creature, and he viewed the other races of the world with suspicion and disdain. He hoarded great treasures in his lair at the heart of the Mouth of the Dragon, protected by traps and spells of his own devising.
Despite his power, Galthar was eventually slain by a group of adventurers who sought to claim his treasures for themselves. The adventurers braved the fiery terrain of the Mouth of the Dragon, fighting their way through hordes of Galthar's minions and overcoming his deadly traps.
When they finally reached Galthar's lair, they engaged the dragon in a fierce battle that lasted for days. In the end, Galthar was defeated, but not before he unleashed a terrible curse upon the land. The curse caused the volcanoes of the region to become even more active, spewing forth lava and ash that covered the land in a fiery blanket.
Today, the Mouth of the Dragon remains a dangerous and treacherous region, haunted by the legacy of Galthar and the curse he wrought. Adventurers still journey to the area in search of riches and adventure, but they do so at great risk, knowing that the fires of the land could consume them at any moment.</v>
      </c>
      <c r="C72" s="16" t="str">
        <f>IFERROR(__xludf.DUMMYFUNCTION("""COMPUTED_VALUE"""),"Dragonscale Island")</f>
        <v>Dragonscale Island</v>
      </c>
      <c r="D72" s="16"/>
      <c r="E72" s="98">
        <f>IFERROR(__xludf.DUMMYFUNCTION("""COMPUTED_VALUE"""),1.0E9)</f>
        <v>1000000000</v>
      </c>
      <c r="F72" s="16" t="str">
        <f>IFERROR(__xludf.DUMMYFUNCTION("""COMPUTED_VALUE"""),"Gilder")</f>
        <v>Gilder</v>
      </c>
      <c r="G72" s="16"/>
      <c r="H72" s="16"/>
      <c r="I72" s="16"/>
      <c r="J72" s="16"/>
      <c r="K72" s="16"/>
      <c r="L72" s="16"/>
      <c r="M72" s="16"/>
      <c r="N72" s="16"/>
      <c r="O72" s="16"/>
      <c r="P72" s="16"/>
      <c r="Q72" s="16"/>
      <c r="R72" s="16"/>
      <c r="S72" s="16"/>
      <c r="T72" s="16"/>
      <c r="U72" s="16"/>
      <c r="V72" s="16"/>
      <c r="W72" s="16"/>
      <c r="X72" s="16"/>
      <c r="Y72" s="16"/>
      <c r="Z72" s="16"/>
    </row>
    <row r="73">
      <c r="A73" s="16" t="str">
        <f>IFERROR(__xludf.DUMMYFUNCTION("""COMPUTED_VALUE"""),"Dragonscale Dungeon")</f>
        <v>Dragonscale Dungeon</v>
      </c>
      <c r="B73" s="16" t="str">
        <f>IFERROR(__xludf.DUMMYFUNCTION("""COMPUTED_VALUE"""),"DragonScale Dungeon is a towering fortress that looms over the landscape, its walls adorned with the scales of long-dead dragons. The dungeon was built centuries ago by an order of knights who sought to create a place where dangerous criminals could be in"&amp;"carcerated and punished.
Initially, the dungeon was well-managed and its inmates were treated humanely. However, over time, corruption set in, and the guards began to abuse their power, using the inmates for their own gain and ignoring their duty to main"&amp;"tain order.
Eventually, a group of inmates rebelled against their captors, seizing control of the lower levels of the dungeon and turning them into a lawless den of thieves and murderers. The guards, unable to retake control, sealed off the lower levels "&amp;"and abandoned the dungeon altogether, leaving the inmates to fend for themselves.
Over time, the lower levels of the dungeon became known as the Pits of Despair, a place where the worst criminals and outcasts of society were sent to rot away in darkness "&amp;"and filth. The Pits became a breeding ground for violence and corruption, with powerful gangs vying for control and the dragons that lurked within the depths preying upon the weak and defenseless.
Despite its dark reputation, DragonScale Dungeon remains "&amp;"a place of great interest for adventurers and treasure seekers, who brave its traps and monsters in search of valuable relics and ancient artifacts. However, those who venture too far into the Pits of Despair rarely return, swallowed up by the darkness an"&amp;"d the dangers that lurk within.")</f>
        <v>DragonScale Dungeon is a towering fortress that looms over the landscape, its walls adorned with the scales of long-dead dragons. The dungeon was built centuries ago by an order of knights who sought to create a place where dangerous criminals could be incarcerated and punished.
Initially, the dungeon was well-managed and its inmates were treated humanely. However, over time, corruption set in, and the guards began to abuse their power, using the inmates for their own gain and ignoring their duty to maintain order.
Eventually, a group of inmates rebelled against their captors, seizing control of the lower levels of the dungeon and turning them into a lawless den of thieves and murderers. The guards, unable to retake control, sealed off the lower levels and abandoned the dungeon altogether, leaving the inmates to fend for themselves.
Over time, the lower levels of the dungeon became known as the Pits of Despair, a place where the worst criminals and outcasts of society were sent to rot away in darkness and filth. The Pits became a breeding ground for violence and corruption, with powerful gangs vying for control and the dragons that lurked within the depths preying upon the weak and defenseless.
Despite its dark reputation, DragonScale Dungeon remains a place of great interest for adventurers and treasure seekers, who brave its traps and monsters in search of valuable relics and ancient artifacts. However, those who venture too far into the Pits of Despair rarely return, swallowed up by the darkness and the dangers that lurk within.</v>
      </c>
      <c r="C73" s="16" t="str">
        <f>IFERROR(__xludf.DUMMYFUNCTION("""COMPUTED_VALUE"""),"Dragonscale Island")</f>
        <v>Dragonscale Island</v>
      </c>
      <c r="D73" s="16"/>
      <c r="E73" s="98">
        <f>IFERROR(__xludf.DUMMYFUNCTION("""COMPUTED_VALUE"""),1.0E9)</f>
        <v>1000000000</v>
      </c>
      <c r="F73" s="16" t="str">
        <f>IFERROR(__xludf.DUMMYFUNCTION("""COMPUTED_VALUE"""),"Gilder")</f>
        <v>Gilder</v>
      </c>
      <c r="G73" s="16"/>
      <c r="H73" s="16"/>
      <c r="I73" s="16"/>
      <c r="J73" s="16"/>
      <c r="K73" s="16"/>
      <c r="L73" s="16"/>
      <c r="M73" s="16"/>
      <c r="N73" s="16"/>
      <c r="O73" s="16"/>
      <c r="P73" s="16"/>
      <c r="Q73" s="16"/>
      <c r="R73" s="16"/>
      <c r="S73" s="16"/>
      <c r="T73" s="16"/>
      <c r="U73" s="16"/>
      <c r="V73" s="16"/>
      <c r="W73" s="16"/>
      <c r="X73" s="16"/>
      <c r="Y73" s="16"/>
      <c r="Z73" s="16"/>
    </row>
    <row r="74">
      <c r="A74" s="16" t="str">
        <f>IFERROR(__xludf.DUMMYFUNCTION("""COMPUTED_VALUE"""),"Sweltering Salamander Swamp")</f>
        <v>Sweltering Salamander Swamp</v>
      </c>
      <c r="B74" s="16" t="str">
        <f>IFERROR(__xludf.DUMMYFUNCTION("""COMPUTED_VALUE"""),"Sweltering Salamander Swamp is a dense and humid region, with murky waters and twisting vines that make it difficult to navigate. The swamp is home to a variety of creatures, including alligators, snakes, and insects, but it is most notable for its lizard"&amp;" folk inhabitants, who have lived in the area for generations.
The lizard folk who call Sweltering Salamander Swamp home worship a giant salamander that they believe to be a powerful deity. They believe that the salamander controls the waters of the swam"&amp;"p and brings life to the land, and they have built a temple at the center of the swamp where they can pay homage to their god.
The temple is a towering structure made of wood and vines, with a massive statue of the salamander at its center. The lizard fo"&amp;"lk believe that the statue is a physical manifestation of their god, and they perform daily rituals and sacrifices to ensure that the salamander remains pleased with them.
Despite their reverence for the salamander, the lizard folk of Sweltering Salamand"&amp;"er Swamp are not entirely peaceful. They are fiercely territorial and will defend their land and their god against any intruders. Those who venture into the swamp without permission are likely to be met with hostility and violence, as the lizard folk view"&amp;" outsiders as a threat to their way of life.
However, for those who can gain the trust of the lizard folk, Sweltering Salamander Swamp can be a source of great knowledge and power. The lizard folk are skilled in the ways of the swamp and can offer valuab"&amp;"le guidance and resources to those who are willing to respect their culture and their beliefs.")</f>
        <v>Sweltering Salamander Swamp is a dense and humid region, with murky waters and twisting vines that make it difficult to navigate. The swamp is home to a variety of creatures, including alligators, snakes, and insects, but it is most notable for its lizard folk inhabitants, who have lived in the area for generations.
The lizard folk who call Sweltering Salamander Swamp home worship a giant salamander that they believe to be a powerful deity. They believe that the salamander controls the waters of the swamp and brings life to the land, and they have built a temple at the center of the swamp where they can pay homage to their god.
The temple is a towering structure made of wood and vines, with a massive statue of the salamander at its center. The lizard folk believe that the statue is a physical manifestation of their god, and they perform daily rituals and sacrifices to ensure that the salamander remains pleased with them.
Despite their reverence for the salamander, the lizard folk of Sweltering Salamander Swamp are not entirely peaceful. They are fiercely territorial and will defend their land and their god against any intruders. Those who venture into the swamp without permission are likely to be met with hostility and violence, as the lizard folk view outsiders as a threat to their way of life.
However, for those who can gain the trust of the lizard folk, Sweltering Salamander Swamp can be a source of great knowledge and power. The lizard folk are skilled in the ways of the swamp and can offer valuable guidance and resources to those who are willing to respect their culture and their beliefs.</v>
      </c>
      <c r="C74" s="16" t="str">
        <f>IFERROR(__xludf.DUMMYFUNCTION("""COMPUTED_VALUE"""),"Dragonscale Island")</f>
        <v>Dragonscale Island</v>
      </c>
      <c r="D74" s="16"/>
      <c r="E74" s="98">
        <f>IFERROR(__xludf.DUMMYFUNCTION("""COMPUTED_VALUE"""),1.0E9)</f>
        <v>1000000000</v>
      </c>
      <c r="F74" s="16" t="str">
        <f>IFERROR(__xludf.DUMMYFUNCTION("""COMPUTED_VALUE"""),"Gilder")</f>
        <v>Gilder</v>
      </c>
      <c r="G74" s="16"/>
      <c r="H74" s="16"/>
      <c r="I74" s="16"/>
      <c r="J74" s="16"/>
      <c r="K74" s="16"/>
      <c r="L74" s="16"/>
      <c r="M74" s="16"/>
      <c r="N74" s="16"/>
      <c r="O74" s="16"/>
      <c r="P74" s="16"/>
      <c r="Q74" s="16"/>
      <c r="R74" s="16"/>
      <c r="S74" s="16"/>
      <c r="T74" s="16"/>
      <c r="U74" s="16"/>
      <c r="V74" s="16"/>
      <c r="W74" s="16"/>
      <c r="X74" s="16"/>
      <c r="Y74" s="16"/>
      <c r="Z74" s="16"/>
    </row>
    <row r="75">
      <c r="A75" s="16" t="str">
        <f>IFERROR(__xludf.DUMMYFUNCTION("""COMPUTED_VALUE"""),"Gecko-Tail Passage")</f>
        <v>Gecko-Tail Passage</v>
      </c>
      <c r="B75" s="16" t="str">
        <f>IFERROR(__xludf.DUMMYFUNCTION("""COMPUTED_VALUE"""),"Gecko-Tail Passage is a treacherous rainforest passage that connects Dragon Tear Lake and Wyverntail Waterfalls. The area is known for its exotic wildlife, which includes geckos that emit steam, fiery toads that can shoot flames, and lava alligators that "&amp;"can swim through molten rock.
The passage was once used as a trade route by the local tribes who lived in the area, as it provided a shortcut between the two bodies of water. However, as the region became more dangerous, the passage fell into disuse, and"&amp;" it is now primarily used by adventurers and treasure seekers who are brave enough to navigate its hazards.
The steam geckos of Gecko-Tail Passage are particularly dangerous, as they can emit scalding hot steam from their bodies as a defense mechanism. T"&amp;"he fiery toads are no less dangerous, as they can shoot powerful bursts of flame at their prey. And the lava alligators are a constant threat to anyone who dares to enter the passage, as they can swim through molten rock and are virtually immune to fire.
"&amp;"
Despite the dangers, there are those who are drawn to Gecko-Tail Passage by the promise of adventure and treasure. The passage is rumored to contain valuable artifacts and magical treasures that have been lost for centuries, and many brave souls have ven"&amp;"tured into the rainforest in search of these riches.
For those who are able to navigate the hazards of Gecko-Tail Passage and emerge unscathed, the rewards can be great. However, the passage is not for the faint of heart, and many who have entered it hav"&amp;"e never returned.")</f>
        <v>Gecko-Tail Passage is a treacherous rainforest passage that connects Dragon Tear Lake and Wyverntail Waterfalls. The area is known for its exotic wildlife, which includes geckos that emit steam, fiery toads that can shoot flames, and lava alligators that can swim through molten rock.
The passage was once used as a trade route by the local tribes who lived in the area, as it provided a shortcut between the two bodies of water. However, as the region became more dangerous, the passage fell into disuse, and it is now primarily used by adventurers and treasure seekers who are brave enough to navigate its hazards.
The steam geckos of Gecko-Tail Passage are particularly dangerous, as they can emit scalding hot steam from their bodies as a defense mechanism. The fiery toads are no less dangerous, as they can shoot powerful bursts of flame at their prey. And the lava alligators are a constant threat to anyone who dares to enter the passage, as they can swim through molten rock and are virtually immune to fire.
Despite the dangers, there are those who are drawn to Gecko-Tail Passage by the promise of adventure and treasure. The passage is rumored to contain valuable artifacts and magical treasures that have been lost for centuries, and many brave souls have ventured into the rainforest in search of these riches.
For those who are able to navigate the hazards of Gecko-Tail Passage and emerge unscathed, the rewards can be great. However, the passage is not for the faint of heart, and many who have entered it have never returned.</v>
      </c>
      <c r="C75" s="16" t="str">
        <f>IFERROR(__xludf.DUMMYFUNCTION("""COMPUTED_VALUE"""),"Dragonscale Island")</f>
        <v>Dragonscale Island</v>
      </c>
      <c r="D75" s="16"/>
      <c r="E75" s="98">
        <f>IFERROR(__xludf.DUMMYFUNCTION("""COMPUTED_VALUE"""),1.0E9)</f>
        <v>1000000000</v>
      </c>
      <c r="F75" s="16" t="str">
        <f>IFERROR(__xludf.DUMMYFUNCTION("""COMPUTED_VALUE"""),"Gilder")</f>
        <v>Gilder</v>
      </c>
      <c r="G75" s="16"/>
      <c r="H75" s="16"/>
      <c r="I75" s="16"/>
      <c r="J75" s="16"/>
      <c r="K75" s="16"/>
      <c r="L75" s="16"/>
      <c r="M75" s="16"/>
      <c r="N75" s="16"/>
      <c r="O75" s="16"/>
      <c r="P75" s="16"/>
      <c r="Q75" s="16"/>
      <c r="R75" s="16"/>
      <c r="S75" s="16"/>
      <c r="T75" s="16"/>
      <c r="U75" s="16"/>
      <c r="V75" s="16"/>
      <c r="W75" s="16"/>
      <c r="X75" s="16"/>
      <c r="Y75" s="16"/>
      <c r="Z75" s="16"/>
    </row>
    <row r="76">
      <c r="A76" s="16" t="str">
        <f>IFERROR(__xludf.DUMMYFUNCTION("""COMPUTED_VALUE"""),"Wyverntail Waterfalls")</f>
        <v>Wyverntail Waterfalls</v>
      </c>
      <c r="B76" s="16" t="str">
        <f>IFERROR(__xludf.DUMMYFUNCTION("""COMPUTED_VALUE"""),"Wyverntail Waterfalls is a breathtaking region that encompasses a towering mountain, a vibrant green jungle, and a watchtower on the coast. The area is known for its stunning natural beauty and its abundance of exotic wildlife.
The mountain at the heart "&amp;"of Wyverntail Waterfalls is a towering peak that is home to many different creatures, including wyverns, giant birds, and mountain goats. The mountain is rich in minerals and other valuable resources, and it has been the subject of many expeditions by adv"&amp;"enturers seeking to uncover its secrets.
The vibrant green jungle that surrounds the mountain is home to a wide variety of flora and fauna. The trees are dense and lush, providing a habitat for monkeys, snakes, and other creatures. The jungle is also hom"&amp;"e to several hidden temples and ancient ruins, which are rumored to contain powerful artifacts and magical treasures.
At the coast, there is a watchtower that was built by the local kingdom to keep an eye on the sea and protect against invading ships. Th"&amp;"e watchtower is manned by skilled soldiers who are trained to defend against any threats that may come from the sea.
Despite its natural beauty, Wyverntail Waterfalls is a dangerous place, and many who venture into the region do not return. The creatures"&amp;" that live there are fierce and territorial, and there are many hidden dangers lurking in the jungle and the mountain.
For those who are brave enough to explore the region, however, there are many rewards to be found. The mountain contains valuable resou"&amp;"rces that can be mined, and the jungle is home to many rare plants and herbs that can be used for medicinal purposes. And for those who are skilled enough to uncover the secrets of the hidden temples and ancient ruins, there are magical treasures and powe"&amp;"rful artifacts waiting to be discovered.")</f>
        <v>Wyverntail Waterfalls is a breathtaking region that encompasses a towering mountain, a vibrant green jungle, and a watchtower on the coast. The area is known for its stunning natural beauty and its abundance of exotic wildlife.
The mountain at the heart of Wyverntail Waterfalls is a towering peak that is home to many different creatures, including wyverns, giant birds, and mountain goats. The mountain is rich in minerals and other valuable resources, and it has been the subject of many expeditions by adventurers seeking to uncover its secrets.
The vibrant green jungle that surrounds the mountain is home to a wide variety of flora and fauna. The trees are dense and lush, providing a habitat for monkeys, snakes, and other creatures. The jungle is also home to several hidden temples and ancient ruins, which are rumored to contain powerful artifacts and magical treasures.
At the coast, there is a watchtower that was built by the local kingdom to keep an eye on the sea and protect against invading ships. The watchtower is manned by skilled soldiers who are trained to defend against any threats that may come from the sea.
Despite its natural beauty, Wyverntail Waterfalls is a dangerous place, and many who venture into the region do not return. The creatures that live there are fierce and territorial, and there are many hidden dangers lurking in the jungle and the mountain.
For those who are brave enough to explore the region, however, there are many rewards to be found. The mountain contains valuable resources that can be mined, and the jungle is home to many rare plants and herbs that can be used for medicinal purposes. And for those who are skilled enough to uncover the secrets of the hidden temples and ancient ruins, there are magical treasures and powerful artifacts waiting to be discovered.</v>
      </c>
      <c r="C76" s="16" t="str">
        <f>IFERROR(__xludf.DUMMYFUNCTION("""COMPUTED_VALUE"""),"Dragonscale Island")</f>
        <v>Dragonscale Island</v>
      </c>
      <c r="D76" s="16"/>
      <c r="E76" s="98">
        <f>IFERROR(__xludf.DUMMYFUNCTION("""COMPUTED_VALUE"""),1.0E9)</f>
        <v>1000000000</v>
      </c>
      <c r="F76" s="16" t="str">
        <f>IFERROR(__xludf.DUMMYFUNCTION("""COMPUTED_VALUE"""),"Gilder")</f>
        <v>Gilder</v>
      </c>
      <c r="G76" s="16"/>
      <c r="H76" s="16"/>
      <c r="I76" s="16"/>
      <c r="J76" s="16"/>
      <c r="K76" s="16"/>
      <c r="L76" s="16"/>
      <c r="M76" s="16"/>
      <c r="N76" s="16"/>
      <c r="O76" s="16"/>
      <c r="P76" s="16"/>
      <c r="Q76" s="16"/>
      <c r="R76" s="16"/>
      <c r="S76" s="16"/>
      <c r="T76" s="16"/>
      <c r="U76" s="16"/>
      <c r="V76" s="16"/>
      <c r="W76" s="16"/>
      <c r="X76" s="16"/>
      <c r="Y76" s="16"/>
      <c r="Z76" s="16"/>
    </row>
    <row r="77">
      <c r="A77" s="16" t="str">
        <f>IFERROR(__xludf.DUMMYFUNCTION("""COMPUTED_VALUE"""),"Tortoise Shell Island")</f>
        <v>Tortoise Shell Island</v>
      </c>
      <c r="B77" s="16" t="str">
        <f>IFERROR(__xludf.DUMMYFUNCTION("""COMPUTED_VALUE"""),"Long ago, Tortoise Shell Island was a barren, uninhabitable place. It was an unforgiving landscape, with little vegetation and scarce resources. But that all changed when a group of explorers discovered a rare and powerful gemstone on the island. The gems"&amp;"tone was said to have magical properties, and it was highly sought after by people from all over the world.
The discovery of the gemstone attracted two rival tribes to the island, the Fire Tribe and the Water Tribe. The Fire Tribe was known for their fie"&amp;"rce warriors and their fiery temperaments, while the Water Tribe was known for their calm and peaceful nature. Despite their differences, the two tribes formed a close bond, as they recognized that they needed to work together to protect their valuable re"&amp;"source.
As the two tribes settled on the island, they began to build a mighty fortress to protect themselves and the gemstone from outsiders. The fortress was built at the center of the island, and it quickly became the heart of the community. The two tr"&amp;"ibes worked together to create a system of laws and governance, and they appointed a council of elders to maintain order and justice on the island.
Over time, the island became a vibrant and prosperous place. The gemstone brought wealth and prosperity to"&amp;" the tribes, and they used it to build homes, farms, and markets. The island was also surrounded by lush forests, which provided the tribes with an abundance of resources and wildlife.
Despite their successes, the two tribes still had their differences. "&amp;"They would often argue and bicker, and it seemed as though a war was always on the brink of breaking out. But the elders of the council always managed to find a way to keep the peace, and the fortress remained strong.
As the years went by, the gemstone b"&amp;"egan to lose its power. It was still valuable, but it no longer held the same magical properties that it once did. The tribes began to look beyond the gemstone and towards other ways of sustaining themselves. They formed new alliances with neighboring isl"&amp;"ands, and they continued to build and expand their community.
Today, Tortoise Shell Island remains a prosperous and peaceful place. The fortress still stands at the center of the island, serving as a reminder of the tribes' unity and strength. The forest"&amp;"s that surround the village are still vibrant and full of life, and the people who live on the island continue to thrive and prosper.")</f>
        <v>Long ago, Tortoise Shell Island was a barren, uninhabitable place. It was an unforgiving landscape, with little vegetation and scarce resources. But that all changed when a group of explorers discovered a rare and powerful gemstone on the island. The gemstone was said to have magical properties, and it was highly sought after by people from all over the world.
The discovery of the gemstone attracted two rival tribes to the island, the Fire Tribe and the Water Tribe. The Fire Tribe was known for their fierce warriors and their fiery temperaments, while the Water Tribe was known for their calm and peaceful nature. Despite their differences, the two tribes formed a close bond, as they recognized that they needed to work together to protect their valuable resource.
As the two tribes settled on the island, they began to build a mighty fortress to protect themselves and the gemstone from outsiders. The fortress was built at the center of the island, and it quickly became the heart of the community. The two tribes worked together to create a system of laws and governance, and they appointed a council of elders to maintain order and justice on the island.
Over time, the island became a vibrant and prosperous place. The gemstone brought wealth and prosperity to the tribes, and they used it to build homes, farms, and markets. The island was also surrounded by lush forests, which provided the tribes with an abundance of resources and wildlife.
Despite their successes, the two tribes still had their differences. They would often argue and bicker, and it seemed as though a war was always on the brink of breaking out. But the elders of the council always managed to find a way to keep the peace, and the fortress remained strong.
As the years went by, the gemstone began to lose its power. It was still valuable, but it no longer held the same magical properties that it once did. The tribes began to look beyond the gemstone and towards other ways of sustaining themselves. They formed new alliances with neighboring islands, and they continued to build and expand their community.
Today, Tortoise Shell Island remains a prosperous and peaceful place. The fortress still stands at the center of the island, serving as a reminder of the tribes' unity and strength. The forests that surround the village are still vibrant and full of life, and the people who live on the island continue to thrive and prosper.</v>
      </c>
      <c r="C77" s="16" t="str">
        <f>IFERROR(__xludf.DUMMYFUNCTION("""COMPUTED_VALUE"""),"Dragonscale Island")</f>
        <v>Dragonscale Island</v>
      </c>
      <c r="D77" s="16"/>
      <c r="E77" s="98">
        <f>IFERROR(__xludf.DUMMYFUNCTION("""COMPUTED_VALUE"""),1.1E9)</f>
        <v>1100000000</v>
      </c>
      <c r="F77" s="16" t="str">
        <f>IFERROR(__xludf.DUMMYFUNCTION("""COMPUTED_VALUE"""),"Gilder")</f>
        <v>Gilder</v>
      </c>
      <c r="G77" s="16"/>
      <c r="H77" s="16"/>
      <c r="I77" s="16"/>
      <c r="J77" s="16"/>
      <c r="K77" s="16"/>
      <c r="L77" s="16"/>
      <c r="M77" s="16"/>
      <c r="N77" s="16"/>
      <c r="O77" s="16"/>
      <c r="P77" s="16"/>
      <c r="Q77" s="16"/>
      <c r="R77" s="16"/>
      <c r="S77" s="16"/>
      <c r="T77" s="16"/>
      <c r="U77" s="16"/>
      <c r="V77" s="16"/>
      <c r="W77" s="16"/>
      <c r="X77" s="16"/>
      <c r="Y77" s="16"/>
      <c r="Z77" s="16"/>
    </row>
    <row r="78">
      <c r="A78" s="16" t="str">
        <f>IFERROR(__xludf.DUMMYFUNCTION("""COMPUTED_VALUE"""),"Komodo Caverns")</f>
        <v>Komodo Caverns</v>
      </c>
      <c r="B78" s="16" t="str">
        <f>IFERROR(__xludf.DUMMYFUNCTION("""COMPUTED_VALUE"""),"Long ago, the Komodo Caverns were discovered by a group of explorers who were searching for new sources of valuable minerals. The caverns were unlike anything they had ever seen before, with sprawling tunnels and vast chambers that stretched for miles und"&amp;"erground. The explorers were in awe of the natural beauty of the caves, but they soon discovered that they were not alone.
Deep within the caverns, they encountered a group of knights who were unlike any they had ever seen before. These knights were fier"&amp;"ce warriors, clad in armor made from the scales of Komodo dragons. They carried swords that glinted in the darkness, and their eyes glowed with an otherworldly light.
The knights were the guardians of the caverns, and they had been tasked with protecting"&amp;" the valuable minerals that lay within. They were sworn to secrecy, and they had never allowed anyone to enter the caverns before. But the explorers had stumbled upon their secret, and they knew that they had to act quickly to protect their treasure.
The"&amp;" knights chased the explorers deep into the caverns, using their knowledge of the tunnels to outmaneuver them at every turn. But the explorers were determined to claim the valuable minerals for themselves, and they fought fiercely against the knights.
Th"&amp;"e battle raged on for days, with neither side gaining the upper hand. But in the end, the knights emerged victorious. They managed to push the explorers back to the entrance of the caverns, and they sealed the entrance shut with a powerful spell.
From th"&amp;"at day forward, the Komodo Dragon Knights have guarded the caverns with all their might. They have trained rigorously, mastering the art of combat and learning to navigate the treacherous tunnels with ease. They have also become skilled miners, using thei"&amp;"r knowledge of the caverns to extract the valuable minerals that lie within.
Today, the Komodo Caverns are a place of legend, whispered about in hushed tones by adventurers and treasure-seekers. Some have tried to enter the caverns, hoping to claim the v"&amp;"aluable minerals for themselves, but none have ever returned. The knights remain vigilant, ready to defend their home and their treasure against all who would dare to challenge them.")</f>
        <v>Long ago, the Komodo Caverns were discovered by a group of explorers who were searching for new sources of valuable minerals. The caverns were unlike anything they had ever seen before, with sprawling tunnels and vast chambers that stretched for miles underground. The explorers were in awe of the natural beauty of the caves, but they soon discovered that they were not alone.
Deep within the caverns, they encountered a group of knights who were unlike any they had ever seen before. These knights were fierce warriors, clad in armor made from the scales of Komodo dragons. They carried swords that glinted in the darkness, and their eyes glowed with an otherworldly light.
The knights were the guardians of the caverns, and they had been tasked with protecting the valuable minerals that lay within. They were sworn to secrecy, and they had never allowed anyone to enter the caverns before. But the explorers had stumbled upon their secret, and they knew that they had to act quickly to protect their treasure.
The knights chased the explorers deep into the caverns, using their knowledge of the tunnels to outmaneuver them at every turn. But the explorers were determined to claim the valuable minerals for themselves, and they fought fiercely against the knights.
The battle raged on for days, with neither side gaining the upper hand. But in the end, the knights emerged victorious. They managed to push the explorers back to the entrance of the caverns, and they sealed the entrance shut with a powerful spell.
From that day forward, the Komodo Dragon Knights have guarded the caverns with all their might. They have trained rigorously, mastering the art of combat and learning to navigate the treacherous tunnels with ease. They have also become skilled miners, using their knowledge of the caverns to extract the valuable minerals that lie within.
Today, the Komodo Caverns are a place of legend, whispered about in hushed tones by adventurers and treasure-seekers. Some have tried to enter the caverns, hoping to claim the valuable minerals for themselves, but none have ever returned. The knights remain vigilant, ready to defend their home and their treasure against all who would dare to challenge them.</v>
      </c>
      <c r="C78" s="16" t="str">
        <f>IFERROR(__xludf.DUMMYFUNCTION("""COMPUTED_VALUE"""),"Dragonscale Island")</f>
        <v>Dragonscale Island</v>
      </c>
      <c r="D78" s="16"/>
      <c r="E78" s="98">
        <f>IFERROR(__xludf.DUMMYFUNCTION("""COMPUTED_VALUE"""),1.0E9)</f>
        <v>1000000000</v>
      </c>
      <c r="F78" s="16" t="str">
        <f>IFERROR(__xludf.DUMMYFUNCTION("""COMPUTED_VALUE"""),"Gilder")</f>
        <v>Gilder</v>
      </c>
      <c r="G78" s="16"/>
      <c r="H78" s="16"/>
      <c r="I78" s="16"/>
      <c r="J78" s="16"/>
      <c r="K78" s="16"/>
      <c r="L78" s="16"/>
      <c r="M78" s="16"/>
      <c r="N78" s="16"/>
      <c r="O78" s="16"/>
      <c r="P78" s="16"/>
      <c r="Q78" s="16"/>
      <c r="R78" s="16"/>
      <c r="S78" s="16"/>
      <c r="T78" s="16"/>
      <c r="U78" s="16"/>
      <c r="V78" s="16"/>
      <c r="W78" s="16"/>
      <c r="X78" s="16"/>
      <c r="Y78" s="16"/>
      <c r="Z78" s="16"/>
    </row>
    <row r="79">
      <c r="A79" s="16" t="str">
        <f>IFERROR(__xludf.DUMMYFUNCTION("""COMPUTED_VALUE"""),"DragonTear Lake (Eye of The Dragon)")</f>
        <v>DragonTear Lake (Eye of The Dragon)</v>
      </c>
      <c r="B79" s="16" t="str">
        <f>IFERROR(__xludf.DUMMYFUNCTION("""COMPUTED_VALUE"""),"DragonTear Lake, or the Eye of the Dragon as it is sometimes called, is a mysterious body of water that is shrouded in legends and rumors. According to local lore, the lake was formed by a powerful dragon that once inhabited the area. The creature was sai"&amp;"d to be so fearsome that it could breathe fire and ice, and its scales were as hard as steel. Many brave adventurers tried to slay the dragon and claim its hoard of treasure, but none were successful.
Eventually, a group of powerful mages and warriors ba"&amp;"nded together to defeat the dragon once and for all. They managed to slay the beast, but not before it let out one final roar that shook the ground and split the earth. From the spot where the dragon fell, a great lake sprung up, and it was said that the "&amp;"tears shed by the dragon as it died mixed with the water, giving it its unique properties.
However, as time passed, strange things began to happen around the lake. Travelers reported seeing ghostly figures walking along its shores, and some claimed that "&amp;"they could hear the dragon's roar echoing through the night. Fishermen who dared to cast their lines into the lake often came back with strange and twisted catches, and those who ventured into the water often reported feeling an ominous presence watching "&amp;"them from below.
Despite its dangers, many adventurers still flock to DragonTear Lake in search of treasure and adventure. Some even believe that the lake holds the key to unlocking ancient magic or hidden knowledge. But whether they will emerge from its"&amp;" depths unscathed, or if they will fall victim to the dragon's curse, remains to be seen.")</f>
        <v>DragonTear Lake, or the Eye of the Dragon as it is sometimes called, is a mysterious body of water that is shrouded in legends and rumors. According to local lore, the lake was formed by a powerful dragon that once inhabited the area. The creature was said to be so fearsome that it could breathe fire and ice, and its scales were as hard as steel. Many brave adventurers tried to slay the dragon and claim its hoard of treasure, but none were successful.
Eventually, a group of powerful mages and warriors banded together to defeat the dragon once and for all. They managed to slay the beast, but not before it let out one final roar that shook the ground and split the earth. From the spot where the dragon fell, a great lake sprung up, and it was said that the tears shed by the dragon as it died mixed with the water, giving it its unique properties.
However, as time passed, strange things began to happen around the lake. Travelers reported seeing ghostly figures walking along its shores, and some claimed that they could hear the dragon's roar echoing through the night. Fishermen who dared to cast their lines into the lake often came back with strange and twisted catches, and those who ventured into the water often reported feeling an ominous presence watching them from below.
Despite its dangers, many adventurers still flock to DragonTear Lake in search of treasure and adventure. Some even believe that the lake holds the key to unlocking ancient magic or hidden knowledge. But whether they will emerge from its depths unscathed, or if they will fall victim to the dragon's curse, remains to be seen.</v>
      </c>
      <c r="C79" s="16" t="str">
        <f>IFERROR(__xludf.DUMMYFUNCTION("""COMPUTED_VALUE"""),"Dragonscale Island")</f>
        <v>Dragonscale Island</v>
      </c>
      <c r="D79" s="16"/>
      <c r="E79" s="98">
        <f>IFERROR(__xludf.DUMMYFUNCTION("""COMPUTED_VALUE"""),1.0E9)</f>
        <v>1000000000</v>
      </c>
      <c r="F79" s="16" t="str">
        <f>IFERROR(__xludf.DUMMYFUNCTION("""COMPUTED_VALUE"""),"Gilder")</f>
        <v>Gilder</v>
      </c>
      <c r="G79" s="16"/>
      <c r="H79" s="16"/>
      <c r="I79" s="16"/>
      <c r="J79" s="16"/>
      <c r="K79" s="16"/>
      <c r="L79" s="16"/>
      <c r="M79" s="16"/>
      <c r="N79" s="16"/>
      <c r="O79" s="16"/>
      <c r="P79" s="16"/>
      <c r="Q79" s="16"/>
      <c r="R79" s="16"/>
      <c r="S79" s="16"/>
      <c r="T79" s="16"/>
      <c r="U79" s="16"/>
      <c r="V79" s="16"/>
      <c r="W79" s="16"/>
      <c r="X79" s="16"/>
      <c r="Y79" s="16"/>
      <c r="Z79" s="16"/>
    </row>
    <row r="80">
      <c r="A80" s="16" t="str">
        <f>IFERROR(__xludf.DUMMYFUNCTION("""COMPUTED_VALUE"""),"DragonScale Summit")</f>
        <v>DragonScale Summit</v>
      </c>
      <c r="B80" s="16" t="str">
        <f>IFERROR(__xludf.DUMMYFUNCTION("""COMPUTED_VALUE"""),"DragonScale Summit is a frozen fortress perched high atop a mountain peak that is said to be the home of the most powerful dragons and lizardkin in the land. The summit was built by Lord Dracus Dragonscale, the ruler of DragonScale Island, who was known t"&amp;"hroughout the land as a fierce warrior and a brilliant strategist.
As a young dragon, Dracus was forced to flee his home when a rival dragon clan took over his island. He vowed to one day return and reclaim his birthright, and after years of training and"&amp;" planning, he gathered a band of loyal followers and set out to retake the island. The battle was long and grueling, but in the end, Dracus emerged victorious, and he declared himself the new ruler of DragonScale Island.
With his power secured, Dracus se"&amp;"t out to build a fortress that would be impervious to any attack. He chose the highest peak in the region, a place where the winds were fierce and the snow never melted, and there he began construction on the DragonScale Summit. The fortress was made enti"&amp;"rely of ice and reinforced with magic, and its walls were so thick that no weapon could penetrate them.
Dracus soon became known as the Lord of DragonScale Summit, and his reputation as a powerful and just ruler spread throughout the land. Many dragons a"&amp;"nd lizardkin from all corners of the world came to swear fealty to him, and they pledged their loyalty to his cause.
Today, DragonScale Summit stands as a symbol of Dracus's power and might. It is said that he and his followers continue to dwell there, w"&amp;"atching over the land and waiting for any who would challenge their rule. Some adventurers have attempted to breach the fortress, but none have ever succeeded, and those who have tried are said to have met a terrible fate at the hands of Lord Dracus and h"&amp;"is dragon and lizardkin followers.")</f>
        <v>DragonScale Summit is a frozen fortress perched high atop a mountain peak that is said to be the home of the most powerful dragons and lizardkin in the land. The summit was built by Lord Dracus Dragonscale, the ruler of DragonScale Island, who was known throughout the land as a fierce warrior and a brilliant strategist.
As a young dragon, Dracus was forced to flee his home when a rival dragon clan took over his island. He vowed to one day return and reclaim his birthright, and after years of training and planning, he gathered a band of loyal followers and set out to retake the island. The battle was long and grueling, but in the end, Dracus emerged victorious, and he declared himself the new ruler of DragonScale Island.
With his power secured, Dracus set out to build a fortress that would be impervious to any attack. He chose the highest peak in the region, a place where the winds were fierce and the snow never melted, and there he began construction on the DragonScale Summit. The fortress was made entirely of ice and reinforced with magic, and its walls were so thick that no weapon could penetrate them.
Dracus soon became known as the Lord of DragonScale Summit, and his reputation as a powerful and just ruler spread throughout the land. Many dragons and lizardkin from all corners of the world came to swear fealty to him, and they pledged their loyalty to his cause.
Today, DragonScale Summit stands as a symbol of Dracus's power and might. It is said that he and his followers continue to dwell there, watching over the land and waiting for any who would challenge their rule. Some adventurers have attempted to breach the fortress, but none have ever succeeded, and those who have tried are said to have met a terrible fate at the hands of Lord Dracus and his dragon and lizardkin followers.</v>
      </c>
      <c r="C80" s="16" t="str">
        <f>IFERROR(__xludf.DUMMYFUNCTION("""COMPUTED_VALUE"""),"Dragonscale Island")</f>
        <v>Dragonscale Island</v>
      </c>
      <c r="D80" s="16"/>
      <c r="E80" s="98">
        <f>IFERROR(__xludf.DUMMYFUNCTION("""COMPUTED_VALUE"""),1.0E9)</f>
        <v>1000000000</v>
      </c>
      <c r="F80" s="16" t="str">
        <f>IFERROR(__xludf.DUMMYFUNCTION("""COMPUTED_VALUE"""),"Gilder")</f>
        <v>Gilder</v>
      </c>
      <c r="G80" s="16"/>
      <c r="H80" s="16"/>
      <c r="I80" s="16"/>
      <c r="J80" s="16"/>
      <c r="K80" s="16"/>
      <c r="L80" s="16"/>
      <c r="M80" s="16"/>
      <c r="N80" s="16"/>
      <c r="O80" s="16"/>
      <c r="P80" s="16"/>
      <c r="Q80" s="16"/>
      <c r="R80" s="16"/>
      <c r="S80" s="16"/>
      <c r="T80" s="16"/>
      <c r="U80" s="16"/>
      <c r="V80" s="16"/>
      <c r="W80" s="16"/>
      <c r="X80" s="16"/>
      <c r="Y80" s="16"/>
      <c r="Z80" s="16"/>
    </row>
    <row r="81">
      <c r="A81" s="16" t="str">
        <f>IFERROR(__xludf.DUMMYFUNCTION("""COMPUTED_VALUE"""),"DragonScale Vale")</f>
        <v>DragonScale Vale</v>
      </c>
      <c r="B81" s="16" t="str">
        <f>IFERROR(__xludf.DUMMYFUNCTION("""COMPUTED_VALUE"""),"DragonScale Vale is a vast open valley that stretches for miles along the coast. It is surrounded by towering mountains and lush forests that are home to all kinds of dragons and lizardkin. Despite the abundance of fierce creatures, the valley is known fo"&amp;"r its peace and neutrality. It is said that even the most bitter enemies will set aside their differences when they enter DragonScale Vale.
The valley's peaceful reputation is due in large part to its founder, a wise and powerful dragon named Scaleheart."&amp;" Scaleheart was once a fierce warrior who had fought in many battles and wars, but after witnessing the devastation and suffering caused by such conflicts, he decided to turn his back on violence and seek a more peaceful path.
He gathered a group of like"&amp;"-minded dragons and lizardkin and founded DragonScale Vale as a neutral ground where all could come to live and trade without fear of attack. He also established strict laws that forbade any act of violence within the valley's borders. Anyone who broke th"&amp;"e laws would be banished from the valley forever.
Despite its peaceful nature, DragonScale Vale is not without its dangers. Many adventurers have been lured into the valley by the promise of treasure or adventure, only to be faced with fierce creatures t"&amp;"hat call the valley home. But those who come in peace and respect the laws of the land will find a welcoming community of dragons and lizardkin who are always eager to trade and share their knowledge.
Today, DragonScale Vale is a thriving hub of trade an"&amp;"d commerce, where dragons and lizardkin of all kinds come to exchange goods and ideas. The valley's peaceful reputation has made it a popular destination for travelers and traders alike, and it continues to be a beacon of hope for those who seek a better "&amp;"way of life.")</f>
        <v>DragonScale Vale is a vast open valley that stretches for miles along the coast. It is surrounded by towering mountains and lush forests that are home to all kinds of dragons and lizardkin. Despite the abundance of fierce creatures, the valley is known for its peace and neutrality. It is said that even the most bitter enemies will set aside their differences when they enter DragonScale Vale.
The valley's peaceful reputation is due in large part to its founder, a wise and powerful dragon named Scaleheart. Scaleheart was once a fierce warrior who had fought in many battles and wars, but after witnessing the devastation and suffering caused by such conflicts, he decided to turn his back on violence and seek a more peaceful path.
He gathered a group of like-minded dragons and lizardkin and founded DragonScale Vale as a neutral ground where all could come to live and trade without fear of attack. He also established strict laws that forbade any act of violence within the valley's borders. Anyone who broke the laws would be banished from the valley forever.
Despite its peaceful nature, DragonScale Vale is not without its dangers. Many adventurers have been lured into the valley by the promise of treasure or adventure, only to be faced with fierce creatures that call the valley home. But those who come in peace and respect the laws of the land will find a welcoming community of dragons and lizardkin who are always eager to trade and share their knowledge.
Today, DragonScale Vale is a thriving hub of trade and commerce, where dragons and lizardkin of all kinds come to exchange goods and ideas. The valley's peaceful reputation has made it a popular destination for travelers and traders alike, and it continues to be a beacon of hope for those who seek a better way of life.</v>
      </c>
      <c r="C81" s="16" t="str">
        <f>IFERROR(__xludf.DUMMYFUNCTION("""COMPUTED_VALUE"""),"Dragonscale Island")</f>
        <v>Dragonscale Island</v>
      </c>
      <c r="D81" s="16"/>
      <c r="E81" s="98">
        <f>IFERROR(__xludf.DUMMYFUNCTION("""COMPUTED_VALUE"""),1.0E9)</f>
        <v>1000000000</v>
      </c>
      <c r="F81" s="16" t="str">
        <f>IFERROR(__xludf.DUMMYFUNCTION("""COMPUTED_VALUE"""),"Gilder")</f>
        <v>Gilder</v>
      </c>
      <c r="G81" s="16"/>
      <c r="H81" s="16"/>
      <c r="I81" s="16"/>
      <c r="J81" s="16"/>
      <c r="K81" s="16"/>
      <c r="L81" s="16"/>
      <c r="M81" s="16"/>
      <c r="N81" s="16"/>
      <c r="O81" s="16"/>
      <c r="P81" s="16"/>
      <c r="Q81" s="16"/>
      <c r="R81" s="16"/>
      <c r="S81" s="16"/>
      <c r="T81" s="16"/>
      <c r="U81" s="16"/>
      <c r="V81" s="16"/>
      <c r="W81" s="16"/>
      <c r="X81" s="16"/>
      <c r="Y81" s="16"/>
      <c r="Z81" s="16"/>
    </row>
    <row r="82">
      <c r="A82" s="16" t="str">
        <f>IFERROR(__xludf.DUMMYFUNCTION("""COMPUTED_VALUE"""),"DragonScale Grotto")</f>
        <v>DragonScale Grotto</v>
      </c>
      <c r="B82" s="16" t="str">
        <f>IFERROR(__xludf.DUMMYFUNCTION("""COMPUTED_VALUE"""),"DragonScale Grotto is a secret passage that winds its way through the mountains leading to the summit of DragonScale Summit. It was discovered by Lord Dracus Dragonscale himself, who needed a safe and secret route to travel to and from his fortress.
The "&amp;"grotto is hidden from view, and its entrance is located deep within a dense forest that is notoriously difficult to navigate. Only a select few know of its existence, and they guard its location fiercely.
The grotto itself is a twisting maze of tunnels a"&amp;"nd caverns that have been carved out of the mountain over thousands of years. It is said that the tunnels were originally used by an ancient race of dragons who sought refuge from the world above.
The grotto's exit, however, is guarded by a fierce ice dr"&amp;"agon named Frostbite, who is a loyal servant to Lord Dracus Dragonscale. Frostbite is a formidable opponent, with razor-sharp claws and teeth that can slice through steel. He is fiercely protective of his master and will stop at nothing to ensure the safe"&amp;"ty of DragonScale Summit.
Many adventurers have attempted to navigate the treacherous tunnels of DragonScale Grotto in the hopes of reaching DragonScale Summit, but few have ever made it past Frostbite. The ice dragon is an expert at detecting intruders "&amp;"and will attack anyone who tries to pass through the grotto without permission.
Today, DragonScale Grotto remains a well-kept secret, known only to a select few who are trusted by Lord Dracus Dragonscale. Its existence is a testament to the power and inf"&amp;"luence of the dragon lord, and it serves as a reminder that even the most well-guarded fortress can be breached by those who are brave enough to try.")</f>
        <v>DragonScale Grotto is a secret passage that winds its way through the mountains leading to the summit of DragonScale Summit. It was discovered by Lord Dracus Dragonscale himself, who needed a safe and secret route to travel to and from his fortress.
The grotto is hidden from view, and its entrance is located deep within a dense forest that is notoriously difficult to navigate. Only a select few know of its existence, and they guard its location fiercely.
The grotto itself is a twisting maze of tunnels and caverns that have been carved out of the mountain over thousands of years. It is said that the tunnels were originally used by an ancient race of dragons who sought refuge from the world above.
The grotto's exit, however, is guarded by a fierce ice dragon named Frostbite, who is a loyal servant to Lord Dracus Dragonscale. Frostbite is a formidable opponent, with razor-sharp claws and teeth that can slice through steel. He is fiercely protective of his master and will stop at nothing to ensure the safety of DragonScale Summit.
Many adventurers have attempted to navigate the treacherous tunnels of DragonScale Grotto in the hopes of reaching DragonScale Summit, but few have ever made it past Frostbite. The ice dragon is an expert at detecting intruders and will attack anyone who tries to pass through the grotto without permission.
Today, DragonScale Grotto remains a well-kept secret, known only to a select few who are trusted by Lord Dracus Dragonscale. Its existence is a testament to the power and influence of the dragon lord, and it serves as a reminder that even the most well-guarded fortress can be breached by those who are brave enough to try.</v>
      </c>
      <c r="C82" s="16" t="str">
        <f>IFERROR(__xludf.DUMMYFUNCTION("""COMPUTED_VALUE"""),"Dragonscale Island")</f>
        <v>Dragonscale Island</v>
      </c>
      <c r="D82" s="16"/>
      <c r="E82" s="98">
        <f>IFERROR(__xludf.DUMMYFUNCTION("""COMPUTED_VALUE"""),1.0E9)</f>
        <v>1000000000</v>
      </c>
      <c r="F82" s="16" t="str">
        <f>IFERROR(__xludf.DUMMYFUNCTION("""COMPUTED_VALUE"""),"Gilder")</f>
        <v>Gilder</v>
      </c>
      <c r="G82" s="16"/>
      <c r="H82" s="16"/>
      <c r="I82" s="16"/>
      <c r="J82" s="16"/>
      <c r="K82" s="16"/>
      <c r="L82" s="16"/>
      <c r="M82" s="16"/>
      <c r="N82" s="16"/>
      <c r="O82" s="16"/>
      <c r="P82" s="16"/>
      <c r="Q82" s="16"/>
      <c r="R82" s="16"/>
      <c r="S82" s="16"/>
      <c r="T82" s="16"/>
      <c r="U82" s="16"/>
      <c r="V82" s="16"/>
      <c r="W82" s="16"/>
      <c r="X82" s="16"/>
      <c r="Y82" s="16"/>
      <c r="Z82" s="16"/>
    </row>
    <row r="83">
      <c r="A83" s="16" t="str">
        <f>IFERROR(__xludf.DUMMYFUNCTION("""COMPUTED_VALUE"""),"Lava Lizard Lake")</f>
        <v>Lava Lizard Lake</v>
      </c>
      <c r="B83" s="16" t="str">
        <f>IFERROR(__xludf.DUMMYFUNCTION("""COMPUTED_VALUE"""),"Lava Lizard Lake is a place of intense heat and flames, surrounded by towering mountains and deep valleys. The lake is fed by a nearby volcano, which spews hot molten lava into its waters, creating a dangerous and fiery environment.
The lake is home to a"&amp;"ll manner of fiery creatures, including dragons and elemental spirits of fire. The dragons are fierce and territorial, guarding their domain with ferocity and cunning. The elementals are equally powerful, able to control and manipulate the flames of the l"&amp;"ake to their will.
Despite the danger, Lava Lizard Lake is also home to a unique species of lizard, known as the Lava Lizard. These creatures are able to survive in the intense heat and flames of the lake, and they are free to roam the area without fear "&amp;"of attack from the dragons and elementals.
The origin of Lava Lizard Lake is shrouded in mystery, with many tales and legends surrounding its creation. Some say that it was formed by an ancient dragon who was so powerful that his very presence caused the"&amp;" earth to shake and the mountains to tremble. Others say that it was created by a powerful wizard who sought to harness the power of the volcano and the elementals that dwelled within.
Whatever the origin of the lake, it remains a place of intense power "&amp;"and danger, with only the bravest and most skilled adventurers daring to venture into its fiery depths. The dragons and elementals that guard the lake are feared and respected by all who know of their power, and the Lava Lizards that call the lake home ar"&amp;"e revered for their ability to survive in such an inhospitable environment.")</f>
        <v>Lava Lizard Lake is a place of intense heat and flames, surrounded by towering mountains and deep valleys. The lake is fed by a nearby volcano, which spews hot molten lava into its waters, creating a dangerous and fiery environment.
The lake is home to all manner of fiery creatures, including dragons and elemental spirits of fire. The dragons are fierce and territorial, guarding their domain with ferocity and cunning. The elementals are equally powerful, able to control and manipulate the flames of the lake to their will.
Despite the danger, Lava Lizard Lake is also home to a unique species of lizard, known as the Lava Lizard. These creatures are able to survive in the intense heat and flames of the lake, and they are free to roam the area without fear of attack from the dragons and elementals.
The origin of Lava Lizard Lake is shrouded in mystery, with many tales and legends surrounding its creation. Some say that it was formed by an ancient dragon who was so powerful that his very presence caused the earth to shake and the mountains to tremble. Others say that it was created by a powerful wizard who sought to harness the power of the volcano and the elementals that dwelled within.
Whatever the origin of the lake, it remains a place of intense power and danger, with only the bravest and most skilled adventurers daring to venture into its fiery depths. The dragons and elementals that guard the lake are feared and respected by all who know of their power, and the Lava Lizards that call the lake home are revered for their ability to survive in such an inhospitable environment.</v>
      </c>
      <c r="C83" s="16" t="str">
        <f>IFERROR(__xludf.DUMMYFUNCTION("""COMPUTED_VALUE"""),"Dragonscale Island")</f>
        <v>Dragonscale Island</v>
      </c>
      <c r="D83" s="16"/>
      <c r="E83" s="98">
        <f>IFERROR(__xludf.DUMMYFUNCTION("""COMPUTED_VALUE"""),1.0E9)</f>
        <v>1000000000</v>
      </c>
      <c r="F83" s="16" t="str">
        <f>IFERROR(__xludf.DUMMYFUNCTION("""COMPUTED_VALUE"""),"Gilder")</f>
        <v>Gilder</v>
      </c>
      <c r="G83" s="16"/>
      <c r="H83" s="16"/>
      <c r="I83" s="16"/>
      <c r="J83" s="16"/>
      <c r="K83" s="16"/>
      <c r="L83" s="16"/>
      <c r="M83" s="16"/>
      <c r="N83" s="16"/>
      <c r="O83" s="16"/>
      <c r="P83" s="16"/>
      <c r="Q83" s="16"/>
      <c r="R83" s="16"/>
      <c r="S83" s="16"/>
      <c r="T83" s="16"/>
      <c r="U83" s="16"/>
      <c r="V83" s="16"/>
      <c r="W83" s="16"/>
      <c r="X83" s="16"/>
      <c r="Y83" s="16"/>
      <c r="Z83" s="16"/>
    </row>
    <row r="84">
      <c r="A84" s="16" t="str">
        <f>IFERROR(__xludf.DUMMYFUNCTION("""COMPUTED_VALUE"""),"Crypts of the Ancient One")</f>
        <v>Crypts of the Ancient One</v>
      </c>
      <c r="B84" s="16" t="str">
        <f>IFERROR(__xludf.DUMMYFUNCTION("""COMPUTED_VALUE"""),"The Crypts of the Ancient One are a dark and foreboding place, lying east of the infamous DragonScale Dungeon. The crypts are a series of interconnected catacombs and burial chambers, where the remains of ancient and forgotten civilizations lie entombed.
"&amp;"
Legend has it that the Crypts were created by an ancient dragon, who sought to protect his hoard of treasure and artifacts from would-be thieves and adventurers. The dragon was said to be one of the most powerful and fearsome creatures to ever roam the l"&amp;"and, and his power was such that even after his death, his spirit remained trapped within the crypts.
Over the centuries, countless adventurers and treasure-seekers have ventured into the Crypts of the Ancient One, hoping to claim the dragon's hoard for "&amp;"themselves. However, few have ever returned, and those who do tell tales of cursed treasure, undead guardians, and the soul of the ancient dragon that still haunts the crypts to this day.
Despite the dangers, some adventurers are still drawn to the Crypt"&amp;"s, seeking to test their mettle against the legendary guardians and claim the dragon's hoard for themselves. Many believe that the treasure within the Crypts is beyond imagination, filled with powerful magical artifacts, ancient relics, and more gold than"&amp;" anyone could ever spend in a lifetime.
However, the Crypts of the Ancient One are not a place for the faint of heart. Only the bravest and most skilled adventurers dare to enter its depths, and even they may not return unscathed. The legend of the ancie"&amp;"nt dragon still looms large over the Crypts, and his power is such that even in death, he continues to guard his treasure with fierce determination.")</f>
        <v>The Crypts of the Ancient One are a dark and foreboding place, lying east of the infamous DragonScale Dungeon. The crypts are a series of interconnected catacombs and burial chambers, where the remains of ancient and forgotten civilizations lie entombed.
Legend has it that the Crypts were created by an ancient dragon, who sought to protect his hoard of treasure and artifacts from would-be thieves and adventurers. The dragon was said to be one of the most powerful and fearsome creatures to ever roam the land, and his power was such that even after his death, his spirit remained trapped within the crypts.
Over the centuries, countless adventurers and treasure-seekers have ventured into the Crypts of the Ancient One, hoping to claim the dragon's hoard for themselves. However, few have ever returned, and those who do tell tales of cursed treasure, undead guardians, and the soul of the ancient dragon that still haunts the crypts to this day.
Despite the dangers, some adventurers are still drawn to the Crypts, seeking to test their mettle against the legendary guardians and claim the dragon's hoard for themselves. Many believe that the treasure within the Crypts is beyond imagination, filled with powerful magical artifacts, ancient relics, and more gold than anyone could ever spend in a lifetime.
However, the Crypts of the Ancient One are not a place for the faint of heart. Only the bravest and most skilled adventurers dare to enter its depths, and even they may not return unscathed. The legend of the ancient dragon still looms large over the Crypts, and his power is such that even in death, he continues to guard his treasure with fierce determination.</v>
      </c>
      <c r="C84" s="16" t="str">
        <f>IFERROR(__xludf.DUMMYFUNCTION("""COMPUTED_VALUE"""),"Dragonscale Island")</f>
        <v>Dragonscale Island</v>
      </c>
      <c r="D84" s="16"/>
      <c r="E84" s="98">
        <f>IFERROR(__xludf.DUMMYFUNCTION("""COMPUTED_VALUE"""),1.0E9)</f>
        <v>1000000000</v>
      </c>
      <c r="F84" s="16" t="str">
        <f>IFERROR(__xludf.DUMMYFUNCTION("""COMPUTED_VALUE"""),"Gilder")</f>
        <v>Gilder</v>
      </c>
      <c r="G84" s="16"/>
      <c r="H84" s="16"/>
      <c r="I84" s="16"/>
      <c r="J84" s="16"/>
      <c r="K84" s="16"/>
      <c r="L84" s="16"/>
      <c r="M84" s="16"/>
      <c r="N84" s="16"/>
      <c r="O84" s="16"/>
      <c r="P84" s="16"/>
      <c r="Q84" s="16"/>
      <c r="R84" s="16"/>
      <c r="S84" s="16"/>
      <c r="T84" s="16"/>
      <c r="U84" s="16"/>
      <c r="V84" s="16"/>
      <c r="W84" s="16"/>
      <c r="X84" s="16"/>
      <c r="Y84" s="16"/>
      <c r="Z84" s="16"/>
    </row>
    <row r="85">
      <c r="A85" s="16" t="str">
        <f>IFERROR(__xludf.DUMMYFUNCTION("""COMPUTED_VALUE"""),"DragonScale Arena")</f>
        <v>DragonScale Arena</v>
      </c>
      <c r="B85" s="16" t="str">
        <f>IFERROR(__xludf.DUMMYFUNCTION("""COMPUTED_VALUE"""),"The DragonScale Arena has been around for centuries, dating back to a time when dragons roamed the lands and clashed with humans for supremacy. In those days, the arena was a place of bloody battles, with knights and warriors fighting to prove their worth"&amp;" against the fearsome dragons.
Over time, the arena evolved into a hub for adventurers seeking fame and fortune. It became a place where people from all walks of life could test their strength and skill against the fiercest opponents, be it a dragon, a k"&amp;"night, a lizard, or a wizard.
The arena was originally built by a group of powerful mages who sought to harness the power of the dragons that once inhabited the area. They used their magic to create a massive, circular arena with towering walls and a san"&amp;"dy floor that could withstand the flames and claws of the dragons.
As the years passed, the arena's popularity grew, and chariot racing was added to the list of events. The races were a spectacle to behold, with chariots pulled by horses, griffins, and e"&amp;"ven wyverns, racing around the arena at breakneck speeds.
The arena has seen many champions come and go, but none have been as legendary as the DragonSlayers, a group of adventurers who gained fame and fortune by slaying dragons in the arena. Led by a ch"&amp;"arismatic warrior named Galen, the DragonSlayers became an unstoppable force, taking on even the most fearsome dragons with ease.
Despite its long and storied history, the DragonScale Arena has faced many challenges over the years. The dragons that once "&amp;"roamed the area are now rare, and some have even been hunted to extinction. The arena has had to adapt, introducing new opponents like lizards and wizards to keep the crowds entertained.
But even in the face of adversity, the DragonScale Arena continues "&amp;"to thrive, drawing adventurers and thrill-seekers from far and wide. And as long as there are those willing to test their mettle against the arena's fiercest opponents, it will remain a staple of DragonScale Island.")</f>
        <v>The DragonScale Arena has been around for centuries, dating back to a time when dragons roamed the lands and clashed with humans for supremacy. In those days, the arena was a place of bloody battles, with knights and warriors fighting to prove their worth against the fearsome dragons.
Over time, the arena evolved into a hub for adventurers seeking fame and fortune. It became a place where people from all walks of life could test their strength and skill against the fiercest opponents, be it a dragon, a knight, a lizard, or a wizard.
The arena was originally built by a group of powerful mages who sought to harness the power of the dragons that once inhabited the area. They used their magic to create a massive, circular arena with towering walls and a sandy floor that could withstand the flames and claws of the dragons.
As the years passed, the arena's popularity grew, and chariot racing was added to the list of events. The races were a spectacle to behold, with chariots pulled by horses, griffins, and even wyverns, racing around the arena at breakneck speeds.
The arena has seen many champions come and go, but none have been as legendary as the DragonSlayers, a group of adventurers who gained fame and fortune by slaying dragons in the arena. Led by a charismatic warrior named Galen, the DragonSlayers became an unstoppable force, taking on even the most fearsome dragons with ease.
Despite its long and storied history, the DragonScale Arena has faced many challenges over the years. The dragons that once roamed the area are now rare, and some have even been hunted to extinction. The arena has had to adapt, introducing new opponents like lizards and wizards to keep the crowds entertained.
But even in the face of adversity, the DragonScale Arena continues to thrive, drawing adventurers and thrill-seekers from far and wide. And as long as there are those willing to test their mettle against the arena's fiercest opponents, it will remain a staple of DragonScale Island.</v>
      </c>
      <c r="C85" s="16" t="str">
        <f>IFERROR(__xludf.DUMMYFUNCTION("""COMPUTED_VALUE"""),"Dragonscale Island")</f>
        <v>Dragonscale Island</v>
      </c>
      <c r="D85" s="16"/>
      <c r="E85" s="98">
        <f>IFERROR(__xludf.DUMMYFUNCTION("""COMPUTED_VALUE"""),1.0E9)</f>
        <v>1000000000</v>
      </c>
      <c r="F85" s="16" t="str">
        <f>IFERROR(__xludf.DUMMYFUNCTION("""COMPUTED_VALUE"""),"Gilder")</f>
        <v>Gilder</v>
      </c>
      <c r="G85" s="16"/>
      <c r="H85" s="16"/>
      <c r="I85" s="16"/>
      <c r="J85" s="16"/>
      <c r="K85" s="16"/>
      <c r="L85" s="16"/>
      <c r="M85" s="16"/>
      <c r="N85" s="16"/>
      <c r="O85" s="16"/>
      <c r="P85" s="16"/>
      <c r="Q85" s="16"/>
      <c r="R85" s="16"/>
      <c r="S85" s="16"/>
      <c r="T85" s="16"/>
      <c r="U85" s="16"/>
      <c r="V85" s="16"/>
      <c r="W85" s="16"/>
      <c r="X85" s="16"/>
      <c r="Y85" s="16"/>
      <c r="Z85" s="16"/>
    </row>
    <row r="86">
      <c r="A86" s="16" t="str">
        <f>IFERROR(__xludf.DUMMYFUNCTION("""COMPUTED_VALUE"""),"Thundertail Falls")</f>
        <v>Thundertail Falls</v>
      </c>
      <c r="B86" s="16" t="str">
        <f>IFERROR(__xludf.DUMMYFUNCTION("""COMPUTED_VALUE"""),"Thundertail Falls is an area of great natural beauty, nestled deep in the heart of a rugged, mountainous landscape. The falls themselves are fed by the icy waters that flow down from Mount Thunderoot, a towering peak that dominates the surrounding area.
"&amp;"For centuries, the falls were revered by the local people, who believed them to be a sacred site imbued with mystical powers. It was said that the thunderous roar of the falls could be heard from miles around, and that the waters held healing properties c"&amp;"apable of curing even the most deadly of illnesses.
The falls were also home to a thriving community of animals, including the mighty Thundertail, a species of thunderous lizard that roamed the area. These creatures were feared and respected by the local"&amp;"s, who believed that they were the guardians of the falls and the surrounding wilderness.
Over time, the area became a hub for adventurers and explorers, drawn by the promise of ancient treasures and forgotten knowledge. Many came seeking the fabled Thun"&amp;"derstone, a rare and powerful gem said to be hidden somewhere in the falls. Others were drawn by the allure of the Thundertail, hoping to capture or tame the fearsome beasts.
As more and more people came to the area, the local ecosystem began to suffer. "&amp;"The Thundertail, once a common sight, became increasingly rare, and the waters of the falls became polluted and toxic. The once-pristine wilderness became a battleground, with adventurers and poachers fighting over resources and territory.
Today, Thunder"&amp;"tail Falls is a shadow of its former self. The Thundertail are all but extinct, and the waters of the falls are a murky, polluted mess. But despite the damage done to the area, there are still those who believe in its mystical powers and its potential for"&amp;" adventure. For those brave enough to venture into its depths, Thundertail Falls remains")</f>
        <v>Thundertail Falls is an area of great natural beauty, nestled deep in the heart of a rugged, mountainous landscape. The falls themselves are fed by the icy waters that flow down from Mount Thunderoot, a towering peak that dominates the surrounding area.
For centuries, the falls were revered by the local people, who believed them to be a sacred site imbued with mystical powers. It was said that the thunderous roar of the falls could be heard from miles around, and that the waters held healing properties capable of curing even the most deadly of illnesses.
The falls were also home to a thriving community of animals, including the mighty Thundertail, a species of thunderous lizard that roamed the area. These creatures were feared and respected by the locals, who believed that they were the guardians of the falls and the surrounding wilderness.
Over time, the area became a hub for adventurers and explorers, drawn by the promise of ancient treasures and forgotten knowledge. Many came seeking the fabled Thunderstone, a rare and powerful gem said to be hidden somewhere in the falls. Others were drawn by the allure of the Thundertail, hoping to capture or tame the fearsome beasts.
As more and more people came to the area, the local ecosystem began to suffer. The Thundertail, once a common sight, became increasingly rare, and the waters of the falls became polluted and toxic. The once-pristine wilderness became a battleground, with adventurers and poachers fighting over resources and territory.
Today, Thundertail Falls is a shadow of its former self. The Thundertail are all but extinct, and the waters of the falls are a murky, polluted mess. But despite the damage done to the area, there are still those who believe in its mystical powers and its potential for adventure. For those brave enough to venture into its depths, Thundertail Falls remains</v>
      </c>
      <c r="C86" s="16" t="str">
        <f>IFERROR(__xludf.DUMMYFUNCTION("""COMPUTED_VALUE"""),"Dragonscale Island")</f>
        <v>Dragonscale Island</v>
      </c>
      <c r="D86" s="16"/>
      <c r="E86" s="98">
        <f>IFERROR(__xludf.DUMMYFUNCTION("""COMPUTED_VALUE"""),1.0E9)</f>
        <v>1000000000</v>
      </c>
      <c r="F86" s="16" t="str">
        <f>IFERROR(__xludf.DUMMYFUNCTION("""COMPUTED_VALUE"""),"Gilder")</f>
        <v>Gilder</v>
      </c>
      <c r="G86" s="16"/>
      <c r="H86" s="16"/>
      <c r="I86" s="16"/>
      <c r="J86" s="16"/>
      <c r="K86" s="16"/>
      <c r="L86" s="16"/>
      <c r="M86" s="16"/>
      <c r="N86" s="16"/>
      <c r="O86" s="16"/>
      <c r="P86" s="16"/>
      <c r="Q86" s="16"/>
      <c r="R86" s="16"/>
      <c r="S86" s="16"/>
      <c r="T86" s="16"/>
      <c r="U86" s="16"/>
      <c r="V86" s="16"/>
      <c r="W86" s="16"/>
      <c r="X86" s="16"/>
      <c r="Y86" s="16"/>
      <c r="Z86" s="16"/>
    </row>
    <row r="87">
      <c r="A87" s="16" t="str">
        <f>IFERROR(__xludf.DUMMYFUNCTION("""COMPUTED_VALUE"""),"Shimmering Shadow Lake")</f>
        <v>Shimmering Shadow Lake</v>
      </c>
      <c r="B87" s="16" t="str">
        <f>IFERROR(__xludf.DUMMYFUNCTION("""COMPUTED_VALUE"""),"Shimmering Shadow Lake is an ancient body of water, shrouded in mystery and legends that date back to the dawn of time. The lake is known for its deep and dark waters, which are said to hold many secrets and wonders that are unknown to most mortals.
At t"&amp;"he center of the lake lies a swirling vortex, where the waters are said to be deepest and darkest. Here, serpents sail and swim, their shimmering scales reflecting the light of the moon and the stars above. These creatures are elusive and rarely seen by m"&amp;"ortal eyes, but those who do catch a glimpse of them are said to be blessed with great fortune and wisdom.
However, there is one creature that rules over the lake with an iron fist - a fearsome and ferocious sea monster known as the Shadow Dragon. This a"&amp;"ncient creature is said to be the very embodiment of darkness and demonic power, with a hunger for destruction and chaos that knows no bounds.
The Shadow Dragon has been a presence in the lake for as long as anyone can remember, and its power and influen"&amp;"ce have only grown with time. Its shadowy scales and glowing eyes are the stuff of nightmares, and its breath can bring death and destruction to all who stand in its way.
Despite the danger posed by the Shadow Dragon, many adventurers and treasure hunter"&amp;"s have come to the lake in search of its many secrets and treasures. Some seek the magical artifacts said to be hidden in the lake's depths, while others hope to capture or slay the fearsome dragon itself.
But regardless of their motivations, all who com"&amp;"e to Shimmering Shadow Lake know that they are entering a realm of wonder and mystery, where the dangers are as great as the rewards. For those brave enough to venture into its depths, the lake remains an enigma, full of secrets and wonders waiting to be "&amp;"discovered.")</f>
        <v>Shimmering Shadow Lake is an ancient body of water, shrouded in mystery and legends that date back to the dawn of time. The lake is known for its deep and dark waters, which are said to hold many secrets and wonders that are unknown to most mortals.
At the center of the lake lies a swirling vortex, where the waters are said to be deepest and darkest. Here, serpents sail and swim, their shimmering scales reflecting the light of the moon and the stars above. These creatures are elusive and rarely seen by mortal eyes, but those who do catch a glimpse of them are said to be blessed with great fortune and wisdom.
However, there is one creature that rules over the lake with an iron fist - a fearsome and ferocious sea monster known as the Shadow Dragon. This ancient creature is said to be the very embodiment of darkness and demonic power, with a hunger for destruction and chaos that knows no bounds.
The Shadow Dragon has been a presence in the lake for as long as anyone can remember, and its power and influence have only grown with time. Its shadowy scales and glowing eyes are the stuff of nightmares, and its breath can bring death and destruction to all who stand in its way.
Despite the danger posed by the Shadow Dragon, many adventurers and treasure hunters have come to the lake in search of its many secrets and treasures. Some seek the magical artifacts said to be hidden in the lake's depths, while others hope to capture or slay the fearsome dragon itself.
But regardless of their motivations, all who come to Shimmering Shadow Lake know that they are entering a realm of wonder and mystery, where the dangers are as great as the rewards. For those brave enough to venture into its depths, the lake remains an enigma, full of secrets and wonders waiting to be discovered.</v>
      </c>
      <c r="C87" s="16" t="str">
        <f>IFERROR(__xludf.DUMMYFUNCTION("""COMPUTED_VALUE"""),"Dragonscale Island")</f>
        <v>Dragonscale Island</v>
      </c>
      <c r="D87" s="16"/>
      <c r="E87" s="98">
        <f>IFERROR(__xludf.DUMMYFUNCTION("""COMPUTED_VALUE"""),1.0E9)</f>
        <v>1000000000</v>
      </c>
      <c r="F87" s="16" t="str">
        <f>IFERROR(__xludf.DUMMYFUNCTION("""COMPUTED_VALUE"""),"Gilder")</f>
        <v>Gilder</v>
      </c>
      <c r="G87" s="16"/>
      <c r="H87" s="16"/>
      <c r="I87" s="16"/>
      <c r="J87" s="16"/>
      <c r="K87" s="16"/>
      <c r="L87" s="16"/>
      <c r="M87" s="16"/>
      <c r="N87" s="16"/>
      <c r="O87" s="16"/>
      <c r="P87" s="16"/>
      <c r="Q87" s="16"/>
      <c r="R87" s="16"/>
      <c r="S87" s="16"/>
      <c r="T87" s="16"/>
      <c r="U87" s="16"/>
      <c r="V87" s="16"/>
      <c r="W87" s="16"/>
      <c r="X87" s="16"/>
      <c r="Y87" s="16"/>
      <c r="Z87" s="16"/>
    </row>
    <row r="88">
      <c r="A88" s="16" t="str">
        <f>IFERROR(__xludf.DUMMYFUNCTION("""COMPUTED_VALUE"""),"Silverwood")</f>
        <v>Silverwood</v>
      </c>
      <c r="B88" s="16" t="str">
        <f>IFERROR(__xludf.DUMMYFUNCTION("""COMPUTED_VALUE"""),"Silverwood is an ancient and magical forest, steeped in mystery and legends that date back to the earliest days of creation. The trees here are said to be as old as time itself, with roots that stretch deep into the earth and branches that reach up to tou"&amp;"ch the heavens.
The forest is home to many strange and wondrous creatures, from mischievous fairies to talking toadstools and enchanted frogs. The rocks and boulders that dot the landscape are said to be imbued with magical power, capable of granting wis"&amp;"hes and bestowing blessings on those who seek them out.
The forest is also home to many clear and sparkling ponds, where lilies and other water plants bloom in abundance. These ponds are said to be the source of the forest's magic, with the waters holdin"&amp;"g the key to the ancient and powerful roots that lie beneath the surface.
Over the centuries, many adventurers and treasure hunters have come to Silverwood in search of its secrets and treasures. Some seek the magical artifacts said to be hidden among th"&amp;"e trees, while others hope to learn the ancient lore and wisdom of the forest's guardians.
Despite the many dangers that lurk within its misty depths, Silverwood remains a place of great wonder and beauty. Those who are brave enough to enter its realms a"&amp;"re sure to be rewarded with experiences and discoveries that will stay with them for a lifetime. For many, the forest is a source of inspiration and awe, a reminder of the beauty and power of nature and the magic that lies within us all.")</f>
        <v>Silverwood is an ancient and magical forest, steeped in mystery and legends that date back to the earliest days of creation. The trees here are said to be as old as time itself, with roots that stretch deep into the earth and branches that reach up to touch the heavens.
The forest is home to many strange and wondrous creatures, from mischievous fairies to talking toadstools and enchanted frogs. The rocks and boulders that dot the landscape are said to be imbued with magical power, capable of granting wishes and bestowing blessings on those who seek them out.
The forest is also home to many clear and sparkling ponds, where lilies and other water plants bloom in abundance. These ponds are said to be the source of the forest's magic, with the waters holding the key to the ancient and powerful roots that lie beneath the surface.
Over the centuries, many adventurers and treasure hunters have come to Silverwood in search of its secrets and treasures. Some seek the magical artifacts said to be hidden among the trees, while others hope to learn the ancient lore and wisdom of the forest's guardians.
Despite the many dangers that lurk within its misty depths, Silverwood remains a place of great wonder and beauty. Those who are brave enough to enter its realms are sure to be rewarded with experiences and discoveries that will stay with them for a lifetime. For many, the forest is a source of inspiration and awe, a reminder of the beauty and power of nature and the magic that lies within us all.</v>
      </c>
      <c r="C88" s="16" t="str">
        <f>IFERROR(__xludf.DUMMYFUNCTION("""COMPUTED_VALUE"""),"Dragonscale Island")</f>
        <v>Dragonscale Island</v>
      </c>
      <c r="D88" s="16"/>
      <c r="E88" s="98">
        <f>IFERROR(__xludf.DUMMYFUNCTION("""COMPUTED_VALUE"""),1.0E9)</f>
        <v>1000000000</v>
      </c>
      <c r="F88" s="16" t="str">
        <f>IFERROR(__xludf.DUMMYFUNCTION("""COMPUTED_VALUE"""),"Gilder")</f>
        <v>Gilder</v>
      </c>
      <c r="G88" s="16"/>
      <c r="H88" s="16"/>
      <c r="I88" s="16"/>
      <c r="J88" s="16"/>
      <c r="K88" s="16"/>
      <c r="L88" s="16"/>
      <c r="M88" s="16"/>
      <c r="N88" s="16"/>
      <c r="O88" s="16"/>
      <c r="P88" s="16"/>
      <c r="Q88" s="16"/>
      <c r="R88" s="16"/>
      <c r="S88" s="16"/>
      <c r="T88" s="16"/>
      <c r="U88" s="16"/>
      <c r="V88" s="16"/>
      <c r="W88" s="16"/>
      <c r="X88" s="16"/>
      <c r="Y88" s="16"/>
      <c r="Z88" s="16"/>
    </row>
    <row r="89">
      <c r="A89" s="16" t="str">
        <f>IFERROR(__xludf.DUMMYFUNCTION("""COMPUTED_VALUE"""),"DragonSpire")</f>
        <v>DragonSpire</v>
      </c>
      <c r="B89" s="16" t="str">
        <f>IFERROR(__xludf.DUMMYFUNCTION("""COMPUTED_VALUE"""),"Long ago, DragonSpire was built by the great wizard Arcturius, who sought to create a sanctuary for dragons and preserve their existence. Arcturius had always been fascinated by these mythical creatures, and he believed that they held a special power that"&amp;" could be harnessed for the good of all. So, he built DragonSpire at the heart of a lush and enchanted forest, which he imbued with magical properties to keep it hidden from those who might wish to do harm to the dragons.
Over the years, Arcturius amasse"&amp;"d a vast collection of dragon eggs from all over the world, and he nurtured them with great care and devotion. As the eggs hatched, the young dragons were raised in the safety and protection of DragonSpire, where they learned to fly, breathe fire, and hon"&amp;"e their unique abilities.
As time went on, Arcturius began to notice that the world outside of DragonSpire was becoming increasingly dangerous for dragons. Many people hunted them for their scales, which were believed to have magical properties, and thei"&amp;"r blood, which was thought to grant immortality. Arcturius knew that he had to do something to protect the dragons from harm, so he began to teach them how to defend themselves and fight back against their enemies.
Today, DragonSpire stands as a fortress"&amp;" of strength and magic, protected by the powerful wizard and his loyal dragons. Many adventurers seek out DragonSpire to learn from Arcturius and his dragons, to discover the secrets of their magic and the mysteries of the forest. But beware - the dangers"&amp;" of the outside world still lurk, and only the bravest and most skilled will be able to survive the challenges that await them in DragonSpire.")</f>
        <v>Long ago, DragonSpire was built by the great wizard Arcturius, who sought to create a sanctuary for dragons and preserve their existence. Arcturius had always been fascinated by these mythical creatures, and he believed that they held a special power that could be harnessed for the good of all. So, he built DragonSpire at the heart of a lush and enchanted forest, which he imbued with magical properties to keep it hidden from those who might wish to do harm to the dragons.
Over the years, Arcturius amassed a vast collection of dragon eggs from all over the world, and he nurtured them with great care and devotion. As the eggs hatched, the young dragons were raised in the safety and protection of DragonSpire, where they learned to fly, breathe fire, and hone their unique abilities.
As time went on, Arcturius began to notice that the world outside of DragonSpire was becoming increasingly dangerous for dragons. Many people hunted them for their scales, which were believed to have magical properties, and their blood, which was thought to grant immortality. Arcturius knew that he had to do something to protect the dragons from harm, so he began to teach them how to defend themselves and fight back against their enemies.
Today, DragonSpire stands as a fortress of strength and magic, protected by the powerful wizard and his loyal dragons. Many adventurers seek out DragonSpire to learn from Arcturius and his dragons, to discover the secrets of their magic and the mysteries of the forest. But beware - the dangers of the outside world still lurk, and only the bravest and most skilled will be able to survive the challenges that await them in DragonSpire.</v>
      </c>
      <c r="C89" s="16" t="str">
        <f>IFERROR(__xludf.DUMMYFUNCTION("""COMPUTED_VALUE"""),"Dragonscale Island")</f>
        <v>Dragonscale Island</v>
      </c>
      <c r="D89" s="16"/>
      <c r="E89" s="98">
        <f>IFERROR(__xludf.DUMMYFUNCTION("""COMPUTED_VALUE"""),1.0E9)</f>
        <v>1000000000</v>
      </c>
      <c r="F89" s="16" t="str">
        <f>IFERROR(__xludf.DUMMYFUNCTION("""COMPUTED_VALUE"""),"Gilder")</f>
        <v>Gilder</v>
      </c>
      <c r="G89" s="16"/>
      <c r="H89" s="16"/>
      <c r="I89" s="16"/>
      <c r="J89" s="16"/>
      <c r="K89" s="16"/>
      <c r="L89" s="16"/>
      <c r="M89" s="16"/>
      <c r="N89" s="16"/>
      <c r="O89" s="16"/>
      <c r="P89" s="16"/>
      <c r="Q89" s="16"/>
      <c r="R89" s="16"/>
      <c r="S89" s="16"/>
      <c r="T89" s="16"/>
      <c r="U89" s="16"/>
      <c r="V89" s="16"/>
      <c r="W89" s="16"/>
      <c r="X89" s="16"/>
      <c r="Y89" s="16"/>
      <c r="Z89" s="16"/>
    </row>
    <row r="90">
      <c r="A90" s="16" t="str">
        <f>IFERROR(__xludf.DUMMYFUNCTION("""COMPUTED_VALUE"""),"Watertail Fjord")</f>
        <v>Watertail Fjord</v>
      </c>
      <c r="B90" s="16" t="str">
        <f>IFERROR(__xludf.DUMMYFUNCTION("""COMPUTED_VALUE"""),"Long ago, the Watertail Fjord was a peaceful and thriving ecosystem, rich with an abundance of marine life and stunning natural beauty. The fjord was home to a diverse array of aquatic creatures, including the Watertails, who were revered for their abilit"&amp;"y to manipulate water with ease.
The Watertails had long lived in harmony with the other creatures of the fjord, using their powers to help maintain the delicate balance of the ecosystem. But one day, a group of humans arrived in the fjord, seeking to ex"&amp;"ploit its resources for their own gain. They began to fish the waters of the fjord relentlessly, catching vast numbers of silver-scaled salmon and leaving the ecosystem in disarray.
The Watertails, who had always been guardians of the fjord, knew that th"&amp;"ey had to act to protect their home. They banded together and used their powers to create a powerful magical barrier around the fjord, preventing the humans from entering and exploiting its resources any further.
Over time, the Watertails worked to resto"&amp;"re the balance of the fjord, healing the damage done by the humans and creating a sustainable ecosystem once again. The silver-scaled salmon began to thrive once more, and the fjord became a haven for all manner of aquatic life.
Today, the Watertail Fjor"&amp;"d remains protected by the magic of the Watertails, and it is said that there are hidden treasures to be found in the depths of the fjord. Adventurers from far and wide come to the fjord in search of these treasures, but they must be careful not to distur"&amp;"b the delicate balance of the ecosystem - for the Watertails will not hesitate to use their powers to protect their home from those who would do it harm.
")</f>
        <v>Long ago, the Watertail Fjord was a peaceful and thriving ecosystem, rich with an abundance of marine life and stunning natural beauty. The fjord was home to a diverse array of aquatic creatures, including the Watertails, who were revered for their ability to manipulate water with ease.
The Watertails had long lived in harmony with the other creatures of the fjord, using their powers to help maintain the delicate balance of the ecosystem. But one day, a group of humans arrived in the fjord, seeking to exploit its resources for their own gain. They began to fish the waters of the fjord relentlessly, catching vast numbers of silver-scaled salmon and leaving the ecosystem in disarray.
The Watertails, who had always been guardians of the fjord, knew that they had to act to protect their home. They banded together and used their powers to create a powerful magical barrier around the fjord, preventing the humans from entering and exploiting its resources any further.
Over time, the Watertails worked to restore the balance of the fjord, healing the damage done by the humans and creating a sustainable ecosystem once again. The silver-scaled salmon began to thrive once more, and the fjord became a haven for all manner of aquatic life.
Today, the Watertail Fjord remains protected by the magic of the Watertails, and it is said that there are hidden treasures to be found in the depths of the fjord. Adventurers from far and wide come to the fjord in search of these treasures, but they must be careful not to disturb the delicate balance of the ecosystem - for the Watertails will not hesitate to use their powers to protect their home from those who would do it harm.
</v>
      </c>
      <c r="C90" s="16" t="str">
        <f>IFERROR(__xludf.DUMMYFUNCTION("""COMPUTED_VALUE"""),"Dragonscale Island")</f>
        <v>Dragonscale Island</v>
      </c>
      <c r="D90" s="16"/>
      <c r="E90" s="98">
        <f>IFERROR(__xludf.DUMMYFUNCTION("""COMPUTED_VALUE"""),1.0E9)</f>
        <v>1000000000</v>
      </c>
      <c r="F90" s="16" t="str">
        <f>IFERROR(__xludf.DUMMYFUNCTION("""COMPUTED_VALUE"""),"Gilder")</f>
        <v>Gilder</v>
      </c>
      <c r="G90" s="16"/>
      <c r="H90" s="16"/>
      <c r="I90" s="16"/>
      <c r="J90" s="16"/>
      <c r="K90" s="16"/>
      <c r="L90" s="16"/>
      <c r="M90" s="16"/>
      <c r="N90" s="16"/>
      <c r="O90" s="16"/>
      <c r="P90" s="16"/>
      <c r="Q90" s="16"/>
      <c r="R90" s="16"/>
      <c r="S90" s="16"/>
      <c r="T90" s="16"/>
      <c r="U90" s="16"/>
      <c r="V90" s="16"/>
      <c r="W90" s="16"/>
      <c r="X90" s="16"/>
      <c r="Y90" s="16"/>
      <c r="Z90" s="16"/>
    </row>
    <row r="91">
      <c r="A91" s="16" t="str">
        <f>IFERROR(__xludf.DUMMYFUNCTION("""COMPUTED_VALUE"""),"Firetail Mountain")</f>
        <v>Firetail Mountain</v>
      </c>
      <c r="B91" s="16" t="str">
        <f>IFERROR(__xludf.DUMMYFUNCTION("""COMPUTED_VALUE"""),"Long ago, Firetail Mountain was a dormant volcano, its peak looming high above the surrounding landscape. The mountain was a place of great spiritual significance for the local people, who believed that it was home to powerful and benevolent spirits that "&amp;"could bring both prosperity and destruction.
As time passed, the mountain began to show signs of renewed activity. The ground trembled beneath the feet of those who lived nearby, and the sky above the mountain was often filled with billowing clouds of as"&amp;"h and smoke.
One day, a group of travelers arrived at the base of the mountain, seeking to learn more about the spirits that were said to dwell within it. They were a brave and curious group, undeterred by the dangers that lay ahead.
As they made their "&amp;"way up the slopes of the mountain, they encountered the Firetails - fiery lizards made of pure magma, who burned with the brightest and purest flames. The Firetails were guardians of the mountain, charged with protecting the spirits that dwelled within it"&amp;".
The travelers soon discovered that the spirits were indeed powerful, and they had the ability to control the fiery forces that raged within the mountain. The spirits revealed that they had grown angry with the people of the surrounding lands, who had b"&amp;"een taking the mountain's resources for their own gain without regard for its spiritual significance.
The travelers realized that they had to act quickly to prevent a catastrophic eruption of the mountain, which would surely destroy everything in its pat"&amp;"h. They made a deal with the spirits, promising to spread the word of the mountain's spiritual significance and to protect it from those who would exploit its resources. In return, the spirits agreed to calm the fiery forces within the mountain and allow "&amp;"the travelers to explore its depths.
Today, Firetail Mountain is a place of great wonder and danger, with its fiery rocks, lava, and boulders. The Burning Boulder Bridge is the only way to access it on foot, and adventurers must tread carefully to avoid "&amp;"the Firetails and other dangers that lurk within its depths. But for those who are brave enough to explore Firetail Mountain, the rewards are great - for within its fiery heart lies untold treasures and the secrets of the spirits that dwell within it.")</f>
        <v>Long ago, Firetail Mountain was a dormant volcano, its peak looming high above the surrounding landscape. The mountain was a place of great spiritual significance for the local people, who believed that it was home to powerful and benevolent spirits that could bring both prosperity and destruction.
As time passed, the mountain began to show signs of renewed activity. The ground trembled beneath the feet of those who lived nearby, and the sky above the mountain was often filled with billowing clouds of ash and smoke.
One day, a group of travelers arrived at the base of the mountain, seeking to learn more about the spirits that were said to dwell within it. They were a brave and curious group, undeterred by the dangers that lay ahead.
As they made their way up the slopes of the mountain, they encountered the Firetails - fiery lizards made of pure magma, who burned with the brightest and purest flames. The Firetails were guardians of the mountain, charged with protecting the spirits that dwelled within it.
The travelers soon discovered that the spirits were indeed powerful, and they had the ability to control the fiery forces that raged within the mountain. The spirits revealed that they had grown angry with the people of the surrounding lands, who had been taking the mountain's resources for their own gain without regard for its spiritual significance.
The travelers realized that they had to act quickly to prevent a catastrophic eruption of the mountain, which would surely destroy everything in its path. They made a deal with the spirits, promising to spread the word of the mountain's spiritual significance and to protect it from those who would exploit its resources. In return, the spirits agreed to calm the fiery forces within the mountain and allow the travelers to explore its depths.
Today, Firetail Mountain is a place of great wonder and danger, with its fiery rocks, lava, and boulders. The Burning Boulder Bridge is the only way to access it on foot, and adventurers must tread carefully to avoid the Firetails and other dangers that lurk within its depths. But for those who are brave enough to explore Firetail Mountain, the rewards are great - for within its fiery heart lies untold treasures and the secrets of the spirits that dwell within it.</v>
      </c>
      <c r="C91" s="16" t="str">
        <f>IFERROR(__xludf.DUMMYFUNCTION("""COMPUTED_VALUE"""),"Dragonscale Island")</f>
        <v>Dragonscale Island</v>
      </c>
      <c r="D91" s="16"/>
      <c r="E91" s="98">
        <f>IFERROR(__xludf.DUMMYFUNCTION("""COMPUTED_VALUE"""),1.0E9)</f>
        <v>1000000000</v>
      </c>
      <c r="F91" s="16" t="str">
        <f>IFERROR(__xludf.DUMMYFUNCTION("""COMPUTED_VALUE"""),"Gilder")</f>
        <v>Gilder</v>
      </c>
      <c r="G91" s="16"/>
      <c r="H91" s="16"/>
      <c r="I91" s="16"/>
      <c r="J91" s="16"/>
      <c r="K91" s="16"/>
      <c r="L91" s="16"/>
      <c r="M91" s="16"/>
      <c r="N91" s="16"/>
      <c r="O91" s="16"/>
      <c r="P91" s="16"/>
      <c r="Q91" s="16"/>
      <c r="R91" s="16"/>
      <c r="S91" s="16"/>
      <c r="T91" s="16"/>
      <c r="U91" s="16"/>
      <c r="V91" s="16"/>
      <c r="W91" s="16"/>
      <c r="X91" s="16"/>
      <c r="Y91" s="16"/>
      <c r="Z91" s="16"/>
    </row>
    <row r="92">
      <c r="A92" s="16" t="str">
        <f>IFERROR(__xludf.DUMMYFUNCTION("""COMPUTED_VALUE"""),"The Grand City of Dragonia")</f>
        <v>The Grand City of Dragonia</v>
      </c>
      <c r="B92" s="16" t="str">
        <f>IFERROR(__xludf.DUMMYFUNCTION("""COMPUTED_VALUE"""),"The Grand City of Dragonia has a rich and storied history, stretching back thousands of years. It was founded by a group of dragon riders who had become disillusioned with the traditional ways of their people and sought to forge a new path for themselves."&amp;"
The dragon riders were a diverse group, hailing from many different lands and cultures. They brought with them a wealth of knowledge and expertise, and they worked together to build a new society that was based on cooperation, mutual respect, and a deep"&amp;" reverence for the power of the dragons.
Over time, the city of Dragonia grew and prospered, becoming a hub of trade and commerce that attracted merchants, craftsmen, and adventurers from all over the world. The central combat arena was built as a place "&amp;"for dragon riders to hone their skills and compete against one another, while the Dragonscale Dojo in the eastern district became a center of learning for those who sought to master the art of dragon riding.
In the western district, the Dragonscale Saloo"&amp;"n became a popular gathering place for adventurers and dragon riders alike, where they could swap stories, share tips and tricks, and enjoy a drink or two.
But Dragonia was not without its challenges. The city was often beset by outside forces who sought"&amp;" to exploit its wealth and resources. The dragon riders, who had become the protectors of the city, banded together to defend it from these threats, using their skills and expertise to repel invaders and protect their way of life.
Today, the Grand City o"&amp;"f Dragonia remains a thriving metropolis, a beacon of diversity and political influence that draws people from all over the world. Its dragon riders continue to hone their skills in the central combat arena and the Dragonscale Dojo, while the Dragonscale "&amp;"Saloon remains a beloved institution for adventurers and dragon riders alike. And though the challenges of the world continue to press in on Dragonia, the people of the city remain united in their commitment to protect their home and preserve the legacy o"&amp;"f the dragon riders who founded it.")</f>
        <v>The Grand City of Dragonia has a rich and storied history, stretching back thousands of years. It was founded by a group of dragon riders who had become disillusioned with the traditional ways of their people and sought to forge a new path for themselves.
The dragon riders were a diverse group, hailing from many different lands and cultures. They brought with them a wealth of knowledge and expertise, and they worked together to build a new society that was based on cooperation, mutual respect, and a deep reverence for the power of the dragons.
Over time, the city of Dragonia grew and prospered, becoming a hub of trade and commerce that attracted merchants, craftsmen, and adventurers from all over the world. The central combat arena was built as a place for dragon riders to hone their skills and compete against one another, while the Dragonscale Dojo in the eastern district became a center of learning for those who sought to master the art of dragon riding.
In the western district, the Dragonscale Saloon became a popular gathering place for adventurers and dragon riders alike, where they could swap stories, share tips and tricks, and enjoy a drink or two.
But Dragonia was not without its challenges. The city was often beset by outside forces who sought to exploit its wealth and resources. The dragon riders, who had become the protectors of the city, banded together to defend it from these threats, using their skills and expertise to repel invaders and protect their way of life.
Today, the Grand City of Dragonia remains a thriving metropolis, a beacon of diversity and political influence that draws people from all over the world. Its dragon riders continue to hone their skills in the central combat arena and the Dragonscale Dojo, while the Dragonscale Saloon remains a beloved institution for adventurers and dragon riders alike. And though the challenges of the world continue to press in on Dragonia, the people of the city remain united in their commitment to protect their home and preserve the legacy of the dragon riders who founded it.</v>
      </c>
      <c r="C92" s="16" t="str">
        <f>IFERROR(__xludf.DUMMYFUNCTION("""COMPUTED_VALUE"""),"Dragonscale Island")</f>
        <v>Dragonscale Island</v>
      </c>
      <c r="D92" s="16"/>
      <c r="E92" s="98">
        <f>IFERROR(__xludf.DUMMYFUNCTION("""COMPUTED_VALUE"""),1.0E9)</f>
        <v>1000000000</v>
      </c>
      <c r="F92" s="16" t="str">
        <f>IFERROR(__xludf.DUMMYFUNCTION("""COMPUTED_VALUE"""),"Gilder")</f>
        <v>Gilder</v>
      </c>
      <c r="G92" s="16"/>
      <c r="H92" s="16"/>
      <c r="I92" s="16"/>
      <c r="J92" s="16"/>
      <c r="K92" s="16"/>
      <c r="L92" s="16"/>
      <c r="M92" s="16"/>
      <c r="N92" s="16"/>
      <c r="O92" s="16"/>
      <c r="P92" s="16"/>
      <c r="Q92" s="16"/>
      <c r="R92" s="16"/>
      <c r="S92" s="16"/>
      <c r="T92" s="16"/>
      <c r="U92" s="16"/>
      <c r="V92" s="16"/>
      <c r="W92" s="16"/>
      <c r="X92" s="16"/>
      <c r="Y92" s="16"/>
      <c r="Z92" s="16"/>
    </row>
    <row r="93">
      <c r="A93" s="16" t="str">
        <f>IFERROR(__xludf.DUMMYFUNCTION("""COMPUTED_VALUE"""),"Fogweb Ninja Village in the Mist")</f>
        <v>Fogweb Ninja Village in the Mist</v>
      </c>
      <c r="B93" s="16" t="str">
        <f>IFERROR(__xludf.DUMMYFUNCTION("""COMPUTED_VALUE"""),"Nestled deep within the lush expanse of the Rainforest lies the Fogweb Ninja Village, the secretive and hidden home of the enigmatic Frogonians, this village is a testament to their mastery of the art of concealment and their affinity for the mystical pow"&amp;"ers of mist and fog.
Fogweb itself however is rather dreary whilst the fog can create a feeling of mystique in some, for others it feels as if several pairs of eyes are following their every move, weighing them down into the muddy groud of Fogweb. 
The "&amp;"way to Fogweb is known only by a few hidden masters who live across the land activing as the hidden intelligence corps of Fogweb and also the key through the mist for those who seek an audience with the elders of Fogweb.
The village of Fogweb itself is r"&amp;"ather simple, made of simple materials that it's inhabitants find in the surrounding area and with plentiful fields of farming it seems almost like a normal village save for the training grounds and recruits littering the land of Fogweb. The people of Fog"&amp;"web themselves however are rather curious, unlike most other Frogonians they seem rather like they're only half a part of this world seeming to flicker in and out with the mist.
The village of Fogweb is like a local legend to those of WyvernTail who swea"&amp;"r to see the Frogonians slinking through the shadows followed by their ethereal mist as if they themselves were the mist. However the credibilty of these claims is doubted by many.")</f>
        <v>Nestled deep within the lush expanse of the Rainforest lies the Fogweb Ninja Village, the secretive and hidden home of the enigmatic Frogonians, this village is a testament to their mastery of the art of concealment and their affinity for the mystical powers of mist and fog.
Fogweb itself however is rather dreary whilst the fog can create a feeling of mystique in some, for others it feels as if several pairs of eyes are following their every move, weighing them down into the muddy groud of Fogweb. 
The way to Fogweb is known only by a few hidden masters who live across the land activing as the hidden intelligence corps of Fogweb and also the key through the mist for those who seek an audience with the elders of Fogweb.
The village of Fogweb itself is rather simple, made of simple materials that it's inhabitants find in the surrounding area and with plentiful fields of farming it seems almost like a normal village save for the training grounds and recruits littering the land of Fogweb. The people of Fogweb themselves however are rather curious, unlike most other Frogonians they seem rather like they're only half a part of this world seeming to flicker in and out with the mist.
The village of Fogweb is like a local legend to those of WyvernTail who swear to see the Frogonians slinking through the shadows followed by their ethereal mist as if they themselves were the mist. However the credibilty of these claims is doubted by many.</v>
      </c>
      <c r="C93" s="16" t="str">
        <f>IFERROR(__xludf.DUMMYFUNCTION("""COMPUTED_VALUE"""),"Dragonscale Island")</f>
        <v>Dragonscale Island</v>
      </c>
      <c r="D93" s="16"/>
      <c r="E93" s="98">
        <f>IFERROR(__xludf.DUMMYFUNCTION("""COMPUTED_VALUE"""),1.0E9)</f>
        <v>1000000000</v>
      </c>
      <c r="F93" s="16" t="str">
        <f>IFERROR(__xludf.DUMMYFUNCTION("""COMPUTED_VALUE"""),"Gilder")</f>
        <v>Gilder</v>
      </c>
      <c r="G93" s="16"/>
      <c r="H93" s="16"/>
      <c r="I93" s="16"/>
      <c r="J93" s="16"/>
      <c r="K93" s="16"/>
      <c r="L93" s="16"/>
      <c r="M93" s="16"/>
      <c r="N93" s="16"/>
      <c r="O93" s="16"/>
      <c r="P93" s="16"/>
      <c r="Q93" s="16"/>
      <c r="R93" s="16"/>
      <c r="S93" s="16"/>
      <c r="T93" s="16"/>
      <c r="U93" s="16"/>
      <c r="V93" s="16"/>
      <c r="W93" s="16"/>
      <c r="X93" s="16"/>
      <c r="Y93" s="16"/>
      <c r="Z93" s="16"/>
    </row>
    <row r="94">
      <c r="A94" s="16" t="str">
        <f>IFERROR(__xludf.DUMMYFUNCTION("""COMPUTED_VALUE"""),"Mistpeak Ninja Village in the Mountains")</f>
        <v>Mistpeak Ninja Village in the Mountains</v>
      </c>
      <c r="B94" s="16" t="str">
        <f>IFERROR(__xludf.DUMMYFUNCTION("""COMPUTED_VALUE"""),"Perched high amidst the majestic peaks, the Mistpeak Ninja Village stands as a testament to the indomitable spirit and unrivaled skills of the Frogonian people, this village is a hidden stronghold concealed within the lofty heights of the mountain range.
"&amp;"
The Mistpeak Ninja Village is a sight to behold, its structures and pathways carved into the rugged terrain of the mountains. Suspended bridges and intricate walkways connect the various dwellings, blending harmoniously with the natural beauty of the sur"&amp;"roundings. The village architecture incorporates the elements of stone and wood, showcasing both strength and adaptability, mirroring the Frogonians themselves.
As one ventures deeper into the village, the mist envelopes the pathways, creating an etherea"&amp;"l atmosphere. The misty veils dance around the mountain peaks, obscuring the village's true extent and serving as a guardian against prying eyes. The Frogonians have harnessed the power of this natural phenomenon, utilizing it as a shield and a tool for t"&amp;"heir ninja arts.
Within the Mistpeak Ninja Village, the Frogonians hone their skills to perfection. The ninja apprentices, guided by seasoned mentors, train in the art of combat, stealth, and elemental manipulation. They navigate the treacherous mountain"&amp;" terrain with agility and grace, leaping from cliff to cliff and scaling sheer surfaces with ease. Their exceptional abilities are further augmented by their affinity for mist and fog, using them to shroud their movements and confuse their opponents.
The"&amp;" village is a hive of activity, bustling with the energy of its inhabitants. The Frogonians go about their daily lives with a sense of purpose and camaraderie. The central plaza serves as a gathering place, where stories are shared, techniques are perfect"&amp;"ed, and the bonds of friendship are forged. The village elders, revered for their wisdom and experience, ensure the preservation of their ancient traditions and pass down the knowledge of the Frogonian heritage.
As the sun sets, the village transforms in"&amp;"to a mystical realm. The Frogonians, clad in their specialized ninja attire, blend seamlessly with the mist that swirls around them. They become one with the mountains, their movements fluid and silent. With their mastery of mist-based techniques and thei"&amp;"r profound connection to the elements, the Frogonians of the Mistpeak Ninja Village embody strength, resilience, and a deep reverence for the mountains that guard their hidden sanctuary.
Through the mist-laden peaks, the Frogonians stand as the protector"&amp;"s of their village and the guardians of their people. Their unwavering determination, honed skills, and deep connection to the mountains make them an awe-inspiring force to be reckoned with. The Mistpeak Ninja Village stands as a testament to their legacy"&amp;", a testament to the Frogonians' enduring spirit and their unwavering commitment to the path of the Ninja.")</f>
        <v>Perched high amidst the majestic peaks, the Mistpeak Ninja Village stands as a testament to the indomitable spirit and unrivaled skills of the Frogonian people, this village is a hidden stronghold concealed within the lofty heights of the mountain range.
The Mistpeak Ninja Village is a sight to behold, its structures and pathways carved into the rugged terrain of the mountains. Suspended bridges and intricate walkways connect the various dwellings, blending harmoniously with the natural beauty of the surroundings. The village architecture incorporates the elements of stone and wood, showcasing both strength and adaptability, mirroring the Frogonians themselves.
As one ventures deeper into the village, the mist envelopes the pathways, creating an ethereal atmosphere. The misty veils dance around the mountain peaks, obscuring the village's true extent and serving as a guardian against prying eyes. The Frogonians have harnessed the power of this natural phenomenon, utilizing it as a shield and a tool for their ninja arts.
Within the Mistpeak Ninja Village, the Frogonians hone their skills to perfection. The ninja apprentices, guided by seasoned mentors, train in the art of combat, stealth, and elemental manipulation. They navigate the treacherous mountain terrain with agility and grace, leaping from cliff to cliff and scaling sheer surfaces with ease. Their exceptional abilities are further augmented by their affinity for mist and fog, using them to shroud their movements and confuse their opponents.
The village is a hive of activity, bustling with the energy of its inhabitants. The Frogonians go about their daily lives with a sense of purpose and camaraderie. The central plaza serves as a gathering place, where stories are shared, techniques are perfected, and the bonds of friendship are forged. The village elders, revered for their wisdom and experience, ensure the preservation of their ancient traditions and pass down the knowledge of the Frogonian heritage.
As the sun sets, the village transforms into a mystical realm. The Frogonians, clad in their specialized ninja attire, blend seamlessly with the mist that swirls around them. They become one with the mountains, their movements fluid and silent. With their mastery of mist-based techniques and their profound connection to the elements, the Frogonians of the Mistpeak Ninja Village embody strength, resilience, and a deep reverence for the mountains that guard their hidden sanctuary.
Through the mist-laden peaks, the Frogonians stand as the protectors of their village and the guardians of their people. Their unwavering determination, honed skills, and deep connection to the mountains make them an awe-inspiring force to be reckoned with. The Mistpeak Ninja Village stands as a testament to their legacy, a testament to the Frogonians' enduring spirit and their unwavering commitment to the path of the Ninja.</v>
      </c>
      <c r="C94" s="16" t="str">
        <f>IFERROR(__xludf.DUMMYFUNCTION("""COMPUTED_VALUE"""),"Dragonscale Island")</f>
        <v>Dragonscale Island</v>
      </c>
      <c r="D94" s="16"/>
      <c r="E94" s="98">
        <f>IFERROR(__xludf.DUMMYFUNCTION("""COMPUTED_VALUE"""),1.0E9)</f>
        <v>1000000000</v>
      </c>
      <c r="F94" s="16" t="str">
        <f>IFERROR(__xludf.DUMMYFUNCTION("""COMPUTED_VALUE"""),"Gilder")</f>
        <v>Gilder</v>
      </c>
      <c r="G94" s="16"/>
      <c r="H94" s="16"/>
      <c r="I94" s="16"/>
      <c r="J94" s="16"/>
      <c r="K94" s="16"/>
      <c r="L94" s="16"/>
      <c r="M94" s="16"/>
      <c r="N94" s="16"/>
      <c r="O94" s="16"/>
      <c r="P94" s="16"/>
      <c r="Q94" s="16"/>
      <c r="R94" s="16"/>
      <c r="S94" s="16"/>
      <c r="T94" s="16"/>
      <c r="U94" s="16"/>
      <c r="V94" s="16"/>
      <c r="W94" s="16"/>
      <c r="X94" s="16"/>
      <c r="Y94" s="16"/>
      <c r="Z94" s="16"/>
    </row>
    <row r="95">
      <c r="A95" s="16" t="str">
        <f>IFERROR(__xludf.DUMMYFUNCTION("""COMPUTED_VALUE"""),"Ribbonton Ninja Village in the Trees")</f>
        <v>Ribbonton Ninja Village in the Trees</v>
      </c>
      <c r="B95" s="16" t="str">
        <f>IFERROR(__xludf.DUMMYFUNCTION("""COMPUTED_VALUE"""),"Nestled in the heart of a vibrant and sprawling forest, Ribbonton Village emerges as a haven for the Frogonian people, a race of frog-like beings with a deep affinity for nature. Ribbonton Village is a picturesque sanctuary, with wooden houses and structu"&amp;"res blending harmoniously with the surrounding foliage. Various dwellings and providing a stunning view of the forest canopy. 
As one ventures deeper into the village, the sounds of rustling leaves and the scent of fresh earth permeate the air. Sunlight "&amp;"filters through the dense canopy, casting a gentle glow over the pathways and communal spaces. The village is alive with the sounds of Frogonians going about their daily lives, their activities guided by the principles of teamwork, growth, and the pursuit"&amp;" of peace.
Within Ribbonton Village, the Frogonians hone their ninja skills with discipline and dedication. The village serves as a training ground for the young ninja apprentices, guided by experienced mentors who impart their wisdom and expertise. The "&amp;"Frogonians train in the arts of stealth, combat, and elemental manipulation, harnessing their unique amphibious abilities to navigate the forest terrain with grace and agility.
The village is a hub of communal activity and camaraderie. The central plaza "&amp;"serves as a gathering place, where villagers come together to share stories, exchange knowledge, and participate in friendly sparring matches. The village elders, revered for their wisdom and experience, provide guidance and ensure the preservation of Rib"&amp;"bonton's ancient traditions and values.
With a deep reverence for nature and an unwavering commitment to peace, the Frogonians of Ribbonton Village exemplify the ideals of the Ninja. They protect their village and the forest they call home with unyieldin"&amp;"g resolve, channeling their skills and elemental techniques to ensure the balance and harmony of their surroundings.
Ribbonton Village stands as a testament to the Frogonians' unity, resilience, and the bonds they share with the natural world. It is a pl"&amp;"ace where the art of the Ninja intertwines with the wisdom of the forest, where the Frogonians thrive as guardians of peace, and where the legacy of their ancestors lives on in their hearts and actions.")</f>
        <v>Nestled in the heart of a vibrant and sprawling forest, Ribbonton Village emerges as a haven for the Frogonian people, a race of frog-like beings with a deep affinity for nature. Ribbonton Village is a picturesque sanctuary, with wooden houses and structures blending harmoniously with the surrounding foliage. Various dwellings and providing a stunning view of the forest canopy. 
As one ventures deeper into the village, the sounds of rustling leaves and the scent of fresh earth permeate the air. Sunlight filters through the dense canopy, casting a gentle glow over the pathways and communal spaces. The village is alive with the sounds of Frogonians going about their daily lives, their activities guided by the principles of teamwork, growth, and the pursuit of peace.
Within Ribbonton Village, the Frogonians hone their ninja skills with discipline and dedication. The village serves as a training ground for the young ninja apprentices, guided by experienced mentors who impart their wisdom and expertise. The Frogonians train in the arts of stealth, combat, and elemental manipulation, harnessing their unique amphibious abilities to navigate the forest terrain with grace and agility.
The village is a hub of communal activity and camaraderie. The central plaza serves as a gathering place, where villagers come together to share stories, exchange knowledge, and participate in friendly sparring matches. The village elders, revered for their wisdom and experience, provide guidance and ensure the preservation of Ribbonton's ancient traditions and values.
With a deep reverence for nature and an unwavering commitment to peace, the Frogonians of Ribbonton Village exemplify the ideals of the Ninja. They protect their village and the forest they call home with unyielding resolve, channeling their skills and elemental techniques to ensure the balance and harmony of their surroundings.
Ribbonton Village stands as a testament to the Frogonians' unity, resilience, and the bonds they share with the natural world. It is a place where the art of the Ninja intertwines with the wisdom of the forest, where the Frogonians thrive as guardians of peace, and where the legacy of their ancestors lives on in their hearts and actions.</v>
      </c>
      <c r="C95" s="16" t="str">
        <f>IFERROR(__xludf.DUMMYFUNCTION("""COMPUTED_VALUE"""),"Dragonscale Island")</f>
        <v>Dragonscale Island</v>
      </c>
      <c r="D95" s="16"/>
      <c r="E95" s="98">
        <f>IFERROR(__xludf.DUMMYFUNCTION("""COMPUTED_VALUE"""),1.0E9)</f>
        <v>1000000000</v>
      </c>
      <c r="F95" s="16" t="str">
        <f>IFERROR(__xludf.DUMMYFUNCTION("""COMPUTED_VALUE"""),"Gilder")</f>
        <v>Gilder</v>
      </c>
      <c r="G95" s="16"/>
      <c r="H95" s="16"/>
      <c r="I95" s="16"/>
      <c r="J95" s="16"/>
      <c r="K95" s="16"/>
      <c r="L95" s="16"/>
      <c r="M95" s="16"/>
      <c r="N95" s="16"/>
      <c r="O95" s="16"/>
      <c r="P95" s="16"/>
      <c r="Q95" s="16"/>
      <c r="R95" s="16"/>
      <c r="S95" s="16"/>
      <c r="T95" s="16"/>
      <c r="U95" s="16"/>
      <c r="V95" s="16"/>
      <c r="W95" s="16"/>
      <c r="X95" s="16"/>
      <c r="Y95" s="16"/>
      <c r="Z95" s="16"/>
    </row>
    <row r="96">
      <c r="A96" s="16" t="str">
        <f>IFERROR(__xludf.DUMMYFUNCTION("""COMPUTED_VALUE"""),"Sandhopper Oasis Ninja Village in the Desert")</f>
        <v>Sandhopper Oasis Ninja Village in the Desert</v>
      </c>
      <c r="B96" s="16" t="str">
        <f>IFERROR(__xludf.DUMMYFUNCTION("""COMPUTED_VALUE"""),"In the vast expanse of the scorching desert, Sandhopper Oasis Ninja Village rises as an oasis of life and resilience, the hidden home of the extraordinary Frogonian people, Sandhopper Oasis captures the spirit of survival, adaptability, and the art of the"&amp;" ninja in the harshest of environments.
Sandhopper Oasis Ninja Village is a captivating sight amidst the sea of endless dunes. The village blends seamlessly with the desert landscape, with adobe structures rising from the sun-baked sand. Covered walkways"&amp;" and intricate tunnels connect the dwellings, providing shade and respite from the unforgiving heat. The architecture of the village showcases a mastery of desert craftsmanship, utilizing natural materials and earthy tones that merge with the vastness of "&amp;"the desert.
As one ventures deeper into the village, the heat gives way to a cooling breeze and the gentle rustling of palm trees. The village is interspersed with lush gardens and water features, a stark contrast to the surrounding arid environment. The"&amp;" Frogonians have ingeniously harnessed the power of water and the oasis, nurturing life amidst the harsh desert conditions.
Within Sandhopper Oasis Ninja Village, the Frogonians train relentlessly, honing their skills as ninja warriors. The village serve"&amp;"s as a crucible for the young ninja apprentices, under the guidance of seasoned mentors. They train in the arts of stealth, combat, and survival, learning to move swiftly through the shifting sands and adapt their techniques to the inhospitable desert env"&amp;"ironment.
The village buzzes with activity, mirroring the resilience of its inhabitants. The central plaza acts as a hub of interaction, where Frogonians gather to exchange knowledge, engage in friendly sparring matches, and share tales of their desert e"&amp;"xpeditions. The village elders, revered for their wisdom and experience, pass down the ancient wisdom of the Frogonian lineage, ensuring the preservation of their culture and traditions.
As twilight descends upon the desert, Sandhopper Oasis transforms i"&amp;"nto a mysterious realm. The Frogonians, donned in their specialized ninja attire, blend seamlessly with the shifting sands and shadows. They harness the power of the desert, utilizing sand manipulation and stealth techniques to navigate the dunes with gra"&amp;"ce and precision.
With their unwavering determination and adaptability, the Frogonians of Sandhopper Oasis Village stand as the guardians of their desert domain. They protect their village with an indomitable spirit, using their skills and elemental tech"&amp;"niques to defend their home from any threat that may arise.
Sandhopper Oasis Village symbolizes the Frogonians' tenacity, their ability to thrive in adversity, and their deep connection with the desert. It is a testament to their resilience, resourcefuln"&amp;"ess, and the unity that allows them to conquer the harshest of environments. In Sandhopper Oasis, the Frogonians shine as beacons of strength and unwavering loyalty to their village and their desert heritage.")</f>
        <v>In the vast expanse of the scorching desert, Sandhopper Oasis Ninja Village rises as an oasis of life and resilience, the hidden home of the extraordinary Frogonian people, Sandhopper Oasis captures the spirit of survival, adaptability, and the art of the ninja in the harshest of environments.
Sandhopper Oasis Ninja Village is a captivating sight amidst the sea of endless dunes. The village blends seamlessly with the desert landscape, with adobe structures rising from the sun-baked sand. Covered walkways and intricate tunnels connect the dwellings, providing shade and respite from the unforgiving heat. The architecture of the village showcases a mastery of desert craftsmanship, utilizing natural materials and earthy tones that merge with the vastness of the desert.
As one ventures deeper into the village, the heat gives way to a cooling breeze and the gentle rustling of palm trees. The village is interspersed with lush gardens and water features, a stark contrast to the surrounding arid environment. The Frogonians have ingeniously harnessed the power of water and the oasis, nurturing life amidst the harsh desert conditions.
Within Sandhopper Oasis Ninja Village, the Frogonians train relentlessly, honing their skills as ninja warriors. The village serves as a crucible for the young ninja apprentices, under the guidance of seasoned mentors. They train in the arts of stealth, combat, and survival, learning to move swiftly through the shifting sands and adapt their techniques to the inhospitable desert environment.
The village buzzes with activity, mirroring the resilience of its inhabitants. The central plaza acts as a hub of interaction, where Frogonians gather to exchange knowledge, engage in friendly sparring matches, and share tales of their desert expeditions. The village elders, revered for their wisdom and experience, pass down the ancient wisdom of the Frogonian lineage, ensuring the preservation of their culture and traditions.
As twilight descends upon the desert, Sandhopper Oasis transforms into a mysterious realm. The Frogonians, donned in their specialized ninja attire, blend seamlessly with the shifting sands and shadows. They harness the power of the desert, utilizing sand manipulation and stealth techniques to navigate the dunes with grace and precision.
With their unwavering determination and adaptability, the Frogonians of Sandhopper Oasis Village stand as the guardians of their desert domain. They protect their village with an indomitable spirit, using their skills and elemental techniques to defend their home from any threat that may arise.
Sandhopper Oasis Village symbolizes the Frogonians' tenacity, their ability to thrive in adversity, and their deep connection with the desert. It is a testament to their resilience, resourcefulness, and the unity that allows them to conquer the harshest of environments. In Sandhopper Oasis, the Frogonians shine as beacons of strength and unwavering loyalty to their village and their desert heritage.</v>
      </c>
      <c r="C96" s="16" t="str">
        <f>IFERROR(__xludf.DUMMYFUNCTION("""COMPUTED_VALUE"""),"Dragonscale Island")</f>
        <v>Dragonscale Island</v>
      </c>
      <c r="D96" s="16"/>
      <c r="E96" s="98">
        <f>IFERROR(__xludf.DUMMYFUNCTION("""COMPUTED_VALUE"""),1.0E9)</f>
        <v>1000000000</v>
      </c>
      <c r="F96" s="16" t="str">
        <f>IFERROR(__xludf.DUMMYFUNCTION("""COMPUTED_VALUE"""),"Gilder")</f>
        <v>Gilder</v>
      </c>
      <c r="G96" s="16"/>
      <c r="H96" s="16"/>
      <c r="I96" s="16"/>
      <c r="J96" s="16"/>
      <c r="K96" s="16"/>
      <c r="L96" s="16"/>
      <c r="M96" s="16"/>
      <c r="N96" s="16"/>
      <c r="O96" s="16"/>
      <c r="P96" s="16"/>
      <c r="Q96" s="16"/>
      <c r="R96" s="16"/>
      <c r="S96" s="16"/>
      <c r="T96" s="16"/>
      <c r="U96" s="16"/>
      <c r="V96" s="16"/>
      <c r="W96" s="16"/>
      <c r="X96" s="16"/>
      <c r="Y96" s="16"/>
      <c r="Z96" s="16"/>
    </row>
    <row r="97">
      <c r="A97" s="16" t="str">
        <f>IFERROR(__xludf.DUMMYFUNCTION("""COMPUTED_VALUE"""),"Stonecroak Ninja Village in the Quarry")</f>
        <v>Stonecroak Ninja Village in the Quarry</v>
      </c>
      <c r="B97" s="16" t="str">
        <f>IFERROR(__xludf.DUMMYFUNCTION("""COMPUTED_VALUE"""),"Deep within a rugged and formidable quarry, the Stonecroak Ninja Village stands as a testament to the strength and perseverance of the Frogonian people, Stonecroak embodies the indomitable spirit, steadfastness, and the art of the Ninja carved into the ve"&amp;"ry bedrock of their surroundings.
Stonecroak Ninja Village is a remarkable sight, built amidst towering cliffs and rocky formations. The village seamlessly integrates with the quarry, with structures hewn from the very stone that surrounds them. The vill"&amp;"age pathways wind through intricate tunnels and rocky passages, utilizing the natural formations to create a labyrinthine network that conceals their village from prying eyes.
As one ventures deeper into the village, the echoes of stone on stone fill the"&amp;" air, accompanied by the scent of dust and earth. The village exudes an air of resilience and strength, with sturdy stone buildings rising proudly against the quarry walls. The architecture reflects the Frogonians' connection to the quarry, utilizing the "&amp;"raw materials with a blend of artistry and functionality.
Within Stonecroak Ninja Village, the Frogonians train rigorously, honing their ninja skills to perfection. The village serves as a training ground for the young ninja apprentices, guided by experi"&amp;"enced mentors who impart their wisdom and expertise. They train in the arts of combat, stealth, and elemental manipulation, utilizing the rocky terrain to their advantage and adapting their techniques to the quarry's unique challenges.
The village hums w"&amp;"ith activity, a testament to the Frogonians' unyielding spirit. The central plaza serves as a focal point, where villagers gather to share stories, test their skills, and revel in the camaraderie of their fellow Ninja. The village elders, revered for thei"&amp;"r wisdom and experience, ensure the preservation of the Frogonian traditions, passing down the ancient knowledge of the ninja arts and the bond between the Frogonians and the stone.
With unwavering determination and a deep connection to the stone, the Fr"&amp;"ogonians of Stonecroak Village stand as the protectors of their quarry domain. They defend their village with resolute strength, utilizing their skills and elemental techniques to turn the very rocks against their adversaries.
Stonecroak Village symboliz"&amp;"es the Frogonians' unyielding spirit, their unwavering commitment to their craft, and their profound bond with the stone. It is a testament to their resilience, strength, and the unity that binds them to their quarry sanctuary. In Stonecroak, the Frogonia"&amp;"ns embody the enduring spirit of the Ninja, etching their mark into the annals of history with each resounding step upon the stone.")</f>
        <v>Deep within a rugged and formidable quarry, the Stonecroak Ninja Village stands as a testament to the strength and perseverance of the Frogonian people, Stonecroak embodies the indomitable spirit, steadfastness, and the art of the Ninja carved into the very bedrock of their surroundings.
Stonecroak Ninja Village is a remarkable sight, built amidst towering cliffs and rocky formations. The village seamlessly integrates with the quarry, with structures hewn from the very stone that surrounds them. The village pathways wind through intricate tunnels and rocky passages, utilizing the natural formations to create a labyrinthine network that conceals their village from prying eyes.
As one ventures deeper into the village, the echoes of stone on stone fill the air, accompanied by the scent of dust and earth. The village exudes an air of resilience and strength, with sturdy stone buildings rising proudly against the quarry walls. The architecture reflects the Frogonians' connection to the quarry, utilizing the raw materials with a blend of artistry and functionality.
Within Stonecroak Ninja Village, the Frogonians train rigorously, honing their ninja skills to perfection. The village serves as a training ground for the young ninja apprentices, guided by experienced mentors who impart their wisdom and expertise. They train in the arts of combat, stealth, and elemental manipulation, utilizing the rocky terrain to their advantage and adapting their techniques to the quarry's unique challenges.
The village hums with activity, a testament to the Frogonians' unyielding spirit. The central plaza serves as a focal point, where villagers gather to share stories, test their skills, and revel in the camaraderie of their fellow Ninja. The village elders, revered for their wisdom and experience, ensure the preservation of the Frogonian traditions, passing down the ancient knowledge of the ninja arts and the bond between the Frogonians and the stone.
With unwavering determination and a deep connection to the stone, the Frogonians of Stonecroak Village stand as the protectors of their quarry domain. They defend their village with resolute strength, utilizing their skills and elemental techniques to turn the very rocks against their adversaries.
Stonecroak Village symbolizes the Frogonians' unyielding spirit, their unwavering commitment to their craft, and their profound bond with the stone. It is a testament to their resilience, strength, and the unity that binds them to their quarry sanctuary. In Stonecroak, the Frogonians embody the enduring spirit of the Ninja, etching their mark into the annals of history with each resounding step upon the stone.</v>
      </c>
      <c r="C97" s="16" t="str">
        <f>IFERROR(__xludf.DUMMYFUNCTION("""COMPUTED_VALUE"""),"Dragonscale Island")</f>
        <v>Dragonscale Island</v>
      </c>
      <c r="D97" s="16"/>
      <c r="E97" s="98">
        <f>IFERROR(__xludf.DUMMYFUNCTION("""COMPUTED_VALUE"""),1.0E9)</f>
        <v>1000000000</v>
      </c>
      <c r="F97" s="16" t="str">
        <f>IFERROR(__xludf.DUMMYFUNCTION("""COMPUTED_VALUE"""),"Gilder")</f>
        <v>Gilder</v>
      </c>
      <c r="G97" s="16"/>
      <c r="H97" s="16"/>
      <c r="I97" s="16"/>
      <c r="J97" s="16"/>
      <c r="K97" s="16"/>
      <c r="L97" s="16"/>
      <c r="M97" s="16"/>
      <c r="N97" s="16"/>
      <c r="O97" s="16"/>
      <c r="P97" s="16"/>
      <c r="Q97" s="16"/>
      <c r="R97" s="16"/>
      <c r="S97" s="16"/>
      <c r="T97" s="16"/>
      <c r="U97" s="16"/>
      <c r="V97" s="16"/>
      <c r="W97" s="16"/>
      <c r="X97" s="16"/>
      <c r="Y97" s="16"/>
      <c r="Z97" s="16"/>
    </row>
    <row r="98">
      <c r="A98" s="16" t="str">
        <f>IFERROR(__xludf.DUMMYFUNCTION("""COMPUTED_VALUE"""),"Amphibuki Hideout")</f>
        <v>Amphibuki Hideout</v>
      </c>
      <c r="B98" s="16" t="str">
        <f>IFERROR(__xludf.DUMMYFUNCTION("""COMPUTED_VALUE"""),"The Amphibuki Hideout, serving as the sinister lair for the members of the Amphibuki is a foreboding and treacherous place concealed within the treacherous depths of the Frogonian wetlands. This secret sanctuary is an embodiment of darkness and malevolenc"&amp;"e, designed to strike fear into the hearts of all who dare to venture near.
The hideout's exterior exudes an eerie aura, with its imposing silhouette rising amidst the murky swamplands. The structure is constructed from rough-hewn stones, encrusted with "&amp;"slimy moss that seems to writhe with a life of its own. Sinister carvings of twisted amphibian creatures adorn the walls, their eyes gleaming with malice as if watching intruders with predatory intent.
Stepping through the hidden entrance, one is met wit"&amp;"h a cavernous and dimly lit interior, the air thick with a dank, oppressive atmosphere. Flickering torches cast eerie shadows on the damp stone walls, creating an unsettling dance of light and darkness. The echoes of sinister whispers seem to permeate the"&amp;" air, hinting at the clandestine activities that take place within.
The hideout's central chamber serves as a gathering place for the Amphibuki members, a room steeped in wickedness and secrecy. A large circular platform, adorned with a menacing emblem r"&amp;"epresenting a malevolent frog deity, dominates the center. Sinister symbols and ominous artifacts decorate the walls, evoking a sense of dread and foreboding.
Snaking corridors branch out from the central chamber, leading to individual quarters for each "&amp;"Amphibuki member. These chambers reflect their vile nature, with dimly lit spaces adorned with macabre decorations. Torturous devices, forbidden scrolls of dark arts, and trophies from past conquests line the walls, showcasing their wicked deeds and insid"&amp;"ious prowess.
Within the depths of the hideout, secret chambers hide arcane laboratories and chambers of experimentation. Here, forbidden rituals are performed, and dark alchemical concoctions bubble and seethe in cauldrons. The acrid scent of dangerous "&amp;"potions and elixirs fills the air, mingling with the foreboding atmosphere of the hideout.
The Amphibuki Hideout stands as a testament to the members' malevolence and their nefarious intentions. It is a place where evil plots are hatched, where darkness "&amp;"thrives, and where the vilest of intentions are nurtured. The hideout's very existence serves as a constant reminder of the menacing presence and imminent danger posed by the Amphibuki")</f>
        <v>The Amphibuki Hideout, serving as the sinister lair for the members of the Amphibuki is a foreboding and treacherous place concealed within the treacherous depths of the Frogonian wetlands. This secret sanctuary is an embodiment of darkness and malevolence, designed to strike fear into the hearts of all who dare to venture near.
The hideout's exterior exudes an eerie aura, with its imposing silhouette rising amidst the murky swamplands. The structure is constructed from rough-hewn stones, encrusted with slimy moss that seems to writhe with a life of its own. Sinister carvings of twisted amphibian creatures adorn the walls, their eyes gleaming with malice as if watching intruders with predatory intent.
Stepping through the hidden entrance, one is met with a cavernous and dimly lit interior, the air thick with a dank, oppressive atmosphere. Flickering torches cast eerie shadows on the damp stone walls, creating an unsettling dance of light and darkness. The echoes of sinister whispers seem to permeate the air, hinting at the clandestine activities that take place within.
The hideout's central chamber serves as a gathering place for the Amphibuki members, a room steeped in wickedness and secrecy. A large circular platform, adorned with a menacing emblem representing a malevolent frog deity, dominates the center. Sinister symbols and ominous artifacts decorate the walls, evoking a sense of dread and foreboding.
Snaking corridors branch out from the central chamber, leading to individual quarters for each Amphibuki member. These chambers reflect their vile nature, with dimly lit spaces adorned with macabre decorations. Torturous devices, forbidden scrolls of dark arts, and trophies from past conquests line the walls, showcasing their wicked deeds and insidious prowess.
Within the depths of the hideout, secret chambers hide arcane laboratories and chambers of experimentation. Here, forbidden rituals are performed, and dark alchemical concoctions bubble and seethe in cauldrons. The acrid scent of dangerous potions and elixirs fills the air, mingling with the foreboding atmosphere of the hideout.
The Amphibuki Hideout stands as a testament to the members' malevolence and their nefarious intentions. It is a place where evil plots are hatched, where darkness thrives, and where the vilest of intentions are nurtured. The hideout's very existence serves as a constant reminder of the menacing presence and imminent danger posed by the Amphibuki</v>
      </c>
      <c r="C98" s="16" t="str">
        <f>IFERROR(__xludf.DUMMYFUNCTION("""COMPUTED_VALUE"""),"Dragonscale Island")</f>
        <v>Dragonscale Island</v>
      </c>
      <c r="D98" s="16"/>
      <c r="E98" s="98">
        <f>IFERROR(__xludf.DUMMYFUNCTION("""COMPUTED_VALUE"""),1.0E9)</f>
        <v>1000000000</v>
      </c>
      <c r="F98" s="16" t="str">
        <f>IFERROR(__xludf.DUMMYFUNCTION("""COMPUTED_VALUE"""),"Gilder")</f>
        <v>Gilder</v>
      </c>
      <c r="G98" s="16"/>
      <c r="H98" s="16"/>
      <c r="I98" s="16"/>
      <c r="J98" s="16"/>
      <c r="K98" s="16"/>
      <c r="L98" s="16"/>
      <c r="M98" s="16"/>
      <c r="N98" s="16"/>
      <c r="O98" s="16"/>
      <c r="P98" s="16"/>
      <c r="Q98" s="16"/>
      <c r="R98" s="16"/>
      <c r="S98" s="16"/>
      <c r="T98" s="16"/>
      <c r="U98" s="16"/>
      <c r="V98" s="16"/>
      <c r="W98" s="16"/>
      <c r="X98" s="16"/>
      <c r="Y98" s="16"/>
      <c r="Z98" s="16"/>
    </row>
    <row r="99">
      <c r="A99" s="16" t="str">
        <f>IFERROR(__xludf.DUMMYFUNCTION("""COMPUTED_VALUE"""),"The Magical and Majestic Mountains")</f>
        <v>The Magical and Majestic Mountains</v>
      </c>
      <c r="B99" s="16" t="str">
        <f>IFERROR(__xludf.DUMMYFUNCTION("""COMPUTED_VALUE"""),"Back in the age when the world was still young and its mysteries abundant, a powerful and benevolent sorceress named Seraphina sought a place where magic and nature could coexist in perfect harmony. Seraphina was renowned across the realm for her mastery "&amp;"over the arcane arts and her unwavering love for the natural world. She yearned to create a sanctuary that would serve as a haven for magical creatures, a refuge for weary adventurers, and a center for the study and practice of magic.
After years of tire"&amp;"less searching, Seraphina stumbled upon a hidden valley nestled between towering peaks. The beauty of the land was unparalleled, with lush forests, sparkling rivers, and vibrant meadows. The valley was surrounded by majestic mountains that seemed to touch"&amp;" the sky itself, their peaks perpetually capped with glistening snow. Seraphina knew she had found the perfect location for her vision.
With her unparalleled magical prowess, Seraphina set to work. She channeled her magic into the land, intertwining natu"&amp;"re and arcane power in ways that had never been attempted before. She cast spells to enhance the fertility of the soil, encouraging the growth of rare and magical plants. She channeled energy into the rivers, infusing them with enchantments that granted t"&amp;"he creatures that dwelled within them a touch of magic.
The mountains themselves were no exception to Seraphina's grand design. She crafted intricate runes and sigils into the very rock and soil, imbuing the land with protective wards and a heightened co"&amp;"nnection to the magical energies that flowed through the world. The tallest peak, known as Celestia's Crown, held a great crystal at its summit, a beacon that resonated with the heart of the valley.
As time passed, the valley flourished. Magical creature"&amp;"s from far and wide were drawn to the place, and adventurers seeking to learn from Seraphina's wisdom flocked to her side. The Magical and Majestic Mountains became a bastion of magical knowledge, a melting pot of different cultures and species, all livin"&amp;"g in harmony under the watchful eye of Seraphina.
However, as with all tales of magic and wonder, challenges arose. Seraphina's creation did not go unnoticed by darker forces in the world. A cabal of renegade sorcerers, envious of her power, sought to la"&amp;"y claim to the valley. Thus began the Battle of the Peaks, a cataclysmic clash between the forces of light and darkness that echoed throughout the land.
Ultimately, Seraphina and her allies managed to repel the attackers, but the battle left scars on the"&amp;" land and changed the valley forever. The crystal atop Celestia's Crown cracked, sending shards of magic scattering across the realm. While the valley remained a place of wonder, its enchantments became wild and unpredictable, and some areas were forever "&amp;"altered by the conflict.
To this day, the Magical and Majestic Mountains stand as a testament to Seraphina's dream and the enduring power of magic. Adventurers still journey to the valley in search of wisdom and wonder, and the echoes of the Battle of th"&amp;"e Peaks serve as a reminder that even in the most magical of places, darkness can never be fully vanquished.")</f>
        <v>Back in the age when the world was still young and its mysteries abundant, a powerful and benevolent sorceress named Seraphina sought a place where magic and nature could coexist in perfect harmony. Seraphina was renowned across the realm for her mastery over the arcane arts and her unwavering love for the natural world. She yearned to create a sanctuary that would serve as a haven for magical creatures, a refuge for weary adventurers, and a center for the study and practice of magic.
After years of tireless searching, Seraphina stumbled upon a hidden valley nestled between towering peaks. The beauty of the land was unparalleled, with lush forests, sparkling rivers, and vibrant meadows. The valley was surrounded by majestic mountains that seemed to touch the sky itself, their peaks perpetually capped with glistening snow. Seraphina knew she had found the perfect location for her vision.
With her unparalleled magical prowess, Seraphina set to work. She channeled her magic into the land, intertwining nature and arcane power in ways that had never been attempted before. She cast spells to enhance the fertility of the soil, encouraging the growth of rare and magical plants. She channeled energy into the rivers, infusing them with enchantments that granted the creatures that dwelled within them a touch of magic.
The mountains themselves were no exception to Seraphina's grand design. She crafted intricate runes and sigils into the very rock and soil, imbuing the land with protective wards and a heightened connection to the magical energies that flowed through the world. The tallest peak, known as Celestia's Crown, held a great crystal at its summit, a beacon that resonated with the heart of the valley.
As time passed, the valley flourished. Magical creatures from far and wide were drawn to the place, and adventurers seeking to learn from Seraphina's wisdom flocked to her side. The Magical and Majestic Mountains became a bastion of magical knowledge, a melting pot of different cultures and species, all living in harmony under the watchful eye of Seraphina.
However, as with all tales of magic and wonder, challenges arose. Seraphina's creation did not go unnoticed by darker forces in the world. A cabal of renegade sorcerers, envious of her power, sought to lay claim to the valley. Thus began the Battle of the Peaks, a cataclysmic clash between the forces of light and darkness that echoed throughout the land.
Ultimately, Seraphina and her allies managed to repel the attackers, but the battle left scars on the land and changed the valley forever. The crystal atop Celestia's Crown cracked, sending shards of magic scattering across the realm. While the valley remained a place of wonder, its enchantments became wild and unpredictable, and some areas were forever altered by the conflict.
To this day, the Magical and Majestic Mountains stand as a testament to Seraphina's dream and the enduring power of magic. Adventurers still journey to the valley in search of wisdom and wonder, and the echoes of the Battle of the Peaks serve as a reminder that even in the most magical of places, darkness can never be fully vanquished.</v>
      </c>
      <c r="C99" s="16" t="str">
        <f>IFERROR(__xludf.DUMMYFUNCTION("""COMPUTED_VALUE"""),"Land of Spira")</f>
        <v>Land of Spira</v>
      </c>
      <c r="D99" s="16"/>
      <c r="E99" s="98">
        <f>IFERROR(__xludf.DUMMYFUNCTION("""COMPUTED_VALUE"""),1.0E9)</f>
        <v>1000000000</v>
      </c>
      <c r="F99" s="16" t="str">
        <f>IFERROR(__xludf.DUMMYFUNCTION("""COMPUTED_VALUE"""),"Gilder")</f>
        <v>Gilder</v>
      </c>
      <c r="G99" s="16"/>
      <c r="H99" s="16"/>
      <c r="I99" s="16"/>
      <c r="J99" s="16"/>
      <c r="K99" s="16"/>
      <c r="L99" s="16"/>
      <c r="M99" s="16"/>
      <c r="N99" s="16"/>
      <c r="O99" s="16"/>
      <c r="P99" s="16"/>
      <c r="Q99" s="16"/>
      <c r="R99" s="16"/>
      <c r="S99" s="16"/>
      <c r="T99" s="16"/>
      <c r="U99" s="16"/>
      <c r="V99" s="16"/>
      <c r="W99" s="16"/>
      <c r="X99" s="16"/>
      <c r="Y99" s="16"/>
      <c r="Z99" s="16"/>
    </row>
    <row r="100">
      <c r="A100" s="16" t="str">
        <f>IFERROR(__xludf.DUMMYFUNCTION("""COMPUTED_VALUE"""),"Magical Mountains of Manifestations")</f>
        <v>Magical Mountains of Manifestations</v>
      </c>
      <c r="B100" s="16" t="str">
        <f>IFERROR(__xludf.DUMMYFUNCTION("""COMPUTED_VALUE"""),"Long ago, in an age shrouded in mysticism and forgotten legends, the world was a canvas for the whims of powerful beings known as the Archanists. These Archanists were sorcerers of unparalleled skill, capable of bending reality to their will through the s"&amp;"heer force of their magic. Each Archanist sought to leave their mark on the world, to shape it according to their desires.
Amidst towering peaks that reached into the heavens, there existed a range of mountains known as the ""Ethereal Spine."" Here, the "&amp;"landscape was a living testament to the Archanists' boundless power. Each mountain in the range was infused with a unique magical essence, and these energies interacted in ways that defied the very laws of nature. Rivers of liquid light flowed uphill, whi"&amp;"le floating islands adorned with ancient trees drifted through the skies.
In the heart of the Ethereal Spine lay the ""Magical Mountains of Manifestations."" These mountains were a collaborative creation of the Archanists, a place where their magical exp"&amp;"erimentation and artistic ambitions converged. The Archanists realized that the range possessed a natural affinity for manifestations—bringing thoughts and dreams into tangible existence. They established the mountains as a sanctuary for their most audaci"&amp;"ous experiments, where magic was not merely cast but woven into the very fabric of reality.
The Archanists' spells and incantations left traces in the land itself, etching arcane symbols into the stones and trees. Over time, these symbols gained sentienc"&amp;"e and consciousness of their own, becoming guardians of the mountains and protectors of the Archanists' legacy. These magical entities, known as the ""Glyphwardens,"" possessed the ability to reshape the landscape based on the intentions of those who soug"&amp;"ht their favor.
Legends tell of brave individuals who ventured into the Magical Mountains of Manifestations seeking to harness their power. The Glyphwardens would present challenges that were both trials of strength and tests of character. Those who prov"&amp;"ed themselves worthy were granted access to the Archanists' ""Gallery of Echoed Realities,"" a hidden space between dimensions where past and future manifested in breathtaking displays of magic and wonder.
However, the age of the Archanists eventually wa"&amp;"ned. Their internal conflicts and lust for supremacy led to a cataclysmic event known as the ""Rupture,"" which tore through the world, forever altering the balance of magic. The Ethereal Spine was not spared, and the Magical Mountains of Manifestations w"&amp;"ere sealed off from the rest of the world by a barrier of unstable magic.
As time flowed onward, the memory of the Archanists faded into myth, and the mountains and their mysteries became the stuff of bedtime stories and cautionary tales. Adventurers and"&amp;" scholars alike sought the mountains, drawn by the promise of unimaginable power. Only a select few managed to breach the barrier and step foot in the ethereal realm beyond.
Today, the Magical Mountains of Manifestations stand as a realm of paradoxes, wh"&amp;"ere dreams become reality and reality becomes dreams. The Glyphwardens continue to guard the mountains, awaiting those who can prove themselves worthy of the Archanists' legacy. As the world changes around them, the mountains remain a testament to an era "&amp;"when magic and artistry merged in harmonious splendor—a testament to the Archanists' ambition and the enduring legacy of their enchantments.")</f>
        <v>Long ago, in an age shrouded in mysticism and forgotten legends, the world was a canvas for the whims of powerful beings known as the Archanists. These Archanists were sorcerers of unparalleled skill, capable of bending reality to their will through the sheer force of their magic. Each Archanist sought to leave their mark on the world, to shape it according to their desires.
Amidst towering peaks that reached into the heavens, there existed a range of mountains known as the "Ethereal Spine." Here, the landscape was a living testament to the Archanists' boundless power. Each mountain in the range was infused with a unique magical essence, and these energies interacted in ways that defied the very laws of nature. Rivers of liquid light flowed uphill, while floating islands adorned with ancient trees drifted through the skies.
In the heart of the Ethereal Spine lay the "Magical Mountains of Manifestations." These mountains were a collaborative creation of the Archanists, a place where their magical experimentation and artistic ambitions converged. The Archanists realized that the range possessed a natural affinity for manifestations—bringing thoughts and dreams into tangible existence. They established the mountains as a sanctuary for their most audacious experiments, where magic was not merely cast but woven into the very fabric of reality.
The Archanists' spells and incantations left traces in the land itself, etching arcane symbols into the stones and trees. Over time, these symbols gained sentience and consciousness of their own, becoming guardians of the mountains and protectors of the Archanists' legacy. These magical entities, known as the "Glyphwardens," possessed the ability to reshape the landscape based on the intentions of those who sought their favor.
Legends tell of brave individuals who ventured into the Magical Mountains of Manifestations seeking to harness their power. The Glyphwardens would present challenges that were both trials of strength and tests of character. Those who proved themselves worthy were granted access to the Archanists' "Gallery of Echoed Realities," a hidden space between dimensions where past and future manifested in breathtaking displays of magic and wonder.
However, the age of the Archanists eventually waned. Their internal conflicts and lust for supremacy led to a cataclysmic event known as the "Rupture," which tore through the world, forever altering the balance of magic. The Ethereal Spine was not spared, and the Magical Mountains of Manifestations were sealed off from the rest of the world by a barrier of unstable magic.
As time flowed onward, the memory of the Archanists faded into myth, and the mountains and their mysteries became the stuff of bedtime stories and cautionary tales. Adventurers and scholars alike sought the mountains, drawn by the promise of unimaginable power. Only a select few managed to breach the barrier and step foot in the ethereal realm beyond.
Today, the Magical Mountains of Manifestations stand as a realm of paradoxes, where dreams become reality and reality becomes dreams. The Glyphwardens continue to guard the mountains, awaiting those who can prove themselves worthy of the Archanists' legacy. As the world changes around them, the mountains remain a testament to an era when magic and artistry merged in harmonious splendor—a testament to the Archanists' ambition and the enduring legacy of their enchantments.</v>
      </c>
      <c r="C100" s="16" t="str">
        <f>IFERROR(__xludf.DUMMYFUNCTION("""COMPUTED_VALUE"""),"Land of Spira")</f>
        <v>Land of Spira</v>
      </c>
      <c r="D100" s="16"/>
      <c r="E100" s="98">
        <f>IFERROR(__xludf.DUMMYFUNCTION("""COMPUTED_VALUE"""),1.0E9)</f>
        <v>1000000000</v>
      </c>
      <c r="F100" s="16" t="str">
        <f>IFERROR(__xludf.DUMMYFUNCTION("""COMPUTED_VALUE"""),"Gilder")</f>
        <v>Gilder</v>
      </c>
      <c r="G100" s="16"/>
      <c r="H100" s="16"/>
      <c r="I100" s="16"/>
      <c r="J100" s="16"/>
      <c r="K100" s="16"/>
      <c r="L100" s="16"/>
      <c r="M100" s="16"/>
      <c r="N100" s="16"/>
      <c r="O100" s="16"/>
      <c r="P100" s="16"/>
      <c r="Q100" s="16"/>
      <c r="R100" s="16"/>
      <c r="S100" s="16"/>
      <c r="T100" s="16"/>
      <c r="U100" s="16"/>
      <c r="V100" s="16"/>
      <c r="W100" s="16"/>
      <c r="X100" s="16"/>
      <c r="Y100" s="16"/>
      <c r="Z100" s="16"/>
    </row>
    <row r="101">
      <c r="A101" s="16" t="str">
        <f>IFERROR(__xludf.DUMMYFUNCTION("""COMPUTED_VALUE"""),"Mountains of War and Dishonor ")</f>
        <v>Mountains of War and Dishonor </v>
      </c>
      <c r="B101" s="16" t="str">
        <f>IFERROR(__xludf.DUMMYFUNCTION("""COMPUTED_VALUE"""),"In the annals of history, there are tales of lands where valor and honor clashed with darkness and betrayal. The Mountains of War and Dishonor stand as a stark testament to one such tale, a realm born from the convergence of power, ambition, and a tragic "&amp;"fall from grace.
Long ago, in a kingdom known as Valoria, a noble dynasty known as House Drakengard reigned supreme. The Drakengards were renowned for their chivalry, prowess in battle, and unyielding commitment to honor. The kingdom prospered under thei"&amp;"r rule, and the Mountains of War and Dishonor were a central part of their domain.
The mountains were home to a sacred order of knights known as the Knights of Valor. For generations, these knights upheld a code of honor and righteousness, dedicating the"&amp;"ir lives to protecting the realm from external threats and maintaining harmony within. The mountains themselves were believed to hold an ancient power, said to grant immeasurable strength to those who were truly just and honorable.
However, as the genera"&amp;"tions passed, the once-proud House Drakengard began to succumb to internal strife and corruption. A power-hungry scion of the house, Lord Malric, sought to expand his dominion at any cost. Driven by a lust for conquest and the allure of forbidden magics, "&amp;"he turned away from the noble principles that had guided his ancestors.
In his pursuit of power, Lord Malric began to amass a ruthless army, conscripting not only loyal soldiers but also mercenaries and dark sorcerers. As his ambitions grew, he set his s"&amp;"ights on the Mountains of War and Dishonor. Despite the protests of the Knights of Valor, Lord Malric believed that by tapping into the ancient magic of the mountains, he could attain unrivaled might and secure his place as the most powerful ruler in the "&amp;"land.
The Knights of Valor, sworn to protect their realm from such corruption, faced an agonizing decision. They found themselves torn between their loyalty to House Drakengard and their unwavering commitment to honor. Recognizing that Lord Malric's acti"&amp;"ons had strayed far from the path of righteousness, a faction of the knights led by the valiant Sir Aric chose to stand against their own liege.
The ensuing conflict was a brutal and heart-wrenching civil war. The Mountains of War and Dishonor, once a sy"&amp;"mbol of honor, now echoed with the clash of swords and the thunder of dark sorcery. The land became marred by the bloodshed, as the knights who once stood united against external threats were now locked in combat against their own kin.
Ultimately, the co"&amp;"nflict reached its climax in a cataclysmic battle atop the highest peak of the mountains. Sir Aric and his loyal knights faced Lord Malric's forces in a final showdown. The battle was fierce, with magic and steel intertwining in a dance of destruction. In"&amp;" the end, Sir Aric managed to defeat Lord Malric in a duel that shook the very foundations of the mountains.
But victory came at a heavy price. The once-proud Mountains of War and Dishonor had become a scarred and desolate land, forever tainted by the di"&amp;"shonor and bloodshed that had stained its slopes. The surviving Knights of Valor, broken and battle-weary, made a solemn vow to guard the mountains as a grim reminder of the consequences of ambition unchecked by honor.
To this day, the Mountains of War a"&amp;"nd Dishonor stand as a haunting monument to the fallibility of even the noblest of ideals. The land serves as a cautionary tale, a place where the clash of honor and dishonor resounds through the ages, a stark reminder that the pursuit of power without mo"&amp;"ral restraint can lead even the most virtuous to the precipice of ruin.")</f>
        <v>In the annals of history, there are tales of lands where valor and honor clashed with darkness and betrayal. The Mountains of War and Dishonor stand as a stark testament to one such tale, a realm born from the convergence of power, ambition, and a tragic fall from grace.
Long ago, in a kingdom known as Valoria, a noble dynasty known as House Drakengard reigned supreme. The Drakengards were renowned for their chivalry, prowess in battle, and unyielding commitment to honor. The kingdom prospered under their rule, and the Mountains of War and Dishonor were a central part of their domain.
The mountains were home to a sacred order of knights known as the Knights of Valor. For generations, these knights upheld a code of honor and righteousness, dedicating their lives to protecting the realm from external threats and maintaining harmony within. The mountains themselves were believed to hold an ancient power, said to grant immeasurable strength to those who were truly just and honorable.
However, as the generations passed, the once-proud House Drakengard began to succumb to internal strife and corruption. A power-hungry scion of the house, Lord Malric, sought to expand his dominion at any cost. Driven by a lust for conquest and the allure of forbidden magics, he turned away from the noble principles that had guided his ancestors.
In his pursuit of power, Lord Malric began to amass a ruthless army, conscripting not only loyal soldiers but also mercenaries and dark sorcerers. As his ambitions grew, he set his sights on the Mountains of War and Dishonor. Despite the protests of the Knights of Valor, Lord Malric believed that by tapping into the ancient magic of the mountains, he could attain unrivaled might and secure his place as the most powerful ruler in the land.
The Knights of Valor, sworn to protect their realm from such corruption, faced an agonizing decision. They found themselves torn between their loyalty to House Drakengard and their unwavering commitment to honor. Recognizing that Lord Malric's actions had strayed far from the path of righteousness, a faction of the knights led by the valiant Sir Aric chose to stand against their own liege.
The ensuing conflict was a brutal and heart-wrenching civil war. The Mountains of War and Dishonor, once a symbol of honor, now echoed with the clash of swords and the thunder of dark sorcery. The land became marred by the bloodshed, as the knights who once stood united against external threats were now locked in combat against their own kin.
Ultimately, the conflict reached its climax in a cataclysmic battle atop the highest peak of the mountains. Sir Aric and his loyal knights faced Lord Malric's forces in a final showdown. The battle was fierce, with magic and steel intertwining in a dance of destruction. In the end, Sir Aric managed to defeat Lord Malric in a duel that shook the very foundations of the mountains.
But victory came at a heavy price. The once-proud Mountains of War and Dishonor had become a scarred and desolate land, forever tainted by the dishonor and bloodshed that had stained its slopes. The surviving Knights of Valor, broken and battle-weary, made a solemn vow to guard the mountains as a grim reminder of the consequences of ambition unchecked by honor.
To this day, the Mountains of War and Dishonor stand as a haunting monument to the fallibility of even the noblest of ideals. The land serves as a cautionary tale, a place where the clash of honor and dishonor resounds through the ages, a stark reminder that the pursuit of power without moral restraint can lead even the most virtuous to the precipice of ruin.</v>
      </c>
      <c r="C101" s="16" t="str">
        <f>IFERROR(__xludf.DUMMYFUNCTION("""COMPUTED_VALUE"""),"Land of Spira")</f>
        <v>Land of Spira</v>
      </c>
      <c r="D101" s="16"/>
      <c r="E101" s="98">
        <f>IFERROR(__xludf.DUMMYFUNCTION("""COMPUTED_VALUE"""),1.0E9)</f>
        <v>1000000000</v>
      </c>
      <c r="F101" s="16" t="str">
        <f>IFERROR(__xludf.DUMMYFUNCTION("""COMPUTED_VALUE"""),"Gilder")</f>
        <v>Gilder</v>
      </c>
      <c r="G101" s="16"/>
      <c r="H101" s="16"/>
      <c r="I101" s="16"/>
      <c r="J101" s="16"/>
      <c r="K101" s="16"/>
      <c r="L101" s="16"/>
      <c r="M101" s="16"/>
      <c r="N101" s="16"/>
      <c r="O101" s="16"/>
      <c r="P101" s="16"/>
      <c r="Q101" s="16"/>
      <c r="R101" s="16"/>
      <c r="S101" s="16"/>
      <c r="T101" s="16"/>
      <c r="U101" s="16"/>
      <c r="V101" s="16"/>
      <c r="W101" s="16"/>
      <c r="X101" s="16"/>
      <c r="Y101" s="16"/>
      <c r="Z101" s="16"/>
    </row>
    <row r="102">
      <c r="A102" s="16" t="str">
        <f>IFERROR(__xludf.DUMMYFUNCTION("""COMPUTED_VALUE"""),"Centraria")</f>
        <v>Centraria</v>
      </c>
      <c r="B102" s="16" t="str">
        <f>IFERROR(__xludf.DUMMYFUNCTION("""COMPUTED_VALUE"""),"Centraria, the heart of enchantment nestled within The Land of Spira, has a history that dates back to a time when magic flowed freely and the world was a tapestry woven with threads of wonder. The city's creation is attributed to the Archmage Arinthor, a"&amp;" legendary sorcerer of unparalleled skill and boundless imagination.
In an era when the boundaries between the mundane and the mystical were blurred, Arinthor sought to create a place where the various magical traditions, races, and creatures could coexi"&amp;"st in harmony. Guided by a vision of unity and shared knowledge, he erected Centraria at the convergence of ley lines, where the magical energies of the world converged in a symphony of power.
The city itself was a testament to Arinthor's mastery over ma"&amp;"gic. Its architecture defied the laws of physics, with floating towers suspended in the air, bridges made of light connecting districts, and streets that shimmered with illusions. The city's layout was a labyrinthine puzzle, a testament to Arinthor's love"&amp;" for riddles and challenges. The grand central plaza, known as the Nexus Square, was a place of convergence where magic users from every corner of The Land of Spira would gather to share knowledge, exchange spells, and seek wisdom.
Within Centraria's bou"&amp;"ndaries, magical wonders were commonplace. Markets peddled enchanted artifacts, alchemical concoctions, and creatures born of dreams. Arcane libraries held tomes that whispered forgotten incantations, and elemental gardens bloomed with plants that exuded "&amp;"magical auras. The air itself crackled with latent energy, and the auroras that danced in the skies above were said to be reflections of the city's mystical heartbeat.
The city's prosperity and enchantment attracted both admirers and those with nefarious"&amp;" intent. It was during a period known as the Shrouded Twilight that a group of rogue sorcerers, known as the Obsidian Cabal, attempted to usurp the power at the heart of Centraria for their own gain. A conflict of cataclysmic proportions erupted between t"&amp;"he forces of darkness and those who sought to protect the city's sanctity.
The battle raged for months, and the magical clashes scarred the landscape and forever changed the fabric of Centraria. The Nexus Square, once a beacon of harmony, was left in rui"&amp;"ns. The ley lines were disrupted, causing magic to become unpredictable and often dangerous. The Obsidian Cabal was eventually defeated, but the cost was great.
Today, Centraria remains a city of ancient wonder and magical mystery, but its scars are wove"&amp;"n into its very essence. The floating towers are now remnants, half-submerged in the ground or suspended at odd angles. The bridges of light have become fractured pathways of shifting illusions. And the Nexus Square, while still a place of gathering, carr"&amp;"ies the weight of its history, a reminder of the city's resilience in the face of darkness.
Adventurers now journey to Centraria in search of lost knowledge and potent artifacts. The city's inhabitants, a diverse array of magical beings, continue to fost"&amp;"er a sense of unity and learning, determined to rebuild and protect what remains. Centraria stands as a testament to the enduring power of magic, a city where the ancient wonder of the past dances with the mysteries of the present, and where the threads o"&amp;"f enchantment continue to weave their tapestry of awe and fascination.")</f>
        <v>Centraria, the heart of enchantment nestled within The Land of Spira, has a history that dates back to a time when magic flowed freely and the world was a tapestry woven with threads of wonder. The city's creation is attributed to the Archmage Arinthor, a legendary sorcerer of unparalleled skill and boundless imagination.
In an era when the boundaries between the mundane and the mystical were blurred, Arinthor sought to create a place where the various magical traditions, races, and creatures could coexist in harmony. Guided by a vision of unity and shared knowledge, he erected Centraria at the convergence of ley lines, where the magical energies of the world converged in a symphony of power.
The city itself was a testament to Arinthor's mastery over magic. Its architecture defied the laws of physics, with floating towers suspended in the air, bridges made of light connecting districts, and streets that shimmered with illusions. The city's layout was a labyrinthine puzzle, a testament to Arinthor's love for riddles and challenges. The grand central plaza, known as the Nexus Square, was a place of convergence where magic users from every corner of The Land of Spira would gather to share knowledge, exchange spells, and seek wisdom.
Within Centraria's boundaries, magical wonders were commonplace. Markets peddled enchanted artifacts, alchemical concoctions, and creatures born of dreams. Arcane libraries held tomes that whispered forgotten incantations, and elemental gardens bloomed with plants that exuded magical auras. The air itself crackled with latent energy, and the auroras that danced in the skies above were said to be reflections of the city's mystical heartbeat.
The city's prosperity and enchantment attracted both admirers and those with nefarious intent. It was during a period known as the Shrouded Twilight that a group of rogue sorcerers, known as the Obsidian Cabal, attempted to usurp the power at the heart of Centraria for their own gain. A conflict of cataclysmic proportions erupted between the forces of darkness and those who sought to protect the city's sanctity.
The battle raged for months, and the magical clashes scarred the landscape and forever changed the fabric of Centraria. The Nexus Square, once a beacon of harmony, was left in ruins. The ley lines were disrupted, causing magic to become unpredictable and often dangerous. The Obsidian Cabal was eventually defeated, but the cost was great.
Today, Centraria remains a city of ancient wonder and magical mystery, but its scars are woven into its very essence. The floating towers are now remnants, half-submerged in the ground or suspended at odd angles. The bridges of light have become fractured pathways of shifting illusions. And the Nexus Square, while still a place of gathering, carries the weight of its history, a reminder of the city's resilience in the face of darkness.
Adventurers now journey to Centraria in search of lost knowledge and potent artifacts. The city's inhabitants, a diverse array of magical beings, continue to foster a sense of unity and learning, determined to rebuild and protect what remains. Centraria stands as a testament to the enduring power of magic, a city where the ancient wonder of the past dances with the mysteries of the present, and where the threads of enchantment continue to weave their tapestry of awe and fascination.</v>
      </c>
      <c r="C102" s="16" t="str">
        <f>IFERROR(__xludf.DUMMYFUNCTION("""COMPUTED_VALUE"""),"Land of Spira")</f>
        <v>Land of Spira</v>
      </c>
      <c r="D102" s="16"/>
      <c r="E102" s="98">
        <f>IFERROR(__xludf.DUMMYFUNCTION("""COMPUTED_VALUE"""),1.0375E9)</f>
        <v>1037500000</v>
      </c>
      <c r="F102" s="16" t="str">
        <f>IFERROR(__xludf.DUMMYFUNCTION("""COMPUTED_VALUE"""),"Gilder")</f>
        <v>Gilder</v>
      </c>
      <c r="G102" s="16"/>
      <c r="H102" s="16"/>
      <c r="I102" s="16"/>
      <c r="J102" s="16"/>
      <c r="K102" s="16"/>
      <c r="L102" s="16"/>
      <c r="M102" s="16"/>
      <c r="N102" s="16"/>
      <c r="O102" s="16"/>
      <c r="P102" s="16"/>
      <c r="Q102" s="16"/>
      <c r="R102" s="16"/>
      <c r="S102" s="16"/>
      <c r="T102" s="16"/>
      <c r="U102" s="16"/>
      <c r="V102" s="16"/>
      <c r="W102" s="16"/>
      <c r="X102" s="16"/>
      <c r="Y102" s="16"/>
      <c r="Z102" s="16"/>
    </row>
    <row r="103">
      <c r="A103" s="16" t="str">
        <f>IFERROR(__xludf.DUMMYFUNCTION("""COMPUTED_VALUE"""),"The Lost City of Knappadalr")</f>
        <v>The Lost City of Knappadalr</v>
      </c>
      <c r="B103" s="16" t="str">
        <f>IFERROR(__xludf.DUMMYFUNCTION("""COMPUTED_VALUE"""),"The Lost City of Knappadalr stands as a testament to the Viking spirit of exploration, conquest, and innovation. In the age of sail and legend, when the winds of the north carried whispers of opportunity and uncharted lands, a group of intrepid Viking adv"&amp;"enturers set out to carve their legacy upon the world.
Led by the fierce and visionary chieftain, Ulfgar the Unyielding, a group of Viking warriors and settlers embarked on a journey that would lead them far beyond the familiar shores of their homeland. "&amp;"Guided by tales of distant lands rich with resources and untold wonders, they navigated treacherous seas and unpredictable weather, driven by a desire to establish a haven of their own.
After many months of traversing uncharted waters, the Vikings stumbl"&amp;"ed upon a hidden fjord nestled between towering cliffs and dense forests. It was here, surrounded by natural barriers, that they found the ideal location for their new settlement. With a mix of determination, hard work, and a sprinkling of magic from thei"&amp;"r runic lore, they established the city of Knappadalr.
The city quickly grew into a bustling hub of activity, its architecture seamlessly blending the Viking aesthetic with the mystique of the new lands they had discovered. Longhouses and wooden structur"&amp;"es lined the fjord, their intricate carvings telling tales of heroic deeds and ancient gods. The harbor brimmed with dragon-headed longships, and the sounds of metalworking and storytelling filled the air.
Ulfgar the Unyielding, ever a leader with grand "&amp;"ambitions, envisioned Knappadalr as not just a settlement, but a powerful trading and cultural center that bridged the old world and the new. He established a council of chieftains from various Viking clans to ensure the city's governance was rooted in un"&amp;"ity and respect for their diverse origins.
As years passed, Knappadalr thrived. Its strategic location made it a key point for trade routes, and its reputation for courage and skill in battle made it a respected force among neighboring settlements. The c"&amp;"ity's residents, a mix of Vikings and the indigenous people they encountered, forged a unique and vibrant culture that celebrated the richness of both their heritages.
However, like all tales of adventure, the city's story took a darker turn. As rumors o"&amp;"f Knappadalr's wealth and power spread, envious eyes turned toward the city, and factions from faraway lands set their sights on claiming its riches for themselves. One fateful night, a coalition of rivals launched a surprise attack, catching the city off"&amp;" guard. The Battle of the Fjord, as it came to be known, raged for days, leaving the city scarred and battered.
In the end, the defenders of Knappadalr emerged victorious, but the city lay in ruins. Ulfgar the Unyielding had fallen in battle, and the cou"&amp;"ncil was shattered. As the survivors picked up the pieces, they made the heart-wrenching decision to abandon their beloved city, fearing that its very existence had drawn the forces that sought to destroy it.
The Lost City of Knappadalr faded into the an"&amp;"nals of history, becoming a legend of a time when Vikings dared to explore the unknown and build a civilization that defied the odds. Today, adventurers and treasure seekers scour the fjords in search of its remnants, drawn by the promise of untold riches"&amp;" and the echoes of a civilization that once dared to dream of greatness in a distant land.")</f>
        <v>The Lost City of Knappadalr stands as a testament to the Viking spirit of exploration, conquest, and innovation. In the age of sail and legend, when the winds of the north carried whispers of opportunity and uncharted lands, a group of intrepid Viking adventurers set out to carve their legacy upon the world.
Led by the fierce and visionary chieftain, Ulfgar the Unyielding, a group of Viking warriors and settlers embarked on a journey that would lead them far beyond the familiar shores of their homeland. Guided by tales of distant lands rich with resources and untold wonders, they navigated treacherous seas and unpredictable weather, driven by a desire to establish a haven of their own.
After many months of traversing uncharted waters, the Vikings stumbled upon a hidden fjord nestled between towering cliffs and dense forests. It was here, surrounded by natural barriers, that they found the ideal location for their new settlement. With a mix of determination, hard work, and a sprinkling of magic from their runic lore, they established the city of Knappadalr.
The city quickly grew into a bustling hub of activity, its architecture seamlessly blending the Viking aesthetic with the mystique of the new lands they had discovered. Longhouses and wooden structures lined the fjord, their intricate carvings telling tales of heroic deeds and ancient gods. The harbor brimmed with dragon-headed longships, and the sounds of metalworking and storytelling filled the air.
Ulfgar the Unyielding, ever a leader with grand ambitions, envisioned Knappadalr as not just a settlement, but a powerful trading and cultural center that bridged the old world and the new. He established a council of chieftains from various Viking clans to ensure the city's governance was rooted in unity and respect for their diverse origins.
As years passed, Knappadalr thrived. Its strategic location made it a key point for trade routes, and its reputation for courage and skill in battle made it a respected force among neighboring settlements. The city's residents, a mix of Vikings and the indigenous people they encountered, forged a unique and vibrant culture that celebrated the richness of both their heritages.
However, like all tales of adventure, the city's story took a darker turn. As rumors of Knappadalr's wealth and power spread, envious eyes turned toward the city, and factions from faraway lands set their sights on claiming its riches for themselves. One fateful night, a coalition of rivals launched a surprise attack, catching the city off guard. The Battle of the Fjord, as it came to be known, raged for days, leaving the city scarred and battered.
In the end, the defenders of Knappadalr emerged victorious, but the city lay in ruins. Ulfgar the Unyielding had fallen in battle, and the council was shattered. As the survivors picked up the pieces, they made the heart-wrenching decision to abandon their beloved city, fearing that its very existence had drawn the forces that sought to destroy it.
The Lost City of Knappadalr faded into the annals of history, becoming a legend of a time when Vikings dared to explore the unknown and build a civilization that defied the odds. Today, adventurers and treasure seekers scour the fjords in search of its remnants, drawn by the promise of untold riches and the echoes of a civilization that once dared to dream of greatness in a distant land.</v>
      </c>
      <c r="C103" s="16" t="str">
        <f>IFERROR(__xludf.DUMMYFUNCTION("""COMPUTED_VALUE"""),"Land of Spira")</f>
        <v>Land of Spira</v>
      </c>
      <c r="D103" s="16"/>
      <c r="E103" s="98">
        <f>IFERROR(__xludf.DUMMYFUNCTION("""COMPUTED_VALUE"""),1.0E9)</f>
        <v>1000000000</v>
      </c>
      <c r="F103" s="16" t="str">
        <f>IFERROR(__xludf.DUMMYFUNCTION("""COMPUTED_VALUE"""),"Gilder")</f>
        <v>Gilder</v>
      </c>
      <c r="G103" s="16"/>
      <c r="H103" s="16"/>
      <c r="I103" s="16"/>
      <c r="J103" s="16"/>
      <c r="K103" s="16"/>
      <c r="L103" s="16"/>
      <c r="M103" s="16"/>
      <c r="N103" s="16"/>
      <c r="O103" s="16"/>
      <c r="P103" s="16"/>
      <c r="Q103" s="16"/>
      <c r="R103" s="16"/>
      <c r="S103" s="16"/>
      <c r="T103" s="16"/>
      <c r="U103" s="16"/>
      <c r="V103" s="16"/>
      <c r="W103" s="16"/>
      <c r="X103" s="16"/>
      <c r="Y103" s="16"/>
      <c r="Z103" s="16"/>
    </row>
    <row r="104">
      <c r="A104" s="16" t="str">
        <f>IFERROR(__xludf.DUMMYFUNCTION("""COMPUTED_VALUE"""),"Paradise Island")</f>
        <v>Paradise Island</v>
      </c>
      <c r="B104" s="16" t="str">
        <f>IFERROR(__xludf.DUMMYFUNCTION("""COMPUTED_VALUE"""),"In the ancient times when the world was still in its infancy, the gods of creation and nature joined their divine forces to bring forth a realm of unparalleled beauty and wonder known as Paradise Island. The gods' intentions were pure—to create a sanctuar"&amp;"y where mortal beings could experience the harmonious coexistence of nature and magic.
The island itself was a masterpiece of divine craftsmanship. Lush, vibrant landscapes sprawled across its expanse, each corner teeming with life that seemed to emanate"&amp;" from the very soul of the world. Towering trees, iridescent flora, and crystal-clear rivers painted a landscape so breathtaking that even the gods themselves found solace in its serenity.
At the heart of Paradise Island stood the Celestial Nexus, a colo"&amp;"ssal tree that served as the conduit between the mortal realm and the divine. Its roots delved deep into the earth, drawing sustenance from the very essence of creation, while its branches extended high into the heavens, touching the realm of the gods. Th"&amp;"e Celestial Nexus was a symbol of the island's magical balance, a beacon that bridged the mortal and the divine.
The island quickly became a haven for creatures of all kinds, both mortal and magical. Sentient beasts roamed freely, their lives intertwined"&amp;" with the intricate tapestry of the island's magic. The creatures of the island exuded an aura of enchantment, their very existence an expression of the gods' creative powers.
Mortal beings soon discovered the way to Paradise Island, drawn by legends of "&amp;"its unparalleled beauty and the promise of a life infused with magic. The island's inhabitants, guided by their deep connection to nature, embraced the newcomers, teaching them the ways of the land and the delicate balance that sustained it. Mortals were "&amp;"granted the gift of harnessing the island's magic, using it to heal, protect, and flourish.
For centuries, Paradise Island thrived as a sanctuary of unspoiled beauty and harmonious coexistence. Mortals and magical beings lived side by side, forging bonds"&amp;" of friendship and learning from each other. The island's magic allowed the mortals to live longer, healthier lives, and their connection to nature's energy deepened their understanding of the world's intricate web.
However, like all things of beauty, Pa"&amp;"radise Island's idyllic existence drew the attention of darker forces. A power-hungry sorcerer named Xaraxis sought to claim the island's magic for his own. Xaraxis, consumed by his ambition, unleashed forbidden spells that disrupted the balance of magic "&amp;"on the island. The Celestial Nexus, once a symbol of harmony, began to wither, its branches losing their glow, and its roots sapping the life force from the land.
A battle of epic proportions unfolded as the island's defenders, both mortal and magical, r"&amp;"allied against Xaraxis and his dark minions. The battle culminated in a cataclysmic clash, where the forces of light and darkness clashed in a maelstrom of magic and power. In the end, Xaraxis was defeated, but the cost was immense—the island's delicate e"&amp;"quilibrium was shattered.
The Celestial Nexus, weakened by the battle, emitted a final pulse of magic that enveloped the island in a shroud of energy. As a result, the island was isolated from the rest of the world, becoming a realm of its own, existing "&amp;"between reality and the ethereal. Time flowed differently on Paradise Island, and its inhabitants found themselves in a timeless pocket of existence.
Today, Paradise Island stands as a realm of untold magic and beauty, a sanctuary where the echoes of cre"&amp;"ation and the memories of a harmonious past still linger. Adventurers and seekers of arcane knowledge journey to the island in search of its hidden secrets, hoping to restore the Celestial Nexus and rekindle the island's lost harmony. The island's enchant"&amp;"ments remain, waiting to be rediscovered by those who dare to walk its shores and rekindle the legacy of its creation.")</f>
        <v>In the ancient times when the world was still in its infancy, the gods of creation and nature joined their divine forces to bring forth a realm of unparalleled beauty and wonder known as Paradise Island. The gods' intentions were pure—to create a sanctuary where mortal beings could experience the harmonious coexistence of nature and magic.
The island itself was a masterpiece of divine craftsmanship. Lush, vibrant landscapes sprawled across its expanse, each corner teeming with life that seemed to emanate from the very soul of the world. Towering trees, iridescent flora, and crystal-clear rivers painted a landscape so breathtaking that even the gods themselves found solace in its serenity.
At the heart of Paradise Island stood the Celestial Nexus, a colossal tree that served as the conduit between the mortal realm and the divine. Its roots delved deep into the earth, drawing sustenance from the very essence of creation, while its branches extended high into the heavens, touching the realm of the gods. The Celestial Nexus was a symbol of the island's magical balance, a beacon that bridged the mortal and the divine.
The island quickly became a haven for creatures of all kinds, both mortal and magical. Sentient beasts roamed freely, their lives intertwined with the intricate tapestry of the island's magic. The creatures of the island exuded an aura of enchantment, their very existence an expression of the gods' creative powers.
Mortal beings soon discovered the way to Paradise Island, drawn by legends of its unparalleled beauty and the promise of a life infused with magic. The island's inhabitants, guided by their deep connection to nature, embraced the newcomers, teaching them the ways of the land and the delicate balance that sustained it. Mortals were granted the gift of harnessing the island's magic, using it to heal, protect, and flourish.
For centuries, Paradise Island thrived as a sanctuary of unspoiled beauty and harmonious coexistence. Mortals and magical beings lived side by side, forging bonds of friendship and learning from each other. The island's magic allowed the mortals to live longer, healthier lives, and their connection to nature's energy deepened their understanding of the world's intricate web.
However, like all things of beauty, Paradise Island's idyllic existence drew the attention of darker forces. A power-hungry sorcerer named Xaraxis sought to claim the island's magic for his own. Xaraxis, consumed by his ambition, unleashed forbidden spells that disrupted the balance of magic on the island. The Celestial Nexus, once a symbol of harmony, began to wither, its branches losing their glow, and its roots sapping the life force from the land.
A battle of epic proportions unfolded as the island's defenders, both mortal and magical, rallied against Xaraxis and his dark minions. The battle culminated in a cataclysmic clash, where the forces of light and darkness clashed in a maelstrom of magic and power. In the end, Xaraxis was defeated, but the cost was immense—the island's delicate equilibrium was shattered.
The Celestial Nexus, weakened by the battle, emitted a final pulse of magic that enveloped the island in a shroud of energy. As a result, the island was isolated from the rest of the world, becoming a realm of its own, existing between reality and the ethereal. Time flowed differently on Paradise Island, and its inhabitants found themselves in a timeless pocket of existence.
Today, Paradise Island stands as a realm of untold magic and beauty, a sanctuary where the echoes of creation and the memories of a harmonious past still linger. Adventurers and seekers of arcane knowledge journey to the island in search of its hidden secrets, hoping to restore the Celestial Nexus and rekindle the island's lost harmony. The island's enchantments remain, waiting to be rediscovered by those who dare to walk its shores and rekindle the legacy of its creation.</v>
      </c>
      <c r="C104" s="16" t="str">
        <f>IFERROR(__xludf.DUMMYFUNCTION("""COMPUTED_VALUE"""),"Land of Spira")</f>
        <v>Land of Spira</v>
      </c>
      <c r="D104" s="16"/>
      <c r="E104" s="98">
        <f>IFERROR(__xludf.DUMMYFUNCTION("""COMPUTED_VALUE"""),1.0E9)</f>
        <v>1000000000</v>
      </c>
      <c r="F104" s="16" t="str">
        <f>IFERROR(__xludf.DUMMYFUNCTION("""COMPUTED_VALUE"""),"Gilder")</f>
        <v>Gilder</v>
      </c>
      <c r="G104" s="16"/>
      <c r="H104" s="16"/>
      <c r="I104" s="16"/>
      <c r="J104" s="16"/>
      <c r="K104" s="16"/>
      <c r="L104" s="16"/>
      <c r="M104" s="16"/>
      <c r="N104" s="16"/>
      <c r="O104" s="16"/>
      <c r="P104" s="16"/>
      <c r="Q104" s="16"/>
      <c r="R104" s="16"/>
      <c r="S104" s="16"/>
      <c r="T104" s="16"/>
      <c r="U104" s="16"/>
      <c r="V104" s="16"/>
      <c r="W104" s="16"/>
      <c r="X104" s="16"/>
      <c r="Y104" s="16"/>
      <c r="Z104" s="16"/>
    </row>
    <row r="105">
      <c r="A105" s="16" t="str">
        <f>IFERROR(__xludf.DUMMYFUNCTION("""COMPUTED_VALUE"""),"Pirate's Cove")</f>
        <v>Pirate's Cove</v>
      </c>
      <c r="B105" s="16" t="str">
        <f>IFERROR(__xludf.DUMMYFUNCTION("""COMPUTED_VALUE"""),"In the vast expanse of the ocean that stretches across The Land of Spira, there exists a secluded and treacherous haven known as Pirate's Cove. This cove, hidden within a labyrinth of jagged cliffs and tempestuous waters, has earned its reputation as a sa"&amp;"nctuary for pirates and a trove of immeasurable riches. But behind the glint of gold and the shimmer of gems lies a story steeped in daring feats, betrayals, and the eternal dance between freedom and consequence.
Long ago, when seafaring was an art of br"&amp;"avery and cunning, a band of rogues known as the Corsair's Guild sought to carve their legend upon the waves. Led by the enigmatic Captain Sable, the Corsairs embarked on a daring voyage to discover a secret haven where they could plot, plunder, and bask "&amp;"in the spoils of their illicit endeavors.
Through ancient maps and whispered tales, Captain Sable and his crew navigated treacherous currents and unforgiving storms until they stumbled upon the hidden cove. Flanked by towering cliffs that seemed to stret"&amp;"ch to the heavens, the entrance to Pirate's Cove was a narrow passage, only accessible to those who knew its secrets. The Corsairs carved their way through the stone, creating a secret lair that could house their ships, their treasures, and their darkest "&amp;"ambitions.
The cove quickly became a hub of piracy, attracting swashbucklers and cutthroats from every corner of the ocean. The Corsair's Guild established a code that governed their actions, ensuring a semblance of order amidst the chaos of their lawles"&amp;"s pursuits. The cove's natural defenses—treacherous currents, hidden reefs, and unpredictable weather—guarded the pirates from unwanted attention, making it nearly impossible for outsiders to breach their sanctuary.
Over the years, Pirate's Cove grew int"&amp;"o a thriving pirate haven, a raucous den of revelry, scheming, and camaraderie. The Corsair's Guild boasted a fearsome reputation, and their name struck fear into the hearts of merchants and monarchs alike. The cove's hidden chambers and passages were lad"&amp;"en with treasures from across the seas, and the legends of Pirate's Cove spread far and wide.
However, within the very shadows that concealed the Corsairs' loot, a storm of ambition and betrayal brewed. As Captain Sable grew older, factions within the gu"&amp;"ild vied for control. Rumors of treachery and whispered alliances fanned the flames of discord, leading to a climactic clash known as the Bloody Squall—a battle that raged within the cove itself. In the end, Captain Sable was betrayed by his most trusted "&amp;"lieutenant, and the Corsair's Guild splintered.
The cove, forever marked by the Bloody Squall, remains a hub of pirate activity to this day. The Corsair's Guild, now fractured into rival factions, competes for dominance over the cove's treasures and secr"&amp;"ets. Pirates from across the ocean still seek the fabled Pirate's Cove, drawn by the allure of riches beyond imagination and the chance to carve their own legacy upon the waves.
Adventurers and buccaneers alike now dare to navigate the treacherous waters"&amp;", braving the dangers of Pirate's Cove in search of legendary treasures, lost knowledge, and the whispers of Captain Sable's hidden hoard. The cove's legends persist, a tale of freedom and ambition, of blood and gold, echoing across the tides of time and "&amp;"the mysteries of the sea.")</f>
        <v>In the vast expanse of the ocean that stretches across The Land of Spira, there exists a secluded and treacherous haven known as Pirate's Cove. This cove, hidden within a labyrinth of jagged cliffs and tempestuous waters, has earned its reputation as a sanctuary for pirates and a trove of immeasurable riches. But behind the glint of gold and the shimmer of gems lies a story steeped in daring feats, betrayals, and the eternal dance between freedom and consequence.
Long ago, when seafaring was an art of bravery and cunning, a band of rogues known as the Corsair's Guild sought to carve their legend upon the waves. Led by the enigmatic Captain Sable, the Corsairs embarked on a daring voyage to discover a secret haven where they could plot, plunder, and bask in the spoils of their illicit endeavors.
Through ancient maps and whispered tales, Captain Sable and his crew navigated treacherous currents and unforgiving storms until they stumbled upon the hidden cove. Flanked by towering cliffs that seemed to stretch to the heavens, the entrance to Pirate's Cove was a narrow passage, only accessible to those who knew its secrets. The Corsairs carved their way through the stone, creating a secret lair that could house their ships, their treasures, and their darkest ambitions.
The cove quickly became a hub of piracy, attracting swashbucklers and cutthroats from every corner of the ocean. The Corsair's Guild established a code that governed their actions, ensuring a semblance of order amidst the chaos of their lawless pursuits. The cove's natural defenses—treacherous currents, hidden reefs, and unpredictable weather—guarded the pirates from unwanted attention, making it nearly impossible for outsiders to breach their sanctuary.
Over the years, Pirate's Cove grew into a thriving pirate haven, a raucous den of revelry, scheming, and camaraderie. The Corsair's Guild boasted a fearsome reputation, and their name struck fear into the hearts of merchants and monarchs alike. The cove's hidden chambers and passages were laden with treasures from across the seas, and the legends of Pirate's Cove spread far and wide.
However, within the very shadows that concealed the Corsairs' loot, a storm of ambition and betrayal brewed. As Captain Sable grew older, factions within the guild vied for control. Rumors of treachery and whispered alliances fanned the flames of discord, leading to a climactic clash known as the Bloody Squall—a battle that raged within the cove itself. In the end, Captain Sable was betrayed by his most trusted lieutenant, and the Corsair's Guild splintered.
The cove, forever marked by the Bloody Squall, remains a hub of pirate activity to this day. The Corsair's Guild, now fractured into rival factions, competes for dominance over the cove's treasures and secrets. Pirates from across the ocean still seek the fabled Pirate's Cove, drawn by the allure of riches beyond imagination and the chance to carve their own legacy upon the waves.
Adventurers and buccaneers alike now dare to navigate the treacherous waters, braving the dangers of Pirate's Cove in search of legendary treasures, lost knowledge, and the whispers of Captain Sable's hidden hoard. The cove's legends persist, a tale of freedom and ambition, of blood and gold, echoing across the tides of time and the mysteries of the sea.</v>
      </c>
      <c r="C105" s="16" t="str">
        <f>IFERROR(__xludf.DUMMYFUNCTION("""COMPUTED_VALUE"""),"Land of Spira")</f>
        <v>Land of Spira</v>
      </c>
      <c r="D105" s="16"/>
      <c r="E105" s="98">
        <f>IFERROR(__xludf.DUMMYFUNCTION("""COMPUTED_VALUE"""),1.0E9)</f>
        <v>1000000000</v>
      </c>
      <c r="F105" s="16" t="str">
        <f>IFERROR(__xludf.DUMMYFUNCTION("""COMPUTED_VALUE"""),"Gilder")</f>
        <v>Gilder</v>
      </c>
      <c r="G105" s="16"/>
      <c r="H105" s="16"/>
      <c r="I105" s="16"/>
      <c r="J105" s="16"/>
      <c r="K105" s="16"/>
      <c r="L105" s="16"/>
      <c r="M105" s="16"/>
      <c r="N105" s="16"/>
      <c r="O105" s="16"/>
      <c r="P105" s="16"/>
      <c r="Q105" s="16"/>
      <c r="R105" s="16"/>
      <c r="S105" s="16"/>
      <c r="T105" s="16"/>
      <c r="U105" s="16"/>
      <c r="V105" s="16"/>
      <c r="W105" s="16"/>
      <c r="X105" s="16"/>
      <c r="Y105" s="16"/>
      <c r="Z105" s="16"/>
    </row>
    <row r="106">
      <c r="A106" s="16" t="str">
        <f>IFERROR(__xludf.DUMMYFUNCTION("""COMPUTED_VALUE"""),"Candy Corn Village")</f>
        <v>Candy Corn Village</v>
      </c>
      <c r="B106" s="16"/>
      <c r="C106" s="16" t="str">
        <f>IFERROR(__xludf.DUMMYFUNCTION("""COMPUTED_VALUE"""),"Halloween Kingdom")</f>
        <v>Halloween Kingdom</v>
      </c>
      <c r="D106" s="16"/>
      <c r="E106" s="98">
        <f>IFERROR(__xludf.DUMMYFUNCTION("""COMPUTED_VALUE"""),1.0E9)</f>
        <v>1000000000</v>
      </c>
      <c r="F106" s="16" t="str">
        <f>IFERROR(__xludf.DUMMYFUNCTION("""COMPUTED_VALUE"""),"Gilder")</f>
        <v>Gilder</v>
      </c>
      <c r="G106" s="16"/>
      <c r="H106" s="16"/>
      <c r="I106" s="16"/>
      <c r="J106" s="16"/>
      <c r="K106" s="16"/>
      <c r="L106" s="16"/>
      <c r="M106" s="16"/>
      <c r="N106" s="16"/>
      <c r="O106" s="16"/>
      <c r="P106" s="16"/>
      <c r="Q106" s="16"/>
      <c r="R106" s="16"/>
      <c r="S106" s="16"/>
      <c r="T106" s="16"/>
      <c r="U106" s="16"/>
      <c r="V106" s="16"/>
      <c r="W106" s="16"/>
      <c r="X106" s="16"/>
      <c r="Y106" s="16"/>
      <c r="Z106" s="16"/>
    </row>
    <row r="107">
      <c r="A107" s="16" t="str">
        <f>IFERROR(__xludf.DUMMYFUNCTION("""COMPUTED_VALUE"""),"Atlotopia")</f>
        <v>Atlotopia</v>
      </c>
      <c r="B107" s="16" t="str">
        <f>IFERROR(__xludf.DUMMYFUNCTION("""COMPUTED_VALUE"""),"Currently Not Available, Under Development")</f>
        <v>Currently Not Available, Under Development</v>
      </c>
      <c r="C107" s="16" t="str">
        <f>IFERROR(__xludf.DUMMYFUNCTION("""COMPUTED_VALUE"""),"Dragonscale Island")</f>
        <v>Dragonscale Island</v>
      </c>
      <c r="D107" s="16"/>
      <c r="E107" s="98">
        <f>IFERROR(__xludf.DUMMYFUNCTION("""COMPUTED_VALUE"""),1.0E9)</f>
        <v>1000000000</v>
      </c>
      <c r="F107" s="16" t="str">
        <f>IFERROR(__xludf.DUMMYFUNCTION("""COMPUTED_VALUE"""),"Gilder")</f>
        <v>Gilder</v>
      </c>
      <c r="G107" s="16"/>
      <c r="H107" s="16"/>
      <c r="I107" s="16"/>
      <c r="J107" s="16"/>
      <c r="K107" s="16"/>
      <c r="L107" s="16"/>
      <c r="M107" s="16"/>
      <c r="N107" s="16"/>
      <c r="O107" s="16"/>
      <c r="P107" s="16"/>
      <c r="Q107" s="16"/>
      <c r="R107" s="16"/>
      <c r="S107" s="16"/>
      <c r="T107" s="16"/>
      <c r="U107" s="16"/>
      <c r="V107" s="16"/>
      <c r="W107" s="16"/>
      <c r="X107" s="16"/>
      <c r="Y107" s="16"/>
      <c r="Z107" s="16"/>
    </row>
    <row r="108">
      <c r="A108" s="16" t="str">
        <f>IFERROR(__xludf.DUMMYFUNCTION("""COMPUTED_VALUE"""),"Thanksgiving Island")</f>
        <v>Thanksgiving Island</v>
      </c>
      <c r="B108" s="16" t="str">
        <f>IFERROR(__xludf.DUMMYFUNCTION("""COMPUTED_VALUE"""),"Home to the Turkey Hydra and Pilgrims.")</f>
        <v>Home to the Turkey Hydra and Pilgrims.</v>
      </c>
      <c r="C108" s="16" t="str">
        <f>IFERROR(__xludf.DUMMYFUNCTION("""COMPUTED_VALUE"""),"Event Hub")</f>
        <v>Event Hub</v>
      </c>
      <c r="D108" s="16"/>
      <c r="E108" s="16"/>
      <c r="F108" s="16" t="str">
        <f>IFERROR(__xludf.DUMMYFUNCTION("""COMPUTED_VALUE"""),"Gilder")</f>
        <v>Gilder</v>
      </c>
      <c r="G108" s="16"/>
      <c r="H108" s="16"/>
      <c r="I108" s="16"/>
      <c r="J108" s="16"/>
      <c r="K108" s="16"/>
      <c r="L108" s="16"/>
      <c r="M108" s="16"/>
      <c r="N108" s="16"/>
      <c r="O108" s="16"/>
      <c r="P108" s="16"/>
      <c r="Q108" s="16"/>
      <c r="R108" s="16"/>
      <c r="S108" s="16"/>
      <c r="T108" s="16"/>
      <c r="U108" s="16"/>
      <c r="V108" s="16"/>
      <c r="W108" s="16"/>
      <c r="X108" s="16"/>
      <c r="Y108" s="16"/>
      <c r="Z108" s="16"/>
    </row>
    <row r="109">
      <c r="A109" s="16" t="str">
        <f>IFERROR(__xludf.DUMMYFUNCTION("""COMPUTED_VALUE"""),"Halloween Island")</f>
        <v>Halloween Island</v>
      </c>
      <c r="B109" s="16" t="str">
        <f>IFERROR(__xludf.DUMMYFUNCTION("""COMPUTED_VALUE"""),"Home to the Haunted Creatures of Spira")</f>
        <v>Home to the Haunted Creatures of Spira</v>
      </c>
      <c r="C109" s="16" t="str">
        <f>IFERROR(__xludf.DUMMYFUNCTION("""COMPUTED_VALUE"""),"Event Hub")</f>
        <v>Event Hub</v>
      </c>
      <c r="D109" s="16"/>
      <c r="E109" s="16"/>
      <c r="F109" s="16" t="str">
        <f>IFERROR(__xludf.DUMMYFUNCTION("""COMPUTED_VALUE"""),"Gilder")</f>
        <v>Gilder</v>
      </c>
      <c r="G109" s="16"/>
      <c r="H109" s="16"/>
      <c r="I109" s="16"/>
      <c r="J109" s="16"/>
      <c r="K109" s="16"/>
      <c r="L109" s="16"/>
      <c r="M109" s="16"/>
      <c r="N109" s="16"/>
      <c r="O109" s="16"/>
      <c r="P109" s="16"/>
      <c r="Q109" s="16"/>
      <c r="R109" s="16"/>
      <c r="S109" s="16"/>
      <c r="T109" s="16"/>
      <c r="U109" s="16"/>
      <c r="V109" s="16"/>
      <c r="W109" s="16"/>
      <c r="X109" s="16"/>
      <c r="Y109" s="16"/>
      <c r="Z109" s="16"/>
    </row>
    <row r="110">
      <c r="A110" s="16" t="str">
        <f>IFERROR(__xludf.DUMMYFUNCTION("""COMPUTED_VALUE"""),"The Frozen Island")</f>
        <v>The Frozen Island</v>
      </c>
      <c r="B110" s="16" t="str">
        <f>IFERROR(__xludf.DUMMYFUNCTION("""COMPUTED_VALUE"""),"Home to the all powerful Grand Ice Mage")</f>
        <v>Home to the all powerful Grand Ice Mage</v>
      </c>
      <c r="C110" s="16" t="str">
        <f>IFERROR(__xludf.DUMMYFUNCTION("""COMPUTED_VALUE"""),"Event Hub")</f>
        <v>Event Hub</v>
      </c>
      <c r="D110" s="16"/>
      <c r="E110" s="16"/>
      <c r="F110" s="16" t="str">
        <f>IFERROR(__xludf.DUMMYFUNCTION("""COMPUTED_VALUE"""),"Gilder")</f>
        <v>Gilder</v>
      </c>
      <c r="G110" s="16"/>
      <c r="H110" s="16"/>
      <c r="I110" s="16"/>
      <c r="J110" s="16"/>
      <c r="K110" s="16"/>
      <c r="L110" s="16"/>
      <c r="M110" s="16"/>
      <c r="N110" s="16"/>
      <c r="O110" s="16"/>
      <c r="P110" s="16"/>
      <c r="Q110" s="16"/>
      <c r="R110" s="16"/>
      <c r="S110" s="16"/>
      <c r="T110" s="16"/>
      <c r="U110" s="16"/>
      <c r="V110" s="16"/>
      <c r="W110" s="16"/>
      <c r="X110" s="16"/>
      <c r="Y110" s="16"/>
      <c r="Z110" s="16"/>
    </row>
    <row r="111">
      <c r="A111" s="16" t="str">
        <f>IFERROR(__xludf.DUMMYFUNCTION("""COMPUTED_VALUE"""),"Beltane Island")</f>
        <v>Beltane Island</v>
      </c>
      <c r="B111" s="16" t="str">
        <f>IFERROR(__xludf.DUMMYFUNCTION("""COMPUTED_VALUE"""),"Home to Faerie King Midhir.")</f>
        <v>Home to Faerie King Midhir.</v>
      </c>
      <c r="C111" s="16" t="str">
        <f>IFERROR(__xludf.DUMMYFUNCTION("""COMPUTED_VALUE"""),"Event Hub")</f>
        <v>Event Hub</v>
      </c>
      <c r="D111" s="16"/>
      <c r="E111" s="16"/>
      <c r="F111" s="16" t="str">
        <f>IFERROR(__xludf.DUMMYFUNCTION("""COMPUTED_VALUE"""),"Gilder")</f>
        <v>Gilder</v>
      </c>
      <c r="G111" s="16"/>
      <c r="H111" s="16"/>
      <c r="I111" s="16"/>
      <c r="J111" s="16"/>
      <c r="K111" s="16"/>
      <c r="L111" s="16"/>
      <c r="M111" s="16"/>
      <c r="N111" s="16"/>
      <c r="O111" s="16"/>
      <c r="P111" s="16"/>
      <c r="Q111" s="16"/>
      <c r="R111" s="16"/>
      <c r="S111" s="16"/>
      <c r="T111" s="16"/>
      <c r="U111" s="16"/>
      <c r="V111" s="16"/>
      <c r="W111" s="16"/>
      <c r="X111" s="16"/>
      <c r="Y111" s="16"/>
      <c r="Z111" s="16"/>
    </row>
    <row r="112">
      <c r="A112" s="16" t="str">
        <f>IFERROR(__xludf.DUMMYFUNCTION("""COMPUTED_VALUE"""),"Lughnasadh Island")</f>
        <v>Lughnasadh Island</v>
      </c>
      <c r="B112" s="16"/>
      <c r="C112" s="16" t="str">
        <f>IFERROR(__xludf.DUMMYFUNCTION("""COMPUTED_VALUE"""),"Event Hub")</f>
        <v>Event Hub</v>
      </c>
      <c r="D112" s="16"/>
      <c r="E112" s="16"/>
      <c r="F112" s="16" t="str">
        <f>IFERROR(__xludf.DUMMYFUNCTION("""COMPUTED_VALUE"""),"Gilder")</f>
        <v>Gilder</v>
      </c>
      <c r="G112" s="16"/>
      <c r="H112" s="16"/>
      <c r="I112" s="16"/>
      <c r="J112" s="16"/>
      <c r="K112" s="16"/>
      <c r="L112" s="16"/>
      <c r="M112" s="16"/>
      <c r="N112" s="16"/>
      <c r="O112" s="16"/>
      <c r="P112" s="16"/>
      <c r="Q112" s="16"/>
      <c r="R112" s="16"/>
      <c r="S112" s="16"/>
      <c r="T112" s="16"/>
      <c r="U112" s="16"/>
      <c r="V112" s="16"/>
      <c r="W112" s="16"/>
      <c r="X112" s="16"/>
      <c r="Y112" s="16"/>
      <c r="Z112" s="16"/>
    </row>
    <row r="113">
      <c r="A113" s="16" t="str">
        <f>IFERROR(__xludf.DUMMYFUNCTION("""COMPUTED_VALUE"""),"Stormy Island")</f>
        <v>Stormy Island</v>
      </c>
      <c r="B113" s="16" t="str">
        <f>IFERROR(__xludf.DUMMYFUNCTION("""COMPUTED_VALUE"""),"Home to the Natural Disaster Boss")</f>
        <v>Home to the Natural Disaster Boss</v>
      </c>
      <c r="C113" s="16" t="str">
        <f>IFERROR(__xludf.DUMMYFUNCTION("""COMPUTED_VALUE"""),"Event Hub")</f>
        <v>Event Hub</v>
      </c>
      <c r="D113" s="16"/>
      <c r="E113" s="16"/>
      <c r="F113" s="16" t="str">
        <f>IFERROR(__xludf.DUMMYFUNCTION("""COMPUTED_VALUE"""),"Gilder")</f>
        <v>Gilder</v>
      </c>
      <c r="G113" s="16"/>
      <c r="H113" s="16"/>
      <c r="I113" s="16"/>
      <c r="J113" s="16"/>
      <c r="K113" s="16"/>
      <c r="L113" s="16"/>
      <c r="M113" s="16"/>
      <c r="N113" s="16"/>
      <c r="O113" s="16"/>
      <c r="P113" s="16"/>
      <c r="Q113" s="16"/>
      <c r="R113" s="16"/>
      <c r="S113" s="16"/>
      <c r="T113" s="16"/>
      <c r="U113" s="16"/>
      <c r="V113" s="16"/>
      <c r="W113" s="16"/>
      <c r="X113" s="16"/>
      <c r="Y113" s="16"/>
      <c r="Z113" s="16"/>
    </row>
    <row r="114">
      <c r="A114" s="16" t="str">
        <f>IFERROR(__xludf.DUMMYFUNCTION("""COMPUTED_VALUE"""),"Swampy Island")</f>
        <v>Swampy Island</v>
      </c>
      <c r="B114" s="16" t="str">
        <f>IFERROR(__xludf.DUMMYFUNCTION("""COMPUTED_VALUE"""),"Home to Diseased and Poisonous Creatures of Spira")</f>
        <v>Home to Diseased and Poisonous Creatures of Spira</v>
      </c>
      <c r="C114" s="16" t="str">
        <f>IFERROR(__xludf.DUMMYFUNCTION("""COMPUTED_VALUE"""),"Event Hub")</f>
        <v>Event Hub</v>
      </c>
      <c r="D114" s="16"/>
      <c r="E114" s="16"/>
      <c r="F114" s="16" t="str">
        <f>IFERROR(__xludf.DUMMYFUNCTION("""COMPUTED_VALUE"""),"Gilder")</f>
        <v>Gilder</v>
      </c>
      <c r="G114" s="16"/>
      <c r="H114" s="16"/>
      <c r="I114" s="16"/>
      <c r="J114" s="16"/>
      <c r="K114" s="16"/>
      <c r="L114" s="16"/>
      <c r="M114" s="16"/>
      <c r="N114" s="16"/>
      <c r="O114" s="16"/>
      <c r="P114" s="16"/>
      <c r="Q114" s="16"/>
      <c r="R114" s="16"/>
      <c r="S114" s="16"/>
      <c r="T114" s="16"/>
      <c r="U114" s="16"/>
      <c r="V114" s="16"/>
      <c r="W114" s="16"/>
      <c r="X114" s="16"/>
      <c r="Y114" s="16"/>
      <c r="Z114" s="16"/>
    </row>
    <row r="115">
      <c r="A115" s="16" t="str">
        <f>IFERROR(__xludf.DUMMYFUNCTION("""COMPUTED_VALUE"""),"Lunar New Year Island")</f>
        <v>Lunar New Year Island</v>
      </c>
      <c r="B115" s="16" t="str">
        <f>IFERROR(__xludf.DUMMYFUNCTION("""COMPUTED_VALUE"""),"An island to celebrate asian culture")</f>
        <v>An island to celebrate asian culture</v>
      </c>
      <c r="C115" s="16" t="str">
        <f>IFERROR(__xludf.DUMMYFUNCTION("""COMPUTED_VALUE"""),"Event Hub")</f>
        <v>Event Hub</v>
      </c>
      <c r="D115" s="16"/>
      <c r="E115" s="16"/>
      <c r="F115" s="16" t="str">
        <f>IFERROR(__xludf.DUMMYFUNCTION("""COMPUTED_VALUE"""),"Gilder")</f>
        <v>Gilder</v>
      </c>
      <c r="G115" s="16"/>
      <c r="H115" s="16"/>
      <c r="I115" s="16"/>
      <c r="J115" s="16"/>
      <c r="K115" s="16"/>
      <c r="L115" s="16"/>
      <c r="M115" s="16"/>
      <c r="N115" s="16"/>
      <c r="O115" s="16"/>
      <c r="P115" s="16"/>
      <c r="Q115" s="16"/>
      <c r="R115" s="16"/>
      <c r="S115" s="16"/>
      <c r="T115" s="16"/>
      <c r="U115" s="16"/>
      <c r="V115" s="16"/>
      <c r="W115" s="16"/>
      <c r="X115" s="16"/>
      <c r="Y115" s="16"/>
      <c r="Z115" s="16"/>
    </row>
    <row r="116">
      <c r="A116" s="16" t="str">
        <f>IFERROR(__xludf.DUMMYFUNCTION("""COMPUTED_VALUE"""),"Wilderness (Spira)")</f>
        <v>Wilderness (Spira)</v>
      </c>
      <c r="B116" s="16" t="str">
        <f>IFERROR(__xludf.DUMMYFUNCTION("""COMPUTED_VALUE"""),"The less notable lands of the world.")</f>
        <v>The less notable lands of the world.</v>
      </c>
      <c r="C116" s="16" t="str">
        <f>IFERROR(__xludf.DUMMYFUNCTION("""COMPUTED_VALUE"""),"Land of Spira")</f>
        <v>Land of Spira</v>
      </c>
      <c r="D116" s="16"/>
      <c r="E116" s="16"/>
      <c r="F116" s="16" t="str">
        <f>IFERROR(__xludf.DUMMYFUNCTION("""COMPUTED_VALUE"""),"Gilder")</f>
        <v>Gilder</v>
      </c>
      <c r="G116" s="16"/>
      <c r="H116" s="16"/>
      <c r="I116" s="16"/>
      <c r="J116" s="16"/>
      <c r="K116" s="16"/>
      <c r="L116" s="16"/>
      <c r="M116" s="16"/>
      <c r="N116" s="16"/>
      <c r="O116" s="16"/>
      <c r="P116" s="16"/>
      <c r="Q116" s="16"/>
      <c r="R116" s="16"/>
      <c r="S116" s="16"/>
      <c r="T116" s="16"/>
      <c r="U116" s="16"/>
      <c r="V116" s="16"/>
      <c r="W116" s="16"/>
      <c r="X116" s="16"/>
      <c r="Y116" s="16"/>
      <c r="Z116" s="16"/>
    </row>
    <row r="117">
      <c r="A117" s="16" t="str">
        <f>IFERROR(__xludf.DUMMYFUNCTION("""COMPUTED_VALUE"""),"Wilderness (DragonScale)")</f>
        <v>Wilderness (DragonScale)</v>
      </c>
      <c r="B117" s="16" t="str">
        <f>IFERROR(__xludf.DUMMYFUNCTION("""COMPUTED_VALUE"""),"The less notable lands of the world.")</f>
        <v>The less notable lands of the world.</v>
      </c>
      <c r="C117" s="16" t="str">
        <f>IFERROR(__xludf.DUMMYFUNCTION("""COMPUTED_VALUE"""),"Dragonscale Island")</f>
        <v>Dragonscale Island</v>
      </c>
      <c r="D117" s="16"/>
      <c r="E117" s="16"/>
      <c r="F117" s="16" t="str">
        <f>IFERROR(__xludf.DUMMYFUNCTION("""COMPUTED_VALUE"""),"Gilder")</f>
        <v>Gilder</v>
      </c>
      <c r="G117" s="16"/>
      <c r="H117" s="16"/>
      <c r="I117" s="16"/>
      <c r="J117" s="16"/>
      <c r="K117" s="16"/>
      <c r="L117" s="16"/>
      <c r="M117" s="16"/>
      <c r="N117" s="16"/>
      <c r="O117" s="16"/>
      <c r="P117" s="16"/>
      <c r="Q117" s="16"/>
      <c r="R117" s="16"/>
      <c r="S117" s="16"/>
      <c r="T117" s="16"/>
      <c r="U117" s="16"/>
      <c r="V117" s="16"/>
      <c r="W117" s="16"/>
      <c r="X117" s="16"/>
      <c r="Y117" s="16"/>
      <c r="Z117" s="16"/>
    </row>
    <row r="118">
      <c r="A118" s="16" t="str">
        <f>IFERROR(__xludf.DUMMYFUNCTION("""COMPUTED_VALUE"""),"Wilderness (Abstara)")</f>
        <v>Wilderness (Abstara)</v>
      </c>
      <c r="B118" s="16" t="str">
        <f>IFERROR(__xludf.DUMMYFUNCTION("""COMPUTED_VALUE"""),"The less notable lands of the world.")</f>
        <v>The less notable lands of the world.</v>
      </c>
      <c r="C118" s="16" t="str">
        <f>IFERROR(__xludf.DUMMYFUNCTION("""COMPUTED_VALUE"""),"Abstara")</f>
        <v>Abstara</v>
      </c>
      <c r="D118" s="16"/>
      <c r="E118" s="16"/>
      <c r="F118" s="16" t="str">
        <f>IFERROR(__xludf.DUMMYFUNCTION("""COMPUTED_VALUE"""),"Gilder")</f>
        <v>Gilder</v>
      </c>
      <c r="G118" s="16"/>
      <c r="H118" s="16"/>
      <c r="I118" s="16"/>
      <c r="J118" s="16"/>
      <c r="K118" s="16"/>
      <c r="L118" s="16"/>
      <c r="M118" s="16"/>
      <c r="N118" s="16"/>
      <c r="O118" s="16"/>
      <c r="P118" s="16"/>
      <c r="Q118" s="16"/>
      <c r="R118" s="16"/>
      <c r="S118" s="16"/>
      <c r="T118" s="16"/>
      <c r="U118" s="16"/>
      <c r="V118" s="16"/>
      <c r="W118" s="16"/>
      <c r="X118" s="16"/>
      <c r="Y118" s="16"/>
      <c r="Z118" s="16"/>
    </row>
    <row r="119">
      <c r="A119" s="16" t="str">
        <f>IFERROR(__xludf.DUMMYFUNCTION("""COMPUTED_VALUE"""),"Wilderness (Solreach)")</f>
        <v>Wilderness (Solreach)</v>
      </c>
      <c r="B119" s="16" t="str">
        <f>IFERROR(__xludf.DUMMYFUNCTION("""COMPUTED_VALUE"""),"The less notable lands of the world.")</f>
        <v>The less notable lands of the world.</v>
      </c>
      <c r="C119" s="16" t="str">
        <f>IFERROR(__xludf.DUMMYFUNCTION("""COMPUTED_VALUE"""),"Solreach")</f>
        <v>Solreach</v>
      </c>
      <c r="D119" s="16"/>
      <c r="E119" s="16"/>
      <c r="F119" s="16" t="str">
        <f>IFERROR(__xludf.DUMMYFUNCTION("""COMPUTED_VALUE"""),"Gilder")</f>
        <v>Gilder</v>
      </c>
      <c r="G119" s="16"/>
      <c r="H119" s="16"/>
      <c r="I119" s="16"/>
      <c r="J119" s="16"/>
      <c r="K119" s="16"/>
      <c r="L119" s="16"/>
      <c r="M119" s="16"/>
      <c r="N119" s="16"/>
      <c r="O119" s="16"/>
      <c r="P119" s="16"/>
      <c r="Q119" s="16"/>
      <c r="R119" s="16"/>
      <c r="S119" s="16"/>
      <c r="T119" s="16"/>
      <c r="U119" s="16"/>
      <c r="V119" s="16"/>
      <c r="W119" s="16"/>
      <c r="X119" s="16"/>
      <c r="Y119" s="16"/>
      <c r="Z119" s="16"/>
    </row>
    <row r="120">
      <c r="A120" s="16" t="str">
        <f>IFERROR(__xludf.DUMMYFUNCTION("""COMPUTED_VALUE"""),"Angel Wing Village")</f>
        <v>Angel Wing Village</v>
      </c>
      <c r="B120" s="16"/>
      <c r="C120" s="16" t="str">
        <f>IFERROR(__xludf.DUMMYFUNCTION("""COMPUTED_VALUE"""),"Solreach")</f>
        <v>Solreach</v>
      </c>
      <c r="D120" s="16"/>
      <c r="E120" s="16"/>
      <c r="F120" s="16" t="str">
        <f>IFERROR(__xludf.DUMMYFUNCTION("""COMPUTED_VALUE"""),"Gilder")</f>
        <v>Gilder</v>
      </c>
      <c r="G120" s="16"/>
      <c r="H120" s="16"/>
      <c r="I120" s="16"/>
      <c r="J120" s="16"/>
      <c r="K120" s="16"/>
      <c r="L120" s="16"/>
      <c r="M120" s="16"/>
      <c r="N120" s="16"/>
      <c r="O120" s="16"/>
      <c r="P120" s="16"/>
      <c r="Q120" s="16"/>
      <c r="R120" s="16"/>
      <c r="S120" s="16"/>
      <c r="T120" s="16"/>
      <c r="U120" s="16"/>
      <c r="V120" s="16"/>
      <c r="W120" s="16"/>
      <c r="X120" s="16"/>
      <c r="Y120" s="16"/>
      <c r="Z120" s="16"/>
    </row>
    <row r="121">
      <c r="A121" s="16" t="str">
        <f>IFERROR(__xludf.DUMMYFUNCTION("""COMPUTED_VALUE"""),"Atmos")</f>
        <v>Atmos</v>
      </c>
      <c r="B121" s="16"/>
      <c r="C121" s="16" t="str">
        <f>IFERROR(__xludf.DUMMYFUNCTION("""COMPUTED_VALUE"""),"Solreach")</f>
        <v>Solreach</v>
      </c>
      <c r="D121" s="16"/>
      <c r="E121" s="16"/>
      <c r="F121" s="16" t="str">
        <f>IFERROR(__xludf.DUMMYFUNCTION("""COMPUTED_VALUE"""),"Gilder")</f>
        <v>Gilder</v>
      </c>
      <c r="G121" s="16"/>
      <c r="H121" s="16"/>
      <c r="I121" s="16"/>
      <c r="J121" s="16"/>
      <c r="K121" s="16"/>
      <c r="L121" s="16"/>
      <c r="M121" s="16"/>
      <c r="N121" s="16"/>
      <c r="O121" s="16"/>
      <c r="P121" s="16"/>
      <c r="Q121" s="16"/>
      <c r="R121" s="16"/>
      <c r="S121" s="16"/>
      <c r="T121" s="16"/>
      <c r="U121" s="16"/>
      <c r="V121" s="16"/>
      <c r="W121" s="16"/>
      <c r="X121" s="16"/>
      <c r="Y121" s="16"/>
      <c r="Z121" s="16"/>
    </row>
    <row r="122">
      <c r="A122" s="16" t="str">
        <f>IFERROR(__xludf.DUMMYFUNCTION("""COMPUTED_VALUE"""),"Council Grounds")</f>
        <v>Council Grounds</v>
      </c>
      <c r="B122" s="16"/>
      <c r="C122" s="16" t="str">
        <f>IFERROR(__xludf.DUMMYFUNCTION("""COMPUTED_VALUE"""),"Solreach")</f>
        <v>Solreach</v>
      </c>
      <c r="D122" s="16"/>
      <c r="E122" s="16"/>
      <c r="F122" s="16" t="str">
        <f>IFERROR(__xludf.DUMMYFUNCTION("""COMPUTED_VALUE"""),"Gilder")</f>
        <v>Gilder</v>
      </c>
      <c r="G122" s="16"/>
      <c r="H122" s="16"/>
      <c r="I122" s="16"/>
      <c r="J122" s="16"/>
      <c r="K122" s="16"/>
      <c r="L122" s="16"/>
      <c r="M122" s="16"/>
      <c r="N122" s="16"/>
      <c r="O122" s="16"/>
      <c r="P122" s="16"/>
      <c r="Q122" s="16"/>
      <c r="R122" s="16"/>
      <c r="S122" s="16"/>
      <c r="T122" s="16"/>
      <c r="U122" s="16"/>
      <c r="V122" s="16"/>
      <c r="W122" s="16"/>
      <c r="X122" s="16"/>
      <c r="Y122" s="16"/>
      <c r="Z122" s="16"/>
    </row>
    <row r="123">
      <c r="A123" s="16" t="str">
        <f>IFERROR(__xludf.DUMMYFUNCTION("""COMPUTED_VALUE"""),"Godsville")</f>
        <v>Godsville</v>
      </c>
      <c r="B123" s="16"/>
      <c r="C123" s="16" t="str">
        <f>IFERROR(__xludf.DUMMYFUNCTION("""COMPUTED_VALUE"""),"Solreach")</f>
        <v>Solreach</v>
      </c>
      <c r="D123" s="16"/>
      <c r="E123" s="16"/>
      <c r="F123" s="16" t="str">
        <f>IFERROR(__xludf.DUMMYFUNCTION("""COMPUTED_VALUE"""),"Gilder")</f>
        <v>Gilder</v>
      </c>
      <c r="G123" s="16"/>
      <c r="H123" s="16"/>
      <c r="I123" s="16"/>
      <c r="J123" s="16"/>
      <c r="K123" s="16"/>
      <c r="L123" s="16"/>
      <c r="M123" s="16"/>
      <c r="N123" s="16"/>
      <c r="O123" s="16"/>
      <c r="P123" s="16"/>
      <c r="Q123" s="16"/>
      <c r="R123" s="16"/>
      <c r="S123" s="16"/>
      <c r="T123" s="16"/>
      <c r="U123" s="16"/>
      <c r="V123" s="16"/>
      <c r="W123" s="16"/>
      <c r="X123" s="16"/>
      <c r="Y123" s="16"/>
      <c r="Z123" s="16"/>
    </row>
    <row r="124">
      <c r="A124" s="16" t="str">
        <f>IFERROR(__xludf.DUMMYFUNCTION("""COMPUTED_VALUE"""),"Imperos")</f>
        <v>Imperos</v>
      </c>
      <c r="B124" s="16"/>
      <c r="C124" s="16" t="str">
        <f>IFERROR(__xludf.DUMMYFUNCTION("""COMPUTED_VALUE"""),"Solreach")</f>
        <v>Solreach</v>
      </c>
      <c r="D124" s="16"/>
      <c r="E124" s="16"/>
      <c r="F124" s="16" t="str">
        <f>IFERROR(__xludf.DUMMYFUNCTION("""COMPUTED_VALUE"""),"Gilder")</f>
        <v>Gilder</v>
      </c>
      <c r="G124" s="16"/>
      <c r="H124" s="16"/>
      <c r="I124" s="16"/>
      <c r="J124" s="16"/>
      <c r="K124" s="16"/>
      <c r="L124" s="16"/>
      <c r="M124" s="16"/>
      <c r="N124" s="16"/>
      <c r="O124" s="16"/>
      <c r="P124" s="16"/>
      <c r="Q124" s="16"/>
      <c r="R124" s="16"/>
      <c r="S124" s="16"/>
      <c r="T124" s="16"/>
      <c r="U124" s="16"/>
      <c r="V124" s="16"/>
      <c r="W124" s="16"/>
      <c r="X124" s="16"/>
      <c r="Y124" s="16"/>
      <c r="Z124" s="16"/>
    </row>
    <row r="125">
      <c r="A125" s="16" t="str">
        <f>IFERROR(__xludf.DUMMYFUNCTION("""COMPUTED_VALUE"""),"Lower Fortress")</f>
        <v>Lower Fortress</v>
      </c>
      <c r="B125" s="16"/>
      <c r="C125" s="16" t="str">
        <f>IFERROR(__xludf.DUMMYFUNCTION("""COMPUTED_VALUE"""),"Solreach")</f>
        <v>Solreach</v>
      </c>
      <c r="D125" s="16"/>
      <c r="E125" s="16"/>
      <c r="F125" s="16" t="str">
        <f>IFERROR(__xludf.DUMMYFUNCTION("""COMPUTED_VALUE"""),"Gilder")</f>
        <v>Gilder</v>
      </c>
      <c r="G125" s="16"/>
      <c r="H125" s="16"/>
      <c r="I125" s="16"/>
      <c r="J125" s="16"/>
      <c r="K125" s="16"/>
      <c r="L125" s="16"/>
      <c r="M125" s="16"/>
      <c r="N125" s="16"/>
      <c r="O125" s="16"/>
      <c r="P125" s="16"/>
      <c r="Q125" s="16"/>
      <c r="R125" s="16"/>
      <c r="S125" s="16"/>
      <c r="T125" s="16"/>
      <c r="U125" s="16"/>
      <c r="V125" s="16"/>
      <c r="W125" s="16"/>
      <c r="X125" s="16"/>
      <c r="Y125" s="16"/>
      <c r="Z125" s="16"/>
    </row>
    <row r="126">
      <c r="A126" s="16" t="str">
        <f>IFERROR(__xludf.DUMMYFUNCTION("""COMPUTED_VALUE"""),"Upper Fortress")</f>
        <v>Upper Fortress</v>
      </c>
      <c r="B126" s="16"/>
      <c r="C126" s="16" t="str">
        <f>IFERROR(__xludf.DUMMYFUNCTION("""COMPUTED_VALUE"""),"Solreach")</f>
        <v>Solreach</v>
      </c>
      <c r="D126" s="16"/>
      <c r="E126" s="16"/>
      <c r="F126" s="16" t="str">
        <f>IFERROR(__xludf.DUMMYFUNCTION("""COMPUTED_VALUE"""),"Gilder")</f>
        <v>Gilder</v>
      </c>
      <c r="G126" s="16"/>
      <c r="H126" s="16"/>
      <c r="I126" s="16"/>
      <c r="J126" s="16"/>
      <c r="K126" s="16"/>
      <c r="L126" s="16"/>
      <c r="M126" s="16"/>
      <c r="N126" s="16"/>
      <c r="O126" s="16"/>
      <c r="P126" s="16"/>
      <c r="Q126" s="16"/>
      <c r="R126" s="16"/>
      <c r="S126" s="16"/>
      <c r="T126" s="16"/>
      <c r="U126" s="16"/>
      <c r="V126" s="16"/>
      <c r="W126" s="16"/>
      <c r="X126" s="16"/>
      <c r="Y126" s="16"/>
      <c r="Z126" s="16"/>
    </row>
    <row r="127">
      <c r="A127" s="16" t="str">
        <f>IFERROR(__xludf.DUMMYFUNCTION("""COMPUTED_VALUE"""),"New Circos")</f>
        <v>New Circos</v>
      </c>
      <c r="B127" s="16"/>
      <c r="C127" s="16" t="str">
        <f>IFERROR(__xludf.DUMMYFUNCTION("""COMPUTED_VALUE"""),"Solreach")</f>
        <v>Solreach</v>
      </c>
      <c r="D127" s="16"/>
      <c r="E127" s="16"/>
      <c r="F127" s="16" t="str">
        <f>IFERROR(__xludf.DUMMYFUNCTION("""COMPUTED_VALUE"""),"Gilder")</f>
        <v>Gilder</v>
      </c>
      <c r="G127" s="16"/>
      <c r="H127" s="16"/>
      <c r="I127" s="16"/>
      <c r="J127" s="16"/>
      <c r="K127" s="16"/>
      <c r="L127" s="16"/>
      <c r="M127" s="16"/>
      <c r="N127" s="16"/>
      <c r="O127" s="16"/>
      <c r="P127" s="16"/>
      <c r="Q127" s="16"/>
      <c r="R127" s="16"/>
      <c r="S127" s="16"/>
      <c r="T127" s="16"/>
      <c r="U127" s="16"/>
      <c r="V127" s="16"/>
      <c r="W127" s="16"/>
      <c r="X127" s="16"/>
      <c r="Y127" s="16"/>
      <c r="Z127" s="16"/>
    </row>
    <row r="128">
      <c r="A128" s="16" t="str">
        <f>IFERROR(__xludf.DUMMYFUNCTION("""COMPUTED_VALUE"""),"Nova Volaris")</f>
        <v>Nova Volaris</v>
      </c>
      <c r="B128" s="16"/>
      <c r="C128" s="16" t="str">
        <f>IFERROR(__xludf.DUMMYFUNCTION("""COMPUTED_VALUE"""),"Solreach")</f>
        <v>Solreach</v>
      </c>
      <c r="D128" s="16"/>
      <c r="E128" s="16"/>
      <c r="F128" s="16" t="str">
        <f>IFERROR(__xludf.DUMMYFUNCTION("""COMPUTED_VALUE"""),"Gilder")</f>
        <v>Gilder</v>
      </c>
      <c r="G128" s="16"/>
      <c r="H128" s="16"/>
      <c r="I128" s="16"/>
      <c r="J128" s="16"/>
      <c r="K128" s="16"/>
      <c r="L128" s="16"/>
      <c r="M128" s="16"/>
      <c r="N128" s="16"/>
      <c r="O128" s="16"/>
      <c r="P128" s="16"/>
      <c r="Q128" s="16"/>
      <c r="R128" s="16"/>
      <c r="S128" s="16"/>
      <c r="T128" s="16"/>
      <c r="U128" s="16"/>
      <c r="V128" s="16"/>
      <c r="W128" s="16"/>
      <c r="X128" s="16"/>
      <c r="Y128" s="16"/>
      <c r="Z128" s="16"/>
    </row>
    <row r="129">
      <c r="A129" s="16" t="str">
        <f>IFERROR(__xludf.DUMMYFUNCTION("""COMPUTED_VALUE"""),"Sonus")</f>
        <v>Sonus</v>
      </c>
      <c r="B129" s="16"/>
      <c r="C129" s="16" t="str">
        <f>IFERROR(__xludf.DUMMYFUNCTION("""COMPUTED_VALUE"""),"Solreach")</f>
        <v>Solreach</v>
      </c>
      <c r="D129" s="16"/>
      <c r="E129" s="16"/>
      <c r="F129" s="16" t="str">
        <f>IFERROR(__xludf.DUMMYFUNCTION("""COMPUTED_VALUE"""),"Gilder")</f>
        <v>Gilder</v>
      </c>
      <c r="G129" s="16"/>
      <c r="H129" s="16"/>
      <c r="I129" s="16"/>
      <c r="J129" s="16"/>
      <c r="K129" s="16"/>
      <c r="L129" s="16"/>
      <c r="M129" s="16"/>
      <c r="N129" s="16"/>
      <c r="O129" s="16"/>
      <c r="P129" s="16"/>
      <c r="Q129" s="16"/>
      <c r="R129" s="16"/>
      <c r="S129" s="16"/>
      <c r="T129" s="16"/>
      <c r="U129" s="16"/>
      <c r="V129" s="16"/>
      <c r="W129" s="16"/>
      <c r="X129" s="16"/>
      <c r="Y129" s="16"/>
      <c r="Z129" s="16"/>
    </row>
    <row r="130">
      <c r="A130" s="16" t="str">
        <f>IFERROR(__xludf.DUMMYFUNCTION("""COMPUTED_VALUE"""),"The City of Cetheoth")</f>
        <v>The City of Cetheoth</v>
      </c>
      <c r="B130" s="16"/>
      <c r="C130" s="16" t="str">
        <f>IFERROR(__xludf.DUMMYFUNCTION("""COMPUTED_VALUE"""),"Solreach")</f>
        <v>Solreach</v>
      </c>
      <c r="D130" s="16"/>
      <c r="E130" s="16"/>
      <c r="F130" s="16" t="str">
        <f>IFERROR(__xludf.DUMMYFUNCTION("""COMPUTED_VALUE"""),"Gilder")</f>
        <v>Gilder</v>
      </c>
      <c r="G130" s="16"/>
      <c r="H130" s="16"/>
      <c r="I130" s="16"/>
      <c r="J130" s="16"/>
      <c r="K130" s="16"/>
      <c r="L130" s="16"/>
      <c r="M130" s="16"/>
      <c r="N130" s="16"/>
      <c r="O130" s="16"/>
      <c r="P130" s="16"/>
      <c r="Q130" s="16"/>
      <c r="R130" s="16"/>
      <c r="S130" s="16"/>
      <c r="T130" s="16"/>
      <c r="U130" s="16"/>
      <c r="V130" s="16"/>
      <c r="W130" s="16"/>
      <c r="X130" s="16"/>
      <c r="Y130" s="16"/>
      <c r="Z130" s="16"/>
    </row>
    <row r="131">
      <c r="A131" s="16" t="str">
        <f>IFERROR(__xludf.DUMMYFUNCTION("""COMPUTED_VALUE"""),"The City of Ebain")</f>
        <v>The City of Ebain</v>
      </c>
      <c r="B131" s="16"/>
      <c r="C131" s="16" t="str">
        <f>IFERROR(__xludf.DUMMYFUNCTION("""COMPUTED_VALUE"""),"Solreach")</f>
        <v>Solreach</v>
      </c>
      <c r="D131" s="16"/>
      <c r="E131" s="16"/>
      <c r="F131" s="16" t="str">
        <f>IFERROR(__xludf.DUMMYFUNCTION("""COMPUTED_VALUE"""),"Gilder")</f>
        <v>Gilder</v>
      </c>
      <c r="G131" s="16"/>
      <c r="H131" s="16"/>
      <c r="I131" s="16"/>
      <c r="J131" s="16"/>
      <c r="K131" s="16"/>
      <c r="L131" s="16"/>
      <c r="M131" s="16"/>
      <c r="N131" s="16"/>
      <c r="O131" s="16"/>
      <c r="P131" s="16"/>
      <c r="Q131" s="16"/>
      <c r="R131" s="16"/>
      <c r="S131" s="16"/>
      <c r="T131" s="16"/>
      <c r="U131" s="16"/>
      <c r="V131" s="16"/>
      <c r="W131" s="16"/>
      <c r="X131" s="16"/>
      <c r="Y131" s="16"/>
      <c r="Z131" s="16"/>
    </row>
    <row r="132">
      <c r="A132" s="16" t="str">
        <f>IFERROR(__xludf.DUMMYFUNCTION("""COMPUTED_VALUE"""),"The City of Nonnaih")</f>
        <v>The City of Nonnaih</v>
      </c>
      <c r="B132" s="16"/>
      <c r="C132" s="16" t="str">
        <f>IFERROR(__xludf.DUMMYFUNCTION("""COMPUTED_VALUE"""),"Solreach")</f>
        <v>Solreach</v>
      </c>
      <c r="D132" s="16"/>
      <c r="E132" s="16"/>
      <c r="F132" s="16" t="str">
        <f>IFERROR(__xludf.DUMMYFUNCTION("""COMPUTED_VALUE"""),"Gilder")</f>
        <v>Gilder</v>
      </c>
      <c r="G132" s="16"/>
      <c r="H132" s="16"/>
      <c r="I132" s="16"/>
      <c r="J132" s="16"/>
      <c r="K132" s="16"/>
      <c r="L132" s="16"/>
      <c r="M132" s="16"/>
      <c r="N132" s="16"/>
      <c r="O132" s="16"/>
      <c r="P132" s="16"/>
      <c r="Q132" s="16"/>
      <c r="R132" s="16"/>
      <c r="S132" s="16"/>
      <c r="T132" s="16"/>
      <c r="U132" s="16"/>
      <c r="V132" s="16"/>
      <c r="W132" s="16"/>
      <c r="X132" s="16"/>
      <c r="Y132" s="16"/>
      <c r="Z132" s="16"/>
    </row>
    <row r="133">
      <c r="A133" s="16" t="str">
        <f>IFERROR(__xludf.DUMMYFUNCTION("""COMPUTED_VALUE"""),"The City of Sheopria")</f>
        <v>The City of Sheopria</v>
      </c>
      <c r="B133" s="16"/>
      <c r="C133" s="16" t="str">
        <f>IFERROR(__xludf.DUMMYFUNCTION("""COMPUTED_VALUE"""),"Solreach")</f>
        <v>Solreach</v>
      </c>
      <c r="D133" s="16"/>
      <c r="E133" s="16"/>
      <c r="F133" s="16" t="str">
        <f>IFERROR(__xludf.DUMMYFUNCTION("""COMPUTED_VALUE"""),"Gilder")</f>
        <v>Gilder</v>
      </c>
      <c r="G133" s="16"/>
      <c r="H133" s="16"/>
      <c r="I133" s="16"/>
      <c r="J133" s="16"/>
      <c r="K133" s="16"/>
      <c r="L133" s="16"/>
      <c r="M133" s="16"/>
      <c r="N133" s="16"/>
      <c r="O133" s="16"/>
      <c r="P133" s="16"/>
      <c r="Q133" s="16"/>
      <c r="R133" s="16"/>
      <c r="S133" s="16"/>
      <c r="T133" s="16"/>
      <c r="U133" s="16"/>
      <c r="V133" s="16"/>
      <c r="W133" s="16"/>
      <c r="X133" s="16"/>
      <c r="Y133" s="16"/>
      <c r="Z133" s="16"/>
    </row>
    <row r="134">
      <c r="A134" s="16" t="str">
        <f>IFERROR(__xludf.DUMMYFUNCTION("""COMPUTED_VALUE"""),"Ventis")</f>
        <v>Ventis</v>
      </c>
      <c r="B134" s="16"/>
      <c r="C134" s="16" t="str">
        <f>IFERROR(__xludf.DUMMYFUNCTION("""COMPUTED_VALUE"""),"Solreach")</f>
        <v>Solreach</v>
      </c>
      <c r="D134" s="16"/>
      <c r="E134" s="16"/>
      <c r="F134" s="16" t="str">
        <f>IFERROR(__xludf.DUMMYFUNCTION("""COMPUTED_VALUE"""),"Gilder")</f>
        <v>Gilder</v>
      </c>
      <c r="G134" s="16"/>
      <c r="H134" s="16"/>
      <c r="I134" s="16"/>
      <c r="J134" s="16"/>
      <c r="K134" s="16"/>
      <c r="L134" s="16"/>
      <c r="M134" s="16"/>
      <c r="N134" s="16"/>
      <c r="O134" s="16"/>
      <c r="P134" s="16"/>
      <c r="Q134" s="16"/>
      <c r="R134" s="16"/>
      <c r="S134" s="16"/>
      <c r="T134" s="16"/>
      <c r="U134" s="16"/>
      <c r="V134" s="16"/>
      <c r="W134" s="16"/>
      <c r="X134" s="16"/>
      <c r="Y134" s="16"/>
      <c r="Z134" s="16"/>
    </row>
    <row r="135">
      <c r="A135" s="16" t="str">
        <f>IFERROR(__xludf.DUMMYFUNCTION("""COMPUTED_VALUE"""),"Volance")</f>
        <v>Volance</v>
      </c>
      <c r="B135" s="16"/>
      <c r="C135" s="16" t="str">
        <f>IFERROR(__xludf.DUMMYFUNCTION("""COMPUTED_VALUE"""),"Solreach")</f>
        <v>Solreach</v>
      </c>
      <c r="D135" s="16"/>
      <c r="E135" s="16"/>
      <c r="F135" s="16" t="str">
        <f>IFERROR(__xludf.DUMMYFUNCTION("""COMPUTED_VALUE"""),"Gilder")</f>
        <v>Gilder</v>
      </c>
      <c r="G135" s="16"/>
      <c r="H135" s="16"/>
      <c r="I135" s="16"/>
      <c r="J135" s="16"/>
      <c r="K135" s="16"/>
      <c r="L135" s="16"/>
      <c r="M135" s="16"/>
      <c r="N135" s="16"/>
      <c r="O135" s="16"/>
      <c r="P135" s="16"/>
      <c r="Q135" s="16"/>
      <c r="R135" s="16"/>
      <c r="S135" s="16"/>
      <c r="T135" s="16"/>
      <c r="U135" s="16"/>
      <c r="V135" s="16"/>
      <c r="W135" s="16"/>
      <c r="X135" s="16"/>
      <c r="Y135" s="16"/>
      <c r="Z135" s="16"/>
    </row>
    <row r="136">
      <c r="A136" s="16" t="str">
        <f>IFERROR(__xludf.DUMMYFUNCTION("""COMPUTED_VALUE"""),"Easter Island")</f>
        <v>Easter Island</v>
      </c>
      <c r="B136" s="16" t="str">
        <f>IFERROR(__xludf.DUMMYFUNCTION("""COMPUTED_VALUE"""),"Home to the Easter Boss")</f>
        <v>Home to the Easter Boss</v>
      </c>
      <c r="C136" s="16" t="str">
        <f>IFERROR(__xludf.DUMMYFUNCTION("""COMPUTED_VALUE"""),"Event Hub")</f>
        <v>Event Hub</v>
      </c>
      <c r="D136" s="16"/>
      <c r="E136" s="16"/>
      <c r="F136" s="16" t="str">
        <f>IFERROR(__xludf.DUMMYFUNCTION("""COMPUTED_VALUE"""),"Gilder")</f>
        <v>Gilder</v>
      </c>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t="str">
        <f>IFERROR(__xludf.DUMMYFUNCTION("""COMPUTED_VALUE"""),"Gilder")</f>
        <v>Gilder</v>
      </c>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t="str">
        <f>IFERROR(__xludf.DUMMYFUNCTION("""COMPUTED_VALUE"""),"Gilder")</f>
        <v>Gilder</v>
      </c>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t="str">
        <f>IFERROR(__xludf.DUMMYFUNCTION("""COMPUTED_VALUE"""),"Gilder")</f>
        <v>Gilder</v>
      </c>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t="str">
        <f>IFERROR(__xludf.DUMMYFUNCTION("""COMPUTED_VALUE"""),"Gilder")</f>
        <v>Gilder</v>
      </c>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t="str">
        <f>IFERROR(__xludf.DUMMYFUNCTION("""COMPUTED_VALUE"""),"Gilder")</f>
        <v>Gilder</v>
      </c>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t="str">
        <f>IFERROR(__xludf.DUMMYFUNCTION("""COMPUTED_VALUE"""),"Gilder")</f>
        <v>Gilder</v>
      </c>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t="str">
        <f>IFERROR(__xludf.DUMMYFUNCTION("""COMPUTED_VALUE"""),"Gilder")</f>
        <v>Gilder</v>
      </c>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t="str">
        <f>IFERROR(__xludf.DUMMYFUNCTION("""COMPUTED_VALUE"""),"Gilder")</f>
        <v>Gilder</v>
      </c>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t="str">
        <f>IFERROR(__xludf.DUMMYFUNCTION("""COMPUTED_VALUE"""),"Gilder")</f>
        <v>Gilder</v>
      </c>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t="str">
        <f>IFERROR(__xludf.DUMMYFUNCTION("""COMPUTED_VALUE"""),"Gilder")</f>
        <v>Gilder</v>
      </c>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t="str">
        <f>IFERROR(__xludf.DUMMYFUNCTION("""COMPUTED_VALUE"""),"Gilder")</f>
        <v>Gilder</v>
      </c>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t="str">
        <f>IFERROR(__xludf.DUMMYFUNCTION("""COMPUTED_VALUE"""),"Gilder")</f>
        <v>Gilder</v>
      </c>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t="str">
        <f>IFERROR(__xludf.DUMMYFUNCTION("""COMPUTED_VALUE"""),"Gilder")</f>
        <v>Gilder</v>
      </c>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t="str">
        <f>IFERROR(__xludf.DUMMYFUNCTION("""COMPUTED_VALUE"""),"Gilder")</f>
        <v>Gilder</v>
      </c>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t="str">
        <f>IFERROR(__xludf.DUMMYFUNCTION("""COMPUTED_VALUE"""),"Gilder")</f>
        <v>Gilder</v>
      </c>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t="str">
        <f>IFERROR(__xludf.DUMMYFUNCTION("""COMPUTED_VALUE"""),"Gilder")</f>
        <v>Gilder</v>
      </c>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t="str">
        <f>IFERROR(__xludf.DUMMYFUNCTION("""COMPUTED_VALUE"""),"Gilder")</f>
        <v>Gilder</v>
      </c>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t="str">
        <f>IFERROR(__xludf.DUMMYFUNCTION("""COMPUTED_VALUE"""),"Gilder")</f>
        <v>Gilder</v>
      </c>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t="str">
        <f>IFERROR(__xludf.DUMMYFUNCTION("""COMPUTED_VALUE"""),"Gilder")</f>
        <v>Gilder</v>
      </c>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t="str">
        <f>IFERROR(__xludf.DUMMYFUNCTION("""COMPUTED_VALUE"""),"Gilder")</f>
        <v>Gilder</v>
      </c>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t="str">
        <f>IFERROR(__xludf.DUMMYFUNCTION("""COMPUTED_VALUE"""),"Gilder")</f>
        <v>Gilder</v>
      </c>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IFERROR(__xludf.DUMMYFUNCTION("QUERY(Towns!$A$2:$F1000,""Select A where C contains 'Land of Spira'"")"),"Blackhorn")</f>
        <v>Blackhorn</v>
      </c>
    </row>
    <row r="2">
      <c r="A2" s="16" t="str">
        <f>IFERROR(__xludf.DUMMYFUNCTION("""COMPUTED_VALUE"""),"Chaotic Seas")</f>
        <v>Chaotic Seas</v>
      </c>
    </row>
    <row r="3">
      <c r="A3" s="16" t="str">
        <f>IFERROR(__xludf.DUMMYFUNCTION("""COMPUTED_VALUE"""),"Civille")</f>
        <v>Civille</v>
      </c>
    </row>
    <row r="4">
      <c r="A4" s="16" t="str">
        <f>IFERROR(__xludf.DUMMYFUNCTION("""COMPUTED_VALUE"""),"Crystal Cave")</f>
        <v>Crystal Cave</v>
      </c>
    </row>
    <row r="5">
      <c r="A5" s="16" t="str">
        <f>IFERROR(__xludf.DUMMYFUNCTION("""COMPUTED_VALUE"""),"Cursed Iceland")</f>
        <v>Cursed Iceland</v>
      </c>
    </row>
    <row r="6">
      <c r="A6" s="16" t="str">
        <f>IFERROR(__xludf.DUMMYFUNCTION("""COMPUTED_VALUE"""),"Dead Forest")</f>
        <v>Dead Forest</v>
      </c>
    </row>
    <row r="7">
      <c r="A7" s="16" t="str">
        <f>IFERROR(__xludf.DUMMYFUNCTION("""COMPUTED_VALUE"""),"Desert island")</f>
        <v>Desert island</v>
      </c>
    </row>
    <row r="8">
      <c r="A8" s="16" t="str">
        <f>IFERROR(__xludf.DUMMYFUNCTION("""COMPUTED_VALUE"""),"Docile Plains")</f>
        <v>Docile Plains</v>
      </c>
    </row>
    <row r="9">
      <c r="A9" s="16" t="str">
        <f>IFERROR(__xludf.DUMMYFUNCTION("""COMPUTED_VALUE"""),"Dryland Desert")</f>
        <v>Dryland Desert</v>
      </c>
    </row>
    <row r="10">
      <c r="A10" s="16" t="str">
        <f>IFERROR(__xludf.DUMMYFUNCTION("""COMPUTED_VALUE"""),"Dryland Mesa")</f>
        <v>Dryland Mesa</v>
      </c>
    </row>
    <row r="11">
      <c r="A11" s="16" t="str">
        <f>IFERROR(__xludf.DUMMYFUNCTION("""COMPUTED_VALUE"""),"Fertile Plains")</f>
        <v>Fertile Plains</v>
      </c>
    </row>
    <row r="12">
      <c r="A12" s="16" t="str">
        <f>IFERROR(__xludf.DUMMYFUNCTION("""COMPUTED_VALUE"""),"Fire Tiki Mountain")</f>
        <v>Fire Tiki Mountain</v>
      </c>
    </row>
    <row r="13">
      <c r="A13" s="16" t="str">
        <f>IFERROR(__xludf.DUMMYFUNCTION("""COMPUTED_VALUE"""),"Forest View")</f>
        <v>Forest View</v>
      </c>
    </row>
    <row r="14">
      <c r="A14" s="16" t="str">
        <f>IFERROR(__xludf.DUMMYFUNCTION("""COMPUTED_VALUE"""),"Foul Night Swamp")</f>
        <v>Foul Night Swamp</v>
      </c>
    </row>
    <row r="15">
      <c r="A15" s="16" t="str">
        <f>IFERROR(__xludf.DUMMYFUNCTION("""COMPUTED_VALUE"""),"Northern Frozen Terrain")</f>
        <v>Northern Frozen Terrain</v>
      </c>
    </row>
    <row r="16">
      <c r="A16" s="16" t="str">
        <f>IFERROR(__xludf.DUMMYFUNCTION("""COMPUTED_VALUE"""),"Eastern Frozen Terrain")</f>
        <v>Eastern Frozen Terrain</v>
      </c>
    </row>
    <row r="17">
      <c r="A17" s="16" t="str">
        <f>IFERROR(__xludf.DUMMYFUNCTION("""COMPUTED_VALUE"""),"Western Frozen Terrain")</f>
        <v>Western Frozen Terrain</v>
      </c>
    </row>
    <row r="18">
      <c r="A18" s="16" t="str">
        <f>IFERROR(__xludf.DUMMYFUNCTION("""COMPUTED_VALUE"""),"Frozen Forest (Southern Frozen Terrain)")</f>
        <v>Frozen Forest (Southern Frozen Terrain)</v>
      </c>
    </row>
    <row r="19">
      <c r="A19" s="16" t="str">
        <f>IFERROR(__xludf.DUMMYFUNCTION("""COMPUTED_VALUE"""),"Hallowtown ")</f>
        <v>Hallowtown </v>
      </c>
    </row>
    <row r="20">
      <c r="A20" s="16" t="str">
        <f>IFERROR(__xludf.DUMMYFUNCTION("""COMPUTED_VALUE"""),"Heatmore Jungle")</f>
        <v>Heatmore Jungle</v>
      </c>
    </row>
    <row r="21">
      <c r="A21" s="16" t="str">
        <f>IFERROR(__xludf.DUMMYFUNCTION("""COMPUTED_VALUE"""),"Jungle Of Miss Direction")</f>
        <v>Jungle Of Miss Direction</v>
      </c>
    </row>
    <row r="22">
      <c r="A22" s="16" t="str">
        <f>IFERROR(__xludf.DUMMYFUNCTION("""COMPUTED_VALUE"""),"Jungle Of Shadows")</f>
        <v>Jungle Of Shadows</v>
      </c>
    </row>
    <row r="23">
      <c r="A23" s="16" t="str">
        <f>IFERROR(__xludf.DUMMYFUNCTION("""COMPUTED_VALUE"""),"Lake Town")</f>
        <v>Lake Town</v>
      </c>
    </row>
    <row r="24">
      <c r="A24" s="16" t="str">
        <f>IFERROR(__xludf.DUMMYFUNCTION("""COMPUTED_VALUE"""),"Mekana")</f>
        <v>Mekana</v>
      </c>
    </row>
    <row r="25">
      <c r="A25" s="16" t="str">
        <f>IFERROR(__xludf.DUMMYFUNCTION("""COMPUTED_VALUE"""),"Mountains Of Peace And Harmony")</f>
        <v>Mountains Of Peace And Harmony</v>
      </c>
    </row>
    <row r="26">
      <c r="A26" s="16" t="str">
        <f>IFERROR(__xludf.DUMMYFUNCTION("""COMPUTED_VALUE"""),"Mt. Fury (Locked)")</f>
        <v>Mt. Fury (Locked)</v>
      </c>
    </row>
    <row r="27">
      <c r="A27" s="16" t="str">
        <f>IFERROR(__xludf.DUMMYFUNCTION("""COMPUTED_VALUE"""),"Pond City")</f>
        <v>Pond City</v>
      </c>
    </row>
    <row r="28">
      <c r="A28" s="16" t="str">
        <f>IFERROR(__xludf.DUMMYFUNCTION("""COMPUTED_VALUE"""),"Port Fawn")</f>
        <v>Port Fawn</v>
      </c>
    </row>
    <row r="29">
      <c r="A29" s="16" t="str">
        <f>IFERROR(__xludf.DUMMYFUNCTION("""COMPUTED_VALUE"""),"Royal Woodlands")</f>
        <v>Royal Woodlands</v>
      </c>
    </row>
    <row r="30">
      <c r="A30" s="16" t="str">
        <f>IFERROR(__xludf.DUMMYFUNCTION("""COMPUTED_VALUE"""),"Ruins Of Mana")</f>
        <v>Ruins Of Mana</v>
      </c>
    </row>
    <row r="31">
      <c r="A31" s="16" t="str">
        <f>IFERROR(__xludf.DUMMYFUNCTION("""COMPUTED_VALUE"""),"Ship Graveyard")</f>
        <v>Ship Graveyard</v>
      </c>
    </row>
    <row r="32">
      <c r="A32" s="16" t="str">
        <f>IFERROR(__xludf.DUMMYFUNCTION("""COMPUTED_VALUE"""),"Silence Edge Point")</f>
        <v>Silence Edge Point</v>
      </c>
    </row>
    <row r="33">
      <c r="A33" s="16" t="str">
        <f>IFERROR(__xludf.DUMMYFUNCTION("""COMPUTED_VALUE"""),"Swampville")</f>
        <v>Swampville</v>
      </c>
    </row>
    <row r="34">
      <c r="A34" s="16" t="str">
        <f>IFERROR(__xludf.DUMMYFUNCTION("""COMPUTED_VALUE"""),"Temple Of Dawn")</f>
        <v>Temple Of Dawn</v>
      </c>
    </row>
    <row r="35">
      <c r="A35" s="16" t="str">
        <f>IFERROR(__xludf.DUMMYFUNCTION("""COMPUTED_VALUE"""),"Temple Of The Rising Sun")</f>
        <v>Temple Of The Rising Sun</v>
      </c>
    </row>
    <row r="36">
      <c r="A36" s="16" t="str">
        <f>IFERROR(__xludf.DUMMYFUNCTION("""COMPUTED_VALUE"""),"Temple Of The Rising Moon")</f>
        <v>Temple Of The Rising Moon</v>
      </c>
    </row>
    <row r="37">
      <c r="A37" s="16" t="str">
        <f>IFERROR(__xludf.DUMMYFUNCTION("""COMPUTED_VALUE"""),"Temple Of Dusk")</f>
        <v>Temple Of Dusk</v>
      </c>
    </row>
    <row r="38">
      <c r="A38" s="16" t="str">
        <f>IFERROR(__xludf.DUMMYFUNCTION("""COMPUTED_VALUE"""),"The Corrupt Forest")</f>
        <v>The Corrupt Forest</v>
      </c>
    </row>
    <row r="39">
      <c r="A39" s="16" t="str">
        <f>IFERROR(__xludf.DUMMYFUNCTION("""COMPUTED_VALUE"""),"The Hidden Forest Of Celeste")</f>
        <v>The Hidden Forest Of Celeste</v>
      </c>
    </row>
    <row r="40">
      <c r="A40" s="16" t="str">
        <f>IFERROR(__xludf.DUMMYFUNCTION("""COMPUTED_VALUE"""),"The Red Sands")</f>
        <v>The Red Sands</v>
      </c>
    </row>
    <row r="41">
      <c r="A41" s="16" t="str">
        <f>IFERROR(__xludf.DUMMYFUNCTION("""COMPUTED_VALUE"""),"The Submerged City Of Tritonoch")</f>
        <v>The Submerged City Of Tritonoch</v>
      </c>
    </row>
    <row r="42">
      <c r="A42" s="16" t="str">
        <f>IFERROR(__xludf.DUMMYFUNCTION("""COMPUTED_VALUE"""),"Tower Of Secret Mages")</f>
        <v>Tower Of Secret Mages</v>
      </c>
    </row>
    <row r="43">
      <c r="A43" s="16" t="str">
        <f>IFERROR(__xludf.DUMMYFUNCTION("""COMPUTED_VALUE"""),"WildWood")</f>
        <v>WildWood</v>
      </c>
    </row>
    <row r="44">
      <c r="A44" s="16" t="str">
        <f>IFERROR(__xludf.DUMMYFUNCTION("""COMPUTED_VALUE"""),"The World Tree of Spira")</f>
        <v>The World Tree of Spira</v>
      </c>
    </row>
    <row r="45">
      <c r="A45" s="16" t="str">
        <f>IFERROR(__xludf.DUMMYFUNCTION("""COMPUTED_VALUE"""),"Zhenmay")</f>
        <v>Zhenmay</v>
      </c>
    </row>
    <row r="46">
      <c r="A46" s="16" t="str">
        <f>IFERROR(__xludf.DUMMYFUNCTION("""COMPUTED_VALUE"""),"The Magical and Majestic Mountains")</f>
        <v>The Magical and Majestic Mountains</v>
      </c>
    </row>
    <row r="47">
      <c r="A47" s="16" t="str">
        <f>IFERROR(__xludf.DUMMYFUNCTION("""COMPUTED_VALUE"""),"Magical Mountains of Manifestations")</f>
        <v>Magical Mountains of Manifestations</v>
      </c>
    </row>
    <row r="48">
      <c r="A48" s="16" t="str">
        <f>IFERROR(__xludf.DUMMYFUNCTION("""COMPUTED_VALUE"""),"Mountains of War and Dishonor ")</f>
        <v>Mountains of War and Dishonor </v>
      </c>
    </row>
    <row r="49">
      <c r="A49" s="16" t="str">
        <f>IFERROR(__xludf.DUMMYFUNCTION("""COMPUTED_VALUE"""),"Centraria")</f>
        <v>Centraria</v>
      </c>
    </row>
    <row r="50">
      <c r="A50" s="16" t="str">
        <f>IFERROR(__xludf.DUMMYFUNCTION("""COMPUTED_VALUE"""),"The Lost City of Knappadalr")</f>
        <v>The Lost City of Knappadalr</v>
      </c>
    </row>
    <row r="51">
      <c r="A51" s="16" t="str">
        <f>IFERROR(__xludf.DUMMYFUNCTION("""COMPUTED_VALUE"""),"Paradise Island")</f>
        <v>Paradise Island</v>
      </c>
    </row>
    <row r="52">
      <c r="A52" s="16" t="str">
        <f>IFERROR(__xludf.DUMMYFUNCTION("""COMPUTED_VALUE"""),"Pirate's Cove")</f>
        <v>Pirate's Cove</v>
      </c>
    </row>
    <row r="53">
      <c r="A53" s="16" t="str">
        <f>IFERROR(__xludf.DUMMYFUNCTION("""COMPUTED_VALUE"""),"Wilderness (Spira)")</f>
        <v>Wilderness (Spira)</v>
      </c>
    </row>
  </sheetData>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6" t="str">
        <f>IFERROR(__xludf.DUMMYFUNCTION("IMPORTRANGE(""https://docs.google.com/spreadsheets/d/""&amp;Config!B1,""MoneyRates!A:B"")"),"Gilder")</f>
        <v>Gilder</v>
      </c>
      <c r="B1" s="16">
        <f>IFERROR(__xludf.DUMMYFUNCTION("""COMPUTED_VALUE"""),1.0)</f>
        <v>1</v>
      </c>
    </row>
    <row r="2">
      <c r="A2" s="16" t="str">
        <f>IFERROR(__xludf.DUMMYFUNCTION("""COMPUTED_VALUE"""),"SeaCoin")</f>
        <v>SeaCoin</v>
      </c>
      <c r="B2" s="16">
        <f>IFERROR(__xludf.DUMMYFUNCTION("""COMPUTED_VALUE"""),1.0)</f>
        <v>1</v>
      </c>
    </row>
    <row r="3">
      <c r="A3" s="16" t="str">
        <f>IFERROR(__xludf.DUMMYFUNCTION("""COMPUTED_VALUE"""),"Crystal")</f>
        <v>Crystal</v>
      </c>
      <c r="B3" s="16">
        <f>IFERROR(__xludf.DUMMYFUNCTION("""COMPUTED_VALUE"""),1.0)</f>
        <v>1</v>
      </c>
    </row>
    <row r="4">
      <c r="A4" s="16" t="str">
        <f>IFERROR(__xludf.DUMMYFUNCTION("""COMPUTED_VALUE"""),"Frost")</f>
        <v>Frost</v>
      </c>
      <c r="B4" s="16">
        <f>IFERROR(__xludf.DUMMYFUNCTION("""COMPUTED_VALUE"""),1.0)</f>
        <v>1</v>
      </c>
    </row>
    <row r="5">
      <c r="A5" s="16" t="str">
        <f>IFERROR(__xludf.DUMMYFUNCTION("""COMPUTED_VALUE"""),"UndeadCoin")</f>
        <v>UndeadCoin</v>
      </c>
      <c r="B5" s="16">
        <f>IFERROR(__xludf.DUMMYFUNCTION("""COMPUTED_VALUE"""),1.0)</f>
        <v>1</v>
      </c>
    </row>
    <row r="6">
      <c r="A6" s="16" t="str">
        <f>IFERROR(__xludf.DUMMYFUNCTION("""COMPUTED_VALUE"""),"Halloween")</f>
        <v>Halloween</v>
      </c>
      <c r="B6" s="16">
        <f>IFERROR(__xludf.DUMMYFUNCTION("""COMPUTED_VALUE"""),1.0)</f>
        <v>1</v>
      </c>
    </row>
    <row r="7">
      <c r="A7" s="16" t="str">
        <f>IFERROR(__xludf.DUMMYFUNCTION("""COMPUTED_VALUE"""),"Soul")</f>
        <v>Soul</v>
      </c>
      <c r="B7" s="16">
        <f>IFERROR(__xludf.DUMMYFUNCTION("""COMPUTED_VALUE"""),1.0)</f>
        <v>1</v>
      </c>
    </row>
    <row r="8">
      <c r="A8" s="16"/>
      <c r="B8" s="16"/>
    </row>
    <row r="9">
      <c r="A9" s="16"/>
      <c r="B9" s="16"/>
    </row>
    <row r="10">
      <c r="A10" s="16"/>
      <c r="B10" s="16"/>
    </row>
    <row r="11">
      <c r="A11" s="16"/>
      <c r="B11" s="16"/>
    </row>
    <row r="12">
      <c r="A12" s="16"/>
      <c r="B12" s="16"/>
    </row>
    <row r="13">
      <c r="A13" s="16"/>
      <c r="B13" s="16"/>
    </row>
    <row r="14">
      <c r="A14" s="16"/>
      <c r="B14" s="16"/>
    </row>
    <row r="15">
      <c r="A15" s="16"/>
      <c r="B15" s="16"/>
    </row>
    <row r="16">
      <c r="A16" s="16"/>
      <c r="B16" s="16"/>
    </row>
    <row r="17">
      <c r="A17" s="16"/>
      <c r="B17" s="16"/>
    </row>
    <row r="18">
      <c r="A18" s="16"/>
      <c r="B18" s="16"/>
    </row>
    <row r="19">
      <c r="A19" s="16"/>
      <c r="B19" s="16"/>
    </row>
    <row r="20">
      <c r="A20" s="16"/>
      <c r="B20" s="16"/>
    </row>
    <row r="21">
      <c r="A21" s="16"/>
      <c r="B21" s="16"/>
    </row>
    <row r="22">
      <c r="A22" s="16"/>
      <c r="B22" s="16"/>
    </row>
    <row r="23">
      <c r="A23" s="16"/>
      <c r="B23" s="16"/>
    </row>
    <row r="24">
      <c r="A24" s="16"/>
      <c r="B24" s="16"/>
    </row>
    <row r="25">
      <c r="A25" s="16"/>
      <c r="B25" s="16"/>
    </row>
    <row r="26">
      <c r="A26" s="16"/>
      <c r="B26" s="16"/>
    </row>
    <row r="27">
      <c r="A27" s="16"/>
      <c r="B27" s="16"/>
    </row>
    <row r="28">
      <c r="A28" s="16"/>
      <c r="B28" s="16"/>
    </row>
    <row r="29">
      <c r="A29" s="16"/>
      <c r="B29" s="16"/>
    </row>
    <row r="30">
      <c r="A30" s="16"/>
      <c r="B30" s="16"/>
    </row>
    <row r="31">
      <c r="A31" s="16"/>
      <c r="B31" s="16"/>
    </row>
    <row r="32">
      <c r="A32" s="16"/>
      <c r="B32" s="16"/>
    </row>
    <row r="33">
      <c r="A33" s="16"/>
      <c r="B33" s="16"/>
    </row>
    <row r="34">
      <c r="A34" s="16"/>
      <c r="B34" s="16"/>
    </row>
    <row r="35">
      <c r="A35" s="16"/>
      <c r="B35" s="16"/>
    </row>
    <row r="36">
      <c r="A36" s="16"/>
      <c r="B36" s="16"/>
    </row>
    <row r="37">
      <c r="A37" s="16"/>
      <c r="B37" s="16"/>
    </row>
    <row r="38">
      <c r="A38" s="16"/>
      <c r="B38" s="16"/>
    </row>
    <row r="39">
      <c r="A39" s="16"/>
      <c r="B39" s="16"/>
    </row>
    <row r="40">
      <c r="A40" s="16"/>
      <c r="B40" s="16"/>
    </row>
    <row r="41">
      <c r="A41" s="16"/>
      <c r="B41" s="16"/>
    </row>
    <row r="42">
      <c r="A42" s="16"/>
      <c r="B42" s="16"/>
    </row>
    <row r="43">
      <c r="A43" s="16"/>
      <c r="B43" s="16"/>
    </row>
    <row r="44">
      <c r="A44" s="16"/>
      <c r="B44" s="16"/>
    </row>
    <row r="45">
      <c r="A45" s="16"/>
      <c r="B45" s="16"/>
    </row>
    <row r="46">
      <c r="A46" s="16"/>
      <c r="B46" s="16"/>
    </row>
    <row r="47">
      <c r="A47" s="16"/>
      <c r="B47" s="16"/>
    </row>
    <row r="48">
      <c r="A48" s="16"/>
      <c r="B48" s="16"/>
    </row>
    <row r="49">
      <c r="A49" s="16"/>
      <c r="B49" s="16"/>
    </row>
    <row r="50">
      <c r="A50" s="16"/>
      <c r="B50" s="16"/>
    </row>
    <row r="51">
      <c r="A51" s="16"/>
      <c r="B51" s="16"/>
    </row>
    <row r="52">
      <c r="A52" s="16"/>
      <c r="B52" s="16"/>
    </row>
    <row r="53">
      <c r="A53" s="16"/>
      <c r="B53" s="16"/>
    </row>
    <row r="54">
      <c r="A54" s="16"/>
      <c r="B54" s="16"/>
    </row>
    <row r="55">
      <c r="A55" s="16"/>
      <c r="B55" s="16"/>
    </row>
    <row r="56">
      <c r="A56" s="16"/>
      <c r="B56" s="16"/>
    </row>
    <row r="57">
      <c r="A57" s="16"/>
      <c r="B57" s="16"/>
    </row>
    <row r="58">
      <c r="A58" s="16"/>
      <c r="B58" s="16"/>
    </row>
    <row r="59">
      <c r="A59" s="16"/>
      <c r="B59" s="16"/>
    </row>
    <row r="60">
      <c r="A60" s="16"/>
      <c r="B60" s="16"/>
    </row>
    <row r="61">
      <c r="A61" s="16"/>
      <c r="B61" s="16"/>
    </row>
    <row r="62">
      <c r="A62" s="16"/>
      <c r="B62" s="16"/>
    </row>
    <row r="63">
      <c r="A63" s="16"/>
      <c r="B63" s="16"/>
    </row>
    <row r="64">
      <c r="A64" s="16"/>
      <c r="B64" s="16"/>
    </row>
    <row r="65">
      <c r="A65" s="16"/>
      <c r="B65" s="16"/>
    </row>
    <row r="66">
      <c r="A66" s="16"/>
      <c r="B66" s="16"/>
    </row>
    <row r="67">
      <c r="A67" s="16"/>
      <c r="B67" s="16"/>
    </row>
    <row r="68">
      <c r="A68" s="16"/>
      <c r="B68" s="16"/>
    </row>
    <row r="69">
      <c r="A69" s="16"/>
      <c r="B69" s="16"/>
    </row>
    <row r="70">
      <c r="A70" s="16"/>
      <c r="B70" s="16"/>
    </row>
    <row r="71">
      <c r="A71" s="16"/>
      <c r="B71" s="16"/>
    </row>
    <row r="72">
      <c r="A72" s="16"/>
      <c r="B72" s="16"/>
    </row>
    <row r="73">
      <c r="A73" s="16"/>
      <c r="B73" s="16"/>
    </row>
    <row r="74">
      <c r="A74" s="16"/>
      <c r="B74" s="16"/>
    </row>
    <row r="75">
      <c r="A75" s="16"/>
      <c r="B75" s="16"/>
    </row>
    <row r="76">
      <c r="A76" s="16"/>
      <c r="B76" s="16"/>
    </row>
    <row r="77">
      <c r="A77" s="16"/>
      <c r="B77" s="16"/>
    </row>
    <row r="78">
      <c r="A78" s="16"/>
      <c r="B78" s="16"/>
    </row>
    <row r="79">
      <c r="A79" s="16"/>
      <c r="B79" s="16"/>
    </row>
    <row r="80">
      <c r="A80" s="16"/>
      <c r="B80" s="16"/>
    </row>
    <row r="81">
      <c r="A81" s="16"/>
      <c r="B81" s="16"/>
    </row>
    <row r="82">
      <c r="A82" s="16"/>
      <c r="B82" s="16"/>
    </row>
    <row r="83">
      <c r="A83" s="16"/>
      <c r="B83" s="16"/>
    </row>
    <row r="84">
      <c r="A84" s="16"/>
      <c r="B84" s="16"/>
    </row>
    <row r="85">
      <c r="A85" s="16"/>
      <c r="B85" s="16"/>
    </row>
    <row r="86">
      <c r="A86" s="16"/>
      <c r="B86" s="16"/>
    </row>
    <row r="87">
      <c r="A87" s="16"/>
      <c r="B87" s="16"/>
    </row>
    <row r="88">
      <c r="A88" s="16"/>
      <c r="B88" s="16"/>
    </row>
    <row r="89">
      <c r="A89" s="16"/>
      <c r="B89" s="16"/>
    </row>
    <row r="90">
      <c r="A90" s="16"/>
      <c r="B90" s="16"/>
    </row>
    <row r="91">
      <c r="A91" s="16"/>
      <c r="B91" s="16"/>
    </row>
    <row r="92">
      <c r="A92" s="16"/>
      <c r="B92" s="16"/>
    </row>
    <row r="93">
      <c r="A93" s="16"/>
      <c r="B93" s="16"/>
    </row>
    <row r="94">
      <c r="A94" s="16"/>
      <c r="B94" s="16"/>
    </row>
    <row r="95">
      <c r="A95" s="16"/>
      <c r="B95" s="16"/>
    </row>
    <row r="96">
      <c r="A96" s="16"/>
      <c r="B96" s="16"/>
    </row>
    <row r="97">
      <c r="A97" s="16"/>
      <c r="B97" s="16"/>
    </row>
    <row r="98">
      <c r="A98" s="16"/>
      <c r="B98" s="16"/>
    </row>
    <row r="99">
      <c r="A99" s="16"/>
      <c r="B99" s="16"/>
    </row>
    <row r="100">
      <c r="A100" s="16"/>
      <c r="B100" s="16"/>
    </row>
    <row r="101">
      <c r="A101" s="16"/>
      <c r="B101" s="16"/>
    </row>
    <row r="102">
      <c r="A102" s="16"/>
      <c r="B102" s="16"/>
    </row>
    <row r="103">
      <c r="A103" s="16"/>
      <c r="B103" s="16"/>
    </row>
    <row r="104">
      <c r="A104" s="16"/>
      <c r="B104" s="16"/>
    </row>
    <row r="105">
      <c r="A105" s="16"/>
      <c r="B105" s="16"/>
    </row>
    <row r="106">
      <c r="A106" s="16"/>
      <c r="B106" s="16"/>
    </row>
    <row r="107">
      <c r="A107" s="16"/>
      <c r="B107" s="16"/>
    </row>
    <row r="108">
      <c r="A108" s="16"/>
      <c r="B108" s="16"/>
    </row>
    <row r="109">
      <c r="A109" s="16"/>
      <c r="B109" s="16"/>
    </row>
    <row r="110">
      <c r="A110" s="16"/>
      <c r="B110" s="16"/>
    </row>
    <row r="111">
      <c r="A111" s="16"/>
      <c r="B111" s="16"/>
    </row>
    <row r="112">
      <c r="A112" s="16"/>
      <c r="B112" s="16"/>
    </row>
    <row r="113">
      <c r="A113" s="16"/>
      <c r="B113" s="16"/>
    </row>
    <row r="114">
      <c r="A114" s="16"/>
      <c r="B114" s="16"/>
    </row>
    <row r="115">
      <c r="A115" s="16"/>
      <c r="B115" s="16"/>
    </row>
    <row r="116">
      <c r="A116" s="16"/>
      <c r="B116" s="16"/>
    </row>
    <row r="117">
      <c r="A117" s="16"/>
      <c r="B117" s="16"/>
    </row>
    <row r="118">
      <c r="A118" s="16"/>
      <c r="B118" s="16"/>
    </row>
    <row r="119">
      <c r="A119" s="16"/>
      <c r="B119" s="16"/>
    </row>
    <row r="120">
      <c r="A120" s="16"/>
      <c r="B120" s="16"/>
    </row>
    <row r="121">
      <c r="A121" s="16"/>
      <c r="B121" s="16"/>
    </row>
    <row r="122">
      <c r="A122" s="16"/>
      <c r="B122" s="16"/>
    </row>
    <row r="123">
      <c r="A123" s="16"/>
      <c r="B123" s="16"/>
    </row>
    <row r="124">
      <c r="A124" s="16"/>
      <c r="B124" s="16"/>
    </row>
    <row r="125">
      <c r="A125" s="16"/>
      <c r="B125" s="16"/>
    </row>
    <row r="126">
      <c r="A126" s="16"/>
      <c r="B126" s="16"/>
    </row>
    <row r="127">
      <c r="A127" s="16"/>
      <c r="B127" s="16"/>
    </row>
    <row r="128">
      <c r="A128" s="16"/>
      <c r="B128" s="16"/>
    </row>
    <row r="129">
      <c r="A129" s="16"/>
      <c r="B129" s="16"/>
    </row>
    <row r="130">
      <c r="A130" s="16"/>
      <c r="B130" s="16"/>
    </row>
    <row r="131">
      <c r="A131" s="16"/>
      <c r="B131" s="16"/>
    </row>
    <row r="132">
      <c r="A132" s="16"/>
      <c r="B132" s="16"/>
    </row>
    <row r="133">
      <c r="A133" s="16"/>
      <c r="B133" s="16"/>
    </row>
    <row r="134">
      <c r="A134" s="16"/>
      <c r="B134" s="16"/>
    </row>
    <row r="135">
      <c r="A135" s="16"/>
      <c r="B135" s="16"/>
    </row>
    <row r="136">
      <c r="A136" s="16"/>
      <c r="B136" s="16"/>
    </row>
    <row r="137">
      <c r="A137" s="16"/>
      <c r="B137" s="16"/>
    </row>
    <row r="138">
      <c r="A138" s="16"/>
      <c r="B138" s="16"/>
    </row>
    <row r="139">
      <c r="A139" s="16"/>
      <c r="B139" s="16"/>
    </row>
    <row r="140">
      <c r="A140" s="16"/>
      <c r="B140" s="16"/>
    </row>
    <row r="141">
      <c r="A141" s="16"/>
      <c r="B141" s="16"/>
    </row>
    <row r="142">
      <c r="A142" s="16"/>
      <c r="B142" s="16"/>
    </row>
    <row r="143">
      <c r="A143" s="16"/>
      <c r="B143" s="16"/>
    </row>
    <row r="144">
      <c r="A144" s="16"/>
      <c r="B144" s="16"/>
    </row>
    <row r="145">
      <c r="A145" s="16"/>
      <c r="B145" s="16"/>
    </row>
    <row r="146">
      <c r="A146" s="16"/>
      <c r="B146" s="16"/>
    </row>
    <row r="147">
      <c r="A147" s="16"/>
      <c r="B147" s="16"/>
    </row>
    <row r="148">
      <c r="A148" s="16"/>
      <c r="B148" s="16"/>
    </row>
    <row r="149">
      <c r="A149" s="16"/>
      <c r="B149" s="16"/>
    </row>
    <row r="150">
      <c r="A150" s="16"/>
      <c r="B150" s="16"/>
    </row>
    <row r="151">
      <c r="A151" s="16"/>
      <c r="B151" s="16"/>
    </row>
    <row r="152">
      <c r="A152" s="16"/>
      <c r="B152" s="16"/>
    </row>
    <row r="153">
      <c r="A153" s="16"/>
      <c r="B153" s="16"/>
    </row>
    <row r="154">
      <c r="A154" s="16"/>
      <c r="B154" s="16"/>
    </row>
    <row r="155">
      <c r="A155" s="16"/>
      <c r="B155" s="16"/>
    </row>
    <row r="156">
      <c r="A156" s="16"/>
      <c r="B156" s="16"/>
    </row>
    <row r="157">
      <c r="A157" s="16"/>
      <c r="B157" s="16"/>
    </row>
    <row r="158">
      <c r="A158" s="16"/>
      <c r="B158" s="16"/>
    </row>
    <row r="159">
      <c r="A159" s="16"/>
      <c r="B159" s="16"/>
    </row>
    <row r="160">
      <c r="A160" s="16"/>
      <c r="B160" s="16"/>
    </row>
    <row r="161">
      <c r="A161" s="16"/>
      <c r="B161" s="16"/>
    </row>
    <row r="162">
      <c r="A162" s="16"/>
      <c r="B162" s="16"/>
    </row>
    <row r="163">
      <c r="A163" s="16"/>
      <c r="B163" s="16"/>
    </row>
    <row r="164">
      <c r="A164" s="16"/>
      <c r="B164" s="16"/>
    </row>
    <row r="165">
      <c r="A165" s="16"/>
      <c r="B165" s="16"/>
    </row>
    <row r="166">
      <c r="A166" s="16"/>
      <c r="B166" s="16"/>
    </row>
    <row r="167">
      <c r="A167" s="16"/>
      <c r="B167" s="16"/>
    </row>
    <row r="168">
      <c r="A168" s="16"/>
      <c r="B168" s="16"/>
    </row>
    <row r="169">
      <c r="A169" s="16"/>
      <c r="B169" s="16"/>
    </row>
    <row r="170">
      <c r="A170" s="16"/>
      <c r="B170" s="16"/>
    </row>
    <row r="171">
      <c r="A171" s="16"/>
      <c r="B171" s="16"/>
    </row>
    <row r="172">
      <c r="A172" s="16"/>
      <c r="B172" s="16"/>
    </row>
    <row r="173">
      <c r="A173" s="16"/>
      <c r="B173" s="16"/>
    </row>
    <row r="174">
      <c r="A174" s="16"/>
      <c r="B174" s="16"/>
    </row>
    <row r="175">
      <c r="A175" s="16"/>
      <c r="B175" s="16"/>
    </row>
    <row r="176">
      <c r="A176" s="16"/>
      <c r="B176" s="16"/>
    </row>
    <row r="177">
      <c r="A177" s="16"/>
      <c r="B177" s="16"/>
    </row>
    <row r="178">
      <c r="A178" s="16"/>
      <c r="B178" s="16"/>
    </row>
    <row r="179">
      <c r="A179" s="16"/>
      <c r="B179" s="16"/>
    </row>
    <row r="180">
      <c r="A180" s="16"/>
      <c r="B180" s="16"/>
    </row>
    <row r="181">
      <c r="A181" s="16"/>
      <c r="B181" s="16"/>
    </row>
    <row r="182">
      <c r="A182" s="16"/>
      <c r="B182" s="16"/>
    </row>
    <row r="183">
      <c r="A183" s="16"/>
      <c r="B183" s="16"/>
    </row>
    <row r="184">
      <c r="A184" s="16"/>
      <c r="B184" s="16"/>
    </row>
    <row r="185">
      <c r="A185" s="16"/>
      <c r="B185" s="16"/>
    </row>
    <row r="186">
      <c r="A186" s="16"/>
      <c r="B186" s="16"/>
    </row>
    <row r="187">
      <c r="A187" s="16"/>
      <c r="B187" s="16"/>
    </row>
    <row r="188">
      <c r="A188" s="16"/>
      <c r="B188" s="16"/>
    </row>
    <row r="189">
      <c r="A189" s="16"/>
      <c r="B189" s="16"/>
    </row>
    <row r="190">
      <c r="A190" s="16"/>
      <c r="B190" s="16"/>
    </row>
    <row r="191">
      <c r="A191" s="16"/>
      <c r="B191" s="16"/>
    </row>
    <row r="192">
      <c r="A192" s="16"/>
      <c r="B192" s="16"/>
    </row>
    <row r="193">
      <c r="A193" s="16"/>
      <c r="B193" s="16"/>
    </row>
    <row r="194">
      <c r="A194" s="16"/>
      <c r="B194" s="16"/>
    </row>
    <row r="195">
      <c r="A195" s="16"/>
      <c r="B195" s="16"/>
    </row>
    <row r="196">
      <c r="A196" s="16"/>
      <c r="B196" s="16"/>
    </row>
    <row r="197">
      <c r="A197" s="16"/>
      <c r="B197" s="16"/>
    </row>
    <row r="198">
      <c r="A198" s="16"/>
      <c r="B198" s="16"/>
    </row>
    <row r="199">
      <c r="A199" s="16"/>
      <c r="B199" s="16"/>
    </row>
    <row r="200">
      <c r="A200" s="16"/>
      <c r="B200" s="16"/>
    </row>
    <row r="201">
      <c r="A201" s="16"/>
      <c r="B201" s="16"/>
    </row>
    <row r="202">
      <c r="A202" s="16"/>
      <c r="B202" s="16"/>
    </row>
    <row r="203">
      <c r="A203" s="16"/>
      <c r="B203" s="16"/>
    </row>
    <row r="204">
      <c r="A204" s="16"/>
      <c r="B204" s="16"/>
    </row>
    <row r="205">
      <c r="A205" s="16"/>
      <c r="B205" s="16"/>
    </row>
    <row r="206">
      <c r="A206" s="16"/>
      <c r="B206" s="16"/>
    </row>
    <row r="207">
      <c r="A207" s="16"/>
      <c r="B207" s="16"/>
    </row>
    <row r="208">
      <c r="A208" s="16"/>
      <c r="B208" s="16"/>
    </row>
    <row r="209">
      <c r="A209" s="16"/>
      <c r="B209" s="16"/>
    </row>
    <row r="210">
      <c r="A210" s="16"/>
      <c r="B210" s="16"/>
    </row>
    <row r="211">
      <c r="A211" s="16"/>
      <c r="B211" s="16"/>
    </row>
    <row r="212">
      <c r="A212" s="16"/>
      <c r="B212" s="16"/>
    </row>
    <row r="213">
      <c r="A213" s="16"/>
      <c r="B213" s="16"/>
    </row>
    <row r="214">
      <c r="A214" s="16"/>
      <c r="B214" s="16"/>
    </row>
    <row r="215">
      <c r="A215" s="16"/>
      <c r="B215" s="16"/>
    </row>
    <row r="216">
      <c r="A216" s="16"/>
      <c r="B216" s="16"/>
    </row>
    <row r="217">
      <c r="A217" s="16"/>
      <c r="B217" s="16"/>
    </row>
    <row r="218">
      <c r="A218" s="16"/>
      <c r="B218" s="16"/>
    </row>
    <row r="219">
      <c r="A219" s="16"/>
      <c r="B219" s="16"/>
    </row>
    <row r="220">
      <c r="A220" s="16"/>
      <c r="B220" s="16"/>
    </row>
    <row r="221">
      <c r="A221" s="16"/>
      <c r="B221" s="16"/>
    </row>
    <row r="222">
      <c r="A222" s="16"/>
      <c r="B222" s="16"/>
    </row>
    <row r="223">
      <c r="A223" s="16"/>
      <c r="B223" s="16"/>
    </row>
    <row r="224">
      <c r="A224" s="16"/>
      <c r="B224" s="16"/>
    </row>
    <row r="225">
      <c r="A225" s="16"/>
      <c r="B225" s="16"/>
    </row>
    <row r="226">
      <c r="A226" s="16"/>
      <c r="B226" s="16"/>
    </row>
    <row r="227">
      <c r="A227" s="16"/>
      <c r="B227" s="16"/>
    </row>
    <row r="228">
      <c r="A228" s="16"/>
      <c r="B228" s="16"/>
    </row>
    <row r="229">
      <c r="A229" s="16"/>
      <c r="B229" s="16"/>
    </row>
    <row r="230">
      <c r="A230" s="16"/>
      <c r="B230" s="16"/>
    </row>
    <row r="231">
      <c r="A231" s="16"/>
      <c r="B231" s="16"/>
    </row>
    <row r="232">
      <c r="A232" s="16"/>
      <c r="B232" s="16"/>
    </row>
    <row r="233">
      <c r="A233" s="16"/>
      <c r="B233" s="16"/>
    </row>
    <row r="234">
      <c r="A234" s="16"/>
      <c r="B234" s="16"/>
    </row>
    <row r="235">
      <c r="A235" s="16"/>
      <c r="B235" s="16"/>
    </row>
    <row r="236">
      <c r="A236" s="16"/>
      <c r="B236" s="16"/>
    </row>
    <row r="237">
      <c r="A237" s="16"/>
      <c r="B237" s="16"/>
    </row>
    <row r="238">
      <c r="A238" s="16"/>
      <c r="B238" s="16"/>
    </row>
    <row r="239">
      <c r="A239" s="16"/>
      <c r="B239" s="16"/>
    </row>
    <row r="240">
      <c r="A240" s="16"/>
      <c r="B240" s="16"/>
    </row>
    <row r="241">
      <c r="A241" s="16"/>
      <c r="B241" s="16"/>
    </row>
    <row r="242">
      <c r="A242" s="16"/>
      <c r="B242" s="16"/>
    </row>
    <row r="243">
      <c r="A243" s="16"/>
      <c r="B243" s="16"/>
    </row>
    <row r="244">
      <c r="A244" s="16"/>
      <c r="B244" s="16"/>
    </row>
    <row r="245">
      <c r="A245" s="16"/>
      <c r="B245" s="16"/>
    </row>
    <row r="246">
      <c r="A246" s="16"/>
      <c r="B246" s="16"/>
    </row>
    <row r="247">
      <c r="A247" s="16"/>
      <c r="B247" s="16"/>
    </row>
    <row r="248">
      <c r="A248" s="16"/>
      <c r="B248" s="16"/>
    </row>
    <row r="249">
      <c r="A249" s="16"/>
      <c r="B249" s="16"/>
    </row>
    <row r="250">
      <c r="A250" s="16"/>
      <c r="B250" s="16"/>
    </row>
    <row r="251">
      <c r="A251" s="16"/>
      <c r="B251" s="16"/>
    </row>
    <row r="252">
      <c r="A252" s="16"/>
      <c r="B252" s="16"/>
    </row>
    <row r="253">
      <c r="A253" s="16"/>
      <c r="B253" s="16"/>
    </row>
    <row r="254">
      <c r="A254" s="16"/>
      <c r="B254" s="16"/>
    </row>
    <row r="255">
      <c r="A255" s="16"/>
      <c r="B255" s="16"/>
    </row>
    <row r="256">
      <c r="A256" s="16"/>
      <c r="B256" s="16"/>
    </row>
    <row r="257">
      <c r="A257" s="16"/>
      <c r="B257" s="16"/>
    </row>
    <row r="258">
      <c r="A258" s="16"/>
      <c r="B258" s="16"/>
    </row>
    <row r="259">
      <c r="A259" s="16"/>
      <c r="B259" s="16"/>
    </row>
    <row r="260">
      <c r="A260" s="16"/>
      <c r="B260" s="16"/>
    </row>
    <row r="261">
      <c r="A261" s="16"/>
      <c r="B261" s="16"/>
    </row>
    <row r="262">
      <c r="A262" s="16"/>
      <c r="B262" s="16"/>
    </row>
    <row r="263">
      <c r="A263" s="16"/>
      <c r="B263" s="16"/>
    </row>
    <row r="264">
      <c r="A264" s="16"/>
      <c r="B264" s="16"/>
    </row>
    <row r="265">
      <c r="A265" s="16"/>
      <c r="B265" s="16"/>
    </row>
    <row r="266">
      <c r="A266" s="16"/>
      <c r="B266" s="16"/>
    </row>
    <row r="267">
      <c r="A267" s="16"/>
      <c r="B267" s="16"/>
    </row>
    <row r="268">
      <c r="A268" s="16"/>
      <c r="B268" s="16"/>
    </row>
    <row r="269">
      <c r="A269" s="16"/>
      <c r="B269" s="16"/>
    </row>
    <row r="270">
      <c r="A270" s="16"/>
      <c r="B270" s="16"/>
    </row>
    <row r="271">
      <c r="A271" s="16"/>
      <c r="B271" s="16"/>
    </row>
    <row r="272">
      <c r="A272" s="16"/>
      <c r="B272" s="16"/>
    </row>
    <row r="273">
      <c r="A273" s="16"/>
      <c r="B273" s="16"/>
    </row>
    <row r="274">
      <c r="A274" s="16"/>
      <c r="B274" s="16"/>
    </row>
    <row r="275">
      <c r="A275" s="16"/>
      <c r="B275" s="16"/>
    </row>
    <row r="276">
      <c r="A276" s="16"/>
      <c r="B276" s="16"/>
    </row>
    <row r="277">
      <c r="A277" s="16"/>
      <c r="B277" s="16"/>
    </row>
    <row r="278">
      <c r="A278" s="16"/>
      <c r="B278" s="16"/>
    </row>
    <row r="279">
      <c r="A279" s="16"/>
      <c r="B279" s="16"/>
    </row>
    <row r="280">
      <c r="A280" s="16"/>
      <c r="B280" s="16"/>
    </row>
    <row r="281">
      <c r="A281" s="16"/>
      <c r="B281" s="16"/>
    </row>
    <row r="282">
      <c r="A282" s="16"/>
      <c r="B282" s="16"/>
    </row>
    <row r="283">
      <c r="A283" s="16"/>
      <c r="B283" s="16"/>
    </row>
    <row r="284">
      <c r="A284" s="16"/>
      <c r="B284" s="16"/>
    </row>
    <row r="285">
      <c r="A285" s="16"/>
      <c r="B285" s="16"/>
    </row>
    <row r="286">
      <c r="A286" s="16"/>
      <c r="B286" s="16"/>
    </row>
    <row r="287">
      <c r="A287" s="16"/>
      <c r="B287" s="16"/>
    </row>
    <row r="288">
      <c r="A288" s="16"/>
      <c r="B288" s="16"/>
    </row>
    <row r="289">
      <c r="A289" s="16"/>
      <c r="B289" s="16"/>
    </row>
    <row r="290">
      <c r="A290" s="16"/>
      <c r="B290" s="16"/>
    </row>
    <row r="291">
      <c r="A291" s="16"/>
      <c r="B291" s="16"/>
    </row>
    <row r="292">
      <c r="A292" s="16"/>
      <c r="B292" s="16"/>
    </row>
    <row r="293">
      <c r="A293" s="16"/>
      <c r="B293" s="16"/>
    </row>
    <row r="294">
      <c r="A294" s="16"/>
      <c r="B294" s="16"/>
    </row>
    <row r="295">
      <c r="A295" s="16"/>
      <c r="B295" s="16"/>
    </row>
    <row r="296">
      <c r="A296" s="16"/>
      <c r="B296" s="16"/>
    </row>
    <row r="297">
      <c r="A297" s="16"/>
      <c r="B297" s="16"/>
    </row>
    <row r="298">
      <c r="A298" s="16"/>
      <c r="B298" s="16"/>
    </row>
    <row r="299">
      <c r="A299" s="16"/>
      <c r="B299" s="16"/>
    </row>
    <row r="300">
      <c r="A300" s="16"/>
      <c r="B300" s="16"/>
    </row>
    <row r="301">
      <c r="A301" s="16"/>
      <c r="B301" s="16"/>
    </row>
    <row r="302">
      <c r="A302" s="16"/>
      <c r="B302" s="16"/>
    </row>
    <row r="303">
      <c r="A303" s="16"/>
      <c r="B303" s="16"/>
    </row>
    <row r="304">
      <c r="A304" s="16"/>
      <c r="B304" s="16"/>
    </row>
    <row r="305">
      <c r="A305" s="16"/>
      <c r="B305" s="16"/>
    </row>
    <row r="306">
      <c r="A306" s="16"/>
      <c r="B306" s="16"/>
    </row>
    <row r="307">
      <c r="A307" s="16"/>
      <c r="B307" s="16"/>
    </row>
    <row r="308">
      <c r="A308" s="16"/>
      <c r="B308" s="16"/>
    </row>
    <row r="309">
      <c r="A309" s="16"/>
      <c r="B309" s="16"/>
    </row>
    <row r="310">
      <c r="A310" s="16"/>
      <c r="B310" s="16"/>
    </row>
    <row r="311">
      <c r="A311" s="16"/>
      <c r="B311" s="16"/>
    </row>
    <row r="312">
      <c r="A312" s="16"/>
      <c r="B312" s="16"/>
    </row>
    <row r="313">
      <c r="A313" s="16"/>
      <c r="B313" s="16"/>
    </row>
    <row r="314">
      <c r="A314" s="16"/>
      <c r="B314" s="16"/>
    </row>
    <row r="315">
      <c r="A315" s="16"/>
      <c r="B315" s="16"/>
    </row>
    <row r="316">
      <c r="A316" s="16"/>
      <c r="B316" s="16"/>
    </row>
    <row r="317">
      <c r="A317" s="16"/>
      <c r="B317" s="16"/>
    </row>
    <row r="318">
      <c r="A318" s="16"/>
      <c r="B318" s="16"/>
    </row>
    <row r="319">
      <c r="A319" s="16"/>
      <c r="B319" s="16"/>
    </row>
    <row r="320">
      <c r="A320" s="16"/>
      <c r="B320" s="16"/>
    </row>
    <row r="321">
      <c r="A321" s="16"/>
      <c r="B321" s="16"/>
    </row>
    <row r="322">
      <c r="A322" s="16"/>
      <c r="B322" s="16"/>
    </row>
    <row r="323">
      <c r="A323" s="16"/>
      <c r="B323" s="16"/>
    </row>
    <row r="324">
      <c r="A324" s="16"/>
      <c r="B324" s="16"/>
    </row>
    <row r="325">
      <c r="A325" s="16"/>
      <c r="B325" s="16"/>
    </row>
    <row r="326">
      <c r="A326" s="16"/>
      <c r="B326" s="16"/>
    </row>
    <row r="327">
      <c r="A327" s="16"/>
      <c r="B327" s="16"/>
    </row>
    <row r="328">
      <c r="A328" s="16"/>
      <c r="B328" s="16"/>
    </row>
    <row r="329">
      <c r="A329" s="16"/>
      <c r="B329" s="16"/>
    </row>
    <row r="330">
      <c r="A330" s="16"/>
      <c r="B330" s="16"/>
    </row>
    <row r="331">
      <c r="A331" s="16"/>
      <c r="B331" s="16"/>
    </row>
    <row r="332">
      <c r="A332" s="16"/>
      <c r="B332" s="16"/>
    </row>
    <row r="333">
      <c r="A333" s="16"/>
      <c r="B333" s="16"/>
    </row>
    <row r="334">
      <c r="A334" s="16"/>
      <c r="B334" s="16"/>
    </row>
    <row r="335">
      <c r="A335" s="16"/>
      <c r="B335" s="16"/>
    </row>
    <row r="336">
      <c r="A336" s="16"/>
      <c r="B336" s="16"/>
    </row>
    <row r="337">
      <c r="A337" s="16"/>
      <c r="B337" s="16"/>
    </row>
    <row r="338">
      <c r="A338" s="16"/>
      <c r="B338" s="16"/>
    </row>
    <row r="339">
      <c r="A339" s="16"/>
      <c r="B339" s="16"/>
    </row>
    <row r="340">
      <c r="A340" s="16"/>
      <c r="B340" s="16"/>
    </row>
    <row r="341">
      <c r="A341" s="16"/>
      <c r="B341" s="16"/>
    </row>
    <row r="342">
      <c r="A342" s="16"/>
      <c r="B342" s="16"/>
    </row>
    <row r="343">
      <c r="A343" s="16"/>
      <c r="B343" s="16"/>
    </row>
    <row r="344">
      <c r="A344" s="16"/>
      <c r="B344" s="16"/>
    </row>
    <row r="345">
      <c r="A345" s="16"/>
      <c r="B345" s="16"/>
    </row>
    <row r="346">
      <c r="A346" s="16"/>
      <c r="B346" s="16"/>
    </row>
    <row r="347">
      <c r="A347" s="16"/>
      <c r="B347" s="16"/>
    </row>
    <row r="348">
      <c r="A348" s="16"/>
      <c r="B348" s="16"/>
    </row>
    <row r="349">
      <c r="A349" s="16"/>
      <c r="B349" s="16"/>
    </row>
    <row r="350">
      <c r="A350" s="16"/>
      <c r="B350" s="16"/>
    </row>
    <row r="351">
      <c r="A351" s="16"/>
      <c r="B351" s="16"/>
    </row>
    <row r="352">
      <c r="A352" s="16"/>
      <c r="B352" s="16"/>
    </row>
    <row r="353">
      <c r="A353" s="16"/>
      <c r="B353" s="16"/>
    </row>
    <row r="354">
      <c r="A354" s="16"/>
      <c r="B354" s="16"/>
    </row>
    <row r="355">
      <c r="A355" s="16"/>
      <c r="B355" s="16"/>
    </row>
    <row r="356">
      <c r="A356" s="16"/>
      <c r="B356" s="16"/>
    </row>
    <row r="357">
      <c r="A357" s="16"/>
      <c r="B357" s="16"/>
    </row>
    <row r="358">
      <c r="A358" s="16"/>
      <c r="B358" s="16"/>
    </row>
    <row r="359">
      <c r="A359" s="16"/>
      <c r="B359" s="16"/>
    </row>
    <row r="360">
      <c r="A360" s="16"/>
      <c r="B360" s="16"/>
    </row>
    <row r="361">
      <c r="A361" s="16"/>
      <c r="B361" s="16"/>
    </row>
    <row r="362">
      <c r="A362" s="16"/>
      <c r="B362" s="16"/>
    </row>
    <row r="363">
      <c r="A363" s="16"/>
      <c r="B363" s="16"/>
    </row>
    <row r="364">
      <c r="A364" s="16"/>
      <c r="B364" s="16"/>
    </row>
    <row r="365">
      <c r="A365" s="16"/>
      <c r="B365" s="16"/>
    </row>
    <row r="366">
      <c r="A366" s="16"/>
      <c r="B366" s="16"/>
    </row>
    <row r="367">
      <c r="A367" s="16"/>
      <c r="B367" s="16"/>
    </row>
    <row r="368">
      <c r="A368" s="16"/>
      <c r="B368" s="16"/>
    </row>
    <row r="369">
      <c r="A369" s="16"/>
      <c r="B369" s="16"/>
    </row>
    <row r="370">
      <c r="A370" s="16"/>
      <c r="B370" s="16"/>
    </row>
    <row r="371">
      <c r="A371" s="16"/>
      <c r="B371" s="16"/>
    </row>
    <row r="372">
      <c r="A372" s="16"/>
      <c r="B372" s="16"/>
    </row>
    <row r="373">
      <c r="A373" s="16"/>
      <c r="B373" s="16"/>
    </row>
    <row r="374">
      <c r="A374" s="16"/>
      <c r="B374" s="16"/>
    </row>
    <row r="375">
      <c r="A375" s="16"/>
      <c r="B375" s="16"/>
    </row>
    <row r="376">
      <c r="A376" s="16"/>
      <c r="B376" s="16"/>
    </row>
    <row r="377">
      <c r="A377" s="16"/>
      <c r="B377" s="16"/>
    </row>
    <row r="378">
      <c r="A378" s="16"/>
      <c r="B378" s="16"/>
    </row>
    <row r="379">
      <c r="A379" s="16"/>
      <c r="B379" s="16"/>
    </row>
    <row r="380">
      <c r="A380" s="16"/>
      <c r="B380" s="16"/>
    </row>
    <row r="381">
      <c r="A381" s="16"/>
      <c r="B381" s="16"/>
    </row>
    <row r="382">
      <c r="A382" s="16"/>
      <c r="B382" s="16"/>
    </row>
    <row r="383">
      <c r="A383" s="16"/>
      <c r="B383" s="16"/>
    </row>
    <row r="384">
      <c r="A384" s="16"/>
      <c r="B384" s="16"/>
    </row>
    <row r="385">
      <c r="A385" s="16"/>
      <c r="B385" s="16"/>
    </row>
    <row r="386">
      <c r="A386" s="16"/>
      <c r="B386" s="16"/>
    </row>
    <row r="387">
      <c r="A387" s="16"/>
      <c r="B387" s="16"/>
    </row>
    <row r="388">
      <c r="A388" s="16"/>
      <c r="B388" s="16"/>
    </row>
    <row r="389">
      <c r="A389" s="16"/>
      <c r="B389" s="16"/>
    </row>
    <row r="390">
      <c r="A390" s="16"/>
      <c r="B390" s="16"/>
    </row>
    <row r="391">
      <c r="A391" s="16"/>
      <c r="B391" s="16"/>
    </row>
    <row r="392">
      <c r="A392" s="16"/>
      <c r="B392" s="16"/>
    </row>
    <row r="393">
      <c r="A393" s="16"/>
      <c r="B393" s="16"/>
    </row>
    <row r="394">
      <c r="A394" s="16"/>
      <c r="B394" s="16"/>
    </row>
    <row r="395">
      <c r="A395" s="16"/>
      <c r="B395" s="16"/>
    </row>
    <row r="396">
      <c r="A396" s="16"/>
      <c r="B396" s="16"/>
    </row>
    <row r="397">
      <c r="A397" s="16"/>
      <c r="B397" s="16"/>
    </row>
    <row r="398">
      <c r="A398" s="16"/>
      <c r="B398" s="16"/>
    </row>
    <row r="399">
      <c r="A399" s="16"/>
      <c r="B399" s="16"/>
    </row>
    <row r="400">
      <c r="A400" s="16"/>
      <c r="B400" s="16"/>
    </row>
    <row r="401">
      <c r="A401" s="16"/>
      <c r="B401" s="16"/>
    </row>
    <row r="402">
      <c r="A402" s="16"/>
      <c r="B402" s="16"/>
    </row>
    <row r="403">
      <c r="A403" s="16"/>
      <c r="B403" s="16"/>
    </row>
    <row r="404">
      <c r="A404" s="16"/>
      <c r="B404" s="16"/>
    </row>
    <row r="405">
      <c r="A405" s="16"/>
      <c r="B405" s="16"/>
    </row>
    <row r="406">
      <c r="A406" s="16"/>
      <c r="B406" s="16"/>
    </row>
    <row r="407">
      <c r="A407" s="16"/>
      <c r="B407" s="16"/>
    </row>
    <row r="408">
      <c r="A408" s="16"/>
      <c r="B408" s="16"/>
    </row>
    <row r="409">
      <c r="A409" s="16"/>
      <c r="B409" s="16"/>
    </row>
    <row r="410">
      <c r="A410" s="16"/>
      <c r="B410" s="16"/>
    </row>
    <row r="411">
      <c r="A411" s="16"/>
      <c r="B411" s="16"/>
    </row>
    <row r="412">
      <c r="A412" s="16"/>
      <c r="B412" s="16"/>
    </row>
    <row r="413">
      <c r="A413" s="16"/>
      <c r="B413" s="16"/>
    </row>
    <row r="414">
      <c r="A414" s="16"/>
      <c r="B414" s="16"/>
    </row>
    <row r="415">
      <c r="A415" s="16"/>
      <c r="B415" s="16"/>
    </row>
    <row r="416">
      <c r="A416" s="16"/>
      <c r="B416" s="16"/>
    </row>
    <row r="417">
      <c r="A417" s="16"/>
      <c r="B417" s="16"/>
    </row>
    <row r="418">
      <c r="A418" s="16"/>
      <c r="B418" s="16"/>
    </row>
    <row r="419">
      <c r="A419" s="16"/>
      <c r="B419" s="16"/>
    </row>
    <row r="420">
      <c r="A420" s="16"/>
      <c r="B420" s="16"/>
    </row>
    <row r="421">
      <c r="A421" s="16"/>
      <c r="B421" s="16"/>
    </row>
    <row r="422">
      <c r="A422" s="16"/>
      <c r="B422" s="16"/>
    </row>
    <row r="423">
      <c r="A423" s="16"/>
      <c r="B423" s="16"/>
    </row>
    <row r="424">
      <c r="A424" s="16"/>
      <c r="B424" s="16"/>
    </row>
    <row r="425">
      <c r="A425" s="16"/>
      <c r="B425" s="16"/>
    </row>
    <row r="426">
      <c r="A426" s="16"/>
      <c r="B426" s="16"/>
    </row>
    <row r="427">
      <c r="A427" s="16"/>
      <c r="B427" s="16"/>
    </row>
    <row r="428">
      <c r="A428" s="16"/>
      <c r="B428" s="16"/>
    </row>
    <row r="429">
      <c r="A429" s="16"/>
      <c r="B429" s="16"/>
    </row>
    <row r="430">
      <c r="A430" s="16"/>
      <c r="B430" s="16"/>
    </row>
    <row r="431">
      <c r="A431" s="16"/>
      <c r="B431" s="16"/>
    </row>
    <row r="432">
      <c r="A432" s="16"/>
      <c r="B432" s="16"/>
    </row>
    <row r="433">
      <c r="A433" s="16"/>
      <c r="B433" s="16"/>
    </row>
    <row r="434">
      <c r="A434" s="16"/>
      <c r="B434" s="16"/>
    </row>
    <row r="435">
      <c r="A435" s="16"/>
      <c r="B435" s="16"/>
    </row>
    <row r="436">
      <c r="A436" s="16"/>
      <c r="B436" s="16"/>
    </row>
    <row r="437">
      <c r="A437" s="16"/>
      <c r="B437" s="16"/>
    </row>
    <row r="438">
      <c r="A438" s="16"/>
      <c r="B438" s="16"/>
    </row>
    <row r="439">
      <c r="A439" s="16"/>
      <c r="B439" s="16"/>
    </row>
    <row r="440">
      <c r="A440" s="16"/>
      <c r="B440" s="16"/>
    </row>
    <row r="441">
      <c r="A441" s="16"/>
      <c r="B441" s="16"/>
    </row>
    <row r="442">
      <c r="A442" s="16"/>
      <c r="B442" s="16"/>
    </row>
    <row r="443">
      <c r="A443" s="16"/>
      <c r="B443" s="16"/>
    </row>
    <row r="444">
      <c r="A444" s="16"/>
      <c r="B444" s="16"/>
    </row>
    <row r="445">
      <c r="A445" s="16"/>
      <c r="B445" s="16"/>
    </row>
    <row r="446">
      <c r="A446" s="16"/>
      <c r="B446" s="16"/>
    </row>
    <row r="447">
      <c r="A447" s="16"/>
      <c r="B447" s="16"/>
    </row>
    <row r="448">
      <c r="A448" s="16"/>
      <c r="B448" s="16"/>
    </row>
    <row r="449">
      <c r="A449" s="16"/>
      <c r="B449" s="16"/>
    </row>
    <row r="450">
      <c r="A450" s="16"/>
      <c r="B450" s="16"/>
    </row>
    <row r="451">
      <c r="A451" s="16"/>
      <c r="B451" s="16"/>
    </row>
    <row r="452">
      <c r="A452" s="16"/>
      <c r="B452" s="16"/>
    </row>
    <row r="453">
      <c r="A453" s="16"/>
      <c r="B453" s="16"/>
    </row>
    <row r="454">
      <c r="A454" s="16"/>
      <c r="B454" s="16"/>
    </row>
    <row r="455">
      <c r="A455" s="16"/>
      <c r="B455" s="16"/>
    </row>
    <row r="456">
      <c r="A456" s="16"/>
      <c r="B456" s="16"/>
    </row>
    <row r="457">
      <c r="A457" s="16"/>
      <c r="B457" s="16"/>
    </row>
    <row r="458">
      <c r="A458" s="16"/>
      <c r="B458" s="16"/>
    </row>
    <row r="459">
      <c r="A459" s="16"/>
      <c r="B459" s="16"/>
    </row>
    <row r="460">
      <c r="A460" s="16"/>
      <c r="B460" s="16"/>
    </row>
    <row r="461">
      <c r="A461" s="16"/>
      <c r="B461" s="16"/>
    </row>
    <row r="462">
      <c r="A462" s="16"/>
      <c r="B462" s="16"/>
    </row>
    <row r="463">
      <c r="A463" s="16"/>
      <c r="B463" s="16"/>
    </row>
    <row r="464">
      <c r="A464" s="16"/>
      <c r="B464" s="16"/>
    </row>
    <row r="465">
      <c r="A465" s="16"/>
      <c r="B465" s="16"/>
    </row>
    <row r="466">
      <c r="A466" s="16"/>
      <c r="B466" s="16"/>
    </row>
    <row r="467">
      <c r="A467" s="16"/>
      <c r="B467" s="16"/>
    </row>
    <row r="468">
      <c r="A468" s="16"/>
      <c r="B468" s="16"/>
    </row>
    <row r="469">
      <c r="A469" s="16"/>
      <c r="B469" s="16"/>
    </row>
    <row r="470">
      <c r="A470" s="16"/>
      <c r="B470" s="16"/>
    </row>
    <row r="471">
      <c r="A471" s="16"/>
      <c r="B471" s="16"/>
    </row>
    <row r="472">
      <c r="A472" s="16"/>
      <c r="B472" s="16"/>
    </row>
    <row r="473">
      <c r="A473" s="16"/>
      <c r="B473" s="16"/>
    </row>
    <row r="474">
      <c r="A474" s="16"/>
      <c r="B474" s="16"/>
    </row>
    <row r="475">
      <c r="A475" s="16"/>
      <c r="B475" s="16"/>
    </row>
    <row r="476">
      <c r="A476" s="16"/>
      <c r="B476" s="16"/>
    </row>
    <row r="477">
      <c r="A477" s="16"/>
      <c r="B477" s="16"/>
    </row>
    <row r="478">
      <c r="A478" s="16"/>
      <c r="B478" s="16"/>
    </row>
    <row r="479">
      <c r="A479" s="16"/>
      <c r="B479" s="16"/>
    </row>
    <row r="480">
      <c r="A480" s="16"/>
      <c r="B480" s="16"/>
    </row>
    <row r="481">
      <c r="A481" s="16"/>
      <c r="B481" s="16"/>
    </row>
    <row r="482">
      <c r="A482" s="16"/>
      <c r="B482" s="16"/>
    </row>
    <row r="483">
      <c r="A483" s="16"/>
      <c r="B483" s="16"/>
    </row>
    <row r="484">
      <c r="A484" s="16"/>
      <c r="B484" s="16"/>
    </row>
    <row r="485">
      <c r="A485" s="16"/>
      <c r="B485" s="16"/>
    </row>
    <row r="486">
      <c r="A486" s="16"/>
      <c r="B486" s="16"/>
    </row>
    <row r="487">
      <c r="A487" s="16"/>
      <c r="B487" s="16"/>
    </row>
    <row r="488">
      <c r="A488" s="16"/>
      <c r="B488" s="16"/>
    </row>
    <row r="489">
      <c r="A489" s="16"/>
      <c r="B489" s="16"/>
    </row>
    <row r="490">
      <c r="A490" s="16"/>
      <c r="B490" s="16"/>
    </row>
    <row r="491">
      <c r="A491" s="16"/>
      <c r="B491" s="16"/>
    </row>
    <row r="492">
      <c r="A492" s="16"/>
      <c r="B492" s="16"/>
    </row>
    <row r="493">
      <c r="A493" s="16"/>
      <c r="B493" s="16"/>
    </row>
    <row r="494">
      <c r="A494" s="16"/>
      <c r="B494" s="16"/>
    </row>
    <row r="495">
      <c r="A495" s="16"/>
      <c r="B495" s="16"/>
    </row>
    <row r="496">
      <c r="A496" s="16"/>
      <c r="B496" s="16"/>
    </row>
    <row r="497">
      <c r="A497" s="16"/>
      <c r="B497" s="16"/>
    </row>
    <row r="498">
      <c r="A498" s="16"/>
      <c r="B498" s="16"/>
    </row>
    <row r="499">
      <c r="A499" s="16"/>
      <c r="B499" s="16"/>
    </row>
    <row r="500">
      <c r="A500" s="16"/>
      <c r="B500" s="16"/>
    </row>
    <row r="501">
      <c r="A501" s="16"/>
      <c r="B501" s="16"/>
    </row>
    <row r="502">
      <c r="A502" s="16"/>
      <c r="B502" s="16"/>
    </row>
    <row r="503">
      <c r="A503" s="16"/>
      <c r="B503" s="16"/>
    </row>
    <row r="504">
      <c r="A504" s="16"/>
      <c r="B504" s="16"/>
    </row>
    <row r="505">
      <c r="A505" s="16"/>
      <c r="B505" s="16"/>
    </row>
    <row r="506">
      <c r="A506" s="16"/>
      <c r="B506" s="16"/>
    </row>
    <row r="507">
      <c r="A507" s="16"/>
      <c r="B507" s="16"/>
    </row>
    <row r="508">
      <c r="A508" s="16"/>
      <c r="B508" s="16"/>
    </row>
    <row r="509">
      <c r="A509" s="16"/>
      <c r="B509" s="16"/>
    </row>
    <row r="510">
      <c r="A510" s="16"/>
      <c r="B510" s="16"/>
    </row>
    <row r="511">
      <c r="A511" s="16"/>
      <c r="B511" s="16"/>
    </row>
    <row r="512">
      <c r="A512" s="16"/>
      <c r="B512" s="16"/>
    </row>
    <row r="513">
      <c r="A513" s="16"/>
      <c r="B513" s="16"/>
    </row>
    <row r="514">
      <c r="A514" s="16"/>
      <c r="B514" s="16"/>
    </row>
    <row r="515">
      <c r="A515" s="16"/>
      <c r="B515" s="16"/>
    </row>
    <row r="516">
      <c r="A516" s="16"/>
      <c r="B516" s="16"/>
    </row>
    <row r="517">
      <c r="A517" s="16"/>
      <c r="B517" s="16"/>
    </row>
    <row r="518">
      <c r="A518" s="16"/>
      <c r="B518" s="16"/>
    </row>
    <row r="519">
      <c r="A519" s="16"/>
      <c r="B519" s="16"/>
    </row>
    <row r="520">
      <c r="A520" s="16"/>
      <c r="B520" s="16"/>
    </row>
    <row r="521">
      <c r="A521" s="16"/>
      <c r="B521" s="16"/>
    </row>
    <row r="522">
      <c r="A522" s="16"/>
      <c r="B522" s="16"/>
    </row>
    <row r="523">
      <c r="A523" s="16"/>
      <c r="B523" s="16"/>
    </row>
    <row r="524">
      <c r="A524" s="16"/>
      <c r="B524" s="16"/>
    </row>
    <row r="525">
      <c r="A525" s="16"/>
      <c r="B525" s="16"/>
    </row>
    <row r="526">
      <c r="A526" s="16"/>
      <c r="B526" s="16"/>
    </row>
    <row r="527">
      <c r="A527" s="16"/>
      <c r="B527" s="16"/>
    </row>
    <row r="528">
      <c r="A528" s="16"/>
      <c r="B528" s="16"/>
    </row>
    <row r="529">
      <c r="A529" s="16"/>
      <c r="B529" s="16"/>
    </row>
    <row r="530">
      <c r="A530" s="16"/>
      <c r="B530" s="16"/>
    </row>
    <row r="531">
      <c r="A531" s="16"/>
      <c r="B531" s="16"/>
    </row>
    <row r="532">
      <c r="A532" s="16"/>
      <c r="B532" s="16"/>
    </row>
    <row r="533">
      <c r="A533" s="16"/>
      <c r="B533" s="16"/>
    </row>
    <row r="534">
      <c r="A534" s="16"/>
      <c r="B534" s="16"/>
    </row>
    <row r="535">
      <c r="A535" s="16"/>
      <c r="B535" s="16"/>
    </row>
    <row r="536">
      <c r="A536" s="16"/>
      <c r="B536" s="16"/>
    </row>
    <row r="537">
      <c r="A537" s="16"/>
      <c r="B537" s="16"/>
    </row>
    <row r="538">
      <c r="A538" s="16"/>
      <c r="B538" s="16"/>
    </row>
    <row r="539">
      <c r="A539" s="16"/>
      <c r="B539" s="16"/>
    </row>
    <row r="540">
      <c r="A540" s="16"/>
      <c r="B540" s="16"/>
    </row>
    <row r="541">
      <c r="A541" s="16"/>
      <c r="B541" s="16"/>
    </row>
    <row r="542">
      <c r="A542" s="16"/>
      <c r="B542" s="16"/>
    </row>
    <row r="543">
      <c r="A543" s="16"/>
      <c r="B543" s="16"/>
    </row>
    <row r="544">
      <c r="A544" s="16"/>
      <c r="B544" s="16"/>
    </row>
    <row r="545">
      <c r="A545" s="16"/>
      <c r="B545" s="16"/>
    </row>
    <row r="546">
      <c r="A546" s="16"/>
      <c r="B546" s="16"/>
    </row>
    <row r="547">
      <c r="A547" s="16"/>
      <c r="B547" s="16"/>
    </row>
    <row r="548">
      <c r="A548" s="16"/>
      <c r="B548" s="16"/>
    </row>
    <row r="549">
      <c r="A549" s="16"/>
      <c r="B549" s="16"/>
    </row>
    <row r="550">
      <c r="A550" s="16"/>
      <c r="B550" s="16"/>
    </row>
    <row r="551">
      <c r="A551" s="16"/>
      <c r="B551" s="16"/>
    </row>
    <row r="552">
      <c r="A552" s="16"/>
      <c r="B552" s="16"/>
    </row>
    <row r="553">
      <c r="A553" s="16"/>
      <c r="B553" s="16"/>
    </row>
    <row r="554">
      <c r="A554" s="16"/>
      <c r="B554" s="16"/>
    </row>
    <row r="555">
      <c r="A555" s="16"/>
      <c r="B555" s="16"/>
    </row>
    <row r="556">
      <c r="A556" s="16"/>
      <c r="B556" s="16"/>
    </row>
    <row r="557">
      <c r="A557" s="16"/>
      <c r="B557" s="16"/>
    </row>
    <row r="558">
      <c r="A558" s="16"/>
      <c r="B558" s="16"/>
    </row>
    <row r="559">
      <c r="A559" s="16"/>
      <c r="B559" s="16"/>
    </row>
    <row r="560">
      <c r="A560" s="16"/>
      <c r="B560" s="16"/>
    </row>
    <row r="561">
      <c r="A561" s="16"/>
      <c r="B561" s="16"/>
    </row>
    <row r="562">
      <c r="A562" s="16"/>
      <c r="B562" s="16"/>
    </row>
    <row r="563">
      <c r="A563" s="16"/>
      <c r="B563" s="16"/>
    </row>
    <row r="564">
      <c r="A564" s="16"/>
      <c r="B564" s="16"/>
    </row>
    <row r="565">
      <c r="A565" s="16"/>
      <c r="B565" s="16"/>
    </row>
    <row r="566">
      <c r="A566" s="16"/>
      <c r="B566" s="16"/>
    </row>
    <row r="567">
      <c r="A567" s="16"/>
      <c r="B567" s="16"/>
    </row>
    <row r="568">
      <c r="A568" s="16"/>
      <c r="B568" s="16"/>
    </row>
    <row r="569">
      <c r="A569" s="16"/>
      <c r="B569" s="16"/>
    </row>
    <row r="570">
      <c r="A570" s="16"/>
      <c r="B570" s="16"/>
    </row>
    <row r="571">
      <c r="A571" s="16"/>
      <c r="B571" s="16"/>
    </row>
    <row r="572">
      <c r="A572" s="16"/>
      <c r="B572" s="16"/>
    </row>
    <row r="573">
      <c r="A573" s="16"/>
      <c r="B573" s="16"/>
    </row>
    <row r="574">
      <c r="A574" s="16"/>
      <c r="B574" s="16"/>
    </row>
    <row r="575">
      <c r="A575" s="16"/>
      <c r="B575" s="16"/>
    </row>
    <row r="576">
      <c r="A576" s="16"/>
      <c r="B576" s="16"/>
    </row>
    <row r="577">
      <c r="A577" s="16"/>
      <c r="B577" s="16"/>
    </row>
    <row r="578">
      <c r="A578" s="16"/>
      <c r="B578" s="16"/>
    </row>
    <row r="579">
      <c r="A579" s="16"/>
      <c r="B579" s="16"/>
    </row>
    <row r="580">
      <c r="A580" s="16"/>
      <c r="B580" s="16"/>
    </row>
    <row r="581">
      <c r="A581" s="16"/>
      <c r="B581" s="16"/>
    </row>
    <row r="582">
      <c r="A582" s="16"/>
      <c r="B582" s="16"/>
    </row>
    <row r="583">
      <c r="A583" s="16"/>
      <c r="B583" s="16"/>
    </row>
    <row r="584">
      <c r="A584" s="16"/>
      <c r="B584" s="16"/>
    </row>
    <row r="585">
      <c r="A585" s="16"/>
      <c r="B585" s="16"/>
    </row>
    <row r="586">
      <c r="A586" s="16"/>
      <c r="B586" s="16"/>
    </row>
    <row r="587">
      <c r="A587" s="16"/>
      <c r="B587" s="16"/>
    </row>
    <row r="588">
      <c r="A588" s="16"/>
      <c r="B588" s="16"/>
    </row>
    <row r="589">
      <c r="A589" s="16"/>
      <c r="B589" s="16"/>
    </row>
    <row r="590">
      <c r="A590" s="16"/>
      <c r="B590" s="16"/>
    </row>
    <row r="591">
      <c r="A591" s="16"/>
      <c r="B591" s="16"/>
    </row>
    <row r="592">
      <c r="A592" s="16"/>
      <c r="B592" s="16"/>
    </row>
    <row r="593">
      <c r="A593" s="16"/>
      <c r="B593" s="16"/>
    </row>
    <row r="594">
      <c r="A594" s="16"/>
      <c r="B594" s="16"/>
    </row>
    <row r="595">
      <c r="A595" s="16"/>
      <c r="B595" s="16"/>
    </row>
    <row r="596">
      <c r="A596" s="16"/>
      <c r="B596" s="16"/>
    </row>
    <row r="597">
      <c r="A597" s="16"/>
      <c r="B597" s="16"/>
    </row>
    <row r="598">
      <c r="A598" s="16"/>
      <c r="B598" s="16"/>
    </row>
    <row r="599">
      <c r="A599" s="16"/>
      <c r="B599" s="16"/>
    </row>
    <row r="600">
      <c r="A600" s="16"/>
      <c r="B600" s="16"/>
    </row>
    <row r="601">
      <c r="A601" s="16"/>
      <c r="B601" s="16"/>
    </row>
    <row r="602">
      <c r="A602" s="16"/>
      <c r="B602" s="16"/>
    </row>
    <row r="603">
      <c r="A603" s="16"/>
      <c r="B603" s="16"/>
    </row>
    <row r="604">
      <c r="A604" s="16"/>
      <c r="B604" s="16"/>
    </row>
    <row r="605">
      <c r="A605" s="16"/>
      <c r="B605" s="16"/>
    </row>
    <row r="606">
      <c r="A606" s="16"/>
      <c r="B606" s="16"/>
    </row>
    <row r="607">
      <c r="A607" s="16"/>
      <c r="B607" s="16"/>
    </row>
    <row r="608">
      <c r="A608" s="16"/>
      <c r="B608" s="16"/>
    </row>
    <row r="609">
      <c r="A609" s="16"/>
      <c r="B609" s="16"/>
    </row>
    <row r="610">
      <c r="A610" s="16"/>
      <c r="B610" s="16"/>
    </row>
    <row r="611">
      <c r="A611" s="16"/>
      <c r="B611" s="16"/>
    </row>
    <row r="612">
      <c r="A612" s="16"/>
      <c r="B612" s="16"/>
    </row>
    <row r="613">
      <c r="A613" s="16"/>
      <c r="B613" s="16"/>
    </row>
    <row r="614">
      <c r="A614" s="16"/>
      <c r="B614" s="16"/>
    </row>
    <row r="615">
      <c r="A615" s="16"/>
      <c r="B615" s="16"/>
    </row>
    <row r="616">
      <c r="A616" s="16"/>
      <c r="B616" s="16"/>
    </row>
    <row r="617">
      <c r="A617" s="16"/>
      <c r="B617" s="16"/>
    </row>
    <row r="618">
      <c r="A618" s="16"/>
      <c r="B618" s="16"/>
    </row>
    <row r="619">
      <c r="A619" s="16"/>
      <c r="B619" s="16"/>
    </row>
    <row r="620">
      <c r="A620" s="16"/>
      <c r="B620" s="16"/>
    </row>
    <row r="621">
      <c r="A621" s="16"/>
      <c r="B621" s="16"/>
    </row>
    <row r="622">
      <c r="A622" s="16"/>
      <c r="B622" s="16"/>
    </row>
    <row r="623">
      <c r="A623" s="16"/>
      <c r="B623" s="16"/>
    </row>
    <row r="624">
      <c r="A624" s="16"/>
      <c r="B624" s="16"/>
    </row>
    <row r="625">
      <c r="A625" s="16"/>
      <c r="B625" s="16"/>
    </row>
    <row r="626">
      <c r="A626" s="16"/>
      <c r="B626" s="16"/>
    </row>
    <row r="627">
      <c r="A627" s="16"/>
      <c r="B627" s="16"/>
    </row>
    <row r="628">
      <c r="A628" s="16"/>
      <c r="B628" s="16"/>
    </row>
    <row r="629">
      <c r="A629" s="16"/>
      <c r="B629" s="16"/>
    </row>
    <row r="630">
      <c r="A630" s="16"/>
      <c r="B630" s="16"/>
    </row>
    <row r="631">
      <c r="A631" s="16"/>
      <c r="B631" s="16"/>
    </row>
    <row r="632">
      <c r="A632" s="16"/>
      <c r="B632" s="16"/>
    </row>
    <row r="633">
      <c r="A633" s="16"/>
      <c r="B633" s="16"/>
    </row>
    <row r="634">
      <c r="A634" s="16"/>
      <c r="B634" s="16"/>
    </row>
    <row r="635">
      <c r="A635" s="16"/>
      <c r="B635" s="16"/>
    </row>
    <row r="636">
      <c r="A636" s="16"/>
      <c r="B636" s="16"/>
    </row>
    <row r="637">
      <c r="A637" s="16"/>
      <c r="B637" s="16"/>
    </row>
    <row r="638">
      <c r="A638" s="16"/>
      <c r="B638" s="16"/>
    </row>
    <row r="639">
      <c r="A639" s="16"/>
      <c r="B639" s="16"/>
    </row>
    <row r="640">
      <c r="A640" s="16"/>
      <c r="B640" s="16"/>
    </row>
    <row r="641">
      <c r="A641" s="16"/>
      <c r="B641" s="16"/>
    </row>
    <row r="642">
      <c r="A642" s="16"/>
      <c r="B642" s="16"/>
    </row>
    <row r="643">
      <c r="A643" s="16"/>
      <c r="B643" s="16"/>
    </row>
    <row r="644">
      <c r="A644" s="16"/>
      <c r="B644" s="16"/>
    </row>
    <row r="645">
      <c r="A645" s="16"/>
      <c r="B645" s="16"/>
    </row>
    <row r="646">
      <c r="A646" s="16"/>
      <c r="B646" s="16"/>
    </row>
    <row r="647">
      <c r="A647" s="16"/>
      <c r="B647" s="16"/>
    </row>
    <row r="648">
      <c r="A648" s="16"/>
      <c r="B648" s="16"/>
    </row>
    <row r="649">
      <c r="A649" s="16"/>
      <c r="B649" s="16"/>
    </row>
    <row r="650">
      <c r="A650" s="16"/>
      <c r="B650" s="16"/>
    </row>
    <row r="651">
      <c r="A651" s="16"/>
      <c r="B651" s="16"/>
    </row>
    <row r="652">
      <c r="A652" s="16"/>
      <c r="B652" s="16"/>
    </row>
    <row r="653">
      <c r="A653" s="16"/>
      <c r="B653" s="16"/>
    </row>
    <row r="654">
      <c r="A654" s="16"/>
      <c r="B654" s="16"/>
    </row>
    <row r="655">
      <c r="A655" s="16"/>
      <c r="B655" s="16"/>
    </row>
    <row r="656">
      <c r="A656" s="16"/>
      <c r="B656" s="16"/>
    </row>
    <row r="657">
      <c r="A657" s="16"/>
      <c r="B657" s="16"/>
    </row>
    <row r="658">
      <c r="A658" s="16"/>
      <c r="B658" s="16"/>
    </row>
    <row r="659">
      <c r="A659" s="16"/>
      <c r="B659" s="16"/>
    </row>
    <row r="660">
      <c r="A660" s="16"/>
      <c r="B660" s="16"/>
    </row>
    <row r="661">
      <c r="A661" s="16"/>
      <c r="B661" s="16"/>
    </row>
    <row r="662">
      <c r="A662" s="16"/>
      <c r="B662" s="16"/>
    </row>
    <row r="663">
      <c r="A663" s="16"/>
      <c r="B663" s="16"/>
    </row>
    <row r="664">
      <c r="A664" s="16"/>
      <c r="B664" s="16"/>
    </row>
    <row r="665">
      <c r="A665" s="16"/>
      <c r="B665" s="16"/>
    </row>
    <row r="666">
      <c r="A666" s="16"/>
      <c r="B666" s="16"/>
    </row>
    <row r="667">
      <c r="A667" s="16"/>
      <c r="B667" s="16"/>
    </row>
    <row r="668">
      <c r="A668" s="16"/>
      <c r="B668" s="16"/>
    </row>
    <row r="669">
      <c r="A669" s="16"/>
      <c r="B669" s="16"/>
    </row>
    <row r="670">
      <c r="A670" s="16"/>
      <c r="B670" s="16"/>
    </row>
    <row r="671">
      <c r="A671" s="16"/>
      <c r="B671" s="16"/>
    </row>
    <row r="672">
      <c r="A672" s="16"/>
      <c r="B672" s="16"/>
    </row>
    <row r="673">
      <c r="A673" s="16"/>
      <c r="B673" s="16"/>
    </row>
    <row r="674">
      <c r="A674" s="16"/>
      <c r="B674" s="16"/>
    </row>
    <row r="675">
      <c r="A675" s="16"/>
      <c r="B675" s="16"/>
    </row>
    <row r="676">
      <c r="A676" s="16"/>
      <c r="B676" s="16"/>
    </row>
    <row r="677">
      <c r="A677" s="16"/>
      <c r="B677" s="16"/>
    </row>
    <row r="678">
      <c r="A678" s="16"/>
      <c r="B678" s="16"/>
    </row>
    <row r="679">
      <c r="A679" s="16"/>
      <c r="B679" s="16"/>
    </row>
    <row r="680">
      <c r="A680" s="16"/>
      <c r="B680" s="16"/>
    </row>
    <row r="681">
      <c r="A681" s="16"/>
      <c r="B681" s="16"/>
    </row>
    <row r="682">
      <c r="A682" s="16"/>
      <c r="B682" s="16"/>
    </row>
    <row r="683">
      <c r="A683" s="16"/>
      <c r="B683" s="16"/>
    </row>
    <row r="684">
      <c r="A684" s="16"/>
      <c r="B684" s="16"/>
    </row>
    <row r="685">
      <c r="A685" s="16"/>
      <c r="B685" s="16"/>
    </row>
    <row r="686">
      <c r="A686" s="16"/>
      <c r="B686" s="16"/>
    </row>
    <row r="687">
      <c r="A687" s="16"/>
      <c r="B687" s="16"/>
    </row>
    <row r="688">
      <c r="A688" s="16"/>
      <c r="B688" s="16"/>
    </row>
    <row r="689">
      <c r="A689" s="16"/>
      <c r="B689" s="16"/>
    </row>
    <row r="690">
      <c r="A690" s="16"/>
      <c r="B690" s="16"/>
    </row>
    <row r="691">
      <c r="A691" s="16"/>
      <c r="B691" s="16"/>
    </row>
    <row r="692">
      <c r="A692" s="16"/>
      <c r="B692" s="16"/>
    </row>
    <row r="693">
      <c r="A693" s="16"/>
      <c r="B693" s="16"/>
    </row>
    <row r="694">
      <c r="A694" s="16"/>
      <c r="B694" s="16"/>
    </row>
    <row r="695">
      <c r="A695" s="16"/>
      <c r="B695" s="16"/>
    </row>
    <row r="696">
      <c r="A696" s="16"/>
      <c r="B696" s="16"/>
    </row>
    <row r="697">
      <c r="A697" s="16"/>
      <c r="B697" s="16"/>
    </row>
    <row r="698">
      <c r="A698" s="16"/>
      <c r="B698" s="16"/>
    </row>
    <row r="699">
      <c r="A699" s="16"/>
      <c r="B699" s="16"/>
    </row>
    <row r="700">
      <c r="A700" s="16"/>
      <c r="B700" s="16"/>
    </row>
    <row r="701">
      <c r="A701" s="16"/>
      <c r="B701" s="16"/>
    </row>
    <row r="702">
      <c r="A702" s="16"/>
      <c r="B702" s="16"/>
    </row>
    <row r="703">
      <c r="A703" s="16"/>
      <c r="B703" s="16"/>
    </row>
    <row r="704">
      <c r="A704" s="16"/>
      <c r="B704" s="16"/>
    </row>
    <row r="705">
      <c r="A705" s="16"/>
      <c r="B705" s="16"/>
    </row>
    <row r="706">
      <c r="A706" s="16"/>
      <c r="B706" s="16"/>
    </row>
    <row r="707">
      <c r="A707" s="16"/>
      <c r="B707" s="16"/>
    </row>
    <row r="708">
      <c r="A708" s="16"/>
      <c r="B708" s="16"/>
    </row>
    <row r="709">
      <c r="A709" s="16"/>
      <c r="B709" s="16"/>
    </row>
    <row r="710">
      <c r="A710" s="16"/>
      <c r="B710" s="16"/>
    </row>
    <row r="711">
      <c r="A711" s="16"/>
      <c r="B711" s="16"/>
    </row>
    <row r="712">
      <c r="A712" s="16"/>
      <c r="B712" s="16"/>
    </row>
    <row r="713">
      <c r="A713" s="16"/>
      <c r="B713" s="16"/>
    </row>
    <row r="714">
      <c r="A714" s="16"/>
      <c r="B714" s="16"/>
    </row>
    <row r="715">
      <c r="A715" s="16"/>
      <c r="B715" s="16"/>
    </row>
    <row r="716">
      <c r="A716" s="16"/>
      <c r="B716" s="16"/>
    </row>
    <row r="717">
      <c r="A717" s="16"/>
      <c r="B717" s="16"/>
    </row>
    <row r="718">
      <c r="A718" s="16"/>
      <c r="B718" s="16"/>
    </row>
    <row r="719">
      <c r="A719" s="16"/>
      <c r="B719" s="16"/>
    </row>
    <row r="720">
      <c r="A720" s="16"/>
      <c r="B720" s="16"/>
    </row>
    <row r="721">
      <c r="A721" s="16"/>
      <c r="B721" s="16"/>
    </row>
    <row r="722">
      <c r="A722" s="16"/>
      <c r="B722" s="16"/>
    </row>
    <row r="723">
      <c r="A723" s="16"/>
      <c r="B723" s="16"/>
    </row>
    <row r="724">
      <c r="A724" s="16"/>
      <c r="B724" s="16"/>
    </row>
    <row r="725">
      <c r="A725" s="16"/>
      <c r="B725" s="16"/>
    </row>
    <row r="726">
      <c r="A726" s="16"/>
      <c r="B726" s="16"/>
    </row>
    <row r="727">
      <c r="A727" s="16"/>
      <c r="B727" s="16"/>
    </row>
    <row r="728">
      <c r="A728" s="16"/>
      <c r="B728" s="16"/>
    </row>
    <row r="729">
      <c r="A729" s="16"/>
      <c r="B729" s="16"/>
    </row>
    <row r="730">
      <c r="A730" s="16"/>
      <c r="B730" s="16"/>
    </row>
    <row r="731">
      <c r="A731" s="16"/>
      <c r="B731" s="16"/>
    </row>
    <row r="732">
      <c r="A732" s="16"/>
      <c r="B732" s="16"/>
    </row>
    <row r="733">
      <c r="A733" s="16"/>
      <c r="B733" s="16"/>
    </row>
    <row r="734">
      <c r="A734" s="16"/>
      <c r="B734" s="16"/>
    </row>
    <row r="735">
      <c r="A735" s="16"/>
      <c r="B735" s="16"/>
    </row>
    <row r="736">
      <c r="A736" s="16"/>
      <c r="B736" s="16"/>
    </row>
    <row r="737">
      <c r="A737" s="16"/>
      <c r="B737" s="16"/>
    </row>
    <row r="738">
      <c r="A738" s="16"/>
      <c r="B738" s="16"/>
    </row>
    <row r="739">
      <c r="A739" s="16"/>
      <c r="B739" s="16"/>
    </row>
    <row r="740">
      <c r="A740" s="16"/>
      <c r="B740" s="16"/>
    </row>
    <row r="741">
      <c r="A741" s="16"/>
      <c r="B741" s="16"/>
    </row>
    <row r="742">
      <c r="A742" s="16"/>
      <c r="B742" s="16"/>
    </row>
    <row r="743">
      <c r="A743" s="16"/>
      <c r="B743" s="16"/>
    </row>
    <row r="744">
      <c r="A744" s="16"/>
      <c r="B744" s="16"/>
    </row>
    <row r="745">
      <c r="A745" s="16"/>
      <c r="B745" s="16"/>
    </row>
    <row r="746">
      <c r="A746" s="16"/>
      <c r="B746" s="16"/>
    </row>
    <row r="747">
      <c r="A747" s="16"/>
      <c r="B747" s="16"/>
    </row>
    <row r="748">
      <c r="A748" s="16"/>
      <c r="B748" s="16"/>
    </row>
    <row r="749">
      <c r="A749" s="16"/>
      <c r="B749" s="16"/>
    </row>
    <row r="750">
      <c r="A750" s="16"/>
      <c r="B750" s="16"/>
    </row>
    <row r="751">
      <c r="A751" s="16"/>
      <c r="B751" s="16"/>
    </row>
    <row r="752">
      <c r="A752" s="16"/>
      <c r="B752" s="16"/>
    </row>
    <row r="753">
      <c r="A753" s="16"/>
      <c r="B753" s="16"/>
    </row>
    <row r="754">
      <c r="A754" s="16"/>
      <c r="B754" s="16"/>
    </row>
    <row r="755">
      <c r="A755" s="16"/>
      <c r="B755" s="16"/>
    </row>
    <row r="756">
      <c r="A756" s="16"/>
      <c r="B756" s="16"/>
    </row>
    <row r="757">
      <c r="A757" s="16"/>
      <c r="B757" s="16"/>
    </row>
    <row r="758">
      <c r="A758" s="16"/>
      <c r="B758" s="16"/>
    </row>
    <row r="759">
      <c r="A759" s="16"/>
      <c r="B759" s="16"/>
    </row>
    <row r="760">
      <c r="A760" s="16"/>
      <c r="B760" s="16"/>
    </row>
    <row r="761">
      <c r="A761" s="16"/>
      <c r="B761" s="16"/>
    </row>
    <row r="762">
      <c r="A762" s="16"/>
      <c r="B762" s="16"/>
    </row>
    <row r="763">
      <c r="A763" s="16"/>
      <c r="B763" s="16"/>
    </row>
    <row r="764">
      <c r="A764" s="16"/>
      <c r="B764" s="16"/>
    </row>
    <row r="765">
      <c r="A765" s="16"/>
      <c r="B765" s="16"/>
    </row>
    <row r="766">
      <c r="A766" s="16"/>
      <c r="B766" s="16"/>
    </row>
    <row r="767">
      <c r="A767" s="16"/>
      <c r="B767" s="16"/>
    </row>
    <row r="768">
      <c r="A768" s="16"/>
      <c r="B768" s="16"/>
    </row>
    <row r="769">
      <c r="A769" s="16"/>
      <c r="B769" s="16"/>
    </row>
    <row r="770">
      <c r="A770" s="16"/>
      <c r="B770" s="16"/>
    </row>
    <row r="771">
      <c r="A771" s="16"/>
      <c r="B771" s="16"/>
    </row>
    <row r="772">
      <c r="A772" s="16"/>
      <c r="B772" s="16"/>
    </row>
    <row r="773">
      <c r="A773" s="16"/>
      <c r="B773" s="16"/>
    </row>
    <row r="774">
      <c r="A774" s="16"/>
      <c r="B774" s="16"/>
    </row>
    <row r="775">
      <c r="A775" s="16"/>
      <c r="B775" s="16"/>
    </row>
    <row r="776">
      <c r="A776" s="16"/>
      <c r="B776" s="16"/>
    </row>
    <row r="777">
      <c r="A777" s="16"/>
      <c r="B777" s="16"/>
    </row>
    <row r="778">
      <c r="A778" s="16"/>
      <c r="B778" s="16"/>
    </row>
    <row r="779">
      <c r="A779" s="16"/>
      <c r="B779" s="16"/>
    </row>
    <row r="780">
      <c r="A780" s="16"/>
      <c r="B780" s="16"/>
    </row>
    <row r="781">
      <c r="A781" s="16"/>
      <c r="B781" s="16"/>
    </row>
    <row r="782">
      <c r="A782" s="16"/>
      <c r="B782" s="16"/>
    </row>
    <row r="783">
      <c r="A783" s="16"/>
      <c r="B783" s="16"/>
    </row>
    <row r="784">
      <c r="A784" s="16"/>
      <c r="B784" s="16"/>
    </row>
    <row r="785">
      <c r="A785" s="16"/>
      <c r="B785" s="16"/>
    </row>
    <row r="786">
      <c r="A786" s="16"/>
      <c r="B786" s="16"/>
    </row>
    <row r="787">
      <c r="A787" s="16"/>
      <c r="B787" s="16"/>
    </row>
    <row r="788">
      <c r="A788" s="16"/>
      <c r="B788" s="16"/>
    </row>
    <row r="789">
      <c r="A789" s="16"/>
      <c r="B789" s="16"/>
    </row>
    <row r="790">
      <c r="A790" s="16"/>
      <c r="B790" s="16"/>
    </row>
    <row r="791">
      <c r="A791" s="16"/>
      <c r="B791" s="16"/>
    </row>
    <row r="792">
      <c r="A792" s="16"/>
      <c r="B792" s="16"/>
    </row>
    <row r="793">
      <c r="A793" s="16"/>
      <c r="B793" s="16"/>
    </row>
    <row r="794">
      <c r="A794" s="16"/>
      <c r="B794" s="16"/>
    </row>
    <row r="795">
      <c r="A795" s="16"/>
      <c r="B795" s="16"/>
    </row>
    <row r="796">
      <c r="A796" s="16"/>
      <c r="B796" s="16"/>
    </row>
    <row r="797">
      <c r="A797" s="16"/>
      <c r="B797" s="16"/>
    </row>
    <row r="798">
      <c r="A798" s="16"/>
      <c r="B798" s="16"/>
    </row>
    <row r="799">
      <c r="A799" s="16"/>
      <c r="B799" s="16"/>
    </row>
    <row r="800">
      <c r="A800" s="16"/>
      <c r="B800" s="16"/>
    </row>
    <row r="801">
      <c r="A801" s="16"/>
      <c r="B801" s="16"/>
    </row>
    <row r="802">
      <c r="A802" s="16"/>
      <c r="B802" s="16"/>
    </row>
    <row r="803">
      <c r="A803" s="16"/>
      <c r="B803" s="16"/>
    </row>
    <row r="804">
      <c r="A804" s="16"/>
      <c r="B804" s="16"/>
    </row>
    <row r="805">
      <c r="A805" s="16"/>
      <c r="B805" s="16"/>
    </row>
    <row r="806">
      <c r="A806" s="16"/>
      <c r="B806" s="16"/>
    </row>
    <row r="807">
      <c r="A807" s="16"/>
      <c r="B807" s="16"/>
    </row>
    <row r="808">
      <c r="A808" s="16"/>
      <c r="B808" s="16"/>
    </row>
    <row r="809">
      <c r="A809" s="16"/>
      <c r="B809" s="16"/>
    </row>
    <row r="810">
      <c r="A810" s="16"/>
      <c r="B810" s="16"/>
    </row>
    <row r="811">
      <c r="A811" s="16"/>
      <c r="B811" s="16"/>
    </row>
    <row r="812">
      <c r="A812" s="16"/>
      <c r="B812" s="16"/>
    </row>
    <row r="813">
      <c r="A813" s="16"/>
      <c r="B813" s="16"/>
    </row>
    <row r="814">
      <c r="A814" s="16"/>
      <c r="B814" s="16"/>
    </row>
    <row r="815">
      <c r="A815" s="16"/>
      <c r="B815" s="16"/>
    </row>
    <row r="816">
      <c r="A816" s="16"/>
      <c r="B816" s="16"/>
    </row>
    <row r="817">
      <c r="A817" s="16"/>
      <c r="B817" s="16"/>
    </row>
    <row r="818">
      <c r="A818" s="16"/>
      <c r="B818" s="16"/>
    </row>
    <row r="819">
      <c r="A819" s="16"/>
      <c r="B819" s="16"/>
    </row>
    <row r="820">
      <c r="A820" s="16"/>
      <c r="B820" s="16"/>
    </row>
    <row r="821">
      <c r="A821" s="16"/>
      <c r="B821" s="16"/>
    </row>
    <row r="822">
      <c r="A822" s="16"/>
      <c r="B822" s="16"/>
    </row>
    <row r="823">
      <c r="A823" s="16"/>
      <c r="B823" s="16"/>
    </row>
    <row r="824">
      <c r="A824" s="16"/>
      <c r="B824" s="16"/>
    </row>
    <row r="825">
      <c r="A825" s="16"/>
      <c r="B825" s="16"/>
    </row>
    <row r="826">
      <c r="A826" s="16"/>
      <c r="B826" s="16"/>
    </row>
    <row r="827">
      <c r="A827" s="16"/>
      <c r="B827" s="16"/>
    </row>
    <row r="828">
      <c r="A828" s="16"/>
      <c r="B828" s="16"/>
    </row>
    <row r="829">
      <c r="A829" s="16"/>
      <c r="B829" s="16"/>
    </row>
    <row r="830">
      <c r="A830" s="16"/>
      <c r="B830" s="16"/>
    </row>
    <row r="831">
      <c r="A831" s="16"/>
      <c r="B831" s="16"/>
    </row>
    <row r="832">
      <c r="A832" s="16"/>
      <c r="B832" s="16"/>
    </row>
    <row r="833">
      <c r="A833" s="16"/>
      <c r="B833" s="16"/>
    </row>
    <row r="834">
      <c r="A834" s="16"/>
      <c r="B834" s="16"/>
    </row>
    <row r="835">
      <c r="A835" s="16"/>
      <c r="B835" s="16"/>
    </row>
    <row r="836">
      <c r="A836" s="16"/>
      <c r="B836" s="16"/>
    </row>
    <row r="837">
      <c r="A837" s="16"/>
      <c r="B837" s="16"/>
    </row>
    <row r="838">
      <c r="A838" s="16"/>
      <c r="B838" s="16"/>
    </row>
    <row r="839">
      <c r="A839" s="16"/>
      <c r="B839" s="16"/>
    </row>
    <row r="840">
      <c r="A840" s="16"/>
      <c r="B840" s="16"/>
    </row>
    <row r="841">
      <c r="A841" s="16"/>
      <c r="B841" s="16"/>
    </row>
    <row r="842">
      <c r="A842" s="16"/>
      <c r="B842" s="16"/>
    </row>
    <row r="843">
      <c r="A843" s="16"/>
      <c r="B843" s="16"/>
    </row>
    <row r="844">
      <c r="A844" s="16"/>
      <c r="B844" s="16"/>
    </row>
    <row r="845">
      <c r="A845" s="16"/>
      <c r="B845" s="16"/>
    </row>
    <row r="846">
      <c r="A846" s="16"/>
      <c r="B846" s="16"/>
    </row>
    <row r="847">
      <c r="A847" s="16"/>
      <c r="B847" s="16"/>
    </row>
    <row r="848">
      <c r="A848" s="16"/>
      <c r="B848" s="16"/>
    </row>
    <row r="849">
      <c r="A849" s="16"/>
      <c r="B849" s="16"/>
    </row>
    <row r="850">
      <c r="A850" s="16"/>
      <c r="B850" s="16"/>
    </row>
    <row r="851">
      <c r="A851" s="16"/>
      <c r="B851" s="16"/>
    </row>
    <row r="852">
      <c r="A852" s="16"/>
      <c r="B852" s="16"/>
    </row>
    <row r="853">
      <c r="A853" s="16"/>
      <c r="B853" s="16"/>
    </row>
    <row r="854">
      <c r="A854" s="16"/>
      <c r="B854" s="16"/>
    </row>
    <row r="855">
      <c r="A855" s="16"/>
      <c r="B855" s="16"/>
    </row>
    <row r="856">
      <c r="A856" s="16"/>
      <c r="B856" s="16"/>
    </row>
    <row r="857">
      <c r="A857" s="16"/>
      <c r="B857" s="16"/>
    </row>
    <row r="858">
      <c r="A858" s="16"/>
      <c r="B858" s="16"/>
    </row>
    <row r="859">
      <c r="A859" s="16"/>
      <c r="B859" s="16"/>
    </row>
    <row r="860">
      <c r="A860" s="16"/>
      <c r="B860" s="16"/>
    </row>
    <row r="861">
      <c r="A861" s="16"/>
      <c r="B861" s="16"/>
    </row>
    <row r="862">
      <c r="A862" s="16"/>
      <c r="B862" s="16"/>
    </row>
    <row r="863">
      <c r="A863" s="16"/>
      <c r="B863" s="16"/>
    </row>
    <row r="864">
      <c r="A864" s="16"/>
      <c r="B864" s="16"/>
    </row>
    <row r="865">
      <c r="A865" s="16"/>
      <c r="B865" s="16"/>
    </row>
    <row r="866">
      <c r="A866" s="16"/>
      <c r="B866" s="16"/>
    </row>
    <row r="867">
      <c r="A867" s="16"/>
      <c r="B867" s="16"/>
    </row>
    <row r="868">
      <c r="A868" s="16"/>
      <c r="B868" s="16"/>
    </row>
    <row r="869">
      <c r="A869" s="16"/>
      <c r="B869" s="16"/>
    </row>
    <row r="870">
      <c r="A870" s="16"/>
      <c r="B870" s="16"/>
    </row>
    <row r="871">
      <c r="A871" s="16"/>
      <c r="B871" s="16"/>
    </row>
    <row r="872">
      <c r="A872" s="16"/>
      <c r="B872" s="16"/>
    </row>
    <row r="873">
      <c r="A873" s="16"/>
      <c r="B873" s="16"/>
    </row>
    <row r="874">
      <c r="A874" s="16"/>
      <c r="B874" s="16"/>
    </row>
    <row r="875">
      <c r="A875" s="16"/>
      <c r="B875" s="16"/>
    </row>
    <row r="876">
      <c r="A876" s="16"/>
      <c r="B876" s="16"/>
    </row>
    <row r="877">
      <c r="A877" s="16"/>
      <c r="B877" s="16"/>
    </row>
    <row r="878">
      <c r="A878" s="16"/>
      <c r="B878" s="16"/>
    </row>
    <row r="879">
      <c r="A879" s="16"/>
      <c r="B879" s="16"/>
    </row>
    <row r="880">
      <c r="A880" s="16"/>
      <c r="B880" s="16"/>
    </row>
    <row r="881">
      <c r="A881" s="16"/>
      <c r="B881" s="16"/>
    </row>
    <row r="882">
      <c r="A882" s="16"/>
      <c r="B882" s="16"/>
    </row>
    <row r="883">
      <c r="A883" s="16"/>
      <c r="B883" s="16"/>
    </row>
    <row r="884">
      <c r="A884" s="16"/>
      <c r="B884" s="16"/>
    </row>
    <row r="885">
      <c r="A885" s="16"/>
      <c r="B885" s="16"/>
    </row>
    <row r="886">
      <c r="A886" s="16"/>
      <c r="B886" s="16"/>
    </row>
    <row r="887">
      <c r="A887" s="16"/>
      <c r="B887" s="16"/>
    </row>
    <row r="888">
      <c r="A888" s="16"/>
      <c r="B888" s="16"/>
    </row>
    <row r="889">
      <c r="A889" s="16"/>
      <c r="B889" s="16"/>
    </row>
    <row r="890">
      <c r="A890" s="16"/>
      <c r="B890" s="16"/>
    </row>
    <row r="891">
      <c r="A891" s="16"/>
      <c r="B891" s="16"/>
    </row>
    <row r="892">
      <c r="A892" s="16"/>
      <c r="B892" s="16"/>
    </row>
    <row r="893">
      <c r="A893" s="16"/>
      <c r="B893" s="16"/>
    </row>
    <row r="894">
      <c r="A894" s="16"/>
      <c r="B894" s="16"/>
    </row>
    <row r="895">
      <c r="A895" s="16"/>
      <c r="B895" s="16"/>
    </row>
    <row r="896">
      <c r="A896" s="16"/>
      <c r="B896" s="16"/>
    </row>
    <row r="897">
      <c r="A897" s="16"/>
      <c r="B897" s="16"/>
    </row>
    <row r="898">
      <c r="A898" s="16"/>
      <c r="B898" s="16"/>
    </row>
    <row r="899">
      <c r="A899" s="16"/>
      <c r="B899" s="16"/>
    </row>
    <row r="900">
      <c r="A900" s="16"/>
      <c r="B900" s="16"/>
    </row>
    <row r="901">
      <c r="A901" s="16"/>
      <c r="B901" s="16"/>
    </row>
    <row r="902">
      <c r="A902" s="16"/>
      <c r="B902" s="16"/>
    </row>
    <row r="903">
      <c r="A903" s="16"/>
      <c r="B903" s="16"/>
    </row>
    <row r="904">
      <c r="A904" s="16"/>
      <c r="B904" s="16"/>
    </row>
    <row r="905">
      <c r="A905" s="16"/>
      <c r="B905" s="16"/>
    </row>
    <row r="906">
      <c r="A906" s="16"/>
      <c r="B906" s="16"/>
    </row>
    <row r="907">
      <c r="A907" s="16"/>
      <c r="B907" s="16"/>
    </row>
    <row r="908">
      <c r="A908" s="16"/>
      <c r="B908" s="16"/>
    </row>
    <row r="909">
      <c r="A909" s="16"/>
      <c r="B909" s="16"/>
    </row>
    <row r="910">
      <c r="A910" s="16"/>
      <c r="B910" s="16"/>
    </row>
    <row r="911">
      <c r="A911" s="16"/>
      <c r="B911" s="16"/>
    </row>
    <row r="912">
      <c r="A912" s="16"/>
      <c r="B912" s="16"/>
    </row>
    <row r="913">
      <c r="A913" s="16"/>
      <c r="B913" s="16"/>
    </row>
    <row r="914">
      <c r="A914" s="16"/>
      <c r="B914" s="16"/>
    </row>
    <row r="915">
      <c r="A915" s="16"/>
      <c r="B915" s="16"/>
    </row>
    <row r="916">
      <c r="A916" s="16"/>
      <c r="B916" s="16"/>
    </row>
    <row r="917">
      <c r="A917" s="16"/>
      <c r="B917" s="16"/>
    </row>
    <row r="918">
      <c r="A918" s="16"/>
      <c r="B918" s="16"/>
    </row>
    <row r="919">
      <c r="A919" s="16"/>
      <c r="B919" s="16"/>
    </row>
    <row r="920">
      <c r="A920" s="16"/>
      <c r="B920" s="16"/>
    </row>
    <row r="921">
      <c r="A921" s="16"/>
      <c r="B921" s="16"/>
    </row>
    <row r="922">
      <c r="A922" s="16"/>
      <c r="B922" s="16"/>
    </row>
    <row r="923">
      <c r="A923" s="16"/>
      <c r="B923" s="16"/>
    </row>
    <row r="924">
      <c r="A924" s="16"/>
      <c r="B924" s="16"/>
    </row>
    <row r="925">
      <c r="A925" s="16"/>
      <c r="B925" s="16"/>
    </row>
    <row r="926">
      <c r="A926" s="16"/>
      <c r="B926" s="16"/>
    </row>
    <row r="927">
      <c r="A927" s="16"/>
      <c r="B927" s="16"/>
    </row>
    <row r="928">
      <c r="A928" s="16"/>
      <c r="B928" s="16"/>
    </row>
    <row r="929">
      <c r="A929" s="16"/>
      <c r="B929" s="16"/>
    </row>
    <row r="930">
      <c r="A930" s="16"/>
      <c r="B930" s="16"/>
    </row>
    <row r="931">
      <c r="A931" s="16"/>
      <c r="B931" s="16"/>
    </row>
    <row r="932">
      <c r="A932" s="16"/>
      <c r="B932" s="16"/>
    </row>
    <row r="933">
      <c r="A933" s="16"/>
      <c r="B933" s="16"/>
    </row>
    <row r="934">
      <c r="A934" s="16"/>
      <c r="B934" s="16"/>
    </row>
    <row r="935">
      <c r="A935" s="16"/>
      <c r="B935" s="16"/>
    </row>
    <row r="936">
      <c r="A936" s="16"/>
      <c r="B936" s="16"/>
    </row>
    <row r="937">
      <c r="A937" s="16"/>
      <c r="B937" s="16"/>
    </row>
    <row r="938">
      <c r="A938" s="16"/>
      <c r="B938" s="16"/>
    </row>
    <row r="939">
      <c r="A939" s="16"/>
      <c r="B939" s="16"/>
    </row>
    <row r="940">
      <c r="A940" s="16"/>
      <c r="B940" s="16"/>
    </row>
    <row r="941">
      <c r="A941" s="16"/>
      <c r="B941" s="16"/>
    </row>
    <row r="942">
      <c r="A942" s="16"/>
      <c r="B942" s="16"/>
    </row>
    <row r="943">
      <c r="A943" s="16"/>
      <c r="B943" s="16"/>
    </row>
    <row r="944">
      <c r="A944" s="16"/>
      <c r="B944" s="16"/>
    </row>
    <row r="945">
      <c r="A945" s="16"/>
      <c r="B945" s="16"/>
    </row>
    <row r="946">
      <c r="A946" s="16"/>
      <c r="B946" s="16"/>
    </row>
    <row r="947">
      <c r="A947" s="16"/>
      <c r="B947" s="16"/>
    </row>
    <row r="948">
      <c r="A948" s="16"/>
      <c r="B948" s="16"/>
    </row>
    <row r="949">
      <c r="A949" s="16"/>
      <c r="B949" s="16"/>
    </row>
    <row r="950">
      <c r="A950" s="16"/>
      <c r="B950" s="16"/>
    </row>
    <row r="951">
      <c r="A951" s="16"/>
      <c r="B951" s="16"/>
    </row>
    <row r="952">
      <c r="A952" s="16"/>
      <c r="B952" s="16"/>
    </row>
    <row r="953">
      <c r="A953" s="16"/>
      <c r="B953" s="16"/>
    </row>
    <row r="954">
      <c r="A954" s="16"/>
      <c r="B954" s="16"/>
    </row>
    <row r="955">
      <c r="A955" s="16"/>
      <c r="B955" s="16"/>
    </row>
    <row r="956">
      <c r="A956" s="16"/>
      <c r="B956" s="16"/>
    </row>
    <row r="957">
      <c r="A957" s="16"/>
      <c r="B957" s="16"/>
    </row>
    <row r="958">
      <c r="A958" s="16"/>
      <c r="B958" s="16"/>
    </row>
    <row r="959">
      <c r="A959" s="16"/>
      <c r="B959" s="16"/>
    </row>
    <row r="960">
      <c r="A960" s="16"/>
      <c r="B960" s="16"/>
    </row>
    <row r="961">
      <c r="A961" s="16"/>
      <c r="B961" s="16"/>
    </row>
    <row r="962">
      <c r="A962" s="16"/>
      <c r="B962" s="16"/>
    </row>
    <row r="963">
      <c r="A963" s="16"/>
      <c r="B963" s="16"/>
    </row>
    <row r="964">
      <c r="A964" s="16"/>
      <c r="B964" s="16"/>
    </row>
    <row r="965">
      <c r="A965" s="16"/>
      <c r="B965" s="16"/>
    </row>
    <row r="966">
      <c r="A966" s="16"/>
      <c r="B966" s="16"/>
    </row>
    <row r="967">
      <c r="A967" s="16"/>
      <c r="B967" s="16"/>
    </row>
    <row r="968">
      <c r="A968" s="16"/>
      <c r="B968" s="16"/>
    </row>
    <row r="969">
      <c r="A969" s="16"/>
      <c r="B969" s="16"/>
    </row>
    <row r="970">
      <c r="A970" s="16"/>
      <c r="B970" s="16"/>
    </row>
    <row r="971">
      <c r="A971" s="16"/>
      <c r="B971" s="16"/>
    </row>
    <row r="972">
      <c r="A972" s="16"/>
      <c r="B972" s="16"/>
    </row>
    <row r="973">
      <c r="A973" s="16"/>
      <c r="B973" s="16"/>
    </row>
    <row r="974">
      <c r="A974" s="16"/>
      <c r="B974" s="16"/>
    </row>
    <row r="975">
      <c r="A975" s="16"/>
      <c r="B975" s="16"/>
    </row>
    <row r="976">
      <c r="A976" s="16"/>
      <c r="B976" s="16"/>
    </row>
    <row r="977">
      <c r="A977" s="16"/>
      <c r="B977" s="16"/>
    </row>
    <row r="978">
      <c r="A978" s="16"/>
      <c r="B978" s="16"/>
    </row>
    <row r="979">
      <c r="A979" s="16"/>
      <c r="B979" s="16"/>
    </row>
    <row r="980">
      <c r="A980" s="16"/>
      <c r="B980" s="16"/>
    </row>
    <row r="981">
      <c r="A981" s="16"/>
      <c r="B981" s="16"/>
    </row>
    <row r="982">
      <c r="A982" s="16"/>
      <c r="B982" s="16"/>
    </row>
    <row r="983">
      <c r="A983" s="16"/>
      <c r="B983" s="16"/>
    </row>
    <row r="984">
      <c r="A984" s="16"/>
      <c r="B984" s="16"/>
    </row>
    <row r="985">
      <c r="A985" s="16"/>
      <c r="B985" s="16"/>
    </row>
    <row r="986">
      <c r="A986" s="16"/>
      <c r="B986" s="16"/>
    </row>
    <row r="987">
      <c r="A987" s="16"/>
      <c r="B987" s="16"/>
    </row>
    <row r="988">
      <c r="A988" s="16"/>
      <c r="B988" s="16"/>
    </row>
    <row r="989">
      <c r="A989" s="16"/>
      <c r="B989" s="16"/>
    </row>
    <row r="990">
      <c r="A990" s="16"/>
      <c r="B990" s="16"/>
    </row>
    <row r="991">
      <c r="A991" s="16"/>
      <c r="B991" s="16"/>
    </row>
  </sheetData>
  <drawing r:id="rId1"/>
</worksheet>
</file>